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35" windowWidth="18195" windowHeight="11310" tabRatio="927"/>
  </bookViews>
  <sheets>
    <sheet name="CONTROL" sheetId="1" r:id="rId1"/>
    <sheet name="RAP-LIGHT OIL" sheetId="2" r:id="rId2"/>
    <sheet name="RAP-SOLID FUEL PRICES" sheetId="3" r:id="rId3"/>
    <sheet name="RAP-HEAVY OIL&amp;WTI" sheetId="4" r:id="rId4"/>
    <sheet name="RAP-NATURAL GAS PRICES" sheetId="5" r:id="rId5"/>
    <sheet name="RAP TEMPLATE-GAS AVAILABILITY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5">'RAP TEMPLATE-GAS AVAILABILITY'!$A$12:$T$1157</definedName>
    <definedName name="_xlnm.Print_Area" localSheetId="3">'RAP-HEAVY OIL&amp;WTI'!$A$12:$J$1157</definedName>
    <definedName name="_xlnm.Print_Area" localSheetId="1">'RAP-LIGHT OIL'!$A$12:$K$1157</definedName>
    <definedName name="_xlnm.Print_Area" localSheetId="4">'RAP-NATURAL GAS PRICES'!$A$13:$AC$1158</definedName>
    <definedName name="_xlnm.Print_Area" localSheetId="2">'RAP-SOLID FUEL PRICES'!$A$14:$O$1160</definedName>
    <definedName name="_xlnm.Print_Titles" localSheetId="5">'RAP TEMPLATE-GAS AVAILABILITY'!$1:$11</definedName>
    <definedName name="_xlnm.Print_Titles" localSheetId="3">'RAP-HEAVY OIL&amp;WTI'!$1:$11</definedName>
    <definedName name="_xlnm.Print_Titles" localSheetId="1">'RAP-LIGHT OIL'!$1:$11</definedName>
    <definedName name="_xlnm.Print_Titles" localSheetId="4">'RAP-NATURAL GAS PRICES'!$1:$12</definedName>
    <definedName name="_xlnm.Print_Titles" localSheetId="2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23" i="6" l="1"/>
  <c r="D23" i="6"/>
  <c r="E23" i="6"/>
  <c r="F23" i="6"/>
  <c r="L23" i="6"/>
  <c r="L1069" i="6" s="1"/>
  <c r="N23" i="6"/>
  <c r="R23" i="6"/>
  <c r="T23" i="6"/>
  <c r="C24" i="6"/>
  <c r="D24" i="6"/>
  <c r="E24" i="6"/>
  <c r="F24" i="6"/>
  <c r="L24" i="6"/>
  <c r="N24" i="6"/>
  <c r="Q24" i="6"/>
  <c r="R24" i="6"/>
  <c r="S24" i="6"/>
  <c r="T24" i="6"/>
  <c r="C25" i="6"/>
  <c r="D25" i="6"/>
  <c r="E25" i="6"/>
  <c r="F25" i="6"/>
  <c r="N25" i="6"/>
  <c r="R25" i="6"/>
  <c r="Q25" i="6" s="1"/>
  <c r="S25" i="6" s="1"/>
  <c r="T25" i="6"/>
  <c r="C26" i="6"/>
  <c r="D26" i="6"/>
  <c r="E26" i="6"/>
  <c r="F26" i="6"/>
  <c r="N26" i="6"/>
  <c r="Q26" i="6"/>
  <c r="R26" i="6"/>
  <c r="S26" i="6"/>
  <c r="T26" i="6"/>
  <c r="C27" i="6"/>
  <c r="D27" i="6"/>
  <c r="E27" i="6"/>
  <c r="F27" i="6"/>
  <c r="L27" i="6" s="1"/>
  <c r="N27" i="6"/>
  <c r="P27" i="6"/>
  <c r="Q27" i="6" s="1"/>
  <c r="R27" i="6"/>
  <c r="T27" i="6"/>
  <c r="C28" i="6"/>
  <c r="D28" i="6"/>
  <c r="E28" i="6"/>
  <c r="F28" i="6"/>
  <c r="L28" i="6"/>
  <c r="N28" i="6"/>
  <c r="P28" i="6"/>
  <c r="Q28" i="6"/>
  <c r="S28" i="6" s="1"/>
  <c r="R28" i="6"/>
  <c r="T28" i="6"/>
  <c r="C29" i="6"/>
  <c r="D29" i="6"/>
  <c r="E29" i="6"/>
  <c r="F29" i="6"/>
  <c r="L29" i="6"/>
  <c r="N29" i="6"/>
  <c r="P29" i="6"/>
  <c r="R29" i="6"/>
  <c r="T29" i="6"/>
  <c r="C30" i="6"/>
  <c r="D30" i="6"/>
  <c r="E30" i="6"/>
  <c r="F30" i="6"/>
  <c r="N30" i="6"/>
  <c r="P30" i="6"/>
  <c r="Q30" i="6" s="1"/>
  <c r="R30" i="6"/>
  <c r="S30" i="6"/>
  <c r="T30" i="6"/>
  <c r="C31" i="6"/>
  <c r="D31" i="6"/>
  <c r="E31" i="6"/>
  <c r="F31" i="6"/>
  <c r="N31" i="6"/>
  <c r="P31" i="6"/>
  <c r="Q31" i="6"/>
  <c r="R31" i="6"/>
  <c r="T31" i="6"/>
  <c r="C32" i="6"/>
  <c r="L32" i="6" s="1"/>
  <c r="D32" i="6"/>
  <c r="E32" i="6"/>
  <c r="F32" i="6"/>
  <c r="N32" i="6"/>
  <c r="N1070" i="6" s="1"/>
  <c r="P32" i="6"/>
  <c r="Q32" i="6"/>
  <c r="S32" i="6" s="1"/>
  <c r="R32" i="6"/>
  <c r="T32" i="6"/>
  <c r="C33" i="6"/>
  <c r="D33" i="6"/>
  <c r="E33" i="6"/>
  <c r="F33" i="6"/>
  <c r="L33" i="6"/>
  <c r="N33" i="6"/>
  <c r="P33" i="6"/>
  <c r="R33" i="6"/>
  <c r="Q33" i="6" s="1"/>
  <c r="S33" i="6"/>
  <c r="T33" i="6"/>
  <c r="C34" i="6"/>
  <c r="D34" i="6"/>
  <c r="E34" i="6"/>
  <c r="F34" i="6"/>
  <c r="N34" i="6"/>
  <c r="R34" i="6"/>
  <c r="Q34" i="6" s="1"/>
  <c r="S34" i="6" s="1"/>
  <c r="T34" i="6"/>
  <c r="C35" i="6"/>
  <c r="D35" i="6"/>
  <c r="E35" i="6"/>
  <c r="F35" i="6"/>
  <c r="L35" i="6" s="1"/>
  <c r="N35" i="6"/>
  <c r="R35" i="6"/>
  <c r="T35" i="6"/>
  <c r="C36" i="6"/>
  <c r="D36" i="6"/>
  <c r="E36" i="6"/>
  <c r="F36" i="6"/>
  <c r="N36" i="6"/>
  <c r="Q36" i="6"/>
  <c r="S36" i="6" s="1"/>
  <c r="R36" i="6"/>
  <c r="T36" i="6"/>
  <c r="C37" i="6"/>
  <c r="D37" i="6"/>
  <c r="E37" i="6"/>
  <c r="F37" i="6"/>
  <c r="N37" i="6"/>
  <c r="R37" i="6"/>
  <c r="Q37" i="6" s="1"/>
  <c r="S37" i="6" s="1"/>
  <c r="T37" i="6"/>
  <c r="C38" i="6"/>
  <c r="D38" i="6"/>
  <c r="L38" i="6" s="1"/>
  <c r="E38" i="6"/>
  <c r="F38" i="6"/>
  <c r="N38" i="6"/>
  <c r="N1071" i="6" s="1"/>
  <c r="Q38" i="6"/>
  <c r="S38" i="6" s="1"/>
  <c r="R38" i="6"/>
  <c r="T38" i="6"/>
  <c r="C39" i="6"/>
  <c r="D39" i="6"/>
  <c r="E39" i="6"/>
  <c r="F39" i="6"/>
  <c r="H39" i="6"/>
  <c r="H1071" i="6" s="1"/>
  <c r="N39" i="6"/>
  <c r="P39" i="6"/>
  <c r="Q39" i="6"/>
  <c r="R39" i="6"/>
  <c r="T39" i="6"/>
  <c r="C40" i="6"/>
  <c r="D40" i="6"/>
  <c r="E40" i="6"/>
  <c r="F40" i="6"/>
  <c r="H40" i="6"/>
  <c r="N40" i="6"/>
  <c r="P40" i="6"/>
  <c r="Q40" i="6" s="1"/>
  <c r="R40" i="6"/>
  <c r="T40" i="6"/>
  <c r="C41" i="6"/>
  <c r="D41" i="6"/>
  <c r="E41" i="6"/>
  <c r="F41" i="6"/>
  <c r="L41" i="6" s="1"/>
  <c r="H41" i="6"/>
  <c r="N41" i="6"/>
  <c r="P41" i="6"/>
  <c r="R41" i="6"/>
  <c r="T41" i="6"/>
  <c r="C42" i="6"/>
  <c r="D42" i="6"/>
  <c r="E42" i="6"/>
  <c r="F42" i="6"/>
  <c r="H42" i="6"/>
  <c r="N42" i="6"/>
  <c r="P42" i="6"/>
  <c r="Q42" i="6"/>
  <c r="R42" i="6"/>
  <c r="T42" i="6"/>
  <c r="C43" i="6"/>
  <c r="L43" i="6" s="1"/>
  <c r="D43" i="6"/>
  <c r="E43" i="6"/>
  <c r="F43" i="6"/>
  <c r="H43" i="6"/>
  <c r="N43" i="6"/>
  <c r="P43" i="6"/>
  <c r="R43" i="6"/>
  <c r="T43" i="6"/>
  <c r="C44" i="6"/>
  <c r="D44" i="6"/>
  <c r="E44" i="6"/>
  <c r="F44" i="6"/>
  <c r="H44" i="6"/>
  <c r="N44" i="6"/>
  <c r="P44" i="6"/>
  <c r="Q44" i="6"/>
  <c r="R44" i="6"/>
  <c r="T44" i="6"/>
  <c r="C45" i="6"/>
  <c r="L45" i="6" s="1"/>
  <c r="D45" i="6"/>
  <c r="E45" i="6"/>
  <c r="F45" i="6"/>
  <c r="H45" i="6"/>
  <c r="N45" i="6"/>
  <c r="P45" i="6"/>
  <c r="Q45" i="6"/>
  <c r="R45" i="6"/>
  <c r="T45" i="6"/>
  <c r="C46" i="6"/>
  <c r="L46" i="6" s="1"/>
  <c r="D46" i="6"/>
  <c r="E46" i="6"/>
  <c r="F46" i="6"/>
  <c r="H46" i="6"/>
  <c r="N46" i="6"/>
  <c r="R46" i="6"/>
  <c r="Q46" i="6" s="1"/>
  <c r="S46" i="6" s="1"/>
  <c r="T46" i="6"/>
  <c r="C47" i="6"/>
  <c r="D47" i="6"/>
  <c r="E47" i="6"/>
  <c r="F47" i="6"/>
  <c r="H47" i="6"/>
  <c r="L47" i="6"/>
  <c r="N47" i="6"/>
  <c r="R47" i="6"/>
  <c r="Q47" i="6" s="1"/>
  <c r="S47" i="6"/>
  <c r="T47" i="6"/>
  <c r="C48" i="6"/>
  <c r="D48" i="6"/>
  <c r="E48" i="6"/>
  <c r="F48" i="6"/>
  <c r="H48" i="6"/>
  <c r="N48" i="6"/>
  <c r="Q48" i="6"/>
  <c r="R48" i="6"/>
  <c r="S48" i="6"/>
  <c r="T48" i="6"/>
  <c r="C49" i="6"/>
  <c r="D49" i="6"/>
  <c r="E49" i="6"/>
  <c r="F49" i="6"/>
  <c r="H49" i="6"/>
  <c r="N49" i="6"/>
  <c r="Q49" i="6"/>
  <c r="S49" i="6" s="1"/>
  <c r="R49" i="6"/>
  <c r="T49" i="6"/>
  <c r="C50" i="6"/>
  <c r="L50" i="6" s="1"/>
  <c r="D50" i="6"/>
  <c r="E50" i="6"/>
  <c r="F50" i="6"/>
  <c r="H50" i="6"/>
  <c r="N50" i="6"/>
  <c r="R50" i="6"/>
  <c r="Q50" i="6" s="1"/>
  <c r="S50" i="6" s="1"/>
  <c r="T50" i="6"/>
  <c r="C51" i="6"/>
  <c r="L51" i="6" s="1"/>
  <c r="D51" i="6"/>
  <c r="E51" i="6"/>
  <c r="F51" i="6"/>
  <c r="H51" i="6"/>
  <c r="N51" i="6"/>
  <c r="R51" i="6"/>
  <c r="Q51" i="6" s="1"/>
  <c r="S51" i="6"/>
  <c r="T51" i="6"/>
  <c r="C52" i="6"/>
  <c r="D52" i="6"/>
  <c r="L52" i="6" s="1"/>
  <c r="E52" i="6"/>
  <c r="F52" i="6"/>
  <c r="H52" i="6"/>
  <c r="I52" i="6"/>
  <c r="N52" i="6"/>
  <c r="R52" i="6"/>
  <c r="Q52" i="6" s="1"/>
  <c r="S52" i="6"/>
  <c r="T52" i="6"/>
  <c r="C53" i="6"/>
  <c r="D53" i="6"/>
  <c r="E53" i="6"/>
  <c r="F53" i="6"/>
  <c r="H53" i="6"/>
  <c r="I53" i="6"/>
  <c r="N53" i="6"/>
  <c r="R53" i="6"/>
  <c r="Q53" i="6" s="1"/>
  <c r="S53" i="6"/>
  <c r="T53" i="6"/>
  <c r="C54" i="6"/>
  <c r="D54" i="6"/>
  <c r="E54" i="6"/>
  <c r="F54" i="6"/>
  <c r="H54" i="6"/>
  <c r="I54" i="6"/>
  <c r="L54" i="6"/>
  <c r="N54" i="6"/>
  <c r="R54" i="6"/>
  <c r="Q54" i="6" s="1"/>
  <c r="S54" i="6" s="1"/>
  <c r="T54" i="6"/>
  <c r="C55" i="6"/>
  <c r="D55" i="6"/>
  <c r="E55" i="6"/>
  <c r="F55" i="6"/>
  <c r="H55" i="6"/>
  <c r="I55" i="6"/>
  <c r="I1072" i="6" s="1"/>
  <c r="N55" i="6"/>
  <c r="R55" i="6"/>
  <c r="Q55" i="6" s="1"/>
  <c r="S55" i="6"/>
  <c r="T55" i="6"/>
  <c r="C56" i="6"/>
  <c r="D56" i="6"/>
  <c r="E56" i="6"/>
  <c r="F56" i="6"/>
  <c r="H56" i="6"/>
  <c r="I56" i="6"/>
  <c r="N56" i="6"/>
  <c r="R56" i="6"/>
  <c r="Q56" i="6" s="1"/>
  <c r="S56" i="6" s="1"/>
  <c r="T56" i="6"/>
  <c r="C57" i="6"/>
  <c r="D57" i="6"/>
  <c r="E57" i="6"/>
  <c r="F57" i="6"/>
  <c r="H57" i="6"/>
  <c r="I57" i="6"/>
  <c r="N57" i="6"/>
  <c r="R57" i="6"/>
  <c r="Q57" i="6" s="1"/>
  <c r="S57" i="6" s="1"/>
  <c r="T57" i="6"/>
  <c r="C58" i="6"/>
  <c r="D58" i="6"/>
  <c r="L58" i="6" s="1"/>
  <c r="E58" i="6"/>
  <c r="F58" i="6"/>
  <c r="H58" i="6"/>
  <c r="I58" i="6"/>
  <c r="N58" i="6"/>
  <c r="R58" i="6"/>
  <c r="Q58" i="6" s="1"/>
  <c r="S58" i="6"/>
  <c r="T58" i="6"/>
  <c r="C59" i="6"/>
  <c r="D59" i="6"/>
  <c r="E59" i="6"/>
  <c r="F59" i="6"/>
  <c r="H59" i="6"/>
  <c r="I59" i="6"/>
  <c r="L59" i="6"/>
  <c r="N59" i="6"/>
  <c r="R59" i="6"/>
  <c r="Q59" i="6" s="1"/>
  <c r="S59" i="6"/>
  <c r="T59" i="6"/>
  <c r="C60" i="6"/>
  <c r="D60" i="6"/>
  <c r="E60" i="6"/>
  <c r="L60" i="6" s="1"/>
  <c r="F60" i="6"/>
  <c r="H60" i="6"/>
  <c r="I60" i="6"/>
  <c r="N60" i="6"/>
  <c r="R60" i="6"/>
  <c r="Q60" i="6" s="1"/>
  <c r="S60" i="6"/>
  <c r="T60" i="6"/>
  <c r="C61" i="6"/>
  <c r="D61" i="6"/>
  <c r="E61" i="6"/>
  <c r="F61" i="6"/>
  <c r="H61" i="6"/>
  <c r="I61" i="6"/>
  <c r="N61" i="6"/>
  <c r="R61" i="6"/>
  <c r="Q61" i="6" s="1"/>
  <c r="S61" i="6" s="1"/>
  <c r="T61" i="6"/>
  <c r="C62" i="6"/>
  <c r="D62" i="6"/>
  <c r="E62" i="6"/>
  <c r="F62" i="6"/>
  <c r="H62" i="6"/>
  <c r="I62" i="6"/>
  <c r="L62" i="6" s="1"/>
  <c r="N62" i="6"/>
  <c r="R62" i="6"/>
  <c r="Q62" i="6" s="1"/>
  <c r="S62" i="6" s="1"/>
  <c r="T62" i="6"/>
  <c r="C63" i="6"/>
  <c r="D63" i="6"/>
  <c r="E63" i="6"/>
  <c r="F63" i="6"/>
  <c r="H63" i="6"/>
  <c r="I63" i="6"/>
  <c r="N63" i="6"/>
  <c r="R63" i="6"/>
  <c r="Q63" i="6" s="1"/>
  <c r="S63" i="6" s="1"/>
  <c r="T63" i="6"/>
  <c r="C64" i="6"/>
  <c r="D64" i="6"/>
  <c r="E64" i="6"/>
  <c r="L64" i="6" s="1"/>
  <c r="F64" i="6"/>
  <c r="H64" i="6"/>
  <c r="I64" i="6"/>
  <c r="N64" i="6"/>
  <c r="R64" i="6"/>
  <c r="Q64" i="6" s="1"/>
  <c r="S64" i="6" s="1"/>
  <c r="T64" i="6"/>
  <c r="C65" i="6"/>
  <c r="D65" i="6"/>
  <c r="E65" i="6"/>
  <c r="L65" i="6" s="1"/>
  <c r="F65" i="6"/>
  <c r="H65" i="6"/>
  <c r="I65" i="6"/>
  <c r="N65" i="6"/>
  <c r="R65" i="6"/>
  <c r="Q65" i="6" s="1"/>
  <c r="S65" i="6" s="1"/>
  <c r="T65" i="6"/>
  <c r="C66" i="6"/>
  <c r="D66" i="6"/>
  <c r="L66" i="6" s="1"/>
  <c r="E66" i="6"/>
  <c r="F66" i="6"/>
  <c r="H66" i="6"/>
  <c r="I66" i="6"/>
  <c r="N66" i="6"/>
  <c r="R66" i="6"/>
  <c r="Q66" i="6" s="1"/>
  <c r="S66" i="6" s="1"/>
  <c r="T66" i="6"/>
  <c r="C67" i="6"/>
  <c r="D67" i="6"/>
  <c r="L67" i="6" s="1"/>
  <c r="E67" i="6"/>
  <c r="F67" i="6"/>
  <c r="H67" i="6"/>
  <c r="I67" i="6"/>
  <c r="N67" i="6"/>
  <c r="R67" i="6"/>
  <c r="Q67" i="6" s="1"/>
  <c r="S67" i="6"/>
  <c r="T67" i="6"/>
  <c r="C68" i="6"/>
  <c r="D68" i="6"/>
  <c r="E68" i="6"/>
  <c r="F68" i="6"/>
  <c r="H68" i="6"/>
  <c r="I68" i="6"/>
  <c r="N68" i="6"/>
  <c r="R68" i="6"/>
  <c r="Q68" i="6" s="1"/>
  <c r="S68" i="6"/>
  <c r="T68" i="6"/>
  <c r="C69" i="6"/>
  <c r="D69" i="6"/>
  <c r="L69" i="6" s="1"/>
  <c r="E69" i="6"/>
  <c r="F69" i="6"/>
  <c r="H69" i="6"/>
  <c r="I69" i="6"/>
  <c r="N69" i="6"/>
  <c r="R69" i="6"/>
  <c r="Q69" i="6" s="1"/>
  <c r="S69" i="6"/>
  <c r="T69" i="6"/>
  <c r="C70" i="6"/>
  <c r="D70" i="6"/>
  <c r="E70" i="6"/>
  <c r="F70" i="6"/>
  <c r="H70" i="6"/>
  <c r="I70" i="6"/>
  <c r="L70" i="6"/>
  <c r="N70" i="6"/>
  <c r="R70" i="6"/>
  <c r="Q70" i="6" s="1"/>
  <c r="S70" i="6" s="1"/>
  <c r="T70" i="6"/>
  <c r="C71" i="6"/>
  <c r="D71" i="6"/>
  <c r="E71" i="6"/>
  <c r="F71" i="6"/>
  <c r="H71" i="6"/>
  <c r="I71" i="6"/>
  <c r="N71" i="6"/>
  <c r="R71" i="6"/>
  <c r="Q71" i="6" s="1"/>
  <c r="S71" i="6"/>
  <c r="T71" i="6"/>
  <c r="C72" i="6"/>
  <c r="D72" i="6"/>
  <c r="E72" i="6"/>
  <c r="F72" i="6"/>
  <c r="H72" i="6"/>
  <c r="I72" i="6"/>
  <c r="L72" i="6"/>
  <c r="N72" i="6"/>
  <c r="R72" i="6"/>
  <c r="Q72" i="6" s="1"/>
  <c r="S72" i="6" s="1"/>
  <c r="T72" i="6"/>
  <c r="C73" i="6"/>
  <c r="D73" i="6"/>
  <c r="E73" i="6"/>
  <c r="F73" i="6"/>
  <c r="H73" i="6"/>
  <c r="I73" i="6"/>
  <c r="N73" i="6"/>
  <c r="R73" i="6"/>
  <c r="Q73" i="6" s="1"/>
  <c r="S73" i="6" s="1"/>
  <c r="T73" i="6"/>
  <c r="C74" i="6"/>
  <c r="D74" i="6"/>
  <c r="L74" i="6" s="1"/>
  <c r="E74" i="6"/>
  <c r="F74" i="6"/>
  <c r="H74" i="6"/>
  <c r="I74" i="6"/>
  <c r="N74" i="6"/>
  <c r="R74" i="6"/>
  <c r="Q74" i="6" s="1"/>
  <c r="S74" i="6" s="1"/>
  <c r="T74" i="6"/>
  <c r="C75" i="6"/>
  <c r="D75" i="6"/>
  <c r="L75" i="6" s="1"/>
  <c r="E75" i="6"/>
  <c r="F75" i="6"/>
  <c r="H75" i="6"/>
  <c r="I75" i="6"/>
  <c r="N75" i="6"/>
  <c r="R75" i="6"/>
  <c r="Q75" i="6" s="1"/>
  <c r="S75" i="6"/>
  <c r="T75" i="6"/>
  <c r="C76" i="6"/>
  <c r="D76" i="6"/>
  <c r="E76" i="6"/>
  <c r="F76" i="6"/>
  <c r="H76" i="6"/>
  <c r="I76" i="6"/>
  <c r="L76" i="6"/>
  <c r="N76" i="6"/>
  <c r="R76" i="6"/>
  <c r="Q76" i="6" s="1"/>
  <c r="S76" i="6"/>
  <c r="T76" i="6"/>
  <c r="C77" i="6"/>
  <c r="D77" i="6"/>
  <c r="L77" i="6" s="1"/>
  <c r="E77" i="6"/>
  <c r="F77" i="6"/>
  <c r="H77" i="6"/>
  <c r="I77" i="6"/>
  <c r="N77" i="6"/>
  <c r="R77" i="6"/>
  <c r="Q77" i="6" s="1"/>
  <c r="S77" i="6" s="1"/>
  <c r="T77" i="6"/>
  <c r="C78" i="6"/>
  <c r="D78" i="6"/>
  <c r="E78" i="6"/>
  <c r="F78" i="6"/>
  <c r="H78" i="6"/>
  <c r="I78" i="6"/>
  <c r="L78" i="6" s="1"/>
  <c r="N78" i="6"/>
  <c r="R78" i="6"/>
  <c r="Q78" i="6" s="1"/>
  <c r="S78" i="6" s="1"/>
  <c r="T78" i="6"/>
  <c r="C79" i="6"/>
  <c r="D79" i="6"/>
  <c r="E79" i="6"/>
  <c r="F79" i="6"/>
  <c r="H79" i="6"/>
  <c r="I79" i="6"/>
  <c r="N79" i="6"/>
  <c r="R79" i="6"/>
  <c r="Q79" i="6" s="1"/>
  <c r="S79" i="6" s="1"/>
  <c r="S1074" i="6" s="1"/>
  <c r="T79" i="6"/>
  <c r="C80" i="6"/>
  <c r="D80" i="6"/>
  <c r="E80" i="6"/>
  <c r="F80" i="6"/>
  <c r="H80" i="6"/>
  <c r="I80" i="6"/>
  <c r="L80" i="6" s="1"/>
  <c r="N80" i="6"/>
  <c r="R80" i="6"/>
  <c r="Q80" i="6" s="1"/>
  <c r="S80" i="6" s="1"/>
  <c r="T80" i="6"/>
  <c r="C81" i="6"/>
  <c r="D81" i="6"/>
  <c r="E81" i="6"/>
  <c r="F81" i="6"/>
  <c r="H81" i="6"/>
  <c r="I81" i="6"/>
  <c r="N81" i="6"/>
  <c r="R81" i="6"/>
  <c r="Q81" i="6" s="1"/>
  <c r="S81" i="6" s="1"/>
  <c r="T81" i="6"/>
  <c r="C82" i="6"/>
  <c r="D82" i="6"/>
  <c r="E82" i="6"/>
  <c r="F82" i="6"/>
  <c r="H82" i="6"/>
  <c r="I82" i="6"/>
  <c r="N82" i="6"/>
  <c r="R82" i="6"/>
  <c r="Q82" i="6" s="1"/>
  <c r="S82" i="6" s="1"/>
  <c r="T82" i="6"/>
  <c r="C83" i="6"/>
  <c r="D83" i="6"/>
  <c r="L83" i="6" s="1"/>
  <c r="E83" i="6"/>
  <c r="F83" i="6"/>
  <c r="H83" i="6"/>
  <c r="I83" i="6"/>
  <c r="N83" i="6"/>
  <c r="R83" i="6"/>
  <c r="Q83" i="6" s="1"/>
  <c r="S83" i="6"/>
  <c r="T83" i="6"/>
  <c r="C84" i="6"/>
  <c r="D84" i="6"/>
  <c r="L84" i="6" s="1"/>
  <c r="E84" i="6"/>
  <c r="F84" i="6"/>
  <c r="H84" i="6"/>
  <c r="I84" i="6"/>
  <c r="N84" i="6"/>
  <c r="R84" i="6"/>
  <c r="Q84" i="6" s="1"/>
  <c r="S84" i="6"/>
  <c r="T84" i="6"/>
  <c r="C85" i="6"/>
  <c r="D85" i="6"/>
  <c r="L85" i="6" s="1"/>
  <c r="E85" i="6"/>
  <c r="F85" i="6"/>
  <c r="H85" i="6"/>
  <c r="I85" i="6"/>
  <c r="N85" i="6"/>
  <c r="R85" i="6"/>
  <c r="Q85" i="6" s="1"/>
  <c r="S85" i="6"/>
  <c r="T85" i="6"/>
  <c r="C86" i="6"/>
  <c r="D86" i="6"/>
  <c r="E86" i="6"/>
  <c r="F86" i="6"/>
  <c r="H86" i="6"/>
  <c r="I86" i="6"/>
  <c r="L86" i="6"/>
  <c r="N86" i="6"/>
  <c r="R86" i="6"/>
  <c r="Q86" i="6" s="1"/>
  <c r="S86" i="6" s="1"/>
  <c r="T86" i="6"/>
  <c r="C87" i="6"/>
  <c r="D87" i="6"/>
  <c r="L87" i="6" s="1"/>
  <c r="E87" i="6"/>
  <c r="F87" i="6"/>
  <c r="H87" i="6"/>
  <c r="I87" i="6"/>
  <c r="N87" i="6"/>
  <c r="R87" i="6"/>
  <c r="Q87" i="6" s="1"/>
  <c r="S87" i="6"/>
  <c r="T87" i="6"/>
  <c r="C88" i="6"/>
  <c r="D88" i="6"/>
  <c r="E88" i="6"/>
  <c r="F88" i="6"/>
  <c r="H88" i="6"/>
  <c r="I88" i="6"/>
  <c r="N88" i="6"/>
  <c r="R88" i="6"/>
  <c r="Q88" i="6" s="1"/>
  <c r="S88" i="6" s="1"/>
  <c r="T88" i="6"/>
  <c r="C89" i="6"/>
  <c r="D89" i="6"/>
  <c r="E89" i="6"/>
  <c r="F89" i="6"/>
  <c r="H89" i="6"/>
  <c r="I89" i="6"/>
  <c r="N89" i="6"/>
  <c r="R89" i="6"/>
  <c r="Q89" i="6" s="1"/>
  <c r="S89" i="6" s="1"/>
  <c r="T89" i="6"/>
  <c r="T1075" i="6" s="1"/>
  <c r="C90" i="6"/>
  <c r="D90" i="6"/>
  <c r="L90" i="6" s="1"/>
  <c r="E90" i="6"/>
  <c r="F90" i="6"/>
  <c r="H90" i="6"/>
  <c r="I90" i="6"/>
  <c r="N90" i="6"/>
  <c r="R90" i="6"/>
  <c r="T90" i="6"/>
  <c r="C91" i="6"/>
  <c r="D91" i="6"/>
  <c r="E91" i="6"/>
  <c r="F91" i="6"/>
  <c r="H91" i="6"/>
  <c r="I91" i="6"/>
  <c r="I1075" i="6" s="1"/>
  <c r="N91" i="6"/>
  <c r="R91" i="6"/>
  <c r="Q91" i="6" s="1"/>
  <c r="S91" i="6"/>
  <c r="T91" i="6"/>
  <c r="C92" i="6"/>
  <c r="D92" i="6"/>
  <c r="E92" i="6"/>
  <c r="L92" i="6" s="1"/>
  <c r="F92" i="6"/>
  <c r="H92" i="6"/>
  <c r="I92" i="6"/>
  <c r="N92" i="6"/>
  <c r="R92" i="6"/>
  <c r="Q92" i="6" s="1"/>
  <c r="S92" i="6"/>
  <c r="T92" i="6"/>
  <c r="C93" i="6"/>
  <c r="D93" i="6"/>
  <c r="E93" i="6"/>
  <c r="F93" i="6"/>
  <c r="H93" i="6"/>
  <c r="I93" i="6"/>
  <c r="N93" i="6"/>
  <c r="R93" i="6"/>
  <c r="Q93" i="6" s="1"/>
  <c r="S93" i="6" s="1"/>
  <c r="T93" i="6"/>
  <c r="C94" i="6"/>
  <c r="D94" i="6"/>
  <c r="E94" i="6"/>
  <c r="F94" i="6"/>
  <c r="H94" i="6"/>
  <c r="I94" i="6"/>
  <c r="L94" i="6" s="1"/>
  <c r="N94" i="6"/>
  <c r="R94" i="6"/>
  <c r="Q94" i="6" s="1"/>
  <c r="S94" i="6" s="1"/>
  <c r="T94" i="6"/>
  <c r="C95" i="6"/>
  <c r="D95" i="6"/>
  <c r="E95" i="6"/>
  <c r="F95" i="6"/>
  <c r="H95" i="6"/>
  <c r="I95" i="6"/>
  <c r="N95" i="6"/>
  <c r="R95" i="6"/>
  <c r="Q95" i="6" s="1"/>
  <c r="S95" i="6" s="1"/>
  <c r="T95" i="6"/>
  <c r="C96" i="6"/>
  <c r="D96" i="6"/>
  <c r="E96" i="6"/>
  <c r="F96" i="6"/>
  <c r="H96" i="6"/>
  <c r="I96" i="6"/>
  <c r="N96" i="6"/>
  <c r="R96" i="6"/>
  <c r="Q96" i="6" s="1"/>
  <c r="S96" i="6" s="1"/>
  <c r="T96" i="6"/>
  <c r="C97" i="6"/>
  <c r="D97" i="6"/>
  <c r="E97" i="6"/>
  <c r="L97" i="6" s="1"/>
  <c r="F97" i="6"/>
  <c r="H97" i="6"/>
  <c r="I97" i="6"/>
  <c r="N97" i="6"/>
  <c r="R97" i="6"/>
  <c r="Q97" i="6" s="1"/>
  <c r="S97" i="6"/>
  <c r="T97" i="6"/>
  <c r="C98" i="6"/>
  <c r="D98" i="6"/>
  <c r="L98" i="6" s="1"/>
  <c r="E98" i="6"/>
  <c r="F98" i="6"/>
  <c r="H98" i="6"/>
  <c r="I98" i="6"/>
  <c r="N98" i="6"/>
  <c r="R98" i="6"/>
  <c r="Q98" i="6" s="1"/>
  <c r="S98" i="6"/>
  <c r="T98" i="6"/>
  <c r="C99" i="6"/>
  <c r="D99" i="6"/>
  <c r="E99" i="6"/>
  <c r="F99" i="6"/>
  <c r="H99" i="6"/>
  <c r="I99" i="6"/>
  <c r="L99" i="6"/>
  <c r="N99" i="6"/>
  <c r="R99" i="6"/>
  <c r="Q99" i="6" s="1"/>
  <c r="S99" i="6"/>
  <c r="T99" i="6"/>
  <c r="C100" i="6"/>
  <c r="D100" i="6"/>
  <c r="L100" i="6" s="1"/>
  <c r="E100" i="6"/>
  <c r="F100" i="6"/>
  <c r="H100" i="6"/>
  <c r="I100" i="6"/>
  <c r="N100" i="6"/>
  <c r="R100" i="6"/>
  <c r="Q100" i="6" s="1"/>
  <c r="S100" i="6"/>
  <c r="T100" i="6"/>
  <c r="C101" i="6"/>
  <c r="D101" i="6"/>
  <c r="L101" i="6" s="1"/>
  <c r="E101" i="6"/>
  <c r="F101" i="6"/>
  <c r="H101" i="6"/>
  <c r="I101" i="6"/>
  <c r="N101" i="6"/>
  <c r="R101" i="6"/>
  <c r="Q101" i="6" s="1"/>
  <c r="S101" i="6" s="1"/>
  <c r="T101" i="6"/>
  <c r="C102" i="6"/>
  <c r="D102" i="6"/>
  <c r="E102" i="6"/>
  <c r="F102" i="6"/>
  <c r="H102" i="6"/>
  <c r="I102" i="6"/>
  <c r="L102" i="6" s="1"/>
  <c r="N102" i="6"/>
  <c r="R102" i="6"/>
  <c r="Q102" i="6" s="1"/>
  <c r="S102" i="6" s="1"/>
  <c r="T102" i="6"/>
  <c r="C103" i="6"/>
  <c r="D103" i="6"/>
  <c r="E103" i="6"/>
  <c r="F103" i="6"/>
  <c r="H103" i="6"/>
  <c r="I103" i="6"/>
  <c r="N103" i="6"/>
  <c r="R103" i="6"/>
  <c r="Q103" i="6" s="1"/>
  <c r="S103" i="6" s="1"/>
  <c r="T103" i="6"/>
  <c r="C104" i="6"/>
  <c r="D104" i="6"/>
  <c r="E104" i="6"/>
  <c r="F104" i="6"/>
  <c r="H104" i="6"/>
  <c r="I104" i="6"/>
  <c r="L104" i="6" s="1"/>
  <c r="N104" i="6"/>
  <c r="R104" i="6"/>
  <c r="Q104" i="6" s="1"/>
  <c r="S104" i="6" s="1"/>
  <c r="T104" i="6"/>
  <c r="C105" i="6"/>
  <c r="D105" i="6"/>
  <c r="E105" i="6"/>
  <c r="F105" i="6"/>
  <c r="H105" i="6"/>
  <c r="I105" i="6"/>
  <c r="N105" i="6"/>
  <c r="R105" i="6"/>
  <c r="Q105" i="6" s="1"/>
  <c r="S105" i="6"/>
  <c r="T105" i="6"/>
  <c r="C106" i="6"/>
  <c r="D106" i="6"/>
  <c r="L106" i="6" s="1"/>
  <c r="E106" i="6"/>
  <c r="F106" i="6"/>
  <c r="H106" i="6"/>
  <c r="I106" i="6"/>
  <c r="N106" i="6"/>
  <c r="R106" i="6"/>
  <c r="Q106" i="6" s="1"/>
  <c r="S106" i="6" s="1"/>
  <c r="T106" i="6"/>
  <c r="C107" i="6"/>
  <c r="D107" i="6"/>
  <c r="L107" i="6" s="1"/>
  <c r="E107" i="6"/>
  <c r="F107" i="6"/>
  <c r="H107" i="6"/>
  <c r="I107" i="6"/>
  <c r="N107" i="6"/>
  <c r="R107" i="6"/>
  <c r="Q107" i="6" s="1"/>
  <c r="S107" i="6"/>
  <c r="T107" i="6"/>
  <c r="C108" i="6"/>
  <c r="D108" i="6"/>
  <c r="E108" i="6"/>
  <c r="F108" i="6"/>
  <c r="H108" i="6"/>
  <c r="I108" i="6"/>
  <c r="L108" i="6"/>
  <c r="N108" i="6"/>
  <c r="R108" i="6"/>
  <c r="Q108" i="6" s="1"/>
  <c r="S108" i="6"/>
  <c r="T108" i="6"/>
  <c r="C109" i="6"/>
  <c r="D109" i="6"/>
  <c r="E109" i="6"/>
  <c r="F109" i="6"/>
  <c r="L109" i="6" s="1"/>
  <c r="H109" i="6"/>
  <c r="I109" i="6"/>
  <c r="N109" i="6"/>
  <c r="R109" i="6"/>
  <c r="Q109" i="6" s="1"/>
  <c r="S109" i="6"/>
  <c r="T109" i="6"/>
  <c r="C110" i="6"/>
  <c r="D110" i="6"/>
  <c r="E110" i="6"/>
  <c r="F110" i="6"/>
  <c r="H110" i="6"/>
  <c r="I110" i="6"/>
  <c r="L110" i="6"/>
  <c r="N110" i="6"/>
  <c r="R110" i="6"/>
  <c r="T110" i="6"/>
  <c r="C111" i="6"/>
  <c r="D111" i="6"/>
  <c r="E111" i="6"/>
  <c r="F111" i="6"/>
  <c r="H111" i="6"/>
  <c r="I111" i="6"/>
  <c r="I1077" i="6" s="1"/>
  <c r="N111" i="6"/>
  <c r="R111" i="6"/>
  <c r="Q111" i="6" s="1"/>
  <c r="S111" i="6"/>
  <c r="T111" i="6"/>
  <c r="C112" i="6"/>
  <c r="D112" i="6"/>
  <c r="E112" i="6"/>
  <c r="F112" i="6"/>
  <c r="H112" i="6"/>
  <c r="I112" i="6"/>
  <c r="L112" i="6"/>
  <c r="N112" i="6"/>
  <c r="R112" i="6"/>
  <c r="Q112" i="6" s="1"/>
  <c r="S112" i="6" s="1"/>
  <c r="T112" i="6"/>
  <c r="C113" i="6"/>
  <c r="D113" i="6"/>
  <c r="E113" i="6"/>
  <c r="F113" i="6"/>
  <c r="H113" i="6"/>
  <c r="I113" i="6"/>
  <c r="N113" i="6"/>
  <c r="R113" i="6"/>
  <c r="Q113" i="6" s="1"/>
  <c r="S113" i="6" s="1"/>
  <c r="T113" i="6"/>
  <c r="C114" i="6"/>
  <c r="D114" i="6"/>
  <c r="E114" i="6"/>
  <c r="F114" i="6"/>
  <c r="H114" i="6"/>
  <c r="I114" i="6"/>
  <c r="N114" i="6"/>
  <c r="R114" i="6"/>
  <c r="Q114" i="6" s="1"/>
  <c r="S114" i="6"/>
  <c r="T114" i="6"/>
  <c r="C115" i="6"/>
  <c r="D115" i="6"/>
  <c r="E115" i="6"/>
  <c r="F115" i="6"/>
  <c r="H115" i="6"/>
  <c r="I115" i="6"/>
  <c r="L115" i="6"/>
  <c r="N115" i="6"/>
  <c r="R115" i="6"/>
  <c r="Q115" i="6" s="1"/>
  <c r="S115" i="6"/>
  <c r="T115" i="6"/>
  <c r="C116" i="6"/>
  <c r="D116" i="6"/>
  <c r="E116" i="6"/>
  <c r="F116" i="6"/>
  <c r="H116" i="6"/>
  <c r="I116" i="6"/>
  <c r="L116" i="6"/>
  <c r="N116" i="6"/>
  <c r="R116" i="6"/>
  <c r="Q116" i="6" s="1"/>
  <c r="S116" i="6"/>
  <c r="T116" i="6"/>
  <c r="C117" i="6"/>
  <c r="D117" i="6"/>
  <c r="L117" i="6" s="1"/>
  <c r="E117" i="6"/>
  <c r="F117" i="6"/>
  <c r="H117" i="6"/>
  <c r="I117" i="6"/>
  <c r="N117" i="6"/>
  <c r="R117" i="6"/>
  <c r="Q117" i="6" s="1"/>
  <c r="S117" i="6"/>
  <c r="T117" i="6"/>
  <c r="C118" i="6"/>
  <c r="D118" i="6"/>
  <c r="E118" i="6"/>
  <c r="F118" i="6"/>
  <c r="H118" i="6"/>
  <c r="I118" i="6"/>
  <c r="L118" i="6"/>
  <c r="N118" i="6"/>
  <c r="R118" i="6"/>
  <c r="Q118" i="6" s="1"/>
  <c r="S118" i="6" s="1"/>
  <c r="T118" i="6"/>
  <c r="C119" i="6"/>
  <c r="D119" i="6"/>
  <c r="E119" i="6"/>
  <c r="F119" i="6"/>
  <c r="H119" i="6"/>
  <c r="I119" i="6"/>
  <c r="N119" i="6"/>
  <c r="R119" i="6"/>
  <c r="Q119" i="6" s="1"/>
  <c r="S119" i="6" s="1"/>
  <c r="T119" i="6"/>
  <c r="C120" i="6"/>
  <c r="D120" i="6"/>
  <c r="E120" i="6"/>
  <c r="F120" i="6"/>
  <c r="H120" i="6"/>
  <c r="I120" i="6"/>
  <c r="N120" i="6"/>
  <c r="R120" i="6"/>
  <c r="Q120" i="6" s="1"/>
  <c r="S120" i="6" s="1"/>
  <c r="T120" i="6"/>
  <c r="C121" i="6"/>
  <c r="D121" i="6"/>
  <c r="E121" i="6"/>
  <c r="F121" i="6"/>
  <c r="F1078" i="6" s="1"/>
  <c r="H121" i="6"/>
  <c r="I121" i="6"/>
  <c r="N121" i="6"/>
  <c r="R121" i="6"/>
  <c r="Q121" i="6" s="1"/>
  <c r="S121" i="6" s="1"/>
  <c r="T121" i="6"/>
  <c r="C122" i="6"/>
  <c r="D122" i="6"/>
  <c r="E122" i="6"/>
  <c r="F122" i="6"/>
  <c r="H122" i="6"/>
  <c r="I122" i="6"/>
  <c r="N122" i="6"/>
  <c r="R122" i="6"/>
  <c r="Q122" i="6" s="1"/>
  <c r="S122" i="6" s="1"/>
  <c r="T122" i="6"/>
  <c r="C123" i="6"/>
  <c r="D123" i="6"/>
  <c r="L123" i="6" s="1"/>
  <c r="E123" i="6"/>
  <c r="F123" i="6"/>
  <c r="H123" i="6"/>
  <c r="I123" i="6"/>
  <c r="N123" i="6"/>
  <c r="R123" i="6"/>
  <c r="Q123" i="6" s="1"/>
  <c r="S123" i="6"/>
  <c r="T123" i="6"/>
  <c r="C124" i="6"/>
  <c r="D124" i="6"/>
  <c r="E124" i="6"/>
  <c r="F124" i="6"/>
  <c r="H124" i="6"/>
  <c r="I124" i="6"/>
  <c r="N124" i="6"/>
  <c r="R124" i="6"/>
  <c r="Q124" i="6" s="1"/>
  <c r="S124" i="6"/>
  <c r="T124" i="6"/>
  <c r="C125" i="6"/>
  <c r="D125" i="6"/>
  <c r="L125" i="6" s="1"/>
  <c r="E125" i="6"/>
  <c r="F125" i="6"/>
  <c r="H125" i="6"/>
  <c r="I125" i="6"/>
  <c r="N125" i="6"/>
  <c r="R125" i="6"/>
  <c r="Q125" i="6" s="1"/>
  <c r="S125" i="6"/>
  <c r="T125" i="6"/>
  <c r="C126" i="6"/>
  <c r="D126" i="6"/>
  <c r="E126" i="6"/>
  <c r="F126" i="6"/>
  <c r="H126" i="6"/>
  <c r="I126" i="6"/>
  <c r="L126" i="6"/>
  <c r="N126" i="6"/>
  <c r="R126" i="6"/>
  <c r="Q126" i="6" s="1"/>
  <c r="S126" i="6" s="1"/>
  <c r="T126" i="6"/>
  <c r="C127" i="6"/>
  <c r="D127" i="6"/>
  <c r="L127" i="6" s="1"/>
  <c r="E127" i="6"/>
  <c r="F127" i="6"/>
  <c r="H127" i="6"/>
  <c r="I127" i="6"/>
  <c r="N127" i="6"/>
  <c r="R127" i="6"/>
  <c r="Q127" i="6" s="1"/>
  <c r="S127" i="6"/>
  <c r="S1078" i="6" s="1"/>
  <c r="T127" i="6"/>
  <c r="C128" i="6"/>
  <c r="D128" i="6"/>
  <c r="E128" i="6"/>
  <c r="F128" i="6"/>
  <c r="H128" i="6"/>
  <c r="I128" i="6"/>
  <c r="L128" i="6"/>
  <c r="N128" i="6"/>
  <c r="R128" i="6"/>
  <c r="Q128" i="6" s="1"/>
  <c r="S128" i="6" s="1"/>
  <c r="T128" i="6"/>
  <c r="C129" i="6"/>
  <c r="D129" i="6"/>
  <c r="E129" i="6"/>
  <c r="F129" i="6"/>
  <c r="H129" i="6"/>
  <c r="I129" i="6"/>
  <c r="N129" i="6"/>
  <c r="R129" i="6"/>
  <c r="Q129" i="6" s="1"/>
  <c r="S129" i="6" s="1"/>
  <c r="T129" i="6"/>
  <c r="C130" i="6"/>
  <c r="D130" i="6"/>
  <c r="L130" i="6" s="1"/>
  <c r="E130" i="6"/>
  <c r="F130" i="6"/>
  <c r="H130" i="6"/>
  <c r="I130" i="6"/>
  <c r="N130" i="6"/>
  <c r="R130" i="6"/>
  <c r="Q130" i="6" s="1"/>
  <c r="S130" i="6" s="1"/>
  <c r="T130" i="6"/>
  <c r="C131" i="6"/>
  <c r="D131" i="6"/>
  <c r="L131" i="6" s="1"/>
  <c r="E131" i="6"/>
  <c r="F131" i="6"/>
  <c r="H131" i="6"/>
  <c r="I131" i="6"/>
  <c r="N131" i="6"/>
  <c r="R131" i="6"/>
  <c r="Q131" i="6" s="1"/>
  <c r="S131" i="6"/>
  <c r="T131" i="6"/>
  <c r="C132" i="6"/>
  <c r="D132" i="6"/>
  <c r="E132" i="6"/>
  <c r="F132" i="6"/>
  <c r="H132" i="6"/>
  <c r="I132" i="6"/>
  <c r="L132" i="6"/>
  <c r="N132" i="6"/>
  <c r="R132" i="6"/>
  <c r="Q132" i="6" s="1"/>
  <c r="S132" i="6"/>
  <c r="T132" i="6"/>
  <c r="C133" i="6"/>
  <c r="D133" i="6"/>
  <c r="E133" i="6"/>
  <c r="F133" i="6"/>
  <c r="H133" i="6"/>
  <c r="I133" i="6"/>
  <c r="N133" i="6"/>
  <c r="R133" i="6"/>
  <c r="Q133" i="6" s="1"/>
  <c r="S133" i="6" s="1"/>
  <c r="T133" i="6"/>
  <c r="C134" i="6"/>
  <c r="D134" i="6"/>
  <c r="E134" i="6"/>
  <c r="F134" i="6"/>
  <c r="H134" i="6"/>
  <c r="I134" i="6"/>
  <c r="L134" i="6" s="1"/>
  <c r="N134" i="6"/>
  <c r="R134" i="6"/>
  <c r="Q134" i="6" s="1"/>
  <c r="S134" i="6" s="1"/>
  <c r="T134" i="6"/>
  <c r="C135" i="6"/>
  <c r="D135" i="6"/>
  <c r="E135" i="6"/>
  <c r="F135" i="6"/>
  <c r="H135" i="6"/>
  <c r="I135" i="6"/>
  <c r="N135" i="6"/>
  <c r="R135" i="6"/>
  <c r="Q135" i="6" s="1"/>
  <c r="S135" i="6"/>
  <c r="T135" i="6"/>
  <c r="C136" i="6"/>
  <c r="D136" i="6"/>
  <c r="E136" i="6"/>
  <c r="F136" i="6"/>
  <c r="H136" i="6"/>
  <c r="I136" i="6"/>
  <c r="L136" i="6"/>
  <c r="N136" i="6"/>
  <c r="R136" i="6"/>
  <c r="T136" i="6"/>
  <c r="C137" i="6"/>
  <c r="D137" i="6"/>
  <c r="E137" i="6"/>
  <c r="L137" i="6" s="1"/>
  <c r="F137" i="6"/>
  <c r="H137" i="6"/>
  <c r="I137" i="6"/>
  <c r="N137" i="6"/>
  <c r="R137" i="6"/>
  <c r="Q137" i="6" s="1"/>
  <c r="S137" i="6" s="1"/>
  <c r="T137" i="6"/>
  <c r="C138" i="6"/>
  <c r="D138" i="6"/>
  <c r="L138" i="6" s="1"/>
  <c r="E138" i="6"/>
  <c r="F138" i="6"/>
  <c r="H138" i="6"/>
  <c r="I138" i="6"/>
  <c r="N138" i="6"/>
  <c r="R138" i="6"/>
  <c r="Q138" i="6" s="1"/>
  <c r="S138" i="6" s="1"/>
  <c r="T138" i="6"/>
  <c r="C139" i="6"/>
  <c r="D139" i="6"/>
  <c r="L139" i="6" s="1"/>
  <c r="E139" i="6"/>
  <c r="F139" i="6"/>
  <c r="H139" i="6"/>
  <c r="I139" i="6"/>
  <c r="N139" i="6"/>
  <c r="R139" i="6"/>
  <c r="Q139" i="6" s="1"/>
  <c r="S139" i="6"/>
  <c r="T139" i="6"/>
  <c r="C140" i="6"/>
  <c r="D140" i="6"/>
  <c r="L140" i="6" s="1"/>
  <c r="E140" i="6"/>
  <c r="F140" i="6"/>
  <c r="H140" i="6"/>
  <c r="I140" i="6"/>
  <c r="N140" i="6"/>
  <c r="R140" i="6"/>
  <c r="Q140" i="6" s="1"/>
  <c r="S140" i="6"/>
  <c r="T140" i="6"/>
  <c r="C141" i="6"/>
  <c r="D141" i="6"/>
  <c r="E141" i="6"/>
  <c r="F141" i="6"/>
  <c r="H141" i="6"/>
  <c r="I141" i="6"/>
  <c r="N141" i="6"/>
  <c r="R141" i="6"/>
  <c r="Q141" i="6" s="1"/>
  <c r="S141" i="6"/>
  <c r="T141" i="6"/>
  <c r="C142" i="6"/>
  <c r="D142" i="6"/>
  <c r="E142" i="6"/>
  <c r="F142" i="6"/>
  <c r="H142" i="6"/>
  <c r="I142" i="6"/>
  <c r="L142" i="6"/>
  <c r="N142" i="6"/>
  <c r="R142" i="6"/>
  <c r="Q142" i="6" s="1"/>
  <c r="S142" i="6" s="1"/>
  <c r="T142" i="6"/>
  <c r="C143" i="6"/>
  <c r="D143" i="6"/>
  <c r="E143" i="6"/>
  <c r="F143" i="6"/>
  <c r="H143" i="6"/>
  <c r="I143" i="6"/>
  <c r="N143" i="6"/>
  <c r="R143" i="6"/>
  <c r="Q143" i="6" s="1"/>
  <c r="S143" i="6"/>
  <c r="T143" i="6"/>
  <c r="C144" i="6"/>
  <c r="D144" i="6"/>
  <c r="E144" i="6"/>
  <c r="F144" i="6"/>
  <c r="H144" i="6"/>
  <c r="I144" i="6"/>
  <c r="N144" i="6"/>
  <c r="R144" i="6"/>
  <c r="Q144" i="6" s="1"/>
  <c r="S144" i="6" s="1"/>
  <c r="T144" i="6"/>
  <c r="C145" i="6"/>
  <c r="D145" i="6"/>
  <c r="E145" i="6"/>
  <c r="F145" i="6"/>
  <c r="H145" i="6"/>
  <c r="I145" i="6"/>
  <c r="N145" i="6"/>
  <c r="R145" i="6"/>
  <c r="Q145" i="6" s="1"/>
  <c r="S145" i="6" s="1"/>
  <c r="T145" i="6"/>
  <c r="C146" i="6"/>
  <c r="D146" i="6"/>
  <c r="L146" i="6" s="1"/>
  <c r="E146" i="6"/>
  <c r="F146" i="6"/>
  <c r="H146" i="6"/>
  <c r="I146" i="6"/>
  <c r="N146" i="6"/>
  <c r="R146" i="6"/>
  <c r="Q146" i="6" s="1"/>
  <c r="S146" i="6" s="1"/>
  <c r="T146" i="6"/>
  <c r="C147" i="6"/>
  <c r="D147" i="6"/>
  <c r="L147" i="6" s="1"/>
  <c r="E147" i="6"/>
  <c r="F147" i="6"/>
  <c r="H147" i="6"/>
  <c r="I147" i="6"/>
  <c r="N147" i="6"/>
  <c r="R147" i="6"/>
  <c r="Q147" i="6" s="1"/>
  <c r="S147" i="6"/>
  <c r="T147" i="6"/>
  <c r="C148" i="6"/>
  <c r="D148" i="6"/>
  <c r="E148" i="6"/>
  <c r="L148" i="6" s="1"/>
  <c r="F148" i="6"/>
  <c r="H148" i="6"/>
  <c r="I148" i="6"/>
  <c r="N148" i="6"/>
  <c r="R148" i="6"/>
  <c r="Q148" i="6" s="1"/>
  <c r="S148" i="6"/>
  <c r="T148" i="6"/>
  <c r="C149" i="6"/>
  <c r="D149" i="6"/>
  <c r="E149" i="6"/>
  <c r="F149" i="6"/>
  <c r="H149" i="6"/>
  <c r="I149" i="6"/>
  <c r="N149" i="6"/>
  <c r="R149" i="6"/>
  <c r="Q149" i="6" s="1"/>
  <c r="S149" i="6" s="1"/>
  <c r="T149" i="6"/>
  <c r="C150" i="6"/>
  <c r="D150" i="6"/>
  <c r="E150" i="6"/>
  <c r="F150" i="6"/>
  <c r="H150" i="6"/>
  <c r="I150" i="6"/>
  <c r="L150" i="6" s="1"/>
  <c r="N150" i="6"/>
  <c r="R150" i="6"/>
  <c r="Q150" i="6" s="1"/>
  <c r="S150" i="6" s="1"/>
  <c r="T150" i="6"/>
  <c r="C151" i="6"/>
  <c r="D151" i="6"/>
  <c r="E151" i="6"/>
  <c r="F151" i="6"/>
  <c r="F1080" i="6" s="1"/>
  <c r="H151" i="6"/>
  <c r="I151" i="6"/>
  <c r="N151" i="6"/>
  <c r="R151" i="6"/>
  <c r="Q151" i="6" s="1"/>
  <c r="S151" i="6" s="1"/>
  <c r="T151" i="6"/>
  <c r="C152" i="6"/>
  <c r="D152" i="6"/>
  <c r="E152" i="6"/>
  <c r="L152" i="6" s="1"/>
  <c r="F152" i="6"/>
  <c r="H152" i="6"/>
  <c r="I152" i="6"/>
  <c r="N152" i="6"/>
  <c r="R152" i="6"/>
  <c r="Q152" i="6" s="1"/>
  <c r="S152" i="6" s="1"/>
  <c r="T152" i="6"/>
  <c r="C153" i="6"/>
  <c r="D153" i="6"/>
  <c r="E153" i="6"/>
  <c r="L153" i="6" s="1"/>
  <c r="F153" i="6"/>
  <c r="H153" i="6"/>
  <c r="I153" i="6"/>
  <c r="N153" i="6"/>
  <c r="R153" i="6"/>
  <c r="Q153" i="6" s="1"/>
  <c r="S153" i="6" s="1"/>
  <c r="S1080" i="6" s="1"/>
  <c r="T153" i="6"/>
  <c r="C154" i="6"/>
  <c r="D154" i="6"/>
  <c r="L154" i="6" s="1"/>
  <c r="E154" i="6"/>
  <c r="F154" i="6"/>
  <c r="H154" i="6"/>
  <c r="I154" i="6"/>
  <c r="N154" i="6"/>
  <c r="N1080" i="6" s="1"/>
  <c r="R154" i="6"/>
  <c r="Q154" i="6" s="1"/>
  <c r="S154" i="6" s="1"/>
  <c r="T154" i="6"/>
  <c r="C155" i="6"/>
  <c r="D155" i="6"/>
  <c r="E155" i="6"/>
  <c r="F155" i="6"/>
  <c r="H155" i="6"/>
  <c r="I155" i="6"/>
  <c r="N155" i="6"/>
  <c r="R155" i="6"/>
  <c r="Q155" i="6" s="1"/>
  <c r="S155" i="6"/>
  <c r="T155" i="6"/>
  <c r="C156" i="6"/>
  <c r="D156" i="6"/>
  <c r="L156" i="6" s="1"/>
  <c r="E156" i="6"/>
  <c r="F156" i="6"/>
  <c r="H156" i="6"/>
  <c r="I156" i="6"/>
  <c r="N156" i="6"/>
  <c r="R156" i="6"/>
  <c r="Q156" i="6" s="1"/>
  <c r="S156" i="6"/>
  <c r="T156" i="6"/>
  <c r="C157" i="6"/>
  <c r="D157" i="6"/>
  <c r="E157" i="6"/>
  <c r="F157" i="6"/>
  <c r="H157" i="6"/>
  <c r="I157" i="6"/>
  <c r="N157" i="6"/>
  <c r="R157" i="6"/>
  <c r="Q157" i="6" s="1"/>
  <c r="S157" i="6"/>
  <c r="T157" i="6"/>
  <c r="C158" i="6"/>
  <c r="D158" i="6"/>
  <c r="E158" i="6"/>
  <c r="F158" i="6"/>
  <c r="H158" i="6"/>
  <c r="I158" i="6"/>
  <c r="L158" i="6"/>
  <c r="N158" i="6"/>
  <c r="R158" i="6"/>
  <c r="Q158" i="6" s="1"/>
  <c r="S158" i="6" s="1"/>
  <c r="T158" i="6"/>
  <c r="C159" i="6"/>
  <c r="D159" i="6"/>
  <c r="E159" i="6"/>
  <c r="F159" i="6"/>
  <c r="H159" i="6"/>
  <c r="I159" i="6"/>
  <c r="N159" i="6"/>
  <c r="R159" i="6"/>
  <c r="Q159" i="6" s="1"/>
  <c r="S159" i="6"/>
  <c r="T159" i="6"/>
  <c r="C160" i="6"/>
  <c r="D160" i="6"/>
  <c r="E160" i="6"/>
  <c r="L160" i="6" s="1"/>
  <c r="F160" i="6"/>
  <c r="H160" i="6"/>
  <c r="I160" i="6"/>
  <c r="N160" i="6"/>
  <c r="R160" i="6"/>
  <c r="Q160" i="6" s="1"/>
  <c r="S160" i="6" s="1"/>
  <c r="T160" i="6"/>
  <c r="C161" i="6"/>
  <c r="D161" i="6"/>
  <c r="E161" i="6"/>
  <c r="F161" i="6"/>
  <c r="H161" i="6"/>
  <c r="I161" i="6"/>
  <c r="N161" i="6"/>
  <c r="R161" i="6"/>
  <c r="Q161" i="6" s="1"/>
  <c r="S161" i="6" s="1"/>
  <c r="T161" i="6"/>
  <c r="C162" i="6"/>
  <c r="D162" i="6"/>
  <c r="L162" i="6" s="1"/>
  <c r="E162" i="6"/>
  <c r="F162" i="6"/>
  <c r="H162" i="6"/>
  <c r="I162" i="6"/>
  <c r="N162" i="6"/>
  <c r="R162" i="6"/>
  <c r="Q162" i="6" s="1"/>
  <c r="S162" i="6" s="1"/>
  <c r="T162" i="6"/>
  <c r="C163" i="6"/>
  <c r="D163" i="6"/>
  <c r="L163" i="6" s="1"/>
  <c r="E163" i="6"/>
  <c r="F163" i="6"/>
  <c r="H163" i="6"/>
  <c r="I163" i="6"/>
  <c r="N163" i="6"/>
  <c r="R163" i="6"/>
  <c r="Q163" i="6" s="1"/>
  <c r="S163" i="6"/>
  <c r="T163" i="6"/>
  <c r="C164" i="6"/>
  <c r="D164" i="6"/>
  <c r="E164" i="6"/>
  <c r="L164" i="6" s="1"/>
  <c r="F164" i="6"/>
  <c r="H164" i="6"/>
  <c r="I164" i="6"/>
  <c r="N164" i="6"/>
  <c r="R164" i="6"/>
  <c r="Q164" i="6" s="1"/>
  <c r="S164" i="6"/>
  <c r="T164" i="6"/>
  <c r="C165" i="6"/>
  <c r="D165" i="6"/>
  <c r="L165" i="6" s="1"/>
  <c r="E165" i="6"/>
  <c r="F165" i="6"/>
  <c r="H165" i="6"/>
  <c r="I165" i="6"/>
  <c r="N165" i="6"/>
  <c r="R165" i="6"/>
  <c r="Q165" i="6" s="1"/>
  <c r="S165" i="6" s="1"/>
  <c r="T165" i="6"/>
  <c r="C166" i="6"/>
  <c r="D166" i="6"/>
  <c r="E166" i="6"/>
  <c r="F166" i="6"/>
  <c r="H166" i="6"/>
  <c r="I166" i="6"/>
  <c r="N166" i="6"/>
  <c r="R166" i="6"/>
  <c r="Q166" i="6" s="1"/>
  <c r="S166" i="6" s="1"/>
  <c r="T166" i="6"/>
  <c r="C167" i="6"/>
  <c r="D167" i="6"/>
  <c r="E167" i="6"/>
  <c r="F167" i="6"/>
  <c r="F1081" i="6" s="1"/>
  <c r="H167" i="6"/>
  <c r="I167" i="6"/>
  <c r="N167" i="6"/>
  <c r="R167" i="6"/>
  <c r="Q167" i="6" s="1"/>
  <c r="S167" i="6" s="1"/>
  <c r="T167" i="6"/>
  <c r="C168" i="6"/>
  <c r="D168" i="6"/>
  <c r="E168" i="6"/>
  <c r="F168" i="6"/>
  <c r="H168" i="6"/>
  <c r="I168" i="6"/>
  <c r="L168" i="6" s="1"/>
  <c r="N168" i="6"/>
  <c r="R168" i="6"/>
  <c r="Q168" i="6" s="1"/>
  <c r="S168" i="6" s="1"/>
  <c r="T168" i="6"/>
  <c r="C169" i="6"/>
  <c r="D169" i="6"/>
  <c r="E169" i="6"/>
  <c r="F169" i="6"/>
  <c r="H169" i="6"/>
  <c r="I169" i="6"/>
  <c r="N169" i="6"/>
  <c r="R169" i="6"/>
  <c r="Q169" i="6" s="1"/>
  <c r="S169" i="6" s="1"/>
  <c r="T169" i="6"/>
  <c r="C170" i="6"/>
  <c r="D170" i="6"/>
  <c r="E170" i="6"/>
  <c r="F170" i="6"/>
  <c r="H170" i="6"/>
  <c r="I170" i="6"/>
  <c r="N170" i="6"/>
  <c r="R170" i="6"/>
  <c r="Q170" i="6" s="1"/>
  <c r="S170" i="6" s="1"/>
  <c r="T170" i="6"/>
  <c r="C171" i="6"/>
  <c r="D171" i="6"/>
  <c r="L171" i="6" s="1"/>
  <c r="E171" i="6"/>
  <c r="F171" i="6"/>
  <c r="H171" i="6"/>
  <c r="I171" i="6"/>
  <c r="N171" i="6"/>
  <c r="R171" i="6"/>
  <c r="Q171" i="6" s="1"/>
  <c r="S171" i="6"/>
  <c r="T171" i="6"/>
  <c r="C172" i="6"/>
  <c r="D172" i="6"/>
  <c r="L172" i="6" s="1"/>
  <c r="E172" i="6"/>
  <c r="F172" i="6"/>
  <c r="H172" i="6"/>
  <c r="I172" i="6"/>
  <c r="N172" i="6"/>
  <c r="R172" i="6"/>
  <c r="Q172" i="6" s="1"/>
  <c r="S172" i="6"/>
  <c r="T172" i="6"/>
  <c r="C173" i="6"/>
  <c r="D173" i="6"/>
  <c r="L173" i="6" s="1"/>
  <c r="E173" i="6"/>
  <c r="F173" i="6"/>
  <c r="H173" i="6"/>
  <c r="I173" i="6"/>
  <c r="N173" i="6"/>
  <c r="R173" i="6"/>
  <c r="Q173" i="6" s="1"/>
  <c r="S173" i="6"/>
  <c r="T173" i="6"/>
  <c r="C174" i="6"/>
  <c r="D174" i="6"/>
  <c r="E174" i="6"/>
  <c r="F174" i="6"/>
  <c r="H174" i="6"/>
  <c r="I174" i="6"/>
  <c r="L174" i="6"/>
  <c r="N174" i="6"/>
  <c r="R174" i="6"/>
  <c r="Q174" i="6" s="1"/>
  <c r="S174" i="6" s="1"/>
  <c r="T174" i="6"/>
  <c r="C175" i="6"/>
  <c r="D175" i="6"/>
  <c r="E175" i="6"/>
  <c r="F175" i="6"/>
  <c r="H175" i="6"/>
  <c r="I175" i="6"/>
  <c r="N175" i="6"/>
  <c r="R175" i="6"/>
  <c r="Q175" i="6" s="1"/>
  <c r="S175" i="6"/>
  <c r="S1082" i="6" s="1"/>
  <c r="T175" i="6"/>
  <c r="C176" i="6"/>
  <c r="D176" i="6"/>
  <c r="E176" i="6"/>
  <c r="F176" i="6"/>
  <c r="H176" i="6"/>
  <c r="I176" i="6"/>
  <c r="L176" i="6"/>
  <c r="N176" i="6"/>
  <c r="R176" i="6"/>
  <c r="Q176" i="6" s="1"/>
  <c r="S176" i="6" s="1"/>
  <c r="T176" i="6"/>
  <c r="C177" i="6"/>
  <c r="D177" i="6"/>
  <c r="E177" i="6"/>
  <c r="F177" i="6"/>
  <c r="H177" i="6"/>
  <c r="I177" i="6"/>
  <c r="N177" i="6"/>
  <c r="R177" i="6"/>
  <c r="Q177" i="6" s="1"/>
  <c r="S177" i="6" s="1"/>
  <c r="T177" i="6"/>
  <c r="C178" i="6"/>
  <c r="D178" i="6"/>
  <c r="L178" i="6" s="1"/>
  <c r="E178" i="6"/>
  <c r="F178" i="6"/>
  <c r="H178" i="6"/>
  <c r="I178" i="6"/>
  <c r="N178" i="6"/>
  <c r="R178" i="6"/>
  <c r="Q178" i="6" s="1"/>
  <c r="S178" i="6" s="1"/>
  <c r="T178" i="6"/>
  <c r="C179" i="6"/>
  <c r="D179" i="6"/>
  <c r="E179" i="6"/>
  <c r="F179" i="6"/>
  <c r="H179" i="6"/>
  <c r="I179" i="6"/>
  <c r="N179" i="6"/>
  <c r="R179" i="6"/>
  <c r="Q179" i="6" s="1"/>
  <c r="S179" i="6"/>
  <c r="T179" i="6"/>
  <c r="C180" i="6"/>
  <c r="D180" i="6"/>
  <c r="E180" i="6"/>
  <c r="F180" i="6"/>
  <c r="H180" i="6"/>
  <c r="I180" i="6"/>
  <c r="L180" i="6"/>
  <c r="N180" i="6"/>
  <c r="R180" i="6"/>
  <c r="Q180" i="6" s="1"/>
  <c r="S180" i="6"/>
  <c r="T180" i="6"/>
  <c r="C181" i="6"/>
  <c r="D181" i="6"/>
  <c r="E181" i="6"/>
  <c r="F181" i="6"/>
  <c r="F1083" i="6" s="1"/>
  <c r="H181" i="6"/>
  <c r="I181" i="6"/>
  <c r="N181" i="6"/>
  <c r="R181" i="6"/>
  <c r="Q181" i="6" s="1"/>
  <c r="S181" i="6" s="1"/>
  <c r="S1083" i="6" s="1"/>
  <c r="T181" i="6"/>
  <c r="C182" i="6"/>
  <c r="D182" i="6"/>
  <c r="E182" i="6"/>
  <c r="F182" i="6"/>
  <c r="H182" i="6"/>
  <c r="I182" i="6"/>
  <c r="L182" i="6" s="1"/>
  <c r="N182" i="6"/>
  <c r="R182" i="6"/>
  <c r="Q182" i="6" s="1"/>
  <c r="S182" i="6" s="1"/>
  <c r="T182" i="6"/>
  <c r="C183" i="6"/>
  <c r="D183" i="6"/>
  <c r="E183" i="6"/>
  <c r="F183" i="6"/>
  <c r="H183" i="6"/>
  <c r="I183" i="6"/>
  <c r="N183" i="6"/>
  <c r="R183" i="6"/>
  <c r="Q183" i="6" s="1"/>
  <c r="S183" i="6" s="1"/>
  <c r="T183" i="6"/>
  <c r="C184" i="6"/>
  <c r="D184" i="6"/>
  <c r="E184" i="6"/>
  <c r="L184" i="6" s="1"/>
  <c r="F184" i="6"/>
  <c r="H184" i="6"/>
  <c r="I184" i="6"/>
  <c r="N184" i="6"/>
  <c r="R184" i="6"/>
  <c r="Q184" i="6" s="1"/>
  <c r="S184" i="6" s="1"/>
  <c r="T184" i="6"/>
  <c r="C185" i="6"/>
  <c r="D185" i="6"/>
  <c r="E185" i="6"/>
  <c r="L185" i="6" s="1"/>
  <c r="F185" i="6"/>
  <c r="H185" i="6"/>
  <c r="I185" i="6"/>
  <c r="N185" i="6"/>
  <c r="R185" i="6"/>
  <c r="Q185" i="6" s="1"/>
  <c r="S185" i="6" s="1"/>
  <c r="T185" i="6"/>
  <c r="C186" i="6"/>
  <c r="D186" i="6"/>
  <c r="L186" i="6" s="1"/>
  <c r="E186" i="6"/>
  <c r="F186" i="6"/>
  <c r="H186" i="6"/>
  <c r="I186" i="6"/>
  <c r="N186" i="6"/>
  <c r="R186" i="6"/>
  <c r="Q186" i="6" s="1"/>
  <c r="S186" i="6" s="1"/>
  <c r="T186" i="6"/>
  <c r="C187" i="6"/>
  <c r="D187" i="6"/>
  <c r="L187" i="6" s="1"/>
  <c r="E187" i="6"/>
  <c r="F187" i="6"/>
  <c r="H187" i="6"/>
  <c r="I187" i="6"/>
  <c r="N187" i="6"/>
  <c r="R187" i="6"/>
  <c r="Q187" i="6" s="1"/>
  <c r="S187" i="6"/>
  <c r="T187" i="6"/>
  <c r="C188" i="6"/>
  <c r="D188" i="6"/>
  <c r="E188" i="6"/>
  <c r="F188" i="6"/>
  <c r="H188" i="6"/>
  <c r="I188" i="6"/>
  <c r="N188" i="6"/>
  <c r="R188" i="6"/>
  <c r="Q188" i="6" s="1"/>
  <c r="S188" i="6"/>
  <c r="T188" i="6"/>
  <c r="C189" i="6"/>
  <c r="D189" i="6"/>
  <c r="E189" i="6"/>
  <c r="F189" i="6"/>
  <c r="H189" i="6"/>
  <c r="I189" i="6"/>
  <c r="L189" i="6"/>
  <c r="N189" i="6"/>
  <c r="R189" i="6"/>
  <c r="Q189" i="6" s="1"/>
  <c r="S189" i="6"/>
  <c r="T189" i="6"/>
  <c r="C190" i="6"/>
  <c r="D190" i="6"/>
  <c r="E190" i="6"/>
  <c r="F190" i="6"/>
  <c r="H190" i="6"/>
  <c r="I190" i="6"/>
  <c r="L190" i="6"/>
  <c r="N190" i="6"/>
  <c r="R190" i="6"/>
  <c r="Q190" i="6" s="1"/>
  <c r="S190" i="6" s="1"/>
  <c r="T190" i="6"/>
  <c r="C191" i="6"/>
  <c r="D191" i="6"/>
  <c r="E191" i="6"/>
  <c r="E1083" i="6" s="1"/>
  <c r="F191" i="6"/>
  <c r="H191" i="6"/>
  <c r="I191" i="6"/>
  <c r="N191" i="6"/>
  <c r="R191" i="6"/>
  <c r="Q191" i="6" s="1"/>
  <c r="S191" i="6"/>
  <c r="T191" i="6"/>
  <c r="C192" i="6"/>
  <c r="D192" i="6"/>
  <c r="E192" i="6"/>
  <c r="F192" i="6"/>
  <c r="H192" i="6"/>
  <c r="I192" i="6"/>
  <c r="L192" i="6"/>
  <c r="N192" i="6"/>
  <c r="R192" i="6"/>
  <c r="T192" i="6"/>
  <c r="C193" i="6"/>
  <c r="D193" i="6"/>
  <c r="E193" i="6"/>
  <c r="F193" i="6"/>
  <c r="H193" i="6"/>
  <c r="I193" i="6"/>
  <c r="N193" i="6"/>
  <c r="R193" i="6"/>
  <c r="Q193" i="6" s="1"/>
  <c r="S193" i="6" s="1"/>
  <c r="T193" i="6"/>
  <c r="C194" i="6"/>
  <c r="D194" i="6"/>
  <c r="L194" i="6" s="1"/>
  <c r="E194" i="6"/>
  <c r="F194" i="6"/>
  <c r="H194" i="6"/>
  <c r="I194" i="6"/>
  <c r="N194" i="6"/>
  <c r="R194" i="6"/>
  <c r="Q194" i="6" s="1"/>
  <c r="S194" i="6"/>
  <c r="T194" i="6"/>
  <c r="C195" i="6"/>
  <c r="D195" i="6"/>
  <c r="E195" i="6"/>
  <c r="F195" i="6"/>
  <c r="H195" i="6"/>
  <c r="I195" i="6"/>
  <c r="L195" i="6"/>
  <c r="N195" i="6"/>
  <c r="R195" i="6"/>
  <c r="Q195" i="6" s="1"/>
  <c r="S195" i="6" s="1"/>
  <c r="T195" i="6"/>
  <c r="C196" i="6"/>
  <c r="D196" i="6"/>
  <c r="L196" i="6" s="1"/>
  <c r="E196" i="6"/>
  <c r="F196" i="6"/>
  <c r="H196" i="6"/>
  <c r="I196" i="6"/>
  <c r="N196" i="6"/>
  <c r="R196" i="6"/>
  <c r="Q196" i="6" s="1"/>
  <c r="S196" i="6"/>
  <c r="T196" i="6"/>
  <c r="C197" i="6"/>
  <c r="D197" i="6"/>
  <c r="E197" i="6"/>
  <c r="F197" i="6"/>
  <c r="H197" i="6"/>
  <c r="I197" i="6"/>
  <c r="L197" i="6"/>
  <c r="N197" i="6"/>
  <c r="Q197" i="6"/>
  <c r="R197" i="6"/>
  <c r="S197" i="6"/>
  <c r="T197" i="6"/>
  <c r="C198" i="6"/>
  <c r="D198" i="6"/>
  <c r="E198" i="6"/>
  <c r="L198" i="6" s="1"/>
  <c r="F198" i="6"/>
  <c r="H198" i="6"/>
  <c r="I198" i="6"/>
  <c r="N198" i="6"/>
  <c r="R198" i="6"/>
  <c r="Q198" i="6" s="1"/>
  <c r="S198" i="6"/>
  <c r="T198" i="6"/>
  <c r="C199" i="6"/>
  <c r="D199" i="6"/>
  <c r="E199" i="6"/>
  <c r="F199" i="6"/>
  <c r="H199" i="6"/>
  <c r="I199" i="6"/>
  <c r="N199" i="6"/>
  <c r="Q199" i="6"/>
  <c r="S199" i="6" s="1"/>
  <c r="R199" i="6"/>
  <c r="T199" i="6"/>
  <c r="C200" i="6"/>
  <c r="D200" i="6"/>
  <c r="E200" i="6"/>
  <c r="F200" i="6"/>
  <c r="H200" i="6"/>
  <c r="I200" i="6"/>
  <c r="N200" i="6"/>
  <c r="R200" i="6"/>
  <c r="Q200" i="6" s="1"/>
  <c r="S200" i="6" s="1"/>
  <c r="T200" i="6"/>
  <c r="C201" i="6"/>
  <c r="L201" i="6" s="1"/>
  <c r="D201" i="6"/>
  <c r="E201" i="6"/>
  <c r="F201" i="6"/>
  <c r="H201" i="6"/>
  <c r="I201" i="6"/>
  <c r="N201" i="6"/>
  <c r="Q201" i="6"/>
  <c r="S201" i="6" s="1"/>
  <c r="R201" i="6"/>
  <c r="T201" i="6"/>
  <c r="C202" i="6"/>
  <c r="D202" i="6"/>
  <c r="E202" i="6"/>
  <c r="F202" i="6"/>
  <c r="H202" i="6"/>
  <c r="I202" i="6"/>
  <c r="N202" i="6"/>
  <c r="R202" i="6"/>
  <c r="Q202" i="6" s="1"/>
  <c r="S202" i="6" s="1"/>
  <c r="T202" i="6"/>
  <c r="C203" i="6"/>
  <c r="D203" i="6"/>
  <c r="E203" i="6"/>
  <c r="F203" i="6"/>
  <c r="H203" i="6"/>
  <c r="I203" i="6"/>
  <c r="N203" i="6"/>
  <c r="Q203" i="6"/>
  <c r="S203" i="6" s="1"/>
  <c r="R203" i="6"/>
  <c r="T203" i="6"/>
  <c r="C204" i="6"/>
  <c r="D204" i="6"/>
  <c r="L204" i="6" s="1"/>
  <c r="E204" i="6"/>
  <c r="F204" i="6"/>
  <c r="H204" i="6"/>
  <c r="I204" i="6"/>
  <c r="N204" i="6"/>
  <c r="R204" i="6"/>
  <c r="Q204" i="6" s="1"/>
  <c r="S204" i="6"/>
  <c r="T204" i="6"/>
  <c r="C205" i="6"/>
  <c r="D205" i="6"/>
  <c r="E205" i="6"/>
  <c r="F205" i="6"/>
  <c r="H205" i="6"/>
  <c r="I205" i="6"/>
  <c r="L205" i="6"/>
  <c r="N205" i="6"/>
  <c r="Q205" i="6"/>
  <c r="R205" i="6"/>
  <c r="S205" i="6"/>
  <c r="T205" i="6"/>
  <c r="C206" i="6"/>
  <c r="D206" i="6"/>
  <c r="E206" i="6"/>
  <c r="F206" i="6"/>
  <c r="H206" i="6"/>
  <c r="I206" i="6"/>
  <c r="N206" i="6"/>
  <c r="R206" i="6"/>
  <c r="Q206" i="6" s="1"/>
  <c r="S206" i="6"/>
  <c r="T206" i="6"/>
  <c r="C207" i="6"/>
  <c r="D207" i="6"/>
  <c r="E207" i="6"/>
  <c r="F207" i="6"/>
  <c r="H207" i="6"/>
  <c r="I207" i="6"/>
  <c r="L207" i="6"/>
  <c r="N207" i="6"/>
  <c r="Q207" i="6"/>
  <c r="R207" i="6"/>
  <c r="S207" i="6"/>
  <c r="T207" i="6"/>
  <c r="C208" i="6"/>
  <c r="D208" i="6"/>
  <c r="E208" i="6"/>
  <c r="L208" i="6" s="1"/>
  <c r="F208" i="6"/>
  <c r="H208" i="6"/>
  <c r="I208" i="6"/>
  <c r="N208" i="6"/>
  <c r="R208" i="6"/>
  <c r="Q208" i="6" s="1"/>
  <c r="S208" i="6" s="1"/>
  <c r="T208" i="6"/>
  <c r="C209" i="6"/>
  <c r="L209" i="6" s="1"/>
  <c r="D209" i="6"/>
  <c r="E209" i="6"/>
  <c r="F209" i="6"/>
  <c r="H209" i="6"/>
  <c r="I209" i="6"/>
  <c r="N209" i="6"/>
  <c r="Q209" i="6"/>
  <c r="S209" i="6" s="1"/>
  <c r="R209" i="6"/>
  <c r="T209" i="6"/>
  <c r="C210" i="6"/>
  <c r="D210" i="6"/>
  <c r="L210" i="6" s="1"/>
  <c r="E210" i="6"/>
  <c r="F210" i="6"/>
  <c r="H210" i="6"/>
  <c r="I210" i="6"/>
  <c r="N210" i="6"/>
  <c r="R210" i="6"/>
  <c r="Q210" i="6" s="1"/>
  <c r="S210" i="6" s="1"/>
  <c r="T210" i="6"/>
  <c r="C211" i="6"/>
  <c r="L211" i="6" s="1"/>
  <c r="D211" i="6"/>
  <c r="E211" i="6"/>
  <c r="F211" i="6"/>
  <c r="H211" i="6"/>
  <c r="I211" i="6"/>
  <c r="N211" i="6"/>
  <c r="Q211" i="6"/>
  <c r="R211" i="6"/>
  <c r="T211" i="6"/>
  <c r="C212" i="6"/>
  <c r="D212" i="6"/>
  <c r="L212" i="6" s="1"/>
  <c r="E212" i="6"/>
  <c r="F212" i="6"/>
  <c r="H212" i="6"/>
  <c r="I212" i="6"/>
  <c r="N212" i="6"/>
  <c r="R212" i="6"/>
  <c r="Q212" i="6" s="1"/>
  <c r="S212" i="6"/>
  <c r="T212" i="6"/>
  <c r="C213" i="6"/>
  <c r="D213" i="6"/>
  <c r="E213" i="6"/>
  <c r="L213" i="6" s="1"/>
  <c r="F213" i="6"/>
  <c r="H213" i="6"/>
  <c r="I213" i="6"/>
  <c r="N213" i="6"/>
  <c r="Q213" i="6"/>
  <c r="R213" i="6"/>
  <c r="S213" i="6"/>
  <c r="T213" i="6"/>
  <c r="C214" i="6"/>
  <c r="D214" i="6"/>
  <c r="E214" i="6"/>
  <c r="F214" i="6"/>
  <c r="H214" i="6"/>
  <c r="I214" i="6"/>
  <c r="L214" i="6"/>
  <c r="N214" i="6"/>
  <c r="R214" i="6"/>
  <c r="Q214" i="6" s="1"/>
  <c r="S214" i="6"/>
  <c r="T214" i="6"/>
  <c r="C215" i="6"/>
  <c r="L215" i="6" s="1"/>
  <c r="D215" i="6"/>
  <c r="E215" i="6"/>
  <c r="F215" i="6"/>
  <c r="H215" i="6"/>
  <c r="I215" i="6"/>
  <c r="N215" i="6"/>
  <c r="Q215" i="6"/>
  <c r="S215" i="6" s="1"/>
  <c r="R215" i="6"/>
  <c r="T215" i="6"/>
  <c r="C216" i="6"/>
  <c r="D216" i="6"/>
  <c r="E216" i="6"/>
  <c r="F216" i="6"/>
  <c r="H216" i="6"/>
  <c r="L216" i="6" s="1"/>
  <c r="I216" i="6"/>
  <c r="N216" i="6"/>
  <c r="R216" i="6"/>
  <c r="Q216" i="6" s="1"/>
  <c r="S216" i="6" s="1"/>
  <c r="T216" i="6"/>
  <c r="C217" i="6"/>
  <c r="L217" i="6" s="1"/>
  <c r="D217" i="6"/>
  <c r="E217" i="6"/>
  <c r="F217" i="6"/>
  <c r="H217" i="6"/>
  <c r="I217" i="6"/>
  <c r="N217" i="6"/>
  <c r="Q217" i="6"/>
  <c r="S217" i="6" s="1"/>
  <c r="R217" i="6"/>
  <c r="T217" i="6"/>
  <c r="C218" i="6"/>
  <c r="D218" i="6"/>
  <c r="E218" i="6"/>
  <c r="F218" i="6"/>
  <c r="H218" i="6"/>
  <c r="I218" i="6"/>
  <c r="N218" i="6"/>
  <c r="R218" i="6"/>
  <c r="Q218" i="6" s="1"/>
  <c r="S218" i="6" s="1"/>
  <c r="T218" i="6"/>
  <c r="C219" i="6"/>
  <c r="D219" i="6"/>
  <c r="E219" i="6"/>
  <c r="F219" i="6"/>
  <c r="H219" i="6"/>
  <c r="I219" i="6"/>
  <c r="N219" i="6"/>
  <c r="Q219" i="6"/>
  <c r="S219" i="6" s="1"/>
  <c r="S1086" i="6" s="1"/>
  <c r="R219" i="6"/>
  <c r="T219" i="6"/>
  <c r="C220" i="6"/>
  <c r="D220" i="6"/>
  <c r="E220" i="6"/>
  <c r="F220" i="6"/>
  <c r="H220" i="6"/>
  <c r="I220" i="6"/>
  <c r="N220" i="6"/>
  <c r="R220" i="6"/>
  <c r="Q220" i="6" s="1"/>
  <c r="S220" i="6" s="1"/>
  <c r="T220" i="6"/>
  <c r="C221" i="6"/>
  <c r="D221" i="6"/>
  <c r="E221" i="6"/>
  <c r="F221" i="6"/>
  <c r="H221" i="6"/>
  <c r="I221" i="6"/>
  <c r="N221" i="6"/>
  <c r="Q221" i="6"/>
  <c r="R221" i="6"/>
  <c r="S221" i="6"/>
  <c r="T221" i="6"/>
  <c r="C222" i="6"/>
  <c r="D222" i="6"/>
  <c r="E222" i="6"/>
  <c r="F222" i="6"/>
  <c r="H222" i="6"/>
  <c r="I222" i="6"/>
  <c r="N222" i="6"/>
  <c r="R222" i="6"/>
  <c r="Q222" i="6" s="1"/>
  <c r="S222" i="6"/>
  <c r="T222" i="6"/>
  <c r="C223" i="6"/>
  <c r="D223" i="6"/>
  <c r="E223" i="6"/>
  <c r="F223" i="6"/>
  <c r="H223" i="6"/>
  <c r="I223" i="6"/>
  <c r="L223" i="6"/>
  <c r="N223" i="6"/>
  <c r="Q223" i="6"/>
  <c r="R223" i="6"/>
  <c r="S223" i="6"/>
  <c r="T223" i="6"/>
  <c r="C224" i="6"/>
  <c r="D224" i="6"/>
  <c r="E224" i="6"/>
  <c r="L224" i="6" s="1"/>
  <c r="F224" i="6"/>
  <c r="H224" i="6"/>
  <c r="I224" i="6"/>
  <c r="N224" i="6"/>
  <c r="R224" i="6"/>
  <c r="Q224" i="6" s="1"/>
  <c r="S224" i="6" s="1"/>
  <c r="T224" i="6"/>
  <c r="C225" i="6"/>
  <c r="L225" i="6" s="1"/>
  <c r="D225" i="6"/>
  <c r="E225" i="6"/>
  <c r="F225" i="6"/>
  <c r="H225" i="6"/>
  <c r="I225" i="6"/>
  <c r="N225" i="6"/>
  <c r="Q225" i="6"/>
  <c r="S225" i="6" s="1"/>
  <c r="R225" i="6"/>
  <c r="T225" i="6"/>
  <c r="C226" i="6"/>
  <c r="D226" i="6"/>
  <c r="L226" i="6" s="1"/>
  <c r="E226" i="6"/>
  <c r="F226" i="6"/>
  <c r="H226" i="6"/>
  <c r="I226" i="6"/>
  <c r="N226" i="6"/>
  <c r="R226" i="6"/>
  <c r="Q226" i="6" s="1"/>
  <c r="S226" i="6" s="1"/>
  <c r="T226" i="6"/>
  <c r="C227" i="6"/>
  <c r="L227" i="6" s="1"/>
  <c r="D227" i="6"/>
  <c r="E227" i="6"/>
  <c r="F227" i="6"/>
  <c r="H227" i="6"/>
  <c r="I227" i="6"/>
  <c r="N227" i="6"/>
  <c r="Q227" i="6"/>
  <c r="S227" i="6" s="1"/>
  <c r="R227" i="6"/>
  <c r="T227" i="6"/>
  <c r="C228" i="6"/>
  <c r="D228" i="6"/>
  <c r="E228" i="6"/>
  <c r="F228" i="6"/>
  <c r="H228" i="6"/>
  <c r="I228" i="6"/>
  <c r="N228" i="6"/>
  <c r="R228" i="6"/>
  <c r="Q228" i="6" s="1"/>
  <c r="S228" i="6"/>
  <c r="T228" i="6"/>
  <c r="C229" i="6"/>
  <c r="D229" i="6"/>
  <c r="E229" i="6"/>
  <c r="F229" i="6"/>
  <c r="H229" i="6"/>
  <c r="I229" i="6"/>
  <c r="L229" i="6"/>
  <c r="N229" i="6"/>
  <c r="Q229" i="6"/>
  <c r="R229" i="6"/>
  <c r="S229" i="6"/>
  <c r="T229" i="6"/>
  <c r="C230" i="6"/>
  <c r="D230" i="6"/>
  <c r="E230" i="6"/>
  <c r="L230" i="6" s="1"/>
  <c r="F230" i="6"/>
  <c r="H230" i="6"/>
  <c r="I230" i="6"/>
  <c r="N230" i="6"/>
  <c r="R230" i="6"/>
  <c r="Q230" i="6" s="1"/>
  <c r="S230" i="6"/>
  <c r="T230" i="6"/>
  <c r="C231" i="6"/>
  <c r="L231" i="6" s="1"/>
  <c r="D231" i="6"/>
  <c r="E231" i="6"/>
  <c r="F231" i="6"/>
  <c r="H231" i="6"/>
  <c r="I231" i="6"/>
  <c r="N231" i="6"/>
  <c r="Q231" i="6"/>
  <c r="S231" i="6" s="1"/>
  <c r="R231" i="6"/>
  <c r="T231" i="6"/>
  <c r="C232" i="6"/>
  <c r="D232" i="6"/>
  <c r="E232" i="6"/>
  <c r="F232" i="6"/>
  <c r="F1087" i="6" s="1"/>
  <c r="H232" i="6"/>
  <c r="I232" i="6"/>
  <c r="N232" i="6"/>
  <c r="R232" i="6"/>
  <c r="Q232" i="6" s="1"/>
  <c r="S232" i="6" s="1"/>
  <c r="T232" i="6"/>
  <c r="C233" i="6"/>
  <c r="L233" i="6" s="1"/>
  <c r="D233" i="6"/>
  <c r="E233" i="6"/>
  <c r="F233" i="6"/>
  <c r="H233" i="6"/>
  <c r="I233" i="6"/>
  <c r="N233" i="6"/>
  <c r="Q233" i="6"/>
  <c r="S233" i="6" s="1"/>
  <c r="R233" i="6"/>
  <c r="T233" i="6"/>
  <c r="C234" i="6"/>
  <c r="D234" i="6"/>
  <c r="E234" i="6"/>
  <c r="F234" i="6"/>
  <c r="H234" i="6"/>
  <c r="I234" i="6"/>
  <c r="N234" i="6"/>
  <c r="R234" i="6"/>
  <c r="Q234" i="6" s="1"/>
  <c r="S234" i="6" s="1"/>
  <c r="T234" i="6"/>
  <c r="C235" i="6"/>
  <c r="D235" i="6"/>
  <c r="E235" i="6"/>
  <c r="F235" i="6"/>
  <c r="H235" i="6"/>
  <c r="I235" i="6"/>
  <c r="N235" i="6"/>
  <c r="Q235" i="6"/>
  <c r="R235" i="6"/>
  <c r="T235" i="6"/>
  <c r="C236" i="6"/>
  <c r="D236" i="6"/>
  <c r="L236" i="6" s="1"/>
  <c r="E236" i="6"/>
  <c r="F236" i="6"/>
  <c r="H236" i="6"/>
  <c r="I236" i="6"/>
  <c r="N236" i="6"/>
  <c r="R236" i="6"/>
  <c r="Q236" i="6" s="1"/>
  <c r="S236" i="6" s="1"/>
  <c r="T236" i="6"/>
  <c r="C237" i="6"/>
  <c r="D237" i="6"/>
  <c r="E237" i="6"/>
  <c r="F237" i="6"/>
  <c r="H237" i="6"/>
  <c r="I237" i="6"/>
  <c r="L237" i="6" s="1"/>
  <c r="N237" i="6"/>
  <c r="Q237" i="6"/>
  <c r="R237" i="6"/>
  <c r="S237" i="6"/>
  <c r="T237" i="6"/>
  <c r="C238" i="6"/>
  <c r="D238" i="6"/>
  <c r="E238" i="6"/>
  <c r="F238" i="6"/>
  <c r="H238" i="6"/>
  <c r="I238" i="6"/>
  <c r="N238" i="6"/>
  <c r="R238" i="6"/>
  <c r="Q238" i="6" s="1"/>
  <c r="S238" i="6"/>
  <c r="T238" i="6"/>
  <c r="T1087" i="6" s="1"/>
  <c r="C239" i="6"/>
  <c r="D239" i="6"/>
  <c r="E239" i="6"/>
  <c r="F239" i="6"/>
  <c r="H239" i="6"/>
  <c r="I239" i="6"/>
  <c r="L239" i="6"/>
  <c r="N239" i="6"/>
  <c r="N1087" i="6" s="1"/>
  <c r="Q239" i="6"/>
  <c r="R239" i="6"/>
  <c r="S239" i="6"/>
  <c r="T239" i="6"/>
  <c r="C240" i="6"/>
  <c r="D240" i="6"/>
  <c r="E240" i="6"/>
  <c r="F240" i="6"/>
  <c r="F1088" i="6" s="1"/>
  <c r="H240" i="6"/>
  <c r="I240" i="6"/>
  <c r="N240" i="6"/>
  <c r="R240" i="6"/>
  <c r="Q240" i="6" s="1"/>
  <c r="S240" i="6" s="1"/>
  <c r="T240" i="6"/>
  <c r="C241" i="6"/>
  <c r="L241" i="6" s="1"/>
  <c r="D241" i="6"/>
  <c r="E241" i="6"/>
  <c r="F241" i="6"/>
  <c r="H241" i="6"/>
  <c r="I241" i="6"/>
  <c r="N241" i="6"/>
  <c r="Q241" i="6"/>
  <c r="S241" i="6" s="1"/>
  <c r="R241" i="6"/>
  <c r="T241" i="6"/>
  <c r="C242" i="6"/>
  <c r="D242" i="6"/>
  <c r="L242" i="6" s="1"/>
  <c r="E242" i="6"/>
  <c r="F242" i="6"/>
  <c r="H242" i="6"/>
  <c r="I242" i="6"/>
  <c r="N242" i="6"/>
  <c r="R242" i="6"/>
  <c r="Q242" i="6" s="1"/>
  <c r="S242" i="6" s="1"/>
  <c r="T242" i="6"/>
  <c r="C243" i="6"/>
  <c r="D243" i="6"/>
  <c r="E243" i="6"/>
  <c r="F243" i="6"/>
  <c r="H243" i="6"/>
  <c r="I243" i="6"/>
  <c r="N243" i="6"/>
  <c r="Q243" i="6"/>
  <c r="S243" i="6" s="1"/>
  <c r="R243" i="6"/>
  <c r="T243" i="6"/>
  <c r="C244" i="6"/>
  <c r="D244" i="6"/>
  <c r="E244" i="6"/>
  <c r="F244" i="6"/>
  <c r="H244" i="6"/>
  <c r="I244" i="6"/>
  <c r="N244" i="6"/>
  <c r="R244" i="6"/>
  <c r="Q244" i="6" s="1"/>
  <c r="S244" i="6"/>
  <c r="T244" i="6"/>
  <c r="C245" i="6"/>
  <c r="D245" i="6"/>
  <c r="E245" i="6"/>
  <c r="L245" i="6" s="1"/>
  <c r="F245" i="6"/>
  <c r="H245" i="6"/>
  <c r="I245" i="6"/>
  <c r="N245" i="6"/>
  <c r="Q245" i="6"/>
  <c r="R245" i="6"/>
  <c r="S245" i="6"/>
  <c r="T245" i="6"/>
  <c r="C246" i="6"/>
  <c r="D246" i="6"/>
  <c r="E246" i="6"/>
  <c r="F246" i="6"/>
  <c r="H246" i="6"/>
  <c r="I246" i="6"/>
  <c r="L246" i="6"/>
  <c r="N246" i="6"/>
  <c r="R246" i="6"/>
  <c r="Q246" i="6" s="1"/>
  <c r="S246" i="6"/>
  <c r="T246" i="6"/>
  <c r="C247" i="6"/>
  <c r="L247" i="6" s="1"/>
  <c r="D247" i="6"/>
  <c r="E247" i="6"/>
  <c r="F247" i="6"/>
  <c r="H247" i="6"/>
  <c r="I247" i="6"/>
  <c r="N247" i="6"/>
  <c r="Q247" i="6"/>
  <c r="S247" i="6" s="1"/>
  <c r="R247" i="6"/>
  <c r="T247" i="6"/>
  <c r="C248" i="6"/>
  <c r="D248" i="6"/>
  <c r="E248" i="6"/>
  <c r="F248" i="6"/>
  <c r="H248" i="6"/>
  <c r="I248" i="6"/>
  <c r="N248" i="6"/>
  <c r="R248" i="6"/>
  <c r="Q248" i="6" s="1"/>
  <c r="S248" i="6" s="1"/>
  <c r="T248" i="6"/>
  <c r="C249" i="6"/>
  <c r="L249" i="6" s="1"/>
  <c r="D249" i="6"/>
  <c r="E249" i="6"/>
  <c r="F249" i="6"/>
  <c r="H249" i="6"/>
  <c r="I249" i="6"/>
  <c r="N249" i="6"/>
  <c r="Q249" i="6"/>
  <c r="S249" i="6" s="1"/>
  <c r="R249" i="6"/>
  <c r="T249" i="6"/>
  <c r="C250" i="6"/>
  <c r="D250" i="6"/>
  <c r="E250" i="6"/>
  <c r="F250" i="6"/>
  <c r="H250" i="6"/>
  <c r="I250" i="6"/>
  <c r="N250" i="6"/>
  <c r="R250" i="6"/>
  <c r="Q250" i="6" s="1"/>
  <c r="S250" i="6" s="1"/>
  <c r="T250" i="6"/>
  <c r="C251" i="6"/>
  <c r="L251" i="6" s="1"/>
  <c r="D251" i="6"/>
  <c r="E251" i="6"/>
  <c r="F251" i="6"/>
  <c r="H251" i="6"/>
  <c r="I251" i="6"/>
  <c r="N251" i="6"/>
  <c r="Q251" i="6"/>
  <c r="S251" i="6" s="1"/>
  <c r="R251" i="6"/>
  <c r="T251" i="6"/>
  <c r="C252" i="6"/>
  <c r="D252" i="6"/>
  <c r="L252" i="6" s="1"/>
  <c r="E252" i="6"/>
  <c r="F252" i="6"/>
  <c r="H252" i="6"/>
  <c r="I252" i="6"/>
  <c r="N252" i="6"/>
  <c r="R252" i="6"/>
  <c r="Q252" i="6" s="1"/>
  <c r="S252" i="6" s="1"/>
  <c r="T252" i="6"/>
  <c r="C253" i="6"/>
  <c r="D253" i="6"/>
  <c r="E253" i="6"/>
  <c r="L253" i="6" s="1"/>
  <c r="F253" i="6"/>
  <c r="H253" i="6"/>
  <c r="I253" i="6"/>
  <c r="N253" i="6"/>
  <c r="Q253" i="6"/>
  <c r="R253" i="6"/>
  <c r="S253" i="6"/>
  <c r="T253" i="6"/>
  <c r="C254" i="6"/>
  <c r="D254" i="6"/>
  <c r="E254" i="6"/>
  <c r="F254" i="6"/>
  <c r="H254" i="6"/>
  <c r="I254" i="6"/>
  <c r="L254" i="6"/>
  <c r="N254" i="6"/>
  <c r="R254" i="6"/>
  <c r="Q254" i="6" s="1"/>
  <c r="S254" i="6"/>
  <c r="T254" i="6"/>
  <c r="C255" i="6"/>
  <c r="D255" i="6"/>
  <c r="E255" i="6"/>
  <c r="L255" i="6" s="1"/>
  <c r="F255" i="6"/>
  <c r="H255" i="6"/>
  <c r="I255" i="6"/>
  <c r="N255" i="6"/>
  <c r="Q255" i="6"/>
  <c r="R255" i="6"/>
  <c r="S255" i="6"/>
  <c r="T255" i="6"/>
  <c r="C256" i="6"/>
  <c r="D256" i="6"/>
  <c r="E256" i="6"/>
  <c r="F256" i="6"/>
  <c r="H256" i="6"/>
  <c r="I256" i="6"/>
  <c r="L256" i="6"/>
  <c r="N256" i="6"/>
  <c r="R256" i="6"/>
  <c r="Q256" i="6" s="1"/>
  <c r="S256" i="6" s="1"/>
  <c r="T256" i="6"/>
  <c r="C257" i="6"/>
  <c r="D257" i="6"/>
  <c r="E257" i="6"/>
  <c r="F257" i="6"/>
  <c r="H257" i="6"/>
  <c r="I257" i="6"/>
  <c r="N257" i="6"/>
  <c r="Q257" i="6"/>
  <c r="S257" i="6" s="1"/>
  <c r="R257" i="6"/>
  <c r="T257" i="6"/>
  <c r="C258" i="6"/>
  <c r="D258" i="6"/>
  <c r="E258" i="6"/>
  <c r="F258" i="6"/>
  <c r="H258" i="6"/>
  <c r="I258" i="6"/>
  <c r="N258" i="6"/>
  <c r="R258" i="6"/>
  <c r="Q258" i="6" s="1"/>
  <c r="S258" i="6" s="1"/>
  <c r="T258" i="6"/>
  <c r="C259" i="6"/>
  <c r="L259" i="6" s="1"/>
  <c r="D259" i="6"/>
  <c r="E259" i="6"/>
  <c r="F259" i="6"/>
  <c r="H259" i="6"/>
  <c r="I259" i="6"/>
  <c r="N259" i="6"/>
  <c r="Q259" i="6"/>
  <c r="S259" i="6" s="1"/>
  <c r="R259" i="6"/>
  <c r="T259" i="6"/>
  <c r="C260" i="6"/>
  <c r="D260" i="6"/>
  <c r="L260" i="6" s="1"/>
  <c r="E260" i="6"/>
  <c r="F260" i="6"/>
  <c r="H260" i="6"/>
  <c r="I260" i="6"/>
  <c r="N260" i="6"/>
  <c r="R260" i="6"/>
  <c r="Q260" i="6" s="1"/>
  <c r="S260" i="6" s="1"/>
  <c r="T260" i="6"/>
  <c r="C261" i="6"/>
  <c r="D261" i="6"/>
  <c r="E261" i="6"/>
  <c r="L261" i="6" s="1"/>
  <c r="F261" i="6"/>
  <c r="H261" i="6"/>
  <c r="I261" i="6"/>
  <c r="N261" i="6"/>
  <c r="Q261" i="6"/>
  <c r="R261" i="6"/>
  <c r="S261" i="6"/>
  <c r="T261" i="6"/>
  <c r="C262" i="6"/>
  <c r="D262" i="6"/>
  <c r="L262" i="6" s="1"/>
  <c r="E262" i="6"/>
  <c r="F262" i="6"/>
  <c r="H262" i="6"/>
  <c r="I262" i="6"/>
  <c r="N262" i="6"/>
  <c r="R262" i="6"/>
  <c r="Q262" i="6" s="1"/>
  <c r="S262" i="6"/>
  <c r="T262" i="6"/>
  <c r="C263" i="6"/>
  <c r="D263" i="6"/>
  <c r="E263" i="6"/>
  <c r="L263" i="6" s="1"/>
  <c r="F263" i="6"/>
  <c r="H263" i="6"/>
  <c r="I263" i="6"/>
  <c r="N263" i="6"/>
  <c r="Q263" i="6"/>
  <c r="R263" i="6"/>
  <c r="S263" i="6"/>
  <c r="T263" i="6"/>
  <c r="C264" i="6"/>
  <c r="D264" i="6"/>
  <c r="E264" i="6"/>
  <c r="F264" i="6"/>
  <c r="H264" i="6"/>
  <c r="I264" i="6"/>
  <c r="L264" i="6"/>
  <c r="N264" i="6"/>
  <c r="R264" i="6"/>
  <c r="Q264" i="6" s="1"/>
  <c r="S264" i="6" s="1"/>
  <c r="T264" i="6"/>
  <c r="C265" i="6"/>
  <c r="L265" i="6" s="1"/>
  <c r="D265" i="6"/>
  <c r="E265" i="6"/>
  <c r="F265" i="6"/>
  <c r="H265" i="6"/>
  <c r="I265" i="6"/>
  <c r="N265" i="6"/>
  <c r="Q265" i="6"/>
  <c r="S265" i="6" s="1"/>
  <c r="R265" i="6"/>
  <c r="T265" i="6"/>
  <c r="C266" i="6"/>
  <c r="D266" i="6"/>
  <c r="L266" i="6" s="1"/>
  <c r="E266" i="6"/>
  <c r="F266" i="6"/>
  <c r="H266" i="6"/>
  <c r="I266" i="6"/>
  <c r="N266" i="6"/>
  <c r="R266" i="6"/>
  <c r="Q266" i="6" s="1"/>
  <c r="S266" i="6" s="1"/>
  <c r="T266" i="6"/>
  <c r="C267" i="6"/>
  <c r="L267" i="6" s="1"/>
  <c r="D267" i="6"/>
  <c r="E267" i="6"/>
  <c r="F267" i="6"/>
  <c r="H267" i="6"/>
  <c r="I267" i="6"/>
  <c r="N267" i="6"/>
  <c r="Q267" i="6"/>
  <c r="S267" i="6" s="1"/>
  <c r="R267" i="6"/>
  <c r="T267" i="6"/>
  <c r="C268" i="6"/>
  <c r="D268" i="6"/>
  <c r="L268" i="6" s="1"/>
  <c r="E268" i="6"/>
  <c r="F268" i="6"/>
  <c r="H268" i="6"/>
  <c r="I268" i="6"/>
  <c r="N268" i="6"/>
  <c r="R268" i="6"/>
  <c r="Q268" i="6" s="1"/>
  <c r="S268" i="6" s="1"/>
  <c r="T268" i="6"/>
  <c r="C269" i="6"/>
  <c r="D269" i="6"/>
  <c r="E269" i="6"/>
  <c r="F269" i="6"/>
  <c r="H269" i="6"/>
  <c r="I269" i="6"/>
  <c r="I1090" i="6" s="1"/>
  <c r="N269" i="6"/>
  <c r="Q269" i="6"/>
  <c r="R269" i="6"/>
  <c r="S269" i="6"/>
  <c r="T269" i="6"/>
  <c r="C270" i="6"/>
  <c r="D270" i="6"/>
  <c r="E270" i="6"/>
  <c r="F270" i="6"/>
  <c r="H270" i="6"/>
  <c r="I270" i="6"/>
  <c r="L270" i="6"/>
  <c r="N270" i="6"/>
  <c r="R270" i="6"/>
  <c r="Q270" i="6" s="1"/>
  <c r="S270" i="6"/>
  <c r="T270" i="6"/>
  <c r="C271" i="6"/>
  <c r="D271" i="6"/>
  <c r="E271" i="6"/>
  <c r="L271" i="6" s="1"/>
  <c r="F271" i="6"/>
  <c r="H271" i="6"/>
  <c r="I271" i="6"/>
  <c r="N271" i="6"/>
  <c r="Q271" i="6"/>
  <c r="R271" i="6"/>
  <c r="S271" i="6"/>
  <c r="T271" i="6"/>
  <c r="C272" i="6"/>
  <c r="D272" i="6"/>
  <c r="E272" i="6"/>
  <c r="F272" i="6"/>
  <c r="H272" i="6"/>
  <c r="I272" i="6"/>
  <c r="L272" i="6"/>
  <c r="N272" i="6"/>
  <c r="R272" i="6"/>
  <c r="Q272" i="6" s="1"/>
  <c r="S272" i="6" s="1"/>
  <c r="T272" i="6"/>
  <c r="C273" i="6"/>
  <c r="D273" i="6"/>
  <c r="E273" i="6"/>
  <c r="F273" i="6"/>
  <c r="H273" i="6"/>
  <c r="I273" i="6"/>
  <c r="N273" i="6"/>
  <c r="Q273" i="6"/>
  <c r="S273" i="6" s="1"/>
  <c r="R273" i="6"/>
  <c r="T273" i="6"/>
  <c r="C274" i="6"/>
  <c r="D274" i="6"/>
  <c r="E274" i="6"/>
  <c r="F274" i="6"/>
  <c r="H274" i="6"/>
  <c r="I274" i="6"/>
  <c r="N274" i="6"/>
  <c r="R274" i="6"/>
  <c r="Q274" i="6" s="1"/>
  <c r="S274" i="6" s="1"/>
  <c r="T274" i="6"/>
  <c r="C275" i="6"/>
  <c r="L275" i="6" s="1"/>
  <c r="D275" i="6"/>
  <c r="E275" i="6"/>
  <c r="F275" i="6"/>
  <c r="H275" i="6"/>
  <c r="I275" i="6"/>
  <c r="N275" i="6"/>
  <c r="Q275" i="6"/>
  <c r="R275" i="6"/>
  <c r="T275" i="6"/>
  <c r="C276" i="6"/>
  <c r="D276" i="6"/>
  <c r="E276" i="6"/>
  <c r="F276" i="6"/>
  <c r="H276" i="6"/>
  <c r="I276" i="6"/>
  <c r="N276" i="6"/>
  <c r="R276" i="6"/>
  <c r="Q276" i="6" s="1"/>
  <c r="S276" i="6" s="1"/>
  <c r="T276" i="6"/>
  <c r="C277" i="6"/>
  <c r="D277" i="6"/>
  <c r="E277" i="6"/>
  <c r="L277" i="6" s="1"/>
  <c r="F277" i="6"/>
  <c r="H277" i="6"/>
  <c r="I277" i="6"/>
  <c r="N277" i="6"/>
  <c r="Q277" i="6"/>
  <c r="R277" i="6"/>
  <c r="S277" i="6"/>
  <c r="T277" i="6"/>
  <c r="C278" i="6"/>
  <c r="D278" i="6"/>
  <c r="E278" i="6"/>
  <c r="F278" i="6"/>
  <c r="H278" i="6"/>
  <c r="I278" i="6"/>
  <c r="N278" i="6"/>
  <c r="R278" i="6"/>
  <c r="Q278" i="6" s="1"/>
  <c r="S278" i="6"/>
  <c r="T278" i="6"/>
  <c r="C279" i="6"/>
  <c r="D279" i="6"/>
  <c r="E279" i="6"/>
  <c r="F279" i="6"/>
  <c r="H279" i="6"/>
  <c r="I279" i="6"/>
  <c r="L279" i="6"/>
  <c r="N279" i="6"/>
  <c r="Q279" i="6"/>
  <c r="R279" i="6"/>
  <c r="S279" i="6"/>
  <c r="T279" i="6"/>
  <c r="C280" i="6"/>
  <c r="D280" i="6"/>
  <c r="E280" i="6"/>
  <c r="F280" i="6"/>
  <c r="H280" i="6"/>
  <c r="I280" i="6"/>
  <c r="N280" i="6"/>
  <c r="R280" i="6"/>
  <c r="Q280" i="6" s="1"/>
  <c r="S280" i="6" s="1"/>
  <c r="T280" i="6"/>
  <c r="C281" i="6"/>
  <c r="L281" i="6" s="1"/>
  <c r="D281" i="6"/>
  <c r="E281" i="6"/>
  <c r="F281" i="6"/>
  <c r="H281" i="6"/>
  <c r="I281" i="6"/>
  <c r="N281" i="6"/>
  <c r="Q281" i="6"/>
  <c r="S281" i="6" s="1"/>
  <c r="R281" i="6"/>
  <c r="T281" i="6"/>
  <c r="C282" i="6"/>
  <c r="D282" i="6"/>
  <c r="L282" i="6" s="1"/>
  <c r="E282" i="6"/>
  <c r="F282" i="6"/>
  <c r="H282" i="6"/>
  <c r="I282" i="6"/>
  <c r="N282" i="6"/>
  <c r="R282" i="6"/>
  <c r="Q282" i="6" s="1"/>
  <c r="S282" i="6" s="1"/>
  <c r="T282" i="6"/>
  <c r="C283" i="6"/>
  <c r="L283" i="6" s="1"/>
  <c r="D283" i="6"/>
  <c r="E283" i="6"/>
  <c r="F283" i="6"/>
  <c r="H283" i="6"/>
  <c r="I283" i="6"/>
  <c r="N283" i="6"/>
  <c r="Q283" i="6"/>
  <c r="S283" i="6" s="1"/>
  <c r="R283" i="6"/>
  <c r="T283" i="6"/>
  <c r="C284" i="6"/>
  <c r="D284" i="6"/>
  <c r="E284" i="6"/>
  <c r="F284" i="6"/>
  <c r="H284" i="6"/>
  <c r="I284" i="6"/>
  <c r="N284" i="6"/>
  <c r="R284" i="6"/>
  <c r="Q284" i="6" s="1"/>
  <c r="S284" i="6" s="1"/>
  <c r="T284" i="6"/>
  <c r="C285" i="6"/>
  <c r="D285" i="6"/>
  <c r="E285" i="6"/>
  <c r="F285" i="6"/>
  <c r="H285" i="6"/>
  <c r="I285" i="6"/>
  <c r="N285" i="6"/>
  <c r="R285" i="6"/>
  <c r="Q285" i="6" s="1"/>
  <c r="S285" i="6"/>
  <c r="T285" i="6"/>
  <c r="C286" i="6"/>
  <c r="D286" i="6"/>
  <c r="E286" i="6"/>
  <c r="L286" i="6" s="1"/>
  <c r="F286" i="6"/>
  <c r="H286" i="6"/>
  <c r="I286" i="6"/>
  <c r="N286" i="6"/>
  <c r="R286" i="6"/>
  <c r="Q286" i="6" s="1"/>
  <c r="S286" i="6"/>
  <c r="T286" i="6"/>
  <c r="T1091" i="6" s="1"/>
  <c r="C287" i="6"/>
  <c r="D287" i="6"/>
  <c r="E287" i="6"/>
  <c r="F287" i="6"/>
  <c r="H287" i="6"/>
  <c r="I287" i="6"/>
  <c r="L287" i="6"/>
  <c r="N287" i="6"/>
  <c r="N1091" i="6" s="1"/>
  <c r="R287" i="6"/>
  <c r="Q287" i="6" s="1"/>
  <c r="S287" i="6" s="1"/>
  <c r="T287" i="6"/>
  <c r="C288" i="6"/>
  <c r="D288" i="6"/>
  <c r="L288" i="6" s="1"/>
  <c r="E288" i="6"/>
  <c r="F288" i="6"/>
  <c r="H288" i="6"/>
  <c r="I288" i="6"/>
  <c r="N288" i="6"/>
  <c r="R288" i="6"/>
  <c r="Q288" i="6" s="1"/>
  <c r="S288" i="6" s="1"/>
  <c r="T288" i="6"/>
  <c r="C289" i="6"/>
  <c r="D289" i="6"/>
  <c r="L289" i="6" s="1"/>
  <c r="E289" i="6"/>
  <c r="F289" i="6"/>
  <c r="H289" i="6"/>
  <c r="I289" i="6"/>
  <c r="N289" i="6"/>
  <c r="R289" i="6"/>
  <c r="Q289" i="6" s="1"/>
  <c r="S289" i="6" s="1"/>
  <c r="T289" i="6"/>
  <c r="C290" i="6"/>
  <c r="D290" i="6"/>
  <c r="L290" i="6" s="1"/>
  <c r="E290" i="6"/>
  <c r="F290" i="6"/>
  <c r="H290" i="6"/>
  <c r="I290" i="6"/>
  <c r="N290" i="6"/>
  <c r="R290" i="6"/>
  <c r="Q290" i="6" s="1"/>
  <c r="S290" i="6"/>
  <c r="T290" i="6"/>
  <c r="C291" i="6"/>
  <c r="D291" i="6"/>
  <c r="E291" i="6"/>
  <c r="L291" i="6" s="1"/>
  <c r="F291" i="6"/>
  <c r="H291" i="6"/>
  <c r="I291" i="6"/>
  <c r="N291" i="6"/>
  <c r="R291" i="6"/>
  <c r="Q291" i="6" s="1"/>
  <c r="S291" i="6" s="1"/>
  <c r="T291" i="6"/>
  <c r="C292" i="6"/>
  <c r="D292" i="6"/>
  <c r="L292" i="6" s="1"/>
  <c r="E292" i="6"/>
  <c r="F292" i="6"/>
  <c r="H292" i="6"/>
  <c r="I292" i="6"/>
  <c r="N292" i="6"/>
  <c r="R292" i="6"/>
  <c r="T292" i="6"/>
  <c r="C293" i="6"/>
  <c r="D293" i="6"/>
  <c r="E293" i="6"/>
  <c r="F293" i="6"/>
  <c r="H293" i="6"/>
  <c r="I293" i="6"/>
  <c r="N293" i="6"/>
  <c r="R293" i="6"/>
  <c r="Q293" i="6" s="1"/>
  <c r="S293" i="6" s="1"/>
  <c r="T293" i="6"/>
  <c r="C294" i="6"/>
  <c r="D294" i="6"/>
  <c r="E294" i="6"/>
  <c r="F294" i="6"/>
  <c r="H294" i="6"/>
  <c r="I294" i="6"/>
  <c r="I1092" i="6" s="1"/>
  <c r="N294" i="6"/>
  <c r="R294" i="6"/>
  <c r="Q294" i="6" s="1"/>
  <c r="S294" i="6"/>
  <c r="T294" i="6"/>
  <c r="C295" i="6"/>
  <c r="D295" i="6"/>
  <c r="E295" i="6"/>
  <c r="L295" i="6" s="1"/>
  <c r="F295" i="6"/>
  <c r="H295" i="6"/>
  <c r="I295" i="6"/>
  <c r="N295" i="6"/>
  <c r="R295" i="6"/>
  <c r="Q295" i="6" s="1"/>
  <c r="S295" i="6" s="1"/>
  <c r="T295" i="6"/>
  <c r="C296" i="6"/>
  <c r="D296" i="6"/>
  <c r="L296" i="6" s="1"/>
  <c r="E296" i="6"/>
  <c r="F296" i="6"/>
  <c r="H296" i="6"/>
  <c r="I296" i="6"/>
  <c r="N296" i="6"/>
  <c r="R296" i="6"/>
  <c r="Q296" i="6" s="1"/>
  <c r="S296" i="6" s="1"/>
  <c r="T296" i="6"/>
  <c r="C297" i="6"/>
  <c r="D297" i="6"/>
  <c r="E297" i="6"/>
  <c r="F297" i="6"/>
  <c r="H297" i="6"/>
  <c r="I297" i="6"/>
  <c r="L297" i="6" s="1"/>
  <c r="N297" i="6"/>
  <c r="R297" i="6"/>
  <c r="Q297" i="6" s="1"/>
  <c r="S297" i="6"/>
  <c r="T297" i="6"/>
  <c r="C298" i="6"/>
  <c r="D298" i="6"/>
  <c r="E298" i="6"/>
  <c r="L298" i="6" s="1"/>
  <c r="F298" i="6"/>
  <c r="H298" i="6"/>
  <c r="I298" i="6"/>
  <c r="N298" i="6"/>
  <c r="R298" i="6"/>
  <c r="Q298" i="6" s="1"/>
  <c r="S298" i="6"/>
  <c r="T298" i="6"/>
  <c r="C299" i="6"/>
  <c r="D299" i="6"/>
  <c r="E299" i="6"/>
  <c r="L299" i="6" s="1"/>
  <c r="F299" i="6"/>
  <c r="H299" i="6"/>
  <c r="I299" i="6"/>
  <c r="N299" i="6"/>
  <c r="R299" i="6"/>
  <c r="Q299" i="6" s="1"/>
  <c r="S299" i="6" s="1"/>
  <c r="T299" i="6"/>
  <c r="C300" i="6"/>
  <c r="D300" i="6"/>
  <c r="E300" i="6"/>
  <c r="F300" i="6"/>
  <c r="H300" i="6"/>
  <c r="I300" i="6"/>
  <c r="N300" i="6"/>
  <c r="R300" i="6"/>
  <c r="Q300" i="6" s="1"/>
  <c r="S300" i="6" s="1"/>
  <c r="T300" i="6"/>
  <c r="C301" i="6"/>
  <c r="D301" i="6"/>
  <c r="E301" i="6"/>
  <c r="F301" i="6"/>
  <c r="H301" i="6"/>
  <c r="I301" i="6"/>
  <c r="N301" i="6"/>
  <c r="R301" i="6"/>
  <c r="Q301" i="6" s="1"/>
  <c r="S301" i="6"/>
  <c r="T301" i="6"/>
  <c r="C302" i="6"/>
  <c r="D302" i="6"/>
  <c r="E302" i="6"/>
  <c r="L302" i="6" s="1"/>
  <c r="F302" i="6"/>
  <c r="H302" i="6"/>
  <c r="I302" i="6"/>
  <c r="N302" i="6"/>
  <c r="R302" i="6"/>
  <c r="Q302" i="6" s="1"/>
  <c r="S302" i="6"/>
  <c r="T302" i="6"/>
  <c r="C303" i="6"/>
  <c r="D303" i="6"/>
  <c r="E303" i="6"/>
  <c r="L303" i="6" s="1"/>
  <c r="F303" i="6"/>
  <c r="H303" i="6"/>
  <c r="I303" i="6"/>
  <c r="N303" i="6"/>
  <c r="R303" i="6"/>
  <c r="Q303" i="6" s="1"/>
  <c r="S303" i="6" s="1"/>
  <c r="T303" i="6"/>
  <c r="C304" i="6"/>
  <c r="D304" i="6"/>
  <c r="L304" i="6" s="1"/>
  <c r="E304" i="6"/>
  <c r="F304" i="6"/>
  <c r="H304" i="6"/>
  <c r="I304" i="6"/>
  <c r="N304" i="6"/>
  <c r="R304" i="6"/>
  <c r="Q304" i="6" s="1"/>
  <c r="S304" i="6" s="1"/>
  <c r="T304" i="6"/>
  <c r="C305" i="6"/>
  <c r="D305" i="6"/>
  <c r="E305" i="6"/>
  <c r="F305" i="6"/>
  <c r="H305" i="6"/>
  <c r="I305" i="6"/>
  <c r="N305" i="6"/>
  <c r="R305" i="6"/>
  <c r="Q305" i="6" s="1"/>
  <c r="S305" i="6" s="1"/>
  <c r="T305" i="6"/>
  <c r="C306" i="6"/>
  <c r="D306" i="6"/>
  <c r="E306" i="6"/>
  <c r="E1093" i="6" s="1"/>
  <c r="F306" i="6"/>
  <c r="H306" i="6"/>
  <c r="I306" i="6"/>
  <c r="N306" i="6"/>
  <c r="R306" i="6"/>
  <c r="Q306" i="6" s="1"/>
  <c r="S306" i="6"/>
  <c r="T306" i="6"/>
  <c r="C307" i="6"/>
  <c r="D307" i="6"/>
  <c r="E307" i="6"/>
  <c r="L307" i="6" s="1"/>
  <c r="F307" i="6"/>
  <c r="H307" i="6"/>
  <c r="I307" i="6"/>
  <c r="N307" i="6"/>
  <c r="R307" i="6"/>
  <c r="Q307" i="6" s="1"/>
  <c r="S307" i="6" s="1"/>
  <c r="T307" i="6"/>
  <c r="T1093" i="6" s="1"/>
  <c r="C308" i="6"/>
  <c r="D308" i="6"/>
  <c r="E308" i="6"/>
  <c r="F308" i="6"/>
  <c r="H308" i="6"/>
  <c r="I308" i="6"/>
  <c r="N308" i="6"/>
  <c r="R308" i="6"/>
  <c r="T308" i="6"/>
  <c r="C309" i="6"/>
  <c r="D309" i="6"/>
  <c r="E309" i="6"/>
  <c r="F309" i="6"/>
  <c r="H309" i="6"/>
  <c r="I309" i="6"/>
  <c r="N309" i="6"/>
  <c r="R309" i="6"/>
  <c r="Q309" i="6" s="1"/>
  <c r="S309" i="6" s="1"/>
  <c r="T309" i="6"/>
  <c r="C310" i="6"/>
  <c r="D310" i="6"/>
  <c r="E310" i="6"/>
  <c r="F310" i="6"/>
  <c r="H310" i="6"/>
  <c r="I310" i="6"/>
  <c r="I1093" i="6" s="1"/>
  <c r="N310" i="6"/>
  <c r="R310" i="6"/>
  <c r="Q310" i="6" s="1"/>
  <c r="S310" i="6"/>
  <c r="T310" i="6"/>
  <c r="C311" i="6"/>
  <c r="D311" i="6"/>
  <c r="E311" i="6"/>
  <c r="L311" i="6" s="1"/>
  <c r="F311" i="6"/>
  <c r="H311" i="6"/>
  <c r="I311" i="6"/>
  <c r="N311" i="6"/>
  <c r="R311" i="6"/>
  <c r="Q311" i="6" s="1"/>
  <c r="S311" i="6" s="1"/>
  <c r="T311" i="6"/>
  <c r="C312" i="6"/>
  <c r="D312" i="6"/>
  <c r="E312" i="6"/>
  <c r="F312" i="6"/>
  <c r="H312" i="6"/>
  <c r="I312" i="6"/>
  <c r="N312" i="6"/>
  <c r="R312" i="6"/>
  <c r="Q312" i="6" s="1"/>
  <c r="S312" i="6"/>
  <c r="T312" i="6"/>
  <c r="C313" i="6"/>
  <c r="D313" i="6"/>
  <c r="E313" i="6"/>
  <c r="F313" i="6"/>
  <c r="H313" i="6"/>
  <c r="I313" i="6"/>
  <c r="L313" i="6"/>
  <c r="N313" i="6"/>
  <c r="R313" i="6"/>
  <c r="Q313" i="6" s="1"/>
  <c r="S313" i="6"/>
  <c r="T313" i="6"/>
  <c r="C314" i="6"/>
  <c r="D314" i="6"/>
  <c r="E314" i="6"/>
  <c r="F314" i="6"/>
  <c r="L314" i="6" s="1"/>
  <c r="H314" i="6"/>
  <c r="I314" i="6"/>
  <c r="N314" i="6"/>
  <c r="R314" i="6"/>
  <c r="Q314" i="6" s="1"/>
  <c r="S314" i="6"/>
  <c r="T314" i="6"/>
  <c r="C315" i="6"/>
  <c r="D315" i="6"/>
  <c r="E315" i="6"/>
  <c r="F315" i="6"/>
  <c r="L315" i="6" s="1"/>
  <c r="H315" i="6"/>
  <c r="I315" i="6"/>
  <c r="N315" i="6"/>
  <c r="R315" i="6"/>
  <c r="Q315" i="6" s="1"/>
  <c r="S315" i="6" s="1"/>
  <c r="T315" i="6"/>
  <c r="C316" i="6"/>
  <c r="D316" i="6"/>
  <c r="E316" i="6"/>
  <c r="F316" i="6"/>
  <c r="H316" i="6"/>
  <c r="I316" i="6"/>
  <c r="N316" i="6"/>
  <c r="R316" i="6"/>
  <c r="Q316" i="6" s="1"/>
  <c r="S316" i="6" s="1"/>
  <c r="T316" i="6"/>
  <c r="C317" i="6"/>
  <c r="D317" i="6"/>
  <c r="L317" i="6" s="1"/>
  <c r="E317" i="6"/>
  <c r="F317" i="6"/>
  <c r="H317" i="6"/>
  <c r="I317" i="6"/>
  <c r="N317" i="6"/>
  <c r="R317" i="6"/>
  <c r="Q317" i="6" s="1"/>
  <c r="S317" i="6"/>
  <c r="T317" i="6"/>
  <c r="C318" i="6"/>
  <c r="D318" i="6"/>
  <c r="E318" i="6"/>
  <c r="L318" i="6" s="1"/>
  <c r="F318" i="6"/>
  <c r="H318" i="6"/>
  <c r="I318" i="6"/>
  <c r="N318" i="6"/>
  <c r="R318" i="6"/>
  <c r="Q318" i="6" s="1"/>
  <c r="S318" i="6"/>
  <c r="T318" i="6"/>
  <c r="T1094" i="6" s="1"/>
  <c r="C319" i="6"/>
  <c r="D319" i="6"/>
  <c r="E319" i="6"/>
  <c r="F319" i="6"/>
  <c r="L319" i="6" s="1"/>
  <c r="H319" i="6"/>
  <c r="I319" i="6"/>
  <c r="N319" i="6"/>
  <c r="R319" i="6"/>
  <c r="Q319" i="6" s="1"/>
  <c r="S319" i="6" s="1"/>
  <c r="S1094" i="6" s="1"/>
  <c r="T319" i="6"/>
  <c r="C320" i="6"/>
  <c r="D320" i="6"/>
  <c r="L320" i="6" s="1"/>
  <c r="E320" i="6"/>
  <c r="F320" i="6"/>
  <c r="H320" i="6"/>
  <c r="I320" i="6"/>
  <c r="N320" i="6"/>
  <c r="N1094" i="6" s="1"/>
  <c r="R320" i="6"/>
  <c r="Q320" i="6" s="1"/>
  <c r="S320" i="6" s="1"/>
  <c r="T320" i="6"/>
  <c r="C321" i="6"/>
  <c r="D321" i="6"/>
  <c r="L321" i="6" s="1"/>
  <c r="E321" i="6"/>
  <c r="F321" i="6"/>
  <c r="H321" i="6"/>
  <c r="I321" i="6"/>
  <c r="N321" i="6"/>
  <c r="R321" i="6"/>
  <c r="Q321" i="6" s="1"/>
  <c r="S321" i="6"/>
  <c r="T321" i="6"/>
  <c r="C322" i="6"/>
  <c r="D322" i="6"/>
  <c r="E322" i="6"/>
  <c r="F322" i="6"/>
  <c r="H322" i="6"/>
  <c r="I322" i="6"/>
  <c r="L322" i="6"/>
  <c r="N322" i="6"/>
  <c r="R322" i="6"/>
  <c r="Q322" i="6" s="1"/>
  <c r="S322" i="6"/>
  <c r="T322" i="6"/>
  <c r="C323" i="6"/>
  <c r="D323" i="6"/>
  <c r="E323" i="6"/>
  <c r="F323" i="6"/>
  <c r="H323" i="6"/>
  <c r="I323" i="6"/>
  <c r="N323" i="6"/>
  <c r="R323" i="6"/>
  <c r="Q323" i="6" s="1"/>
  <c r="S323" i="6" s="1"/>
  <c r="T323" i="6"/>
  <c r="C324" i="6"/>
  <c r="D324" i="6"/>
  <c r="L324" i="6" s="1"/>
  <c r="E324" i="6"/>
  <c r="F324" i="6"/>
  <c r="H324" i="6"/>
  <c r="I324" i="6"/>
  <c r="N324" i="6"/>
  <c r="R324" i="6"/>
  <c r="Q324" i="6" s="1"/>
  <c r="S324" i="6" s="1"/>
  <c r="T324" i="6"/>
  <c r="C325" i="6"/>
  <c r="D325" i="6"/>
  <c r="E325" i="6"/>
  <c r="F325" i="6"/>
  <c r="H325" i="6"/>
  <c r="I325" i="6"/>
  <c r="N325" i="6"/>
  <c r="R325" i="6"/>
  <c r="Q325" i="6" s="1"/>
  <c r="S325" i="6" s="1"/>
  <c r="T325" i="6"/>
  <c r="C326" i="6"/>
  <c r="D326" i="6"/>
  <c r="E326" i="6"/>
  <c r="F326" i="6"/>
  <c r="H326" i="6"/>
  <c r="I326" i="6"/>
  <c r="N326" i="6"/>
  <c r="R326" i="6"/>
  <c r="Q326" i="6" s="1"/>
  <c r="S326" i="6"/>
  <c r="T326" i="6"/>
  <c r="C327" i="6"/>
  <c r="D327" i="6"/>
  <c r="E327" i="6"/>
  <c r="F327" i="6"/>
  <c r="H327" i="6"/>
  <c r="I327" i="6"/>
  <c r="N327" i="6"/>
  <c r="R327" i="6"/>
  <c r="Q327" i="6" s="1"/>
  <c r="S327" i="6" s="1"/>
  <c r="T327" i="6"/>
  <c r="C328" i="6"/>
  <c r="D328" i="6"/>
  <c r="E328" i="6"/>
  <c r="F328" i="6"/>
  <c r="H328" i="6"/>
  <c r="I328" i="6"/>
  <c r="N328" i="6"/>
  <c r="R328" i="6"/>
  <c r="Q328" i="6" s="1"/>
  <c r="S328" i="6"/>
  <c r="T328" i="6"/>
  <c r="C329" i="6"/>
  <c r="D329" i="6"/>
  <c r="E329" i="6"/>
  <c r="F329" i="6"/>
  <c r="H329" i="6"/>
  <c r="I329" i="6"/>
  <c r="L329" i="6"/>
  <c r="N329" i="6"/>
  <c r="R329" i="6"/>
  <c r="Q329" i="6" s="1"/>
  <c r="S329" i="6"/>
  <c r="T329" i="6"/>
  <c r="C330" i="6"/>
  <c r="D330" i="6"/>
  <c r="E330" i="6"/>
  <c r="F330" i="6"/>
  <c r="H330" i="6"/>
  <c r="I330" i="6"/>
  <c r="N330" i="6"/>
  <c r="R330" i="6"/>
  <c r="Q330" i="6" s="1"/>
  <c r="S330" i="6"/>
  <c r="T330" i="6"/>
  <c r="C331" i="6"/>
  <c r="D331" i="6"/>
  <c r="E331" i="6"/>
  <c r="F331" i="6"/>
  <c r="H331" i="6"/>
  <c r="I331" i="6"/>
  <c r="N331" i="6"/>
  <c r="N1095" i="6" s="1"/>
  <c r="R331" i="6"/>
  <c r="Q331" i="6" s="1"/>
  <c r="S331" i="6" s="1"/>
  <c r="T331" i="6"/>
  <c r="T1095" i="6" s="1"/>
  <c r="C332" i="6"/>
  <c r="D332" i="6"/>
  <c r="E332" i="6"/>
  <c r="F332" i="6"/>
  <c r="H332" i="6"/>
  <c r="I332" i="6"/>
  <c r="N332" i="6"/>
  <c r="R332" i="6"/>
  <c r="T332" i="6"/>
  <c r="C333" i="6"/>
  <c r="D333" i="6"/>
  <c r="L333" i="6" s="1"/>
  <c r="E333" i="6"/>
  <c r="F333" i="6"/>
  <c r="H333" i="6"/>
  <c r="I333" i="6"/>
  <c r="N333" i="6"/>
  <c r="R333" i="6"/>
  <c r="Q333" i="6" s="1"/>
  <c r="S333" i="6"/>
  <c r="T333" i="6"/>
  <c r="C334" i="6"/>
  <c r="D334" i="6"/>
  <c r="E334" i="6"/>
  <c r="L334" i="6" s="1"/>
  <c r="F334" i="6"/>
  <c r="H334" i="6"/>
  <c r="I334" i="6"/>
  <c r="N334" i="6"/>
  <c r="R334" i="6"/>
  <c r="Q334" i="6" s="1"/>
  <c r="S334" i="6"/>
  <c r="T334" i="6"/>
  <c r="C335" i="6"/>
  <c r="D335" i="6"/>
  <c r="E335" i="6"/>
  <c r="L335" i="6" s="1"/>
  <c r="F335" i="6"/>
  <c r="H335" i="6"/>
  <c r="I335" i="6"/>
  <c r="N335" i="6"/>
  <c r="R335" i="6"/>
  <c r="Q335" i="6" s="1"/>
  <c r="S335" i="6" s="1"/>
  <c r="T335" i="6"/>
  <c r="C336" i="6"/>
  <c r="D336" i="6"/>
  <c r="E336" i="6"/>
  <c r="F336" i="6"/>
  <c r="H336" i="6"/>
  <c r="I336" i="6"/>
  <c r="N336" i="6"/>
  <c r="R336" i="6"/>
  <c r="Q336" i="6" s="1"/>
  <c r="S336" i="6" s="1"/>
  <c r="T336" i="6"/>
  <c r="C337" i="6"/>
  <c r="D337" i="6"/>
  <c r="E337" i="6"/>
  <c r="F337" i="6"/>
  <c r="H337" i="6"/>
  <c r="I337" i="6"/>
  <c r="N337" i="6"/>
  <c r="R337" i="6"/>
  <c r="T337" i="6"/>
  <c r="C338" i="6"/>
  <c r="D338" i="6"/>
  <c r="L338" i="6" s="1"/>
  <c r="E338" i="6"/>
  <c r="F338" i="6"/>
  <c r="H338" i="6"/>
  <c r="I338" i="6"/>
  <c r="N338" i="6"/>
  <c r="R338" i="6"/>
  <c r="Q338" i="6" s="1"/>
  <c r="S338" i="6"/>
  <c r="T338" i="6"/>
  <c r="C339" i="6"/>
  <c r="D339" i="6"/>
  <c r="E339" i="6"/>
  <c r="L339" i="6" s="1"/>
  <c r="F339" i="6"/>
  <c r="H339" i="6"/>
  <c r="I339" i="6"/>
  <c r="N339" i="6"/>
  <c r="R339" i="6"/>
  <c r="Q339" i="6" s="1"/>
  <c r="S339" i="6" s="1"/>
  <c r="T339" i="6"/>
  <c r="C340" i="6"/>
  <c r="D340" i="6"/>
  <c r="E340" i="6"/>
  <c r="F340" i="6"/>
  <c r="H340" i="6"/>
  <c r="I340" i="6"/>
  <c r="N340" i="6"/>
  <c r="R340" i="6"/>
  <c r="Q340" i="6" s="1"/>
  <c r="S340" i="6" s="1"/>
  <c r="T340" i="6"/>
  <c r="C341" i="6"/>
  <c r="D341" i="6"/>
  <c r="E341" i="6"/>
  <c r="E1096" i="6" s="1"/>
  <c r="F341" i="6"/>
  <c r="H341" i="6"/>
  <c r="I341" i="6"/>
  <c r="N341" i="6"/>
  <c r="R341" i="6"/>
  <c r="Q341" i="6" s="1"/>
  <c r="S341" i="6" s="1"/>
  <c r="T341" i="6"/>
  <c r="C342" i="6"/>
  <c r="D342" i="6"/>
  <c r="L342" i="6" s="1"/>
  <c r="E342" i="6"/>
  <c r="F342" i="6"/>
  <c r="H342" i="6"/>
  <c r="I342" i="6"/>
  <c r="N342" i="6"/>
  <c r="R342" i="6"/>
  <c r="Q342" i="6" s="1"/>
  <c r="S342" i="6"/>
  <c r="T342" i="6"/>
  <c r="T1096" i="6" s="1"/>
  <c r="C343" i="6"/>
  <c r="D343" i="6"/>
  <c r="E343" i="6"/>
  <c r="F343" i="6"/>
  <c r="H343" i="6"/>
  <c r="I343" i="6"/>
  <c r="L343" i="6"/>
  <c r="N343" i="6"/>
  <c r="N1096" i="6" s="1"/>
  <c r="R343" i="6"/>
  <c r="Q343" i="6" s="1"/>
  <c r="S343" i="6" s="1"/>
  <c r="T343" i="6"/>
  <c r="C344" i="6"/>
  <c r="D344" i="6"/>
  <c r="E344" i="6"/>
  <c r="F344" i="6"/>
  <c r="H344" i="6"/>
  <c r="I344" i="6"/>
  <c r="N344" i="6"/>
  <c r="R344" i="6"/>
  <c r="Q344" i="6" s="1"/>
  <c r="S344" i="6" s="1"/>
  <c r="T344" i="6"/>
  <c r="C345" i="6"/>
  <c r="D345" i="6"/>
  <c r="E345" i="6"/>
  <c r="F345" i="6"/>
  <c r="H345" i="6"/>
  <c r="I345" i="6"/>
  <c r="L345" i="6" s="1"/>
  <c r="N345" i="6"/>
  <c r="R345" i="6"/>
  <c r="Q345" i="6" s="1"/>
  <c r="S345" i="6"/>
  <c r="T345" i="6"/>
  <c r="C346" i="6"/>
  <c r="D346" i="6"/>
  <c r="E346" i="6"/>
  <c r="L346" i="6" s="1"/>
  <c r="F346" i="6"/>
  <c r="H346" i="6"/>
  <c r="I346" i="6"/>
  <c r="N346" i="6"/>
  <c r="R346" i="6"/>
  <c r="Q346" i="6" s="1"/>
  <c r="S346" i="6"/>
  <c r="T346" i="6"/>
  <c r="C347" i="6"/>
  <c r="D347" i="6"/>
  <c r="E347" i="6"/>
  <c r="F347" i="6"/>
  <c r="L347" i="6" s="1"/>
  <c r="H347" i="6"/>
  <c r="I347" i="6"/>
  <c r="N347" i="6"/>
  <c r="R347" i="6"/>
  <c r="Q347" i="6" s="1"/>
  <c r="S347" i="6" s="1"/>
  <c r="T347" i="6"/>
  <c r="C348" i="6"/>
  <c r="D348" i="6"/>
  <c r="L348" i="6" s="1"/>
  <c r="E348" i="6"/>
  <c r="F348" i="6"/>
  <c r="H348" i="6"/>
  <c r="I348" i="6"/>
  <c r="N348" i="6"/>
  <c r="R348" i="6"/>
  <c r="Q348" i="6" s="1"/>
  <c r="S348" i="6" s="1"/>
  <c r="T348" i="6"/>
  <c r="C349" i="6"/>
  <c r="D349" i="6"/>
  <c r="E349" i="6"/>
  <c r="F349" i="6"/>
  <c r="H349" i="6"/>
  <c r="I349" i="6"/>
  <c r="N349" i="6"/>
  <c r="R349" i="6"/>
  <c r="Q349" i="6" s="1"/>
  <c r="S349" i="6"/>
  <c r="T349" i="6"/>
  <c r="C350" i="6"/>
  <c r="D350" i="6"/>
  <c r="E350" i="6"/>
  <c r="F350" i="6"/>
  <c r="H350" i="6"/>
  <c r="I350" i="6"/>
  <c r="L350" i="6"/>
  <c r="N350" i="6"/>
  <c r="R350" i="6"/>
  <c r="Q350" i="6" s="1"/>
  <c r="S350" i="6"/>
  <c r="T350" i="6"/>
  <c r="C351" i="6"/>
  <c r="D351" i="6"/>
  <c r="E351" i="6"/>
  <c r="F351" i="6"/>
  <c r="H351" i="6"/>
  <c r="I351" i="6"/>
  <c r="N351" i="6"/>
  <c r="R351" i="6"/>
  <c r="Q351" i="6" s="1"/>
  <c r="S351" i="6" s="1"/>
  <c r="T351" i="6"/>
  <c r="C352" i="6"/>
  <c r="D352" i="6"/>
  <c r="L352" i="6" s="1"/>
  <c r="E352" i="6"/>
  <c r="F352" i="6"/>
  <c r="H352" i="6"/>
  <c r="I352" i="6"/>
  <c r="N352" i="6"/>
  <c r="R352" i="6"/>
  <c r="Q352" i="6" s="1"/>
  <c r="S352" i="6" s="1"/>
  <c r="T352" i="6"/>
  <c r="C353" i="6"/>
  <c r="D353" i="6"/>
  <c r="E353" i="6"/>
  <c r="F353" i="6"/>
  <c r="H353" i="6"/>
  <c r="I353" i="6"/>
  <c r="N353" i="6"/>
  <c r="Q353" i="6"/>
  <c r="S353" i="6" s="1"/>
  <c r="R353" i="6"/>
  <c r="T353" i="6"/>
  <c r="C354" i="6"/>
  <c r="D354" i="6"/>
  <c r="E354" i="6"/>
  <c r="F354" i="6"/>
  <c r="H354" i="6"/>
  <c r="I354" i="6"/>
  <c r="N354" i="6"/>
  <c r="R354" i="6"/>
  <c r="T354" i="6"/>
  <c r="C355" i="6"/>
  <c r="D355" i="6"/>
  <c r="L355" i="6" s="1"/>
  <c r="E355" i="6"/>
  <c r="F355" i="6"/>
  <c r="H355" i="6"/>
  <c r="I355" i="6"/>
  <c r="N355" i="6"/>
  <c r="R355" i="6"/>
  <c r="Q355" i="6" s="1"/>
  <c r="S355" i="6" s="1"/>
  <c r="T355" i="6"/>
  <c r="C356" i="6"/>
  <c r="L356" i="6" s="1"/>
  <c r="D356" i="6"/>
  <c r="E356" i="6"/>
  <c r="F356" i="6"/>
  <c r="H356" i="6"/>
  <c r="I356" i="6"/>
  <c r="N356" i="6"/>
  <c r="R356" i="6"/>
  <c r="Q356" i="6" s="1"/>
  <c r="S356" i="6" s="1"/>
  <c r="T356" i="6"/>
  <c r="C357" i="6"/>
  <c r="D357" i="6"/>
  <c r="E357" i="6"/>
  <c r="F357" i="6"/>
  <c r="H357" i="6"/>
  <c r="H1097" i="6" s="1"/>
  <c r="I357" i="6"/>
  <c r="N357" i="6"/>
  <c r="Q357" i="6"/>
  <c r="S357" i="6" s="1"/>
  <c r="R357" i="6"/>
  <c r="T357" i="6"/>
  <c r="C358" i="6"/>
  <c r="D358" i="6"/>
  <c r="E358" i="6"/>
  <c r="E1097" i="6" s="1"/>
  <c r="F358" i="6"/>
  <c r="H358" i="6"/>
  <c r="I358" i="6"/>
  <c r="N358" i="6"/>
  <c r="R358" i="6"/>
  <c r="Q358" i="6" s="1"/>
  <c r="S358" i="6" s="1"/>
  <c r="T358" i="6"/>
  <c r="C359" i="6"/>
  <c r="D359" i="6"/>
  <c r="L359" i="6" s="1"/>
  <c r="E359" i="6"/>
  <c r="F359" i="6"/>
  <c r="H359" i="6"/>
  <c r="I359" i="6"/>
  <c r="N359" i="6"/>
  <c r="R359" i="6"/>
  <c r="Q359" i="6" s="1"/>
  <c r="S359" i="6" s="1"/>
  <c r="T359" i="6"/>
  <c r="C360" i="6"/>
  <c r="D360" i="6"/>
  <c r="E360" i="6"/>
  <c r="F360" i="6"/>
  <c r="H360" i="6"/>
  <c r="I360" i="6"/>
  <c r="N360" i="6"/>
  <c r="Q360" i="6"/>
  <c r="R360" i="6"/>
  <c r="T360" i="6"/>
  <c r="C361" i="6"/>
  <c r="L361" i="6" s="1"/>
  <c r="D361" i="6"/>
  <c r="E361" i="6"/>
  <c r="F361" i="6"/>
  <c r="H361" i="6"/>
  <c r="I361" i="6"/>
  <c r="N361" i="6"/>
  <c r="R361" i="6"/>
  <c r="Q361" i="6" s="1"/>
  <c r="S361" i="6" s="1"/>
  <c r="T361" i="6"/>
  <c r="C362" i="6"/>
  <c r="D362" i="6"/>
  <c r="E362" i="6"/>
  <c r="F362" i="6"/>
  <c r="H362" i="6"/>
  <c r="I362" i="6"/>
  <c r="N362" i="6"/>
  <c r="R362" i="6"/>
  <c r="Q362" i="6" s="1"/>
  <c r="S362" i="6" s="1"/>
  <c r="T362" i="6"/>
  <c r="C363" i="6"/>
  <c r="D363" i="6"/>
  <c r="E363" i="6"/>
  <c r="F363" i="6"/>
  <c r="H363" i="6"/>
  <c r="I363" i="6"/>
  <c r="N363" i="6"/>
  <c r="R363" i="6"/>
  <c r="Q363" i="6" s="1"/>
  <c r="S363" i="6" s="1"/>
  <c r="T363" i="6"/>
  <c r="C364" i="6"/>
  <c r="D364" i="6"/>
  <c r="E364" i="6"/>
  <c r="E1098" i="6" s="1"/>
  <c r="F364" i="6"/>
  <c r="H364" i="6"/>
  <c r="I364" i="6"/>
  <c r="N364" i="6"/>
  <c r="Q364" i="6"/>
  <c r="S364" i="6" s="1"/>
  <c r="R364" i="6"/>
  <c r="T364" i="6"/>
  <c r="C365" i="6"/>
  <c r="D365" i="6"/>
  <c r="E365" i="6"/>
  <c r="F365" i="6"/>
  <c r="H365" i="6"/>
  <c r="I365" i="6"/>
  <c r="N365" i="6"/>
  <c r="Q365" i="6"/>
  <c r="S365" i="6" s="1"/>
  <c r="R365" i="6"/>
  <c r="T365" i="6"/>
  <c r="C366" i="6"/>
  <c r="D366" i="6"/>
  <c r="E366" i="6"/>
  <c r="F366" i="6"/>
  <c r="H366" i="6"/>
  <c r="I366" i="6"/>
  <c r="N366" i="6"/>
  <c r="R366" i="6"/>
  <c r="Q366" i="6" s="1"/>
  <c r="S366" i="6" s="1"/>
  <c r="T366" i="6"/>
  <c r="C367" i="6"/>
  <c r="D367" i="6"/>
  <c r="E367" i="6"/>
  <c r="F367" i="6"/>
  <c r="H367" i="6"/>
  <c r="I367" i="6"/>
  <c r="N367" i="6"/>
  <c r="R367" i="6"/>
  <c r="Q367" i="6" s="1"/>
  <c r="S367" i="6" s="1"/>
  <c r="T367" i="6"/>
  <c r="C368" i="6"/>
  <c r="D368" i="6"/>
  <c r="E368" i="6"/>
  <c r="F368" i="6"/>
  <c r="H368" i="6"/>
  <c r="I368" i="6"/>
  <c r="N368" i="6"/>
  <c r="Q368" i="6"/>
  <c r="S368" i="6" s="1"/>
  <c r="R368" i="6"/>
  <c r="T368" i="6"/>
  <c r="C369" i="6"/>
  <c r="D369" i="6"/>
  <c r="D1098" i="6" s="1"/>
  <c r="E369" i="6"/>
  <c r="F369" i="6"/>
  <c r="H369" i="6"/>
  <c r="I369" i="6"/>
  <c r="N369" i="6"/>
  <c r="Q369" i="6"/>
  <c r="S369" i="6" s="1"/>
  <c r="R369" i="6"/>
  <c r="T369" i="6"/>
  <c r="C370" i="6"/>
  <c r="D370" i="6"/>
  <c r="E370" i="6"/>
  <c r="F370" i="6"/>
  <c r="H370" i="6"/>
  <c r="I370" i="6"/>
  <c r="N370" i="6"/>
  <c r="R370" i="6"/>
  <c r="T370" i="6"/>
  <c r="C371" i="6"/>
  <c r="D371" i="6"/>
  <c r="L371" i="6" s="1"/>
  <c r="E371" i="6"/>
  <c r="F371" i="6"/>
  <c r="H371" i="6"/>
  <c r="I371" i="6"/>
  <c r="N371" i="6"/>
  <c r="R371" i="6"/>
  <c r="Q371" i="6" s="1"/>
  <c r="S371" i="6" s="1"/>
  <c r="T371" i="6"/>
  <c r="C372" i="6"/>
  <c r="L372" i="6" s="1"/>
  <c r="D372" i="6"/>
  <c r="E372" i="6"/>
  <c r="F372" i="6"/>
  <c r="H372" i="6"/>
  <c r="I372" i="6"/>
  <c r="N372" i="6"/>
  <c r="R372" i="6"/>
  <c r="Q372" i="6" s="1"/>
  <c r="T372" i="6"/>
  <c r="C373" i="6"/>
  <c r="D373" i="6"/>
  <c r="E373" i="6"/>
  <c r="F373" i="6"/>
  <c r="H373" i="6"/>
  <c r="H1099" i="6" s="1"/>
  <c r="I373" i="6"/>
  <c r="N373" i="6"/>
  <c r="Q373" i="6"/>
  <c r="S373" i="6" s="1"/>
  <c r="R373" i="6"/>
  <c r="T373" i="6"/>
  <c r="C374" i="6"/>
  <c r="D374" i="6"/>
  <c r="E374" i="6"/>
  <c r="F374" i="6"/>
  <c r="H374" i="6"/>
  <c r="I374" i="6"/>
  <c r="N374" i="6"/>
  <c r="R374" i="6"/>
  <c r="Q374" i="6" s="1"/>
  <c r="S374" i="6" s="1"/>
  <c r="T374" i="6"/>
  <c r="C375" i="6"/>
  <c r="D375" i="6"/>
  <c r="L375" i="6" s="1"/>
  <c r="E375" i="6"/>
  <c r="F375" i="6"/>
  <c r="H375" i="6"/>
  <c r="I375" i="6"/>
  <c r="N375" i="6"/>
  <c r="R375" i="6"/>
  <c r="Q375" i="6" s="1"/>
  <c r="S375" i="6" s="1"/>
  <c r="T375" i="6"/>
  <c r="C376" i="6"/>
  <c r="D376" i="6"/>
  <c r="E376" i="6"/>
  <c r="F376" i="6"/>
  <c r="H376" i="6"/>
  <c r="I376" i="6"/>
  <c r="N376" i="6"/>
  <c r="Q376" i="6"/>
  <c r="S376" i="6" s="1"/>
  <c r="R376" i="6"/>
  <c r="T376" i="6"/>
  <c r="C377" i="6"/>
  <c r="L377" i="6" s="1"/>
  <c r="D377" i="6"/>
  <c r="E377" i="6"/>
  <c r="F377" i="6"/>
  <c r="H377" i="6"/>
  <c r="I377" i="6"/>
  <c r="N377" i="6"/>
  <c r="R377" i="6"/>
  <c r="Q377" i="6" s="1"/>
  <c r="T377" i="6"/>
  <c r="C378" i="6"/>
  <c r="D378" i="6"/>
  <c r="E378" i="6"/>
  <c r="F378" i="6"/>
  <c r="H378" i="6"/>
  <c r="I378" i="6"/>
  <c r="N378" i="6"/>
  <c r="R378" i="6"/>
  <c r="Q378" i="6" s="1"/>
  <c r="S378" i="6" s="1"/>
  <c r="T378" i="6"/>
  <c r="C379" i="6"/>
  <c r="D379" i="6"/>
  <c r="E379" i="6"/>
  <c r="F379" i="6"/>
  <c r="H379" i="6"/>
  <c r="I379" i="6"/>
  <c r="N379" i="6"/>
  <c r="R379" i="6"/>
  <c r="Q379" i="6" s="1"/>
  <c r="S379" i="6" s="1"/>
  <c r="T379" i="6"/>
  <c r="C380" i="6"/>
  <c r="D380" i="6"/>
  <c r="E380" i="6"/>
  <c r="F380" i="6"/>
  <c r="H380" i="6"/>
  <c r="I380" i="6"/>
  <c r="N380" i="6"/>
  <c r="Q380" i="6"/>
  <c r="S380" i="6" s="1"/>
  <c r="R380" i="6"/>
  <c r="T380" i="6"/>
  <c r="C381" i="6"/>
  <c r="L381" i="6" s="1"/>
  <c r="D381" i="6"/>
  <c r="E381" i="6"/>
  <c r="F381" i="6"/>
  <c r="H381" i="6"/>
  <c r="I381" i="6"/>
  <c r="N381" i="6"/>
  <c r="Q381" i="6"/>
  <c r="S381" i="6" s="1"/>
  <c r="R381" i="6"/>
  <c r="T381" i="6"/>
  <c r="C382" i="6"/>
  <c r="D382" i="6"/>
  <c r="E382" i="6"/>
  <c r="F382" i="6"/>
  <c r="H382" i="6"/>
  <c r="I382" i="6"/>
  <c r="N382" i="6"/>
  <c r="R382" i="6"/>
  <c r="Q382" i="6" s="1"/>
  <c r="S382" i="6" s="1"/>
  <c r="T382" i="6"/>
  <c r="C383" i="6"/>
  <c r="D383" i="6"/>
  <c r="E383" i="6"/>
  <c r="F383" i="6"/>
  <c r="H383" i="6"/>
  <c r="I383" i="6"/>
  <c r="N383" i="6"/>
  <c r="R383" i="6"/>
  <c r="Q383" i="6" s="1"/>
  <c r="S383" i="6" s="1"/>
  <c r="T383" i="6"/>
  <c r="C384" i="6"/>
  <c r="D384" i="6"/>
  <c r="E384" i="6"/>
  <c r="F384" i="6"/>
  <c r="H384" i="6"/>
  <c r="I384" i="6"/>
  <c r="N384" i="6"/>
  <c r="Q384" i="6"/>
  <c r="S384" i="6" s="1"/>
  <c r="R384" i="6"/>
  <c r="T384" i="6"/>
  <c r="C385" i="6"/>
  <c r="D385" i="6"/>
  <c r="E385" i="6"/>
  <c r="F385" i="6"/>
  <c r="H385" i="6"/>
  <c r="I385" i="6"/>
  <c r="N385" i="6"/>
  <c r="Q385" i="6"/>
  <c r="S385" i="6" s="1"/>
  <c r="R385" i="6"/>
  <c r="T385" i="6"/>
  <c r="C386" i="6"/>
  <c r="D386" i="6"/>
  <c r="L386" i="6" s="1"/>
  <c r="E386" i="6"/>
  <c r="F386" i="6"/>
  <c r="H386" i="6"/>
  <c r="I386" i="6"/>
  <c r="N386" i="6"/>
  <c r="R386" i="6"/>
  <c r="T386" i="6"/>
  <c r="C387" i="6"/>
  <c r="D387" i="6"/>
  <c r="E387" i="6"/>
  <c r="F387" i="6"/>
  <c r="H387" i="6"/>
  <c r="I387" i="6"/>
  <c r="N387" i="6"/>
  <c r="Q387" i="6"/>
  <c r="S387" i="6" s="1"/>
  <c r="R387" i="6"/>
  <c r="T387" i="6"/>
  <c r="C388" i="6"/>
  <c r="D388" i="6"/>
  <c r="E388" i="6"/>
  <c r="F388" i="6"/>
  <c r="H388" i="6"/>
  <c r="L388" i="6" s="1"/>
  <c r="I388" i="6"/>
  <c r="N388" i="6"/>
  <c r="Q388" i="6"/>
  <c r="S388" i="6" s="1"/>
  <c r="R388" i="6"/>
  <c r="T388" i="6"/>
  <c r="C389" i="6"/>
  <c r="D389" i="6"/>
  <c r="E389" i="6"/>
  <c r="F389" i="6"/>
  <c r="H389" i="6"/>
  <c r="I389" i="6"/>
  <c r="N389" i="6"/>
  <c r="R389" i="6"/>
  <c r="Q389" i="6" s="1"/>
  <c r="S389" i="6"/>
  <c r="T389" i="6"/>
  <c r="C390" i="6"/>
  <c r="D390" i="6"/>
  <c r="E390" i="6"/>
  <c r="F390" i="6"/>
  <c r="H390" i="6"/>
  <c r="I390" i="6"/>
  <c r="L390" i="6"/>
  <c r="N390" i="6"/>
  <c r="R390" i="6"/>
  <c r="Q390" i="6" s="1"/>
  <c r="S390" i="6" s="1"/>
  <c r="T390" i="6"/>
  <c r="C391" i="6"/>
  <c r="D391" i="6"/>
  <c r="E391" i="6"/>
  <c r="E1100" i="6" s="1"/>
  <c r="F391" i="6"/>
  <c r="H391" i="6"/>
  <c r="H1100" i="6" s="1"/>
  <c r="I391" i="6"/>
  <c r="N391" i="6"/>
  <c r="R391" i="6"/>
  <c r="Q391" i="6" s="1"/>
  <c r="S391" i="6" s="1"/>
  <c r="T391" i="6"/>
  <c r="C392" i="6"/>
  <c r="D392" i="6"/>
  <c r="D1100" i="6" s="1"/>
  <c r="E392" i="6"/>
  <c r="F392" i="6"/>
  <c r="H392" i="6"/>
  <c r="I392" i="6"/>
  <c r="N392" i="6"/>
  <c r="R392" i="6"/>
  <c r="Q392" i="6" s="1"/>
  <c r="S392" i="6" s="1"/>
  <c r="T392" i="6"/>
  <c r="C393" i="6"/>
  <c r="L393" i="6" s="1"/>
  <c r="D393" i="6"/>
  <c r="E393" i="6"/>
  <c r="F393" i="6"/>
  <c r="H393" i="6"/>
  <c r="I393" i="6"/>
  <c r="N393" i="6"/>
  <c r="R393" i="6"/>
  <c r="Q393" i="6" s="1"/>
  <c r="T393" i="6"/>
  <c r="C394" i="6"/>
  <c r="D394" i="6"/>
  <c r="E394" i="6"/>
  <c r="F394" i="6"/>
  <c r="H394" i="6"/>
  <c r="I394" i="6"/>
  <c r="I1100" i="6" s="1"/>
  <c r="N394" i="6"/>
  <c r="R394" i="6"/>
  <c r="Q394" i="6" s="1"/>
  <c r="S394" i="6" s="1"/>
  <c r="T394" i="6"/>
  <c r="C395" i="6"/>
  <c r="D395" i="6"/>
  <c r="E395" i="6"/>
  <c r="F395" i="6"/>
  <c r="H395" i="6"/>
  <c r="I395" i="6"/>
  <c r="N395" i="6"/>
  <c r="Q395" i="6"/>
  <c r="R395" i="6"/>
  <c r="S395" i="6"/>
  <c r="T395" i="6"/>
  <c r="C396" i="6"/>
  <c r="D396" i="6"/>
  <c r="E396" i="6"/>
  <c r="F396" i="6"/>
  <c r="H396" i="6"/>
  <c r="I396" i="6"/>
  <c r="L396" i="6"/>
  <c r="N396" i="6"/>
  <c r="Q396" i="6"/>
  <c r="S396" i="6" s="1"/>
  <c r="R396" i="6"/>
  <c r="T396" i="6"/>
  <c r="C397" i="6"/>
  <c r="D397" i="6"/>
  <c r="E397" i="6"/>
  <c r="F397" i="6"/>
  <c r="H397" i="6"/>
  <c r="I397" i="6"/>
  <c r="N397" i="6"/>
  <c r="R397" i="6"/>
  <c r="T397" i="6"/>
  <c r="C398" i="6"/>
  <c r="D398" i="6"/>
  <c r="E398" i="6"/>
  <c r="F398" i="6"/>
  <c r="H398" i="6"/>
  <c r="I398" i="6"/>
  <c r="N398" i="6"/>
  <c r="R398" i="6"/>
  <c r="Q398" i="6" s="1"/>
  <c r="S398" i="6" s="1"/>
  <c r="T398" i="6"/>
  <c r="C399" i="6"/>
  <c r="D399" i="6"/>
  <c r="E399" i="6"/>
  <c r="E1101" i="6" s="1"/>
  <c r="F399" i="6"/>
  <c r="H399" i="6"/>
  <c r="I399" i="6"/>
  <c r="N399" i="6"/>
  <c r="Q399" i="6"/>
  <c r="S399" i="6" s="1"/>
  <c r="R399" i="6"/>
  <c r="T399" i="6"/>
  <c r="C400" i="6"/>
  <c r="L400" i="6" s="1"/>
  <c r="D400" i="6"/>
  <c r="E400" i="6"/>
  <c r="F400" i="6"/>
  <c r="H400" i="6"/>
  <c r="I400" i="6"/>
  <c r="N400" i="6"/>
  <c r="Q400" i="6"/>
  <c r="S400" i="6" s="1"/>
  <c r="R400" i="6"/>
  <c r="T400" i="6"/>
  <c r="C401" i="6"/>
  <c r="D401" i="6"/>
  <c r="E401" i="6"/>
  <c r="F401" i="6"/>
  <c r="H401" i="6"/>
  <c r="I401" i="6"/>
  <c r="N401" i="6"/>
  <c r="R401" i="6"/>
  <c r="Q401" i="6" s="1"/>
  <c r="S401" i="6" s="1"/>
  <c r="T401" i="6"/>
  <c r="C402" i="6"/>
  <c r="D402" i="6"/>
  <c r="L402" i="6" s="1"/>
  <c r="E402" i="6"/>
  <c r="F402" i="6"/>
  <c r="H402" i="6"/>
  <c r="I402" i="6"/>
  <c r="N402" i="6"/>
  <c r="R402" i="6"/>
  <c r="Q402" i="6" s="1"/>
  <c r="S402" i="6" s="1"/>
  <c r="T402" i="6"/>
  <c r="C403" i="6"/>
  <c r="D403" i="6"/>
  <c r="E403" i="6"/>
  <c r="F403" i="6"/>
  <c r="H403" i="6"/>
  <c r="I403" i="6"/>
  <c r="N403" i="6"/>
  <c r="Q403" i="6"/>
  <c r="R403" i="6"/>
  <c r="T403" i="6"/>
  <c r="C404" i="6"/>
  <c r="D404" i="6"/>
  <c r="E404" i="6"/>
  <c r="F404" i="6"/>
  <c r="H404" i="6"/>
  <c r="L404" i="6" s="1"/>
  <c r="I404" i="6"/>
  <c r="N404" i="6"/>
  <c r="Q404" i="6"/>
  <c r="S404" i="6" s="1"/>
  <c r="R404" i="6"/>
  <c r="T404" i="6"/>
  <c r="C405" i="6"/>
  <c r="D405" i="6"/>
  <c r="E405" i="6"/>
  <c r="F405" i="6"/>
  <c r="H405" i="6"/>
  <c r="I405" i="6"/>
  <c r="N405" i="6"/>
  <c r="R405" i="6"/>
  <c r="Q405" i="6" s="1"/>
  <c r="S405" i="6" s="1"/>
  <c r="T405" i="6"/>
  <c r="C406" i="6"/>
  <c r="D406" i="6"/>
  <c r="E406" i="6"/>
  <c r="F406" i="6"/>
  <c r="H406" i="6"/>
  <c r="I406" i="6"/>
  <c r="L406" i="6" s="1"/>
  <c r="N406" i="6"/>
  <c r="R406" i="6"/>
  <c r="Q406" i="6" s="1"/>
  <c r="S406" i="6" s="1"/>
  <c r="T406" i="6"/>
  <c r="C407" i="6"/>
  <c r="D407" i="6"/>
  <c r="E407" i="6"/>
  <c r="F407" i="6"/>
  <c r="H407" i="6"/>
  <c r="I407" i="6"/>
  <c r="N407" i="6"/>
  <c r="R407" i="6"/>
  <c r="Q407" i="6" s="1"/>
  <c r="S407" i="6" s="1"/>
  <c r="T407" i="6"/>
  <c r="C408" i="6"/>
  <c r="L408" i="6" s="1"/>
  <c r="D408" i="6"/>
  <c r="E408" i="6"/>
  <c r="F408" i="6"/>
  <c r="H408" i="6"/>
  <c r="I408" i="6"/>
  <c r="N408" i="6"/>
  <c r="R408" i="6"/>
  <c r="T408" i="6"/>
  <c r="C409" i="6"/>
  <c r="D409" i="6"/>
  <c r="E409" i="6"/>
  <c r="F409" i="6"/>
  <c r="H409" i="6"/>
  <c r="I409" i="6"/>
  <c r="N409" i="6"/>
  <c r="Q409" i="6"/>
  <c r="R409" i="6"/>
  <c r="S409" i="6"/>
  <c r="T409" i="6"/>
  <c r="C410" i="6"/>
  <c r="D410" i="6"/>
  <c r="E410" i="6"/>
  <c r="F410" i="6"/>
  <c r="H410" i="6"/>
  <c r="I410" i="6"/>
  <c r="L410" i="6"/>
  <c r="N410" i="6"/>
  <c r="R410" i="6"/>
  <c r="Q410" i="6" s="1"/>
  <c r="S410" i="6" s="1"/>
  <c r="T410" i="6"/>
  <c r="C411" i="6"/>
  <c r="D411" i="6"/>
  <c r="E411" i="6"/>
  <c r="F411" i="6"/>
  <c r="H411" i="6"/>
  <c r="H1102" i="6" s="1"/>
  <c r="I411" i="6"/>
  <c r="N411" i="6"/>
  <c r="Q411" i="6"/>
  <c r="R411" i="6"/>
  <c r="S411" i="6"/>
  <c r="T411" i="6"/>
  <c r="C412" i="6"/>
  <c r="D412" i="6"/>
  <c r="L412" i="6" s="1"/>
  <c r="E412" i="6"/>
  <c r="F412" i="6"/>
  <c r="H412" i="6"/>
  <c r="I412" i="6"/>
  <c r="N412" i="6"/>
  <c r="R412" i="6"/>
  <c r="Q412" i="6" s="1"/>
  <c r="S412" i="6" s="1"/>
  <c r="T412" i="6"/>
  <c r="C413" i="6"/>
  <c r="D413" i="6"/>
  <c r="E413" i="6"/>
  <c r="F413" i="6"/>
  <c r="H413" i="6"/>
  <c r="I413" i="6"/>
  <c r="N413" i="6"/>
  <c r="R413" i="6"/>
  <c r="Q413" i="6" s="1"/>
  <c r="S413" i="6" s="1"/>
  <c r="T413" i="6"/>
  <c r="C414" i="6"/>
  <c r="D414" i="6"/>
  <c r="E414" i="6"/>
  <c r="F414" i="6"/>
  <c r="H414" i="6"/>
  <c r="I414" i="6"/>
  <c r="I1102" i="6" s="1"/>
  <c r="N414" i="6"/>
  <c r="R414" i="6"/>
  <c r="Q414" i="6" s="1"/>
  <c r="S414" i="6" s="1"/>
  <c r="T414" i="6"/>
  <c r="C415" i="6"/>
  <c r="D415" i="6"/>
  <c r="E415" i="6"/>
  <c r="F415" i="6"/>
  <c r="H415" i="6"/>
  <c r="I415" i="6"/>
  <c r="N415" i="6"/>
  <c r="Q415" i="6"/>
  <c r="S415" i="6" s="1"/>
  <c r="R415" i="6"/>
  <c r="T415" i="6"/>
  <c r="C416" i="6"/>
  <c r="L416" i="6" s="1"/>
  <c r="D416" i="6"/>
  <c r="E416" i="6"/>
  <c r="F416" i="6"/>
  <c r="H416" i="6"/>
  <c r="I416" i="6"/>
  <c r="N416" i="6"/>
  <c r="Q416" i="6"/>
  <c r="S416" i="6" s="1"/>
  <c r="R416" i="6"/>
  <c r="T416" i="6"/>
  <c r="C417" i="6"/>
  <c r="D417" i="6"/>
  <c r="E417" i="6"/>
  <c r="F417" i="6"/>
  <c r="H417" i="6"/>
  <c r="I417" i="6"/>
  <c r="N417" i="6"/>
  <c r="R417" i="6"/>
  <c r="Q417" i="6" s="1"/>
  <c r="S417" i="6" s="1"/>
  <c r="T417" i="6"/>
  <c r="C418" i="6"/>
  <c r="D418" i="6"/>
  <c r="L418" i="6" s="1"/>
  <c r="E418" i="6"/>
  <c r="F418" i="6"/>
  <c r="H418" i="6"/>
  <c r="I418" i="6"/>
  <c r="N418" i="6"/>
  <c r="R418" i="6"/>
  <c r="Q418" i="6" s="1"/>
  <c r="S418" i="6" s="1"/>
  <c r="T418" i="6"/>
  <c r="C419" i="6"/>
  <c r="D419" i="6"/>
  <c r="E419" i="6"/>
  <c r="F419" i="6"/>
  <c r="H419" i="6"/>
  <c r="I419" i="6"/>
  <c r="N419" i="6"/>
  <c r="Q419" i="6"/>
  <c r="S419" i="6" s="1"/>
  <c r="R419" i="6"/>
  <c r="T419" i="6"/>
  <c r="C420" i="6"/>
  <c r="D420" i="6"/>
  <c r="E420" i="6"/>
  <c r="F420" i="6"/>
  <c r="H420" i="6"/>
  <c r="I420" i="6"/>
  <c r="N420" i="6"/>
  <c r="Q420" i="6"/>
  <c r="S420" i="6" s="1"/>
  <c r="R420" i="6"/>
  <c r="T420" i="6"/>
  <c r="C421" i="6"/>
  <c r="L421" i="6" s="1"/>
  <c r="D421" i="6"/>
  <c r="E421" i="6"/>
  <c r="F421" i="6"/>
  <c r="H421" i="6"/>
  <c r="I421" i="6"/>
  <c r="N421" i="6"/>
  <c r="R421" i="6"/>
  <c r="Q421" i="6" s="1"/>
  <c r="S421" i="6" s="1"/>
  <c r="T421" i="6"/>
  <c r="C422" i="6"/>
  <c r="D422" i="6"/>
  <c r="E422" i="6"/>
  <c r="F422" i="6"/>
  <c r="H422" i="6"/>
  <c r="I422" i="6"/>
  <c r="L422" i="6" s="1"/>
  <c r="N422" i="6"/>
  <c r="R422" i="6"/>
  <c r="Q422" i="6" s="1"/>
  <c r="T422" i="6"/>
  <c r="C423" i="6"/>
  <c r="D423" i="6"/>
  <c r="E423" i="6"/>
  <c r="E1103" i="6" s="1"/>
  <c r="F423" i="6"/>
  <c r="H423" i="6"/>
  <c r="I423" i="6"/>
  <c r="N423" i="6"/>
  <c r="R423" i="6"/>
  <c r="Q423" i="6" s="1"/>
  <c r="S423" i="6" s="1"/>
  <c r="T423" i="6"/>
  <c r="C424" i="6"/>
  <c r="D424" i="6"/>
  <c r="E424" i="6"/>
  <c r="F424" i="6"/>
  <c r="H424" i="6"/>
  <c r="I424" i="6"/>
  <c r="N424" i="6"/>
  <c r="R424" i="6"/>
  <c r="Q424" i="6" s="1"/>
  <c r="S424" i="6" s="1"/>
  <c r="T424" i="6"/>
  <c r="C425" i="6"/>
  <c r="L425" i="6" s="1"/>
  <c r="D425" i="6"/>
  <c r="E425" i="6"/>
  <c r="F425" i="6"/>
  <c r="H425" i="6"/>
  <c r="I425" i="6"/>
  <c r="N425" i="6"/>
  <c r="R425" i="6"/>
  <c r="T425" i="6"/>
  <c r="C426" i="6"/>
  <c r="D426" i="6"/>
  <c r="E426" i="6"/>
  <c r="F426" i="6"/>
  <c r="H426" i="6"/>
  <c r="I426" i="6"/>
  <c r="I1103" i="6" s="1"/>
  <c r="N426" i="6"/>
  <c r="R426" i="6"/>
  <c r="Q426" i="6" s="1"/>
  <c r="S426" i="6" s="1"/>
  <c r="T426" i="6"/>
  <c r="C427" i="6"/>
  <c r="D427" i="6"/>
  <c r="E427" i="6"/>
  <c r="F427" i="6"/>
  <c r="H427" i="6"/>
  <c r="I427" i="6"/>
  <c r="N427" i="6"/>
  <c r="Q427" i="6"/>
  <c r="R427" i="6"/>
  <c r="S427" i="6"/>
  <c r="T427" i="6"/>
  <c r="C428" i="6"/>
  <c r="D428" i="6"/>
  <c r="E428" i="6"/>
  <c r="F428" i="6"/>
  <c r="H428" i="6"/>
  <c r="I428" i="6"/>
  <c r="L428" i="6"/>
  <c r="N428" i="6"/>
  <c r="Q428" i="6"/>
  <c r="S428" i="6" s="1"/>
  <c r="R428" i="6"/>
  <c r="T428" i="6"/>
  <c r="C429" i="6"/>
  <c r="D429" i="6"/>
  <c r="E429" i="6"/>
  <c r="F429" i="6"/>
  <c r="H429" i="6"/>
  <c r="I429" i="6"/>
  <c r="N429" i="6"/>
  <c r="R429" i="6"/>
  <c r="Q429" i="6" s="1"/>
  <c r="S429" i="6" s="1"/>
  <c r="T429" i="6"/>
  <c r="C430" i="6"/>
  <c r="D430" i="6"/>
  <c r="E430" i="6"/>
  <c r="F430" i="6"/>
  <c r="H430" i="6"/>
  <c r="I430" i="6"/>
  <c r="N430" i="6"/>
  <c r="R430" i="6"/>
  <c r="Q430" i="6" s="1"/>
  <c r="S430" i="6" s="1"/>
  <c r="T430" i="6"/>
  <c r="C431" i="6"/>
  <c r="D431" i="6"/>
  <c r="E431" i="6"/>
  <c r="F431" i="6"/>
  <c r="H431" i="6"/>
  <c r="I431" i="6"/>
  <c r="N431" i="6"/>
  <c r="Q431" i="6"/>
  <c r="S431" i="6" s="1"/>
  <c r="R431" i="6"/>
  <c r="T431" i="6"/>
  <c r="C432" i="6"/>
  <c r="D432" i="6"/>
  <c r="E432" i="6"/>
  <c r="F432" i="6"/>
  <c r="H432" i="6"/>
  <c r="I432" i="6"/>
  <c r="N432" i="6"/>
  <c r="Q432" i="6"/>
  <c r="R432" i="6"/>
  <c r="T432" i="6"/>
  <c r="C433" i="6"/>
  <c r="D433" i="6"/>
  <c r="E433" i="6"/>
  <c r="F433" i="6"/>
  <c r="H433" i="6"/>
  <c r="I433" i="6"/>
  <c r="I1104" i="6" s="1"/>
  <c r="N433" i="6"/>
  <c r="R433" i="6"/>
  <c r="Q433" i="6" s="1"/>
  <c r="S433" i="6" s="1"/>
  <c r="T433" i="6"/>
  <c r="C434" i="6"/>
  <c r="D434" i="6"/>
  <c r="L434" i="6" s="1"/>
  <c r="E434" i="6"/>
  <c r="F434" i="6"/>
  <c r="H434" i="6"/>
  <c r="I434" i="6"/>
  <c r="N434" i="6"/>
  <c r="R434" i="6"/>
  <c r="Q434" i="6" s="1"/>
  <c r="S434" i="6" s="1"/>
  <c r="T434" i="6"/>
  <c r="C435" i="6"/>
  <c r="D435" i="6"/>
  <c r="E435" i="6"/>
  <c r="F435" i="6"/>
  <c r="H435" i="6"/>
  <c r="I435" i="6"/>
  <c r="N435" i="6"/>
  <c r="Q435" i="6"/>
  <c r="S435" i="6" s="1"/>
  <c r="R435" i="6"/>
  <c r="T435" i="6"/>
  <c r="C436" i="6"/>
  <c r="D436" i="6"/>
  <c r="E436" i="6"/>
  <c r="F436" i="6"/>
  <c r="H436" i="6"/>
  <c r="L436" i="6" s="1"/>
  <c r="I436" i="6"/>
  <c r="N436" i="6"/>
  <c r="Q436" i="6"/>
  <c r="S436" i="6" s="1"/>
  <c r="R436" i="6"/>
  <c r="T436" i="6"/>
  <c r="C437" i="6"/>
  <c r="D437" i="6"/>
  <c r="E437" i="6"/>
  <c r="F437" i="6"/>
  <c r="H437" i="6"/>
  <c r="I437" i="6"/>
  <c r="N437" i="6"/>
  <c r="R437" i="6"/>
  <c r="Q437" i="6" s="1"/>
  <c r="S437" i="6" s="1"/>
  <c r="T437" i="6"/>
  <c r="C438" i="6"/>
  <c r="D438" i="6"/>
  <c r="E438" i="6"/>
  <c r="F438" i="6"/>
  <c r="H438" i="6"/>
  <c r="I438" i="6"/>
  <c r="L438" i="6" s="1"/>
  <c r="N438" i="6"/>
  <c r="R438" i="6"/>
  <c r="Q438" i="6" s="1"/>
  <c r="S438" i="6" s="1"/>
  <c r="T438" i="6"/>
  <c r="C439" i="6"/>
  <c r="D439" i="6"/>
  <c r="E439" i="6"/>
  <c r="F439" i="6"/>
  <c r="H439" i="6"/>
  <c r="I439" i="6"/>
  <c r="N439" i="6"/>
  <c r="R439" i="6"/>
  <c r="Q439" i="6" s="1"/>
  <c r="S439" i="6" s="1"/>
  <c r="T439" i="6"/>
  <c r="C440" i="6"/>
  <c r="L440" i="6" s="1"/>
  <c r="D440" i="6"/>
  <c r="E440" i="6"/>
  <c r="F440" i="6"/>
  <c r="H440" i="6"/>
  <c r="I440" i="6"/>
  <c r="N440" i="6"/>
  <c r="R440" i="6"/>
  <c r="Q440" i="6" s="1"/>
  <c r="S440" i="6" s="1"/>
  <c r="T440" i="6"/>
  <c r="C441" i="6"/>
  <c r="D441" i="6"/>
  <c r="E441" i="6"/>
  <c r="F441" i="6"/>
  <c r="H441" i="6"/>
  <c r="I441" i="6"/>
  <c r="N441" i="6"/>
  <c r="Q441" i="6"/>
  <c r="R441" i="6"/>
  <c r="T441" i="6"/>
  <c r="C442" i="6"/>
  <c r="D442" i="6"/>
  <c r="E442" i="6"/>
  <c r="F442" i="6"/>
  <c r="H442" i="6"/>
  <c r="I442" i="6"/>
  <c r="N442" i="6"/>
  <c r="R442" i="6"/>
  <c r="Q442" i="6" s="1"/>
  <c r="S442" i="6" s="1"/>
  <c r="T442" i="6"/>
  <c r="C443" i="6"/>
  <c r="D443" i="6"/>
  <c r="E443" i="6"/>
  <c r="F443" i="6"/>
  <c r="H443" i="6"/>
  <c r="I443" i="6"/>
  <c r="N443" i="6"/>
  <c r="Q443" i="6"/>
  <c r="R443" i="6"/>
  <c r="S443" i="6"/>
  <c r="T443" i="6"/>
  <c r="C444" i="6"/>
  <c r="D444" i="6"/>
  <c r="E444" i="6"/>
  <c r="F444" i="6"/>
  <c r="H444" i="6"/>
  <c r="I444" i="6"/>
  <c r="N444" i="6"/>
  <c r="Q444" i="6"/>
  <c r="R444" i="6"/>
  <c r="T444" i="6"/>
  <c r="C445" i="6"/>
  <c r="D445" i="6"/>
  <c r="E445" i="6"/>
  <c r="F445" i="6"/>
  <c r="H445" i="6"/>
  <c r="I445" i="6"/>
  <c r="I1105" i="6" s="1"/>
  <c r="N445" i="6"/>
  <c r="R445" i="6"/>
  <c r="Q445" i="6" s="1"/>
  <c r="S445" i="6" s="1"/>
  <c r="T445" i="6"/>
  <c r="C446" i="6"/>
  <c r="D446" i="6"/>
  <c r="E446" i="6"/>
  <c r="F446" i="6"/>
  <c r="H446" i="6"/>
  <c r="I446" i="6"/>
  <c r="N446" i="6"/>
  <c r="R446" i="6"/>
  <c r="Q446" i="6" s="1"/>
  <c r="S446" i="6" s="1"/>
  <c r="T446" i="6"/>
  <c r="C447" i="6"/>
  <c r="D447" i="6"/>
  <c r="E447" i="6"/>
  <c r="E1105" i="6" s="1"/>
  <c r="F447" i="6"/>
  <c r="H447" i="6"/>
  <c r="I447" i="6"/>
  <c r="N447" i="6"/>
  <c r="Q447" i="6"/>
  <c r="S447" i="6" s="1"/>
  <c r="R447" i="6"/>
  <c r="T447" i="6"/>
  <c r="C448" i="6"/>
  <c r="D448" i="6"/>
  <c r="E448" i="6"/>
  <c r="F448" i="6"/>
  <c r="H448" i="6"/>
  <c r="I448" i="6"/>
  <c r="N448" i="6"/>
  <c r="R448" i="6"/>
  <c r="Q448" i="6" s="1"/>
  <c r="S448" i="6" s="1"/>
  <c r="T448" i="6"/>
  <c r="C449" i="6"/>
  <c r="D449" i="6"/>
  <c r="E449" i="6"/>
  <c r="F449" i="6"/>
  <c r="H449" i="6"/>
  <c r="I449" i="6"/>
  <c r="N449" i="6"/>
  <c r="R449" i="6"/>
  <c r="Q449" i="6" s="1"/>
  <c r="S449" i="6" s="1"/>
  <c r="T449" i="6"/>
  <c r="C450" i="6"/>
  <c r="D450" i="6"/>
  <c r="L450" i="6" s="1"/>
  <c r="E450" i="6"/>
  <c r="F450" i="6"/>
  <c r="H450" i="6"/>
  <c r="I450" i="6"/>
  <c r="N450" i="6"/>
  <c r="R450" i="6"/>
  <c r="Q450" i="6" s="1"/>
  <c r="T450" i="6"/>
  <c r="C451" i="6"/>
  <c r="D451" i="6"/>
  <c r="E451" i="6"/>
  <c r="F451" i="6"/>
  <c r="H451" i="6"/>
  <c r="I451" i="6"/>
  <c r="N451" i="6"/>
  <c r="Q451" i="6"/>
  <c r="S451" i="6" s="1"/>
  <c r="R451" i="6"/>
  <c r="T451" i="6"/>
  <c r="C452" i="6"/>
  <c r="D452" i="6"/>
  <c r="E452" i="6"/>
  <c r="F452" i="6"/>
  <c r="H452" i="6"/>
  <c r="L452" i="6" s="1"/>
  <c r="I452" i="6"/>
  <c r="N452" i="6"/>
  <c r="Q452" i="6"/>
  <c r="S452" i="6" s="1"/>
  <c r="R452" i="6"/>
  <c r="T452" i="6"/>
  <c r="C453" i="6"/>
  <c r="D453" i="6"/>
  <c r="D1105" i="6" s="1"/>
  <c r="E453" i="6"/>
  <c r="F453" i="6"/>
  <c r="H453" i="6"/>
  <c r="I453" i="6"/>
  <c r="N453" i="6"/>
  <c r="R453" i="6"/>
  <c r="Q453" i="6" s="1"/>
  <c r="S453" i="6"/>
  <c r="T453" i="6"/>
  <c r="C454" i="6"/>
  <c r="D454" i="6"/>
  <c r="E454" i="6"/>
  <c r="F454" i="6"/>
  <c r="H454" i="6"/>
  <c r="I454" i="6"/>
  <c r="L454" i="6"/>
  <c r="N454" i="6"/>
  <c r="R454" i="6"/>
  <c r="Q454" i="6" s="1"/>
  <c r="S454" i="6" s="1"/>
  <c r="T454" i="6"/>
  <c r="C455" i="6"/>
  <c r="D455" i="6"/>
  <c r="E455" i="6"/>
  <c r="F455" i="6"/>
  <c r="H455" i="6"/>
  <c r="I455" i="6"/>
  <c r="N455" i="6"/>
  <c r="R455" i="6"/>
  <c r="Q455" i="6" s="1"/>
  <c r="S455" i="6" s="1"/>
  <c r="T455" i="6"/>
  <c r="C456" i="6"/>
  <c r="L456" i="6" s="1"/>
  <c r="D456" i="6"/>
  <c r="E456" i="6"/>
  <c r="F456" i="6"/>
  <c r="H456" i="6"/>
  <c r="I456" i="6"/>
  <c r="N456" i="6"/>
  <c r="R456" i="6"/>
  <c r="T456" i="6"/>
  <c r="C457" i="6"/>
  <c r="D457" i="6"/>
  <c r="E457" i="6"/>
  <c r="E1106" i="6" s="1"/>
  <c r="F457" i="6"/>
  <c r="H457" i="6"/>
  <c r="I457" i="6"/>
  <c r="N457" i="6"/>
  <c r="Q457" i="6"/>
  <c r="S457" i="6" s="1"/>
  <c r="R457" i="6"/>
  <c r="T457" i="6"/>
  <c r="C458" i="6"/>
  <c r="D458" i="6"/>
  <c r="E458" i="6"/>
  <c r="F458" i="6"/>
  <c r="H458" i="6"/>
  <c r="L458" i="6" s="1"/>
  <c r="I458" i="6"/>
  <c r="N458" i="6"/>
  <c r="R458" i="6"/>
  <c r="Q458" i="6" s="1"/>
  <c r="S458" i="6" s="1"/>
  <c r="T458" i="6"/>
  <c r="C459" i="6"/>
  <c r="D459" i="6"/>
  <c r="D1106" i="6" s="1"/>
  <c r="E459" i="6"/>
  <c r="F459" i="6"/>
  <c r="H459" i="6"/>
  <c r="I459" i="6"/>
  <c r="N459" i="6"/>
  <c r="Q459" i="6"/>
  <c r="R459" i="6"/>
  <c r="S459" i="6"/>
  <c r="T459" i="6"/>
  <c r="C460" i="6"/>
  <c r="D460" i="6"/>
  <c r="E460" i="6"/>
  <c r="F460" i="6"/>
  <c r="H460" i="6"/>
  <c r="I460" i="6"/>
  <c r="L460" i="6"/>
  <c r="N460" i="6"/>
  <c r="Q460" i="6"/>
  <c r="S460" i="6" s="1"/>
  <c r="R460" i="6"/>
  <c r="T460" i="6"/>
  <c r="C461" i="6"/>
  <c r="D461" i="6"/>
  <c r="E461" i="6"/>
  <c r="F461" i="6"/>
  <c r="H461" i="6"/>
  <c r="I461" i="6"/>
  <c r="N461" i="6"/>
  <c r="R461" i="6"/>
  <c r="Q461" i="6" s="1"/>
  <c r="S461" i="6" s="1"/>
  <c r="T461" i="6"/>
  <c r="C462" i="6"/>
  <c r="D462" i="6"/>
  <c r="E462" i="6"/>
  <c r="F462" i="6"/>
  <c r="H462" i="6"/>
  <c r="I462" i="6"/>
  <c r="N462" i="6"/>
  <c r="R462" i="6"/>
  <c r="Q462" i="6" s="1"/>
  <c r="S462" i="6" s="1"/>
  <c r="T462" i="6"/>
  <c r="C463" i="6"/>
  <c r="D463" i="6"/>
  <c r="E463" i="6"/>
  <c r="F463" i="6"/>
  <c r="H463" i="6"/>
  <c r="I463" i="6"/>
  <c r="N463" i="6"/>
  <c r="Q463" i="6"/>
  <c r="S463" i="6" s="1"/>
  <c r="R463" i="6"/>
  <c r="T463" i="6"/>
  <c r="C464" i="6"/>
  <c r="L464" i="6" s="1"/>
  <c r="D464" i="6"/>
  <c r="E464" i="6"/>
  <c r="F464" i="6"/>
  <c r="H464" i="6"/>
  <c r="I464" i="6"/>
  <c r="N464" i="6"/>
  <c r="Q464" i="6"/>
  <c r="R464" i="6"/>
  <c r="T464" i="6"/>
  <c r="C465" i="6"/>
  <c r="D465" i="6"/>
  <c r="E465" i="6"/>
  <c r="F465" i="6"/>
  <c r="H465" i="6"/>
  <c r="I465" i="6"/>
  <c r="I1106" i="6" s="1"/>
  <c r="N465" i="6"/>
  <c r="R465" i="6"/>
  <c r="Q465" i="6" s="1"/>
  <c r="S465" i="6" s="1"/>
  <c r="T465" i="6"/>
  <c r="C466" i="6"/>
  <c r="D466" i="6"/>
  <c r="L466" i="6" s="1"/>
  <c r="E466" i="6"/>
  <c r="F466" i="6"/>
  <c r="H466" i="6"/>
  <c r="I466" i="6"/>
  <c r="N466" i="6"/>
  <c r="R466" i="6"/>
  <c r="Q466" i="6" s="1"/>
  <c r="S466" i="6" s="1"/>
  <c r="T466" i="6"/>
  <c r="C467" i="6"/>
  <c r="D467" i="6"/>
  <c r="E467" i="6"/>
  <c r="F467" i="6"/>
  <c r="H467" i="6"/>
  <c r="I467" i="6"/>
  <c r="N467" i="6"/>
  <c r="Q467" i="6"/>
  <c r="S467" i="6" s="1"/>
  <c r="R467" i="6"/>
  <c r="T467" i="6"/>
  <c r="C468" i="6"/>
  <c r="D468" i="6"/>
  <c r="E468" i="6"/>
  <c r="F468" i="6"/>
  <c r="H468" i="6"/>
  <c r="L468" i="6" s="1"/>
  <c r="I468" i="6"/>
  <c r="N468" i="6"/>
  <c r="Q468" i="6"/>
  <c r="S468" i="6" s="1"/>
  <c r="R468" i="6"/>
  <c r="T468" i="6"/>
  <c r="C469" i="6"/>
  <c r="L469" i="6" s="1"/>
  <c r="D469" i="6"/>
  <c r="E469" i="6"/>
  <c r="F469" i="6"/>
  <c r="H469" i="6"/>
  <c r="I469" i="6"/>
  <c r="N469" i="6"/>
  <c r="R469" i="6"/>
  <c r="T469" i="6"/>
  <c r="C470" i="6"/>
  <c r="D470" i="6"/>
  <c r="E470" i="6"/>
  <c r="F470" i="6"/>
  <c r="H470" i="6"/>
  <c r="I470" i="6"/>
  <c r="N470" i="6"/>
  <c r="R470" i="6"/>
  <c r="Q470" i="6" s="1"/>
  <c r="S470" i="6" s="1"/>
  <c r="T470" i="6"/>
  <c r="C471" i="6"/>
  <c r="D471" i="6"/>
  <c r="E471" i="6"/>
  <c r="E1107" i="6" s="1"/>
  <c r="F471" i="6"/>
  <c r="H471" i="6"/>
  <c r="I471" i="6"/>
  <c r="N471" i="6"/>
  <c r="R471" i="6"/>
  <c r="Q471" i="6" s="1"/>
  <c r="S471" i="6" s="1"/>
  <c r="T471" i="6"/>
  <c r="C472" i="6"/>
  <c r="D472" i="6"/>
  <c r="E472" i="6"/>
  <c r="F472" i="6"/>
  <c r="H472" i="6"/>
  <c r="I472" i="6"/>
  <c r="N472" i="6"/>
  <c r="R472" i="6"/>
  <c r="Q472" i="6" s="1"/>
  <c r="S472" i="6" s="1"/>
  <c r="T472" i="6"/>
  <c r="C473" i="6"/>
  <c r="D473" i="6"/>
  <c r="E473" i="6"/>
  <c r="F473" i="6"/>
  <c r="H473" i="6"/>
  <c r="I473" i="6"/>
  <c r="N473" i="6"/>
  <c r="R473" i="6"/>
  <c r="Q473" i="6" s="1"/>
  <c r="S473" i="6" s="1"/>
  <c r="T473" i="6"/>
  <c r="C474" i="6"/>
  <c r="D474" i="6"/>
  <c r="E474" i="6"/>
  <c r="F474" i="6"/>
  <c r="H474" i="6"/>
  <c r="I474" i="6"/>
  <c r="L474" i="6" s="1"/>
  <c r="N474" i="6"/>
  <c r="R474" i="6"/>
  <c r="Q474" i="6" s="1"/>
  <c r="S474" i="6" s="1"/>
  <c r="T474" i="6"/>
  <c r="C475" i="6"/>
  <c r="D475" i="6"/>
  <c r="E475" i="6"/>
  <c r="F475" i="6"/>
  <c r="H475" i="6"/>
  <c r="I475" i="6"/>
  <c r="N475" i="6"/>
  <c r="Q475" i="6"/>
  <c r="R475" i="6"/>
  <c r="S475" i="6"/>
  <c r="T475" i="6"/>
  <c r="C476" i="6"/>
  <c r="L476" i="6" s="1"/>
  <c r="D476" i="6"/>
  <c r="E476" i="6"/>
  <c r="F476" i="6"/>
  <c r="H476" i="6"/>
  <c r="I476" i="6"/>
  <c r="N476" i="6"/>
  <c r="R476" i="6"/>
  <c r="Q476" i="6" s="1"/>
  <c r="S476" i="6" s="1"/>
  <c r="T476" i="6"/>
  <c r="C477" i="6"/>
  <c r="D477" i="6"/>
  <c r="E477" i="6"/>
  <c r="F477" i="6"/>
  <c r="H477" i="6"/>
  <c r="I477" i="6"/>
  <c r="N477" i="6"/>
  <c r="Q477" i="6"/>
  <c r="S477" i="6" s="1"/>
  <c r="R477" i="6"/>
  <c r="T477" i="6"/>
  <c r="C478" i="6"/>
  <c r="D478" i="6"/>
  <c r="E478" i="6"/>
  <c r="F478" i="6"/>
  <c r="H478" i="6"/>
  <c r="H1107" i="6" s="1"/>
  <c r="I478" i="6"/>
  <c r="N478" i="6"/>
  <c r="Q478" i="6"/>
  <c r="S478" i="6" s="1"/>
  <c r="R478" i="6"/>
  <c r="T478" i="6"/>
  <c r="C479" i="6"/>
  <c r="D479" i="6"/>
  <c r="E479" i="6"/>
  <c r="F479" i="6"/>
  <c r="H479" i="6"/>
  <c r="I479" i="6"/>
  <c r="N479" i="6"/>
  <c r="R479" i="6"/>
  <c r="Q479" i="6" s="1"/>
  <c r="S479" i="6"/>
  <c r="T479" i="6"/>
  <c r="C480" i="6"/>
  <c r="D480" i="6"/>
  <c r="E480" i="6"/>
  <c r="F480" i="6"/>
  <c r="H480" i="6"/>
  <c r="I480" i="6"/>
  <c r="L480" i="6"/>
  <c r="N480" i="6"/>
  <c r="Q480" i="6"/>
  <c r="S480" i="6" s="1"/>
  <c r="R480" i="6"/>
  <c r="T480" i="6"/>
  <c r="C481" i="6"/>
  <c r="D481" i="6"/>
  <c r="E481" i="6"/>
  <c r="F481" i="6"/>
  <c r="H481" i="6"/>
  <c r="I481" i="6"/>
  <c r="N481" i="6"/>
  <c r="Q481" i="6"/>
  <c r="R481" i="6"/>
  <c r="S481" i="6"/>
  <c r="T481" i="6"/>
  <c r="C482" i="6"/>
  <c r="D482" i="6"/>
  <c r="E482" i="6"/>
  <c r="F482" i="6"/>
  <c r="H482" i="6"/>
  <c r="I482" i="6"/>
  <c r="N482" i="6"/>
  <c r="Q482" i="6"/>
  <c r="R482" i="6"/>
  <c r="T482" i="6"/>
  <c r="C483" i="6"/>
  <c r="D483" i="6"/>
  <c r="E483" i="6"/>
  <c r="F483" i="6"/>
  <c r="H483" i="6"/>
  <c r="I483" i="6"/>
  <c r="N483" i="6"/>
  <c r="Q483" i="6"/>
  <c r="R483" i="6"/>
  <c r="S483" i="6"/>
  <c r="T483" i="6"/>
  <c r="C484" i="6"/>
  <c r="D484" i="6"/>
  <c r="E484" i="6"/>
  <c r="F484" i="6"/>
  <c r="H484" i="6"/>
  <c r="I484" i="6"/>
  <c r="N484" i="6"/>
  <c r="Q484" i="6"/>
  <c r="S484" i="6" s="1"/>
  <c r="R484" i="6"/>
  <c r="R1108" i="6" s="1"/>
  <c r="T484" i="6"/>
  <c r="C485" i="6"/>
  <c r="D485" i="6"/>
  <c r="E485" i="6"/>
  <c r="F485" i="6"/>
  <c r="H485" i="6"/>
  <c r="I485" i="6"/>
  <c r="N485" i="6"/>
  <c r="Q485" i="6"/>
  <c r="S485" i="6" s="1"/>
  <c r="R485" i="6"/>
  <c r="T485" i="6"/>
  <c r="C486" i="6"/>
  <c r="D486" i="6"/>
  <c r="E486" i="6"/>
  <c r="F486" i="6"/>
  <c r="H486" i="6"/>
  <c r="I486" i="6"/>
  <c r="N486" i="6"/>
  <c r="Q486" i="6"/>
  <c r="S486" i="6" s="1"/>
  <c r="R486" i="6"/>
  <c r="T486" i="6"/>
  <c r="C487" i="6"/>
  <c r="D487" i="6"/>
  <c r="E487" i="6"/>
  <c r="F487" i="6"/>
  <c r="H487" i="6"/>
  <c r="I487" i="6"/>
  <c r="N487" i="6"/>
  <c r="Q487" i="6"/>
  <c r="R487" i="6"/>
  <c r="S487" i="6"/>
  <c r="T487" i="6"/>
  <c r="C488" i="6"/>
  <c r="D488" i="6"/>
  <c r="E488" i="6"/>
  <c r="F488" i="6"/>
  <c r="H488" i="6"/>
  <c r="I488" i="6"/>
  <c r="L488" i="6"/>
  <c r="N488" i="6"/>
  <c r="Q488" i="6"/>
  <c r="S488" i="6" s="1"/>
  <c r="R488" i="6"/>
  <c r="T488" i="6"/>
  <c r="C489" i="6"/>
  <c r="D489" i="6"/>
  <c r="E489" i="6"/>
  <c r="F489" i="6"/>
  <c r="H489" i="6"/>
  <c r="I489" i="6"/>
  <c r="N489" i="6"/>
  <c r="Q489" i="6"/>
  <c r="S489" i="6" s="1"/>
  <c r="R489" i="6"/>
  <c r="T489" i="6"/>
  <c r="C490" i="6"/>
  <c r="D490" i="6"/>
  <c r="E490" i="6"/>
  <c r="F490" i="6"/>
  <c r="H490" i="6"/>
  <c r="I490" i="6"/>
  <c r="N490" i="6"/>
  <c r="Q490" i="6"/>
  <c r="S490" i="6" s="1"/>
  <c r="R490" i="6"/>
  <c r="T490" i="6"/>
  <c r="C491" i="6"/>
  <c r="D491" i="6"/>
  <c r="E491" i="6"/>
  <c r="F491" i="6"/>
  <c r="H491" i="6"/>
  <c r="I491" i="6"/>
  <c r="N491" i="6"/>
  <c r="Q491" i="6"/>
  <c r="R491" i="6"/>
  <c r="S491" i="6"/>
  <c r="T491" i="6"/>
  <c r="C492" i="6"/>
  <c r="D492" i="6"/>
  <c r="E492" i="6"/>
  <c r="F492" i="6"/>
  <c r="H492" i="6"/>
  <c r="I492" i="6"/>
  <c r="L492" i="6"/>
  <c r="N492" i="6"/>
  <c r="Q492" i="6"/>
  <c r="S492" i="6" s="1"/>
  <c r="R492" i="6"/>
  <c r="T492" i="6"/>
  <c r="C493" i="6"/>
  <c r="D493" i="6"/>
  <c r="E493" i="6"/>
  <c r="F493" i="6"/>
  <c r="H493" i="6"/>
  <c r="I493" i="6"/>
  <c r="N493" i="6"/>
  <c r="Q493" i="6"/>
  <c r="S493" i="6" s="1"/>
  <c r="R493" i="6"/>
  <c r="T493" i="6"/>
  <c r="C494" i="6"/>
  <c r="D494" i="6"/>
  <c r="E494" i="6"/>
  <c r="F494" i="6"/>
  <c r="H494" i="6"/>
  <c r="I494" i="6"/>
  <c r="N494" i="6"/>
  <c r="Q494" i="6"/>
  <c r="S494" i="6" s="1"/>
  <c r="R494" i="6"/>
  <c r="T494" i="6"/>
  <c r="C495" i="6"/>
  <c r="D495" i="6"/>
  <c r="E495" i="6"/>
  <c r="F495" i="6"/>
  <c r="H495" i="6"/>
  <c r="I495" i="6"/>
  <c r="N495" i="6"/>
  <c r="Q495" i="6"/>
  <c r="S495" i="6" s="1"/>
  <c r="R495" i="6"/>
  <c r="T495" i="6"/>
  <c r="C496" i="6"/>
  <c r="D496" i="6"/>
  <c r="E496" i="6"/>
  <c r="F496" i="6"/>
  <c r="H496" i="6"/>
  <c r="L496" i="6" s="1"/>
  <c r="I496" i="6"/>
  <c r="N496" i="6"/>
  <c r="Q496" i="6"/>
  <c r="S496" i="6" s="1"/>
  <c r="R496" i="6"/>
  <c r="T496" i="6"/>
  <c r="C497" i="6"/>
  <c r="D497" i="6"/>
  <c r="E497" i="6"/>
  <c r="F497" i="6"/>
  <c r="H497" i="6"/>
  <c r="I497" i="6"/>
  <c r="N497" i="6"/>
  <c r="Q497" i="6"/>
  <c r="R497" i="6"/>
  <c r="S497" i="6"/>
  <c r="T497" i="6"/>
  <c r="C498" i="6"/>
  <c r="D498" i="6"/>
  <c r="E498" i="6"/>
  <c r="F498" i="6"/>
  <c r="H498" i="6"/>
  <c r="I498" i="6"/>
  <c r="L498" i="6"/>
  <c r="N498" i="6"/>
  <c r="Q498" i="6"/>
  <c r="S498" i="6" s="1"/>
  <c r="R498" i="6"/>
  <c r="T498" i="6"/>
  <c r="C499" i="6"/>
  <c r="D499" i="6"/>
  <c r="E499" i="6"/>
  <c r="F499" i="6"/>
  <c r="H499" i="6"/>
  <c r="I499" i="6"/>
  <c r="N499" i="6"/>
  <c r="Q499" i="6"/>
  <c r="R499" i="6"/>
  <c r="S499" i="6"/>
  <c r="T499" i="6"/>
  <c r="C500" i="6"/>
  <c r="D500" i="6"/>
  <c r="E500" i="6"/>
  <c r="F500" i="6"/>
  <c r="H500" i="6"/>
  <c r="I500" i="6"/>
  <c r="N500" i="6"/>
  <c r="Q500" i="6"/>
  <c r="S500" i="6" s="1"/>
  <c r="R500" i="6"/>
  <c r="T500" i="6"/>
  <c r="C501" i="6"/>
  <c r="D501" i="6"/>
  <c r="E501" i="6"/>
  <c r="F501" i="6"/>
  <c r="H501" i="6"/>
  <c r="I501" i="6"/>
  <c r="N501" i="6"/>
  <c r="Q501" i="6"/>
  <c r="S501" i="6" s="1"/>
  <c r="R501" i="6"/>
  <c r="T501" i="6"/>
  <c r="C502" i="6"/>
  <c r="L502" i="6" s="1"/>
  <c r="D502" i="6"/>
  <c r="E502" i="6"/>
  <c r="F502" i="6"/>
  <c r="H502" i="6"/>
  <c r="I502" i="6"/>
  <c r="N502" i="6"/>
  <c r="Q502" i="6"/>
  <c r="S502" i="6" s="1"/>
  <c r="R502" i="6"/>
  <c r="T502" i="6"/>
  <c r="C503" i="6"/>
  <c r="D503" i="6"/>
  <c r="E503" i="6"/>
  <c r="F503" i="6"/>
  <c r="H503" i="6"/>
  <c r="I503" i="6"/>
  <c r="N503" i="6"/>
  <c r="Q503" i="6"/>
  <c r="R503" i="6"/>
  <c r="S503" i="6"/>
  <c r="T503" i="6"/>
  <c r="C504" i="6"/>
  <c r="D504" i="6"/>
  <c r="E504" i="6"/>
  <c r="F504" i="6"/>
  <c r="H504" i="6"/>
  <c r="I504" i="6"/>
  <c r="L504" i="6"/>
  <c r="N504" i="6"/>
  <c r="Q504" i="6"/>
  <c r="S504" i="6" s="1"/>
  <c r="R504" i="6"/>
  <c r="T504" i="6"/>
  <c r="C505" i="6"/>
  <c r="L505" i="6" s="1"/>
  <c r="D505" i="6"/>
  <c r="E505" i="6"/>
  <c r="F505" i="6"/>
  <c r="H505" i="6"/>
  <c r="I505" i="6"/>
  <c r="N505" i="6"/>
  <c r="Q505" i="6"/>
  <c r="R505" i="6"/>
  <c r="T505" i="6"/>
  <c r="C506" i="6"/>
  <c r="D506" i="6"/>
  <c r="E506" i="6"/>
  <c r="F506" i="6"/>
  <c r="H506" i="6"/>
  <c r="I506" i="6"/>
  <c r="N506" i="6"/>
  <c r="Q506" i="6"/>
  <c r="R506" i="6"/>
  <c r="T506" i="6"/>
  <c r="C507" i="6"/>
  <c r="D507" i="6"/>
  <c r="E507" i="6"/>
  <c r="F507" i="6"/>
  <c r="H507" i="6"/>
  <c r="I507" i="6"/>
  <c r="N507" i="6"/>
  <c r="Q507" i="6"/>
  <c r="R507" i="6"/>
  <c r="S507" i="6"/>
  <c r="T507" i="6"/>
  <c r="C508" i="6"/>
  <c r="D508" i="6"/>
  <c r="E508" i="6"/>
  <c r="F508" i="6"/>
  <c r="H508" i="6"/>
  <c r="I508" i="6"/>
  <c r="L508" i="6"/>
  <c r="N508" i="6"/>
  <c r="Q508" i="6"/>
  <c r="S508" i="6" s="1"/>
  <c r="R508" i="6"/>
  <c r="T508" i="6"/>
  <c r="C509" i="6"/>
  <c r="D509" i="6"/>
  <c r="E509" i="6"/>
  <c r="F509" i="6"/>
  <c r="H509" i="6"/>
  <c r="I509" i="6"/>
  <c r="N509" i="6"/>
  <c r="Q509" i="6"/>
  <c r="R509" i="6"/>
  <c r="T509" i="6"/>
  <c r="C510" i="6"/>
  <c r="D510" i="6"/>
  <c r="E510" i="6"/>
  <c r="F510" i="6"/>
  <c r="H510" i="6"/>
  <c r="I510" i="6"/>
  <c r="N510" i="6"/>
  <c r="Q510" i="6"/>
  <c r="S510" i="6" s="1"/>
  <c r="R510" i="6"/>
  <c r="T510" i="6"/>
  <c r="C511" i="6"/>
  <c r="L511" i="6" s="1"/>
  <c r="D511" i="6"/>
  <c r="E511" i="6"/>
  <c r="F511" i="6"/>
  <c r="H511" i="6"/>
  <c r="I511" i="6"/>
  <c r="N511" i="6"/>
  <c r="Q511" i="6"/>
  <c r="R511" i="6"/>
  <c r="T511" i="6"/>
  <c r="C512" i="6"/>
  <c r="D512" i="6"/>
  <c r="E512" i="6"/>
  <c r="F512" i="6"/>
  <c r="H512" i="6"/>
  <c r="I512" i="6"/>
  <c r="N512" i="6"/>
  <c r="Q512" i="6"/>
  <c r="S512" i="6" s="1"/>
  <c r="R512" i="6"/>
  <c r="T512" i="6"/>
  <c r="C513" i="6"/>
  <c r="D513" i="6"/>
  <c r="E513" i="6"/>
  <c r="F513" i="6"/>
  <c r="H513" i="6"/>
  <c r="I513" i="6"/>
  <c r="N513" i="6"/>
  <c r="Q513" i="6"/>
  <c r="R513" i="6"/>
  <c r="S513" i="6"/>
  <c r="T513" i="6"/>
  <c r="C514" i="6"/>
  <c r="D514" i="6"/>
  <c r="E514" i="6"/>
  <c r="F514" i="6"/>
  <c r="H514" i="6"/>
  <c r="I514" i="6"/>
  <c r="L514" i="6"/>
  <c r="N514" i="6"/>
  <c r="Q514" i="6"/>
  <c r="S514" i="6" s="1"/>
  <c r="R514" i="6"/>
  <c r="T514" i="6"/>
  <c r="C515" i="6"/>
  <c r="D515" i="6"/>
  <c r="E515" i="6"/>
  <c r="F515" i="6"/>
  <c r="H515" i="6"/>
  <c r="I515" i="6"/>
  <c r="N515" i="6"/>
  <c r="Q515" i="6"/>
  <c r="R515" i="6"/>
  <c r="S515" i="6"/>
  <c r="T515" i="6"/>
  <c r="C516" i="6"/>
  <c r="D516" i="6"/>
  <c r="E516" i="6"/>
  <c r="F516" i="6"/>
  <c r="H516" i="6"/>
  <c r="I516" i="6"/>
  <c r="N516" i="6"/>
  <c r="Q516" i="6"/>
  <c r="R516" i="6"/>
  <c r="T516" i="6"/>
  <c r="C517" i="6"/>
  <c r="D517" i="6"/>
  <c r="E517" i="6"/>
  <c r="F517" i="6"/>
  <c r="H517" i="6"/>
  <c r="I517" i="6"/>
  <c r="N517" i="6"/>
  <c r="Q517" i="6"/>
  <c r="S517" i="6" s="1"/>
  <c r="R517" i="6"/>
  <c r="T517" i="6"/>
  <c r="C518" i="6"/>
  <c r="D518" i="6"/>
  <c r="E518" i="6"/>
  <c r="F518" i="6"/>
  <c r="H518" i="6"/>
  <c r="I518" i="6"/>
  <c r="N518" i="6"/>
  <c r="Q518" i="6"/>
  <c r="S518" i="6" s="1"/>
  <c r="R518" i="6"/>
  <c r="T518" i="6"/>
  <c r="C519" i="6"/>
  <c r="D519" i="6"/>
  <c r="E519" i="6"/>
  <c r="F519" i="6"/>
  <c r="H519" i="6"/>
  <c r="I519" i="6"/>
  <c r="N519" i="6"/>
  <c r="Q519" i="6"/>
  <c r="R519" i="6"/>
  <c r="S519" i="6"/>
  <c r="T519" i="6"/>
  <c r="C520" i="6"/>
  <c r="D520" i="6"/>
  <c r="E520" i="6"/>
  <c r="F520" i="6"/>
  <c r="H520" i="6"/>
  <c r="I520" i="6"/>
  <c r="L520" i="6"/>
  <c r="N520" i="6"/>
  <c r="Q520" i="6"/>
  <c r="S520" i="6" s="1"/>
  <c r="R520" i="6"/>
  <c r="T520" i="6"/>
  <c r="C521" i="6"/>
  <c r="D521" i="6"/>
  <c r="E521" i="6"/>
  <c r="F521" i="6"/>
  <c r="H521" i="6"/>
  <c r="I521" i="6"/>
  <c r="N521" i="6"/>
  <c r="Q521" i="6"/>
  <c r="S521" i="6" s="1"/>
  <c r="R521" i="6"/>
  <c r="T521" i="6"/>
  <c r="C522" i="6"/>
  <c r="L522" i="6" s="1"/>
  <c r="D522" i="6"/>
  <c r="E522" i="6"/>
  <c r="F522" i="6"/>
  <c r="H522" i="6"/>
  <c r="I522" i="6"/>
  <c r="N522" i="6"/>
  <c r="Q522" i="6"/>
  <c r="S522" i="6" s="1"/>
  <c r="R522" i="6"/>
  <c r="T522" i="6"/>
  <c r="C523" i="6"/>
  <c r="D523" i="6"/>
  <c r="E523" i="6"/>
  <c r="F523" i="6"/>
  <c r="H523" i="6"/>
  <c r="I523" i="6"/>
  <c r="N523" i="6"/>
  <c r="Q523" i="6"/>
  <c r="R523" i="6"/>
  <c r="S523" i="6"/>
  <c r="T523" i="6"/>
  <c r="C524" i="6"/>
  <c r="D524" i="6"/>
  <c r="E524" i="6"/>
  <c r="L524" i="6" s="1"/>
  <c r="F524" i="6"/>
  <c r="H524" i="6"/>
  <c r="I524" i="6"/>
  <c r="N524" i="6"/>
  <c r="Q524" i="6"/>
  <c r="R524" i="6"/>
  <c r="S524" i="6"/>
  <c r="T524" i="6"/>
  <c r="C525" i="6"/>
  <c r="D525" i="6"/>
  <c r="E525" i="6"/>
  <c r="F525" i="6"/>
  <c r="H525" i="6"/>
  <c r="I525" i="6"/>
  <c r="L525" i="6"/>
  <c r="N525" i="6"/>
  <c r="Q525" i="6"/>
  <c r="R525" i="6"/>
  <c r="S525" i="6"/>
  <c r="T525" i="6"/>
  <c r="C526" i="6"/>
  <c r="D526" i="6"/>
  <c r="E526" i="6"/>
  <c r="L526" i="6" s="1"/>
  <c r="F526" i="6"/>
  <c r="H526" i="6"/>
  <c r="I526" i="6"/>
  <c r="N526" i="6"/>
  <c r="Q526" i="6"/>
  <c r="R526" i="6"/>
  <c r="S526" i="6"/>
  <c r="T526" i="6"/>
  <c r="C527" i="6"/>
  <c r="D527" i="6"/>
  <c r="E527" i="6"/>
  <c r="F527" i="6"/>
  <c r="H527" i="6"/>
  <c r="I527" i="6"/>
  <c r="L527" i="6"/>
  <c r="N527" i="6"/>
  <c r="Q527" i="6"/>
  <c r="R527" i="6"/>
  <c r="S527" i="6"/>
  <c r="T527" i="6"/>
  <c r="C528" i="6"/>
  <c r="D528" i="6"/>
  <c r="E528" i="6"/>
  <c r="L528" i="6" s="1"/>
  <c r="F528" i="6"/>
  <c r="H528" i="6"/>
  <c r="I528" i="6"/>
  <c r="N528" i="6"/>
  <c r="Q528" i="6"/>
  <c r="R528" i="6"/>
  <c r="S528" i="6"/>
  <c r="T528" i="6"/>
  <c r="C529" i="6"/>
  <c r="D529" i="6"/>
  <c r="E529" i="6"/>
  <c r="F529" i="6"/>
  <c r="H529" i="6"/>
  <c r="I529" i="6"/>
  <c r="L529" i="6"/>
  <c r="N529" i="6"/>
  <c r="Q529" i="6"/>
  <c r="R529" i="6"/>
  <c r="S529" i="6"/>
  <c r="T529" i="6"/>
  <c r="C530" i="6"/>
  <c r="D530" i="6"/>
  <c r="E530" i="6"/>
  <c r="L530" i="6" s="1"/>
  <c r="F530" i="6"/>
  <c r="H530" i="6"/>
  <c r="I530" i="6"/>
  <c r="N530" i="6"/>
  <c r="Q530" i="6"/>
  <c r="R530" i="6"/>
  <c r="S530" i="6"/>
  <c r="T530" i="6"/>
  <c r="C531" i="6"/>
  <c r="D531" i="6"/>
  <c r="E531" i="6"/>
  <c r="F531" i="6"/>
  <c r="H531" i="6"/>
  <c r="I531" i="6"/>
  <c r="L531" i="6"/>
  <c r="N531" i="6"/>
  <c r="Q531" i="6"/>
  <c r="R531" i="6"/>
  <c r="S531" i="6"/>
  <c r="T531" i="6"/>
  <c r="C532" i="6"/>
  <c r="D532" i="6"/>
  <c r="E532" i="6"/>
  <c r="L532" i="6" s="1"/>
  <c r="F532" i="6"/>
  <c r="H532" i="6"/>
  <c r="I532" i="6"/>
  <c r="N532" i="6"/>
  <c r="Q532" i="6"/>
  <c r="R532" i="6"/>
  <c r="S532" i="6"/>
  <c r="T532" i="6"/>
  <c r="C533" i="6"/>
  <c r="D533" i="6"/>
  <c r="E533" i="6"/>
  <c r="F533" i="6"/>
  <c r="H533" i="6"/>
  <c r="I533" i="6"/>
  <c r="L533" i="6"/>
  <c r="N533" i="6"/>
  <c r="Q533" i="6"/>
  <c r="R533" i="6"/>
  <c r="S533" i="6"/>
  <c r="T533" i="6"/>
  <c r="C534" i="6"/>
  <c r="D534" i="6"/>
  <c r="E534" i="6"/>
  <c r="L534" i="6" s="1"/>
  <c r="F534" i="6"/>
  <c r="H534" i="6"/>
  <c r="I534" i="6"/>
  <c r="N534" i="6"/>
  <c r="Q534" i="6"/>
  <c r="R534" i="6"/>
  <c r="S534" i="6"/>
  <c r="T534" i="6"/>
  <c r="C535" i="6"/>
  <c r="D535" i="6"/>
  <c r="E535" i="6"/>
  <c r="F535" i="6"/>
  <c r="H535" i="6"/>
  <c r="I535" i="6"/>
  <c r="L535" i="6"/>
  <c r="N535" i="6"/>
  <c r="Q535" i="6"/>
  <c r="R535" i="6"/>
  <c r="S535" i="6"/>
  <c r="T535" i="6"/>
  <c r="C536" i="6"/>
  <c r="D536" i="6"/>
  <c r="E536" i="6"/>
  <c r="L536" i="6" s="1"/>
  <c r="F536" i="6"/>
  <c r="H536" i="6"/>
  <c r="I536" i="6"/>
  <c r="N536" i="6"/>
  <c r="Q536" i="6"/>
  <c r="R536" i="6"/>
  <c r="S536" i="6"/>
  <c r="T536" i="6"/>
  <c r="C537" i="6"/>
  <c r="D537" i="6"/>
  <c r="E537" i="6"/>
  <c r="F537" i="6"/>
  <c r="H537" i="6"/>
  <c r="I537" i="6"/>
  <c r="L537" i="6"/>
  <c r="N537" i="6"/>
  <c r="Q537" i="6"/>
  <c r="R537" i="6"/>
  <c r="S537" i="6"/>
  <c r="T537" i="6"/>
  <c r="C538" i="6"/>
  <c r="D538" i="6"/>
  <c r="E538" i="6"/>
  <c r="L538" i="6" s="1"/>
  <c r="F538" i="6"/>
  <c r="H538" i="6"/>
  <c r="I538" i="6"/>
  <c r="N538" i="6"/>
  <c r="Q538" i="6"/>
  <c r="R538" i="6"/>
  <c r="S538" i="6"/>
  <c r="T538" i="6"/>
  <c r="C539" i="6"/>
  <c r="D539" i="6"/>
  <c r="E539" i="6"/>
  <c r="F539" i="6"/>
  <c r="H539" i="6"/>
  <c r="I539" i="6"/>
  <c r="L539" i="6"/>
  <c r="N539" i="6"/>
  <c r="Q539" i="6"/>
  <c r="R539" i="6"/>
  <c r="S539" i="6"/>
  <c r="T539" i="6"/>
  <c r="C540" i="6"/>
  <c r="D540" i="6"/>
  <c r="E540" i="6"/>
  <c r="L540" i="6" s="1"/>
  <c r="F540" i="6"/>
  <c r="H540" i="6"/>
  <c r="I540" i="6"/>
  <c r="N540" i="6"/>
  <c r="Q540" i="6"/>
  <c r="R540" i="6"/>
  <c r="S540" i="6"/>
  <c r="T540" i="6"/>
  <c r="C541" i="6"/>
  <c r="D541" i="6"/>
  <c r="E541" i="6"/>
  <c r="F541" i="6"/>
  <c r="H541" i="6"/>
  <c r="I541" i="6"/>
  <c r="L541" i="6"/>
  <c r="N541" i="6"/>
  <c r="Q541" i="6"/>
  <c r="R541" i="6"/>
  <c r="S541" i="6"/>
  <c r="T541" i="6"/>
  <c r="C542" i="6"/>
  <c r="D542" i="6"/>
  <c r="E542" i="6"/>
  <c r="L542" i="6" s="1"/>
  <c r="F542" i="6"/>
  <c r="H542" i="6"/>
  <c r="I542" i="6"/>
  <c r="N542" i="6"/>
  <c r="Q542" i="6"/>
  <c r="R542" i="6"/>
  <c r="S542" i="6"/>
  <c r="T542" i="6"/>
  <c r="C543" i="6"/>
  <c r="D543" i="6"/>
  <c r="E543" i="6"/>
  <c r="F543" i="6"/>
  <c r="H543" i="6"/>
  <c r="I543" i="6"/>
  <c r="L543" i="6"/>
  <c r="N543" i="6"/>
  <c r="Q543" i="6"/>
  <c r="R543" i="6"/>
  <c r="S543" i="6"/>
  <c r="T543" i="6"/>
  <c r="C544" i="6"/>
  <c r="D544" i="6"/>
  <c r="E544" i="6"/>
  <c r="L544" i="6" s="1"/>
  <c r="F544" i="6"/>
  <c r="H544" i="6"/>
  <c r="I544" i="6"/>
  <c r="N544" i="6"/>
  <c r="Q544" i="6"/>
  <c r="R544" i="6"/>
  <c r="S544" i="6"/>
  <c r="T544" i="6"/>
  <c r="C545" i="6"/>
  <c r="D545" i="6"/>
  <c r="E545" i="6"/>
  <c r="F545" i="6"/>
  <c r="H545" i="6"/>
  <c r="I545" i="6"/>
  <c r="L545" i="6"/>
  <c r="N545" i="6"/>
  <c r="Q545" i="6"/>
  <c r="R545" i="6"/>
  <c r="S545" i="6"/>
  <c r="T545" i="6"/>
  <c r="C546" i="6"/>
  <c r="D546" i="6"/>
  <c r="E546" i="6"/>
  <c r="L546" i="6" s="1"/>
  <c r="F546" i="6"/>
  <c r="H546" i="6"/>
  <c r="I546" i="6"/>
  <c r="N546" i="6"/>
  <c r="Q546" i="6"/>
  <c r="R546" i="6"/>
  <c r="S546" i="6"/>
  <c r="T546" i="6"/>
  <c r="C547" i="6"/>
  <c r="D547" i="6"/>
  <c r="E547" i="6"/>
  <c r="F547" i="6"/>
  <c r="H547" i="6"/>
  <c r="I547" i="6"/>
  <c r="L547" i="6"/>
  <c r="N547" i="6"/>
  <c r="Q547" i="6"/>
  <c r="R547" i="6"/>
  <c r="S547" i="6"/>
  <c r="T547" i="6"/>
  <c r="C548" i="6"/>
  <c r="D548" i="6"/>
  <c r="E548" i="6"/>
  <c r="L548" i="6" s="1"/>
  <c r="F548" i="6"/>
  <c r="H548" i="6"/>
  <c r="I548" i="6"/>
  <c r="N548" i="6"/>
  <c r="Q548" i="6"/>
  <c r="R548" i="6"/>
  <c r="S548" i="6"/>
  <c r="T548" i="6"/>
  <c r="C549" i="6"/>
  <c r="D549" i="6"/>
  <c r="E549" i="6"/>
  <c r="F549" i="6"/>
  <c r="H549" i="6"/>
  <c r="I549" i="6"/>
  <c r="L549" i="6"/>
  <c r="N549" i="6"/>
  <c r="Q549" i="6"/>
  <c r="R549" i="6"/>
  <c r="S549" i="6"/>
  <c r="T549" i="6"/>
  <c r="C550" i="6"/>
  <c r="D550" i="6"/>
  <c r="E550" i="6"/>
  <c r="L550" i="6" s="1"/>
  <c r="F550" i="6"/>
  <c r="H550" i="6"/>
  <c r="I550" i="6"/>
  <c r="N550" i="6"/>
  <c r="Q550" i="6"/>
  <c r="R550" i="6"/>
  <c r="S550" i="6"/>
  <c r="T550" i="6"/>
  <c r="C551" i="6"/>
  <c r="D551" i="6"/>
  <c r="E551" i="6"/>
  <c r="F551" i="6"/>
  <c r="H551" i="6"/>
  <c r="I551" i="6"/>
  <c r="L551" i="6"/>
  <c r="N551" i="6"/>
  <c r="Q551" i="6"/>
  <c r="R551" i="6"/>
  <c r="S551" i="6"/>
  <c r="T551" i="6"/>
  <c r="C552" i="6"/>
  <c r="D552" i="6"/>
  <c r="E552" i="6"/>
  <c r="L552" i="6" s="1"/>
  <c r="F552" i="6"/>
  <c r="H552" i="6"/>
  <c r="I552" i="6"/>
  <c r="N552" i="6"/>
  <c r="Q552" i="6"/>
  <c r="R552" i="6"/>
  <c r="S552" i="6"/>
  <c r="T552" i="6"/>
  <c r="C553" i="6"/>
  <c r="D553" i="6"/>
  <c r="E553" i="6"/>
  <c r="F553" i="6"/>
  <c r="H553" i="6"/>
  <c r="I553" i="6"/>
  <c r="L553" i="6"/>
  <c r="N553" i="6"/>
  <c r="Q553" i="6"/>
  <c r="R553" i="6"/>
  <c r="S553" i="6"/>
  <c r="T553" i="6"/>
  <c r="C554" i="6"/>
  <c r="D554" i="6"/>
  <c r="E554" i="6"/>
  <c r="L554" i="6" s="1"/>
  <c r="F554" i="6"/>
  <c r="H554" i="6"/>
  <c r="I554" i="6"/>
  <c r="N554" i="6"/>
  <c r="Q554" i="6"/>
  <c r="R554" i="6"/>
  <c r="S554" i="6"/>
  <c r="T554" i="6"/>
  <c r="C555" i="6"/>
  <c r="D555" i="6"/>
  <c r="E555" i="6"/>
  <c r="F555" i="6"/>
  <c r="H555" i="6"/>
  <c r="I555" i="6"/>
  <c r="L555" i="6"/>
  <c r="N555" i="6"/>
  <c r="Q555" i="6"/>
  <c r="R555" i="6"/>
  <c r="S555" i="6"/>
  <c r="T555" i="6"/>
  <c r="C556" i="6"/>
  <c r="D556" i="6"/>
  <c r="E556" i="6"/>
  <c r="L556" i="6" s="1"/>
  <c r="F556" i="6"/>
  <c r="H556" i="6"/>
  <c r="I556" i="6"/>
  <c r="N556" i="6"/>
  <c r="Q556" i="6"/>
  <c r="R556" i="6"/>
  <c r="S556" i="6"/>
  <c r="T556" i="6"/>
  <c r="C557" i="6"/>
  <c r="D557" i="6"/>
  <c r="E557" i="6"/>
  <c r="F557" i="6"/>
  <c r="H557" i="6"/>
  <c r="I557" i="6"/>
  <c r="L557" i="6"/>
  <c r="N557" i="6"/>
  <c r="Q557" i="6"/>
  <c r="R557" i="6"/>
  <c r="S557" i="6"/>
  <c r="T557" i="6"/>
  <c r="C558" i="6"/>
  <c r="D558" i="6"/>
  <c r="E558" i="6"/>
  <c r="L558" i="6" s="1"/>
  <c r="F558" i="6"/>
  <c r="H558" i="6"/>
  <c r="I558" i="6"/>
  <c r="N558" i="6"/>
  <c r="Q558" i="6"/>
  <c r="R558" i="6"/>
  <c r="S558" i="6"/>
  <c r="T558" i="6"/>
  <c r="C559" i="6"/>
  <c r="D559" i="6"/>
  <c r="E559" i="6"/>
  <c r="F559" i="6"/>
  <c r="H559" i="6"/>
  <c r="I559" i="6"/>
  <c r="L559" i="6"/>
  <c r="N559" i="6"/>
  <c r="Q559" i="6"/>
  <c r="R559" i="6"/>
  <c r="S559" i="6"/>
  <c r="T559" i="6"/>
  <c r="C560" i="6"/>
  <c r="D560" i="6"/>
  <c r="E560" i="6"/>
  <c r="L560" i="6" s="1"/>
  <c r="F560" i="6"/>
  <c r="H560" i="6"/>
  <c r="I560" i="6"/>
  <c r="N560" i="6"/>
  <c r="Q560" i="6"/>
  <c r="R560" i="6"/>
  <c r="S560" i="6"/>
  <c r="T560" i="6"/>
  <c r="C561" i="6"/>
  <c r="D561" i="6"/>
  <c r="E561" i="6"/>
  <c r="F561" i="6"/>
  <c r="H561" i="6"/>
  <c r="I561" i="6"/>
  <c r="L561" i="6"/>
  <c r="N561" i="6"/>
  <c r="Q561" i="6"/>
  <c r="R561" i="6"/>
  <c r="S561" i="6"/>
  <c r="T561" i="6"/>
  <c r="C562" i="6"/>
  <c r="D562" i="6"/>
  <c r="E562" i="6"/>
  <c r="L562" i="6" s="1"/>
  <c r="F562" i="6"/>
  <c r="H562" i="6"/>
  <c r="I562" i="6"/>
  <c r="N562" i="6"/>
  <c r="Q562" i="6"/>
  <c r="R562" i="6"/>
  <c r="S562" i="6"/>
  <c r="T562" i="6"/>
  <c r="C563" i="6"/>
  <c r="D563" i="6"/>
  <c r="E563" i="6"/>
  <c r="F563" i="6"/>
  <c r="H563" i="6"/>
  <c r="I563" i="6"/>
  <c r="L563" i="6"/>
  <c r="N563" i="6"/>
  <c r="Q563" i="6"/>
  <c r="R563" i="6"/>
  <c r="S563" i="6"/>
  <c r="T563" i="6"/>
  <c r="C564" i="6"/>
  <c r="D564" i="6"/>
  <c r="E564" i="6"/>
  <c r="L564" i="6" s="1"/>
  <c r="F564" i="6"/>
  <c r="H564" i="6"/>
  <c r="I564" i="6"/>
  <c r="N564" i="6"/>
  <c r="Q564" i="6"/>
  <c r="R564" i="6"/>
  <c r="S564" i="6"/>
  <c r="T564" i="6"/>
  <c r="C565" i="6"/>
  <c r="D565" i="6"/>
  <c r="E565" i="6"/>
  <c r="F565" i="6"/>
  <c r="H565" i="6"/>
  <c r="I565" i="6"/>
  <c r="L565" i="6"/>
  <c r="N565" i="6"/>
  <c r="Q565" i="6"/>
  <c r="R565" i="6"/>
  <c r="S565" i="6"/>
  <c r="T565" i="6"/>
  <c r="C566" i="6"/>
  <c r="D566" i="6"/>
  <c r="E566" i="6"/>
  <c r="L566" i="6" s="1"/>
  <c r="F566" i="6"/>
  <c r="H566" i="6"/>
  <c r="I566" i="6"/>
  <c r="N566" i="6"/>
  <c r="Q566" i="6"/>
  <c r="R566" i="6"/>
  <c r="S566" i="6"/>
  <c r="T566" i="6"/>
  <c r="C567" i="6"/>
  <c r="D567" i="6"/>
  <c r="E567" i="6"/>
  <c r="F567" i="6"/>
  <c r="H567" i="6"/>
  <c r="I567" i="6"/>
  <c r="L567" i="6"/>
  <c r="N567" i="6"/>
  <c r="Q567" i="6"/>
  <c r="R567" i="6"/>
  <c r="S567" i="6"/>
  <c r="T567" i="6"/>
  <c r="C568" i="6"/>
  <c r="D568" i="6"/>
  <c r="E568" i="6"/>
  <c r="L568" i="6" s="1"/>
  <c r="F568" i="6"/>
  <c r="H568" i="6"/>
  <c r="I568" i="6"/>
  <c r="N568" i="6"/>
  <c r="Q568" i="6"/>
  <c r="R568" i="6"/>
  <c r="S568" i="6"/>
  <c r="T568" i="6"/>
  <c r="C569" i="6"/>
  <c r="D569" i="6"/>
  <c r="E569" i="6"/>
  <c r="F569" i="6"/>
  <c r="H569" i="6"/>
  <c r="I569" i="6"/>
  <c r="L569" i="6"/>
  <c r="N569" i="6"/>
  <c r="Q569" i="6"/>
  <c r="R569" i="6"/>
  <c r="S569" i="6"/>
  <c r="T569" i="6"/>
  <c r="C570" i="6"/>
  <c r="D570" i="6"/>
  <c r="E570" i="6"/>
  <c r="L570" i="6" s="1"/>
  <c r="F570" i="6"/>
  <c r="H570" i="6"/>
  <c r="I570" i="6"/>
  <c r="N570" i="6"/>
  <c r="Q570" i="6"/>
  <c r="R570" i="6"/>
  <c r="S570" i="6"/>
  <c r="T570" i="6"/>
  <c r="C571" i="6"/>
  <c r="D571" i="6"/>
  <c r="E571" i="6"/>
  <c r="F571" i="6"/>
  <c r="H571" i="6"/>
  <c r="I571" i="6"/>
  <c r="L571" i="6"/>
  <c r="N571" i="6"/>
  <c r="Q571" i="6"/>
  <c r="R571" i="6"/>
  <c r="S571" i="6"/>
  <c r="T571" i="6"/>
  <c r="C572" i="6"/>
  <c r="D572" i="6"/>
  <c r="E572" i="6"/>
  <c r="L572" i="6" s="1"/>
  <c r="F572" i="6"/>
  <c r="H572" i="6"/>
  <c r="I572" i="6"/>
  <c r="N572" i="6"/>
  <c r="Q572" i="6"/>
  <c r="R572" i="6"/>
  <c r="S572" i="6"/>
  <c r="T572" i="6"/>
  <c r="C573" i="6"/>
  <c r="D573" i="6"/>
  <c r="E573" i="6"/>
  <c r="F573" i="6"/>
  <c r="H573" i="6"/>
  <c r="I573" i="6"/>
  <c r="L573" i="6"/>
  <c r="N573" i="6"/>
  <c r="Q573" i="6"/>
  <c r="R573" i="6"/>
  <c r="S573" i="6"/>
  <c r="T573" i="6"/>
  <c r="C574" i="6"/>
  <c r="D574" i="6"/>
  <c r="E574" i="6"/>
  <c r="L574" i="6" s="1"/>
  <c r="F574" i="6"/>
  <c r="H574" i="6"/>
  <c r="I574" i="6"/>
  <c r="N574" i="6"/>
  <c r="Q574" i="6"/>
  <c r="R574" i="6"/>
  <c r="S574" i="6"/>
  <c r="T574" i="6"/>
  <c r="C575" i="6"/>
  <c r="D575" i="6"/>
  <c r="E575" i="6"/>
  <c r="F575" i="6"/>
  <c r="H575" i="6"/>
  <c r="I575" i="6"/>
  <c r="L575" i="6"/>
  <c r="N575" i="6"/>
  <c r="Q575" i="6"/>
  <c r="R575" i="6"/>
  <c r="S575" i="6"/>
  <c r="T575" i="6"/>
  <c r="C576" i="6"/>
  <c r="D576" i="6"/>
  <c r="E576" i="6"/>
  <c r="L576" i="6" s="1"/>
  <c r="F576" i="6"/>
  <c r="H576" i="6"/>
  <c r="I576" i="6"/>
  <c r="N576" i="6"/>
  <c r="Q576" i="6"/>
  <c r="R576" i="6"/>
  <c r="S576" i="6"/>
  <c r="T576" i="6"/>
  <c r="C577" i="6"/>
  <c r="D577" i="6"/>
  <c r="E577" i="6"/>
  <c r="F577" i="6"/>
  <c r="H577" i="6"/>
  <c r="I577" i="6"/>
  <c r="L577" i="6"/>
  <c r="N577" i="6"/>
  <c r="Q577" i="6"/>
  <c r="R577" i="6"/>
  <c r="S577" i="6"/>
  <c r="T577" i="6"/>
  <c r="C578" i="6"/>
  <c r="D578" i="6"/>
  <c r="E578" i="6"/>
  <c r="L578" i="6" s="1"/>
  <c r="F578" i="6"/>
  <c r="H578" i="6"/>
  <c r="I578" i="6"/>
  <c r="N578" i="6"/>
  <c r="Q578" i="6"/>
  <c r="R578" i="6"/>
  <c r="S578" i="6"/>
  <c r="T578" i="6"/>
  <c r="C579" i="6"/>
  <c r="D579" i="6"/>
  <c r="E579" i="6"/>
  <c r="F579" i="6"/>
  <c r="H579" i="6"/>
  <c r="I579" i="6"/>
  <c r="L579" i="6"/>
  <c r="N579" i="6"/>
  <c r="Q579" i="6"/>
  <c r="R579" i="6"/>
  <c r="S579" i="6"/>
  <c r="T579" i="6"/>
  <c r="C580" i="6"/>
  <c r="D580" i="6"/>
  <c r="E580" i="6"/>
  <c r="L580" i="6" s="1"/>
  <c r="F580" i="6"/>
  <c r="H580" i="6"/>
  <c r="I580" i="6"/>
  <c r="N580" i="6"/>
  <c r="Q580" i="6"/>
  <c r="R580" i="6"/>
  <c r="S580" i="6"/>
  <c r="T580" i="6"/>
  <c r="C581" i="6"/>
  <c r="D581" i="6"/>
  <c r="E581" i="6"/>
  <c r="F581" i="6"/>
  <c r="H581" i="6"/>
  <c r="I581" i="6"/>
  <c r="L581" i="6"/>
  <c r="N581" i="6"/>
  <c r="Q581" i="6"/>
  <c r="R581" i="6"/>
  <c r="S581" i="6"/>
  <c r="T581" i="6"/>
  <c r="C582" i="6"/>
  <c r="D582" i="6"/>
  <c r="E582" i="6"/>
  <c r="L582" i="6" s="1"/>
  <c r="F582" i="6"/>
  <c r="H582" i="6"/>
  <c r="I582" i="6"/>
  <c r="N582" i="6"/>
  <c r="Q582" i="6"/>
  <c r="R582" i="6"/>
  <c r="S582" i="6"/>
  <c r="T582" i="6"/>
  <c r="C583" i="6"/>
  <c r="D583" i="6"/>
  <c r="E583" i="6"/>
  <c r="F583" i="6"/>
  <c r="H583" i="6"/>
  <c r="I583" i="6"/>
  <c r="L583" i="6"/>
  <c r="N583" i="6"/>
  <c r="Q583" i="6"/>
  <c r="R583" i="6"/>
  <c r="S583" i="6"/>
  <c r="T583" i="6"/>
  <c r="C584" i="6"/>
  <c r="D584" i="6"/>
  <c r="E584" i="6"/>
  <c r="L584" i="6" s="1"/>
  <c r="F584" i="6"/>
  <c r="H584" i="6"/>
  <c r="I584" i="6"/>
  <c r="N584" i="6"/>
  <c r="Q584" i="6"/>
  <c r="R584" i="6"/>
  <c r="S584" i="6"/>
  <c r="T584" i="6"/>
  <c r="C585" i="6"/>
  <c r="D585" i="6"/>
  <c r="E585" i="6"/>
  <c r="F585" i="6"/>
  <c r="H585" i="6"/>
  <c r="I585" i="6"/>
  <c r="L585" i="6"/>
  <c r="N585" i="6"/>
  <c r="Q585" i="6"/>
  <c r="R585" i="6"/>
  <c r="S585" i="6"/>
  <c r="T585" i="6"/>
  <c r="C586" i="6"/>
  <c r="D586" i="6"/>
  <c r="E586" i="6"/>
  <c r="L586" i="6" s="1"/>
  <c r="F586" i="6"/>
  <c r="H586" i="6"/>
  <c r="I586" i="6"/>
  <c r="N586" i="6"/>
  <c r="Q586" i="6"/>
  <c r="R586" i="6"/>
  <c r="S586" i="6"/>
  <c r="T586" i="6"/>
  <c r="C587" i="6"/>
  <c r="D587" i="6"/>
  <c r="E587" i="6"/>
  <c r="F587" i="6"/>
  <c r="H587" i="6"/>
  <c r="I587" i="6"/>
  <c r="L587" i="6"/>
  <c r="N587" i="6"/>
  <c r="Q587" i="6"/>
  <c r="R587" i="6"/>
  <c r="S587" i="6"/>
  <c r="T587" i="6"/>
  <c r="C588" i="6"/>
  <c r="D588" i="6"/>
  <c r="E588" i="6"/>
  <c r="L588" i="6" s="1"/>
  <c r="F588" i="6"/>
  <c r="H588" i="6"/>
  <c r="I588" i="6"/>
  <c r="N588" i="6"/>
  <c r="Q588" i="6"/>
  <c r="R588" i="6"/>
  <c r="S588" i="6"/>
  <c r="T588" i="6"/>
  <c r="C589" i="6"/>
  <c r="D589" i="6"/>
  <c r="E589" i="6"/>
  <c r="F589" i="6"/>
  <c r="H589" i="6"/>
  <c r="I589" i="6"/>
  <c r="L589" i="6"/>
  <c r="N589" i="6"/>
  <c r="Q589" i="6"/>
  <c r="R589" i="6"/>
  <c r="S589" i="6"/>
  <c r="T589" i="6"/>
  <c r="C590" i="6"/>
  <c r="D590" i="6"/>
  <c r="E590" i="6"/>
  <c r="L590" i="6" s="1"/>
  <c r="F590" i="6"/>
  <c r="H590" i="6"/>
  <c r="I590" i="6"/>
  <c r="N590" i="6"/>
  <c r="Q590" i="6"/>
  <c r="R590" i="6"/>
  <c r="S590" i="6"/>
  <c r="T590" i="6"/>
  <c r="C591" i="6"/>
  <c r="D591" i="6"/>
  <c r="E591" i="6"/>
  <c r="F591" i="6"/>
  <c r="H591" i="6"/>
  <c r="I591" i="6"/>
  <c r="L591" i="6"/>
  <c r="N591" i="6"/>
  <c r="Q591" i="6"/>
  <c r="R591" i="6"/>
  <c r="S591" i="6"/>
  <c r="T591" i="6"/>
  <c r="C592" i="6"/>
  <c r="D592" i="6"/>
  <c r="E592" i="6"/>
  <c r="L592" i="6" s="1"/>
  <c r="F592" i="6"/>
  <c r="H592" i="6"/>
  <c r="I592" i="6"/>
  <c r="N592" i="6"/>
  <c r="Q592" i="6"/>
  <c r="R592" i="6"/>
  <c r="S592" i="6"/>
  <c r="T592" i="6"/>
  <c r="C593" i="6"/>
  <c r="D593" i="6"/>
  <c r="E593" i="6"/>
  <c r="F593" i="6"/>
  <c r="H593" i="6"/>
  <c r="I593" i="6"/>
  <c r="L593" i="6"/>
  <c r="N593" i="6"/>
  <c r="Q593" i="6"/>
  <c r="R593" i="6"/>
  <c r="S593" i="6"/>
  <c r="T593" i="6"/>
  <c r="C594" i="6"/>
  <c r="D594" i="6"/>
  <c r="E594" i="6"/>
  <c r="L594" i="6" s="1"/>
  <c r="F594" i="6"/>
  <c r="H594" i="6"/>
  <c r="I594" i="6"/>
  <c r="N594" i="6"/>
  <c r="Q594" i="6"/>
  <c r="R594" i="6"/>
  <c r="S594" i="6"/>
  <c r="T594" i="6"/>
  <c r="C595" i="6"/>
  <c r="D595" i="6"/>
  <c r="E595" i="6"/>
  <c r="F595" i="6"/>
  <c r="H595" i="6"/>
  <c r="I595" i="6"/>
  <c r="L595" i="6"/>
  <c r="N595" i="6"/>
  <c r="Q595" i="6"/>
  <c r="R595" i="6"/>
  <c r="S595" i="6"/>
  <c r="T595" i="6"/>
  <c r="C596" i="6"/>
  <c r="D596" i="6"/>
  <c r="E596" i="6"/>
  <c r="L596" i="6" s="1"/>
  <c r="F596" i="6"/>
  <c r="H596" i="6"/>
  <c r="I596" i="6"/>
  <c r="N596" i="6"/>
  <c r="Q596" i="6"/>
  <c r="R596" i="6"/>
  <c r="S596" i="6"/>
  <c r="T596" i="6"/>
  <c r="C597" i="6"/>
  <c r="D597" i="6"/>
  <c r="E597" i="6"/>
  <c r="F597" i="6"/>
  <c r="H597" i="6"/>
  <c r="I597" i="6"/>
  <c r="L597" i="6"/>
  <c r="N597" i="6"/>
  <c r="Q597" i="6"/>
  <c r="R597" i="6"/>
  <c r="S597" i="6"/>
  <c r="T597" i="6"/>
  <c r="C598" i="6"/>
  <c r="D598" i="6"/>
  <c r="E598" i="6"/>
  <c r="L598" i="6" s="1"/>
  <c r="F598" i="6"/>
  <c r="H598" i="6"/>
  <c r="I598" i="6"/>
  <c r="N598" i="6"/>
  <c r="Q598" i="6"/>
  <c r="R598" i="6"/>
  <c r="S598" i="6"/>
  <c r="T598" i="6"/>
  <c r="C599" i="6"/>
  <c r="D599" i="6"/>
  <c r="E599" i="6"/>
  <c r="F599" i="6"/>
  <c r="H599" i="6"/>
  <c r="I599" i="6"/>
  <c r="L599" i="6"/>
  <c r="N599" i="6"/>
  <c r="Q599" i="6"/>
  <c r="R599" i="6"/>
  <c r="S599" i="6"/>
  <c r="T599" i="6"/>
  <c r="B600" i="6"/>
  <c r="C600" i="6"/>
  <c r="D600" i="6"/>
  <c r="E600" i="6"/>
  <c r="F600" i="6"/>
  <c r="H600" i="6"/>
  <c r="I600" i="6"/>
  <c r="N600" i="6"/>
  <c r="Q600" i="6"/>
  <c r="S600" i="6" s="1"/>
  <c r="R600" i="6"/>
  <c r="T600" i="6"/>
  <c r="B601" i="6"/>
  <c r="C601" i="6"/>
  <c r="D601" i="6"/>
  <c r="E601" i="6"/>
  <c r="F601" i="6"/>
  <c r="H601" i="6"/>
  <c r="I601" i="6"/>
  <c r="L601" i="6"/>
  <c r="N601" i="6"/>
  <c r="Q601" i="6"/>
  <c r="R601" i="6"/>
  <c r="S601" i="6"/>
  <c r="T601" i="6"/>
  <c r="B602" i="6"/>
  <c r="C602" i="6"/>
  <c r="D602" i="6"/>
  <c r="L602" i="6" s="1"/>
  <c r="E602" i="6"/>
  <c r="F602" i="6"/>
  <c r="H602" i="6"/>
  <c r="I602" i="6"/>
  <c r="N602" i="6"/>
  <c r="R602" i="6"/>
  <c r="Q602" i="6" s="1"/>
  <c r="S602" i="6"/>
  <c r="T602" i="6"/>
  <c r="B603" i="6"/>
  <c r="C603" i="6"/>
  <c r="D603" i="6"/>
  <c r="E603" i="6"/>
  <c r="F603" i="6"/>
  <c r="H603" i="6"/>
  <c r="I603" i="6"/>
  <c r="N603" i="6"/>
  <c r="R603" i="6"/>
  <c r="Q603" i="6" s="1"/>
  <c r="S603" i="6"/>
  <c r="T603" i="6"/>
  <c r="B604" i="6"/>
  <c r="C604" i="6"/>
  <c r="D604" i="6"/>
  <c r="E604" i="6"/>
  <c r="F604" i="6"/>
  <c r="H604" i="6"/>
  <c r="I604" i="6"/>
  <c r="N604" i="6"/>
  <c r="R604" i="6"/>
  <c r="Q604" i="6" s="1"/>
  <c r="S604" i="6" s="1"/>
  <c r="T604" i="6"/>
  <c r="B605" i="6"/>
  <c r="C605" i="6"/>
  <c r="L605" i="6" s="1"/>
  <c r="D605" i="6"/>
  <c r="E605" i="6"/>
  <c r="F605" i="6"/>
  <c r="H605" i="6"/>
  <c r="I605" i="6"/>
  <c r="N605" i="6"/>
  <c r="Q605" i="6"/>
  <c r="R605" i="6"/>
  <c r="S605" i="6"/>
  <c r="T605" i="6"/>
  <c r="B606" i="6"/>
  <c r="C606" i="6"/>
  <c r="D606" i="6"/>
  <c r="E606" i="6"/>
  <c r="F606" i="6"/>
  <c r="H606" i="6"/>
  <c r="I606" i="6"/>
  <c r="L606" i="6" s="1"/>
  <c r="N606" i="6"/>
  <c r="R606" i="6"/>
  <c r="Q606" i="6" s="1"/>
  <c r="S606" i="6" s="1"/>
  <c r="T606" i="6"/>
  <c r="B607" i="6"/>
  <c r="C607" i="6"/>
  <c r="D607" i="6"/>
  <c r="E607" i="6"/>
  <c r="F607" i="6"/>
  <c r="H607" i="6"/>
  <c r="I607" i="6"/>
  <c r="N607" i="6"/>
  <c r="R607" i="6"/>
  <c r="Q607" i="6" s="1"/>
  <c r="S607" i="6" s="1"/>
  <c r="T607" i="6"/>
  <c r="B608" i="6"/>
  <c r="C608" i="6"/>
  <c r="D608" i="6"/>
  <c r="E608" i="6"/>
  <c r="F608" i="6"/>
  <c r="H608" i="6"/>
  <c r="I608" i="6"/>
  <c r="N608" i="6"/>
  <c r="Q608" i="6"/>
  <c r="S608" i="6" s="1"/>
  <c r="R608" i="6"/>
  <c r="T608" i="6"/>
  <c r="B609" i="6"/>
  <c r="C609" i="6"/>
  <c r="D609" i="6"/>
  <c r="E609" i="6"/>
  <c r="F609" i="6"/>
  <c r="H609" i="6"/>
  <c r="I609" i="6"/>
  <c r="N609" i="6"/>
  <c r="Q609" i="6"/>
  <c r="R609" i="6"/>
  <c r="S609" i="6"/>
  <c r="T609" i="6"/>
  <c r="B610" i="6"/>
  <c r="C610" i="6"/>
  <c r="D610" i="6"/>
  <c r="E610" i="6"/>
  <c r="F610" i="6"/>
  <c r="H610" i="6"/>
  <c r="I610" i="6"/>
  <c r="L610" i="6" s="1"/>
  <c r="N610" i="6"/>
  <c r="R610" i="6"/>
  <c r="Q610" i="6" s="1"/>
  <c r="S610" i="6"/>
  <c r="T610" i="6"/>
  <c r="B611" i="6"/>
  <c r="C611" i="6"/>
  <c r="D611" i="6"/>
  <c r="E611" i="6"/>
  <c r="F611" i="6"/>
  <c r="H611" i="6"/>
  <c r="I611" i="6"/>
  <c r="N611" i="6"/>
  <c r="Q611" i="6"/>
  <c r="R611" i="6"/>
  <c r="S611" i="6"/>
  <c r="T611" i="6"/>
  <c r="B612" i="6"/>
  <c r="C612" i="6"/>
  <c r="D612" i="6"/>
  <c r="E612" i="6"/>
  <c r="F612" i="6"/>
  <c r="H612" i="6"/>
  <c r="I612" i="6"/>
  <c r="N612" i="6"/>
  <c r="R612" i="6"/>
  <c r="Q612" i="6" s="1"/>
  <c r="S612" i="6" s="1"/>
  <c r="T612" i="6"/>
  <c r="B613" i="6"/>
  <c r="C613" i="6"/>
  <c r="D613" i="6"/>
  <c r="E613" i="6"/>
  <c r="F613" i="6"/>
  <c r="H613" i="6"/>
  <c r="I613" i="6"/>
  <c r="N613" i="6"/>
  <c r="Q613" i="6"/>
  <c r="S613" i="6" s="1"/>
  <c r="R613" i="6"/>
  <c r="T613" i="6"/>
  <c r="B614" i="6"/>
  <c r="C614" i="6"/>
  <c r="D614" i="6"/>
  <c r="E614" i="6"/>
  <c r="L614" i="6" s="1"/>
  <c r="F614" i="6"/>
  <c r="H614" i="6"/>
  <c r="I614" i="6"/>
  <c r="N614" i="6"/>
  <c r="R614" i="6"/>
  <c r="Q614" i="6" s="1"/>
  <c r="S614" i="6" s="1"/>
  <c r="T614" i="6"/>
  <c r="B615" i="6"/>
  <c r="C615" i="6"/>
  <c r="L615" i="6" s="1"/>
  <c r="D615" i="6"/>
  <c r="E615" i="6"/>
  <c r="F615" i="6"/>
  <c r="H615" i="6"/>
  <c r="I615" i="6"/>
  <c r="N615" i="6"/>
  <c r="Q615" i="6"/>
  <c r="S615" i="6" s="1"/>
  <c r="R615" i="6"/>
  <c r="T615" i="6"/>
  <c r="B616" i="6"/>
  <c r="C616" i="6"/>
  <c r="D616" i="6"/>
  <c r="E616" i="6"/>
  <c r="F616" i="6"/>
  <c r="H616" i="6"/>
  <c r="I616" i="6"/>
  <c r="N616" i="6"/>
  <c r="Q616" i="6"/>
  <c r="S616" i="6" s="1"/>
  <c r="R616" i="6"/>
  <c r="T616" i="6"/>
  <c r="B617" i="6"/>
  <c r="C617" i="6"/>
  <c r="D617" i="6"/>
  <c r="E617" i="6"/>
  <c r="F617" i="6"/>
  <c r="H617" i="6"/>
  <c r="I617" i="6"/>
  <c r="L617" i="6"/>
  <c r="N617" i="6"/>
  <c r="Q617" i="6"/>
  <c r="S617" i="6" s="1"/>
  <c r="R617" i="6"/>
  <c r="T617" i="6"/>
  <c r="B618" i="6"/>
  <c r="C618" i="6"/>
  <c r="D618" i="6"/>
  <c r="L618" i="6" s="1"/>
  <c r="E618" i="6"/>
  <c r="F618" i="6"/>
  <c r="H618" i="6"/>
  <c r="I618" i="6"/>
  <c r="N618" i="6"/>
  <c r="R618" i="6"/>
  <c r="Q618" i="6" s="1"/>
  <c r="S618" i="6"/>
  <c r="T618" i="6"/>
  <c r="B619" i="6"/>
  <c r="C619" i="6"/>
  <c r="D619" i="6"/>
  <c r="E619" i="6"/>
  <c r="F619" i="6"/>
  <c r="H619" i="6"/>
  <c r="I619" i="6"/>
  <c r="L619" i="6"/>
  <c r="N619" i="6"/>
  <c r="Q619" i="6"/>
  <c r="S619" i="6" s="1"/>
  <c r="R619" i="6"/>
  <c r="T619" i="6"/>
  <c r="B620" i="6"/>
  <c r="C620" i="6"/>
  <c r="D620" i="6"/>
  <c r="E620" i="6"/>
  <c r="F620" i="6"/>
  <c r="H620" i="6"/>
  <c r="I620" i="6"/>
  <c r="N620" i="6"/>
  <c r="R620" i="6"/>
  <c r="Q620" i="6" s="1"/>
  <c r="S620" i="6" s="1"/>
  <c r="T620" i="6"/>
  <c r="B621" i="6"/>
  <c r="C621" i="6"/>
  <c r="L621" i="6" s="1"/>
  <c r="D621" i="6"/>
  <c r="E621" i="6"/>
  <c r="F621" i="6"/>
  <c r="H621" i="6"/>
  <c r="I621" i="6"/>
  <c r="N621" i="6"/>
  <c r="Q621" i="6"/>
  <c r="S621" i="6" s="1"/>
  <c r="R621" i="6"/>
  <c r="T621" i="6"/>
  <c r="B622" i="6"/>
  <c r="C622" i="6"/>
  <c r="D622" i="6"/>
  <c r="E622" i="6"/>
  <c r="F622" i="6"/>
  <c r="H622" i="6"/>
  <c r="I622" i="6"/>
  <c r="N622" i="6"/>
  <c r="R622" i="6"/>
  <c r="Q622" i="6" s="1"/>
  <c r="S622" i="6"/>
  <c r="T622" i="6"/>
  <c r="B623" i="6"/>
  <c r="C623" i="6"/>
  <c r="L623" i="6" s="1"/>
  <c r="D623" i="6"/>
  <c r="E623" i="6"/>
  <c r="F623" i="6"/>
  <c r="H623" i="6"/>
  <c r="I623" i="6"/>
  <c r="N623" i="6"/>
  <c r="Q623" i="6"/>
  <c r="S623" i="6" s="1"/>
  <c r="R623" i="6"/>
  <c r="T623" i="6"/>
  <c r="B624" i="6"/>
  <c r="C624" i="6"/>
  <c r="D624" i="6"/>
  <c r="E624" i="6"/>
  <c r="F624" i="6"/>
  <c r="H624" i="6"/>
  <c r="I624" i="6"/>
  <c r="N624" i="6"/>
  <c r="Q624" i="6"/>
  <c r="S624" i="6" s="1"/>
  <c r="R624" i="6"/>
  <c r="T624" i="6"/>
  <c r="B625" i="6"/>
  <c r="C625" i="6"/>
  <c r="L625" i="6" s="1"/>
  <c r="D625" i="6"/>
  <c r="E625" i="6"/>
  <c r="F625" i="6"/>
  <c r="H625" i="6"/>
  <c r="I625" i="6"/>
  <c r="N625" i="6"/>
  <c r="Q625" i="6"/>
  <c r="S625" i="6" s="1"/>
  <c r="R625" i="6"/>
  <c r="T625" i="6"/>
  <c r="B626" i="6"/>
  <c r="C626" i="6"/>
  <c r="D626" i="6"/>
  <c r="E626" i="6"/>
  <c r="F626" i="6"/>
  <c r="H626" i="6"/>
  <c r="I626" i="6"/>
  <c r="N626" i="6"/>
  <c r="R626" i="6"/>
  <c r="Q626" i="6" s="1"/>
  <c r="S626" i="6"/>
  <c r="T626" i="6"/>
  <c r="B627" i="6"/>
  <c r="C627" i="6"/>
  <c r="D627" i="6"/>
  <c r="E627" i="6"/>
  <c r="F627" i="6"/>
  <c r="H627" i="6"/>
  <c r="I627" i="6"/>
  <c r="N627" i="6"/>
  <c r="R627" i="6"/>
  <c r="Q627" i="6" s="1"/>
  <c r="S627" i="6" s="1"/>
  <c r="T627" i="6"/>
  <c r="B628" i="6"/>
  <c r="C628" i="6"/>
  <c r="L628" i="6" s="1"/>
  <c r="D628" i="6"/>
  <c r="E628" i="6"/>
  <c r="F628" i="6"/>
  <c r="H628" i="6"/>
  <c r="I628" i="6"/>
  <c r="N628" i="6"/>
  <c r="R628" i="6"/>
  <c r="Q628" i="6" s="1"/>
  <c r="S628" i="6" s="1"/>
  <c r="T628" i="6"/>
  <c r="B629" i="6"/>
  <c r="C629" i="6"/>
  <c r="D629" i="6"/>
  <c r="E629" i="6"/>
  <c r="F629" i="6"/>
  <c r="H629" i="6"/>
  <c r="I629" i="6"/>
  <c r="L629" i="6"/>
  <c r="N629" i="6"/>
  <c r="Q629" i="6"/>
  <c r="R629" i="6"/>
  <c r="S629" i="6"/>
  <c r="T629" i="6"/>
  <c r="B630" i="6"/>
  <c r="C630" i="6"/>
  <c r="D630" i="6"/>
  <c r="L630" i="6" s="1"/>
  <c r="E630" i="6"/>
  <c r="F630" i="6"/>
  <c r="H630" i="6"/>
  <c r="I630" i="6"/>
  <c r="N630" i="6"/>
  <c r="R630" i="6"/>
  <c r="Q630" i="6" s="1"/>
  <c r="S630" i="6"/>
  <c r="T630" i="6"/>
  <c r="B631" i="6"/>
  <c r="C631" i="6"/>
  <c r="D631" i="6"/>
  <c r="E631" i="6"/>
  <c r="F631" i="6"/>
  <c r="H631" i="6"/>
  <c r="I631" i="6"/>
  <c r="L631" i="6"/>
  <c r="N631" i="6"/>
  <c r="Q631" i="6"/>
  <c r="R631" i="6"/>
  <c r="S631" i="6"/>
  <c r="T631" i="6"/>
  <c r="B632" i="6"/>
  <c r="C632" i="6"/>
  <c r="D632" i="6"/>
  <c r="E632" i="6"/>
  <c r="F632" i="6"/>
  <c r="H632" i="6"/>
  <c r="I632" i="6"/>
  <c r="N632" i="6"/>
  <c r="R632" i="6"/>
  <c r="Q632" i="6" s="1"/>
  <c r="S632" i="6" s="1"/>
  <c r="T632" i="6"/>
  <c r="B633" i="6"/>
  <c r="C633" i="6"/>
  <c r="D633" i="6"/>
  <c r="E633" i="6"/>
  <c r="F633" i="6"/>
  <c r="H633" i="6"/>
  <c r="I633" i="6"/>
  <c r="L633" i="6"/>
  <c r="N633" i="6"/>
  <c r="Q633" i="6"/>
  <c r="R633" i="6"/>
  <c r="S633" i="6"/>
  <c r="T633" i="6"/>
  <c r="B634" i="6"/>
  <c r="C634" i="6"/>
  <c r="D634" i="6"/>
  <c r="L634" i="6" s="1"/>
  <c r="E634" i="6"/>
  <c r="F634" i="6"/>
  <c r="H634" i="6"/>
  <c r="I634" i="6"/>
  <c r="N634" i="6"/>
  <c r="R634" i="6"/>
  <c r="Q634" i="6" s="1"/>
  <c r="S634" i="6"/>
  <c r="T634" i="6"/>
  <c r="B635" i="6"/>
  <c r="C635" i="6"/>
  <c r="D635" i="6"/>
  <c r="E635" i="6"/>
  <c r="F635" i="6"/>
  <c r="H635" i="6"/>
  <c r="I635" i="6"/>
  <c r="N635" i="6"/>
  <c r="R635" i="6"/>
  <c r="Q635" i="6" s="1"/>
  <c r="S635" i="6" s="1"/>
  <c r="T635" i="6"/>
  <c r="B636" i="6"/>
  <c r="C636" i="6"/>
  <c r="L636" i="6" s="1"/>
  <c r="D636" i="6"/>
  <c r="E636" i="6"/>
  <c r="F636" i="6"/>
  <c r="H636" i="6"/>
  <c r="I636" i="6"/>
  <c r="N636" i="6"/>
  <c r="R636" i="6"/>
  <c r="Q636" i="6" s="1"/>
  <c r="S636" i="6" s="1"/>
  <c r="T636" i="6"/>
  <c r="B637" i="6"/>
  <c r="C637" i="6"/>
  <c r="D637" i="6"/>
  <c r="E637" i="6"/>
  <c r="F637" i="6"/>
  <c r="H637" i="6"/>
  <c r="I637" i="6"/>
  <c r="N637" i="6"/>
  <c r="Q637" i="6"/>
  <c r="R637" i="6"/>
  <c r="S637" i="6"/>
  <c r="T637" i="6"/>
  <c r="B638" i="6"/>
  <c r="C638" i="6"/>
  <c r="D638" i="6"/>
  <c r="E638" i="6"/>
  <c r="F638" i="6"/>
  <c r="H638" i="6"/>
  <c r="I638" i="6"/>
  <c r="L638" i="6" s="1"/>
  <c r="N638" i="6"/>
  <c r="R638" i="6"/>
  <c r="Q638" i="6" s="1"/>
  <c r="S638" i="6" s="1"/>
  <c r="T638" i="6"/>
  <c r="B639" i="6"/>
  <c r="C639" i="6"/>
  <c r="L639" i="6" s="1"/>
  <c r="D639" i="6"/>
  <c r="E639" i="6"/>
  <c r="F639" i="6"/>
  <c r="H639" i="6"/>
  <c r="I639" i="6"/>
  <c r="N639" i="6"/>
  <c r="Q639" i="6"/>
  <c r="S639" i="6" s="1"/>
  <c r="R639" i="6"/>
  <c r="T639" i="6"/>
  <c r="B640" i="6"/>
  <c r="C640" i="6"/>
  <c r="D640" i="6"/>
  <c r="E640" i="6"/>
  <c r="F640" i="6"/>
  <c r="H640" i="6"/>
  <c r="I640" i="6"/>
  <c r="N640" i="6"/>
  <c r="Q640" i="6"/>
  <c r="S640" i="6" s="1"/>
  <c r="R640" i="6"/>
  <c r="T640" i="6"/>
  <c r="B641" i="6"/>
  <c r="C641" i="6"/>
  <c r="L641" i="6" s="1"/>
  <c r="D641" i="6"/>
  <c r="E641" i="6"/>
  <c r="F641" i="6"/>
  <c r="H641" i="6"/>
  <c r="I641" i="6"/>
  <c r="N641" i="6"/>
  <c r="Q641" i="6"/>
  <c r="R641" i="6"/>
  <c r="S641" i="6"/>
  <c r="T641" i="6"/>
  <c r="B642" i="6"/>
  <c r="C642" i="6"/>
  <c r="D642" i="6"/>
  <c r="E642" i="6"/>
  <c r="F642" i="6"/>
  <c r="H642" i="6"/>
  <c r="I642" i="6"/>
  <c r="N642" i="6"/>
  <c r="R642" i="6"/>
  <c r="Q642" i="6" s="1"/>
  <c r="S642" i="6"/>
  <c r="T642" i="6"/>
  <c r="B643" i="6"/>
  <c r="C643" i="6"/>
  <c r="L643" i="6" s="1"/>
  <c r="D643" i="6"/>
  <c r="E643" i="6"/>
  <c r="F643" i="6"/>
  <c r="H643" i="6"/>
  <c r="I643" i="6"/>
  <c r="N643" i="6"/>
  <c r="Q643" i="6"/>
  <c r="S643" i="6" s="1"/>
  <c r="R643" i="6"/>
  <c r="T643" i="6"/>
  <c r="B644" i="6"/>
  <c r="C644" i="6"/>
  <c r="D644" i="6"/>
  <c r="E644" i="6"/>
  <c r="F644" i="6"/>
  <c r="H644" i="6"/>
  <c r="I644" i="6"/>
  <c r="N644" i="6"/>
  <c r="R644" i="6"/>
  <c r="Q644" i="6" s="1"/>
  <c r="S644" i="6" s="1"/>
  <c r="T644" i="6"/>
  <c r="B645" i="6"/>
  <c r="C645" i="6"/>
  <c r="L645" i="6" s="1"/>
  <c r="D645" i="6"/>
  <c r="E645" i="6"/>
  <c r="F645" i="6"/>
  <c r="H645" i="6"/>
  <c r="I645" i="6"/>
  <c r="N645" i="6"/>
  <c r="Q645" i="6"/>
  <c r="S645" i="6" s="1"/>
  <c r="R645" i="6"/>
  <c r="T645" i="6"/>
  <c r="B646" i="6"/>
  <c r="C646" i="6"/>
  <c r="D646" i="6"/>
  <c r="E646" i="6"/>
  <c r="F646" i="6"/>
  <c r="L646" i="6" s="1"/>
  <c r="H646" i="6"/>
  <c r="I646" i="6"/>
  <c r="N646" i="6"/>
  <c r="R646" i="6"/>
  <c r="Q646" i="6" s="1"/>
  <c r="S646" i="6" s="1"/>
  <c r="T646" i="6"/>
  <c r="B647" i="6"/>
  <c r="C647" i="6"/>
  <c r="L647" i="6" s="1"/>
  <c r="D647" i="6"/>
  <c r="E647" i="6"/>
  <c r="F647" i="6"/>
  <c r="H647" i="6"/>
  <c r="I647" i="6"/>
  <c r="N647" i="6"/>
  <c r="R647" i="6"/>
  <c r="Q647" i="6" s="1"/>
  <c r="S647" i="6" s="1"/>
  <c r="T647" i="6"/>
  <c r="B648" i="6"/>
  <c r="C648" i="6"/>
  <c r="D648" i="6"/>
  <c r="E648" i="6"/>
  <c r="F648" i="6"/>
  <c r="H648" i="6"/>
  <c r="I648" i="6"/>
  <c r="N648" i="6"/>
  <c r="Q648" i="6"/>
  <c r="S648" i="6" s="1"/>
  <c r="R648" i="6"/>
  <c r="T648" i="6"/>
  <c r="B649" i="6"/>
  <c r="C649" i="6"/>
  <c r="L649" i="6" s="1"/>
  <c r="D649" i="6"/>
  <c r="E649" i="6"/>
  <c r="F649" i="6"/>
  <c r="H649" i="6"/>
  <c r="I649" i="6"/>
  <c r="N649" i="6"/>
  <c r="Q649" i="6"/>
  <c r="S649" i="6" s="1"/>
  <c r="R649" i="6"/>
  <c r="T649" i="6"/>
  <c r="B650" i="6"/>
  <c r="C650" i="6"/>
  <c r="D650" i="6"/>
  <c r="E650" i="6"/>
  <c r="F650" i="6"/>
  <c r="H650" i="6"/>
  <c r="I650" i="6"/>
  <c r="N650" i="6"/>
  <c r="R650" i="6"/>
  <c r="Q650" i="6" s="1"/>
  <c r="S650" i="6"/>
  <c r="T650" i="6"/>
  <c r="B651" i="6"/>
  <c r="C651" i="6"/>
  <c r="L651" i="6" s="1"/>
  <c r="D651" i="6"/>
  <c r="E651" i="6"/>
  <c r="F651" i="6"/>
  <c r="H651" i="6"/>
  <c r="I651" i="6"/>
  <c r="N651" i="6"/>
  <c r="R651" i="6"/>
  <c r="Q651" i="6" s="1"/>
  <c r="S651" i="6" s="1"/>
  <c r="T651" i="6"/>
  <c r="B652" i="6"/>
  <c r="C652" i="6"/>
  <c r="D652" i="6"/>
  <c r="E652" i="6"/>
  <c r="F652" i="6"/>
  <c r="H652" i="6"/>
  <c r="I652" i="6"/>
  <c r="N652" i="6"/>
  <c r="R652" i="6"/>
  <c r="Q652" i="6" s="1"/>
  <c r="S652" i="6" s="1"/>
  <c r="T652" i="6"/>
  <c r="B653" i="6"/>
  <c r="C653" i="6"/>
  <c r="D653" i="6"/>
  <c r="E653" i="6"/>
  <c r="F653" i="6"/>
  <c r="H653" i="6"/>
  <c r="I653" i="6"/>
  <c r="L653" i="6"/>
  <c r="N653" i="6"/>
  <c r="Q653" i="6"/>
  <c r="S653" i="6" s="1"/>
  <c r="R653" i="6"/>
  <c r="T653" i="6"/>
  <c r="B654" i="6"/>
  <c r="C654" i="6"/>
  <c r="D654" i="6"/>
  <c r="L654" i="6" s="1"/>
  <c r="E654" i="6"/>
  <c r="F654" i="6"/>
  <c r="H654" i="6"/>
  <c r="I654" i="6"/>
  <c r="N654" i="6"/>
  <c r="R654" i="6"/>
  <c r="Q654" i="6" s="1"/>
  <c r="S654" i="6" s="1"/>
  <c r="T654" i="6"/>
  <c r="B655" i="6"/>
  <c r="C655" i="6"/>
  <c r="D655" i="6"/>
  <c r="E655" i="6"/>
  <c r="F655" i="6"/>
  <c r="H655" i="6"/>
  <c r="I655" i="6"/>
  <c r="L655" i="6"/>
  <c r="N655" i="6"/>
  <c r="Q655" i="6"/>
  <c r="S655" i="6" s="1"/>
  <c r="R655" i="6"/>
  <c r="T655" i="6"/>
  <c r="B656" i="6"/>
  <c r="C656" i="6"/>
  <c r="L656" i="6" s="1"/>
  <c r="D656" i="6"/>
  <c r="E656" i="6"/>
  <c r="F656" i="6"/>
  <c r="H656" i="6"/>
  <c r="I656" i="6"/>
  <c r="N656" i="6"/>
  <c r="Q656" i="6"/>
  <c r="S656" i="6" s="1"/>
  <c r="R656" i="6"/>
  <c r="T656" i="6"/>
  <c r="B657" i="6"/>
  <c r="C657" i="6"/>
  <c r="D657" i="6"/>
  <c r="E657" i="6"/>
  <c r="F657" i="6"/>
  <c r="H657" i="6"/>
  <c r="L657" i="6" s="1"/>
  <c r="I657" i="6"/>
  <c r="N657" i="6"/>
  <c r="Q657" i="6"/>
  <c r="S657" i="6" s="1"/>
  <c r="R657" i="6"/>
  <c r="T657" i="6"/>
  <c r="B658" i="6"/>
  <c r="C658" i="6"/>
  <c r="D658" i="6"/>
  <c r="E658" i="6"/>
  <c r="F658" i="6"/>
  <c r="H658" i="6"/>
  <c r="I658" i="6"/>
  <c r="N658" i="6"/>
  <c r="R658" i="6"/>
  <c r="Q658" i="6" s="1"/>
  <c r="S658" i="6"/>
  <c r="T658" i="6"/>
  <c r="B659" i="6"/>
  <c r="C659" i="6"/>
  <c r="D659" i="6"/>
  <c r="E659" i="6"/>
  <c r="F659" i="6"/>
  <c r="H659" i="6"/>
  <c r="I659" i="6"/>
  <c r="L659" i="6"/>
  <c r="N659" i="6"/>
  <c r="R659" i="6"/>
  <c r="Q659" i="6" s="1"/>
  <c r="S659" i="6" s="1"/>
  <c r="T659" i="6"/>
  <c r="B660" i="6"/>
  <c r="C660" i="6"/>
  <c r="L660" i="6" s="1"/>
  <c r="D660" i="6"/>
  <c r="E660" i="6"/>
  <c r="F660" i="6"/>
  <c r="H660" i="6"/>
  <c r="I660" i="6"/>
  <c r="N660" i="6"/>
  <c r="R660" i="6"/>
  <c r="Q660" i="6" s="1"/>
  <c r="S660" i="6" s="1"/>
  <c r="T660" i="6"/>
  <c r="B661" i="6"/>
  <c r="C661" i="6"/>
  <c r="D661" i="6"/>
  <c r="E661" i="6"/>
  <c r="F661" i="6"/>
  <c r="L661" i="6" s="1"/>
  <c r="H661" i="6"/>
  <c r="I661" i="6"/>
  <c r="N661" i="6"/>
  <c r="Q661" i="6"/>
  <c r="R661" i="6"/>
  <c r="S661" i="6"/>
  <c r="T661" i="6"/>
  <c r="B662" i="6"/>
  <c r="C662" i="6"/>
  <c r="D662" i="6"/>
  <c r="E662" i="6"/>
  <c r="F662" i="6"/>
  <c r="H662" i="6"/>
  <c r="I662" i="6"/>
  <c r="L662" i="6"/>
  <c r="N662" i="6"/>
  <c r="R662" i="6"/>
  <c r="Q662" i="6" s="1"/>
  <c r="S662" i="6" s="1"/>
  <c r="T662" i="6"/>
  <c r="B663" i="6"/>
  <c r="C663" i="6"/>
  <c r="D663" i="6"/>
  <c r="E663" i="6"/>
  <c r="L663" i="6" s="1"/>
  <c r="F663" i="6"/>
  <c r="H663" i="6"/>
  <c r="I663" i="6"/>
  <c r="N663" i="6"/>
  <c r="Q663" i="6"/>
  <c r="R663" i="6"/>
  <c r="S663" i="6"/>
  <c r="T663" i="6"/>
  <c r="B664" i="6"/>
  <c r="C664" i="6"/>
  <c r="D664" i="6"/>
  <c r="E664" i="6"/>
  <c r="F664" i="6"/>
  <c r="H664" i="6"/>
  <c r="I664" i="6"/>
  <c r="N664" i="6"/>
  <c r="Q664" i="6"/>
  <c r="S664" i="6" s="1"/>
  <c r="R664" i="6"/>
  <c r="T664" i="6"/>
  <c r="B665" i="6"/>
  <c r="C665" i="6"/>
  <c r="D665" i="6"/>
  <c r="E665" i="6"/>
  <c r="L665" i="6" s="1"/>
  <c r="F665" i="6"/>
  <c r="H665" i="6"/>
  <c r="I665" i="6"/>
  <c r="N665" i="6"/>
  <c r="Q665" i="6"/>
  <c r="R665" i="6"/>
  <c r="S665" i="6"/>
  <c r="T665" i="6"/>
  <c r="B666" i="6"/>
  <c r="C666" i="6"/>
  <c r="D666" i="6"/>
  <c r="E666" i="6"/>
  <c r="F666" i="6"/>
  <c r="H666" i="6"/>
  <c r="I666" i="6"/>
  <c r="N666" i="6"/>
  <c r="R666" i="6"/>
  <c r="Q666" i="6" s="1"/>
  <c r="S666" i="6"/>
  <c r="T666" i="6"/>
  <c r="B667" i="6"/>
  <c r="C667" i="6"/>
  <c r="D667" i="6"/>
  <c r="E667" i="6"/>
  <c r="F667" i="6"/>
  <c r="H667" i="6"/>
  <c r="I667" i="6"/>
  <c r="N667" i="6"/>
  <c r="R667" i="6"/>
  <c r="Q667" i="6" s="1"/>
  <c r="S667" i="6" s="1"/>
  <c r="T667" i="6"/>
  <c r="B668" i="6"/>
  <c r="C668" i="6"/>
  <c r="D668" i="6"/>
  <c r="E668" i="6"/>
  <c r="F668" i="6"/>
  <c r="H668" i="6"/>
  <c r="I668" i="6"/>
  <c r="N668" i="6"/>
  <c r="R668" i="6"/>
  <c r="Q668" i="6" s="1"/>
  <c r="S668" i="6" s="1"/>
  <c r="T668" i="6"/>
  <c r="B669" i="6"/>
  <c r="C669" i="6"/>
  <c r="L669" i="6" s="1"/>
  <c r="D669" i="6"/>
  <c r="E669" i="6"/>
  <c r="F669" i="6"/>
  <c r="H669" i="6"/>
  <c r="I669" i="6"/>
  <c r="N669" i="6"/>
  <c r="Q669" i="6"/>
  <c r="R669" i="6"/>
  <c r="S669" i="6"/>
  <c r="T669" i="6"/>
  <c r="B670" i="6"/>
  <c r="C670" i="6"/>
  <c r="D670" i="6"/>
  <c r="E670" i="6"/>
  <c r="F670" i="6"/>
  <c r="H670" i="6"/>
  <c r="I670" i="6"/>
  <c r="L670" i="6" s="1"/>
  <c r="N670" i="6"/>
  <c r="R670" i="6"/>
  <c r="Q670" i="6" s="1"/>
  <c r="S670" i="6" s="1"/>
  <c r="T670" i="6"/>
  <c r="B671" i="6"/>
  <c r="C671" i="6"/>
  <c r="D671" i="6"/>
  <c r="E671" i="6"/>
  <c r="F671" i="6"/>
  <c r="H671" i="6"/>
  <c r="I671" i="6"/>
  <c r="N671" i="6"/>
  <c r="R671" i="6"/>
  <c r="Q671" i="6" s="1"/>
  <c r="S671" i="6"/>
  <c r="T671" i="6"/>
  <c r="B672" i="6"/>
  <c r="C672" i="6"/>
  <c r="D672" i="6"/>
  <c r="E672" i="6"/>
  <c r="F672" i="6"/>
  <c r="H672" i="6"/>
  <c r="I672" i="6"/>
  <c r="N672" i="6"/>
  <c r="Q672" i="6"/>
  <c r="S672" i="6" s="1"/>
  <c r="R672" i="6"/>
  <c r="T672" i="6"/>
  <c r="B673" i="6"/>
  <c r="C673" i="6"/>
  <c r="D673" i="6"/>
  <c r="E673" i="6"/>
  <c r="F673" i="6"/>
  <c r="H673" i="6"/>
  <c r="I673" i="6"/>
  <c r="N673" i="6"/>
  <c r="Q673" i="6"/>
  <c r="R673" i="6"/>
  <c r="S673" i="6"/>
  <c r="T673" i="6"/>
  <c r="B674" i="6"/>
  <c r="C674" i="6"/>
  <c r="D674" i="6"/>
  <c r="E674" i="6"/>
  <c r="F674" i="6"/>
  <c r="H674" i="6"/>
  <c r="I674" i="6"/>
  <c r="L674" i="6"/>
  <c r="N674" i="6"/>
  <c r="R674" i="6"/>
  <c r="Q674" i="6" s="1"/>
  <c r="S674" i="6"/>
  <c r="T674" i="6"/>
  <c r="B675" i="6"/>
  <c r="C675" i="6"/>
  <c r="D675" i="6"/>
  <c r="E675" i="6"/>
  <c r="F675" i="6"/>
  <c r="H675" i="6"/>
  <c r="I675" i="6"/>
  <c r="N675" i="6"/>
  <c r="Q675" i="6"/>
  <c r="R675" i="6"/>
  <c r="S675" i="6"/>
  <c r="T675" i="6"/>
  <c r="B676" i="6"/>
  <c r="C676" i="6"/>
  <c r="D676" i="6"/>
  <c r="E676" i="6"/>
  <c r="F676" i="6"/>
  <c r="H676" i="6"/>
  <c r="I676" i="6"/>
  <c r="N676" i="6"/>
  <c r="R676" i="6"/>
  <c r="Q676" i="6" s="1"/>
  <c r="S676" i="6" s="1"/>
  <c r="T676" i="6"/>
  <c r="B677" i="6"/>
  <c r="C677" i="6"/>
  <c r="D677" i="6"/>
  <c r="E677" i="6"/>
  <c r="F677" i="6"/>
  <c r="H677" i="6"/>
  <c r="I677" i="6"/>
  <c r="N677" i="6"/>
  <c r="Q677" i="6"/>
  <c r="S677" i="6" s="1"/>
  <c r="R677" i="6"/>
  <c r="T677" i="6"/>
  <c r="B678" i="6"/>
  <c r="C678" i="6"/>
  <c r="D678" i="6"/>
  <c r="E678" i="6"/>
  <c r="L678" i="6" s="1"/>
  <c r="F678" i="6"/>
  <c r="H678" i="6"/>
  <c r="I678" i="6"/>
  <c r="N678" i="6"/>
  <c r="R678" i="6"/>
  <c r="Q678" i="6" s="1"/>
  <c r="S678" i="6" s="1"/>
  <c r="T678" i="6"/>
  <c r="B679" i="6"/>
  <c r="C679" i="6"/>
  <c r="L679" i="6" s="1"/>
  <c r="D679" i="6"/>
  <c r="E679" i="6"/>
  <c r="F679" i="6"/>
  <c r="H679" i="6"/>
  <c r="I679" i="6"/>
  <c r="N679" i="6"/>
  <c r="Q679" i="6"/>
  <c r="S679" i="6" s="1"/>
  <c r="R679" i="6"/>
  <c r="T679" i="6"/>
  <c r="B680" i="6"/>
  <c r="C680" i="6"/>
  <c r="D680" i="6"/>
  <c r="E680" i="6"/>
  <c r="F680" i="6"/>
  <c r="H680" i="6"/>
  <c r="I680" i="6"/>
  <c r="N680" i="6"/>
  <c r="R680" i="6"/>
  <c r="Q680" i="6" s="1"/>
  <c r="S680" i="6"/>
  <c r="T680" i="6"/>
  <c r="B681" i="6"/>
  <c r="C681" i="6"/>
  <c r="L681" i="6" s="1"/>
  <c r="D681" i="6"/>
  <c r="E681" i="6"/>
  <c r="F681" i="6"/>
  <c r="H681" i="6"/>
  <c r="I681" i="6"/>
  <c r="N681" i="6"/>
  <c r="Q681" i="6"/>
  <c r="S681" i="6" s="1"/>
  <c r="R681" i="6"/>
  <c r="T681" i="6"/>
  <c r="B682" i="6"/>
  <c r="C682" i="6"/>
  <c r="D682" i="6"/>
  <c r="E682" i="6"/>
  <c r="F682" i="6"/>
  <c r="H682" i="6"/>
  <c r="I682" i="6"/>
  <c r="N682" i="6"/>
  <c r="R682" i="6"/>
  <c r="Q682" i="6" s="1"/>
  <c r="S682" i="6" s="1"/>
  <c r="T682" i="6"/>
  <c r="B683" i="6"/>
  <c r="C683" i="6"/>
  <c r="D683" i="6"/>
  <c r="E683" i="6"/>
  <c r="F683" i="6"/>
  <c r="H683" i="6"/>
  <c r="I683" i="6"/>
  <c r="L683" i="6"/>
  <c r="N683" i="6"/>
  <c r="Q683" i="6"/>
  <c r="R683" i="6"/>
  <c r="S683" i="6"/>
  <c r="T683" i="6"/>
  <c r="B684" i="6"/>
  <c r="C684" i="6"/>
  <c r="D684" i="6"/>
  <c r="E684" i="6"/>
  <c r="F684" i="6"/>
  <c r="H684" i="6"/>
  <c r="I684" i="6"/>
  <c r="N684" i="6"/>
  <c r="Q684" i="6"/>
  <c r="S684" i="6" s="1"/>
  <c r="R684" i="6"/>
  <c r="T684" i="6"/>
  <c r="B685" i="6"/>
  <c r="C685" i="6"/>
  <c r="D685" i="6"/>
  <c r="E685" i="6"/>
  <c r="F685" i="6"/>
  <c r="H685" i="6"/>
  <c r="I685" i="6"/>
  <c r="N685" i="6"/>
  <c r="Q685" i="6"/>
  <c r="S685" i="6" s="1"/>
  <c r="R685" i="6"/>
  <c r="T685" i="6"/>
  <c r="B686" i="6"/>
  <c r="C686" i="6"/>
  <c r="D686" i="6"/>
  <c r="E686" i="6"/>
  <c r="F686" i="6"/>
  <c r="L686" i="6" s="1"/>
  <c r="H686" i="6"/>
  <c r="I686" i="6"/>
  <c r="N686" i="6"/>
  <c r="R686" i="6"/>
  <c r="Q686" i="6" s="1"/>
  <c r="S686" i="6" s="1"/>
  <c r="T686" i="6"/>
  <c r="B687" i="6"/>
  <c r="C687" i="6"/>
  <c r="D687" i="6"/>
  <c r="E687" i="6"/>
  <c r="F687" i="6"/>
  <c r="H687" i="6"/>
  <c r="I687" i="6"/>
  <c r="L687" i="6"/>
  <c r="N687" i="6"/>
  <c r="Q687" i="6"/>
  <c r="S687" i="6" s="1"/>
  <c r="R687" i="6"/>
  <c r="T687" i="6"/>
  <c r="B688" i="6"/>
  <c r="C688" i="6"/>
  <c r="L688" i="6" s="1"/>
  <c r="D688" i="6"/>
  <c r="E688" i="6"/>
  <c r="F688" i="6"/>
  <c r="H688" i="6"/>
  <c r="I688" i="6"/>
  <c r="N688" i="6"/>
  <c r="R688" i="6"/>
  <c r="Q688" i="6" s="1"/>
  <c r="S688" i="6"/>
  <c r="T688" i="6"/>
  <c r="B689" i="6"/>
  <c r="C689" i="6"/>
  <c r="D689" i="6"/>
  <c r="E689" i="6"/>
  <c r="F689" i="6"/>
  <c r="H689" i="6"/>
  <c r="I689" i="6"/>
  <c r="L689" i="6" s="1"/>
  <c r="N689" i="6"/>
  <c r="Q689" i="6"/>
  <c r="S689" i="6" s="1"/>
  <c r="R689" i="6"/>
  <c r="T689" i="6"/>
  <c r="B690" i="6"/>
  <c r="C690" i="6"/>
  <c r="D690" i="6"/>
  <c r="E690" i="6"/>
  <c r="F690" i="6"/>
  <c r="H690" i="6"/>
  <c r="I690" i="6"/>
  <c r="N690" i="6"/>
  <c r="R690" i="6"/>
  <c r="Q690" i="6" s="1"/>
  <c r="S690" i="6"/>
  <c r="T690" i="6"/>
  <c r="B691" i="6"/>
  <c r="C691" i="6"/>
  <c r="D691" i="6"/>
  <c r="E691" i="6"/>
  <c r="F691" i="6"/>
  <c r="H691" i="6"/>
  <c r="I691" i="6"/>
  <c r="L691" i="6"/>
  <c r="N691" i="6"/>
  <c r="Q691" i="6"/>
  <c r="R691" i="6"/>
  <c r="S691" i="6"/>
  <c r="T691" i="6"/>
  <c r="B692" i="6"/>
  <c r="C692" i="6"/>
  <c r="D692" i="6"/>
  <c r="E692" i="6"/>
  <c r="F692" i="6"/>
  <c r="H692" i="6"/>
  <c r="I692" i="6"/>
  <c r="N692" i="6"/>
  <c r="R692" i="6"/>
  <c r="Q692" i="6" s="1"/>
  <c r="S692" i="6" s="1"/>
  <c r="T692" i="6"/>
  <c r="B693" i="6"/>
  <c r="C693" i="6"/>
  <c r="D693" i="6"/>
  <c r="E693" i="6"/>
  <c r="F693" i="6"/>
  <c r="H693" i="6"/>
  <c r="I693" i="6"/>
  <c r="N693" i="6"/>
  <c r="Q693" i="6"/>
  <c r="S693" i="6" s="1"/>
  <c r="R693" i="6"/>
  <c r="T693" i="6"/>
  <c r="B694" i="6"/>
  <c r="C694" i="6"/>
  <c r="D694" i="6"/>
  <c r="E694" i="6"/>
  <c r="F694" i="6"/>
  <c r="L694" i="6" s="1"/>
  <c r="H694" i="6"/>
  <c r="I694" i="6"/>
  <c r="N694" i="6"/>
  <c r="R694" i="6"/>
  <c r="Q694" i="6" s="1"/>
  <c r="S694" i="6" s="1"/>
  <c r="T694" i="6"/>
  <c r="B695" i="6"/>
  <c r="C695" i="6"/>
  <c r="D695" i="6"/>
  <c r="E695" i="6"/>
  <c r="F695" i="6"/>
  <c r="H695" i="6"/>
  <c r="I695" i="6"/>
  <c r="L695" i="6"/>
  <c r="N695" i="6"/>
  <c r="Q695" i="6"/>
  <c r="S695" i="6" s="1"/>
  <c r="R695" i="6"/>
  <c r="T695" i="6"/>
  <c r="B696" i="6"/>
  <c r="C696" i="6"/>
  <c r="D696" i="6"/>
  <c r="E696" i="6"/>
  <c r="F696" i="6"/>
  <c r="H696" i="6"/>
  <c r="I696" i="6"/>
  <c r="N696" i="6"/>
  <c r="R696" i="6"/>
  <c r="Q696" i="6" s="1"/>
  <c r="S696" i="6" s="1"/>
  <c r="T696" i="6"/>
  <c r="B697" i="6"/>
  <c r="C697" i="6"/>
  <c r="L697" i="6" s="1"/>
  <c r="D697" i="6"/>
  <c r="E697" i="6"/>
  <c r="F697" i="6"/>
  <c r="H697" i="6"/>
  <c r="I697" i="6"/>
  <c r="N697" i="6"/>
  <c r="Q697" i="6"/>
  <c r="S697" i="6" s="1"/>
  <c r="R697" i="6"/>
  <c r="T697" i="6"/>
  <c r="B698" i="6"/>
  <c r="C698" i="6"/>
  <c r="D698" i="6"/>
  <c r="E698" i="6"/>
  <c r="F698" i="6"/>
  <c r="H698" i="6"/>
  <c r="I698" i="6"/>
  <c r="N698" i="6"/>
  <c r="R698" i="6"/>
  <c r="Q698" i="6" s="1"/>
  <c r="S698" i="6" s="1"/>
  <c r="T698" i="6"/>
  <c r="B699" i="6"/>
  <c r="C699" i="6"/>
  <c r="D699" i="6"/>
  <c r="E699" i="6"/>
  <c r="F699" i="6"/>
  <c r="H699" i="6"/>
  <c r="L699" i="6" s="1"/>
  <c r="I699" i="6"/>
  <c r="N699" i="6"/>
  <c r="Q699" i="6"/>
  <c r="R699" i="6"/>
  <c r="S699" i="6"/>
  <c r="T699" i="6"/>
  <c r="B700" i="6"/>
  <c r="C700" i="6"/>
  <c r="L700" i="6" s="1"/>
  <c r="D700" i="6"/>
  <c r="E700" i="6"/>
  <c r="F700" i="6"/>
  <c r="H700" i="6"/>
  <c r="I700" i="6"/>
  <c r="N700" i="6"/>
  <c r="Q700" i="6"/>
  <c r="R700" i="6"/>
  <c r="T700" i="6"/>
  <c r="B701" i="6"/>
  <c r="C701" i="6"/>
  <c r="D701" i="6"/>
  <c r="E701" i="6"/>
  <c r="F701" i="6"/>
  <c r="H701" i="6"/>
  <c r="I701" i="6"/>
  <c r="N701" i="6"/>
  <c r="Q701" i="6"/>
  <c r="S701" i="6" s="1"/>
  <c r="R701" i="6"/>
  <c r="T701" i="6"/>
  <c r="B702" i="6"/>
  <c r="C702" i="6"/>
  <c r="D702" i="6"/>
  <c r="E702" i="6"/>
  <c r="F702" i="6"/>
  <c r="L702" i="6" s="1"/>
  <c r="H702" i="6"/>
  <c r="I702" i="6"/>
  <c r="N702" i="6"/>
  <c r="R702" i="6"/>
  <c r="Q702" i="6" s="1"/>
  <c r="S702" i="6" s="1"/>
  <c r="T702" i="6"/>
  <c r="B703" i="6"/>
  <c r="C703" i="6"/>
  <c r="D703" i="6"/>
  <c r="E703" i="6"/>
  <c r="F703" i="6"/>
  <c r="H703" i="6"/>
  <c r="I703" i="6"/>
  <c r="L703" i="6"/>
  <c r="N703" i="6"/>
  <c r="Q703" i="6"/>
  <c r="S703" i="6" s="1"/>
  <c r="R703" i="6"/>
  <c r="T703" i="6"/>
  <c r="B704" i="6"/>
  <c r="C704" i="6"/>
  <c r="D704" i="6"/>
  <c r="E704" i="6"/>
  <c r="F704" i="6"/>
  <c r="H704" i="6"/>
  <c r="I704" i="6"/>
  <c r="N704" i="6"/>
  <c r="R704" i="6"/>
  <c r="Q704" i="6" s="1"/>
  <c r="T704" i="6"/>
  <c r="B705" i="6"/>
  <c r="C705" i="6"/>
  <c r="L705" i="6" s="1"/>
  <c r="D705" i="6"/>
  <c r="E705" i="6"/>
  <c r="F705" i="6"/>
  <c r="H705" i="6"/>
  <c r="I705" i="6"/>
  <c r="N705" i="6"/>
  <c r="Q705" i="6"/>
  <c r="S705" i="6" s="1"/>
  <c r="R705" i="6"/>
  <c r="T705" i="6"/>
  <c r="B706" i="6"/>
  <c r="C706" i="6"/>
  <c r="L706" i="6" s="1"/>
  <c r="D706" i="6"/>
  <c r="E706" i="6"/>
  <c r="F706" i="6"/>
  <c r="H706" i="6"/>
  <c r="I706" i="6"/>
  <c r="N706" i="6"/>
  <c r="R706" i="6"/>
  <c r="Q706" i="6" s="1"/>
  <c r="S706" i="6"/>
  <c r="T706" i="6"/>
  <c r="B707" i="6"/>
  <c r="C707" i="6"/>
  <c r="D707" i="6"/>
  <c r="E707" i="6"/>
  <c r="F707" i="6"/>
  <c r="H707" i="6"/>
  <c r="I707" i="6"/>
  <c r="L707" i="6" s="1"/>
  <c r="N707" i="6"/>
  <c r="Q707" i="6"/>
  <c r="R707" i="6"/>
  <c r="S707" i="6"/>
  <c r="T707" i="6"/>
  <c r="B708" i="6"/>
  <c r="C708" i="6"/>
  <c r="L708" i="6" s="1"/>
  <c r="D708" i="6"/>
  <c r="E708" i="6"/>
  <c r="F708" i="6"/>
  <c r="H708" i="6"/>
  <c r="I708" i="6"/>
  <c r="N708" i="6"/>
  <c r="R708" i="6"/>
  <c r="Q708" i="6" s="1"/>
  <c r="S708" i="6" s="1"/>
  <c r="T708" i="6"/>
  <c r="B709" i="6"/>
  <c r="C709" i="6"/>
  <c r="D709" i="6"/>
  <c r="E709" i="6"/>
  <c r="F709" i="6"/>
  <c r="H709" i="6"/>
  <c r="I709" i="6"/>
  <c r="N709" i="6"/>
  <c r="Q709" i="6"/>
  <c r="S709" i="6" s="1"/>
  <c r="R709" i="6"/>
  <c r="T709" i="6"/>
  <c r="B710" i="6"/>
  <c r="C710" i="6"/>
  <c r="D710" i="6"/>
  <c r="E710" i="6"/>
  <c r="F710" i="6"/>
  <c r="L710" i="6" s="1"/>
  <c r="H710" i="6"/>
  <c r="I710" i="6"/>
  <c r="N710" i="6"/>
  <c r="R710" i="6"/>
  <c r="Q710" i="6" s="1"/>
  <c r="S710" i="6" s="1"/>
  <c r="T710" i="6"/>
  <c r="B711" i="6"/>
  <c r="C711" i="6"/>
  <c r="L711" i="6" s="1"/>
  <c r="D711" i="6"/>
  <c r="E711" i="6"/>
  <c r="F711" i="6"/>
  <c r="H711" i="6"/>
  <c r="I711" i="6"/>
  <c r="N711" i="6"/>
  <c r="Q711" i="6"/>
  <c r="S711" i="6" s="1"/>
  <c r="R711" i="6"/>
  <c r="T711" i="6"/>
  <c r="B712" i="6"/>
  <c r="C712" i="6"/>
  <c r="L712" i="6" s="1"/>
  <c r="D712" i="6"/>
  <c r="E712" i="6"/>
  <c r="F712" i="6"/>
  <c r="H712" i="6"/>
  <c r="I712" i="6"/>
  <c r="N712" i="6"/>
  <c r="R712" i="6"/>
  <c r="Q712" i="6" s="1"/>
  <c r="S712" i="6"/>
  <c r="T712" i="6"/>
  <c r="B713" i="6"/>
  <c r="C713" i="6"/>
  <c r="D713" i="6"/>
  <c r="E713" i="6"/>
  <c r="F713" i="6"/>
  <c r="H713" i="6"/>
  <c r="I713" i="6"/>
  <c r="N713" i="6"/>
  <c r="Q713" i="6"/>
  <c r="S713" i="6" s="1"/>
  <c r="R713" i="6"/>
  <c r="T713" i="6"/>
  <c r="B714" i="6"/>
  <c r="C714" i="6"/>
  <c r="L714" i="6" s="1"/>
  <c r="D714" i="6"/>
  <c r="E714" i="6"/>
  <c r="F714" i="6"/>
  <c r="H714" i="6"/>
  <c r="I714" i="6"/>
  <c r="N714" i="6"/>
  <c r="R714" i="6"/>
  <c r="Q714" i="6" s="1"/>
  <c r="S714" i="6" s="1"/>
  <c r="T714" i="6"/>
  <c r="B715" i="6"/>
  <c r="C715" i="6"/>
  <c r="D715" i="6"/>
  <c r="E715" i="6"/>
  <c r="F715" i="6"/>
  <c r="H715" i="6"/>
  <c r="L715" i="6" s="1"/>
  <c r="I715" i="6"/>
  <c r="N715" i="6"/>
  <c r="Q715" i="6"/>
  <c r="R715" i="6"/>
  <c r="S715" i="6"/>
  <c r="T715" i="6"/>
  <c r="B716" i="6"/>
  <c r="C716" i="6"/>
  <c r="L716" i="6" s="1"/>
  <c r="D716" i="6"/>
  <c r="E716" i="6"/>
  <c r="F716" i="6"/>
  <c r="H716" i="6"/>
  <c r="I716" i="6"/>
  <c r="N716" i="6"/>
  <c r="R716" i="6"/>
  <c r="Q716" i="6" s="1"/>
  <c r="S716" i="6" s="1"/>
  <c r="T716" i="6"/>
  <c r="B717" i="6"/>
  <c r="C717" i="6"/>
  <c r="D717" i="6"/>
  <c r="E717" i="6"/>
  <c r="F717" i="6"/>
  <c r="H717" i="6"/>
  <c r="I717" i="6"/>
  <c r="N717" i="6"/>
  <c r="Q717" i="6"/>
  <c r="S717" i="6" s="1"/>
  <c r="R717" i="6"/>
  <c r="T717" i="6"/>
  <c r="B718" i="6"/>
  <c r="C718" i="6"/>
  <c r="D718" i="6"/>
  <c r="E718" i="6"/>
  <c r="F718" i="6"/>
  <c r="L718" i="6" s="1"/>
  <c r="H718" i="6"/>
  <c r="I718" i="6"/>
  <c r="N718" i="6"/>
  <c r="R718" i="6"/>
  <c r="Q718" i="6" s="1"/>
  <c r="S718" i="6" s="1"/>
  <c r="T718" i="6"/>
  <c r="B719" i="6"/>
  <c r="C719" i="6"/>
  <c r="L719" i="6" s="1"/>
  <c r="D719" i="6"/>
  <c r="E719" i="6"/>
  <c r="F719" i="6"/>
  <c r="H719" i="6"/>
  <c r="I719" i="6"/>
  <c r="N719" i="6"/>
  <c r="Q719" i="6"/>
  <c r="S719" i="6" s="1"/>
  <c r="R719" i="6"/>
  <c r="T719" i="6"/>
  <c r="B720" i="6"/>
  <c r="C720" i="6"/>
  <c r="D720" i="6"/>
  <c r="E720" i="6"/>
  <c r="F720" i="6"/>
  <c r="H720" i="6"/>
  <c r="I720" i="6"/>
  <c r="N720" i="6"/>
  <c r="R720" i="6"/>
  <c r="Q720" i="6" s="1"/>
  <c r="S720" i="6" s="1"/>
  <c r="T720" i="6"/>
  <c r="B721" i="6"/>
  <c r="C721" i="6"/>
  <c r="D721" i="6"/>
  <c r="E721" i="6"/>
  <c r="F721" i="6"/>
  <c r="H721" i="6"/>
  <c r="I721" i="6"/>
  <c r="L721" i="6"/>
  <c r="N721" i="6"/>
  <c r="Q721" i="6"/>
  <c r="S721" i="6" s="1"/>
  <c r="R721" i="6"/>
  <c r="T721" i="6"/>
  <c r="B722" i="6"/>
  <c r="C722" i="6"/>
  <c r="D722" i="6"/>
  <c r="E722" i="6"/>
  <c r="F722" i="6"/>
  <c r="H722" i="6"/>
  <c r="I722" i="6"/>
  <c r="N722" i="6"/>
  <c r="R722" i="6"/>
  <c r="Q722" i="6" s="1"/>
  <c r="S722" i="6" s="1"/>
  <c r="T722" i="6"/>
  <c r="B723" i="6"/>
  <c r="C723" i="6"/>
  <c r="D723" i="6"/>
  <c r="E723" i="6"/>
  <c r="F723" i="6"/>
  <c r="H723" i="6"/>
  <c r="L723" i="6" s="1"/>
  <c r="I723" i="6"/>
  <c r="N723" i="6"/>
  <c r="Q723" i="6"/>
  <c r="R723" i="6"/>
  <c r="S723" i="6"/>
  <c r="T723" i="6"/>
  <c r="B724" i="6"/>
  <c r="C724" i="6"/>
  <c r="L724" i="6" s="1"/>
  <c r="D724" i="6"/>
  <c r="E724" i="6"/>
  <c r="F724" i="6"/>
  <c r="H724" i="6"/>
  <c r="I724" i="6"/>
  <c r="N724" i="6"/>
  <c r="Q724" i="6"/>
  <c r="S724" i="6" s="1"/>
  <c r="R724" i="6"/>
  <c r="T724" i="6"/>
  <c r="B725" i="6"/>
  <c r="C725" i="6"/>
  <c r="D725" i="6"/>
  <c r="E725" i="6"/>
  <c r="F725" i="6"/>
  <c r="H725" i="6"/>
  <c r="I725" i="6"/>
  <c r="N725" i="6"/>
  <c r="Q725" i="6"/>
  <c r="S725" i="6" s="1"/>
  <c r="R725" i="6"/>
  <c r="T725" i="6"/>
  <c r="B726" i="6"/>
  <c r="C726" i="6"/>
  <c r="D726" i="6"/>
  <c r="E726" i="6"/>
  <c r="F726" i="6"/>
  <c r="L726" i="6" s="1"/>
  <c r="H726" i="6"/>
  <c r="I726" i="6"/>
  <c r="N726" i="6"/>
  <c r="R726" i="6"/>
  <c r="Q726" i="6" s="1"/>
  <c r="S726" i="6" s="1"/>
  <c r="T726" i="6"/>
  <c r="B727" i="6"/>
  <c r="C727" i="6"/>
  <c r="D727" i="6"/>
  <c r="E727" i="6"/>
  <c r="F727" i="6"/>
  <c r="H727" i="6"/>
  <c r="I727" i="6"/>
  <c r="L727" i="6"/>
  <c r="N727" i="6"/>
  <c r="Q727" i="6"/>
  <c r="S727" i="6" s="1"/>
  <c r="R727" i="6"/>
  <c r="T727" i="6"/>
  <c r="B728" i="6"/>
  <c r="C728" i="6"/>
  <c r="L728" i="6" s="1"/>
  <c r="D728" i="6"/>
  <c r="E728" i="6"/>
  <c r="F728" i="6"/>
  <c r="H728" i="6"/>
  <c r="I728" i="6"/>
  <c r="N728" i="6"/>
  <c r="R728" i="6"/>
  <c r="Q728" i="6" s="1"/>
  <c r="S728" i="6"/>
  <c r="T728" i="6"/>
  <c r="B729" i="6"/>
  <c r="C729" i="6"/>
  <c r="D729" i="6"/>
  <c r="E729" i="6"/>
  <c r="F729" i="6"/>
  <c r="H729" i="6"/>
  <c r="I729" i="6"/>
  <c r="N729" i="6"/>
  <c r="Q729" i="6"/>
  <c r="S729" i="6" s="1"/>
  <c r="R729" i="6"/>
  <c r="T729" i="6"/>
  <c r="B730" i="6"/>
  <c r="C730" i="6"/>
  <c r="D730" i="6"/>
  <c r="E730" i="6"/>
  <c r="F730" i="6"/>
  <c r="H730" i="6"/>
  <c r="I730" i="6"/>
  <c r="N730" i="6"/>
  <c r="R730" i="6"/>
  <c r="Q730" i="6" s="1"/>
  <c r="S730" i="6" s="1"/>
  <c r="T730" i="6"/>
  <c r="B731" i="6"/>
  <c r="C731" i="6"/>
  <c r="D731" i="6"/>
  <c r="E731" i="6"/>
  <c r="F731" i="6"/>
  <c r="H731" i="6"/>
  <c r="L731" i="6" s="1"/>
  <c r="I731" i="6"/>
  <c r="N731" i="6"/>
  <c r="Q731" i="6"/>
  <c r="R731" i="6"/>
  <c r="S731" i="6"/>
  <c r="T731" i="6"/>
  <c r="B732" i="6"/>
  <c r="C732" i="6"/>
  <c r="D732" i="6"/>
  <c r="E732" i="6"/>
  <c r="F732" i="6"/>
  <c r="H732" i="6"/>
  <c r="I732" i="6"/>
  <c r="N732" i="6"/>
  <c r="Q732" i="6"/>
  <c r="S732" i="6" s="1"/>
  <c r="R732" i="6"/>
  <c r="T732" i="6"/>
  <c r="B733" i="6"/>
  <c r="C733" i="6"/>
  <c r="D733" i="6"/>
  <c r="E733" i="6"/>
  <c r="F733" i="6"/>
  <c r="H733" i="6"/>
  <c r="I733" i="6"/>
  <c r="N733" i="6"/>
  <c r="Q733" i="6"/>
  <c r="S733" i="6" s="1"/>
  <c r="R733" i="6"/>
  <c r="T733" i="6"/>
  <c r="B734" i="6"/>
  <c r="C734" i="6"/>
  <c r="D734" i="6"/>
  <c r="E734" i="6"/>
  <c r="F734" i="6"/>
  <c r="L734" i="6" s="1"/>
  <c r="H734" i="6"/>
  <c r="I734" i="6"/>
  <c r="N734" i="6"/>
  <c r="R734" i="6"/>
  <c r="Q734" i="6" s="1"/>
  <c r="S734" i="6" s="1"/>
  <c r="T734" i="6"/>
  <c r="B735" i="6"/>
  <c r="C735" i="6"/>
  <c r="L735" i="6" s="1"/>
  <c r="D735" i="6"/>
  <c r="E735" i="6"/>
  <c r="F735" i="6"/>
  <c r="H735" i="6"/>
  <c r="I735" i="6"/>
  <c r="N735" i="6"/>
  <c r="Q735" i="6"/>
  <c r="S735" i="6" s="1"/>
  <c r="R735" i="6"/>
  <c r="T735" i="6"/>
  <c r="B736" i="6"/>
  <c r="C736" i="6"/>
  <c r="D736" i="6"/>
  <c r="E736" i="6"/>
  <c r="F736" i="6"/>
  <c r="H736" i="6"/>
  <c r="I736" i="6"/>
  <c r="N736" i="6"/>
  <c r="R736" i="6"/>
  <c r="Q736" i="6" s="1"/>
  <c r="S736" i="6" s="1"/>
  <c r="T736" i="6"/>
  <c r="B737" i="6"/>
  <c r="C737" i="6"/>
  <c r="L737" i="6" s="1"/>
  <c r="D737" i="6"/>
  <c r="E737" i="6"/>
  <c r="F737" i="6"/>
  <c r="H737" i="6"/>
  <c r="I737" i="6"/>
  <c r="N737" i="6"/>
  <c r="Q737" i="6"/>
  <c r="S737" i="6" s="1"/>
  <c r="R737" i="6"/>
  <c r="T737" i="6"/>
  <c r="B738" i="6"/>
  <c r="C738" i="6"/>
  <c r="L738" i="6" s="1"/>
  <c r="D738" i="6"/>
  <c r="E738" i="6"/>
  <c r="F738" i="6"/>
  <c r="H738" i="6"/>
  <c r="I738" i="6"/>
  <c r="N738" i="6"/>
  <c r="R738" i="6"/>
  <c r="Q738" i="6" s="1"/>
  <c r="S738" i="6" s="1"/>
  <c r="T738" i="6"/>
  <c r="B739" i="6"/>
  <c r="C739" i="6"/>
  <c r="D739" i="6"/>
  <c r="E739" i="6"/>
  <c r="F739" i="6"/>
  <c r="H739" i="6"/>
  <c r="L739" i="6" s="1"/>
  <c r="I739" i="6"/>
  <c r="N739" i="6"/>
  <c r="Q739" i="6"/>
  <c r="R739" i="6"/>
  <c r="S739" i="6"/>
  <c r="T739" i="6"/>
  <c r="B740" i="6"/>
  <c r="C740" i="6"/>
  <c r="L740" i="6" s="1"/>
  <c r="D740" i="6"/>
  <c r="E740" i="6"/>
  <c r="F740" i="6"/>
  <c r="H740" i="6"/>
  <c r="I740" i="6"/>
  <c r="N740" i="6"/>
  <c r="R740" i="6"/>
  <c r="Q740" i="6" s="1"/>
  <c r="S740" i="6" s="1"/>
  <c r="T740" i="6"/>
  <c r="B741" i="6"/>
  <c r="C741" i="6"/>
  <c r="D741" i="6"/>
  <c r="E741" i="6"/>
  <c r="F741" i="6"/>
  <c r="H741" i="6"/>
  <c r="I741" i="6"/>
  <c r="N741" i="6"/>
  <c r="Q741" i="6"/>
  <c r="S741" i="6" s="1"/>
  <c r="R741" i="6"/>
  <c r="T741" i="6"/>
  <c r="B742" i="6"/>
  <c r="C742" i="6"/>
  <c r="D742" i="6"/>
  <c r="E742" i="6"/>
  <c r="F742" i="6"/>
  <c r="L742" i="6" s="1"/>
  <c r="H742" i="6"/>
  <c r="I742" i="6"/>
  <c r="N742" i="6"/>
  <c r="R742" i="6"/>
  <c r="Q742" i="6" s="1"/>
  <c r="S742" i="6" s="1"/>
  <c r="T742" i="6"/>
  <c r="B743" i="6"/>
  <c r="C743" i="6"/>
  <c r="L743" i="6" s="1"/>
  <c r="D743" i="6"/>
  <c r="E743" i="6"/>
  <c r="F743" i="6"/>
  <c r="H743" i="6"/>
  <c r="I743" i="6"/>
  <c r="N743" i="6"/>
  <c r="Q743" i="6"/>
  <c r="S743" i="6" s="1"/>
  <c r="R743" i="6"/>
  <c r="T743" i="6"/>
  <c r="B744" i="6"/>
  <c r="C744" i="6"/>
  <c r="D744" i="6"/>
  <c r="E744" i="6"/>
  <c r="F744" i="6"/>
  <c r="H744" i="6"/>
  <c r="I744" i="6"/>
  <c r="N744" i="6"/>
  <c r="R744" i="6"/>
  <c r="Q744" i="6" s="1"/>
  <c r="S744" i="6"/>
  <c r="T744" i="6"/>
  <c r="B745" i="6"/>
  <c r="C745" i="6"/>
  <c r="D745" i="6"/>
  <c r="E745" i="6"/>
  <c r="F745" i="6"/>
  <c r="H745" i="6"/>
  <c r="I745" i="6"/>
  <c r="L745" i="6"/>
  <c r="N745" i="6"/>
  <c r="Q745" i="6"/>
  <c r="S745" i="6" s="1"/>
  <c r="R745" i="6"/>
  <c r="T745" i="6"/>
  <c r="B746" i="6"/>
  <c r="C746" i="6"/>
  <c r="D746" i="6"/>
  <c r="E746" i="6"/>
  <c r="F746" i="6"/>
  <c r="H746" i="6"/>
  <c r="I746" i="6"/>
  <c r="N746" i="6"/>
  <c r="R746" i="6"/>
  <c r="Q746" i="6" s="1"/>
  <c r="S746" i="6" s="1"/>
  <c r="T746" i="6"/>
  <c r="B747" i="6"/>
  <c r="C747" i="6"/>
  <c r="D747" i="6"/>
  <c r="E747" i="6"/>
  <c r="F747" i="6"/>
  <c r="H747" i="6"/>
  <c r="I747" i="6"/>
  <c r="L747" i="6"/>
  <c r="N747" i="6"/>
  <c r="Q747" i="6"/>
  <c r="R747" i="6"/>
  <c r="S747" i="6"/>
  <c r="T747" i="6"/>
  <c r="B748" i="6"/>
  <c r="C748" i="6"/>
  <c r="D748" i="6"/>
  <c r="E748" i="6"/>
  <c r="F748" i="6"/>
  <c r="H748" i="6"/>
  <c r="I748" i="6"/>
  <c r="N748" i="6"/>
  <c r="Q748" i="6"/>
  <c r="S748" i="6" s="1"/>
  <c r="R748" i="6"/>
  <c r="T748" i="6"/>
  <c r="B749" i="6"/>
  <c r="C749" i="6"/>
  <c r="D749" i="6"/>
  <c r="E749" i="6"/>
  <c r="F749" i="6"/>
  <c r="H749" i="6"/>
  <c r="I749" i="6"/>
  <c r="N749" i="6"/>
  <c r="Q749" i="6"/>
  <c r="S749" i="6" s="1"/>
  <c r="R749" i="6"/>
  <c r="T749" i="6"/>
  <c r="B750" i="6"/>
  <c r="C750" i="6"/>
  <c r="D750" i="6"/>
  <c r="E750" i="6"/>
  <c r="F750" i="6"/>
  <c r="L750" i="6" s="1"/>
  <c r="H750" i="6"/>
  <c r="I750" i="6"/>
  <c r="N750" i="6"/>
  <c r="R750" i="6"/>
  <c r="Q750" i="6" s="1"/>
  <c r="S750" i="6" s="1"/>
  <c r="T750" i="6"/>
  <c r="B751" i="6"/>
  <c r="C751" i="6"/>
  <c r="D751" i="6"/>
  <c r="E751" i="6"/>
  <c r="F751" i="6"/>
  <c r="H751" i="6"/>
  <c r="I751" i="6"/>
  <c r="L751" i="6"/>
  <c r="N751" i="6"/>
  <c r="Q751" i="6"/>
  <c r="S751" i="6" s="1"/>
  <c r="R751" i="6"/>
  <c r="T751" i="6"/>
  <c r="B752" i="6"/>
  <c r="C752" i="6"/>
  <c r="L752" i="6" s="1"/>
  <c r="D752" i="6"/>
  <c r="E752" i="6"/>
  <c r="F752" i="6"/>
  <c r="H752" i="6"/>
  <c r="I752" i="6"/>
  <c r="N752" i="6"/>
  <c r="R752" i="6"/>
  <c r="Q752" i="6" s="1"/>
  <c r="T752" i="6"/>
  <c r="B753" i="6"/>
  <c r="C753" i="6"/>
  <c r="D753" i="6"/>
  <c r="E753" i="6"/>
  <c r="F753" i="6"/>
  <c r="H753" i="6"/>
  <c r="L753" i="6" s="1"/>
  <c r="I753" i="6"/>
  <c r="N753" i="6"/>
  <c r="Q753" i="6"/>
  <c r="S753" i="6" s="1"/>
  <c r="R753" i="6"/>
  <c r="T753" i="6"/>
  <c r="B754" i="6"/>
  <c r="C754" i="6"/>
  <c r="D754" i="6"/>
  <c r="E754" i="6"/>
  <c r="F754" i="6"/>
  <c r="H754" i="6"/>
  <c r="I754" i="6"/>
  <c r="N754" i="6"/>
  <c r="R754" i="6"/>
  <c r="Q754" i="6" s="1"/>
  <c r="S754" i="6"/>
  <c r="T754" i="6"/>
  <c r="B755" i="6"/>
  <c r="C755" i="6"/>
  <c r="D755" i="6"/>
  <c r="E755" i="6"/>
  <c r="F755" i="6"/>
  <c r="H755" i="6"/>
  <c r="I755" i="6"/>
  <c r="L755" i="6"/>
  <c r="N755" i="6"/>
  <c r="Q755" i="6"/>
  <c r="R755" i="6"/>
  <c r="S755" i="6"/>
  <c r="T755" i="6"/>
  <c r="B756" i="6"/>
  <c r="C756" i="6"/>
  <c r="D756" i="6"/>
  <c r="E756" i="6"/>
  <c r="F756" i="6"/>
  <c r="H756" i="6"/>
  <c r="I756" i="6"/>
  <c r="N756" i="6"/>
  <c r="R756" i="6"/>
  <c r="Q756" i="6" s="1"/>
  <c r="S756" i="6" s="1"/>
  <c r="T756" i="6"/>
  <c r="B757" i="6"/>
  <c r="C757" i="6"/>
  <c r="D757" i="6"/>
  <c r="E757" i="6"/>
  <c r="F757" i="6"/>
  <c r="H757" i="6"/>
  <c r="I757" i="6"/>
  <c r="N757" i="6"/>
  <c r="Q757" i="6"/>
  <c r="R757" i="6"/>
  <c r="T757" i="6"/>
  <c r="B758" i="6"/>
  <c r="C758" i="6"/>
  <c r="D758" i="6"/>
  <c r="E758" i="6"/>
  <c r="F758" i="6"/>
  <c r="L758" i="6" s="1"/>
  <c r="H758" i="6"/>
  <c r="I758" i="6"/>
  <c r="N758" i="6"/>
  <c r="R758" i="6"/>
  <c r="Q758" i="6" s="1"/>
  <c r="S758" i="6" s="1"/>
  <c r="T758" i="6"/>
  <c r="B759" i="6"/>
  <c r="C759" i="6"/>
  <c r="L759" i="6" s="1"/>
  <c r="D759" i="6"/>
  <c r="E759" i="6"/>
  <c r="F759" i="6"/>
  <c r="H759" i="6"/>
  <c r="I759" i="6"/>
  <c r="N759" i="6"/>
  <c r="Q759" i="6"/>
  <c r="S759" i="6" s="1"/>
  <c r="R759" i="6"/>
  <c r="T759" i="6"/>
  <c r="B760" i="6"/>
  <c r="C760" i="6"/>
  <c r="D760" i="6"/>
  <c r="E760" i="6"/>
  <c r="F760" i="6"/>
  <c r="H760" i="6"/>
  <c r="I760" i="6"/>
  <c r="N760" i="6"/>
  <c r="R760" i="6"/>
  <c r="Q760" i="6" s="1"/>
  <c r="S760" i="6" s="1"/>
  <c r="T760" i="6"/>
  <c r="B761" i="6"/>
  <c r="C761" i="6"/>
  <c r="L761" i="6" s="1"/>
  <c r="D761" i="6"/>
  <c r="E761" i="6"/>
  <c r="F761" i="6"/>
  <c r="H761" i="6"/>
  <c r="I761" i="6"/>
  <c r="N761" i="6"/>
  <c r="Q761" i="6"/>
  <c r="S761" i="6" s="1"/>
  <c r="R761" i="6"/>
  <c r="T761" i="6"/>
  <c r="B762" i="6"/>
  <c r="C762" i="6"/>
  <c r="D762" i="6"/>
  <c r="E762" i="6"/>
  <c r="F762" i="6"/>
  <c r="H762" i="6"/>
  <c r="I762" i="6"/>
  <c r="N762" i="6"/>
  <c r="R762" i="6"/>
  <c r="Q762" i="6" s="1"/>
  <c r="S762" i="6" s="1"/>
  <c r="T762" i="6"/>
  <c r="B763" i="6"/>
  <c r="C763" i="6"/>
  <c r="D763" i="6"/>
  <c r="E763" i="6"/>
  <c r="F763" i="6"/>
  <c r="H763" i="6"/>
  <c r="L763" i="6" s="1"/>
  <c r="I763" i="6"/>
  <c r="N763" i="6"/>
  <c r="Q763" i="6"/>
  <c r="R763" i="6"/>
  <c r="S763" i="6"/>
  <c r="T763" i="6"/>
  <c r="B764" i="6"/>
  <c r="C764" i="6"/>
  <c r="L764" i="6" s="1"/>
  <c r="D764" i="6"/>
  <c r="E764" i="6"/>
  <c r="F764" i="6"/>
  <c r="H764" i="6"/>
  <c r="I764" i="6"/>
  <c r="N764" i="6"/>
  <c r="Q764" i="6"/>
  <c r="S764" i="6" s="1"/>
  <c r="R764" i="6"/>
  <c r="T764" i="6"/>
  <c r="B765" i="6"/>
  <c r="C765" i="6"/>
  <c r="D765" i="6"/>
  <c r="E765" i="6"/>
  <c r="F765" i="6"/>
  <c r="H765" i="6"/>
  <c r="I765" i="6"/>
  <c r="N765" i="6"/>
  <c r="Q765" i="6"/>
  <c r="S765" i="6" s="1"/>
  <c r="R765" i="6"/>
  <c r="T765" i="6"/>
  <c r="B766" i="6"/>
  <c r="C766" i="6"/>
  <c r="D766" i="6"/>
  <c r="E766" i="6"/>
  <c r="F766" i="6"/>
  <c r="L766" i="6" s="1"/>
  <c r="H766" i="6"/>
  <c r="I766" i="6"/>
  <c r="N766" i="6"/>
  <c r="R766" i="6"/>
  <c r="Q766" i="6" s="1"/>
  <c r="S766" i="6" s="1"/>
  <c r="T766" i="6"/>
  <c r="B767" i="6"/>
  <c r="C767" i="6"/>
  <c r="D767" i="6"/>
  <c r="E767" i="6"/>
  <c r="F767" i="6"/>
  <c r="H767" i="6"/>
  <c r="I767" i="6"/>
  <c r="L767" i="6"/>
  <c r="N767" i="6"/>
  <c r="Q767" i="6"/>
  <c r="S767" i="6" s="1"/>
  <c r="R767" i="6"/>
  <c r="T767" i="6"/>
  <c r="B768" i="6"/>
  <c r="C768" i="6"/>
  <c r="L768" i="6" s="1"/>
  <c r="D768" i="6"/>
  <c r="E768" i="6"/>
  <c r="F768" i="6"/>
  <c r="H768" i="6"/>
  <c r="I768" i="6"/>
  <c r="N768" i="6"/>
  <c r="R768" i="6"/>
  <c r="Q768" i="6" s="1"/>
  <c r="S768" i="6"/>
  <c r="T768" i="6"/>
  <c r="B769" i="6"/>
  <c r="C769" i="6"/>
  <c r="D769" i="6"/>
  <c r="E769" i="6"/>
  <c r="F769" i="6"/>
  <c r="H769" i="6"/>
  <c r="I769" i="6"/>
  <c r="N769" i="6"/>
  <c r="Q769" i="6"/>
  <c r="S769" i="6" s="1"/>
  <c r="R769" i="6"/>
  <c r="T769" i="6"/>
  <c r="B770" i="6"/>
  <c r="C770" i="6"/>
  <c r="D770" i="6"/>
  <c r="E770" i="6"/>
  <c r="F770" i="6"/>
  <c r="H770" i="6"/>
  <c r="I770" i="6"/>
  <c r="N770" i="6"/>
  <c r="R770" i="6"/>
  <c r="Q770" i="6" s="1"/>
  <c r="S770" i="6"/>
  <c r="T770" i="6"/>
  <c r="B771" i="6"/>
  <c r="C771" i="6"/>
  <c r="D771" i="6"/>
  <c r="E771" i="6"/>
  <c r="F771" i="6"/>
  <c r="H771" i="6"/>
  <c r="I771" i="6"/>
  <c r="L771" i="6"/>
  <c r="N771" i="6"/>
  <c r="Q771" i="6"/>
  <c r="R771" i="6"/>
  <c r="S771" i="6"/>
  <c r="T771" i="6"/>
  <c r="B772" i="6"/>
  <c r="C772" i="6"/>
  <c r="D772" i="6"/>
  <c r="E772" i="6"/>
  <c r="F772" i="6"/>
  <c r="H772" i="6"/>
  <c r="I772" i="6"/>
  <c r="N772" i="6"/>
  <c r="R772" i="6"/>
  <c r="Q772" i="6" s="1"/>
  <c r="S772" i="6" s="1"/>
  <c r="T772" i="6"/>
  <c r="B773" i="6"/>
  <c r="C773" i="6"/>
  <c r="D773" i="6"/>
  <c r="E773" i="6"/>
  <c r="F773" i="6"/>
  <c r="H773" i="6"/>
  <c r="I773" i="6"/>
  <c r="N773" i="6"/>
  <c r="Q773" i="6"/>
  <c r="S773" i="6" s="1"/>
  <c r="R773" i="6"/>
  <c r="T773" i="6"/>
  <c r="B774" i="6"/>
  <c r="C774" i="6"/>
  <c r="D774" i="6"/>
  <c r="E774" i="6"/>
  <c r="F774" i="6"/>
  <c r="L774" i="6" s="1"/>
  <c r="H774" i="6"/>
  <c r="I774" i="6"/>
  <c r="N774" i="6"/>
  <c r="R774" i="6"/>
  <c r="Q774" i="6" s="1"/>
  <c r="S774" i="6" s="1"/>
  <c r="T774" i="6"/>
  <c r="B775" i="6"/>
  <c r="C775" i="6"/>
  <c r="L775" i="6" s="1"/>
  <c r="D775" i="6"/>
  <c r="E775" i="6"/>
  <c r="F775" i="6"/>
  <c r="H775" i="6"/>
  <c r="I775" i="6"/>
  <c r="N775" i="6"/>
  <c r="Q775" i="6"/>
  <c r="S775" i="6" s="1"/>
  <c r="R775" i="6"/>
  <c r="T775" i="6"/>
  <c r="B776" i="6"/>
  <c r="C776" i="6"/>
  <c r="L776" i="6" s="1"/>
  <c r="D776" i="6"/>
  <c r="E776" i="6"/>
  <c r="F776" i="6"/>
  <c r="H776" i="6"/>
  <c r="I776" i="6"/>
  <c r="N776" i="6"/>
  <c r="R776" i="6"/>
  <c r="Q776" i="6" s="1"/>
  <c r="S776" i="6" s="1"/>
  <c r="T776" i="6"/>
  <c r="B777" i="6"/>
  <c r="C777" i="6"/>
  <c r="D777" i="6"/>
  <c r="E777" i="6"/>
  <c r="F777" i="6"/>
  <c r="H777" i="6"/>
  <c r="L777" i="6" s="1"/>
  <c r="I777" i="6"/>
  <c r="N777" i="6"/>
  <c r="Q777" i="6"/>
  <c r="S777" i="6" s="1"/>
  <c r="R777" i="6"/>
  <c r="T777" i="6"/>
  <c r="B778" i="6"/>
  <c r="C778" i="6"/>
  <c r="D778" i="6"/>
  <c r="E778" i="6"/>
  <c r="F778" i="6"/>
  <c r="H778" i="6"/>
  <c r="I778" i="6"/>
  <c r="N778" i="6"/>
  <c r="R778" i="6"/>
  <c r="Q778" i="6" s="1"/>
  <c r="S778" i="6" s="1"/>
  <c r="T778" i="6"/>
  <c r="B779" i="6"/>
  <c r="C779" i="6"/>
  <c r="D779" i="6"/>
  <c r="E779" i="6"/>
  <c r="F779" i="6"/>
  <c r="H779" i="6"/>
  <c r="L779" i="6" s="1"/>
  <c r="I779" i="6"/>
  <c r="N779" i="6"/>
  <c r="Q779" i="6"/>
  <c r="R779" i="6"/>
  <c r="S779" i="6"/>
  <c r="T779" i="6"/>
  <c r="B780" i="6"/>
  <c r="C780" i="6"/>
  <c r="D780" i="6"/>
  <c r="E780" i="6"/>
  <c r="F780" i="6"/>
  <c r="H780" i="6"/>
  <c r="I780" i="6"/>
  <c r="N780" i="6"/>
  <c r="Q780" i="6"/>
  <c r="S780" i="6" s="1"/>
  <c r="R780" i="6"/>
  <c r="T780" i="6"/>
  <c r="B781" i="6"/>
  <c r="C781" i="6"/>
  <c r="D781" i="6"/>
  <c r="E781" i="6"/>
  <c r="F781" i="6"/>
  <c r="H781" i="6"/>
  <c r="I781" i="6"/>
  <c r="N781" i="6"/>
  <c r="Q781" i="6"/>
  <c r="S781" i="6" s="1"/>
  <c r="R781" i="6"/>
  <c r="T781" i="6"/>
  <c r="B782" i="6"/>
  <c r="C782" i="6"/>
  <c r="D782" i="6"/>
  <c r="E782" i="6"/>
  <c r="F782" i="6"/>
  <c r="L782" i="6" s="1"/>
  <c r="H782" i="6"/>
  <c r="I782" i="6"/>
  <c r="N782" i="6"/>
  <c r="R782" i="6"/>
  <c r="Q782" i="6" s="1"/>
  <c r="S782" i="6" s="1"/>
  <c r="T782" i="6"/>
  <c r="B783" i="6"/>
  <c r="C783" i="6"/>
  <c r="D783" i="6"/>
  <c r="E783" i="6"/>
  <c r="F783" i="6"/>
  <c r="H783" i="6"/>
  <c r="I783" i="6"/>
  <c r="L783" i="6"/>
  <c r="N783" i="6"/>
  <c r="Q783" i="6"/>
  <c r="S783" i="6" s="1"/>
  <c r="R783" i="6"/>
  <c r="T783" i="6"/>
  <c r="B784" i="6"/>
  <c r="C784" i="6"/>
  <c r="D784" i="6"/>
  <c r="E784" i="6"/>
  <c r="F784" i="6"/>
  <c r="H784" i="6"/>
  <c r="I784" i="6"/>
  <c r="N784" i="6"/>
  <c r="R784" i="6"/>
  <c r="Q784" i="6" s="1"/>
  <c r="S784" i="6" s="1"/>
  <c r="T784" i="6"/>
  <c r="B785" i="6"/>
  <c r="C785" i="6"/>
  <c r="L785" i="6" s="1"/>
  <c r="D785" i="6"/>
  <c r="E785" i="6"/>
  <c r="F785" i="6"/>
  <c r="H785" i="6"/>
  <c r="I785" i="6"/>
  <c r="N785" i="6"/>
  <c r="Q785" i="6"/>
  <c r="S785" i="6" s="1"/>
  <c r="R785" i="6"/>
  <c r="T785" i="6"/>
  <c r="B786" i="6"/>
  <c r="C786" i="6"/>
  <c r="D786" i="6"/>
  <c r="E786" i="6"/>
  <c r="F786" i="6"/>
  <c r="H786" i="6"/>
  <c r="I786" i="6"/>
  <c r="N786" i="6"/>
  <c r="R786" i="6"/>
  <c r="Q786" i="6" s="1"/>
  <c r="S786" i="6" s="1"/>
  <c r="T786" i="6"/>
  <c r="B787" i="6"/>
  <c r="C787" i="6"/>
  <c r="D787" i="6"/>
  <c r="E787" i="6"/>
  <c r="F787" i="6"/>
  <c r="H787" i="6"/>
  <c r="L787" i="6" s="1"/>
  <c r="I787" i="6"/>
  <c r="N787" i="6"/>
  <c r="Q787" i="6"/>
  <c r="R787" i="6"/>
  <c r="S787" i="6"/>
  <c r="T787" i="6"/>
  <c r="B788" i="6"/>
  <c r="C788" i="6"/>
  <c r="L788" i="6" s="1"/>
  <c r="D788" i="6"/>
  <c r="E788" i="6"/>
  <c r="F788" i="6"/>
  <c r="H788" i="6"/>
  <c r="I788" i="6"/>
  <c r="N788" i="6"/>
  <c r="Q788" i="6"/>
  <c r="S788" i="6" s="1"/>
  <c r="R788" i="6"/>
  <c r="T788" i="6"/>
  <c r="B789" i="6"/>
  <c r="C789" i="6"/>
  <c r="D789" i="6"/>
  <c r="E789" i="6"/>
  <c r="F789" i="6"/>
  <c r="H789" i="6"/>
  <c r="I789" i="6"/>
  <c r="N789" i="6"/>
  <c r="Q789" i="6"/>
  <c r="S789" i="6" s="1"/>
  <c r="R789" i="6"/>
  <c r="T789" i="6"/>
  <c r="B790" i="6"/>
  <c r="C790" i="6"/>
  <c r="D790" i="6"/>
  <c r="E790" i="6"/>
  <c r="F790" i="6"/>
  <c r="L790" i="6" s="1"/>
  <c r="H790" i="6"/>
  <c r="I790" i="6"/>
  <c r="N790" i="6"/>
  <c r="R790" i="6"/>
  <c r="Q790" i="6" s="1"/>
  <c r="S790" i="6" s="1"/>
  <c r="T790" i="6"/>
  <c r="B791" i="6"/>
  <c r="C791" i="6"/>
  <c r="D791" i="6"/>
  <c r="E791" i="6"/>
  <c r="F791" i="6"/>
  <c r="H791" i="6"/>
  <c r="I791" i="6"/>
  <c r="L791" i="6"/>
  <c r="N791" i="6"/>
  <c r="Q791" i="6"/>
  <c r="S791" i="6" s="1"/>
  <c r="R791" i="6"/>
  <c r="T791" i="6"/>
  <c r="B792" i="6"/>
  <c r="C792" i="6"/>
  <c r="D792" i="6"/>
  <c r="E792" i="6"/>
  <c r="F792" i="6"/>
  <c r="H792" i="6"/>
  <c r="I792" i="6"/>
  <c r="N792" i="6"/>
  <c r="R792" i="6"/>
  <c r="Q792" i="6" s="1"/>
  <c r="S792" i="6" s="1"/>
  <c r="T792" i="6"/>
  <c r="B793" i="6"/>
  <c r="C793" i="6"/>
  <c r="D793" i="6"/>
  <c r="E793" i="6"/>
  <c r="F793" i="6"/>
  <c r="H793" i="6"/>
  <c r="L793" i="6" s="1"/>
  <c r="I793" i="6"/>
  <c r="N793" i="6"/>
  <c r="Q793" i="6"/>
  <c r="S793" i="6" s="1"/>
  <c r="R793" i="6"/>
  <c r="T793" i="6"/>
  <c r="B794" i="6"/>
  <c r="C794" i="6"/>
  <c r="D794" i="6"/>
  <c r="E794" i="6"/>
  <c r="F794" i="6"/>
  <c r="H794" i="6"/>
  <c r="I794" i="6"/>
  <c r="N794" i="6"/>
  <c r="R794" i="6"/>
  <c r="Q794" i="6" s="1"/>
  <c r="S794" i="6"/>
  <c r="T794" i="6"/>
  <c r="B795" i="6"/>
  <c r="C795" i="6"/>
  <c r="D795" i="6"/>
  <c r="E795" i="6"/>
  <c r="F795" i="6"/>
  <c r="H795" i="6"/>
  <c r="I795" i="6"/>
  <c r="L795" i="6" s="1"/>
  <c r="N795" i="6"/>
  <c r="Q795" i="6"/>
  <c r="R795" i="6"/>
  <c r="S795" i="6"/>
  <c r="T795" i="6"/>
  <c r="B796" i="6"/>
  <c r="C796" i="6"/>
  <c r="L796" i="6" s="1"/>
  <c r="D796" i="6"/>
  <c r="E796" i="6"/>
  <c r="F796" i="6"/>
  <c r="H796" i="6"/>
  <c r="I796" i="6"/>
  <c r="N796" i="6"/>
  <c r="R796" i="6"/>
  <c r="Q796" i="6" s="1"/>
  <c r="S796" i="6" s="1"/>
  <c r="T796" i="6"/>
  <c r="B797" i="6"/>
  <c r="C797" i="6"/>
  <c r="D797" i="6"/>
  <c r="E797" i="6"/>
  <c r="F797" i="6"/>
  <c r="H797" i="6"/>
  <c r="I797" i="6"/>
  <c r="N797" i="6"/>
  <c r="Q797" i="6"/>
  <c r="S797" i="6" s="1"/>
  <c r="R797" i="6"/>
  <c r="T797" i="6"/>
  <c r="B798" i="6"/>
  <c r="C798" i="6"/>
  <c r="D798" i="6"/>
  <c r="E798" i="6"/>
  <c r="F798" i="6"/>
  <c r="L798" i="6" s="1"/>
  <c r="H798" i="6"/>
  <c r="I798" i="6"/>
  <c r="N798" i="6"/>
  <c r="R798" i="6"/>
  <c r="Q798" i="6" s="1"/>
  <c r="S798" i="6" s="1"/>
  <c r="T798" i="6"/>
  <c r="B799" i="6"/>
  <c r="C799" i="6"/>
  <c r="L799" i="6" s="1"/>
  <c r="D799" i="6"/>
  <c r="E799" i="6"/>
  <c r="F799" i="6"/>
  <c r="H799" i="6"/>
  <c r="I799" i="6"/>
  <c r="N799" i="6"/>
  <c r="Q799" i="6"/>
  <c r="S799" i="6" s="1"/>
  <c r="R799" i="6"/>
  <c r="T799" i="6"/>
  <c r="B800" i="6"/>
  <c r="C800" i="6"/>
  <c r="D800" i="6"/>
  <c r="E800" i="6"/>
  <c r="F800" i="6"/>
  <c r="H800" i="6"/>
  <c r="I800" i="6"/>
  <c r="N800" i="6"/>
  <c r="R800" i="6"/>
  <c r="Q800" i="6" s="1"/>
  <c r="S800" i="6" s="1"/>
  <c r="T800" i="6"/>
  <c r="B801" i="6"/>
  <c r="C801" i="6"/>
  <c r="L801" i="6" s="1"/>
  <c r="D801" i="6"/>
  <c r="E801" i="6"/>
  <c r="F801" i="6"/>
  <c r="H801" i="6"/>
  <c r="I801" i="6"/>
  <c r="N801" i="6"/>
  <c r="Q801" i="6"/>
  <c r="S801" i="6" s="1"/>
  <c r="R801" i="6"/>
  <c r="T801" i="6"/>
  <c r="B802" i="6"/>
  <c r="C802" i="6"/>
  <c r="L802" i="6" s="1"/>
  <c r="D802" i="6"/>
  <c r="E802" i="6"/>
  <c r="F802" i="6"/>
  <c r="H802" i="6"/>
  <c r="I802" i="6"/>
  <c r="N802" i="6"/>
  <c r="R802" i="6"/>
  <c r="Q802" i="6" s="1"/>
  <c r="S802" i="6"/>
  <c r="T802" i="6"/>
  <c r="B803" i="6"/>
  <c r="C803" i="6"/>
  <c r="D803" i="6"/>
  <c r="E803" i="6"/>
  <c r="F803" i="6"/>
  <c r="H803" i="6"/>
  <c r="I803" i="6"/>
  <c r="N803" i="6"/>
  <c r="Q803" i="6"/>
  <c r="R803" i="6"/>
  <c r="S803" i="6"/>
  <c r="T803" i="6"/>
  <c r="B804" i="6"/>
  <c r="C804" i="6"/>
  <c r="L804" i="6" s="1"/>
  <c r="D804" i="6"/>
  <c r="E804" i="6"/>
  <c r="F804" i="6"/>
  <c r="H804" i="6"/>
  <c r="I804" i="6"/>
  <c r="N804" i="6"/>
  <c r="Q804" i="6"/>
  <c r="S804" i="6" s="1"/>
  <c r="R804" i="6"/>
  <c r="T804" i="6"/>
  <c r="B805" i="6"/>
  <c r="C805" i="6"/>
  <c r="D805" i="6"/>
  <c r="E805" i="6"/>
  <c r="F805" i="6"/>
  <c r="H805" i="6"/>
  <c r="I805" i="6"/>
  <c r="N805" i="6"/>
  <c r="Q805" i="6"/>
  <c r="S805" i="6" s="1"/>
  <c r="R805" i="6"/>
  <c r="T805" i="6"/>
  <c r="B806" i="6"/>
  <c r="C806" i="6"/>
  <c r="D806" i="6"/>
  <c r="E806" i="6"/>
  <c r="F806" i="6"/>
  <c r="L806" i="6" s="1"/>
  <c r="H806" i="6"/>
  <c r="I806" i="6"/>
  <c r="N806" i="6"/>
  <c r="R806" i="6"/>
  <c r="Q806" i="6" s="1"/>
  <c r="S806" i="6" s="1"/>
  <c r="T806" i="6"/>
  <c r="B807" i="6"/>
  <c r="C807" i="6"/>
  <c r="D807" i="6"/>
  <c r="E807" i="6"/>
  <c r="F807" i="6"/>
  <c r="H807" i="6"/>
  <c r="I807" i="6"/>
  <c r="L807" i="6"/>
  <c r="N807" i="6"/>
  <c r="Q807" i="6"/>
  <c r="S807" i="6" s="1"/>
  <c r="R807" i="6"/>
  <c r="T807" i="6"/>
  <c r="B808" i="6"/>
  <c r="C808" i="6"/>
  <c r="D808" i="6"/>
  <c r="E808" i="6"/>
  <c r="F808" i="6"/>
  <c r="H808" i="6"/>
  <c r="I808" i="6"/>
  <c r="N808" i="6"/>
  <c r="R808" i="6"/>
  <c r="Q808" i="6" s="1"/>
  <c r="S808" i="6"/>
  <c r="T808" i="6"/>
  <c r="B809" i="6"/>
  <c r="C809" i="6"/>
  <c r="D809" i="6"/>
  <c r="E809" i="6"/>
  <c r="F809" i="6"/>
  <c r="H809" i="6"/>
  <c r="I809" i="6"/>
  <c r="L809" i="6"/>
  <c r="N809" i="6"/>
  <c r="Q809" i="6"/>
  <c r="S809" i="6" s="1"/>
  <c r="R809" i="6"/>
  <c r="T809" i="6"/>
  <c r="B810" i="6"/>
  <c r="C810" i="6"/>
  <c r="D810" i="6"/>
  <c r="E810" i="6"/>
  <c r="F810" i="6"/>
  <c r="H810" i="6"/>
  <c r="I810" i="6"/>
  <c r="N810" i="6"/>
  <c r="R810" i="6"/>
  <c r="Q810" i="6" s="1"/>
  <c r="S810" i="6" s="1"/>
  <c r="T810" i="6"/>
  <c r="B811" i="6"/>
  <c r="C811" i="6"/>
  <c r="D811" i="6"/>
  <c r="E811" i="6"/>
  <c r="F811" i="6"/>
  <c r="H811" i="6"/>
  <c r="I811" i="6"/>
  <c r="L811" i="6"/>
  <c r="N811" i="6"/>
  <c r="Q811" i="6"/>
  <c r="R811" i="6"/>
  <c r="S811" i="6"/>
  <c r="T811" i="6"/>
  <c r="B812" i="6"/>
  <c r="C812" i="6"/>
  <c r="D812" i="6"/>
  <c r="E812" i="6"/>
  <c r="F812" i="6"/>
  <c r="H812" i="6"/>
  <c r="I812" i="6"/>
  <c r="N812" i="6"/>
  <c r="Q812" i="6"/>
  <c r="S812" i="6" s="1"/>
  <c r="R812" i="6"/>
  <c r="T812" i="6"/>
  <c r="B813" i="6"/>
  <c r="C813" i="6"/>
  <c r="D813" i="6"/>
  <c r="E813" i="6"/>
  <c r="F813" i="6"/>
  <c r="H813" i="6"/>
  <c r="I813" i="6"/>
  <c r="N813" i="6"/>
  <c r="Q813" i="6"/>
  <c r="S813" i="6" s="1"/>
  <c r="R813" i="6"/>
  <c r="T813" i="6"/>
  <c r="B814" i="6"/>
  <c r="C814" i="6"/>
  <c r="D814" i="6"/>
  <c r="E814" i="6"/>
  <c r="F814" i="6"/>
  <c r="L814" i="6" s="1"/>
  <c r="H814" i="6"/>
  <c r="I814" i="6"/>
  <c r="N814" i="6"/>
  <c r="R814" i="6"/>
  <c r="Q814" i="6" s="1"/>
  <c r="S814" i="6" s="1"/>
  <c r="T814" i="6"/>
  <c r="B815" i="6"/>
  <c r="C815" i="6"/>
  <c r="D815" i="6"/>
  <c r="E815" i="6"/>
  <c r="F815" i="6"/>
  <c r="H815" i="6"/>
  <c r="I815" i="6"/>
  <c r="L815" i="6"/>
  <c r="N815" i="6"/>
  <c r="Q815" i="6"/>
  <c r="S815" i="6" s="1"/>
  <c r="R815" i="6"/>
  <c r="T815" i="6"/>
  <c r="B816" i="6"/>
  <c r="C816" i="6"/>
  <c r="L816" i="6" s="1"/>
  <c r="D816" i="6"/>
  <c r="E816" i="6"/>
  <c r="F816" i="6"/>
  <c r="H816" i="6"/>
  <c r="I816" i="6"/>
  <c r="N816" i="6"/>
  <c r="R816" i="6"/>
  <c r="Q816" i="6" s="1"/>
  <c r="S816" i="6"/>
  <c r="T816" i="6"/>
  <c r="B817" i="6"/>
  <c r="C817" i="6"/>
  <c r="D817" i="6"/>
  <c r="E817" i="6"/>
  <c r="F817" i="6"/>
  <c r="H817" i="6"/>
  <c r="I817" i="6"/>
  <c r="N817" i="6"/>
  <c r="Q817" i="6"/>
  <c r="S817" i="6" s="1"/>
  <c r="R817" i="6"/>
  <c r="T817" i="6"/>
  <c r="B818" i="6"/>
  <c r="C818" i="6"/>
  <c r="L818" i="6" s="1"/>
  <c r="D818" i="6"/>
  <c r="E818" i="6"/>
  <c r="F818" i="6"/>
  <c r="H818" i="6"/>
  <c r="I818" i="6"/>
  <c r="N818" i="6"/>
  <c r="R818" i="6"/>
  <c r="Q818" i="6" s="1"/>
  <c r="S818" i="6"/>
  <c r="T818" i="6"/>
  <c r="B819" i="6"/>
  <c r="C819" i="6"/>
  <c r="D819" i="6"/>
  <c r="E819" i="6"/>
  <c r="F819" i="6"/>
  <c r="H819" i="6"/>
  <c r="I819" i="6"/>
  <c r="L819" i="6" s="1"/>
  <c r="N819" i="6"/>
  <c r="Q819" i="6"/>
  <c r="R819" i="6"/>
  <c r="S819" i="6"/>
  <c r="T819" i="6"/>
  <c r="B820" i="6"/>
  <c r="C820" i="6"/>
  <c r="L820" i="6" s="1"/>
  <c r="D820" i="6"/>
  <c r="E820" i="6"/>
  <c r="F820" i="6"/>
  <c r="H820" i="6"/>
  <c r="I820" i="6"/>
  <c r="N820" i="6"/>
  <c r="R820" i="6"/>
  <c r="Q820" i="6" s="1"/>
  <c r="S820" i="6" s="1"/>
  <c r="T820" i="6"/>
  <c r="B821" i="6"/>
  <c r="C821" i="6"/>
  <c r="D821" i="6"/>
  <c r="E821" i="6"/>
  <c r="F821" i="6"/>
  <c r="H821" i="6"/>
  <c r="I821" i="6"/>
  <c r="N821" i="6"/>
  <c r="Q821" i="6"/>
  <c r="S821" i="6" s="1"/>
  <c r="R821" i="6"/>
  <c r="T821" i="6"/>
  <c r="B822" i="6"/>
  <c r="C822" i="6"/>
  <c r="D822" i="6"/>
  <c r="E822" i="6"/>
  <c r="F822" i="6"/>
  <c r="L822" i="6" s="1"/>
  <c r="H822" i="6"/>
  <c r="I822" i="6"/>
  <c r="N822" i="6"/>
  <c r="R822" i="6"/>
  <c r="Q822" i="6" s="1"/>
  <c r="S822" i="6" s="1"/>
  <c r="T822" i="6"/>
  <c r="B823" i="6"/>
  <c r="C823" i="6"/>
  <c r="L823" i="6" s="1"/>
  <c r="D823" i="6"/>
  <c r="E823" i="6"/>
  <c r="F823" i="6"/>
  <c r="H823" i="6"/>
  <c r="I823" i="6"/>
  <c r="N823" i="6"/>
  <c r="Q823" i="6"/>
  <c r="S823" i="6" s="1"/>
  <c r="R823" i="6"/>
  <c r="T823" i="6"/>
  <c r="B824" i="6"/>
  <c r="C824" i="6"/>
  <c r="D824" i="6"/>
  <c r="E824" i="6"/>
  <c r="F824" i="6"/>
  <c r="H824" i="6"/>
  <c r="I824" i="6"/>
  <c r="N824" i="6"/>
  <c r="R824" i="6"/>
  <c r="Q824" i="6" s="1"/>
  <c r="S824" i="6" s="1"/>
  <c r="T824" i="6"/>
  <c r="B825" i="6"/>
  <c r="C825" i="6"/>
  <c r="L825" i="6" s="1"/>
  <c r="D825" i="6"/>
  <c r="E825" i="6"/>
  <c r="F825" i="6"/>
  <c r="H825" i="6"/>
  <c r="I825" i="6"/>
  <c r="N825" i="6"/>
  <c r="Q825" i="6"/>
  <c r="S825" i="6" s="1"/>
  <c r="R825" i="6"/>
  <c r="T825" i="6"/>
  <c r="B826" i="6"/>
  <c r="C826" i="6"/>
  <c r="D826" i="6"/>
  <c r="E826" i="6"/>
  <c r="F826" i="6"/>
  <c r="H826" i="6"/>
  <c r="I826" i="6"/>
  <c r="N826" i="6"/>
  <c r="R826" i="6"/>
  <c r="Q826" i="6" s="1"/>
  <c r="S826" i="6" s="1"/>
  <c r="T826" i="6"/>
  <c r="B827" i="6"/>
  <c r="C827" i="6"/>
  <c r="D827" i="6"/>
  <c r="E827" i="6"/>
  <c r="F827" i="6"/>
  <c r="H827" i="6"/>
  <c r="L827" i="6" s="1"/>
  <c r="I827" i="6"/>
  <c r="N827" i="6"/>
  <c r="Q827" i="6"/>
  <c r="R827" i="6"/>
  <c r="S827" i="6"/>
  <c r="T827" i="6"/>
  <c r="B828" i="6"/>
  <c r="C828" i="6"/>
  <c r="L828" i="6" s="1"/>
  <c r="D828" i="6"/>
  <c r="E828" i="6"/>
  <c r="F828" i="6"/>
  <c r="H828" i="6"/>
  <c r="I828" i="6"/>
  <c r="N828" i="6"/>
  <c r="Q828" i="6"/>
  <c r="S828" i="6" s="1"/>
  <c r="R828" i="6"/>
  <c r="T828" i="6"/>
  <c r="B829" i="6"/>
  <c r="C829" i="6"/>
  <c r="D829" i="6"/>
  <c r="E829" i="6"/>
  <c r="F829" i="6"/>
  <c r="H829" i="6"/>
  <c r="I829" i="6"/>
  <c r="N829" i="6"/>
  <c r="Q829" i="6"/>
  <c r="S829" i="6" s="1"/>
  <c r="R829" i="6"/>
  <c r="T829" i="6"/>
  <c r="B830" i="6"/>
  <c r="C830" i="6"/>
  <c r="D830" i="6"/>
  <c r="E830" i="6"/>
  <c r="F830" i="6"/>
  <c r="L830" i="6" s="1"/>
  <c r="H830" i="6"/>
  <c r="I830" i="6"/>
  <c r="N830" i="6"/>
  <c r="R830" i="6"/>
  <c r="Q830" i="6" s="1"/>
  <c r="S830" i="6" s="1"/>
  <c r="T830" i="6"/>
  <c r="B831" i="6"/>
  <c r="C831" i="6"/>
  <c r="D831" i="6"/>
  <c r="E831" i="6"/>
  <c r="F831" i="6"/>
  <c r="H831" i="6"/>
  <c r="I831" i="6"/>
  <c r="L831" i="6"/>
  <c r="N831" i="6"/>
  <c r="Q831" i="6"/>
  <c r="S831" i="6" s="1"/>
  <c r="R831" i="6"/>
  <c r="T831" i="6"/>
  <c r="B832" i="6"/>
  <c r="C832" i="6"/>
  <c r="D832" i="6"/>
  <c r="L832" i="6" s="1"/>
  <c r="E832" i="6"/>
  <c r="F832" i="6"/>
  <c r="H832" i="6"/>
  <c r="I832" i="6"/>
  <c r="N832" i="6"/>
  <c r="R832" i="6"/>
  <c r="Q832" i="6" s="1"/>
  <c r="T832" i="6"/>
  <c r="B833" i="6"/>
  <c r="C833" i="6"/>
  <c r="D833" i="6"/>
  <c r="E833" i="6"/>
  <c r="F833" i="6"/>
  <c r="H833" i="6"/>
  <c r="L833" i="6" s="1"/>
  <c r="I833" i="6"/>
  <c r="N833" i="6"/>
  <c r="Q833" i="6"/>
  <c r="S833" i="6" s="1"/>
  <c r="R833" i="6"/>
  <c r="T833" i="6"/>
  <c r="B834" i="6"/>
  <c r="C834" i="6"/>
  <c r="L834" i="6" s="1"/>
  <c r="D834" i="6"/>
  <c r="E834" i="6"/>
  <c r="F834" i="6"/>
  <c r="H834" i="6"/>
  <c r="I834" i="6"/>
  <c r="N834" i="6"/>
  <c r="R834" i="6"/>
  <c r="Q834" i="6" s="1"/>
  <c r="S834" i="6"/>
  <c r="T834" i="6"/>
  <c r="B835" i="6"/>
  <c r="C835" i="6"/>
  <c r="D835" i="6"/>
  <c r="E835" i="6"/>
  <c r="F835" i="6"/>
  <c r="H835" i="6"/>
  <c r="I835" i="6"/>
  <c r="L835" i="6" s="1"/>
  <c r="N835" i="6"/>
  <c r="Q835" i="6"/>
  <c r="R835" i="6"/>
  <c r="S835" i="6"/>
  <c r="T835" i="6"/>
  <c r="B836" i="6"/>
  <c r="C836" i="6"/>
  <c r="L836" i="6" s="1"/>
  <c r="D836" i="6"/>
  <c r="E836" i="6"/>
  <c r="F836" i="6"/>
  <c r="H836" i="6"/>
  <c r="I836" i="6"/>
  <c r="N836" i="6"/>
  <c r="R836" i="6"/>
  <c r="Q836" i="6" s="1"/>
  <c r="S836" i="6" s="1"/>
  <c r="T836" i="6"/>
  <c r="B837" i="6"/>
  <c r="C837" i="6"/>
  <c r="D837" i="6"/>
  <c r="E837" i="6"/>
  <c r="F837" i="6"/>
  <c r="H837" i="6"/>
  <c r="I837" i="6"/>
  <c r="N837" i="6"/>
  <c r="Q837" i="6"/>
  <c r="S837" i="6" s="1"/>
  <c r="R837" i="6"/>
  <c r="T837" i="6"/>
  <c r="B838" i="6"/>
  <c r="C838" i="6"/>
  <c r="D838" i="6"/>
  <c r="E838" i="6"/>
  <c r="F838" i="6"/>
  <c r="L838" i="6" s="1"/>
  <c r="H838" i="6"/>
  <c r="I838" i="6"/>
  <c r="N838" i="6"/>
  <c r="R838" i="6"/>
  <c r="Q838" i="6" s="1"/>
  <c r="S838" i="6" s="1"/>
  <c r="T838" i="6"/>
  <c r="B839" i="6"/>
  <c r="C839" i="6"/>
  <c r="L839" i="6" s="1"/>
  <c r="D839" i="6"/>
  <c r="E839" i="6"/>
  <c r="F839" i="6"/>
  <c r="H839" i="6"/>
  <c r="I839" i="6"/>
  <c r="N839" i="6"/>
  <c r="Q839" i="6"/>
  <c r="S839" i="6" s="1"/>
  <c r="R839" i="6"/>
  <c r="T839" i="6"/>
  <c r="B840" i="6"/>
  <c r="C840" i="6"/>
  <c r="L840" i="6" s="1"/>
  <c r="D840" i="6"/>
  <c r="E840" i="6"/>
  <c r="F840" i="6"/>
  <c r="H840" i="6"/>
  <c r="I840" i="6"/>
  <c r="N840" i="6"/>
  <c r="R840" i="6"/>
  <c r="Q840" i="6" s="1"/>
  <c r="S840" i="6"/>
  <c r="T840" i="6"/>
  <c r="B841" i="6"/>
  <c r="C841" i="6"/>
  <c r="D841" i="6"/>
  <c r="E841" i="6"/>
  <c r="F841" i="6"/>
  <c r="H841" i="6"/>
  <c r="I841" i="6"/>
  <c r="N841" i="6"/>
  <c r="Q841" i="6"/>
  <c r="S841" i="6" s="1"/>
  <c r="R841" i="6"/>
  <c r="T841" i="6"/>
  <c r="B842" i="6"/>
  <c r="C842" i="6"/>
  <c r="L842" i="6" s="1"/>
  <c r="D842" i="6"/>
  <c r="E842" i="6"/>
  <c r="F842" i="6"/>
  <c r="H842" i="6"/>
  <c r="I842" i="6"/>
  <c r="N842" i="6"/>
  <c r="R842" i="6"/>
  <c r="Q842" i="6" s="1"/>
  <c r="S842" i="6"/>
  <c r="T842" i="6"/>
  <c r="B843" i="6"/>
  <c r="C843" i="6"/>
  <c r="D843" i="6"/>
  <c r="E843" i="6"/>
  <c r="F843" i="6"/>
  <c r="H843" i="6"/>
  <c r="I843" i="6"/>
  <c r="N843" i="6"/>
  <c r="Q843" i="6"/>
  <c r="R843" i="6"/>
  <c r="S843" i="6"/>
  <c r="T843" i="6"/>
  <c r="B844" i="6"/>
  <c r="C844" i="6"/>
  <c r="L844" i="6" s="1"/>
  <c r="D844" i="6"/>
  <c r="E844" i="6"/>
  <c r="F844" i="6"/>
  <c r="H844" i="6"/>
  <c r="I844" i="6"/>
  <c r="N844" i="6"/>
  <c r="Q844" i="6"/>
  <c r="S844" i="6" s="1"/>
  <c r="R844" i="6"/>
  <c r="T844" i="6"/>
  <c r="B845" i="6"/>
  <c r="C845" i="6"/>
  <c r="D845" i="6"/>
  <c r="E845" i="6"/>
  <c r="F845" i="6"/>
  <c r="H845" i="6"/>
  <c r="I845" i="6"/>
  <c r="N845" i="6"/>
  <c r="Q845" i="6"/>
  <c r="S845" i="6" s="1"/>
  <c r="R845" i="6"/>
  <c r="T845" i="6"/>
  <c r="B846" i="6"/>
  <c r="C846" i="6"/>
  <c r="D846" i="6"/>
  <c r="E846" i="6"/>
  <c r="F846" i="6"/>
  <c r="L846" i="6" s="1"/>
  <c r="H846" i="6"/>
  <c r="I846" i="6"/>
  <c r="N846" i="6"/>
  <c r="R846" i="6"/>
  <c r="Q846" i="6" s="1"/>
  <c r="S846" i="6" s="1"/>
  <c r="T846" i="6"/>
  <c r="B847" i="6"/>
  <c r="C847" i="6"/>
  <c r="D847" i="6"/>
  <c r="E847" i="6"/>
  <c r="F847" i="6"/>
  <c r="H847" i="6"/>
  <c r="I847" i="6"/>
  <c r="L847" i="6"/>
  <c r="N847" i="6"/>
  <c r="Q847" i="6"/>
  <c r="S847" i="6" s="1"/>
  <c r="R847" i="6"/>
  <c r="T847" i="6"/>
  <c r="B848" i="6"/>
  <c r="C848" i="6"/>
  <c r="D848" i="6"/>
  <c r="E848" i="6"/>
  <c r="F848" i="6"/>
  <c r="H848" i="6"/>
  <c r="I848" i="6"/>
  <c r="N848" i="6"/>
  <c r="R848" i="6"/>
  <c r="Q848" i="6" s="1"/>
  <c r="S848" i="6" s="1"/>
  <c r="T848" i="6"/>
  <c r="B849" i="6"/>
  <c r="C849" i="6"/>
  <c r="L849" i="6" s="1"/>
  <c r="D849" i="6"/>
  <c r="E849" i="6"/>
  <c r="F849" i="6"/>
  <c r="H849" i="6"/>
  <c r="I849" i="6"/>
  <c r="N849" i="6"/>
  <c r="Q849" i="6"/>
  <c r="S849" i="6" s="1"/>
  <c r="R849" i="6"/>
  <c r="T849" i="6"/>
  <c r="B850" i="6"/>
  <c r="C850" i="6"/>
  <c r="D850" i="6"/>
  <c r="E850" i="6"/>
  <c r="F850" i="6"/>
  <c r="H850" i="6"/>
  <c r="I850" i="6"/>
  <c r="N850" i="6"/>
  <c r="R850" i="6"/>
  <c r="Q850" i="6" s="1"/>
  <c r="S850" i="6" s="1"/>
  <c r="T850" i="6"/>
  <c r="B851" i="6"/>
  <c r="C851" i="6"/>
  <c r="D851" i="6"/>
  <c r="E851" i="6"/>
  <c r="F851" i="6"/>
  <c r="H851" i="6"/>
  <c r="L851" i="6" s="1"/>
  <c r="I851" i="6"/>
  <c r="N851" i="6"/>
  <c r="Q851" i="6"/>
  <c r="R851" i="6"/>
  <c r="S851" i="6"/>
  <c r="T851" i="6"/>
  <c r="B852" i="6"/>
  <c r="C852" i="6"/>
  <c r="L852" i="6" s="1"/>
  <c r="D852" i="6"/>
  <c r="E852" i="6"/>
  <c r="F852" i="6"/>
  <c r="H852" i="6"/>
  <c r="I852" i="6"/>
  <c r="N852" i="6"/>
  <c r="Q852" i="6"/>
  <c r="S852" i="6" s="1"/>
  <c r="R852" i="6"/>
  <c r="T852" i="6"/>
  <c r="B853" i="6"/>
  <c r="C853" i="6"/>
  <c r="D853" i="6"/>
  <c r="E853" i="6"/>
  <c r="F853" i="6"/>
  <c r="H853" i="6"/>
  <c r="I853" i="6"/>
  <c r="N853" i="6"/>
  <c r="Q853" i="6"/>
  <c r="S853" i="6" s="1"/>
  <c r="R853" i="6"/>
  <c r="T853" i="6"/>
  <c r="B854" i="6"/>
  <c r="C854" i="6"/>
  <c r="D854" i="6"/>
  <c r="E854" i="6"/>
  <c r="F854" i="6"/>
  <c r="L854" i="6" s="1"/>
  <c r="H854" i="6"/>
  <c r="I854" i="6"/>
  <c r="N854" i="6"/>
  <c r="R854" i="6"/>
  <c r="Q854" i="6" s="1"/>
  <c r="S854" i="6" s="1"/>
  <c r="T854" i="6"/>
  <c r="B855" i="6"/>
  <c r="C855" i="6"/>
  <c r="D855" i="6"/>
  <c r="E855" i="6"/>
  <c r="F855" i="6"/>
  <c r="H855" i="6"/>
  <c r="I855" i="6"/>
  <c r="L855" i="6"/>
  <c r="N855" i="6"/>
  <c r="Q855" i="6"/>
  <c r="S855" i="6" s="1"/>
  <c r="R855" i="6"/>
  <c r="T855" i="6"/>
  <c r="B856" i="6"/>
  <c r="C856" i="6"/>
  <c r="D856" i="6"/>
  <c r="E856" i="6"/>
  <c r="F856" i="6"/>
  <c r="H856" i="6"/>
  <c r="I856" i="6"/>
  <c r="N856" i="6"/>
  <c r="R856" i="6"/>
  <c r="Q856" i="6" s="1"/>
  <c r="S856" i="6"/>
  <c r="T856" i="6"/>
  <c r="B857" i="6"/>
  <c r="C857" i="6"/>
  <c r="D857" i="6"/>
  <c r="E857" i="6"/>
  <c r="F857" i="6"/>
  <c r="H857" i="6"/>
  <c r="I857" i="6"/>
  <c r="L857" i="6"/>
  <c r="N857" i="6"/>
  <c r="Q857" i="6"/>
  <c r="S857" i="6" s="1"/>
  <c r="R857" i="6"/>
  <c r="T857" i="6"/>
  <c r="B858" i="6"/>
  <c r="C858" i="6"/>
  <c r="D858" i="6"/>
  <c r="E858" i="6"/>
  <c r="F858" i="6"/>
  <c r="H858" i="6"/>
  <c r="I858" i="6"/>
  <c r="N858" i="6"/>
  <c r="R858" i="6"/>
  <c r="Q858" i="6" s="1"/>
  <c r="S858" i="6" s="1"/>
  <c r="T858" i="6"/>
  <c r="B859" i="6"/>
  <c r="C859" i="6"/>
  <c r="D859" i="6"/>
  <c r="E859" i="6"/>
  <c r="F859" i="6"/>
  <c r="H859" i="6"/>
  <c r="L859" i="6" s="1"/>
  <c r="I859" i="6"/>
  <c r="N859" i="6"/>
  <c r="Q859" i="6"/>
  <c r="R859" i="6"/>
  <c r="S859" i="6"/>
  <c r="T859" i="6"/>
  <c r="B860" i="6"/>
  <c r="C860" i="6"/>
  <c r="D860" i="6"/>
  <c r="E860" i="6"/>
  <c r="F860" i="6"/>
  <c r="H860" i="6"/>
  <c r="I860" i="6"/>
  <c r="N860" i="6"/>
  <c r="Q860" i="6"/>
  <c r="S860" i="6" s="1"/>
  <c r="R860" i="6"/>
  <c r="T860" i="6"/>
  <c r="B861" i="6"/>
  <c r="C861" i="6"/>
  <c r="D861" i="6"/>
  <c r="E861" i="6"/>
  <c r="F861" i="6"/>
  <c r="H861" i="6"/>
  <c r="I861" i="6"/>
  <c r="N861" i="6"/>
  <c r="Q861" i="6"/>
  <c r="S861" i="6" s="1"/>
  <c r="R861" i="6"/>
  <c r="T861" i="6"/>
  <c r="B862" i="6"/>
  <c r="C862" i="6"/>
  <c r="D862" i="6"/>
  <c r="E862" i="6"/>
  <c r="F862" i="6"/>
  <c r="L862" i="6" s="1"/>
  <c r="H862" i="6"/>
  <c r="I862" i="6"/>
  <c r="N862" i="6"/>
  <c r="R862" i="6"/>
  <c r="Q862" i="6" s="1"/>
  <c r="S862" i="6" s="1"/>
  <c r="T862" i="6"/>
  <c r="B863" i="6"/>
  <c r="C863" i="6"/>
  <c r="L863" i="6" s="1"/>
  <c r="D863" i="6"/>
  <c r="E863" i="6"/>
  <c r="F863" i="6"/>
  <c r="H863" i="6"/>
  <c r="I863" i="6"/>
  <c r="N863" i="6"/>
  <c r="Q863" i="6"/>
  <c r="S863" i="6" s="1"/>
  <c r="R863" i="6"/>
  <c r="T863" i="6"/>
  <c r="B864" i="6"/>
  <c r="C864" i="6"/>
  <c r="D864" i="6"/>
  <c r="E864" i="6"/>
  <c r="F864" i="6"/>
  <c r="H864" i="6"/>
  <c r="I864" i="6"/>
  <c r="N864" i="6"/>
  <c r="R864" i="6"/>
  <c r="Q864" i="6" s="1"/>
  <c r="S864" i="6" s="1"/>
  <c r="T864" i="6"/>
  <c r="B865" i="6"/>
  <c r="C865" i="6"/>
  <c r="L865" i="6" s="1"/>
  <c r="D865" i="6"/>
  <c r="E865" i="6"/>
  <c r="F865" i="6"/>
  <c r="H865" i="6"/>
  <c r="I865" i="6"/>
  <c r="N865" i="6"/>
  <c r="Q865" i="6"/>
  <c r="S865" i="6" s="1"/>
  <c r="R865" i="6"/>
  <c r="T865" i="6"/>
  <c r="B866" i="6"/>
  <c r="C866" i="6"/>
  <c r="L866" i="6" s="1"/>
  <c r="D866" i="6"/>
  <c r="E866" i="6"/>
  <c r="F866" i="6"/>
  <c r="H866" i="6"/>
  <c r="I866" i="6"/>
  <c r="N866" i="6"/>
  <c r="R866" i="6"/>
  <c r="Q866" i="6" s="1"/>
  <c r="S866" i="6" s="1"/>
  <c r="T866" i="6"/>
  <c r="B867" i="6"/>
  <c r="C867" i="6"/>
  <c r="D867" i="6"/>
  <c r="E867" i="6"/>
  <c r="F867" i="6"/>
  <c r="H867" i="6"/>
  <c r="L867" i="6" s="1"/>
  <c r="I867" i="6"/>
  <c r="N867" i="6"/>
  <c r="Q867" i="6"/>
  <c r="R867" i="6"/>
  <c r="S867" i="6"/>
  <c r="T867" i="6"/>
  <c r="B868" i="6"/>
  <c r="C868" i="6"/>
  <c r="L868" i="6" s="1"/>
  <c r="D868" i="6"/>
  <c r="E868" i="6"/>
  <c r="F868" i="6"/>
  <c r="H868" i="6"/>
  <c r="I868" i="6"/>
  <c r="N868" i="6"/>
  <c r="R868" i="6"/>
  <c r="Q868" i="6" s="1"/>
  <c r="S868" i="6" s="1"/>
  <c r="T868" i="6"/>
  <c r="B869" i="6"/>
  <c r="C869" i="6"/>
  <c r="D869" i="6"/>
  <c r="E869" i="6"/>
  <c r="F869" i="6"/>
  <c r="H869" i="6"/>
  <c r="I869" i="6"/>
  <c r="N869" i="6"/>
  <c r="Q869" i="6"/>
  <c r="S869" i="6" s="1"/>
  <c r="R869" i="6"/>
  <c r="T869" i="6"/>
  <c r="B870" i="6"/>
  <c r="C870" i="6"/>
  <c r="D870" i="6"/>
  <c r="E870" i="6"/>
  <c r="F870" i="6"/>
  <c r="L870" i="6" s="1"/>
  <c r="H870" i="6"/>
  <c r="I870" i="6"/>
  <c r="N870" i="6"/>
  <c r="R870" i="6"/>
  <c r="Q870" i="6" s="1"/>
  <c r="S870" i="6" s="1"/>
  <c r="T870" i="6"/>
  <c r="B871" i="6"/>
  <c r="C871" i="6"/>
  <c r="D871" i="6"/>
  <c r="E871" i="6"/>
  <c r="F871" i="6"/>
  <c r="H871" i="6"/>
  <c r="I871" i="6"/>
  <c r="L871" i="6"/>
  <c r="N871" i="6"/>
  <c r="Q871" i="6"/>
  <c r="S871" i="6" s="1"/>
  <c r="R871" i="6"/>
  <c r="T871" i="6"/>
  <c r="B872" i="6"/>
  <c r="C872" i="6"/>
  <c r="D872" i="6"/>
  <c r="E872" i="6"/>
  <c r="F872" i="6"/>
  <c r="H872" i="6"/>
  <c r="I872" i="6"/>
  <c r="N872" i="6"/>
  <c r="R872" i="6"/>
  <c r="Q872" i="6" s="1"/>
  <c r="S872" i="6"/>
  <c r="T872" i="6"/>
  <c r="B873" i="6"/>
  <c r="C873" i="6"/>
  <c r="D873" i="6"/>
  <c r="E873" i="6"/>
  <c r="F873" i="6"/>
  <c r="H873" i="6"/>
  <c r="I873" i="6"/>
  <c r="L873" i="6"/>
  <c r="N873" i="6"/>
  <c r="Q873" i="6"/>
  <c r="S873" i="6" s="1"/>
  <c r="R873" i="6"/>
  <c r="T873" i="6"/>
  <c r="B874" i="6"/>
  <c r="C874" i="6"/>
  <c r="D874" i="6"/>
  <c r="E874" i="6"/>
  <c r="F874" i="6"/>
  <c r="H874" i="6"/>
  <c r="I874" i="6"/>
  <c r="N874" i="6"/>
  <c r="R874" i="6"/>
  <c r="Q874" i="6" s="1"/>
  <c r="S874" i="6" s="1"/>
  <c r="T874" i="6"/>
  <c r="B875" i="6"/>
  <c r="C875" i="6"/>
  <c r="D875" i="6"/>
  <c r="E875" i="6"/>
  <c r="F875" i="6"/>
  <c r="H875" i="6"/>
  <c r="I875" i="6"/>
  <c r="L875" i="6"/>
  <c r="N875" i="6"/>
  <c r="Q875" i="6"/>
  <c r="R875" i="6"/>
  <c r="S875" i="6"/>
  <c r="T875" i="6"/>
  <c r="B876" i="6"/>
  <c r="C876" i="6"/>
  <c r="D876" i="6"/>
  <c r="E876" i="6"/>
  <c r="F876" i="6"/>
  <c r="H876" i="6"/>
  <c r="I876" i="6"/>
  <c r="N876" i="6"/>
  <c r="Q876" i="6"/>
  <c r="S876" i="6" s="1"/>
  <c r="R876" i="6"/>
  <c r="T876" i="6"/>
  <c r="B877" i="6"/>
  <c r="C877" i="6"/>
  <c r="D877" i="6"/>
  <c r="E877" i="6"/>
  <c r="F877" i="6"/>
  <c r="H877" i="6"/>
  <c r="I877" i="6"/>
  <c r="N877" i="6"/>
  <c r="Q877" i="6"/>
  <c r="S877" i="6" s="1"/>
  <c r="R877" i="6"/>
  <c r="T877" i="6"/>
  <c r="B878" i="6"/>
  <c r="C878" i="6"/>
  <c r="D878" i="6"/>
  <c r="E878" i="6"/>
  <c r="F878" i="6"/>
  <c r="L878" i="6" s="1"/>
  <c r="H878" i="6"/>
  <c r="I878" i="6"/>
  <c r="N878" i="6"/>
  <c r="R878" i="6"/>
  <c r="Q878" i="6" s="1"/>
  <c r="S878" i="6" s="1"/>
  <c r="T878" i="6"/>
  <c r="B879" i="6"/>
  <c r="C879" i="6"/>
  <c r="D879" i="6"/>
  <c r="E879" i="6"/>
  <c r="F879" i="6"/>
  <c r="H879" i="6"/>
  <c r="I879" i="6"/>
  <c r="L879" i="6"/>
  <c r="N879" i="6"/>
  <c r="Q879" i="6"/>
  <c r="S879" i="6" s="1"/>
  <c r="R879" i="6"/>
  <c r="T879" i="6"/>
  <c r="B880" i="6"/>
  <c r="C880" i="6"/>
  <c r="L880" i="6" s="1"/>
  <c r="D880" i="6"/>
  <c r="E880" i="6"/>
  <c r="F880" i="6"/>
  <c r="H880" i="6"/>
  <c r="I880" i="6"/>
  <c r="N880" i="6"/>
  <c r="R880" i="6"/>
  <c r="Q880" i="6" s="1"/>
  <c r="S880" i="6"/>
  <c r="T880" i="6"/>
  <c r="B881" i="6"/>
  <c r="C881" i="6"/>
  <c r="D881" i="6"/>
  <c r="E881" i="6"/>
  <c r="F881" i="6"/>
  <c r="H881" i="6"/>
  <c r="I881" i="6"/>
  <c r="N881" i="6"/>
  <c r="Q881" i="6"/>
  <c r="S881" i="6" s="1"/>
  <c r="R881" i="6"/>
  <c r="T881" i="6"/>
  <c r="B882" i="6"/>
  <c r="C882" i="6"/>
  <c r="D882" i="6"/>
  <c r="E882" i="6"/>
  <c r="F882" i="6"/>
  <c r="H882" i="6"/>
  <c r="I882" i="6"/>
  <c r="N882" i="6"/>
  <c r="R882" i="6"/>
  <c r="Q882" i="6" s="1"/>
  <c r="S882" i="6"/>
  <c r="T882" i="6"/>
  <c r="B883" i="6"/>
  <c r="C883" i="6"/>
  <c r="D883" i="6"/>
  <c r="E883" i="6"/>
  <c r="F883" i="6"/>
  <c r="H883" i="6"/>
  <c r="I883" i="6"/>
  <c r="L883" i="6"/>
  <c r="N883" i="6"/>
  <c r="Q883" i="6"/>
  <c r="R883" i="6"/>
  <c r="S883" i="6"/>
  <c r="T883" i="6"/>
  <c r="B884" i="6"/>
  <c r="C884" i="6"/>
  <c r="D884" i="6"/>
  <c r="E884" i="6"/>
  <c r="F884" i="6"/>
  <c r="H884" i="6"/>
  <c r="I884" i="6"/>
  <c r="N884" i="6"/>
  <c r="R884" i="6"/>
  <c r="Q884" i="6" s="1"/>
  <c r="S884" i="6" s="1"/>
  <c r="T884" i="6"/>
  <c r="B885" i="6"/>
  <c r="C885" i="6"/>
  <c r="D885" i="6"/>
  <c r="E885" i="6"/>
  <c r="F885" i="6"/>
  <c r="H885" i="6"/>
  <c r="I885" i="6"/>
  <c r="N885" i="6"/>
  <c r="Q885" i="6"/>
  <c r="S885" i="6" s="1"/>
  <c r="R885" i="6"/>
  <c r="T885" i="6"/>
  <c r="B886" i="6"/>
  <c r="C886" i="6"/>
  <c r="D886" i="6"/>
  <c r="E886" i="6"/>
  <c r="F886" i="6"/>
  <c r="L886" i="6" s="1"/>
  <c r="H886" i="6"/>
  <c r="I886" i="6"/>
  <c r="N886" i="6"/>
  <c r="R886" i="6"/>
  <c r="Q886" i="6" s="1"/>
  <c r="S886" i="6" s="1"/>
  <c r="T886" i="6"/>
  <c r="B887" i="6"/>
  <c r="C887" i="6"/>
  <c r="D887" i="6"/>
  <c r="E887" i="6"/>
  <c r="F887" i="6"/>
  <c r="H887" i="6"/>
  <c r="I887" i="6"/>
  <c r="L887" i="6"/>
  <c r="N887" i="6"/>
  <c r="Q887" i="6"/>
  <c r="S887" i="6" s="1"/>
  <c r="R887" i="6"/>
  <c r="T887" i="6"/>
  <c r="B888" i="6"/>
  <c r="C888" i="6"/>
  <c r="D888" i="6"/>
  <c r="E888" i="6"/>
  <c r="F888" i="6"/>
  <c r="H888" i="6"/>
  <c r="I888" i="6"/>
  <c r="N888" i="6"/>
  <c r="R888" i="6"/>
  <c r="Q888" i="6" s="1"/>
  <c r="S888" i="6" s="1"/>
  <c r="T888" i="6"/>
  <c r="B889" i="6"/>
  <c r="C889" i="6"/>
  <c r="L889" i="6" s="1"/>
  <c r="D889" i="6"/>
  <c r="E889" i="6"/>
  <c r="F889" i="6"/>
  <c r="H889" i="6"/>
  <c r="I889" i="6"/>
  <c r="N889" i="6"/>
  <c r="Q889" i="6"/>
  <c r="S889" i="6" s="1"/>
  <c r="R889" i="6"/>
  <c r="T889" i="6"/>
  <c r="B890" i="6"/>
  <c r="C890" i="6"/>
  <c r="D890" i="6"/>
  <c r="E890" i="6"/>
  <c r="F890" i="6"/>
  <c r="H890" i="6"/>
  <c r="I890" i="6"/>
  <c r="N890" i="6"/>
  <c r="R890" i="6"/>
  <c r="Q890" i="6" s="1"/>
  <c r="S890" i="6" s="1"/>
  <c r="T890" i="6"/>
  <c r="B891" i="6"/>
  <c r="C891" i="6"/>
  <c r="D891" i="6"/>
  <c r="E891" i="6"/>
  <c r="F891" i="6"/>
  <c r="H891" i="6"/>
  <c r="L891" i="6" s="1"/>
  <c r="I891" i="6"/>
  <c r="N891" i="6"/>
  <c r="Q891" i="6"/>
  <c r="R891" i="6"/>
  <c r="S891" i="6"/>
  <c r="T891" i="6"/>
  <c r="B892" i="6"/>
  <c r="C892" i="6"/>
  <c r="L892" i="6" s="1"/>
  <c r="D892" i="6"/>
  <c r="E892" i="6"/>
  <c r="F892" i="6"/>
  <c r="H892" i="6"/>
  <c r="I892" i="6"/>
  <c r="N892" i="6"/>
  <c r="Q892" i="6"/>
  <c r="S892" i="6" s="1"/>
  <c r="R892" i="6"/>
  <c r="T892" i="6"/>
  <c r="B893" i="6"/>
  <c r="C893" i="6"/>
  <c r="D893" i="6"/>
  <c r="E893" i="6"/>
  <c r="F893" i="6"/>
  <c r="H893" i="6"/>
  <c r="I893" i="6"/>
  <c r="N893" i="6"/>
  <c r="Q893" i="6"/>
  <c r="S893" i="6" s="1"/>
  <c r="R893" i="6"/>
  <c r="T893" i="6"/>
  <c r="B894" i="6"/>
  <c r="C894" i="6"/>
  <c r="D894" i="6"/>
  <c r="E894" i="6"/>
  <c r="F894" i="6"/>
  <c r="L894" i="6" s="1"/>
  <c r="H894" i="6"/>
  <c r="I894" i="6"/>
  <c r="N894" i="6"/>
  <c r="R894" i="6"/>
  <c r="Q894" i="6" s="1"/>
  <c r="S894" i="6" s="1"/>
  <c r="T894" i="6"/>
  <c r="B895" i="6"/>
  <c r="C895" i="6"/>
  <c r="D895" i="6"/>
  <c r="E895" i="6"/>
  <c r="F895" i="6"/>
  <c r="H895" i="6"/>
  <c r="I895" i="6"/>
  <c r="L895" i="6"/>
  <c r="N895" i="6"/>
  <c r="Q895" i="6"/>
  <c r="S895" i="6" s="1"/>
  <c r="R895" i="6"/>
  <c r="T895" i="6"/>
  <c r="B896" i="6"/>
  <c r="C896" i="6"/>
  <c r="D896" i="6"/>
  <c r="E896" i="6"/>
  <c r="F896" i="6"/>
  <c r="H896" i="6"/>
  <c r="I896" i="6"/>
  <c r="N896" i="6"/>
  <c r="R896" i="6"/>
  <c r="Q896" i="6" s="1"/>
  <c r="S896" i="6"/>
  <c r="T896" i="6"/>
  <c r="B897" i="6"/>
  <c r="C897" i="6"/>
  <c r="L897" i="6" s="1"/>
  <c r="D897" i="6"/>
  <c r="E897" i="6"/>
  <c r="F897" i="6"/>
  <c r="H897" i="6"/>
  <c r="I897" i="6"/>
  <c r="N897" i="6"/>
  <c r="Q897" i="6"/>
  <c r="S897" i="6" s="1"/>
  <c r="R897" i="6"/>
  <c r="T897" i="6"/>
  <c r="B898" i="6"/>
  <c r="C898" i="6"/>
  <c r="D898" i="6"/>
  <c r="E898" i="6"/>
  <c r="F898" i="6"/>
  <c r="H898" i="6"/>
  <c r="I898" i="6"/>
  <c r="N898" i="6"/>
  <c r="R898" i="6"/>
  <c r="Q898" i="6" s="1"/>
  <c r="S898" i="6"/>
  <c r="T898" i="6"/>
  <c r="B899" i="6"/>
  <c r="C899" i="6"/>
  <c r="D899" i="6"/>
  <c r="E899" i="6"/>
  <c r="F899" i="6"/>
  <c r="H899" i="6"/>
  <c r="I899" i="6"/>
  <c r="L899" i="6"/>
  <c r="N899" i="6"/>
  <c r="Q899" i="6"/>
  <c r="R899" i="6"/>
  <c r="S899" i="6"/>
  <c r="T899" i="6"/>
  <c r="B900" i="6"/>
  <c r="C900" i="6"/>
  <c r="D900" i="6"/>
  <c r="E900" i="6"/>
  <c r="F900" i="6"/>
  <c r="H900" i="6"/>
  <c r="I900" i="6"/>
  <c r="N900" i="6"/>
  <c r="R900" i="6"/>
  <c r="Q900" i="6" s="1"/>
  <c r="S900" i="6" s="1"/>
  <c r="T900" i="6"/>
  <c r="B901" i="6"/>
  <c r="C901" i="6"/>
  <c r="D901" i="6"/>
  <c r="E901" i="6"/>
  <c r="F901" i="6"/>
  <c r="H901" i="6"/>
  <c r="I901" i="6"/>
  <c r="N901" i="6"/>
  <c r="Q901" i="6"/>
  <c r="S901" i="6" s="1"/>
  <c r="R901" i="6"/>
  <c r="T901" i="6"/>
  <c r="B902" i="6"/>
  <c r="C902" i="6"/>
  <c r="D902" i="6"/>
  <c r="E902" i="6"/>
  <c r="F902" i="6"/>
  <c r="L902" i="6" s="1"/>
  <c r="H902" i="6"/>
  <c r="I902" i="6"/>
  <c r="N902" i="6"/>
  <c r="R902" i="6"/>
  <c r="Q902" i="6" s="1"/>
  <c r="S902" i="6" s="1"/>
  <c r="T902" i="6"/>
  <c r="B903" i="6"/>
  <c r="C903" i="6"/>
  <c r="L903" i="6" s="1"/>
  <c r="D903" i="6"/>
  <c r="E903" i="6"/>
  <c r="F903" i="6"/>
  <c r="H903" i="6"/>
  <c r="I903" i="6"/>
  <c r="N903" i="6"/>
  <c r="Q903" i="6"/>
  <c r="S903" i="6" s="1"/>
  <c r="R903" i="6"/>
  <c r="T903" i="6"/>
  <c r="B904" i="6"/>
  <c r="C904" i="6"/>
  <c r="L904" i="6" s="1"/>
  <c r="D904" i="6"/>
  <c r="E904" i="6"/>
  <c r="F904" i="6"/>
  <c r="H904" i="6"/>
  <c r="I904" i="6"/>
  <c r="N904" i="6"/>
  <c r="R904" i="6"/>
  <c r="Q904" i="6" s="1"/>
  <c r="S904" i="6" s="1"/>
  <c r="T904" i="6"/>
  <c r="B905" i="6"/>
  <c r="C905" i="6"/>
  <c r="D905" i="6"/>
  <c r="E905" i="6"/>
  <c r="F905" i="6"/>
  <c r="H905" i="6"/>
  <c r="L905" i="6" s="1"/>
  <c r="I905" i="6"/>
  <c r="N905" i="6"/>
  <c r="Q905" i="6"/>
  <c r="S905" i="6" s="1"/>
  <c r="R905" i="6"/>
  <c r="T905" i="6"/>
  <c r="B906" i="6"/>
  <c r="C906" i="6"/>
  <c r="D906" i="6"/>
  <c r="E906" i="6"/>
  <c r="F906" i="6"/>
  <c r="H906" i="6"/>
  <c r="I906" i="6"/>
  <c r="N906" i="6"/>
  <c r="R906" i="6"/>
  <c r="Q906" i="6" s="1"/>
  <c r="S906" i="6" s="1"/>
  <c r="T906" i="6"/>
  <c r="B907" i="6"/>
  <c r="C907" i="6"/>
  <c r="D907" i="6"/>
  <c r="E907" i="6"/>
  <c r="F907" i="6"/>
  <c r="H907" i="6"/>
  <c r="L907" i="6" s="1"/>
  <c r="I907" i="6"/>
  <c r="N907" i="6"/>
  <c r="Q907" i="6"/>
  <c r="R907" i="6"/>
  <c r="S907" i="6"/>
  <c r="T907" i="6"/>
  <c r="B908" i="6"/>
  <c r="C908" i="6"/>
  <c r="D908" i="6"/>
  <c r="E908" i="6"/>
  <c r="F908" i="6"/>
  <c r="H908" i="6"/>
  <c r="I908" i="6"/>
  <c r="N908" i="6"/>
  <c r="Q908" i="6"/>
  <c r="S908" i="6" s="1"/>
  <c r="R908" i="6"/>
  <c r="T908" i="6"/>
  <c r="B909" i="6"/>
  <c r="C909" i="6"/>
  <c r="D909" i="6"/>
  <c r="E909" i="6"/>
  <c r="F909" i="6"/>
  <c r="H909" i="6"/>
  <c r="I909" i="6"/>
  <c r="N909" i="6"/>
  <c r="Q909" i="6"/>
  <c r="S909" i="6" s="1"/>
  <c r="R909" i="6"/>
  <c r="T909" i="6"/>
  <c r="B910" i="6"/>
  <c r="C910" i="6"/>
  <c r="D910" i="6"/>
  <c r="E910" i="6"/>
  <c r="F910" i="6"/>
  <c r="L910" i="6" s="1"/>
  <c r="H910" i="6"/>
  <c r="I910" i="6"/>
  <c r="N910" i="6"/>
  <c r="R910" i="6"/>
  <c r="Q910" i="6" s="1"/>
  <c r="S910" i="6" s="1"/>
  <c r="T910" i="6"/>
  <c r="B911" i="6"/>
  <c r="C911" i="6"/>
  <c r="D911" i="6"/>
  <c r="E911" i="6"/>
  <c r="F911" i="6"/>
  <c r="H911" i="6"/>
  <c r="I911" i="6"/>
  <c r="L911" i="6"/>
  <c r="N911" i="6"/>
  <c r="Q911" i="6"/>
  <c r="S911" i="6" s="1"/>
  <c r="R911" i="6"/>
  <c r="T911" i="6"/>
  <c r="B912" i="6"/>
  <c r="C912" i="6"/>
  <c r="D912" i="6"/>
  <c r="E912" i="6"/>
  <c r="F912" i="6"/>
  <c r="H912" i="6"/>
  <c r="I912" i="6"/>
  <c r="N912" i="6"/>
  <c r="R912" i="6"/>
  <c r="Q912" i="6" s="1"/>
  <c r="S912" i="6" s="1"/>
  <c r="T912" i="6"/>
  <c r="B913" i="6"/>
  <c r="C913" i="6"/>
  <c r="L913" i="6" s="1"/>
  <c r="D913" i="6"/>
  <c r="E913" i="6"/>
  <c r="F913" i="6"/>
  <c r="H913" i="6"/>
  <c r="I913" i="6"/>
  <c r="N913" i="6"/>
  <c r="Q913" i="6"/>
  <c r="S913" i="6" s="1"/>
  <c r="R913" i="6"/>
  <c r="T913" i="6"/>
  <c r="B914" i="6"/>
  <c r="C914" i="6"/>
  <c r="D914" i="6"/>
  <c r="E914" i="6"/>
  <c r="F914" i="6"/>
  <c r="H914" i="6"/>
  <c r="I914" i="6"/>
  <c r="N914" i="6"/>
  <c r="R914" i="6"/>
  <c r="Q914" i="6" s="1"/>
  <c r="S914" i="6" s="1"/>
  <c r="T914" i="6"/>
  <c r="B915" i="6"/>
  <c r="C915" i="6"/>
  <c r="D915" i="6"/>
  <c r="E915" i="6"/>
  <c r="F915" i="6"/>
  <c r="H915" i="6"/>
  <c r="L915" i="6" s="1"/>
  <c r="I915" i="6"/>
  <c r="N915" i="6"/>
  <c r="Q915" i="6"/>
  <c r="R915" i="6"/>
  <c r="S915" i="6"/>
  <c r="T915" i="6"/>
  <c r="B916" i="6"/>
  <c r="C916" i="6"/>
  <c r="L916" i="6" s="1"/>
  <c r="D916" i="6"/>
  <c r="E916" i="6"/>
  <c r="F916" i="6"/>
  <c r="H916" i="6"/>
  <c r="I916" i="6"/>
  <c r="N916" i="6"/>
  <c r="Q916" i="6"/>
  <c r="S916" i="6" s="1"/>
  <c r="R916" i="6"/>
  <c r="T916" i="6"/>
  <c r="B917" i="6"/>
  <c r="C917" i="6"/>
  <c r="D917" i="6"/>
  <c r="E917" i="6"/>
  <c r="F917" i="6"/>
  <c r="H917" i="6"/>
  <c r="I917" i="6"/>
  <c r="N917" i="6"/>
  <c r="Q917" i="6"/>
  <c r="S917" i="6" s="1"/>
  <c r="R917" i="6"/>
  <c r="T917" i="6"/>
  <c r="B918" i="6"/>
  <c r="C918" i="6"/>
  <c r="D918" i="6"/>
  <c r="E918" i="6"/>
  <c r="F918" i="6"/>
  <c r="L918" i="6" s="1"/>
  <c r="H918" i="6"/>
  <c r="I918" i="6"/>
  <c r="N918" i="6"/>
  <c r="R918" i="6"/>
  <c r="Q918" i="6" s="1"/>
  <c r="S918" i="6" s="1"/>
  <c r="T918" i="6"/>
  <c r="B919" i="6"/>
  <c r="C919" i="6"/>
  <c r="D919" i="6"/>
  <c r="E919" i="6"/>
  <c r="F919" i="6"/>
  <c r="H919" i="6"/>
  <c r="I919" i="6"/>
  <c r="L919" i="6"/>
  <c r="N919" i="6"/>
  <c r="Q919" i="6"/>
  <c r="S919" i="6" s="1"/>
  <c r="R919" i="6"/>
  <c r="T919" i="6"/>
  <c r="B920" i="6"/>
  <c r="C920" i="6"/>
  <c r="D920" i="6"/>
  <c r="E920" i="6"/>
  <c r="F920" i="6"/>
  <c r="H920" i="6"/>
  <c r="I920" i="6"/>
  <c r="N920" i="6"/>
  <c r="R920" i="6"/>
  <c r="Q920" i="6" s="1"/>
  <c r="S920" i="6"/>
  <c r="T920" i="6"/>
  <c r="B921" i="6"/>
  <c r="C921" i="6"/>
  <c r="D921" i="6"/>
  <c r="E921" i="6"/>
  <c r="F921" i="6"/>
  <c r="H921" i="6"/>
  <c r="I921" i="6"/>
  <c r="L921" i="6"/>
  <c r="N921" i="6"/>
  <c r="Q921" i="6"/>
  <c r="S921" i="6" s="1"/>
  <c r="R921" i="6"/>
  <c r="T921" i="6"/>
  <c r="B922" i="6"/>
  <c r="C922" i="6"/>
  <c r="D922" i="6"/>
  <c r="E922" i="6"/>
  <c r="F922" i="6"/>
  <c r="H922" i="6"/>
  <c r="I922" i="6"/>
  <c r="N922" i="6"/>
  <c r="R922" i="6"/>
  <c r="Q922" i="6" s="1"/>
  <c r="S922" i="6"/>
  <c r="T922" i="6"/>
  <c r="B923" i="6"/>
  <c r="C923" i="6"/>
  <c r="D923" i="6"/>
  <c r="E923" i="6"/>
  <c r="F923" i="6"/>
  <c r="H923" i="6"/>
  <c r="I923" i="6"/>
  <c r="L923" i="6"/>
  <c r="N923" i="6"/>
  <c r="Q923" i="6"/>
  <c r="R923" i="6"/>
  <c r="S923" i="6"/>
  <c r="T923" i="6"/>
  <c r="B924" i="6"/>
  <c r="C924" i="6"/>
  <c r="D924" i="6"/>
  <c r="E924" i="6"/>
  <c r="F924" i="6"/>
  <c r="H924" i="6"/>
  <c r="I924" i="6"/>
  <c r="N924" i="6"/>
  <c r="R924" i="6"/>
  <c r="Q924" i="6" s="1"/>
  <c r="S924" i="6" s="1"/>
  <c r="T924" i="6"/>
  <c r="B925" i="6"/>
  <c r="C925" i="6"/>
  <c r="D925" i="6"/>
  <c r="E925" i="6"/>
  <c r="F925" i="6"/>
  <c r="H925" i="6"/>
  <c r="I925" i="6"/>
  <c r="N925" i="6"/>
  <c r="Q925" i="6"/>
  <c r="S925" i="6" s="1"/>
  <c r="R925" i="6"/>
  <c r="T925" i="6"/>
  <c r="B926" i="6"/>
  <c r="C926" i="6"/>
  <c r="D926" i="6"/>
  <c r="E926" i="6"/>
  <c r="F926" i="6"/>
  <c r="L926" i="6" s="1"/>
  <c r="H926" i="6"/>
  <c r="I926" i="6"/>
  <c r="N926" i="6"/>
  <c r="R926" i="6"/>
  <c r="Q926" i="6" s="1"/>
  <c r="S926" i="6" s="1"/>
  <c r="T926" i="6"/>
  <c r="B927" i="6"/>
  <c r="C927" i="6"/>
  <c r="L927" i="6" s="1"/>
  <c r="D927" i="6"/>
  <c r="E927" i="6"/>
  <c r="F927" i="6"/>
  <c r="H927" i="6"/>
  <c r="I927" i="6"/>
  <c r="N927" i="6"/>
  <c r="Q927" i="6"/>
  <c r="S927" i="6" s="1"/>
  <c r="R927" i="6"/>
  <c r="T927" i="6"/>
  <c r="B928" i="6"/>
  <c r="C928" i="6"/>
  <c r="D928" i="6"/>
  <c r="E928" i="6"/>
  <c r="F928" i="6"/>
  <c r="H928" i="6"/>
  <c r="I928" i="6"/>
  <c r="N928" i="6"/>
  <c r="R928" i="6"/>
  <c r="Q928" i="6" s="1"/>
  <c r="S928" i="6" s="1"/>
  <c r="T928" i="6"/>
  <c r="B929" i="6"/>
  <c r="C929" i="6"/>
  <c r="D929" i="6"/>
  <c r="E929" i="6"/>
  <c r="F929" i="6"/>
  <c r="H929" i="6"/>
  <c r="I929" i="6"/>
  <c r="N929" i="6"/>
  <c r="Q929" i="6"/>
  <c r="S929" i="6" s="1"/>
  <c r="R929" i="6"/>
  <c r="T929" i="6"/>
  <c r="B930" i="6"/>
  <c r="C930" i="6"/>
  <c r="L930" i="6" s="1"/>
  <c r="D930" i="6"/>
  <c r="E930" i="6"/>
  <c r="F930" i="6"/>
  <c r="H930" i="6"/>
  <c r="I930" i="6"/>
  <c r="N930" i="6"/>
  <c r="R930" i="6"/>
  <c r="Q930" i="6" s="1"/>
  <c r="S930" i="6" s="1"/>
  <c r="T930" i="6"/>
  <c r="B931" i="6"/>
  <c r="C931" i="6"/>
  <c r="D931" i="6"/>
  <c r="E931" i="6"/>
  <c r="F931" i="6"/>
  <c r="L931" i="6" s="1"/>
  <c r="H931" i="6"/>
  <c r="I931" i="6"/>
  <c r="N931" i="6"/>
  <c r="Q931" i="6"/>
  <c r="R931" i="6"/>
  <c r="S931" i="6"/>
  <c r="T931" i="6"/>
  <c r="B932" i="6"/>
  <c r="C932" i="6"/>
  <c r="D932" i="6"/>
  <c r="E932" i="6"/>
  <c r="F932" i="6"/>
  <c r="H932" i="6"/>
  <c r="I932" i="6"/>
  <c r="L932" i="6"/>
  <c r="N932" i="6"/>
  <c r="Q932" i="6"/>
  <c r="S932" i="6" s="1"/>
  <c r="R932" i="6"/>
  <c r="T932" i="6"/>
  <c r="B933" i="6"/>
  <c r="C933" i="6"/>
  <c r="D933" i="6"/>
  <c r="E933" i="6"/>
  <c r="F933" i="6"/>
  <c r="H933" i="6"/>
  <c r="I933" i="6"/>
  <c r="N933" i="6"/>
  <c r="R933" i="6"/>
  <c r="Q933" i="6" s="1"/>
  <c r="S933" i="6" s="1"/>
  <c r="T933" i="6"/>
  <c r="B934" i="6"/>
  <c r="C934" i="6"/>
  <c r="D934" i="6"/>
  <c r="E934" i="6"/>
  <c r="F934" i="6"/>
  <c r="H934" i="6"/>
  <c r="I934" i="6"/>
  <c r="L934" i="6"/>
  <c r="N934" i="6"/>
  <c r="R934" i="6"/>
  <c r="Q934" i="6" s="1"/>
  <c r="S934" i="6" s="1"/>
  <c r="T934" i="6"/>
  <c r="B935" i="6"/>
  <c r="C935" i="6"/>
  <c r="D935" i="6"/>
  <c r="E935" i="6"/>
  <c r="L935" i="6" s="1"/>
  <c r="F935" i="6"/>
  <c r="H935" i="6"/>
  <c r="I935" i="6"/>
  <c r="N935" i="6"/>
  <c r="R935" i="6"/>
  <c r="Q935" i="6" s="1"/>
  <c r="S935" i="6"/>
  <c r="T935" i="6"/>
  <c r="B936" i="6"/>
  <c r="C936" i="6"/>
  <c r="L936" i="6" s="1"/>
  <c r="D936" i="6"/>
  <c r="E936" i="6"/>
  <c r="F936" i="6"/>
  <c r="H936" i="6"/>
  <c r="I936" i="6"/>
  <c r="N936" i="6"/>
  <c r="R936" i="6"/>
  <c r="Q936" i="6" s="1"/>
  <c r="S936" i="6"/>
  <c r="T936" i="6"/>
  <c r="B937" i="6"/>
  <c r="C937" i="6"/>
  <c r="D937" i="6"/>
  <c r="E937" i="6"/>
  <c r="F937" i="6"/>
  <c r="H937" i="6"/>
  <c r="I937" i="6"/>
  <c r="N937" i="6"/>
  <c r="Q937" i="6"/>
  <c r="R937" i="6"/>
  <c r="S937" i="6"/>
  <c r="T937" i="6"/>
  <c r="B938" i="6"/>
  <c r="C938" i="6"/>
  <c r="L938" i="6" s="1"/>
  <c r="D938" i="6"/>
  <c r="E938" i="6"/>
  <c r="F938" i="6"/>
  <c r="H938" i="6"/>
  <c r="I938" i="6"/>
  <c r="N938" i="6"/>
  <c r="Q938" i="6"/>
  <c r="S938" i="6" s="1"/>
  <c r="R938" i="6"/>
  <c r="T938" i="6"/>
  <c r="B939" i="6"/>
  <c r="C939" i="6"/>
  <c r="D939" i="6"/>
  <c r="E939" i="6"/>
  <c r="F939" i="6"/>
  <c r="H939" i="6"/>
  <c r="I939" i="6"/>
  <c r="N939" i="6"/>
  <c r="Q939" i="6"/>
  <c r="R939" i="6"/>
  <c r="S939" i="6"/>
  <c r="T939" i="6"/>
  <c r="B940" i="6"/>
  <c r="C940" i="6"/>
  <c r="L940" i="6" s="1"/>
  <c r="D940" i="6"/>
  <c r="E940" i="6"/>
  <c r="F940" i="6"/>
  <c r="H940" i="6"/>
  <c r="I940" i="6"/>
  <c r="N940" i="6"/>
  <c r="Q940" i="6"/>
  <c r="S940" i="6" s="1"/>
  <c r="R940" i="6"/>
  <c r="T940" i="6"/>
  <c r="B941" i="6"/>
  <c r="C941" i="6"/>
  <c r="D941" i="6"/>
  <c r="E941" i="6"/>
  <c r="F941" i="6"/>
  <c r="H941" i="6"/>
  <c r="I941" i="6"/>
  <c r="N941" i="6"/>
  <c r="R941" i="6"/>
  <c r="Q941" i="6" s="1"/>
  <c r="S941" i="6"/>
  <c r="T941" i="6"/>
  <c r="B942" i="6"/>
  <c r="C942" i="6"/>
  <c r="D942" i="6"/>
  <c r="E942" i="6"/>
  <c r="F942" i="6"/>
  <c r="H942" i="6"/>
  <c r="L942" i="6" s="1"/>
  <c r="I942" i="6"/>
  <c r="N942" i="6"/>
  <c r="R942" i="6"/>
  <c r="Q942" i="6" s="1"/>
  <c r="S942" i="6" s="1"/>
  <c r="T942" i="6"/>
  <c r="B943" i="6"/>
  <c r="C943" i="6"/>
  <c r="D943" i="6"/>
  <c r="E943" i="6"/>
  <c r="F943" i="6"/>
  <c r="H943" i="6"/>
  <c r="I943" i="6"/>
  <c r="N943" i="6"/>
  <c r="Q943" i="6"/>
  <c r="R943" i="6"/>
  <c r="S943" i="6"/>
  <c r="T943" i="6"/>
  <c r="B944" i="6"/>
  <c r="C944" i="6"/>
  <c r="D944" i="6"/>
  <c r="E944" i="6"/>
  <c r="F944" i="6"/>
  <c r="H944" i="6"/>
  <c r="I944" i="6"/>
  <c r="N944" i="6"/>
  <c r="R944" i="6"/>
  <c r="Q944" i="6" s="1"/>
  <c r="S944" i="6" s="1"/>
  <c r="T944" i="6"/>
  <c r="B945" i="6"/>
  <c r="C945" i="6"/>
  <c r="D945" i="6"/>
  <c r="E945" i="6"/>
  <c r="F945" i="6"/>
  <c r="H945" i="6"/>
  <c r="I945" i="6"/>
  <c r="N945" i="6"/>
  <c r="Q945" i="6"/>
  <c r="S945" i="6" s="1"/>
  <c r="R945" i="6"/>
  <c r="T945" i="6"/>
  <c r="B946" i="6"/>
  <c r="C946" i="6"/>
  <c r="D946" i="6"/>
  <c r="E946" i="6"/>
  <c r="F946" i="6"/>
  <c r="H946" i="6"/>
  <c r="I946" i="6"/>
  <c r="N946" i="6"/>
  <c r="Q946" i="6"/>
  <c r="S946" i="6" s="1"/>
  <c r="R946" i="6"/>
  <c r="T946" i="6"/>
  <c r="B947" i="6"/>
  <c r="C947" i="6"/>
  <c r="L947" i="6" s="1"/>
  <c r="D947" i="6"/>
  <c r="E947" i="6"/>
  <c r="F947" i="6"/>
  <c r="H947" i="6"/>
  <c r="I947" i="6"/>
  <c r="N947" i="6"/>
  <c r="R947" i="6"/>
  <c r="Q947" i="6" s="1"/>
  <c r="S947" i="6" s="1"/>
  <c r="T947" i="6"/>
  <c r="B948" i="6"/>
  <c r="C948" i="6"/>
  <c r="D948" i="6"/>
  <c r="E948" i="6"/>
  <c r="F948" i="6"/>
  <c r="H948" i="6"/>
  <c r="I948" i="6"/>
  <c r="N948" i="6"/>
  <c r="R948" i="6"/>
  <c r="Q948" i="6" s="1"/>
  <c r="S948" i="6"/>
  <c r="T948" i="6"/>
  <c r="B949" i="6"/>
  <c r="C949" i="6"/>
  <c r="D949" i="6"/>
  <c r="E949" i="6"/>
  <c r="F949" i="6"/>
  <c r="H949" i="6"/>
  <c r="I949" i="6"/>
  <c r="L949" i="6"/>
  <c r="N949" i="6"/>
  <c r="Q949" i="6"/>
  <c r="S949" i="6" s="1"/>
  <c r="R949" i="6"/>
  <c r="T949" i="6"/>
  <c r="B950" i="6"/>
  <c r="C950" i="6"/>
  <c r="D950" i="6"/>
  <c r="E950" i="6"/>
  <c r="F950" i="6"/>
  <c r="H950" i="6"/>
  <c r="I950" i="6"/>
  <c r="N950" i="6"/>
  <c r="R950" i="6"/>
  <c r="Q950" i="6" s="1"/>
  <c r="S950" i="6" s="1"/>
  <c r="T950" i="6"/>
  <c r="B951" i="6"/>
  <c r="C951" i="6"/>
  <c r="D951" i="6"/>
  <c r="E951" i="6"/>
  <c r="F951" i="6"/>
  <c r="H951" i="6"/>
  <c r="L951" i="6" s="1"/>
  <c r="I951" i="6"/>
  <c r="N951" i="6"/>
  <c r="R951" i="6"/>
  <c r="Q951" i="6" s="1"/>
  <c r="S951" i="6" s="1"/>
  <c r="T951" i="6"/>
  <c r="B952" i="6"/>
  <c r="C952" i="6"/>
  <c r="D952" i="6"/>
  <c r="L952" i="6" s="1"/>
  <c r="E952" i="6"/>
  <c r="F952" i="6"/>
  <c r="H952" i="6"/>
  <c r="I952" i="6"/>
  <c r="N952" i="6"/>
  <c r="R952" i="6"/>
  <c r="Q952" i="6" s="1"/>
  <c r="S952" i="6"/>
  <c r="T952" i="6"/>
  <c r="B953" i="6"/>
  <c r="C953" i="6"/>
  <c r="L953" i="6" s="1"/>
  <c r="D953" i="6"/>
  <c r="E953" i="6"/>
  <c r="F953" i="6"/>
  <c r="H953" i="6"/>
  <c r="I953" i="6"/>
  <c r="N953" i="6"/>
  <c r="R953" i="6"/>
  <c r="Q953" i="6" s="1"/>
  <c r="S953" i="6"/>
  <c r="T953" i="6"/>
  <c r="B954" i="6"/>
  <c r="C954" i="6"/>
  <c r="D954" i="6"/>
  <c r="E954" i="6"/>
  <c r="F954" i="6"/>
  <c r="H954" i="6"/>
  <c r="I954" i="6"/>
  <c r="N954" i="6"/>
  <c r="Q954" i="6"/>
  <c r="S954" i="6" s="1"/>
  <c r="R954" i="6"/>
  <c r="T954" i="6"/>
  <c r="B955" i="6"/>
  <c r="C955" i="6"/>
  <c r="L955" i="6" s="1"/>
  <c r="D955" i="6"/>
  <c r="E955" i="6"/>
  <c r="F955" i="6"/>
  <c r="H955" i="6"/>
  <c r="I955" i="6"/>
  <c r="N955" i="6"/>
  <c r="R955" i="6"/>
  <c r="Q955" i="6" s="1"/>
  <c r="S955" i="6"/>
  <c r="T955" i="6"/>
  <c r="B956" i="6"/>
  <c r="C956" i="6"/>
  <c r="D956" i="6"/>
  <c r="E956" i="6"/>
  <c r="F956" i="6"/>
  <c r="H956" i="6"/>
  <c r="I956" i="6"/>
  <c r="N956" i="6"/>
  <c r="R956" i="6"/>
  <c r="Q956" i="6" s="1"/>
  <c r="S956" i="6"/>
  <c r="T956" i="6"/>
  <c r="B957" i="6"/>
  <c r="C957" i="6"/>
  <c r="D957" i="6"/>
  <c r="L957" i="6" s="1"/>
  <c r="E957" i="6"/>
  <c r="F957" i="6"/>
  <c r="H957" i="6"/>
  <c r="I957" i="6"/>
  <c r="N957" i="6"/>
  <c r="R957" i="6"/>
  <c r="Q957" i="6" s="1"/>
  <c r="S957" i="6" s="1"/>
  <c r="T957" i="6"/>
  <c r="B958" i="6"/>
  <c r="C958" i="6"/>
  <c r="D958" i="6"/>
  <c r="E958" i="6"/>
  <c r="F958" i="6"/>
  <c r="H958" i="6"/>
  <c r="I958" i="6"/>
  <c r="N958" i="6"/>
  <c r="Q958" i="6"/>
  <c r="R958" i="6"/>
  <c r="S958" i="6"/>
  <c r="T958" i="6"/>
  <c r="B959" i="6"/>
  <c r="C959" i="6"/>
  <c r="D959" i="6"/>
  <c r="E959" i="6"/>
  <c r="F959" i="6"/>
  <c r="H959" i="6"/>
  <c r="I959" i="6"/>
  <c r="L959" i="6"/>
  <c r="N959" i="6"/>
  <c r="R959" i="6"/>
  <c r="Q959" i="6" s="1"/>
  <c r="S959" i="6" s="1"/>
  <c r="T959" i="6"/>
  <c r="B960" i="6"/>
  <c r="C960" i="6"/>
  <c r="D960" i="6"/>
  <c r="E960" i="6"/>
  <c r="F960" i="6"/>
  <c r="H960" i="6"/>
  <c r="I960" i="6"/>
  <c r="L960" i="6"/>
  <c r="N960" i="6"/>
  <c r="Q960" i="6"/>
  <c r="R960" i="6"/>
  <c r="S960" i="6"/>
  <c r="T960" i="6"/>
  <c r="B961" i="6"/>
  <c r="C961" i="6"/>
  <c r="D961" i="6"/>
  <c r="E961" i="6"/>
  <c r="F961" i="6"/>
  <c r="H961" i="6"/>
  <c r="I961" i="6"/>
  <c r="N961" i="6"/>
  <c r="R961" i="6"/>
  <c r="Q961" i="6" s="1"/>
  <c r="S961" i="6"/>
  <c r="T961" i="6"/>
  <c r="B962" i="6"/>
  <c r="C962" i="6"/>
  <c r="D962" i="6"/>
  <c r="E962" i="6"/>
  <c r="F962" i="6"/>
  <c r="H962" i="6"/>
  <c r="I962" i="6"/>
  <c r="L962" i="6"/>
  <c r="N962" i="6"/>
  <c r="Q962" i="6"/>
  <c r="S962" i="6" s="1"/>
  <c r="R962" i="6"/>
  <c r="T962" i="6"/>
  <c r="B963" i="6"/>
  <c r="C963" i="6"/>
  <c r="D963" i="6"/>
  <c r="E963" i="6"/>
  <c r="F963" i="6"/>
  <c r="H963" i="6"/>
  <c r="I963" i="6"/>
  <c r="N963" i="6"/>
  <c r="Q963" i="6"/>
  <c r="S963" i="6" s="1"/>
  <c r="R963" i="6"/>
  <c r="T963" i="6"/>
  <c r="B964" i="6"/>
  <c r="C964" i="6"/>
  <c r="D964" i="6"/>
  <c r="E964" i="6"/>
  <c r="F964" i="6"/>
  <c r="H964" i="6"/>
  <c r="I964" i="6"/>
  <c r="L964" i="6"/>
  <c r="N964" i="6"/>
  <c r="R964" i="6"/>
  <c r="Q964" i="6" s="1"/>
  <c r="S964" i="6" s="1"/>
  <c r="T964" i="6"/>
  <c r="B965" i="6"/>
  <c r="C965" i="6"/>
  <c r="D965" i="6"/>
  <c r="E965" i="6"/>
  <c r="F965" i="6"/>
  <c r="H965" i="6"/>
  <c r="I965" i="6"/>
  <c r="L965" i="6"/>
  <c r="N965" i="6"/>
  <c r="Q965" i="6"/>
  <c r="S965" i="6" s="1"/>
  <c r="R965" i="6"/>
  <c r="T965" i="6"/>
  <c r="B966" i="6"/>
  <c r="C966" i="6"/>
  <c r="D966" i="6"/>
  <c r="E966" i="6"/>
  <c r="F966" i="6"/>
  <c r="H966" i="6"/>
  <c r="I966" i="6"/>
  <c r="N966" i="6"/>
  <c r="Q966" i="6"/>
  <c r="S966" i="6" s="1"/>
  <c r="R966" i="6"/>
  <c r="T966" i="6"/>
  <c r="B967" i="6"/>
  <c r="C967" i="6"/>
  <c r="D967" i="6"/>
  <c r="E967" i="6"/>
  <c r="F967" i="6"/>
  <c r="H967" i="6"/>
  <c r="I967" i="6"/>
  <c r="L967" i="6"/>
  <c r="N967" i="6"/>
  <c r="R967" i="6"/>
  <c r="Q967" i="6" s="1"/>
  <c r="S967" i="6" s="1"/>
  <c r="T967" i="6"/>
  <c r="B968" i="6"/>
  <c r="C968" i="6"/>
  <c r="D968" i="6"/>
  <c r="E968" i="6"/>
  <c r="F968" i="6"/>
  <c r="H968" i="6"/>
  <c r="I968" i="6"/>
  <c r="L968" i="6"/>
  <c r="N968" i="6"/>
  <c r="Q968" i="6"/>
  <c r="S968" i="6" s="1"/>
  <c r="R968" i="6"/>
  <c r="T968" i="6"/>
  <c r="B969" i="6"/>
  <c r="C969" i="6"/>
  <c r="L969" i="6" s="1"/>
  <c r="D969" i="6"/>
  <c r="E969" i="6"/>
  <c r="F969" i="6"/>
  <c r="H969" i="6"/>
  <c r="I969" i="6"/>
  <c r="N969" i="6"/>
  <c r="R969" i="6"/>
  <c r="Q969" i="6" s="1"/>
  <c r="S969" i="6" s="1"/>
  <c r="T969" i="6"/>
  <c r="B970" i="6"/>
  <c r="C970" i="6"/>
  <c r="D970" i="6"/>
  <c r="E970" i="6"/>
  <c r="F970" i="6"/>
  <c r="H970" i="6"/>
  <c r="L970" i="6" s="1"/>
  <c r="I970" i="6"/>
  <c r="N970" i="6"/>
  <c r="Q970" i="6"/>
  <c r="S970" i="6" s="1"/>
  <c r="R970" i="6"/>
  <c r="T970" i="6"/>
  <c r="B971" i="6"/>
  <c r="C971" i="6"/>
  <c r="L971" i="6" s="1"/>
  <c r="D971" i="6"/>
  <c r="E971" i="6"/>
  <c r="F971" i="6"/>
  <c r="H971" i="6"/>
  <c r="I971" i="6"/>
  <c r="N971" i="6"/>
  <c r="R971" i="6"/>
  <c r="Q971" i="6" s="1"/>
  <c r="S971" i="6"/>
  <c r="T971" i="6"/>
  <c r="B972" i="6"/>
  <c r="C972" i="6"/>
  <c r="D972" i="6"/>
  <c r="E972" i="6"/>
  <c r="F972" i="6"/>
  <c r="H972" i="6"/>
  <c r="I972" i="6"/>
  <c r="N972" i="6"/>
  <c r="R972" i="6"/>
  <c r="Q972" i="6" s="1"/>
  <c r="S972" i="6" s="1"/>
  <c r="T972" i="6"/>
  <c r="B973" i="6"/>
  <c r="C973" i="6"/>
  <c r="L973" i="6" s="1"/>
  <c r="D973" i="6"/>
  <c r="E973" i="6"/>
  <c r="F973" i="6"/>
  <c r="H973" i="6"/>
  <c r="I973" i="6"/>
  <c r="N973" i="6"/>
  <c r="R973" i="6"/>
  <c r="Q973" i="6" s="1"/>
  <c r="S973" i="6" s="1"/>
  <c r="T973" i="6"/>
  <c r="B974" i="6"/>
  <c r="C974" i="6"/>
  <c r="D974" i="6"/>
  <c r="E974" i="6"/>
  <c r="F974" i="6"/>
  <c r="H974" i="6"/>
  <c r="I974" i="6"/>
  <c r="N974" i="6"/>
  <c r="Q974" i="6"/>
  <c r="S974" i="6" s="1"/>
  <c r="R974" i="6"/>
  <c r="T974" i="6"/>
  <c r="B975" i="6"/>
  <c r="C975" i="6"/>
  <c r="D975" i="6"/>
  <c r="E975" i="6"/>
  <c r="F975" i="6"/>
  <c r="L975" i="6" s="1"/>
  <c r="H975" i="6"/>
  <c r="I975" i="6"/>
  <c r="N975" i="6"/>
  <c r="R975" i="6"/>
  <c r="Q975" i="6" s="1"/>
  <c r="S975" i="6" s="1"/>
  <c r="T975" i="6"/>
  <c r="B976" i="6"/>
  <c r="C976" i="6"/>
  <c r="L976" i="6" s="1"/>
  <c r="D976" i="6"/>
  <c r="E976" i="6"/>
  <c r="F976" i="6"/>
  <c r="H976" i="6"/>
  <c r="I976" i="6"/>
  <c r="N976" i="6"/>
  <c r="Q976" i="6"/>
  <c r="S976" i="6" s="1"/>
  <c r="R976" i="6"/>
  <c r="T976" i="6"/>
  <c r="B977" i="6"/>
  <c r="C977" i="6"/>
  <c r="L977" i="6" s="1"/>
  <c r="D977" i="6"/>
  <c r="E977" i="6"/>
  <c r="F977" i="6"/>
  <c r="H977" i="6"/>
  <c r="I977" i="6"/>
  <c r="N977" i="6"/>
  <c r="R977" i="6"/>
  <c r="Q977" i="6" s="1"/>
  <c r="S977" i="6"/>
  <c r="T977" i="6"/>
  <c r="B978" i="6"/>
  <c r="C978" i="6"/>
  <c r="D978" i="6"/>
  <c r="E978" i="6"/>
  <c r="F978" i="6"/>
  <c r="H978" i="6"/>
  <c r="I978" i="6"/>
  <c r="N978" i="6"/>
  <c r="Q978" i="6"/>
  <c r="S978" i="6" s="1"/>
  <c r="R978" i="6"/>
  <c r="T978" i="6"/>
  <c r="B979" i="6"/>
  <c r="C979" i="6"/>
  <c r="D979" i="6"/>
  <c r="E979" i="6"/>
  <c r="F979" i="6"/>
  <c r="H979" i="6"/>
  <c r="I979" i="6"/>
  <c r="N979" i="6"/>
  <c r="R979" i="6"/>
  <c r="Q979" i="6" s="1"/>
  <c r="S979" i="6" s="1"/>
  <c r="T979" i="6"/>
  <c r="B980" i="6"/>
  <c r="C980" i="6"/>
  <c r="D980" i="6"/>
  <c r="E980" i="6"/>
  <c r="F980" i="6"/>
  <c r="H980" i="6"/>
  <c r="L980" i="6" s="1"/>
  <c r="I980" i="6"/>
  <c r="N980" i="6"/>
  <c r="R980" i="6"/>
  <c r="Q980" i="6" s="1"/>
  <c r="S980" i="6" s="1"/>
  <c r="T980" i="6"/>
  <c r="B981" i="6"/>
  <c r="C981" i="6"/>
  <c r="D981" i="6"/>
  <c r="E981" i="6"/>
  <c r="F981" i="6"/>
  <c r="H981" i="6"/>
  <c r="I981" i="6"/>
  <c r="N981" i="6"/>
  <c r="R981" i="6"/>
  <c r="Q981" i="6" s="1"/>
  <c r="S981" i="6" s="1"/>
  <c r="T981" i="6"/>
  <c r="B982" i="6"/>
  <c r="C982" i="6"/>
  <c r="L982" i="6" s="1"/>
  <c r="D982" i="6"/>
  <c r="E982" i="6"/>
  <c r="F982" i="6"/>
  <c r="H982" i="6"/>
  <c r="I982" i="6"/>
  <c r="N982" i="6"/>
  <c r="R982" i="6"/>
  <c r="Q982" i="6" s="1"/>
  <c r="S982" i="6" s="1"/>
  <c r="T982" i="6"/>
  <c r="B983" i="6"/>
  <c r="C983" i="6"/>
  <c r="D983" i="6"/>
  <c r="E983" i="6"/>
  <c r="F983" i="6"/>
  <c r="L983" i="6" s="1"/>
  <c r="H983" i="6"/>
  <c r="I983" i="6"/>
  <c r="N983" i="6"/>
  <c r="R983" i="6"/>
  <c r="Q983" i="6" s="1"/>
  <c r="S983" i="6" s="1"/>
  <c r="T983" i="6"/>
  <c r="B984" i="6"/>
  <c r="C984" i="6"/>
  <c r="D984" i="6"/>
  <c r="E984" i="6"/>
  <c r="F984" i="6"/>
  <c r="H984" i="6"/>
  <c r="I984" i="6"/>
  <c r="L984" i="6"/>
  <c r="N984" i="6"/>
  <c r="R984" i="6"/>
  <c r="Q984" i="6" s="1"/>
  <c r="S984" i="6" s="1"/>
  <c r="T984" i="6"/>
  <c r="B985" i="6"/>
  <c r="C985" i="6"/>
  <c r="D985" i="6"/>
  <c r="E985" i="6"/>
  <c r="F985" i="6"/>
  <c r="H985" i="6"/>
  <c r="I985" i="6"/>
  <c r="N985" i="6"/>
  <c r="R985" i="6"/>
  <c r="Q985" i="6" s="1"/>
  <c r="S985" i="6"/>
  <c r="T985" i="6"/>
  <c r="B986" i="6"/>
  <c r="C986" i="6"/>
  <c r="L986" i="6" s="1"/>
  <c r="D986" i="6"/>
  <c r="E986" i="6"/>
  <c r="F986" i="6"/>
  <c r="H986" i="6"/>
  <c r="I986" i="6"/>
  <c r="N986" i="6"/>
  <c r="Q986" i="6"/>
  <c r="S986" i="6" s="1"/>
  <c r="R986" i="6"/>
  <c r="T986" i="6"/>
  <c r="B987" i="6"/>
  <c r="C987" i="6"/>
  <c r="D987" i="6"/>
  <c r="E987" i="6"/>
  <c r="F987" i="6"/>
  <c r="H987" i="6"/>
  <c r="I987" i="6"/>
  <c r="N987" i="6"/>
  <c r="Q987" i="6"/>
  <c r="R987" i="6"/>
  <c r="S987" i="6"/>
  <c r="T987" i="6"/>
  <c r="B988" i="6"/>
  <c r="C988" i="6"/>
  <c r="D988" i="6"/>
  <c r="E988" i="6"/>
  <c r="F988" i="6"/>
  <c r="H988" i="6"/>
  <c r="I988" i="6"/>
  <c r="L988" i="6"/>
  <c r="N988" i="6"/>
  <c r="R988" i="6"/>
  <c r="Q988" i="6" s="1"/>
  <c r="S988" i="6" s="1"/>
  <c r="T988" i="6"/>
  <c r="B989" i="6"/>
  <c r="C989" i="6"/>
  <c r="D989" i="6"/>
  <c r="E989" i="6"/>
  <c r="F989" i="6"/>
  <c r="H989" i="6"/>
  <c r="I989" i="6"/>
  <c r="N989" i="6"/>
  <c r="R989" i="6"/>
  <c r="Q989" i="6" s="1"/>
  <c r="S989" i="6" s="1"/>
  <c r="T989" i="6"/>
  <c r="B990" i="6"/>
  <c r="C990" i="6"/>
  <c r="D990" i="6"/>
  <c r="E990" i="6"/>
  <c r="F990" i="6"/>
  <c r="H990" i="6"/>
  <c r="I990" i="6"/>
  <c r="N990" i="6"/>
  <c r="R990" i="6"/>
  <c r="Q990" i="6" s="1"/>
  <c r="S990" i="6" s="1"/>
  <c r="T990" i="6"/>
  <c r="B991" i="6"/>
  <c r="C991" i="6"/>
  <c r="D991" i="6"/>
  <c r="E991" i="6"/>
  <c r="F991" i="6"/>
  <c r="H991" i="6"/>
  <c r="I991" i="6"/>
  <c r="N991" i="6"/>
  <c r="R991" i="6"/>
  <c r="Q991" i="6" s="1"/>
  <c r="S991" i="6" s="1"/>
  <c r="T991" i="6"/>
  <c r="B992" i="6"/>
  <c r="C992" i="6"/>
  <c r="D992" i="6"/>
  <c r="E992" i="6"/>
  <c r="F992" i="6"/>
  <c r="H992" i="6"/>
  <c r="I992" i="6"/>
  <c r="L992" i="6"/>
  <c r="N992" i="6"/>
  <c r="Q992" i="6"/>
  <c r="S992" i="6" s="1"/>
  <c r="R992" i="6"/>
  <c r="T992" i="6"/>
  <c r="B993" i="6"/>
  <c r="C993" i="6"/>
  <c r="D993" i="6"/>
  <c r="E993" i="6"/>
  <c r="F993" i="6"/>
  <c r="H993" i="6"/>
  <c r="I993" i="6"/>
  <c r="N993" i="6"/>
  <c r="R993" i="6"/>
  <c r="Q993" i="6" s="1"/>
  <c r="S993" i="6" s="1"/>
  <c r="T993" i="6"/>
  <c r="B994" i="6"/>
  <c r="C994" i="6"/>
  <c r="D994" i="6"/>
  <c r="E994" i="6"/>
  <c r="F994" i="6"/>
  <c r="H994" i="6"/>
  <c r="I994" i="6"/>
  <c r="L994" i="6"/>
  <c r="N994" i="6"/>
  <c r="Q994" i="6"/>
  <c r="S994" i="6" s="1"/>
  <c r="R994" i="6"/>
  <c r="T994" i="6"/>
  <c r="B995" i="6"/>
  <c r="C995" i="6"/>
  <c r="D995" i="6"/>
  <c r="E995" i="6"/>
  <c r="F995" i="6"/>
  <c r="H995" i="6"/>
  <c r="I995" i="6"/>
  <c r="N995" i="6"/>
  <c r="Q995" i="6"/>
  <c r="S995" i="6" s="1"/>
  <c r="R995" i="6"/>
  <c r="T995" i="6"/>
  <c r="B996" i="6"/>
  <c r="C996" i="6"/>
  <c r="D996" i="6"/>
  <c r="E996" i="6"/>
  <c r="F996" i="6"/>
  <c r="H996" i="6"/>
  <c r="I996" i="6"/>
  <c r="L996" i="6"/>
  <c r="N996" i="6"/>
  <c r="R996" i="6"/>
  <c r="Q996" i="6" s="1"/>
  <c r="S996" i="6" s="1"/>
  <c r="T996" i="6"/>
  <c r="B997" i="6"/>
  <c r="C997" i="6"/>
  <c r="D997" i="6"/>
  <c r="E997" i="6"/>
  <c r="F997" i="6"/>
  <c r="H997" i="6"/>
  <c r="I997" i="6"/>
  <c r="L997" i="6"/>
  <c r="N997" i="6"/>
  <c r="Q997" i="6"/>
  <c r="S997" i="6" s="1"/>
  <c r="R997" i="6"/>
  <c r="T997" i="6"/>
  <c r="B998" i="6"/>
  <c r="C998" i="6"/>
  <c r="D998" i="6"/>
  <c r="E998" i="6"/>
  <c r="F998" i="6"/>
  <c r="H998" i="6"/>
  <c r="I998" i="6"/>
  <c r="N998" i="6"/>
  <c r="R998" i="6"/>
  <c r="Q998" i="6" s="1"/>
  <c r="S998" i="6" s="1"/>
  <c r="T998" i="6"/>
  <c r="B999" i="6"/>
  <c r="C999" i="6"/>
  <c r="D999" i="6"/>
  <c r="E999" i="6"/>
  <c r="F999" i="6"/>
  <c r="L999" i="6" s="1"/>
  <c r="H999" i="6"/>
  <c r="I999" i="6"/>
  <c r="N999" i="6"/>
  <c r="R999" i="6"/>
  <c r="Q999" i="6" s="1"/>
  <c r="S999" i="6" s="1"/>
  <c r="T999" i="6"/>
  <c r="B1000" i="6"/>
  <c r="C1000" i="6"/>
  <c r="L1000" i="6" s="1"/>
  <c r="D1000" i="6"/>
  <c r="E1000" i="6"/>
  <c r="F1000" i="6"/>
  <c r="H1000" i="6"/>
  <c r="I1000" i="6"/>
  <c r="N1000" i="6"/>
  <c r="R1000" i="6"/>
  <c r="Q1000" i="6" s="1"/>
  <c r="S1000" i="6" s="1"/>
  <c r="T1000" i="6"/>
  <c r="B1001" i="6"/>
  <c r="C1001" i="6"/>
  <c r="D1001" i="6"/>
  <c r="E1001" i="6"/>
  <c r="F1001" i="6"/>
  <c r="H1001" i="6"/>
  <c r="I1001" i="6"/>
  <c r="N1001" i="6"/>
  <c r="R1001" i="6"/>
  <c r="Q1001" i="6" s="1"/>
  <c r="S1001" i="6" s="1"/>
  <c r="T1001" i="6"/>
  <c r="B1002" i="6"/>
  <c r="C1002" i="6"/>
  <c r="L1002" i="6" s="1"/>
  <c r="D1002" i="6"/>
  <c r="E1002" i="6"/>
  <c r="F1002" i="6"/>
  <c r="H1002" i="6"/>
  <c r="I1002" i="6"/>
  <c r="N1002" i="6"/>
  <c r="Q1002" i="6"/>
  <c r="S1002" i="6" s="1"/>
  <c r="R1002" i="6"/>
  <c r="T1002" i="6"/>
  <c r="B1003" i="6"/>
  <c r="C1003" i="6"/>
  <c r="D1003" i="6"/>
  <c r="E1003" i="6"/>
  <c r="F1003" i="6"/>
  <c r="H1003" i="6"/>
  <c r="I1003" i="6"/>
  <c r="N1003" i="6"/>
  <c r="Q1003" i="6"/>
  <c r="S1003" i="6" s="1"/>
  <c r="R1003" i="6"/>
  <c r="T1003" i="6"/>
  <c r="B1004" i="6"/>
  <c r="C1004" i="6"/>
  <c r="D1004" i="6"/>
  <c r="E1004" i="6"/>
  <c r="F1004" i="6"/>
  <c r="H1004" i="6"/>
  <c r="I1004" i="6"/>
  <c r="N1004" i="6"/>
  <c r="R1004" i="6"/>
  <c r="Q1004" i="6" s="1"/>
  <c r="T1004" i="6"/>
  <c r="B1005" i="6"/>
  <c r="C1005" i="6"/>
  <c r="D1005" i="6"/>
  <c r="E1005" i="6"/>
  <c r="F1005" i="6"/>
  <c r="H1005" i="6"/>
  <c r="I1005" i="6"/>
  <c r="L1005" i="6"/>
  <c r="N1005" i="6"/>
  <c r="Q1005" i="6"/>
  <c r="S1005" i="6" s="1"/>
  <c r="R1005" i="6"/>
  <c r="T1005" i="6"/>
  <c r="B1006" i="6"/>
  <c r="C1006" i="6"/>
  <c r="L1006" i="6" s="1"/>
  <c r="D1006" i="6"/>
  <c r="E1006" i="6"/>
  <c r="F1006" i="6"/>
  <c r="H1006" i="6"/>
  <c r="I1006" i="6"/>
  <c r="N1006" i="6"/>
  <c r="R1006" i="6"/>
  <c r="Q1006" i="6" s="1"/>
  <c r="S1006" i="6" s="1"/>
  <c r="T1006" i="6"/>
  <c r="B1007" i="6"/>
  <c r="C1007" i="6"/>
  <c r="D1007" i="6"/>
  <c r="E1007" i="6"/>
  <c r="F1007" i="6"/>
  <c r="H1007" i="6"/>
  <c r="L1007" i="6" s="1"/>
  <c r="I1007" i="6"/>
  <c r="N1007" i="6"/>
  <c r="R1007" i="6"/>
  <c r="Q1007" i="6" s="1"/>
  <c r="S1007" i="6" s="1"/>
  <c r="T1007" i="6"/>
  <c r="B1008" i="6"/>
  <c r="C1008" i="6"/>
  <c r="D1008" i="6"/>
  <c r="E1008" i="6"/>
  <c r="F1008" i="6"/>
  <c r="H1008" i="6"/>
  <c r="I1008" i="6"/>
  <c r="N1008" i="6"/>
  <c r="Q1008" i="6"/>
  <c r="R1008" i="6"/>
  <c r="S1008" i="6"/>
  <c r="T1008" i="6"/>
  <c r="B1009" i="6"/>
  <c r="C1009" i="6"/>
  <c r="D1009" i="6"/>
  <c r="E1009" i="6"/>
  <c r="F1009" i="6"/>
  <c r="H1009" i="6"/>
  <c r="I1009" i="6"/>
  <c r="N1009" i="6"/>
  <c r="R1009" i="6"/>
  <c r="Q1009" i="6" s="1"/>
  <c r="S1009" i="6" s="1"/>
  <c r="T1009" i="6"/>
  <c r="B1010" i="6"/>
  <c r="C1010" i="6"/>
  <c r="L1010" i="6" s="1"/>
  <c r="D1010" i="6"/>
  <c r="E1010" i="6"/>
  <c r="F1010" i="6"/>
  <c r="H1010" i="6"/>
  <c r="I1010" i="6"/>
  <c r="N1010" i="6"/>
  <c r="Q1010" i="6"/>
  <c r="S1010" i="6" s="1"/>
  <c r="R1010" i="6"/>
  <c r="T1010" i="6"/>
  <c r="B1011" i="6"/>
  <c r="C1011" i="6"/>
  <c r="L1011" i="6" s="1"/>
  <c r="D1011" i="6"/>
  <c r="E1011" i="6"/>
  <c r="F1011" i="6"/>
  <c r="H1011" i="6"/>
  <c r="I1011" i="6"/>
  <c r="N1011" i="6"/>
  <c r="R1011" i="6"/>
  <c r="Q1011" i="6" s="1"/>
  <c r="S1011" i="6" s="1"/>
  <c r="T1011" i="6"/>
  <c r="B1012" i="6"/>
  <c r="C1012" i="6"/>
  <c r="D1012" i="6"/>
  <c r="E1012" i="6"/>
  <c r="L1012" i="6" s="1"/>
  <c r="F1012" i="6"/>
  <c r="H1012" i="6"/>
  <c r="I1012" i="6"/>
  <c r="N1012" i="6"/>
  <c r="R1012" i="6"/>
  <c r="Q1012" i="6" s="1"/>
  <c r="S1012" i="6"/>
  <c r="T1012" i="6"/>
  <c r="B1013" i="6"/>
  <c r="C1013" i="6"/>
  <c r="D1013" i="6"/>
  <c r="E1013" i="6"/>
  <c r="F1013" i="6"/>
  <c r="H1013" i="6"/>
  <c r="I1013" i="6"/>
  <c r="L1013" i="6"/>
  <c r="N1013" i="6"/>
  <c r="Q1013" i="6"/>
  <c r="S1013" i="6" s="1"/>
  <c r="R1013" i="6"/>
  <c r="T1013" i="6"/>
  <c r="B1014" i="6"/>
  <c r="C1014" i="6"/>
  <c r="D1014" i="6"/>
  <c r="E1014" i="6"/>
  <c r="F1014" i="6"/>
  <c r="H1014" i="6"/>
  <c r="I1014" i="6"/>
  <c r="N1014" i="6"/>
  <c r="R1014" i="6"/>
  <c r="Q1014" i="6" s="1"/>
  <c r="S1014" i="6"/>
  <c r="T1014" i="6"/>
  <c r="B1015" i="6"/>
  <c r="C1015" i="6"/>
  <c r="D1015" i="6"/>
  <c r="E1015" i="6"/>
  <c r="F1015" i="6"/>
  <c r="H1015" i="6"/>
  <c r="I1015" i="6"/>
  <c r="L1015" i="6"/>
  <c r="N1015" i="6"/>
  <c r="R1015" i="6"/>
  <c r="Q1015" i="6" s="1"/>
  <c r="S1015" i="6" s="1"/>
  <c r="T1015" i="6"/>
  <c r="B1016" i="6"/>
  <c r="C1016" i="6"/>
  <c r="D1016" i="6"/>
  <c r="E1016" i="6"/>
  <c r="F1016" i="6"/>
  <c r="H1016" i="6"/>
  <c r="I1016" i="6"/>
  <c r="N1016" i="6"/>
  <c r="R1016" i="6"/>
  <c r="Q1016" i="6" s="1"/>
  <c r="S1016" i="6"/>
  <c r="T1016" i="6"/>
  <c r="B1017" i="6"/>
  <c r="C1017" i="6"/>
  <c r="L1017" i="6" s="1"/>
  <c r="D1017" i="6"/>
  <c r="E1017" i="6"/>
  <c r="F1017" i="6"/>
  <c r="H1017" i="6"/>
  <c r="I1017" i="6"/>
  <c r="N1017" i="6"/>
  <c r="R1017" i="6"/>
  <c r="Q1017" i="6" s="1"/>
  <c r="S1017" i="6"/>
  <c r="T1017" i="6"/>
  <c r="B1018" i="6"/>
  <c r="C1018" i="6"/>
  <c r="D1018" i="6"/>
  <c r="E1018" i="6"/>
  <c r="F1018" i="6"/>
  <c r="H1018" i="6"/>
  <c r="I1018" i="6"/>
  <c r="N1018" i="6"/>
  <c r="Q1018" i="6"/>
  <c r="S1018" i="6" s="1"/>
  <c r="R1018" i="6"/>
  <c r="T1018" i="6"/>
  <c r="B1019" i="6"/>
  <c r="C1019" i="6"/>
  <c r="D1019" i="6"/>
  <c r="E1019" i="6"/>
  <c r="F1019" i="6"/>
  <c r="H1019" i="6"/>
  <c r="I1019" i="6"/>
  <c r="N1019" i="6"/>
  <c r="Q1019" i="6"/>
  <c r="S1019" i="6" s="1"/>
  <c r="R1019" i="6"/>
  <c r="T1019" i="6"/>
  <c r="B1020" i="6"/>
  <c r="C1020" i="6"/>
  <c r="D1020" i="6"/>
  <c r="E1020" i="6"/>
  <c r="F1020" i="6"/>
  <c r="H1020" i="6"/>
  <c r="I1020" i="6"/>
  <c r="N1020" i="6"/>
  <c r="R1020" i="6"/>
  <c r="Q1020" i="6" s="1"/>
  <c r="S1020" i="6"/>
  <c r="T1020" i="6"/>
  <c r="B1021" i="6"/>
  <c r="C1021" i="6"/>
  <c r="D1021" i="6"/>
  <c r="E1021" i="6"/>
  <c r="F1021" i="6"/>
  <c r="H1021" i="6"/>
  <c r="I1021" i="6"/>
  <c r="L1021" i="6"/>
  <c r="N1021" i="6"/>
  <c r="Q1021" i="6"/>
  <c r="S1021" i="6" s="1"/>
  <c r="R1021" i="6"/>
  <c r="T1021" i="6"/>
  <c r="B1022" i="6"/>
  <c r="C1022" i="6"/>
  <c r="D1022" i="6"/>
  <c r="E1022" i="6"/>
  <c r="F1022" i="6"/>
  <c r="H1022" i="6"/>
  <c r="I1022" i="6"/>
  <c r="N1022" i="6"/>
  <c r="Q1022" i="6"/>
  <c r="R1022" i="6"/>
  <c r="S1022" i="6"/>
  <c r="T1022" i="6"/>
  <c r="B1023" i="6"/>
  <c r="C1023" i="6"/>
  <c r="D1023" i="6"/>
  <c r="E1023" i="6"/>
  <c r="F1023" i="6"/>
  <c r="H1023" i="6"/>
  <c r="I1023" i="6"/>
  <c r="L1023" i="6"/>
  <c r="N1023" i="6"/>
  <c r="R1023" i="6"/>
  <c r="Q1023" i="6" s="1"/>
  <c r="S1023" i="6" s="1"/>
  <c r="T1023" i="6"/>
  <c r="B1024" i="6"/>
  <c r="C1024" i="6"/>
  <c r="D1024" i="6"/>
  <c r="E1024" i="6"/>
  <c r="L1024" i="6" s="1"/>
  <c r="F1024" i="6"/>
  <c r="H1024" i="6"/>
  <c r="I1024" i="6"/>
  <c r="N1024" i="6"/>
  <c r="Q1024" i="6"/>
  <c r="R1024" i="6"/>
  <c r="S1024" i="6"/>
  <c r="T1024" i="6"/>
  <c r="B1025" i="6"/>
  <c r="C1025" i="6"/>
  <c r="L1025" i="6" s="1"/>
  <c r="D1025" i="6"/>
  <c r="E1025" i="6"/>
  <c r="F1025" i="6"/>
  <c r="H1025" i="6"/>
  <c r="I1025" i="6"/>
  <c r="N1025" i="6"/>
  <c r="R1025" i="6"/>
  <c r="Q1025" i="6" s="1"/>
  <c r="S1025" i="6"/>
  <c r="T1025" i="6"/>
  <c r="B1026" i="6"/>
  <c r="C1026" i="6"/>
  <c r="D1026" i="6"/>
  <c r="E1026" i="6"/>
  <c r="F1026" i="6"/>
  <c r="H1026" i="6"/>
  <c r="L1026" i="6" s="1"/>
  <c r="I1026" i="6"/>
  <c r="N1026" i="6"/>
  <c r="Q1026" i="6"/>
  <c r="S1026" i="6" s="1"/>
  <c r="R1026" i="6"/>
  <c r="T1026" i="6"/>
  <c r="B1027" i="6"/>
  <c r="C1027" i="6"/>
  <c r="D1027" i="6"/>
  <c r="E1027" i="6"/>
  <c r="F1027" i="6"/>
  <c r="H1027" i="6"/>
  <c r="I1027" i="6"/>
  <c r="N1027" i="6"/>
  <c r="Q1027" i="6"/>
  <c r="R1027" i="6"/>
  <c r="S1027" i="6"/>
  <c r="T1027" i="6"/>
  <c r="B1028" i="6"/>
  <c r="C1028" i="6"/>
  <c r="D1028" i="6"/>
  <c r="E1028" i="6"/>
  <c r="F1028" i="6"/>
  <c r="H1028" i="6"/>
  <c r="I1028" i="6"/>
  <c r="N1028" i="6"/>
  <c r="R1028" i="6"/>
  <c r="Q1028" i="6" s="1"/>
  <c r="S1028" i="6" s="1"/>
  <c r="T1028" i="6"/>
  <c r="B1029" i="6"/>
  <c r="C1029" i="6"/>
  <c r="L1029" i="6" s="1"/>
  <c r="D1029" i="6"/>
  <c r="E1029" i="6"/>
  <c r="F1029" i="6"/>
  <c r="H1029" i="6"/>
  <c r="I1029" i="6"/>
  <c r="N1029" i="6"/>
  <c r="Q1029" i="6"/>
  <c r="S1029" i="6" s="1"/>
  <c r="R1029" i="6"/>
  <c r="T1029" i="6"/>
  <c r="B1030" i="6"/>
  <c r="C1030" i="6"/>
  <c r="D1030" i="6"/>
  <c r="E1030" i="6"/>
  <c r="F1030" i="6"/>
  <c r="H1030" i="6"/>
  <c r="I1030" i="6"/>
  <c r="N1030" i="6"/>
  <c r="Q1030" i="6"/>
  <c r="S1030" i="6" s="1"/>
  <c r="R1030" i="6"/>
  <c r="T1030" i="6"/>
  <c r="B1031" i="6"/>
  <c r="C1031" i="6"/>
  <c r="D1031" i="6"/>
  <c r="E1031" i="6"/>
  <c r="F1031" i="6"/>
  <c r="H1031" i="6"/>
  <c r="I1031" i="6"/>
  <c r="L1031" i="6"/>
  <c r="N1031" i="6"/>
  <c r="R1031" i="6"/>
  <c r="Q1031" i="6" s="1"/>
  <c r="S1031" i="6" s="1"/>
  <c r="T1031" i="6"/>
  <c r="B1032" i="6"/>
  <c r="C1032" i="6"/>
  <c r="D1032" i="6"/>
  <c r="E1032" i="6"/>
  <c r="F1032" i="6"/>
  <c r="H1032" i="6"/>
  <c r="I1032" i="6"/>
  <c r="L1032" i="6"/>
  <c r="N1032" i="6"/>
  <c r="Q1032" i="6"/>
  <c r="S1032" i="6" s="1"/>
  <c r="R1032" i="6"/>
  <c r="T1032" i="6"/>
  <c r="B1033" i="6"/>
  <c r="C1033" i="6"/>
  <c r="D1033" i="6"/>
  <c r="E1033" i="6"/>
  <c r="F1033" i="6"/>
  <c r="H1033" i="6"/>
  <c r="I1033" i="6"/>
  <c r="N1033" i="6"/>
  <c r="R1033" i="6"/>
  <c r="Q1033" i="6" s="1"/>
  <c r="S1033" i="6"/>
  <c r="T1033" i="6"/>
  <c r="B1034" i="6"/>
  <c r="C1034" i="6"/>
  <c r="D1034" i="6"/>
  <c r="E1034" i="6"/>
  <c r="F1034" i="6"/>
  <c r="H1034" i="6"/>
  <c r="I1034" i="6"/>
  <c r="L1034" i="6"/>
  <c r="N1034" i="6"/>
  <c r="Q1034" i="6"/>
  <c r="S1034" i="6" s="1"/>
  <c r="R1034" i="6"/>
  <c r="T1034" i="6"/>
  <c r="B1035" i="6"/>
  <c r="C1035" i="6"/>
  <c r="D1035" i="6"/>
  <c r="E1035" i="6"/>
  <c r="F1035" i="6"/>
  <c r="H1035" i="6"/>
  <c r="I1035" i="6"/>
  <c r="N1035" i="6"/>
  <c r="R1035" i="6"/>
  <c r="Q1035" i="6" s="1"/>
  <c r="S1035" i="6" s="1"/>
  <c r="T1035" i="6"/>
  <c r="B1036" i="6"/>
  <c r="C1036" i="6"/>
  <c r="D1036" i="6"/>
  <c r="E1036" i="6"/>
  <c r="F1036" i="6"/>
  <c r="H1036" i="6"/>
  <c r="L1036" i="6" s="1"/>
  <c r="I1036" i="6"/>
  <c r="N1036" i="6"/>
  <c r="R1036" i="6"/>
  <c r="Q1036" i="6" s="1"/>
  <c r="S1036" i="6" s="1"/>
  <c r="T1036" i="6"/>
  <c r="B1037" i="6"/>
  <c r="C1037" i="6"/>
  <c r="D1037" i="6"/>
  <c r="E1037" i="6"/>
  <c r="F1037" i="6"/>
  <c r="H1037" i="6"/>
  <c r="I1037" i="6"/>
  <c r="N1037" i="6"/>
  <c r="R1037" i="6"/>
  <c r="Q1037" i="6" s="1"/>
  <c r="S1037" i="6" s="1"/>
  <c r="T1037" i="6"/>
  <c r="B1038" i="6"/>
  <c r="C1038" i="6"/>
  <c r="D1038" i="6"/>
  <c r="E1038" i="6"/>
  <c r="F1038" i="6"/>
  <c r="H1038" i="6"/>
  <c r="I1038" i="6"/>
  <c r="N1038" i="6"/>
  <c r="Q1038" i="6"/>
  <c r="S1038" i="6" s="1"/>
  <c r="R1038" i="6"/>
  <c r="T1038" i="6"/>
  <c r="B1039" i="6"/>
  <c r="C1039" i="6"/>
  <c r="D1039" i="6"/>
  <c r="E1039" i="6"/>
  <c r="F1039" i="6"/>
  <c r="L1039" i="6" s="1"/>
  <c r="H1039" i="6"/>
  <c r="I1039" i="6"/>
  <c r="N1039" i="6"/>
  <c r="R1039" i="6"/>
  <c r="Q1039" i="6" s="1"/>
  <c r="S1039" i="6" s="1"/>
  <c r="T1039" i="6"/>
  <c r="B1040" i="6"/>
  <c r="C1040" i="6"/>
  <c r="D1040" i="6"/>
  <c r="E1040" i="6"/>
  <c r="F1040" i="6"/>
  <c r="H1040" i="6"/>
  <c r="I1040" i="6"/>
  <c r="L1040" i="6"/>
  <c r="N1040" i="6"/>
  <c r="Q1040" i="6"/>
  <c r="S1040" i="6" s="1"/>
  <c r="R1040" i="6"/>
  <c r="T1040" i="6"/>
  <c r="B1041" i="6"/>
  <c r="C1041" i="6"/>
  <c r="D1041" i="6"/>
  <c r="E1041" i="6"/>
  <c r="F1041" i="6"/>
  <c r="H1041" i="6"/>
  <c r="I1041" i="6"/>
  <c r="N1041" i="6"/>
  <c r="R1041" i="6"/>
  <c r="Q1041" i="6" s="1"/>
  <c r="S1041" i="6"/>
  <c r="T1041" i="6"/>
  <c r="B1042" i="6"/>
  <c r="C1042" i="6"/>
  <c r="D1042" i="6"/>
  <c r="E1042" i="6"/>
  <c r="F1042" i="6"/>
  <c r="H1042" i="6"/>
  <c r="I1042" i="6"/>
  <c r="N1042" i="6"/>
  <c r="Q1042" i="6"/>
  <c r="S1042" i="6" s="1"/>
  <c r="R1042" i="6"/>
  <c r="T1042" i="6"/>
  <c r="B1043" i="6"/>
  <c r="C1043" i="6"/>
  <c r="L1043" i="6" s="1"/>
  <c r="D1043" i="6"/>
  <c r="E1043" i="6"/>
  <c r="F1043" i="6"/>
  <c r="H1043" i="6"/>
  <c r="I1043" i="6"/>
  <c r="N1043" i="6"/>
  <c r="R1043" i="6"/>
  <c r="Q1043" i="6" s="1"/>
  <c r="S1043" i="6"/>
  <c r="T1043" i="6"/>
  <c r="B1044" i="6"/>
  <c r="C1044" i="6"/>
  <c r="D1044" i="6"/>
  <c r="E1044" i="6"/>
  <c r="F1044" i="6"/>
  <c r="H1044" i="6"/>
  <c r="I1044" i="6"/>
  <c r="N1044" i="6"/>
  <c r="R1044" i="6"/>
  <c r="Q1044" i="6" s="1"/>
  <c r="S1044" i="6" s="1"/>
  <c r="T1044" i="6"/>
  <c r="B1045" i="6"/>
  <c r="C1045" i="6"/>
  <c r="L1045" i="6" s="1"/>
  <c r="D1045" i="6"/>
  <c r="E1045" i="6"/>
  <c r="F1045" i="6"/>
  <c r="H1045" i="6"/>
  <c r="I1045" i="6"/>
  <c r="N1045" i="6"/>
  <c r="R1045" i="6"/>
  <c r="Q1045" i="6" s="1"/>
  <c r="S1045" i="6" s="1"/>
  <c r="T1045" i="6"/>
  <c r="B1046" i="6"/>
  <c r="C1046" i="6"/>
  <c r="L1046" i="6" s="1"/>
  <c r="D1046" i="6"/>
  <c r="E1046" i="6"/>
  <c r="F1046" i="6"/>
  <c r="H1046" i="6"/>
  <c r="I1046" i="6"/>
  <c r="N1046" i="6"/>
  <c r="R1046" i="6"/>
  <c r="Q1046" i="6" s="1"/>
  <c r="S1046" i="6" s="1"/>
  <c r="T1046" i="6"/>
  <c r="B1047" i="6"/>
  <c r="C1047" i="6"/>
  <c r="D1047" i="6"/>
  <c r="E1047" i="6"/>
  <c r="F1047" i="6"/>
  <c r="L1047" i="6" s="1"/>
  <c r="H1047" i="6"/>
  <c r="I1047" i="6"/>
  <c r="N1047" i="6"/>
  <c r="R1047" i="6"/>
  <c r="Q1047" i="6" s="1"/>
  <c r="S1047" i="6" s="1"/>
  <c r="T1047" i="6"/>
  <c r="B1048" i="6"/>
  <c r="C1048" i="6"/>
  <c r="D1048" i="6"/>
  <c r="E1048" i="6"/>
  <c r="F1048" i="6"/>
  <c r="H1048" i="6"/>
  <c r="I1048" i="6"/>
  <c r="N1048" i="6"/>
  <c r="Q1048" i="6"/>
  <c r="S1048" i="6" s="1"/>
  <c r="R1048" i="6"/>
  <c r="T1048" i="6"/>
  <c r="B1049" i="6"/>
  <c r="C1049" i="6"/>
  <c r="D1049" i="6"/>
  <c r="E1049" i="6"/>
  <c r="F1049" i="6"/>
  <c r="H1049" i="6"/>
  <c r="I1049" i="6"/>
  <c r="N1049" i="6"/>
  <c r="R1049" i="6"/>
  <c r="Q1049" i="6" s="1"/>
  <c r="S1049" i="6"/>
  <c r="T1049" i="6"/>
  <c r="B1050" i="6"/>
  <c r="C1050" i="6"/>
  <c r="D1050" i="6"/>
  <c r="E1050" i="6"/>
  <c r="F1050" i="6"/>
  <c r="H1050" i="6"/>
  <c r="I1050" i="6"/>
  <c r="L1050" i="6"/>
  <c r="N1050" i="6"/>
  <c r="Q1050" i="6"/>
  <c r="S1050" i="6" s="1"/>
  <c r="R1050" i="6"/>
  <c r="T1050" i="6"/>
  <c r="B1051" i="6"/>
  <c r="C1051" i="6"/>
  <c r="D1051" i="6"/>
  <c r="E1051" i="6"/>
  <c r="F1051" i="6"/>
  <c r="H1051" i="6"/>
  <c r="I1051" i="6"/>
  <c r="N1051" i="6"/>
  <c r="Q1051" i="6"/>
  <c r="R1051" i="6"/>
  <c r="S1051" i="6"/>
  <c r="T1051" i="6"/>
  <c r="B1052" i="6"/>
  <c r="C1052" i="6"/>
  <c r="D1052" i="6"/>
  <c r="E1052" i="6"/>
  <c r="F1052" i="6"/>
  <c r="H1052" i="6"/>
  <c r="I1052" i="6"/>
  <c r="L1052" i="6"/>
  <c r="N1052" i="6"/>
  <c r="R1052" i="6"/>
  <c r="Q1052" i="6" s="1"/>
  <c r="S1052" i="6"/>
  <c r="T1052" i="6"/>
  <c r="B1053" i="6"/>
  <c r="C1053" i="6"/>
  <c r="D1053" i="6"/>
  <c r="E1053" i="6"/>
  <c r="F1053" i="6"/>
  <c r="H1053" i="6"/>
  <c r="I1053" i="6"/>
  <c r="N1053" i="6"/>
  <c r="R1053" i="6"/>
  <c r="Q1053" i="6" s="1"/>
  <c r="S1053" i="6" s="1"/>
  <c r="T1053" i="6"/>
  <c r="B1054" i="6"/>
  <c r="C1054" i="6"/>
  <c r="L1054" i="6" s="1"/>
  <c r="D1054" i="6"/>
  <c r="E1054" i="6"/>
  <c r="F1054" i="6"/>
  <c r="H1054" i="6"/>
  <c r="I1054" i="6"/>
  <c r="N1054" i="6"/>
  <c r="R1054" i="6"/>
  <c r="Q1054" i="6" s="1"/>
  <c r="S1054" i="6" s="1"/>
  <c r="T1054" i="6"/>
  <c r="B1055" i="6"/>
  <c r="C1055" i="6"/>
  <c r="D1055" i="6"/>
  <c r="E1055" i="6"/>
  <c r="F1055" i="6"/>
  <c r="H1055" i="6"/>
  <c r="I1055" i="6"/>
  <c r="N1055" i="6"/>
  <c r="R1055" i="6"/>
  <c r="Q1055" i="6" s="1"/>
  <c r="S1055" i="6" s="1"/>
  <c r="T1055" i="6"/>
  <c r="B1056" i="6"/>
  <c r="C1056" i="6"/>
  <c r="D1056" i="6"/>
  <c r="E1056" i="6"/>
  <c r="F1056" i="6"/>
  <c r="H1056" i="6"/>
  <c r="I1056" i="6"/>
  <c r="L1056" i="6"/>
  <c r="N1056" i="6"/>
  <c r="Q1056" i="6"/>
  <c r="R1056" i="6"/>
  <c r="S1056" i="6"/>
  <c r="T1056" i="6"/>
  <c r="B1057" i="6"/>
  <c r="C1057" i="6"/>
  <c r="D1057" i="6"/>
  <c r="E1057" i="6"/>
  <c r="F1057" i="6"/>
  <c r="H1057" i="6"/>
  <c r="I1057" i="6"/>
  <c r="N1057" i="6"/>
  <c r="R1057" i="6"/>
  <c r="Q1057" i="6" s="1"/>
  <c r="S1057" i="6" s="1"/>
  <c r="T1057" i="6"/>
  <c r="B1058" i="6"/>
  <c r="C1058" i="6"/>
  <c r="L1058" i="6" s="1"/>
  <c r="D1058" i="6"/>
  <c r="E1058" i="6"/>
  <c r="F1058" i="6"/>
  <c r="H1058" i="6"/>
  <c r="I1058" i="6"/>
  <c r="N1058" i="6"/>
  <c r="Q1058" i="6"/>
  <c r="R1058" i="6"/>
  <c r="T1058" i="6"/>
  <c r="B1059" i="6"/>
  <c r="C1059" i="6"/>
  <c r="D1059" i="6"/>
  <c r="E1059" i="6"/>
  <c r="F1059" i="6"/>
  <c r="H1059" i="6"/>
  <c r="I1059" i="6"/>
  <c r="N1059" i="6"/>
  <c r="Q1059" i="6"/>
  <c r="S1059" i="6" s="1"/>
  <c r="R1059" i="6"/>
  <c r="T1059" i="6"/>
  <c r="B1060" i="6"/>
  <c r="C1060" i="6"/>
  <c r="D1060" i="6"/>
  <c r="E1060" i="6"/>
  <c r="L1060" i="6" s="1"/>
  <c r="F1060" i="6"/>
  <c r="H1060" i="6"/>
  <c r="I1060" i="6"/>
  <c r="N1060" i="6"/>
  <c r="R1060" i="6"/>
  <c r="Q1060" i="6" s="1"/>
  <c r="S1060" i="6"/>
  <c r="T1060" i="6"/>
  <c r="B1061" i="6"/>
  <c r="C1061" i="6"/>
  <c r="D1061" i="6"/>
  <c r="E1061" i="6"/>
  <c r="F1061" i="6"/>
  <c r="H1061" i="6"/>
  <c r="I1061" i="6"/>
  <c r="L1061" i="6"/>
  <c r="N1061" i="6"/>
  <c r="Q1061" i="6"/>
  <c r="S1061" i="6" s="1"/>
  <c r="R1061" i="6"/>
  <c r="T1061" i="6"/>
  <c r="B1062" i="6"/>
  <c r="C1062" i="6"/>
  <c r="D1062" i="6"/>
  <c r="E1062" i="6"/>
  <c r="F1062" i="6"/>
  <c r="H1062" i="6"/>
  <c r="I1062" i="6"/>
  <c r="N1062" i="6"/>
  <c r="R1062" i="6"/>
  <c r="Q1062" i="6" s="1"/>
  <c r="S1062" i="6"/>
  <c r="T1062" i="6"/>
  <c r="B1063" i="6"/>
  <c r="C1063" i="6"/>
  <c r="D1063" i="6"/>
  <c r="E1063" i="6"/>
  <c r="F1063" i="6"/>
  <c r="H1063" i="6"/>
  <c r="I1063" i="6"/>
  <c r="L1063" i="6"/>
  <c r="N1063" i="6"/>
  <c r="R1063" i="6"/>
  <c r="Q1063" i="6" s="1"/>
  <c r="S1063" i="6" s="1"/>
  <c r="T1063" i="6"/>
  <c r="B1064" i="6"/>
  <c r="C1064" i="6"/>
  <c r="D1064" i="6"/>
  <c r="E1064" i="6"/>
  <c r="F1064" i="6"/>
  <c r="H1064" i="6"/>
  <c r="I1064" i="6"/>
  <c r="N1064" i="6"/>
  <c r="R1064" i="6"/>
  <c r="Q1064" i="6" s="1"/>
  <c r="S1064" i="6" s="1"/>
  <c r="T1064" i="6"/>
  <c r="B1065" i="6"/>
  <c r="C1065" i="6"/>
  <c r="D1065" i="6"/>
  <c r="E1065" i="6"/>
  <c r="F1065" i="6"/>
  <c r="H1065" i="6"/>
  <c r="I1065" i="6"/>
  <c r="N1065" i="6"/>
  <c r="R1065" i="6"/>
  <c r="Q1065" i="6" s="1"/>
  <c r="S1065" i="6" s="1"/>
  <c r="T1065" i="6"/>
  <c r="B1066" i="6"/>
  <c r="C1066" i="6"/>
  <c r="L1066" i="6" s="1"/>
  <c r="D1066" i="6"/>
  <c r="E1066" i="6"/>
  <c r="F1066" i="6"/>
  <c r="H1066" i="6"/>
  <c r="I1066" i="6"/>
  <c r="N1066" i="6"/>
  <c r="Q1066" i="6"/>
  <c r="S1066" i="6" s="1"/>
  <c r="R1066" i="6"/>
  <c r="T1066" i="6"/>
  <c r="B1067" i="6"/>
  <c r="C1067" i="6"/>
  <c r="D1067" i="6"/>
  <c r="E1067" i="6"/>
  <c r="F1067" i="6"/>
  <c r="H1067" i="6"/>
  <c r="I1067" i="6"/>
  <c r="N1067" i="6"/>
  <c r="Q1067" i="6"/>
  <c r="S1067" i="6" s="1"/>
  <c r="R1067" i="6"/>
  <c r="T1067" i="6"/>
  <c r="B1069" i="6"/>
  <c r="C1069" i="6"/>
  <c r="D1069" i="6"/>
  <c r="E1069" i="6"/>
  <c r="F1069" i="6"/>
  <c r="G1069" i="6"/>
  <c r="H1069" i="6"/>
  <c r="I1069" i="6"/>
  <c r="J1069" i="6"/>
  <c r="K1069" i="6"/>
  <c r="N1069" i="6"/>
  <c r="O1069" i="6"/>
  <c r="P1069" i="6"/>
  <c r="T1069" i="6"/>
  <c r="B1070" i="6"/>
  <c r="C1070" i="6"/>
  <c r="E1070" i="6"/>
  <c r="F1070" i="6"/>
  <c r="G1070" i="6"/>
  <c r="H1070" i="6"/>
  <c r="I1070" i="6"/>
  <c r="J1070" i="6"/>
  <c r="K1070" i="6"/>
  <c r="O1070" i="6"/>
  <c r="P1070" i="6"/>
  <c r="T1070" i="6"/>
  <c r="B1071" i="6"/>
  <c r="C1071" i="6"/>
  <c r="D1071" i="6"/>
  <c r="E1071" i="6"/>
  <c r="G1071" i="6"/>
  <c r="I1071" i="6"/>
  <c r="J1071" i="6"/>
  <c r="K1071" i="6"/>
  <c r="O1071" i="6"/>
  <c r="R1071" i="6"/>
  <c r="B1072" i="6"/>
  <c r="C1072" i="6"/>
  <c r="F1072" i="6"/>
  <c r="G1072" i="6"/>
  <c r="H1072" i="6"/>
  <c r="J1072" i="6"/>
  <c r="K1072" i="6"/>
  <c r="N1072" i="6"/>
  <c r="O1072" i="6"/>
  <c r="P1072" i="6"/>
  <c r="Q1072" i="6"/>
  <c r="R1072" i="6"/>
  <c r="S1072" i="6"/>
  <c r="T1072" i="6"/>
  <c r="B1073" i="6"/>
  <c r="C1073" i="6"/>
  <c r="D1073" i="6"/>
  <c r="E1073" i="6"/>
  <c r="F1073" i="6"/>
  <c r="G1073" i="6"/>
  <c r="H1073" i="6"/>
  <c r="I1073" i="6"/>
  <c r="J1073" i="6"/>
  <c r="K1073" i="6"/>
  <c r="M1073" i="6"/>
  <c r="N1073" i="6"/>
  <c r="O1073" i="6"/>
  <c r="P1073" i="6"/>
  <c r="Q1073" i="6"/>
  <c r="R1073" i="6"/>
  <c r="S1073" i="6"/>
  <c r="T1073" i="6"/>
  <c r="B1074" i="6"/>
  <c r="C1074" i="6"/>
  <c r="D1074" i="6"/>
  <c r="E1074" i="6"/>
  <c r="F1074" i="6"/>
  <c r="G1074" i="6"/>
  <c r="H1074" i="6"/>
  <c r="I1074" i="6"/>
  <c r="J1074" i="6"/>
  <c r="K1074" i="6"/>
  <c r="M1074" i="6"/>
  <c r="N1074" i="6"/>
  <c r="O1074" i="6"/>
  <c r="P1074" i="6"/>
  <c r="Q1074" i="6"/>
  <c r="R1074" i="6"/>
  <c r="T1074" i="6"/>
  <c r="B1075" i="6"/>
  <c r="C1075" i="6"/>
  <c r="D1075" i="6"/>
  <c r="F1075" i="6"/>
  <c r="G1075" i="6"/>
  <c r="H1075" i="6"/>
  <c r="J1075" i="6"/>
  <c r="K1075" i="6"/>
  <c r="M1075" i="6"/>
  <c r="N1075" i="6"/>
  <c r="O1075" i="6"/>
  <c r="P1075" i="6"/>
  <c r="B1076" i="6"/>
  <c r="C1076" i="6"/>
  <c r="D1076" i="6"/>
  <c r="E1076" i="6"/>
  <c r="F1076" i="6"/>
  <c r="G1076" i="6"/>
  <c r="H1076" i="6"/>
  <c r="I1076" i="6"/>
  <c r="J1076" i="6"/>
  <c r="K1076" i="6"/>
  <c r="M1076" i="6"/>
  <c r="N1076" i="6"/>
  <c r="O1076" i="6"/>
  <c r="P1076" i="6"/>
  <c r="Q1076" i="6"/>
  <c r="R1076" i="6"/>
  <c r="S1076" i="6"/>
  <c r="T1076" i="6"/>
  <c r="B1077" i="6"/>
  <c r="C1077" i="6"/>
  <c r="F1077" i="6"/>
  <c r="G1077" i="6"/>
  <c r="H1077" i="6"/>
  <c r="J1077" i="6"/>
  <c r="K1077" i="6"/>
  <c r="M1077" i="6"/>
  <c r="N1077" i="6"/>
  <c r="O1077" i="6"/>
  <c r="P1077" i="6"/>
  <c r="T1077" i="6"/>
  <c r="B1078" i="6"/>
  <c r="C1078" i="6"/>
  <c r="G1078" i="6"/>
  <c r="H1078" i="6"/>
  <c r="I1078" i="6"/>
  <c r="J1078" i="6"/>
  <c r="K1078" i="6"/>
  <c r="M1078" i="6"/>
  <c r="N1078" i="6"/>
  <c r="O1078" i="6"/>
  <c r="P1078" i="6"/>
  <c r="Q1078" i="6"/>
  <c r="R1078" i="6"/>
  <c r="T1078" i="6"/>
  <c r="B1079" i="6"/>
  <c r="C1079" i="6"/>
  <c r="E1079" i="6"/>
  <c r="F1079" i="6"/>
  <c r="G1079" i="6"/>
  <c r="H1079" i="6"/>
  <c r="I1079" i="6"/>
  <c r="J1079" i="6"/>
  <c r="K1079" i="6"/>
  <c r="M1079" i="6"/>
  <c r="N1079" i="6"/>
  <c r="O1079" i="6"/>
  <c r="P1079" i="6"/>
  <c r="T1079" i="6"/>
  <c r="B1080" i="6"/>
  <c r="C1080" i="6"/>
  <c r="D1080" i="6"/>
  <c r="G1080" i="6"/>
  <c r="H1080" i="6"/>
  <c r="I1080" i="6"/>
  <c r="J1080" i="6"/>
  <c r="K1080" i="6"/>
  <c r="M1080" i="6"/>
  <c r="O1080" i="6"/>
  <c r="P1080" i="6"/>
  <c r="Q1080" i="6"/>
  <c r="R1080" i="6"/>
  <c r="T1080" i="6"/>
  <c r="B1081" i="6"/>
  <c r="C1081" i="6"/>
  <c r="E1081" i="6"/>
  <c r="G1081" i="6"/>
  <c r="H1081" i="6"/>
  <c r="J1081" i="6"/>
  <c r="K1081" i="6"/>
  <c r="M1081" i="6"/>
  <c r="N1081" i="6"/>
  <c r="O1081" i="6"/>
  <c r="P1081" i="6"/>
  <c r="Q1081" i="6"/>
  <c r="R1081" i="6"/>
  <c r="S1081" i="6"/>
  <c r="T1081" i="6"/>
  <c r="B1082" i="6"/>
  <c r="C1082" i="6"/>
  <c r="E1082" i="6"/>
  <c r="F1082" i="6"/>
  <c r="G1082" i="6"/>
  <c r="H1082" i="6"/>
  <c r="I1082" i="6"/>
  <c r="J1082" i="6"/>
  <c r="K1082" i="6"/>
  <c r="M1082" i="6"/>
  <c r="N1082" i="6"/>
  <c r="O1082" i="6"/>
  <c r="P1082" i="6"/>
  <c r="Q1082" i="6"/>
  <c r="R1082" i="6"/>
  <c r="T1082" i="6"/>
  <c r="B1083" i="6"/>
  <c r="C1083" i="6"/>
  <c r="G1083" i="6"/>
  <c r="H1083" i="6"/>
  <c r="I1083" i="6"/>
  <c r="J1083" i="6"/>
  <c r="K1083" i="6"/>
  <c r="M1083" i="6"/>
  <c r="N1083" i="6"/>
  <c r="O1083" i="6"/>
  <c r="P1083" i="6"/>
  <c r="Q1083" i="6"/>
  <c r="R1083" i="6"/>
  <c r="T1083" i="6"/>
  <c r="B1084" i="6"/>
  <c r="D1084" i="6"/>
  <c r="E1084" i="6"/>
  <c r="F1084" i="6"/>
  <c r="G1084" i="6"/>
  <c r="H1084" i="6"/>
  <c r="I1084" i="6"/>
  <c r="J1084" i="6"/>
  <c r="K1084" i="6"/>
  <c r="M1084" i="6"/>
  <c r="N1084" i="6"/>
  <c r="O1084" i="6"/>
  <c r="P1084" i="6"/>
  <c r="T1084" i="6"/>
  <c r="B1085" i="6"/>
  <c r="C1085" i="6"/>
  <c r="D1085" i="6"/>
  <c r="E1085" i="6"/>
  <c r="F1085" i="6"/>
  <c r="G1085" i="6"/>
  <c r="H1085" i="6"/>
  <c r="I1085" i="6"/>
  <c r="J1085" i="6"/>
  <c r="K1085" i="6"/>
  <c r="M1085" i="6"/>
  <c r="N1085" i="6"/>
  <c r="O1085" i="6"/>
  <c r="P1085" i="6"/>
  <c r="R1085" i="6"/>
  <c r="T1085" i="6"/>
  <c r="B1086" i="6"/>
  <c r="C1086" i="6"/>
  <c r="E1086" i="6"/>
  <c r="F1086" i="6"/>
  <c r="G1086" i="6"/>
  <c r="H1086" i="6"/>
  <c r="I1086" i="6"/>
  <c r="J1086" i="6"/>
  <c r="K1086" i="6"/>
  <c r="M1086" i="6"/>
  <c r="N1086" i="6"/>
  <c r="O1086" i="6"/>
  <c r="P1086" i="6"/>
  <c r="Q1086" i="6"/>
  <c r="R1086" i="6"/>
  <c r="T1086" i="6"/>
  <c r="B1087" i="6"/>
  <c r="C1087" i="6"/>
  <c r="E1087" i="6"/>
  <c r="G1087" i="6"/>
  <c r="H1087" i="6"/>
  <c r="I1087" i="6"/>
  <c r="J1087" i="6"/>
  <c r="K1087" i="6"/>
  <c r="M1087" i="6"/>
  <c r="O1087" i="6"/>
  <c r="P1087" i="6"/>
  <c r="R1087" i="6"/>
  <c r="B1088" i="6"/>
  <c r="C1088" i="6"/>
  <c r="D1088" i="6"/>
  <c r="E1088" i="6"/>
  <c r="G1088" i="6"/>
  <c r="H1088" i="6"/>
  <c r="I1088" i="6"/>
  <c r="J1088" i="6"/>
  <c r="K1088" i="6"/>
  <c r="M1088" i="6"/>
  <c r="N1088" i="6"/>
  <c r="O1088" i="6"/>
  <c r="P1088" i="6"/>
  <c r="Q1088" i="6"/>
  <c r="R1088" i="6"/>
  <c r="S1088" i="6"/>
  <c r="T1088" i="6"/>
  <c r="B1089" i="6"/>
  <c r="C1089" i="6"/>
  <c r="D1089" i="6"/>
  <c r="E1089" i="6"/>
  <c r="F1089" i="6"/>
  <c r="G1089" i="6"/>
  <c r="H1089" i="6"/>
  <c r="I1089" i="6"/>
  <c r="J1089" i="6"/>
  <c r="K1089" i="6"/>
  <c r="M1089" i="6"/>
  <c r="N1089" i="6"/>
  <c r="O1089" i="6"/>
  <c r="P1089" i="6"/>
  <c r="Q1089" i="6"/>
  <c r="R1089" i="6"/>
  <c r="S1089" i="6"/>
  <c r="T1089" i="6"/>
  <c r="B1090" i="6"/>
  <c r="C1090" i="6"/>
  <c r="D1090" i="6"/>
  <c r="E1090" i="6"/>
  <c r="F1090" i="6"/>
  <c r="G1090" i="6"/>
  <c r="H1090" i="6"/>
  <c r="J1090" i="6"/>
  <c r="K1090" i="6"/>
  <c r="M1090" i="6"/>
  <c r="N1090" i="6"/>
  <c r="O1090" i="6"/>
  <c r="P1090" i="6"/>
  <c r="R1090" i="6"/>
  <c r="T1090" i="6"/>
  <c r="B1091" i="6"/>
  <c r="C1091" i="6"/>
  <c r="F1091" i="6"/>
  <c r="G1091" i="6"/>
  <c r="H1091" i="6"/>
  <c r="I1091" i="6"/>
  <c r="J1091" i="6"/>
  <c r="K1091" i="6"/>
  <c r="M1091" i="6"/>
  <c r="O1091" i="6"/>
  <c r="P1091" i="6"/>
  <c r="Q1091" i="6"/>
  <c r="R1091" i="6"/>
  <c r="S1091" i="6"/>
  <c r="B1092" i="6"/>
  <c r="C1092" i="6"/>
  <c r="D1092" i="6"/>
  <c r="E1092" i="6"/>
  <c r="F1092" i="6"/>
  <c r="G1092" i="6"/>
  <c r="H1092" i="6"/>
  <c r="J1092" i="6"/>
  <c r="K1092" i="6"/>
  <c r="M1092" i="6"/>
  <c r="N1092" i="6"/>
  <c r="O1092" i="6"/>
  <c r="P1092" i="6"/>
  <c r="T1092" i="6"/>
  <c r="B1093" i="6"/>
  <c r="C1093" i="6"/>
  <c r="D1093" i="6"/>
  <c r="F1093" i="6"/>
  <c r="G1093" i="6"/>
  <c r="H1093" i="6"/>
  <c r="J1093" i="6"/>
  <c r="K1093" i="6"/>
  <c r="M1093" i="6"/>
  <c r="N1093" i="6"/>
  <c r="O1093" i="6"/>
  <c r="P1093" i="6"/>
  <c r="A1094" i="6"/>
  <c r="C1094" i="6"/>
  <c r="D1094" i="6"/>
  <c r="E1094" i="6"/>
  <c r="F1094" i="6"/>
  <c r="G1094" i="6"/>
  <c r="H1094" i="6"/>
  <c r="I1094" i="6"/>
  <c r="J1094" i="6"/>
  <c r="K1094" i="6"/>
  <c r="M1094" i="6"/>
  <c r="O1094" i="6"/>
  <c r="P1094" i="6"/>
  <c r="Q1094" i="6"/>
  <c r="R1094" i="6"/>
  <c r="C1095" i="6"/>
  <c r="G1095" i="6"/>
  <c r="H1095" i="6"/>
  <c r="J1095" i="6"/>
  <c r="K1095" i="6"/>
  <c r="M1095" i="6"/>
  <c r="O1095" i="6"/>
  <c r="P1095" i="6"/>
  <c r="C1096" i="6"/>
  <c r="F1096" i="6"/>
  <c r="G1096" i="6"/>
  <c r="H1096" i="6"/>
  <c r="I1096" i="6"/>
  <c r="J1096" i="6"/>
  <c r="K1096" i="6"/>
  <c r="M1096" i="6"/>
  <c r="O1096" i="6"/>
  <c r="P1096" i="6"/>
  <c r="C1097" i="6"/>
  <c r="G1097" i="6"/>
  <c r="I1097" i="6"/>
  <c r="J1097" i="6"/>
  <c r="K1097" i="6"/>
  <c r="M1097" i="6"/>
  <c r="N1097" i="6"/>
  <c r="O1097" i="6"/>
  <c r="P1097" i="6"/>
  <c r="T1097" i="6"/>
  <c r="F1098" i="6"/>
  <c r="G1098" i="6"/>
  <c r="H1098" i="6"/>
  <c r="J1098" i="6"/>
  <c r="K1098" i="6"/>
  <c r="M1098" i="6"/>
  <c r="N1098" i="6"/>
  <c r="O1098" i="6"/>
  <c r="P1098" i="6"/>
  <c r="T1098" i="6"/>
  <c r="C1099" i="6"/>
  <c r="D1099" i="6"/>
  <c r="E1099" i="6"/>
  <c r="F1099" i="6"/>
  <c r="G1099" i="6"/>
  <c r="I1099" i="6"/>
  <c r="J1099" i="6"/>
  <c r="K1099" i="6"/>
  <c r="M1099" i="6"/>
  <c r="N1099" i="6"/>
  <c r="O1099" i="6"/>
  <c r="P1099" i="6"/>
  <c r="R1099" i="6"/>
  <c r="T1099" i="6"/>
  <c r="F1100" i="6"/>
  <c r="G1100" i="6"/>
  <c r="J1100" i="6"/>
  <c r="K1100" i="6"/>
  <c r="M1100" i="6"/>
  <c r="N1100" i="6"/>
  <c r="O1100" i="6"/>
  <c r="P1100" i="6"/>
  <c r="T1100" i="6"/>
  <c r="C1101" i="6"/>
  <c r="F1101" i="6"/>
  <c r="G1101" i="6"/>
  <c r="H1101" i="6"/>
  <c r="J1101" i="6"/>
  <c r="K1101" i="6"/>
  <c r="M1101" i="6"/>
  <c r="N1101" i="6"/>
  <c r="O1101" i="6"/>
  <c r="P1101" i="6"/>
  <c r="T1101" i="6"/>
  <c r="C1102" i="6"/>
  <c r="E1102" i="6"/>
  <c r="F1102" i="6"/>
  <c r="G1102" i="6"/>
  <c r="J1102" i="6"/>
  <c r="K1102" i="6"/>
  <c r="M1102" i="6"/>
  <c r="N1102" i="6"/>
  <c r="O1102" i="6"/>
  <c r="P1102" i="6"/>
  <c r="T1102" i="6"/>
  <c r="C1103" i="6"/>
  <c r="F1103" i="6"/>
  <c r="G1103" i="6"/>
  <c r="J1103" i="6"/>
  <c r="K1103" i="6"/>
  <c r="M1103" i="6"/>
  <c r="N1103" i="6"/>
  <c r="O1103" i="6"/>
  <c r="P1103" i="6"/>
  <c r="T1103" i="6"/>
  <c r="F1104" i="6"/>
  <c r="G1104" i="6"/>
  <c r="J1104" i="6"/>
  <c r="K1104" i="6"/>
  <c r="M1104" i="6"/>
  <c r="N1104" i="6"/>
  <c r="O1104" i="6"/>
  <c r="P1104" i="6"/>
  <c r="T1104" i="6"/>
  <c r="F1105" i="6"/>
  <c r="G1105" i="6"/>
  <c r="J1105" i="6"/>
  <c r="K1105" i="6"/>
  <c r="M1105" i="6"/>
  <c r="N1105" i="6"/>
  <c r="O1105" i="6"/>
  <c r="P1105" i="6"/>
  <c r="T1105" i="6"/>
  <c r="C1106" i="6"/>
  <c r="F1106" i="6"/>
  <c r="G1106" i="6"/>
  <c r="H1106" i="6"/>
  <c r="J1106" i="6"/>
  <c r="K1106" i="6"/>
  <c r="M1106" i="6"/>
  <c r="N1106" i="6"/>
  <c r="O1106" i="6"/>
  <c r="P1106" i="6"/>
  <c r="T1106" i="6"/>
  <c r="F1107" i="6"/>
  <c r="G1107" i="6"/>
  <c r="J1107" i="6"/>
  <c r="K1107" i="6"/>
  <c r="M1107" i="6"/>
  <c r="N1107" i="6"/>
  <c r="O1107" i="6"/>
  <c r="P1107" i="6"/>
  <c r="T1107" i="6"/>
  <c r="D1108" i="6"/>
  <c r="E1108" i="6"/>
  <c r="F1108" i="6"/>
  <c r="G1108" i="6"/>
  <c r="J1108" i="6"/>
  <c r="K1108" i="6"/>
  <c r="M1108" i="6"/>
  <c r="N1108" i="6"/>
  <c r="O1108" i="6"/>
  <c r="P1108" i="6"/>
  <c r="T1108" i="6"/>
  <c r="E1109" i="6"/>
  <c r="F1109" i="6"/>
  <c r="G1109" i="6"/>
  <c r="H1109" i="6"/>
  <c r="I1109" i="6"/>
  <c r="J1109" i="6"/>
  <c r="K1109" i="6"/>
  <c r="M1109" i="6"/>
  <c r="N1109" i="6"/>
  <c r="O1109" i="6"/>
  <c r="P1109" i="6"/>
  <c r="Q1109" i="6"/>
  <c r="R1109" i="6"/>
  <c r="S1109" i="6"/>
  <c r="T1109" i="6"/>
  <c r="D1110" i="6"/>
  <c r="E1110" i="6"/>
  <c r="F1110" i="6"/>
  <c r="G1110" i="6"/>
  <c r="H1110" i="6"/>
  <c r="J1110" i="6"/>
  <c r="K1110" i="6"/>
  <c r="M1110" i="6"/>
  <c r="N1110" i="6"/>
  <c r="O1110" i="6"/>
  <c r="P1110" i="6"/>
  <c r="T1110" i="6"/>
  <c r="D1111" i="6"/>
  <c r="E1111" i="6"/>
  <c r="F1111" i="6"/>
  <c r="G1111" i="6"/>
  <c r="I1111" i="6"/>
  <c r="J1111" i="6"/>
  <c r="K1111" i="6"/>
  <c r="M1111" i="6"/>
  <c r="N1111" i="6"/>
  <c r="O1111" i="6"/>
  <c r="P1111" i="6"/>
  <c r="R1111" i="6"/>
  <c r="T1111" i="6"/>
  <c r="E1112" i="6"/>
  <c r="F1112" i="6"/>
  <c r="G1112" i="6"/>
  <c r="I1112" i="6"/>
  <c r="J1112" i="6"/>
  <c r="K1112" i="6"/>
  <c r="M1112" i="6"/>
  <c r="N1112" i="6"/>
  <c r="O1112" i="6"/>
  <c r="P1112" i="6"/>
  <c r="T1112" i="6"/>
  <c r="C1113" i="6"/>
  <c r="D1113" i="6"/>
  <c r="E1113" i="6"/>
  <c r="F1113" i="6"/>
  <c r="G1113" i="6"/>
  <c r="J1113" i="6"/>
  <c r="K1113" i="6"/>
  <c r="M1113" i="6"/>
  <c r="N1113" i="6"/>
  <c r="O1113" i="6"/>
  <c r="P1113" i="6"/>
  <c r="T1113" i="6"/>
  <c r="C1114" i="6"/>
  <c r="E1114" i="6"/>
  <c r="F1114" i="6"/>
  <c r="G1114" i="6"/>
  <c r="H1114" i="6"/>
  <c r="J1114" i="6"/>
  <c r="K1114" i="6"/>
  <c r="M1114" i="6"/>
  <c r="N1114" i="6"/>
  <c r="O1114" i="6"/>
  <c r="P1114" i="6"/>
  <c r="T1114" i="6"/>
  <c r="E1115" i="6"/>
  <c r="F1115" i="6"/>
  <c r="G1115" i="6"/>
  <c r="H1115" i="6"/>
  <c r="J1115" i="6"/>
  <c r="K1115" i="6"/>
  <c r="M1115" i="6"/>
  <c r="N1115" i="6"/>
  <c r="O1115" i="6"/>
  <c r="P1115" i="6"/>
  <c r="T1115" i="6"/>
  <c r="C1116" i="6"/>
  <c r="E1116" i="6"/>
  <c r="F1116" i="6"/>
  <c r="G1116" i="6"/>
  <c r="J1116" i="6"/>
  <c r="K1116" i="6"/>
  <c r="M1116" i="6"/>
  <c r="N1116" i="6"/>
  <c r="O1116" i="6"/>
  <c r="P1116" i="6"/>
  <c r="T1116" i="6"/>
  <c r="C1117" i="6"/>
  <c r="E1117" i="6"/>
  <c r="F1117" i="6"/>
  <c r="G1117" i="6"/>
  <c r="J1117" i="6"/>
  <c r="K1117" i="6"/>
  <c r="M1117" i="6"/>
  <c r="N1117" i="6"/>
  <c r="O1117" i="6"/>
  <c r="P1117" i="6"/>
  <c r="R1117" i="6"/>
  <c r="T1117" i="6"/>
  <c r="C9" i="5"/>
  <c r="E9" i="5"/>
  <c r="B24" i="5"/>
  <c r="C24" i="5"/>
  <c r="D24" i="5"/>
  <c r="E24" i="5"/>
  <c r="E1070" i="5" s="1"/>
  <c r="F24" i="5"/>
  <c r="G24" i="5"/>
  <c r="H24" i="5"/>
  <c r="I24" i="5"/>
  <c r="J24" i="5"/>
  <c r="L24" i="5"/>
  <c r="M24" i="5"/>
  <c r="N24" i="5"/>
  <c r="O24" i="5"/>
  <c r="P24" i="5"/>
  <c r="Q24" i="5"/>
  <c r="R24" i="5"/>
  <c r="S24" i="5"/>
  <c r="T24" i="5"/>
  <c r="U24" i="5"/>
  <c r="V24" i="5"/>
  <c r="V1070" i="5" s="1"/>
  <c r="W24" i="5"/>
  <c r="W1070" i="5" s="1"/>
  <c r="Y24" i="5"/>
  <c r="Z24" i="5"/>
  <c r="AA24" i="5"/>
  <c r="B25" i="5"/>
  <c r="C25" i="5"/>
  <c r="D25" i="5"/>
  <c r="E25" i="5"/>
  <c r="F25" i="5"/>
  <c r="G25" i="5"/>
  <c r="H25" i="5"/>
  <c r="I25" i="5"/>
  <c r="J25" i="5"/>
  <c r="L25" i="5"/>
  <c r="M25" i="5"/>
  <c r="N25" i="5"/>
  <c r="O25" i="5"/>
  <c r="P25" i="5"/>
  <c r="Q25" i="5"/>
  <c r="R25" i="5"/>
  <c r="S25" i="5"/>
  <c r="T25" i="5"/>
  <c r="U25" i="5"/>
  <c r="V25" i="5"/>
  <c r="W25" i="5"/>
  <c r="Y25" i="5"/>
  <c r="Z25" i="5"/>
  <c r="AA25" i="5"/>
  <c r="B26" i="5"/>
  <c r="C26" i="5"/>
  <c r="D26" i="5"/>
  <c r="E26" i="5"/>
  <c r="F26" i="5"/>
  <c r="G26" i="5"/>
  <c r="H26" i="5"/>
  <c r="I26" i="5"/>
  <c r="J26" i="5"/>
  <c r="L26" i="5"/>
  <c r="M26" i="5"/>
  <c r="N26" i="5"/>
  <c r="AC26" i="5" s="1"/>
  <c r="O26" i="5"/>
  <c r="P26" i="5"/>
  <c r="Q26" i="5"/>
  <c r="R26" i="5"/>
  <c r="S26" i="5"/>
  <c r="T26" i="5"/>
  <c r="U26" i="5"/>
  <c r="V26" i="5"/>
  <c r="W26" i="5"/>
  <c r="Y26" i="5"/>
  <c r="Z26" i="5"/>
  <c r="AA26" i="5"/>
  <c r="B27" i="5"/>
  <c r="C27" i="5"/>
  <c r="D27" i="5"/>
  <c r="E27" i="5"/>
  <c r="F27" i="5"/>
  <c r="G27" i="5"/>
  <c r="H27" i="5"/>
  <c r="I27" i="5"/>
  <c r="J27" i="5"/>
  <c r="L27" i="5"/>
  <c r="M27" i="5"/>
  <c r="N27" i="5"/>
  <c r="O27" i="5"/>
  <c r="P27" i="5"/>
  <c r="Q27" i="5"/>
  <c r="R27" i="5"/>
  <c r="S27" i="5"/>
  <c r="T27" i="5"/>
  <c r="U27" i="5"/>
  <c r="V27" i="5"/>
  <c r="W27" i="5"/>
  <c r="Y27" i="5"/>
  <c r="Z27" i="5"/>
  <c r="AA27" i="5"/>
  <c r="B28" i="5"/>
  <c r="C28" i="5"/>
  <c r="D28" i="5"/>
  <c r="E28" i="5"/>
  <c r="F28" i="5"/>
  <c r="G28" i="5"/>
  <c r="H28" i="5"/>
  <c r="I28" i="5"/>
  <c r="J28" i="5"/>
  <c r="L28" i="5"/>
  <c r="M28" i="5"/>
  <c r="AC28" i="5" s="1"/>
  <c r="N28" i="5"/>
  <c r="O28" i="5"/>
  <c r="P28" i="5"/>
  <c r="Q28" i="5"/>
  <c r="R28" i="5"/>
  <c r="S28" i="5"/>
  <c r="T28" i="5"/>
  <c r="U28" i="5"/>
  <c r="V28" i="5"/>
  <c r="W28" i="5"/>
  <c r="X28" i="5"/>
  <c r="Z28" i="5"/>
  <c r="AA28" i="5"/>
  <c r="B29" i="5"/>
  <c r="C29" i="5"/>
  <c r="D29" i="5"/>
  <c r="E29" i="5"/>
  <c r="F29" i="5"/>
  <c r="G29" i="5"/>
  <c r="H29" i="5"/>
  <c r="I29" i="5"/>
  <c r="J29" i="5"/>
  <c r="L29" i="5"/>
  <c r="M29" i="5"/>
  <c r="AC29" i="5" s="1"/>
  <c r="N29" i="5"/>
  <c r="O29" i="5"/>
  <c r="P29" i="5"/>
  <c r="Q29" i="5"/>
  <c r="R29" i="5"/>
  <c r="S29" i="5"/>
  <c r="T29" i="5"/>
  <c r="U29" i="5"/>
  <c r="V29" i="5"/>
  <c r="W29" i="5"/>
  <c r="X29" i="5"/>
  <c r="Z29" i="5"/>
  <c r="AA29" i="5"/>
  <c r="B30" i="5"/>
  <c r="C30" i="5"/>
  <c r="D30" i="5"/>
  <c r="E30" i="5"/>
  <c r="F30" i="5"/>
  <c r="G30" i="5"/>
  <c r="H30" i="5"/>
  <c r="I30" i="5"/>
  <c r="J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Z30" i="5"/>
  <c r="AA30" i="5"/>
  <c r="B31" i="5"/>
  <c r="C31" i="5"/>
  <c r="D31" i="5"/>
  <c r="E31" i="5"/>
  <c r="F31" i="5"/>
  <c r="G31" i="5"/>
  <c r="H31" i="5"/>
  <c r="I31" i="5"/>
  <c r="J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Z31" i="5"/>
  <c r="AA31" i="5"/>
  <c r="B32" i="5"/>
  <c r="C32" i="5"/>
  <c r="D32" i="5"/>
  <c r="E32" i="5"/>
  <c r="F32" i="5"/>
  <c r="G32" i="5"/>
  <c r="H32" i="5"/>
  <c r="I32" i="5"/>
  <c r="J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Z32" i="5"/>
  <c r="AA32" i="5"/>
  <c r="B33" i="5"/>
  <c r="C33" i="5"/>
  <c r="D33" i="5"/>
  <c r="E33" i="5"/>
  <c r="F33" i="5"/>
  <c r="G33" i="5"/>
  <c r="H33" i="5"/>
  <c r="I33" i="5"/>
  <c r="J33" i="5"/>
  <c r="L33" i="5"/>
  <c r="M33" i="5"/>
  <c r="AC33" i="5" s="1"/>
  <c r="N33" i="5"/>
  <c r="O33" i="5"/>
  <c r="P33" i="5"/>
  <c r="Q33" i="5"/>
  <c r="R33" i="5"/>
  <c r="S33" i="5"/>
  <c r="T33" i="5"/>
  <c r="U33" i="5"/>
  <c r="V33" i="5"/>
  <c r="W33" i="5"/>
  <c r="X33" i="5"/>
  <c r="Z33" i="5"/>
  <c r="AA33" i="5"/>
  <c r="B34" i="5"/>
  <c r="C34" i="5"/>
  <c r="D34" i="5"/>
  <c r="E34" i="5"/>
  <c r="F34" i="5"/>
  <c r="G34" i="5"/>
  <c r="H34" i="5"/>
  <c r="I34" i="5"/>
  <c r="J34" i="5"/>
  <c r="L34" i="5"/>
  <c r="M34" i="5"/>
  <c r="N34" i="5"/>
  <c r="O34" i="5"/>
  <c r="P34" i="5"/>
  <c r="AC34" i="5" s="1"/>
  <c r="Q34" i="5"/>
  <c r="R34" i="5"/>
  <c r="S34" i="5"/>
  <c r="T34" i="5"/>
  <c r="U34" i="5"/>
  <c r="V34" i="5"/>
  <c r="W34" i="5"/>
  <c r="X34" i="5"/>
  <c r="Z34" i="5"/>
  <c r="AA34" i="5"/>
  <c r="B35" i="5"/>
  <c r="C35" i="5"/>
  <c r="D35" i="5"/>
  <c r="E35" i="5"/>
  <c r="F35" i="5"/>
  <c r="G35" i="5"/>
  <c r="H35" i="5"/>
  <c r="I35" i="5"/>
  <c r="J35" i="5"/>
  <c r="L35" i="5"/>
  <c r="M35" i="5"/>
  <c r="N35" i="5"/>
  <c r="O35" i="5"/>
  <c r="P35" i="5"/>
  <c r="Q35" i="5"/>
  <c r="R35" i="5"/>
  <c r="S35" i="5"/>
  <c r="T35" i="5"/>
  <c r="U35" i="5"/>
  <c r="V35" i="5"/>
  <c r="W35" i="5"/>
  <c r="W1071" i="5" s="1"/>
  <c r="Z35" i="5"/>
  <c r="AA35" i="5"/>
  <c r="B36" i="5"/>
  <c r="C36" i="5"/>
  <c r="D36" i="5"/>
  <c r="E36" i="5"/>
  <c r="F36" i="5"/>
  <c r="G36" i="5"/>
  <c r="H36" i="5"/>
  <c r="I36" i="5"/>
  <c r="J36" i="5"/>
  <c r="L36" i="5"/>
  <c r="M36" i="5"/>
  <c r="N36" i="5"/>
  <c r="O36" i="5"/>
  <c r="P36" i="5"/>
  <c r="Q36" i="5"/>
  <c r="R36" i="5"/>
  <c r="S36" i="5"/>
  <c r="T36" i="5"/>
  <c r="U36" i="5"/>
  <c r="V36" i="5"/>
  <c r="W36" i="5"/>
  <c r="Z36" i="5"/>
  <c r="AA36" i="5"/>
  <c r="B37" i="5"/>
  <c r="C37" i="5"/>
  <c r="D37" i="5"/>
  <c r="E37" i="5"/>
  <c r="F37" i="5"/>
  <c r="G37" i="5"/>
  <c r="H37" i="5"/>
  <c r="I37" i="5"/>
  <c r="J37" i="5"/>
  <c r="L37" i="5"/>
  <c r="M37" i="5"/>
  <c r="N37" i="5"/>
  <c r="O37" i="5"/>
  <c r="P37" i="5"/>
  <c r="Q37" i="5"/>
  <c r="R37" i="5"/>
  <c r="S37" i="5"/>
  <c r="T37" i="5"/>
  <c r="U37" i="5"/>
  <c r="V37" i="5"/>
  <c r="W37" i="5"/>
  <c r="Z37" i="5"/>
  <c r="AA37" i="5"/>
  <c r="B38" i="5"/>
  <c r="C38" i="5"/>
  <c r="D38" i="5"/>
  <c r="E38" i="5"/>
  <c r="F38" i="5"/>
  <c r="G38" i="5"/>
  <c r="H38" i="5"/>
  <c r="I38" i="5"/>
  <c r="J38" i="5"/>
  <c r="L38" i="5"/>
  <c r="M38" i="5"/>
  <c r="N38" i="5"/>
  <c r="O38" i="5"/>
  <c r="P38" i="5"/>
  <c r="Q38" i="5"/>
  <c r="R38" i="5"/>
  <c r="S38" i="5"/>
  <c r="T38" i="5"/>
  <c r="U38" i="5"/>
  <c r="V38" i="5"/>
  <c r="W38" i="5"/>
  <c r="Z38" i="5"/>
  <c r="AA38" i="5"/>
  <c r="B39" i="5"/>
  <c r="C39" i="5"/>
  <c r="D39" i="5"/>
  <c r="E39" i="5"/>
  <c r="F39" i="5"/>
  <c r="G39" i="5"/>
  <c r="H39" i="5"/>
  <c r="I39" i="5"/>
  <c r="J39" i="5"/>
  <c r="L39" i="5"/>
  <c r="M39" i="5"/>
  <c r="N39" i="5"/>
  <c r="O39" i="5"/>
  <c r="P39" i="5"/>
  <c r="Q39" i="5"/>
  <c r="R39" i="5"/>
  <c r="S39" i="5"/>
  <c r="T39" i="5"/>
  <c r="U39" i="5"/>
  <c r="V39" i="5"/>
  <c r="W39" i="5"/>
  <c r="Z39" i="5"/>
  <c r="AA39" i="5"/>
  <c r="B40" i="5"/>
  <c r="C40" i="5"/>
  <c r="D40" i="5"/>
  <c r="E40" i="5"/>
  <c r="F40" i="5"/>
  <c r="G40" i="5"/>
  <c r="H40" i="5"/>
  <c r="I40" i="5"/>
  <c r="J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Z40" i="5"/>
  <c r="AA40" i="5"/>
  <c r="AB40" i="5"/>
  <c r="AC40" i="5"/>
  <c r="B41" i="5"/>
  <c r="C41" i="5"/>
  <c r="D41" i="5"/>
  <c r="E41" i="5"/>
  <c r="F41" i="5"/>
  <c r="G41" i="5"/>
  <c r="H41" i="5"/>
  <c r="I41" i="5"/>
  <c r="J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Z41" i="5"/>
  <c r="AA41" i="5"/>
  <c r="AA1072" i="5" s="1"/>
  <c r="B42" i="5"/>
  <c r="C42" i="5"/>
  <c r="D42" i="5"/>
  <c r="E42" i="5"/>
  <c r="F42" i="5"/>
  <c r="G42" i="5"/>
  <c r="H42" i="5"/>
  <c r="I42" i="5"/>
  <c r="J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Z42" i="5"/>
  <c r="AA42" i="5"/>
  <c r="B43" i="5"/>
  <c r="C43" i="5"/>
  <c r="D43" i="5"/>
  <c r="E43" i="5"/>
  <c r="F43" i="5"/>
  <c r="G43" i="5"/>
  <c r="H43" i="5"/>
  <c r="I43" i="5"/>
  <c r="J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Z43" i="5"/>
  <c r="AA43" i="5"/>
  <c r="B44" i="5"/>
  <c r="C44" i="5"/>
  <c r="D44" i="5"/>
  <c r="E44" i="5"/>
  <c r="F44" i="5"/>
  <c r="G44" i="5"/>
  <c r="H44" i="5"/>
  <c r="I44" i="5"/>
  <c r="J44" i="5"/>
  <c r="L44" i="5"/>
  <c r="M44" i="5"/>
  <c r="AC44" i="5" s="1"/>
  <c r="N44" i="5"/>
  <c r="O44" i="5"/>
  <c r="P44" i="5"/>
  <c r="Q44" i="5"/>
  <c r="R44" i="5"/>
  <c r="S44" i="5"/>
  <c r="T44" i="5"/>
  <c r="U44" i="5"/>
  <c r="V44" i="5"/>
  <c r="W44" i="5"/>
  <c r="X44" i="5"/>
  <c r="Z44" i="5"/>
  <c r="AA44" i="5"/>
  <c r="B45" i="5"/>
  <c r="C45" i="5"/>
  <c r="D45" i="5"/>
  <c r="E45" i="5"/>
  <c r="F45" i="5"/>
  <c r="G45" i="5"/>
  <c r="H45" i="5"/>
  <c r="I45" i="5"/>
  <c r="J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Z45" i="5"/>
  <c r="AA45" i="5"/>
  <c r="B46" i="5"/>
  <c r="C46" i="5"/>
  <c r="D46" i="5"/>
  <c r="E46" i="5"/>
  <c r="F46" i="5"/>
  <c r="G46" i="5"/>
  <c r="H46" i="5"/>
  <c r="I46" i="5"/>
  <c r="J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Z46" i="5"/>
  <c r="AA46" i="5"/>
  <c r="B47" i="5"/>
  <c r="C47" i="5"/>
  <c r="D47" i="5"/>
  <c r="E47" i="5"/>
  <c r="F47" i="5"/>
  <c r="G47" i="5"/>
  <c r="H47" i="5"/>
  <c r="I47" i="5"/>
  <c r="J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Z47" i="5"/>
  <c r="AA47" i="5"/>
  <c r="AB47" i="5"/>
  <c r="AC47" i="5"/>
  <c r="B48" i="5"/>
  <c r="C48" i="5"/>
  <c r="D48" i="5"/>
  <c r="E48" i="5"/>
  <c r="F48" i="5"/>
  <c r="G48" i="5"/>
  <c r="H48" i="5"/>
  <c r="I48" i="5"/>
  <c r="J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Z48" i="5"/>
  <c r="AA48" i="5"/>
  <c r="B49" i="5"/>
  <c r="C49" i="5"/>
  <c r="D49" i="5"/>
  <c r="E49" i="5"/>
  <c r="F49" i="5"/>
  <c r="G49" i="5"/>
  <c r="H49" i="5"/>
  <c r="I49" i="5"/>
  <c r="J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B50" i="5"/>
  <c r="C50" i="5"/>
  <c r="D50" i="5"/>
  <c r="E50" i="5"/>
  <c r="F50" i="5"/>
  <c r="G50" i="5"/>
  <c r="H50" i="5"/>
  <c r="I50" i="5"/>
  <c r="J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AB50" i="5"/>
  <c r="B51" i="5"/>
  <c r="C51" i="5"/>
  <c r="D51" i="5"/>
  <c r="E51" i="5"/>
  <c r="F51" i="5"/>
  <c r="G51" i="5"/>
  <c r="H51" i="5"/>
  <c r="I51" i="5"/>
  <c r="J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AB51" i="5"/>
  <c r="B52" i="5"/>
  <c r="C52" i="5"/>
  <c r="D52" i="5"/>
  <c r="E52" i="5"/>
  <c r="F52" i="5"/>
  <c r="G52" i="5"/>
  <c r="H52" i="5"/>
  <c r="I52" i="5"/>
  <c r="J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B53" i="5"/>
  <c r="C53" i="5"/>
  <c r="D53" i="5"/>
  <c r="E53" i="5"/>
  <c r="F53" i="5"/>
  <c r="G53" i="5"/>
  <c r="H53" i="5"/>
  <c r="I53" i="5"/>
  <c r="J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B54" i="5"/>
  <c r="C54" i="5"/>
  <c r="D54" i="5"/>
  <c r="E54" i="5"/>
  <c r="F54" i="5"/>
  <c r="G54" i="5"/>
  <c r="H54" i="5"/>
  <c r="I54" i="5"/>
  <c r="J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B55" i="5"/>
  <c r="C55" i="5"/>
  <c r="D55" i="5"/>
  <c r="E55" i="5"/>
  <c r="F55" i="5"/>
  <c r="G55" i="5"/>
  <c r="H55" i="5"/>
  <c r="I55" i="5"/>
  <c r="J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B56" i="5"/>
  <c r="C56" i="5"/>
  <c r="D56" i="5"/>
  <c r="E56" i="5"/>
  <c r="F56" i="5"/>
  <c r="G56" i="5"/>
  <c r="H56" i="5"/>
  <c r="I56" i="5"/>
  <c r="J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B57" i="5"/>
  <c r="C57" i="5"/>
  <c r="D57" i="5"/>
  <c r="E57" i="5"/>
  <c r="F57" i="5"/>
  <c r="G57" i="5"/>
  <c r="H57" i="5"/>
  <c r="I57" i="5"/>
  <c r="J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AB57" i="5"/>
  <c r="B58" i="5"/>
  <c r="C58" i="5"/>
  <c r="D58" i="5"/>
  <c r="E58" i="5"/>
  <c r="F58" i="5"/>
  <c r="G58" i="5"/>
  <c r="H58" i="5"/>
  <c r="I58" i="5"/>
  <c r="J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AB58" i="5"/>
  <c r="B59" i="5"/>
  <c r="C59" i="5"/>
  <c r="D59" i="5"/>
  <c r="E59" i="5"/>
  <c r="AB59" i="5" s="1"/>
  <c r="F59" i="5"/>
  <c r="G59" i="5"/>
  <c r="H59" i="5"/>
  <c r="I59" i="5"/>
  <c r="J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B60" i="5"/>
  <c r="C60" i="5"/>
  <c r="D60" i="5"/>
  <c r="E60" i="5"/>
  <c r="F60" i="5"/>
  <c r="G60" i="5"/>
  <c r="H60" i="5"/>
  <c r="I60" i="5"/>
  <c r="J60" i="5"/>
  <c r="L60" i="5"/>
  <c r="M60" i="5"/>
  <c r="N60" i="5"/>
  <c r="O60" i="5"/>
  <c r="AC60" i="5" s="1"/>
  <c r="P60" i="5"/>
  <c r="Q60" i="5"/>
  <c r="R60" i="5"/>
  <c r="S60" i="5"/>
  <c r="T60" i="5"/>
  <c r="U60" i="5"/>
  <c r="V60" i="5"/>
  <c r="W60" i="5"/>
  <c r="X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B66" i="5"/>
  <c r="C66" i="5"/>
  <c r="D66" i="5"/>
  <c r="E66" i="5"/>
  <c r="F66" i="5"/>
  <c r="G66" i="5"/>
  <c r="H66" i="5"/>
  <c r="I66" i="5"/>
  <c r="J66" i="5"/>
  <c r="K66" i="5"/>
  <c r="L66" i="5"/>
  <c r="M66" i="5"/>
  <c r="AC66" i="5" s="1"/>
  <c r="N66" i="5"/>
  <c r="O66" i="5"/>
  <c r="P66" i="5"/>
  <c r="Q66" i="5"/>
  <c r="R66" i="5"/>
  <c r="S66" i="5"/>
  <c r="T66" i="5"/>
  <c r="U66" i="5"/>
  <c r="V66" i="5"/>
  <c r="W66" i="5"/>
  <c r="X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AC68" i="5" s="1"/>
  <c r="P68" i="5"/>
  <c r="Q68" i="5"/>
  <c r="R68" i="5"/>
  <c r="S68" i="5"/>
  <c r="T68" i="5"/>
  <c r="U68" i="5"/>
  <c r="V68" i="5"/>
  <c r="W68" i="5"/>
  <c r="X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AB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B72" i="5"/>
  <c r="C72" i="5"/>
  <c r="D72" i="5"/>
  <c r="D1074" i="5" s="1"/>
  <c r="E72" i="5"/>
  <c r="F72" i="5"/>
  <c r="G72" i="5"/>
  <c r="H72" i="5"/>
  <c r="I72" i="5"/>
  <c r="J72" i="5"/>
  <c r="K72" i="5"/>
  <c r="L72" i="5"/>
  <c r="L1074" i="5" s="1"/>
  <c r="M72" i="5"/>
  <c r="N72" i="5"/>
  <c r="O72" i="5"/>
  <c r="P72" i="5"/>
  <c r="Q72" i="5"/>
  <c r="R72" i="5"/>
  <c r="S72" i="5"/>
  <c r="T72" i="5"/>
  <c r="T1074" i="5" s="1"/>
  <c r="U72" i="5"/>
  <c r="V72" i="5"/>
  <c r="W72" i="5"/>
  <c r="X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AC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AC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AB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AC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AB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AC81" i="5"/>
  <c r="B82" i="5"/>
  <c r="C82" i="5"/>
  <c r="D82" i="5"/>
  <c r="E82" i="5"/>
  <c r="F82" i="5"/>
  <c r="G82" i="5"/>
  <c r="H82" i="5"/>
  <c r="I82" i="5"/>
  <c r="J82" i="5"/>
  <c r="K82" i="5"/>
  <c r="L82" i="5"/>
  <c r="M82" i="5"/>
  <c r="AC82" i="5" s="1"/>
  <c r="N82" i="5"/>
  <c r="O82" i="5"/>
  <c r="P82" i="5"/>
  <c r="Q82" i="5"/>
  <c r="R82" i="5"/>
  <c r="S82" i="5"/>
  <c r="T82" i="5"/>
  <c r="U82" i="5"/>
  <c r="V82" i="5"/>
  <c r="W82" i="5"/>
  <c r="X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AC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AC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AB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AC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AB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AC97" i="5"/>
  <c r="B98" i="5"/>
  <c r="C98" i="5"/>
  <c r="D98" i="5"/>
  <c r="E98" i="5"/>
  <c r="F98" i="5"/>
  <c r="G98" i="5"/>
  <c r="H98" i="5"/>
  <c r="I98" i="5"/>
  <c r="J98" i="5"/>
  <c r="K98" i="5"/>
  <c r="L98" i="5"/>
  <c r="M98" i="5"/>
  <c r="AC98" i="5" s="1"/>
  <c r="N98" i="5"/>
  <c r="O98" i="5"/>
  <c r="P98" i="5"/>
  <c r="Q98" i="5"/>
  <c r="R98" i="5"/>
  <c r="S98" i="5"/>
  <c r="T98" i="5"/>
  <c r="U98" i="5"/>
  <c r="V98" i="5"/>
  <c r="W98" i="5"/>
  <c r="X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AC100" i="5" s="1"/>
  <c r="P100" i="5"/>
  <c r="Q100" i="5"/>
  <c r="R100" i="5"/>
  <c r="S100" i="5"/>
  <c r="T100" i="5"/>
  <c r="U100" i="5"/>
  <c r="V100" i="5"/>
  <c r="W100" i="5"/>
  <c r="X100" i="5"/>
  <c r="B101" i="5"/>
  <c r="C101" i="5"/>
  <c r="D101" i="5"/>
  <c r="E101" i="5"/>
  <c r="F101" i="5"/>
  <c r="G101" i="5"/>
  <c r="AB101" i="5" s="1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AC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AC104" i="5" s="1"/>
  <c r="N104" i="5"/>
  <c r="O104" i="5"/>
  <c r="P104" i="5"/>
  <c r="Q104" i="5"/>
  <c r="R104" i="5"/>
  <c r="S104" i="5"/>
  <c r="T104" i="5"/>
  <c r="U104" i="5"/>
  <c r="V104" i="5"/>
  <c r="W104" i="5"/>
  <c r="X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AC106" i="5" s="1"/>
  <c r="P106" i="5"/>
  <c r="Q106" i="5"/>
  <c r="R106" i="5"/>
  <c r="S106" i="5"/>
  <c r="T106" i="5"/>
  <c r="U106" i="5"/>
  <c r="V106" i="5"/>
  <c r="W106" i="5"/>
  <c r="X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AC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AC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AC114" i="5" s="1"/>
  <c r="N114" i="5"/>
  <c r="O114" i="5"/>
  <c r="P114" i="5"/>
  <c r="Q114" i="5"/>
  <c r="R114" i="5"/>
  <c r="S114" i="5"/>
  <c r="T114" i="5"/>
  <c r="U114" i="5"/>
  <c r="V114" i="5"/>
  <c r="W114" i="5"/>
  <c r="X114" i="5"/>
  <c r="AB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AB116" i="5"/>
  <c r="AC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AC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AC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AB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AC129" i="5" s="1"/>
  <c r="Q129" i="5"/>
  <c r="R129" i="5"/>
  <c r="S129" i="5"/>
  <c r="T129" i="5"/>
  <c r="U129" i="5"/>
  <c r="V129" i="5"/>
  <c r="W129" i="5"/>
  <c r="X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AC133" i="5" s="1"/>
  <c r="P133" i="5"/>
  <c r="Q133" i="5"/>
  <c r="R133" i="5"/>
  <c r="S133" i="5"/>
  <c r="T133" i="5"/>
  <c r="U133" i="5"/>
  <c r="V133" i="5"/>
  <c r="W133" i="5"/>
  <c r="X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AB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AC136" i="5" s="1"/>
  <c r="N136" i="5"/>
  <c r="O136" i="5"/>
  <c r="P136" i="5"/>
  <c r="Q136" i="5"/>
  <c r="R136" i="5"/>
  <c r="S136" i="5"/>
  <c r="T136" i="5"/>
  <c r="U136" i="5"/>
  <c r="V136" i="5"/>
  <c r="W136" i="5"/>
  <c r="X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AC139" i="5" s="1"/>
  <c r="P139" i="5"/>
  <c r="Q139" i="5"/>
  <c r="R139" i="5"/>
  <c r="S139" i="5"/>
  <c r="T139" i="5"/>
  <c r="U139" i="5"/>
  <c r="V139" i="5"/>
  <c r="W139" i="5"/>
  <c r="X139" i="5"/>
  <c r="B140" i="5"/>
  <c r="C140" i="5"/>
  <c r="D140" i="5"/>
  <c r="E140" i="5"/>
  <c r="F140" i="5"/>
  <c r="G140" i="5"/>
  <c r="H140" i="5"/>
  <c r="AB140" i="5" s="1"/>
  <c r="I140" i="5"/>
  <c r="J140" i="5"/>
  <c r="K140" i="5"/>
  <c r="L140" i="5"/>
  <c r="M140" i="5"/>
  <c r="N140" i="5"/>
  <c r="O140" i="5"/>
  <c r="P140" i="5"/>
  <c r="AC140" i="5" s="1"/>
  <c r="Q140" i="5"/>
  <c r="R140" i="5"/>
  <c r="S140" i="5"/>
  <c r="T140" i="5"/>
  <c r="U140" i="5"/>
  <c r="V140" i="5"/>
  <c r="W140" i="5"/>
  <c r="X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AC141" i="5" s="1"/>
  <c r="Q141" i="5"/>
  <c r="R141" i="5"/>
  <c r="S141" i="5"/>
  <c r="T141" i="5"/>
  <c r="U141" i="5"/>
  <c r="V141" i="5"/>
  <c r="W141" i="5"/>
  <c r="X141" i="5"/>
  <c r="B142" i="5"/>
  <c r="C142" i="5"/>
  <c r="D142" i="5"/>
  <c r="AB142" i="5" s="1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B144" i="5"/>
  <c r="C144" i="5"/>
  <c r="D144" i="5"/>
  <c r="E144" i="5"/>
  <c r="F144" i="5"/>
  <c r="G144" i="5"/>
  <c r="G1080" i="5" s="1"/>
  <c r="H144" i="5"/>
  <c r="I144" i="5"/>
  <c r="J144" i="5"/>
  <c r="K144" i="5"/>
  <c r="L144" i="5"/>
  <c r="M144" i="5"/>
  <c r="N144" i="5"/>
  <c r="O144" i="5"/>
  <c r="O1080" i="5" s="1"/>
  <c r="P144" i="5"/>
  <c r="Q144" i="5"/>
  <c r="R144" i="5"/>
  <c r="S144" i="5"/>
  <c r="T144" i="5"/>
  <c r="U144" i="5"/>
  <c r="V144" i="5"/>
  <c r="W144" i="5"/>
  <c r="W1080" i="5" s="1"/>
  <c r="X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AC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AB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AC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AC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AB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AC161" i="5" s="1"/>
  <c r="N161" i="5"/>
  <c r="O161" i="5"/>
  <c r="P161" i="5"/>
  <c r="Q161" i="5"/>
  <c r="R161" i="5"/>
  <c r="S161" i="5"/>
  <c r="T161" i="5"/>
  <c r="U161" i="5"/>
  <c r="V161" i="5"/>
  <c r="W161" i="5"/>
  <c r="X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AC164" i="5" s="1"/>
  <c r="Q164" i="5"/>
  <c r="R164" i="5"/>
  <c r="S164" i="5"/>
  <c r="T164" i="5"/>
  <c r="U164" i="5"/>
  <c r="V164" i="5"/>
  <c r="W164" i="5"/>
  <c r="X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AB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AC167" i="5" s="1"/>
  <c r="N167" i="5"/>
  <c r="O167" i="5"/>
  <c r="P167" i="5"/>
  <c r="Q167" i="5"/>
  <c r="R167" i="5"/>
  <c r="S167" i="5"/>
  <c r="T167" i="5"/>
  <c r="U167" i="5"/>
  <c r="V167" i="5"/>
  <c r="W167" i="5"/>
  <c r="X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AC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AC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AC180" i="5" s="1"/>
  <c r="Q180" i="5"/>
  <c r="R180" i="5"/>
  <c r="S180" i="5"/>
  <c r="T180" i="5"/>
  <c r="U180" i="5"/>
  <c r="V180" i="5"/>
  <c r="W180" i="5"/>
  <c r="X180" i="5"/>
  <c r="AB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AC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AB186" i="5"/>
  <c r="AC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AC187" i="5" s="1"/>
  <c r="Q187" i="5"/>
  <c r="R187" i="5"/>
  <c r="S187" i="5"/>
  <c r="T187" i="5"/>
  <c r="U187" i="5"/>
  <c r="V187" i="5"/>
  <c r="W187" i="5"/>
  <c r="X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AC196" i="5" s="1"/>
  <c r="P196" i="5"/>
  <c r="Q196" i="5"/>
  <c r="R196" i="5"/>
  <c r="S196" i="5"/>
  <c r="T196" i="5"/>
  <c r="U196" i="5"/>
  <c r="V196" i="5"/>
  <c r="W196" i="5"/>
  <c r="X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AB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AC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AC204" i="5" s="1"/>
  <c r="Q204" i="5"/>
  <c r="R204" i="5"/>
  <c r="S204" i="5"/>
  <c r="T204" i="5"/>
  <c r="U204" i="5"/>
  <c r="V204" i="5"/>
  <c r="W204" i="5"/>
  <c r="X204" i="5"/>
  <c r="AB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AC205" i="5" s="1"/>
  <c r="Q205" i="5"/>
  <c r="R205" i="5"/>
  <c r="S205" i="5"/>
  <c r="T205" i="5"/>
  <c r="U205" i="5"/>
  <c r="V205" i="5"/>
  <c r="W205" i="5"/>
  <c r="X205" i="5"/>
  <c r="B206" i="5"/>
  <c r="C206" i="5"/>
  <c r="D206" i="5"/>
  <c r="E206" i="5"/>
  <c r="F206" i="5"/>
  <c r="G206" i="5"/>
  <c r="H206" i="5"/>
  <c r="AB206" i="5" s="1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AC209" i="5" s="1"/>
  <c r="O209" i="5"/>
  <c r="P209" i="5"/>
  <c r="Q209" i="5"/>
  <c r="R209" i="5"/>
  <c r="S209" i="5"/>
  <c r="T209" i="5"/>
  <c r="U209" i="5"/>
  <c r="V209" i="5"/>
  <c r="W209" i="5"/>
  <c r="X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AC211" i="5" s="1"/>
  <c r="P211" i="5"/>
  <c r="Q211" i="5"/>
  <c r="R211" i="5"/>
  <c r="S211" i="5"/>
  <c r="T211" i="5"/>
  <c r="U211" i="5"/>
  <c r="V211" i="5"/>
  <c r="W211" i="5"/>
  <c r="X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AB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AC215" i="5" s="1"/>
  <c r="N215" i="5"/>
  <c r="O215" i="5"/>
  <c r="P215" i="5"/>
  <c r="Q215" i="5"/>
  <c r="R215" i="5"/>
  <c r="S215" i="5"/>
  <c r="T215" i="5"/>
  <c r="U215" i="5"/>
  <c r="V215" i="5"/>
  <c r="W215" i="5"/>
  <c r="X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AC218" i="5" s="1"/>
  <c r="Q218" i="5"/>
  <c r="R218" i="5"/>
  <c r="S218" i="5"/>
  <c r="T218" i="5"/>
  <c r="U218" i="5"/>
  <c r="V218" i="5"/>
  <c r="W218" i="5"/>
  <c r="X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AC219" i="5" s="1"/>
  <c r="Q219" i="5"/>
  <c r="R219" i="5"/>
  <c r="S219" i="5"/>
  <c r="T219" i="5"/>
  <c r="U219" i="5"/>
  <c r="V219" i="5"/>
  <c r="W219" i="5"/>
  <c r="X219" i="5"/>
  <c r="B220" i="5"/>
  <c r="C220" i="5"/>
  <c r="D220" i="5"/>
  <c r="AB220" i="5" s="1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AC225" i="5" s="1"/>
  <c r="N225" i="5"/>
  <c r="O225" i="5"/>
  <c r="P225" i="5"/>
  <c r="Q225" i="5"/>
  <c r="R225" i="5"/>
  <c r="S225" i="5"/>
  <c r="T225" i="5"/>
  <c r="U225" i="5"/>
  <c r="V225" i="5"/>
  <c r="W225" i="5"/>
  <c r="X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AC228" i="5" s="1"/>
  <c r="P228" i="5"/>
  <c r="Q228" i="5"/>
  <c r="R228" i="5"/>
  <c r="S228" i="5"/>
  <c r="T228" i="5"/>
  <c r="U228" i="5"/>
  <c r="V228" i="5"/>
  <c r="W228" i="5"/>
  <c r="X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AC230" i="5" s="1"/>
  <c r="N230" i="5"/>
  <c r="O230" i="5"/>
  <c r="P230" i="5"/>
  <c r="Q230" i="5"/>
  <c r="R230" i="5"/>
  <c r="S230" i="5"/>
  <c r="T230" i="5"/>
  <c r="U230" i="5"/>
  <c r="V230" i="5"/>
  <c r="W230" i="5"/>
  <c r="X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AC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AC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S1088" i="5" s="1"/>
  <c r="T240" i="5"/>
  <c r="U240" i="5"/>
  <c r="V240" i="5"/>
  <c r="W240" i="5"/>
  <c r="X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AC241" i="5" s="1"/>
  <c r="O241" i="5"/>
  <c r="P241" i="5"/>
  <c r="Q241" i="5"/>
  <c r="R241" i="5"/>
  <c r="S241" i="5"/>
  <c r="T241" i="5"/>
  <c r="U241" i="5"/>
  <c r="V241" i="5"/>
  <c r="W241" i="5"/>
  <c r="X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AB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AC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AB244" i="5"/>
  <c r="AC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AB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AC249" i="5" s="1"/>
  <c r="O249" i="5"/>
  <c r="P249" i="5"/>
  <c r="Q249" i="5"/>
  <c r="R249" i="5"/>
  <c r="S249" i="5"/>
  <c r="T249" i="5"/>
  <c r="U249" i="5"/>
  <c r="V249" i="5"/>
  <c r="W249" i="5"/>
  <c r="X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AC250" i="5" s="1"/>
  <c r="O250" i="5"/>
  <c r="P250" i="5"/>
  <c r="Q250" i="5"/>
  <c r="R250" i="5"/>
  <c r="S250" i="5"/>
  <c r="T250" i="5"/>
  <c r="U250" i="5"/>
  <c r="V250" i="5"/>
  <c r="W250" i="5"/>
  <c r="X250" i="5"/>
  <c r="B251" i="5"/>
  <c r="C251" i="5"/>
  <c r="AB251" i="5" s="1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AC251" i="5" s="1"/>
  <c r="Q251" i="5"/>
  <c r="R251" i="5"/>
  <c r="S251" i="5"/>
  <c r="T251" i="5"/>
  <c r="U251" i="5"/>
  <c r="V251" i="5"/>
  <c r="W251" i="5"/>
  <c r="X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AC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AC258" i="5" s="1"/>
  <c r="N258" i="5"/>
  <c r="O258" i="5"/>
  <c r="P258" i="5"/>
  <c r="Q258" i="5"/>
  <c r="R258" i="5"/>
  <c r="S258" i="5"/>
  <c r="T258" i="5"/>
  <c r="U258" i="5"/>
  <c r="V258" i="5"/>
  <c r="W258" i="5"/>
  <c r="X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AC260" i="5" s="1"/>
  <c r="P260" i="5"/>
  <c r="Q260" i="5"/>
  <c r="R260" i="5"/>
  <c r="S260" i="5"/>
  <c r="T260" i="5"/>
  <c r="U260" i="5"/>
  <c r="V260" i="5"/>
  <c r="W260" i="5"/>
  <c r="X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AC261" i="5" s="1"/>
  <c r="Q261" i="5"/>
  <c r="R261" i="5"/>
  <c r="S261" i="5"/>
  <c r="T261" i="5"/>
  <c r="U261" i="5"/>
  <c r="V261" i="5"/>
  <c r="W261" i="5"/>
  <c r="X261" i="5"/>
  <c r="B262" i="5"/>
  <c r="C262" i="5"/>
  <c r="D262" i="5"/>
  <c r="AB262" i="5" s="1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AC267" i="5" s="1"/>
  <c r="Q267" i="5"/>
  <c r="R267" i="5"/>
  <c r="S267" i="5"/>
  <c r="T267" i="5"/>
  <c r="U267" i="5"/>
  <c r="V267" i="5"/>
  <c r="W267" i="5"/>
  <c r="X267" i="5"/>
  <c r="B268" i="5"/>
  <c r="C268" i="5"/>
  <c r="D268" i="5"/>
  <c r="AB268" i="5" s="1"/>
  <c r="E268" i="5"/>
  <c r="F268" i="5"/>
  <c r="G268" i="5"/>
  <c r="H268" i="5"/>
  <c r="I268" i="5"/>
  <c r="J268" i="5"/>
  <c r="K268" i="5"/>
  <c r="L268" i="5"/>
  <c r="M268" i="5"/>
  <c r="N268" i="5"/>
  <c r="O268" i="5"/>
  <c r="P268" i="5"/>
  <c r="AC268" i="5" s="1"/>
  <c r="Q268" i="5"/>
  <c r="R268" i="5"/>
  <c r="S268" i="5"/>
  <c r="T268" i="5"/>
  <c r="U268" i="5"/>
  <c r="V268" i="5"/>
  <c r="W268" i="5"/>
  <c r="X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AC269" i="5" s="1"/>
  <c r="Q269" i="5"/>
  <c r="R269" i="5"/>
  <c r="S269" i="5"/>
  <c r="T269" i="5"/>
  <c r="U269" i="5"/>
  <c r="V269" i="5"/>
  <c r="W269" i="5"/>
  <c r="X269" i="5"/>
  <c r="B270" i="5"/>
  <c r="C270" i="5"/>
  <c r="D270" i="5"/>
  <c r="AB270" i="5" s="1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AC275" i="5" s="1"/>
  <c r="Q275" i="5"/>
  <c r="R275" i="5"/>
  <c r="S275" i="5"/>
  <c r="T275" i="5"/>
  <c r="U275" i="5"/>
  <c r="V275" i="5"/>
  <c r="W275" i="5"/>
  <c r="X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AC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AC282" i="5" s="1"/>
  <c r="O282" i="5"/>
  <c r="P282" i="5"/>
  <c r="Q282" i="5"/>
  <c r="R282" i="5"/>
  <c r="S282" i="5"/>
  <c r="T282" i="5"/>
  <c r="U282" i="5"/>
  <c r="V282" i="5"/>
  <c r="W282" i="5"/>
  <c r="X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AC283" i="5" s="1"/>
  <c r="O283" i="5"/>
  <c r="P283" i="5"/>
  <c r="Q283" i="5"/>
  <c r="R283" i="5"/>
  <c r="S283" i="5"/>
  <c r="T283" i="5"/>
  <c r="U283" i="5"/>
  <c r="V283" i="5"/>
  <c r="W283" i="5"/>
  <c r="X283" i="5"/>
  <c r="B284" i="5"/>
  <c r="AB284" i="5" s="1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AC289" i="5" s="1"/>
  <c r="O289" i="5"/>
  <c r="P289" i="5"/>
  <c r="Q289" i="5"/>
  <c r="R289" i="5"/>
  <c r="S289" i="5"/>
  <c r="T289" i="5"/>
  <c r="U289" i="5"/>
  <c r="V289" i="5"/>
  <c r="W289" i="5"/>
  <c r="X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AB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AC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AB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AC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AC300" i="5" s="1"/>
  <c r="Q300" i="5"/>
  <c r="R300" i="5"/>
  <c r="S300" i="5"/>
  <c r="T300" i="5"/>
  <c r="U300" i="5"/>
  <c r="V300" i="5"/>
  <c r="W300" i="5"/>
  <c r="X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AC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AC306" i="5" s="1"/>
  <c r="N306" i="5"/>
  <c r="O306" i="5"/>
  <c r="P306" i="5"/>
  <c r="Q306" i="5"/>
  <c r="R306" i="5"/>
  <c r="S306" i="5"/>
  <c r="T306" i="5"/>
  <c r="U306" i="5"/>
  <c r="V306" i="5"/>
  <c r="W306" i="5"/>
  <c r="X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AC308" i="5" s="1"/>
  <c r="P308" i="5"/>
  <c r="Q308" i="5"/>
  <c r="R308" i="5"/>
  <c r="S308" i="5"/>
  <c r="T308" i="5"/>
  <c r="U308" i="5"/>
  <c r="V308" i="5"/>
  <c r="W308" i="5"/>
  <c r="X308" i="5"/>
  <c r="AB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AB314" i="5"/>
  <c r="AC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AC316" i="5" s="1"/>
  <c r="P316" i="5"/>
  <c r="Q316" i="5"/>
  <c r="R316" i="5"/>
  <c r="S316" i="5"/>
  <c r="T316" i="5"/>
  <c r="U316" i="5"/>
  <c r="V316" i="5"/>
  <c r="W316" i="5"/>
  <c r="X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AC324" i="5" s="1"/>
  <c r="O324" i="5"/>
  <c r="P324" i="5"/>
  <c r="Q324" i="5"/>
  <c r="R324" i="5"/>
  <c r="S324" i="5"/>
  <c r="T324" i="5"/>
  <c r="U324" i="5"/>
  <c r="V324" i="5"/>
  <c r="W324" i="5"/>
  <c r="X324" i="5"/>
  <c r="B325" i="5"/>
  <c r="AB325" i="5" s="1"/>
  <c r="C325" i="5"/>
  <c r="D325" i="5"/>
  <c r="E325" i="5"/>
  <c r="F325" i="5"/>
  <c r="G325" i="5"/>
  <c r="H325" i="5"/>
  <c r="I325" i="5"/>
  <c r="J325" i="5"/>
  <c r="K325" i="5"/>
  <c r="L325" i="5"/>
  <c r="M325" i="5"/>
  <c r="N325" i="5"/>
  <c r="AC325" i="5" s="1"/>
  <c r="O325" i="5"/>
  <c r="P325" i="5"/>
  <c r="Q325" i="5"/>
  <c r="R325" i="5"/>
  <c r="S325" i="5"/>
  <c r="T325" i="5"/>
  <c r="U325" i="5"/>
  <c r="V325" i="5"/>
  <c r="W325" i="5"/>
  <c r="X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AC329" i="5" s="1"/>
  <c r="N329" i="5"/>
  <c r="O329" i="5"/>
  <c r="P329" i="5"/>
  <c r="Q329" i="5"/>
  <c r="R329" i="5"/>
  <c r="S329" i="5"/>
  <c r="T329" i="5"/>
  <c r="U329" i="5"/>
  <c r="V329" i="5"/>
  <c r="W329" i="5"/>
  <c r="X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AC330" i="5" s="1"/>
  <c r="O330" i="5"/>
  <c r="P330" i="5"/>
  <c r="Q330" i="5"/>
  <c r="R330" i="5"/>
  <c r="S330" i="5"/>
  <c r="T330" i="5"/>
  <c r="U330" i="5"/>
  <c r="V330" i="5"/>
  <c r="W330" i="5"/>
  <c r="X330" i="5"/>
  <c r="B331" i="5"/>
  <c r="AB331" i="5" s="1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AC331" i="5"/>
  <c r="B332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X332" i="5"/>
  <c r="B333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B334" i="5"/>
  <c r="C334" i="5"/>
  <c r="AB334" i="5" s="1"/>
  <c r="D334" i="5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X334" i="5"/>
  <c r="B335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X335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AC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AC339" i="5" s="1"/>
  <c r="O339" i="5"/>
  <c r="P339" i="5"/>
  <c r="Q339" i="5"/>
  <c r="R339" i="5"/>
  <c r="S339" i="5"/>
  <c r="T339" i="5"/>
  <c r="U339" i="5"/>
  <c r="V339" i="5"/>
  <c r="W339" i="5"/>
  <c r="X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AC340" i="5" s="1"/>
  <c r="O340" i="5"/>
  <c r="P340" i="5"/>
  <c r="Q340" i="5"/>
  <c r="R340" i="5"/>
  <c r="S340" i="5"/>
  <c r="T340" i="5"/>
  <c r="U340" i="5"/>
  <c r="V340" i="5"/>
  <c r="W340" i="5"/>
  <c r="X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AC341" i="5" s="1"/>
  <c r="O341" i="5"/>
  <c r="P341" i="5"/>
  <c r="Q341" i="5"/>
  <c r="R341" i="5"/>
  <c r="S341" i="5"/>
  <c r="T341" i="5"/>
  <c r="U341" i="5"/>
  <c r="V341" i="5"/>
  <c r="W341" i="5"/>
  <c r="X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AC345" i="5" s="1"/>
  <c r="O345" i="5"/>
  <c r="P345" i="5"/>
  <c r="Q345" i="5"/>
  <c r="R345" i="5"/>
  <c r="S345" i="5"/>
  <c r="T345" i="5"/>
  <c r="U345" i="5"/>
  <c r="V345" i="5"/>
  <c r="W345" i="5"/>
  <c r="X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AC346" i="5" s="1"/>
  <c r="P346" i="5"/>
  <c r="Q346" i="5"/>
  <c r="R346" i="5"/>
  <c r="S346" i="5"/>
  <c r="T346" i="5"/>
  <c r="U346" i="5"/>
  <c r="V346" i="5"/>
  <c r="W346" i="5"/>
  <c r="X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AC347" i="5" s="1"/>
  <c r="P347" i="5"/>
  <c r="Q347" i="5"/>
  <c r="R347" i="5"/>
  <c r="S347" i="5"/>
  <c r="T347" i="5"/>
  <c r="U347" i="5"/>
  <c r="V347" i="5"/>
  <c r="W347" i="5"/>
  <c r="X347" i="5"/>
  <c r="B348" i="5"/>
  <c r="C348" i="5"/>
  <c r="AB348" i="5" s="1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AC353" i="5" s="1"/>
  <c r="P353" i="5"/>
  <c r="Q353" i="5"/>
  <c r="R353" i="5"/>
  <c r="S353" i="5"/>
  <c r="T353" i="5"/>
  <c r="U353" i="5"/>
  <c r="V353" i="5"/>
  <c r="W353" i="5"/>
  <c r="X353" i="5"/>
  <c r="B354" i="5"/>
  <c r="C354" i="5"/>
  <c r="AB354" i="5" s="1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AC357" i="5" s="1"/>
  <c r="N357" i="5"/>
  <c r="O357" i="5"/>
  <c r="P357" i="5"/>
  <c r="Q357" i="5"/>
  <c r="R357" i="5"/>
  <c r="S357" i="5"/>
  <c r="T357" i="5"/>
  <c r="U357" i="5"/>
  <c r="V357" i="5"/>
  <c r="W357" i="5"/>
  <c r="X357" i="5"/>
  <c r="AB357" i="5"/>
  <c r="B358" i="5"/>
  <c r="C358" i="5"/>
  <c r="D358" i="5"/>
  <c r="E358" i="5"/>
  <c r="F358" i="5"/>
  <c r="G358" i="5"/>
  <c r="H358" i="5"/>
  <c r="AB358" i="5" s="1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AC362" i="5" s="1"/>
  <c r="Q362" i="5"/>
  <c r="R362" i="5"/>
  <c r="S362" i="5"/>
  <c r="T362" i="5"/>
  <c r="U362" i="5"/>
  <c r="V362" i="5"/>
  <c r="W362" i="5"/>
  <c r="X362" i="5"/>
  <c r="B363" i="5"/>
  <c r="C363" i="5"/>
  <c r="D363" i="5"/>
  <c r="AB363" i="5" s="1"/>
  <c r="E363" i="5"/>
  <c r="F363" i="5"/>
  <c r="G363" i="5"/>
  <c r="H363" i="5"/>
  <c r="I363" i="5"/>
  <c r="J363" i="5"/>
  <c r="K363" i="5"/>
  <c r="L363" i="5"/>
  <c r="M363" i="5"/>
  <c r="N363" i="5"/>
  <c r="O363" i="5"/>
  <c r="P363" i="5"/>
  <c r="AC363" i="5" s="1"/>
  <c r="Q363" i="5"/>
  <c r="R363" i="5"/>
  <c r="S363" i="5"/>
  <c r="T363" i="5"/>
  <c r="U363" i="5"/>
  <c r="V363" i="5"/>
  <c r="W363" i="5"/>
  <c r="X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X368" i="5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B370" i="5"/>
  <c r="C370" i="5"/>
  <c r="D370" i="5"/>
  <c r="E370" i="5"/>
  <c r="F370" i="5"/>
  <c r="G370" i="5"/>
  <c r="H370" i="5"/>
  <c r="I370" i="5"/>
  <c r="J370" i="5"/>
  <c r="K370" i="5"/>
  <c r="L370" i="5"/>
  <c r="M370" i="5"/>
  <c r="AC370" i="5" s="1"/>
  <c r="N370" i="5"/>
  <c r="O370" i="5"/>
  <c r="P370" i="5"/>
  <c r="Q370" i="5"/>
  <c r="R370" i="5"/>
  <c r="S370" i="5"/>
  <c r="T370" i="5"/>
  <c r="U370" i="5"/>
  <c r="V370" i="5"/>
  <c r="W370" i="5"/>
  <c r="X370" i="5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B372" i="5"/>
  <c r="C372" i="5"/>
  <c r="D372" i="5"/>
  <c r="E372" i="5"/>
  <c r="F372" i="5"/>
  <c r="G372" i="5"/>
  <c r="AB372" i="5" s="1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X372" i="5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B376" i="5"/>
  <c r="C376" i="5"/>
  <c r="D376" i="5"/>
  <c r="E376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X376" i="5"/>
  <c r="B377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AC377" i="5" s="1"/>
  <c r="Q377" i="5"/>
  <c r="R377" i="5"/>
  <c r="S377" i="5"/>
  <c r="T377" i="5"/>
  <c r="U377" i="5"/>
  <c r="V377" i="5"/>
  <c r="W377" i="5"/>
  <c r="X377" i="5"/>
  <c r="B378" i="5"/>
  <c r="C378" i="5"/>
  <c r="D378" i="5"/>
  <c r="AB378" i="5" s="1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X378" i="5"/>
  <c r="B379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AC379" i="5" s="1"/>
  <c r="Q379" i="5"/>
  <c r="R379" i="5"/>
  <c r="S379" i="5"/>
  <c r="T379" i="5"/>
  <c r="U379" i="5"/>
  <c r="V379" i="5"/>
  <c r="W379" i="5"/>
  <c r="X379" i="5"/>
  <c r="B380" i="5"/>
  <c r="C380" i="5"/>
  <c r="D380" i="5"/>
  <c r="AB380" i="5" s="1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X380" i="5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W384" i="5"/>
  <c r="X384" i="5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B386" i="5"/>
  <c r="C386" i="5"/>
  <c r="D386" i="5"/>
  <c r="E386" i="5"/>
  <c r="F386" i="5"/>
  <c r="G386" i="5"/>
  <c r="H386" i="5"/>
  <c r="I386" i="5"/>
  <c r="J386" i="5"/>
  <c r="K386" i="5"/>
  <c r="L386" i="5"/>
  <c r="M386" i="5"/>
  <c r="AC386" i="5" s="1"/>
  <c r="N386" i="5"/>
  <c r="O386" i="5"/>
  <c r="P386" i="5"/>
  <c r="Q386" i="5"/>
  <c r="R386" i="5"/>
  <c r="S386" i="5"/>
  <c r="T386" i="5"/>
  <c r="U386" i="5"/>
  <c r="V386" i="5"/>
  <c r="W386" i="5"/>
  <c r="X386" i="5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AC388" i="5" s="1"/>
  <c r="P388" i="5"/>
  <c r="Q388" i="5"/>
  <c r="R388" i="5"/>
  <c r="S388" i="5"/>
  <c r="T388" i="5"/>
  <c r="U388" i="5"/>
  <c r="V388" i="5"/>
  <c r="W388" i="5"/>
  <c r="X388" i="5"/>
  <c r="B389" i="5"/>
  <c r="C389" i="5"/>
  <c r="AB389" i="5" s="1"/>
  <c r="D389" i="5"/>
  <c r="E389" i="5"/>
  <c r="F389" i="5"/>
  <c r="G389" i="5"/>
  <c r="H389" i="5"/>
  <c r="I389" i="5"/>
  <c r="J389" i="5"/>
  <c r="K389" i="5"/>
  <c r="L389" i="5"/>
  <c r="M389" i="5"/>
  <c r="N389" i="5"/>
  <c r="O389" i="5"/>
  <c r="AC389" i="5" s="1"/>
  <c r="P389" i="5"/>
  <c r="Q389" i="5"/>
  <c r="R389" i="5"/>
  <c r="S389" i="5"/>
  <c r="T389" i="5"/>
  <c r="U389" i="5"/>
  <c r="V389" i="5"/>
  <c r="W389" i="5"/>
  <c r="X389" i="5"/>
  <c r="B390" i="5"/>
  <c r="C390" i="5"/>
  <c r="D390" i="5"/>
  <c r="E390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X390" i="5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X391" i="5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Q392" i="5"/>
  <c r="R392" i="5"/>
  <c r="S392" i="5"/>
  <c r="T392" i="5"/>
  <c r="U392" i="5"/>
  <c r="V392" i="5"/>
  <c r="W392" i="5"/>
  <c r="X392" i="5"/>
  <c r="B393" i="5"/>
  <c r="C393" i="5"/>
  <c r="D393" i="5"/>
  <c r="E393" i="5"/>
  <c r="F393" i="5"/>
  <c r="G393" i="5"/>
  <c r="H393" i="5"/>
  <c r="I393" i="5"/>
  <c r="J393" i="5"/>
  <c r="K393" i="5"/>
  <c r="L393" i="5"/>
  <c r="M393" i="5"/>
  <c r="AC393" i="5" s="1"/>
  <c r="N393" i="5"/>
  <c r="O393" i="5"/>
  <c r="P393" i="5"/>
  <c r="Q393" i="5"/>
  <c r="R393" i="5"/>
  <c r="S393" i="5"/>
  <c r="T393" i="5"/>
  <c r="U393" i="5"/>
  <c r="V393" i="5"/>
  <c r="W393" i="5"/>
  <c r="X393" i="5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U394" i="5"/>
  <c r="V394" i="5"/>
  <c r="W394" i="5"/>
  <c r="X394" i="5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AC395" i="5" s="1"/>
  <c r="P395" i="5"/>
  <c r="Q395" i="5"/>
  <c r="R395" i="5"/>
  <c r="S395" i="5"/>
  <c r="T395" i="5"/>
  <c r="U395" i="5"/>
  <c r="V395" i="5"/>
  <c r="W395" i="5"/>
  <c r="X395" i="5"/>
  <c r="B396" i="5"/>
  <c r="C396" i="5"/>
  <c r="AB396" i="5" s="1"/>
  <c r="D396" i="5"/>
  <c r="E396" i="5"/>
  <c r="F396" i="5"/>
  <c r="G396" i="5"/>
  <c r="H396" i="5"/>
  <c r="I396" i="5"/>
  <c r="J396" i="5"/>
  <c r="K396" i="5"/>
  <c r="L396" i="5"/>
  <c r="M396" i="5"/>
  <c r="N396" i="5"/>
  <c r="O396" i="5"/>
  <c r="P396" i="5"/>
  <c r="Q396" i="5"/>
  <c r="R396" i="5"/>
  <c r="S396" i="5"/>
  <c r="T396" i="5"/>
  <c r="U396" i="5"/>
  <c r="V396" i="5"/>
  <c r="W396" i="5"/>
  <c r="X396" i="5"/>
  <c r="B397" i="5"/>
  <c r="C397" i="5"/>
  <c r="D397" i="5"/>
  <c r="E397" i="5"/>
  <c r="F397" i="5"/>
  <c r="G397" i="5"/>
  <c r="H397" i="5"/>
  <c r="I397" i="5"/>
  <c r="J397" i="5"/>
  <c r="K397" i="5"/>
  <c r="L397" i="5"/>
  <c r="M397" i="5"/>
  <c r="N397" i="5"/>
  <c r="O397" i="5"/>
  <c r="AC397" i="5" s="1"/>
  <c r="P397" i="5"/>
  <c r="Q397" i="5"/>
  <c r="R397" i="5"/>
  <c r="S397" i="5"/>
  <c r="T397" i="5"/>
  <c r="U397" i="5"/>
  <c r="V397" i="5"/>
  <c r="W397" i="5"/>
  <c r="X397" i="5"/>
  <c r="B398" i="5"/>
  <c r="C398" i="5"/>
  <c r="AB398" i="5" s="1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X398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AC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AC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AC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B405" i="5"/>
  <c r="AB405" i="5" s="1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B416" i="5"/>
  <c r="C416" i="5"/>
  <c r="D416" i="5"/>
  <c r="D1103" i="5" s="1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T1103" i="5" s="1"/>
  <c r="U416" i="5"/>
  <c r="V416" i="5"/>
  <c r="W416" i="5"/>
  <c r="X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AC417" i="5" s="1"/>
  <c r="N417" i="5"/>
  <c r="O417" i="5"/>
  <c r="P417" i="5"/>
  <c r="Q417" i="5"/>
  <c r="R417" i="5"/>
  <c r="S417" i="5"/>
  <c r="T417" i="5"/>
  <c r="U417" i="5"/>
  <c r="V417" i="5"/>
  <c r="W417" i="5"/>
  <c r="X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AC419" i="5" s="1"/>
  <c r="P419" i="5"/>
  <c r="Q419" i="5"/>
  <c r="R419" i="5"/>
  <c r="S419" i="5"/>
  <c r="T419" i="5"/>
  <c r="U419" i="5"/>
  <c r="V419" i="5"/>
  <c r="W419" i="5"/>
  <c r="X419" i="5"/>
  <c r="B420" i="5"/>
  <c r="C420" i="5"/>
  <c r="AB420" i="5" s="1"/>
  <c r="D420" i="5"/>
  <c r="E420" i="5"/>
  <c r="F420" i="5"/>
  <c r="G420" i="5"/>
  <c r="H420" i="5"/>
  <c r="I420" i="5"/>
  <c r="J420" i="5"/>
  <c r="K420" i="5"/>
  <c r="L420" i="5"/>
  <c r="M420" i="5"/>
  <c r="N420" i="5"/>
  <c r="O420" i="5"/>
  <c r="AC420" i="5" s="1"/>
  <c r="P420" i="5"/>
  <c r="Q420" i="5"/>
  <c r="R420" i="5"/>
  <c r="S420" i="5"/>
  <c r="T420" i="5"/>
  <c r="U420" i="5"/>
  <c r="V420" i="5"/>
  <c r="W420" i="5"/>
  <c r="X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AC424" i="5" s="1"/>
  <c r="N424" i="5"/>
  <c r="O424" i="5"/>
  <c r="P424" i="5"/>
  <c r="Q424" i="5"/>
  <c r="R424" i="5"/>
  <c r="S424" i="5"/>
  <c r="T424" i="5"/>
  <c r="U424" i="5"/>
  <c r="V424" i="5"/>
  <c r="W424" i="5"/>
  <c r="X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AC425" i="5" s="1"/>
  <c r="O425" i="5"/>
  <c r="P425" i="5"/>
  <c r="Q425" i="5"/>
  <c r="R425" i="5"/>
  <c r="S425" i="5"/>
  <c r="T425" i="5"/>
  <c r="U425" i="5"/>
  <c r="V425" i="5"/>
  <c r="W425" i="5"/>
  <c r="X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B427" i="5"/>
  <c r="C427" i="5"/>
  <c r="AB427" i="5" s="1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B430" i="5"/>
  <c r="C430" i="5"/>
  <c r="D430" i="5"/>
  <c r="E430" i="5"/>
  <c r="F430" i="5"/>
  <c r="G430" i="5"/>
  <c r="H430" i="5"/>
  <c r="I430" i="5"/>
  <c r="J430" i="5"/>
  <c r="K430" i="5"/>
  <c r="L430" i="5"/>
  <c r="M430" i="5"/>
  <c r="AC430" i="5" s="1"/>
  <c r="N430" i="5"/>
  <c r="O430" i="5"/>
  <c r="P430" i="5"/>
  <c r="Q430" i="5"/>
  <c r="R430" i="5"/>
  <c r="S430" i="5"/>
  <c r="T430" i="5"/>
  <c r="U430" i="5"/>
  <c r="V430" i="5"/>
  <c r="W430" i="5"/>
  <c r="X430" i="5"/>
  <c r="B431" i="5"/>
  <c r="C431" i="5"/>
  <c r="D431" i="5"/>
  <c r="E431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X431" i="5"/>
  <c r="B432" i="5"/>
  <c r="C432" i="5"/>
  <c r="D432" i="5"/>
  <c r="E432" i="5"/>
  <c r="F432" i="5"/>
  <c r="G432" i="5"/>
  <c r="H432" i="5"/>
  <c r="I432" i="5"/>
  <c r="J432" i="5"/>
  <c r="K432" i="5"/>
  <c r="K1104" i="5" s="1"/>
  <c r="L432" i="5"/>
  <c r="M432" i="5"/>
  <c r="N432" i="5"/>
  <c r="O432" i="5"/>
  <c r="P432" i="5"/>
  <c r="Q432" i="5"/>
  <c r="R432" i="5"/>
  <c r="S432" i="5"/>
  <c r="S1104" i="5" s="1"/>
  <c r="T432" i="5"/>
  <c r="U432" i="5"/>
  <c r="V432" i="5"/>
  <c r="W432" i="5"/>
  <c r="X432" i="5"/>
  <c r="B433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AC433" i="5" s="1"/>
  <c r="Q433" i="5"/>
  <c r="R433" i="5"/>
  <c r="S433" i="5"/>
  <c r="T433" i="5"/>
  <c r="U433" i="5"/>
  <c r="V433" i="5"/>
  <c r="W433" i="5"/>
  <c r="X433" i="5"/>
  <c r="B434" i="5"/>
  <c r="C434" i="5"/>
  <c r="D434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AC434" i="5" s="1"/>
  <c r="Q434" i="5"/>
  <c r="R434" i="5"/>
  <c r="S434" i="5"/>
  <c r="T434" i="5"/>
  <c r="U434" i="5"/>
  <c r="V434" i="5"/>
  <c r="W434" i="5"/>
  <c r="X434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AC435" i="5" s="1"/>
  <c r="Q435" i="5"/>
  <c r="R435" i="5"/>
  <c r="S435" i="5"/>
  <c r="T435" i="5"/>
  <c r="U435" i="5"/>
  <c r="V435" i="5"/>
  <c r="W435" i="5"/>
  <c r="X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AC437" i="5" s="1"/>
  <c r="O437" i="5"/>
  <c r="P437" i="5"/>
  <c r="Q437" i="5"/>
  <c r="R437" i="5"/>
  <c r="S437" i="5"/>
  <c r="T437" i="5"/>
  <c r="U437" i="5"/>
  <c r="V437" i="5"/>
  <c r="W437" i="5"/>
  <c r="X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AC441" i="5" s="1"/>
  <c r="O441" i="5"/>
  <c r="P441" i="5"/>
  <c r="Q441" i="5"/>
  <c r="R441" i="5"/>
  <c r="S441" i="5"/>
  <c r="T441" i="5"/>
  <c r="U441" i="5"/>
  <c r="V441" i="5"/>
  <c r="W441" i="5"/>
  <c r="X441" i="5"/>
  <c r="B442" i="5"/>
  <c r="AB442" i="5" s="1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AC445" i="5" s="1"/>
  <c r="Q445" i="5"/>
  <c r="R445" i="5"/>
  <c r="S445" i="5"/>
  <c r="T445" i="5"/>
  <c r="U445" i="5"/>
  <c r="V445" i="5"/>
  <c r="W445" i="5"/>
  <c r="X445" i="5"/>
  <c r="B446" i="5"/>
  <c r="C446" i="5"/>
  <c r="D446" i="5"/>
  <c r="AB446" i="5" s="1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AC452" i="5" s="1"/>
  <c r="N452" i="5"/>
  <c r="O452" i="5"/>
  <c r="P452" i="5"/>
  <c r="Q452" i="5"/>
  <c r="R452" i="5"/>
  <c r="S452" i="5"/>
  <c r="T452" i="5"/>
  <c r="U452" i="5"/>
  <c r="V452" i="5"/>
  <c r="W452" i="5"/>
  <c r="X452" i="5"/>
  <c r="AB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AC453" i="5" s="1"/>
  <c r="Q453" i="5"/>
  <c r="R453" i="5"/>
  <c r="S453" i="5"/>
  <c r="T453" i="5"/>
  <c r="U453" i="5"/>
  <c r="V453" i="5"/>
  <c r="W453" i="5"/>
  <c r="X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AC458" i="5" s="1"/>
  <c r="N458" i="5"/>
  <c r="O458" i="5"/>
  <c r="P458" i="5"/>
  <c r="Q458" i="5"/>
  <c r="R458" i="5"/>
  <c r="S458" i="5"/>
  <c r="T458" i="5"/>
  <c r="U458" i="5"/>
  <c r="V458" i="5"/>
  <c r="W458" i="5"/>
  <c r="X458" i="5"/>
  <c r="AB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AC461" i="5" s="1"/>
  <c r="P461" i="5"/>
  <c r="Q461" i="5"/>
  <c r="R461" i="5"/>
  <c r="S461" i="5"/>
  <c r="T461" i="5"/>
  <c r="U461" i="5"/>
  <c r="V461" i="5"/>
  <c r="W461" i="5"/>
  <c r="X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AC463" i="5" s="1"/>
  <c r="N463" i="5"/>
  <c r="O463" i="5"/>
  <c r="P463" i="5"/>
  <c r="Q463" i="5"/>
  <c r="R463" i="5"/>
  <c r="S463" i="5"/>
  <c r="T463" i="5"/>
  <c r="U463" i="5"/>
  <c r="V463" i="5"/>
  <c r="W463" i="5"/>
  <c r="X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B466" i="5"/>
  <c r="C466" i="5"/>
  <c r="D466" i="5"/>
  <c r="E466" i="5"/>
  <c r="F466" i="5"/>
  <c r="G466" i="5"/>
  <c r="H466" i="5"/>
  <c r="I466" i="5"/>
  <c r="J466" i="5"/>
  <c r="K466" i="5"/>
  <c r="L466" i="5"/>
  <c r="M466" i="5"/>
  <c r="N466" i="5"/>
  <c r="O466" i="5"/>
  <c r="P466" i="5"/>
  <c r="AC466" i="5" s="1"/>
  <c r="Q466" i="5"/>
  <c r="R466" i="5"/>
  <c r="S466" i="5"/>
  <c r="T466" i="5"/>
  <c r="U466" i="5"/>
  <c r="V466" i="5"/>
  <c r="W466" i="5"/>
  <c r="X466" i="5"/>
  <c r="B467" i="5"/>
  <c r="C467" i="5"/>
  <c r="D467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AC467" i="5" s="1"/>
  <c r="Q467" i="5"/>
  <c r="R467" i="5"/>
  <c r="S467" i="5"/>
  <c r="T467" i="5"/>
  <c r="U467" i="5"/>
  <c r="V467" i="5"/>
  <c r="W467" i="5"/>
  <c r="X467" i="5"/>
  <c r="B468" i="5"/>
  <c r="C468" i="5"/>
  <c r="D468" i="5"/>
  <c r="E468" i="5"/>
  <c r="F468" i="5"/>
  <c r="G468" i="5"/>
  <c r="H468" i="5"/>
  <c r="I468" i="5"/>
  <c r="J468" i="5"/>
  <c r="K468" i="5"/>
  <c r="L468" i="5"/>
  <c r="M468" i="5"/>
  <c r="N468" i="5"/>
  <c r="O468" i="5"/>
  <c r="P468" i="5"/>
  <c r="Q468" i="5"/>
  <c r="R468" i="5"/>
  <c r="S468" i="5"/>
  <c r="T468" i="5"/>
  <c r="U468" i="5"/>
  <c r="V468" i="5"/>
  <c r="W468" i="5"/>
  <c r="X468" i="5"/>
  <c r="AC468" i="5"/>
  <c r="B469" i="5"/>
  <c r="C469" i="5"/>
  <c r="D469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X469" i="5"/>
  <c r="AB469" i="5"/>
  <c r="B470" i="5"/>
  <c r="C470" i="5"/>
  <c r="D470" i="5"/>
  <c r="E470" i="5"/>
  <c r="F470" i="5"/>
  <c r="G470" i="5"/>
  <c r="H470" i="5"/>
  <c r="I470" i="5"/>
  <c r="J470" i="5"/>
  <c r="K470" i="5"/>
  <c r="L470" i="5"/>
  <c r="M470" i="5"/>
  <c r="N470" i="5"/>
  <c r="O470" i="5"/>
  <c r="P470" i="5"/>
  <c r="Q470" i="5"/>
  <c r="R470" i="5"/>
  <c r="S470" i="5"/>
  <c r="T470" i="5"/>
  <c r="U470" i="5"/>
  <c r="V470" i="5"/>
  <c r="W470" i="5"/>
  <c r="X470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AC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AB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AC483" i="5" s="1"/>
  <c r="Q483" i="5"/>
  <c r="R483" i="5"/>
  <c r="S483" i="5"/>
  <c r="T483" i="5"/>
  <c r="U483" i="5"/>
  <c r="V483" i="5"/>
  <c r="W483" i="5"/>
  <c r="X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AC484" i="5" s="1"/>
  <c r="N484" i="5"/>
  <c r="O484" i="5"/>
  <c r="P484" i="5"/>
  <c r="Q484" i="5"/>
  <c r="R484" i="5"/>
  <c r="S484" i="5"/>
  <c r="T484" i="5"/>
  <c r="U484" i="5"/>
  <c r="V484" i="5"/>
  <c r="W484" i="5"/>
  <c r="X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AC490" i="5" s="1"/>
  <c r="N490" i="5"/>
  <c r="O490" i="5"/>
  <c r="P490" i="5"/>
  <c r="Q490" i="5"/>
  <c r="R490" i="5"/>
  <c r="S490" i="5"/>
  <c r="T490" i="5"/>
  <c r="U490" i="5"/>
  <c r="V490" i="5"/>
  <c r="W490" i="5"/>
  <c r="X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AC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AC498" i="5" s="1"/>
  <c r="N498" i="5"/>
  <c r="O498" i="5"/>
  <c r="P498" i="5"/>
  <c r="Q498" i="5"/>
  <c r="R498" i="5"/>
  <c r="S498" i="5"/>
  <c r="T498" i="5"/>
  <c r="U498" i="5"/>
  <c r="V498" i="5"/>
  <c r="W498" i="5"/>
  <c r="X498" i="5"/>
  <c r="AB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AC499" i="5" s="1"/>
  <c r="Q499" i="5"/>
  <c r="R499" i="5"/>
  <c r="S499" i="5"/>
  <c r="T499" i="5"/>
  <c r="U499" i="5"/>
  <c r="V499" i="5"/>
  <c r="W499" i="5"/>
  <c r="X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AC500" i="5" s="1"/>
  <c r="N500" i="5"/>
  <c r="O500" i="5"/>
  <c r="P500" i="5"/>
  <c r="Q500" i="5"/>
  <c r="R500" i="5"/>
  <c r="S500" i="5"/>
  <c r="T500" i="5"/>
  <c r="U500" i="5"/>
  <c r="V500" i="5"/>
  <c r="W500" i="5"/>
  <c r="X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B502" i="5"/>
  <c r="C502" i="5"/>
  <c r="D502" i="5"/>
  <c r="E502" i="5"/>
  <c r="F502" i="5"/>
  <c r="G502" i="5"/>
  <c r="H502" i="5"/>
  <c r="I502" i="5"/>
  <c r="J502" i="5"/>
  <c r="K502" i="5"/>
  <c r="L502" i="5"/>
  <c r="M502" i="5"/>
  <c r="N502" i="5"/>
  <c r="O502" i="5"/>
  <c r="P502" i="5"/>
  <c r="Q502" i="5"/>
  <c r="R502" i="5"/>
  <c r="S502" i="5"/>
  <c r="T502" i="5"/>
  <c r="U502" i="5"/>
  <c r="V502" i="5"/>
  <c r="W502" i="5"/>
  <c r="X502" i="5"/>
  <c r="B503" i="5"/>
  <c r="C503" i="5"/>
  <c r="D503" i="5"/>
  <c r="E503" i="5"/>
  <c r="E1110" i="5" s="1"/>
  <c r="F503" i="5"/>
  <c r="G503" i="5"/>
  <c r="H503" i="5"/>
  <c r="I503" i="5"/>
  <c r="J503" i="5"/>
  <c r="K503" i="5"/>
  <c r="L503" i="5"/>
  <c r="M503" i="5"/>
  <c r="AC503" i="5" s="1"/>
  <c r="N503" i="5"/>
  <c r="O503" i="5"/>
  <c r="P503" i="5"/>
  <c r="Q503" i="5"/>
  <c r="R503" i="5"/>
  <c r="S503" i="5"/>
  <c r="T503" i="5"/>
  <c r="U503" i="5"/>
  <c r="V503" i="5"/>
  <c r="W503" i="5"/>
  <c r="X503" i="5"/>
  <c r="B504" i="5"/>
  <c r="C504" i="5"/>
  <c r="D504" i="5"/>
  <c r="E504" i="5"/>
  <c r="F504" i="5"/>
  <c r="F1110" i="5" s="1"/>
  <c r="G504" i="5"/>
  <c r="H504" i="5"/>
  <c r="I504" i="5"/>
  <c r="J504" i="5"/>
  <c r="K504" i="5"/>
  <c r="L504" i="5"/>
  <c r="M504" i="5"/>
  <c r="N504" i="5"/>
  <c r="O504" i="5"/>
  <c r="P504" i="5"/>
  <c r="Q504" i="5"/>
  <c r="R504" i="5"/>
  <c r="S504" i="5"/>
  <c r="T504" i="5"/>
  <c r="U504" i="5"/>
  <c r="V504" i="5"/>
  <c r="W504" i="5"/>
  <c r="X504" i="5"/>
  <c r="B505" i="5"/>
  <c r="C505" i="5"/>
  <c r="D505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X505" i="5"/>
  <c r="B506" i="5"/>
  <c r="C506" i="5"/>
  <c r="D506" i="5"/>
  <c r="E506" i="5"/>
  <c r="F506" i="5"/>
  <c r="G506" i="5"/>
  <c r="H506" i="5"/>
  <c r="I506" i="5"/>
  <c r="J506" i="5"/>
  <c r="K506" i="5"/>
  <c r="L506" i="5"/>
  <c r="M506" i="5"/>
  <c r="N506" i="5"/>
  <c r="O506" i="5"/>
  <c r="P506" i="5"/>
  <c r="AC506" i="5" s="1"/>
  <c r="Q506" i="5"/>
  <c r="R506" i="5"/>
  <c r="S506" i="5"/>
  <c r="T506" i="5"/>
  <c r="U506" i="5"/>
  <c r="V506" i="5"/>
  <c r="W506" i="5"/>
  <c r="X506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AC507" i="5" s="1"/>
  <c r="Q507" i="5"/>
  <c r="R507" i="5"/>
  <c r="S507" i="5"/>
  <c r="T507" i="5"/>
  <c r="U507" i="5"/>
  <c r="V507" i="5"/>
  <c r="W507" i="5"/>
  <c r="X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B516" i="5"/>
  <c r="C516" i="5"/>
  <c r="D516" i="5"/>
  <c r="E516" i="5"/>
  <c r="F516" i="5"/>
  <c r="G516" i="5"/>
  <c r="H516" i="5"/>
  <c r="I516" i="5"/>
  <c r="I1111" i="5" s="1"/>
  <c r="J516" i="5"/>
  <c r="AB516" i="5" s="1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AC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AC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AC522" i="5" s="1"/>
  <c r="N522" i="5"/>
  <c r="O522" i="5"/>
  <c r="P522" i="5"/>
  <c r="Q522" i="5"/>
  <c r="R522" i="5"/>
  <c r="S522" i="5"/>
  <c r="T522" i="5"/>
  <c r="U522" i="5"/>
  <c r="V522" i="5"/>
  <c r="W522" i="5"/>
  <c r="X522" i="5"/>
  <c r="AB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B524" i="5"/>
  <c r="AB524" i="5" s="1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AC525" i="5" s="1"/>
  <c r="O525" i="5"/>
  <c r="P525" i="5"/>
  <c r="Q525" i="5"/>
  <c r="R525" i="5"/>
  <c r="S525" i="5"/>
  <c r="T525" i="5"/>
  <c r="U525" i="5"/>
  <c r="V525" i="5"/>
  <c r="W525" i="5"/>
  <c r="X525" i="5"/>
  <c r="B526" i="5"/>
  <c r="AB526" i="5" s="1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N1113" i="5" s="1"/>
  <c r="O535" i="5"/>
  <c r="P535" i="5"/>
  <c r="Q535" i="5"/>
  <c r="R535" i="5"/>
  <c r="S535" i="5"/>
  <c r="T535" i="5"/>
  <c r="U535" i="5"/>
  <c r="V535" i="5"/>
  <c r="V1113" i="5" s="1"/>
  <c r="W535" i="5"/>
  <c r="X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B538" i="5"/>
  <c r="C538" i="5"/>
  <c r="D538" i="5"/>
  <c r="E538" i="5"/>
  <c r="F538" i="5"/>
  <c r="G538" i="5"/>
  <c r="H538" i="5"/>
  <c r="I538" i="5"/>
  <c r="J538" i="5"/>
  <c r="K538" i="5"/>
  <c r="L538" i="5"/>
  <c r="M538" i="5"/>
  <c r="N538" i="5"/>
  <c r="O538" i="5"/>
  <c r="P538" i="5"/>
  <c r="Q538" i="5"/>
  <c r="R538" i="5"/>
  <c r="S538" i="5"/>
  <c r="T538" i="5"/>
  <c r="U538" i="5"/>
  <c r="V538" i="5"/>
  <c r="W538" i="5"/>
  <c r="X538" i="5"/>
  <c r="AC538" i="5"/>
  <c r="B539" i="5"/>
  <c r="C539" i="5"/>
  <c r="D539" i="5"/>
  <c r="E539" i="5"/>
  <c r="F539" i="5"/>
  <c r="G539" i="5"/>
  <c r="H539" i="5"/>
  <c r="I539" i="5"/>
  <c r="J539" i="5"/>
  <c r="K539" i="5"/>
  <c r="L539" i="5"/>
  <c r="M539" i="5"/>
  <c r="AC539" i="5" s="1"/>
  <c r="N539" i="5"/>
  <c r="O539" i="5"/>
  <c r="P539" i="5"/>
  <c r="Q539" i="5"/>
  <c r="R539" i="5"/>
  <c r="S539" i="5"/>
  <c r="T539" i="5"/>
  <c r="U539" i="5"/>
  <c r="V539" i="5"/>
  <c r="W539" i="5"/>
  <c r="X539" i="5"/>
  <c r="AB539" i="5"/>
  <c r="B540" i="5"/>
  <c r="C540" i="5"/>
  <c r="D540" i="5"/>
  <c r="E540" i="5"/>
  <c r="F540" i="5"/>
  <c r="G540" i="5"/>
  <c r="H540" i="5"/>
  <c r="AB540" i="5" s="1"/>
  <c r="I540" i="5"/>
  <c r="J540" i="5"/>
  <c r="K540" i="5"/>
  <c r="L540" i="5"/>
  <c r="M540" i="5"/>
  <c r="N540" i="5"/>
  <c r="O540" i="5"/>
  <c r="P540" i="5"/>
  <c r="P1113" i="5" s="1"/>
  <c r="Q540" i="5"/>
  <c r="R540" i="5"/>
  <c r="S540" i="5"/>
  <c r="T540" i="5"/>
  <c r="U540" i="5"/>
  <c r="V540" i="5"/>
  <c r="W540" i="5"/>
  <c r="X540" i="5"/>
  <c r="X1113" i="5" s="1"/>
  <c r="B541" i="5"/>
  <c r="C541" i="5"/>
  <c r="D541" i="5"/>
  <c r="E541" i="5"/>
  <c r="F541" i="5"/>
  <c r="G541" i="5"/>
  <c r="H541" i="5"/>
  <c r="I541" i="5"/>
  <c r="J541" i="5"/>
  <c r="K541" i="5"/>
  <c r="L541" i="5"/>
  <c r="M541" i="5"/>
  <c r="N541" i="5"/>
  <c r="O541" i="5"/>
  <c r="P541" i="5"/>
  <c r="Q541" i="5"/>
  <c r="R541" i="5"/>
  <c r="S541" i="5"/>
  <c r="T541" i="5"/>
  <c r="U541" i="5"/>
  <c r="V541" i="5"/>
  <c r="W541" i="5"/>
  <c r="X541" i="5"/>
  <c r="B542" i="5"/>
  <c r="C542" i="5"/>
  <c r="D542" i="5"/>
  <c r="E542" i="5"/>
  <c r="F542" i="5"/>
  <c r="G542" i="5"/>
  <c r="H542" i="5"/>
  <c r="I542" i="5"/>
  <c r="J542" i="5"/>
  <c r="K542" i="5"/>
  <c r="L542" i="5"/>
  <c r="M542" i="5"/>
  <c r="N542" i="5"/>
  <c r="AC542" i="5" s="1"/>
  <c r="O542" i="5"/>
  <c r="P542" i="5"/>
  <c r="Q542" i="5"/>
  <c r="R542" i="5"/>
  <c r="S542" i="5"/>
  <c r="T542" i="5"/>
  <c r="U542" i="5"/>
  <c r="V542" i="5"/>
  <c r="W542" i="5"/>
  <c r="X542" i="5"/>
  <c r="B543" i="5"/>
  <c r="AB543" i="5" s="1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AC545" i="5" s="1"/>
  <c r="P545" i="5"/>
  <c r="Q545" i="5"/>
  <c r="R545" i="5"/>
  <c r="S545" i="5"/>
  <c r="T545" i="5"/>
  <c r="U545" i="5"/>
  <c r="V545" i="5"/>
  <c r="W545" i="5"/>
  <c r="X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AC546" i="5" s="1"/>
  <c r="P546" i="5"/>
  <c r="Q546" i="5"/>
  <c r="R546" i="5"/>
  <c r="S546" i="5"/>
  <c r="T546" i="5"/>
  <c r="U546" i="5"/>
  <c r="V546" i="5"/>
  <c r="W546" i="5"/>
  <c r="X546" i="5"/>
  <c r="B547" i="5"/>
  <c r="C547" i="5"/>
  <c r="AB547" i="5" s="1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B548" i="5"/>
  <c r="C548" i="5"/>
  <c r="D548" i="5"/>
  <c r="E548" i="5"/>
  <c r="F548" i="5"/>
  <c r="G548" i="5"/>
  <c r="AB548" i="5" s="1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AC553" i="5" s="1"/>
  <c r="Q553" i="5"/>
  <c r="R553" i="5"/>
  <c r="S553" i="5"/>
  <c r="T553" i="5"/>
  <c r="U553" i="5"/>
  <c r="V553" i="5"/>
  <c r="W553" i="5"/>
  <c r="X553" i="5"/>
  <c r="B554" i="5"/>
  <c r="C554" i="5"/>
  <c r="D554" i="5"/>
  <c r="AB554" i="5" s="1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AC555" i="5" s="1"/>
  <c r="Q555" i="5"/>
  <c r="R555" i="5"/>
  <c r="S555" i="5"/>
  <c r="T555" i="5"/>
  <c r="U555" i="5"/>
  <c r="V555" i="5"/>
  <c r="W555" i="5"/>
  <c r="X555" i="5"/>
  <c r="B556" i="5"/>
  <c r="C556" i="5"/>
  <c r="D556" i="5"/>
  <c r="AB556" i="5" s="1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AC557" i="5" s="1"/>
  <c r="Q557" i="5"/>
  <c r="R557" i="5"/>
  <c r="S557" i="5"/>
  <c r="T557" i="5"/>
  <c r="U557" i="5"/>
  <c r="V557" i="5"/>
  <c r="W557" i="5"/>
  <c r="X557" i="5"/>
  <c r="B558" i="5"/>
  <c r="C558" i="5"/>
  <c r="D558" i="5"/>
  <c r="AB558" i="5" s="1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AC561" i="5" s="1"/>
  <c r="O561" i="5"/>
  <c r="P561" i="5"/>
  <c r="Q561" i="5"/>
  <c r="R561" i="5"/>
  <c r="S561" i="5"/>
  <c r="T561" i="5"/>
  <c r="U561" i="5"/>
  <c r="V561" i="5"/>
  <c r="W561" i="5"/>
  <c r="X561" i="5"/>
  <c r="B562" i="5"/>
  <c r="AB562" i="5" s="1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AC566" i="5" s="1"/>
  <c r="N566" i="5"/>
  <c r="O566" i="5"/>
  <c r="P566" i="5"/>
  <c r="Q566" i="5"/>
  <c r="R566" i="5"/>
  <c r="S566" i="5"/>
  <c r="T566" i="5"/>
  <c r="U566" i="5"/>
  <c r="V566" i="5"/>
  <c r="W566" i="5"/>
  <c r="X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B571" i="5"/>
  <c r="AB571" i="5" s="1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AC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B574" i="5"/>
  <c r="C574" i="5"/>
  <c r="D574" i="5"/>
  <c r="E574" i="5"/>
  <c r="F574" i="5"/>
  <c r="G574" i="5"/>
  <c r="H574" i="5"/>
  <c r="I574" i="5"/>
  <c r="J574" i="5"/>
  <c r="K574" i="5"/>
  <c r="L574" i="5"/>
  <c r="M574" i="5"/>
  <c r="N574" i="5"/>
  <c r="O574" i="5"/>
  <c r="P574" i="5"/>
  <c r="Q574" i="5"/>
  <c r="R574" i="5"/>
  <c r="S574" i="5"/>
  <c r="T574" i="5"/>
  <c r="U574" i="5"/>
  <c r="V574" i="5"/>
  <c r="W574" i="5"/>
  <c r="X574" i="5"/>
  <c r="B575" i="5"/>
  <c r="C575" i="5"/>
  <c r="D575" i="5"/>
  <c r="E575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R575" i="5"/>
  <c r="S575" i="5"/>
  <c r="T575" i="5"/>
  <c r="U575" i="5"/>
  <c r="V575" i="5"/>
  <c r="W575" i="5"/>
  <c r="X575" i="5"/>
  <c r="B576" i="5"/>
  <c r="C576" i="5"/>
  <c r="D576" i="5"/>
  <c r="E576" i="5"/>
  <c r="F576" i="5"/>
  <c r="G576" i="5"/>
  <c r="H576" i="5"/>
  <c r="I576" i="5"/>
  <c r="J576" i="5"/>
  <c r="K576" i="5"/>
  <c r="L576" i="5"/>
  <c r="M576" i="5"/>
  <c r="N576" i="5"/>
  <c r="O576" i="5"/>
  <c r="P576" i="5"/>
  <c r="Q576" i="5"/>
  <c r="R576" i="5"/>
  <c r="S576" i="5"/>
  <c r="T576" i="5"/>
  <c r="U576" i="5"/>
  <c r="V576" i="5"/>
  <c r="W576" i="5"/>
  <c r="X576" i="5"/>
  <c r="B577" i="5"/>
  <c r="C577" i="5"/>
  <c r="D577" i="5"/>
  <c r="E577" i="5"/>
  <c r="F577" i="5"/>
  <c r="G577" i="5"/>
  <c r="H577" i="5"/>
  <c r="I577" i="5"/>
  <c r="J577" i="5"/>
  <c r="K577" i="5"/>
  <c r="L577" i="5"/>
  <c r="M577" i="5"/>
  <c r="N577" i="5"/>
  <c r="AC577" i="5" s="1"/>
  <c r="O577" i="5"/>
  <c r="P577" i="5"/>
  <c r="Q577" i="5"/>
  <c r="R577" i="5"/>
  <c r="S577" i="5"/>
  <c r="T577" i="5"/>
  <c r="U577" i="5"/>
  <c r="V577" i="5"/>
  <c r="W577" i="5"/>
  <c r="X577" i="5"/>
  <c r="B578" i="5"/>
  <c r="C578" i="5"/>
  <c r="D578" i="5"/>
  <c r="E578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R578" i="5"/>
  <c r="S578" i="5"/>
  <c r="T578" i="5"/>
  <c r="U578" i="5"/>
  <c r="V578" i="5"/>
  <c r="W578" i="5"/>
  <c r="X578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AC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AB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B597" i="5"/>
  <c r="C597" i="5"/>
  <c r="C1118" i="5" s="1"/>
  <c r="D597" i="5"/>
  <c r="E597" i="5"/>
  <c r="F597" i="5"/>
  <c r="G597" i="5"/>
  <c r="H597" i="5"/>
  <c r="I597" i="5"/>
  <c r="J597" i="5"/>
  <c r="K597" i="5"/>
  <c r="L597" i="5"/>
  <c r="M597" i="5"/>
  <c r="N597" i="5"/>
  <c r="O597" i="5"/>
  <c r="AC597" i="5" s="1"/>
  <c r="P597" i="5"/>
  <c r="Q597" i="5"/>
  <c r="R597" i="5"/>
  <c r="S597" i="5"/>
  <c r="T597" i="5"/>
  <c r="U597" i="5"/>
  <c r="V597" i="5"/>
  <c r="W597" i="5"/>
  <c r="X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AC601" i="5" s="1"/>
  <c r="P601" i="5"/>
  <c r="Q601" i="5"/>
  <c r="R601" i="5"/>
  <c r="S601" i="5"/>
  <c r="T601" i="5"/>
  <c r="U601" i="5"/>
  <c r="V601" i="5"/>
  <c r="W601" i="5"/>
  <c r="X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AC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AC606" i="5" s="1"/>
  <c r="P606" i="5"/>
  <c r="Q606" i="5"/>
  <c r="R606" i="5"/>
  <c r="S606" i="5"/>
  <c r="T606" i="5"/>
  <c r="U606" i="5"/>
  <c r="V606" i="5"/>
  <c r="W606" i="5"/>
  <c r="X606" i="5"/>
  <c r="B607" i="5"/>
  <c r="C607" i="5"/>
  <c r="AB607" i="5" s="1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AC609" i="5" s="1"/>
  <c r="Q609" i="5"/>
  <c r="R609" i="5"/>
  <c r="S609" i="5"/>
  <c r="T609" i="5"/>
  <c r="U609" i="5"/>
  <c r="V609" i="5"/>
  <c r="W609" i="5"/>
  <c r="X609" i="5"/>
  <c r="B610" i="5"/>
  <c r="C610" i="5"/>
  <c r="D610" i="5"/>
  <c r="E610" i="5"/>
  <c r="F610" i="5"/>
  <c r="G610" i="5"/>
  <c r="H610" i="5"/>
  <c r="I610" i="5"/>
  <c r="J610" i="5"/>
  <c r="K610" i="5"/>
  <c r="L610" i="5"/>
  <c r="M610" i="5"/>
  <c r="N610" i="5"/>
  <c r="O610" i="5"/>
  <c r="P610" i="5"/>
  <c r="AC610" i="5" s="1"/>
  <c r="Q610" i="5"/>
  <c r="R610" i="5"/>
  <c r="S610" i="5"/>
  <c r="T610" i="5"/>
  <c r="U610" i="5"/>
  <c r="V610" i="5"/>
  <c r="W610" i="5"/>
  <c r="X610" i="5"/>
  <c r="B611" i="5"/>
  <c r="C611" i="5"/>
  <c r="D611" i="5"/>
  <c r="E611" i="5"/>
  <c r="F611" i="5"/>
  <c r="G611" i="5"/>
  <c r="H611" i="5"/>
  <c r="I611" i="5"/>
  <c r="J611" i="5"/>
  <c r="K611" i="5"/>
  <c r="L611" i="5"/>
  <c r="M611" i="5"/>
  <c r="N611" i="5"/>
  <c r="O611" i="5"/>
  <c r="P611" i="5"/>
  <c r="AC611" i="5" s="1"/>
  <c r="Q611" i="5"/>
  <c r="R611" i="5"/>
  <c r="S611" i="5"/>
  <c r="T611" i="5"/>
  <c r="U611" i="5"/>
  <c r="V611" i="5"/>
  <c r="W611" i="5"/>
  <c r="X611" i="5"/>
  <c r="B612" i="5"/>
  <c r="C612" i="5"/>
  <c r="D612" i="5"/>
  <c r="AB612" i="5" s="1"/>
  <c r="E612" i="5"/>
  <c r="F612" i="5"/>
  <c r="G612" i="5"/>
  <c r="H612" i="5"/>
  <c r="I612" i="5"/>
  <c r="J612" i="5"/>
  <c r="K612" i="5"/>
  <c r="L612" i="5"/>
  <c r="M612" i="5"/>
  <c r="N612" i="5"/>
  <c r="O612" i="5"/>
  <c r="P612" i="5"/>
  <c r="Q612" i="5"/>
  <c r="R612" i="5"/>
  <c r="S612" i="5"/>
  <c r="T612" i="5"/>
  <c r="U612" i="5"/>
  <c r="V612" i="5"/>
  <c r="W612" i="5"/>
  <c r="X612" i="5"/>
  <c r="B613" i="5"/>
  <c r="C613" i="5"/>
  <c r="D613" i="5"/>
  <c r="E613" i="5"/>
  <c r="F613" i="5"/>
  <c r="G613" i="5"/>
  <c r="H613" i="5"/>
  <c r="I613" i="5"/>
  <c r="J613" i="5"/>
  <c r="K613" i="5"/>
  <c r="L613" i="5"/>
  <c r="M613" i="5"/>
  <c r="N613" i="5"/>
  <c r="O613" i="5"/>
  <c r="P613" i="5"/>
  <c r="AC613" i="5" s="1"/>
  <c r="Q613" i="5"/>
  <c r="R613" i="5"/>
  <c r="S613" i="5"/>
  <c r="T613" i="5"/>
  <c r="U613" i="5"/>
  <c r="V613" i="5"/>
  <c r="W613" i="5"/>
  <c r="X613" i="5"/>
  <c r="B614" i="5"/>
  <c r="C614" i="5"/>
  <c r="D614" i="5"/>
  <c r="AB614" i="5" s="1"/>
  <c r="E614" i="5"/>
  <c r="F614" i="5"/>
  <c r="G614" i="5"/>
  <c r="H614" i="5"/>
  <c r="I614" i="5"/>
  <c r="J614" i="5"/>
  <c r="K614" i="5"/>
  <c r="L614" i="5"/>
  <c r="M614" i="5"/>
  <c r="N614" i="5"/>
  <c r="O614" i="5"/>
  <c r="P614" i="5"/>
  <c r="Q614" i="5"/>
  <c r="R614" i="5"/>
  <c r="S614" i="5"/>
  <c r="T614" i="5"/>
  <c r="U614" i="5"/>
  <c r="V614" i="5"/>
  <c r="W614" i="5"/>
  <c r="X614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AC616" i="5" s="1"/>
  <c r="N616" i="5"/>
  <c r="O616" i="5"/>
  <c r="P616" i="5"/>
  <c r="Q616" i="5"/>
  <c r="R616" i="5"/>
  <c r="S616" i="5"/>
  <c r="T616" i="5"/>
  <c r="U616" i="5"/>
  <c r="V616" i="5"/>
  <c r="W616" i="5"/>
  <c r="X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AC617" i="5" s="1"/>
  <c r="O617" i="5"/>
  <c r="P617" i="5"/>
  <c r="Q617" i="5"/>
  <c r="R617" i="5"/>
  <c r="S617" i="5"/>
  <c r="T617" i="5"/>
  <c r="U617" i="5"/>
  <c r="V617" i="5"/>
  <c r="W617" i="5"/>
  <c r="X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AC620" i="5" s="1"/>
  <c r="N620" i="5"/>
  <c r="O620" i="5"/>
  <c r="P620" i="5"/>
  <c r="Q620" i="5"/>
  <c r="R620" i="5"/>
  <c r="S620" i="5"/>
  <c r="T620" i="5"/>
  <c r="U620" i="5"/>
  <c r="V620" i="5"/>
  <c r="W620" i="5"/>
  <c r="X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AC621" i="5" s="1"/>
  <c r="O621" i="5"/>
  <c r="P621" i="5"/>
  <c r="Q621" i="5"/>
  <c r="R621" i="5"/>
  <c r="S621" i="5"/>
  <c r="T621" i="5"/>
  <c r="U621" i="5"/>
  <c r="V621" i="5"/>
  <c r="W621" i="5"/>
  <c r="X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AC624" i="5" s="1"/>
  <c r="N624" i="5"/>
  <c r="O624" i="5"/>
  <c r="P624" i="5"/>
  <c r="Q624" i="5"/>
  <c r="R624" i="5"/>
  <c r="S624" i="5"/>
  <c r="T624" i="5"/>
  <c r="U624" i="5"/>
  <c r="V624" i="5"/>
  <c r="W624" i="5"/>
  <c r="X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AC630" i="5" s="1"/>
  <c r="P630" i="5"/>
  <c r="Q630" i="5"/>
  <c r="R630" i="5"/>
  <c r="S630" i="5"/>
  <c r="T630" i="5"/>
  <c r="U630" i="5"/>
  <c r="V630" i="5"/>
  <c r="W630" i="5"/>
  <c r="X630" i="5"/>
  <c r="B631" i="5"/>
  <c r="C631" i="5"/>
  <c r="AB631" i="5" s="1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AC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AC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AB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AC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AC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AB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AC641" i="5" s="1"/>
  <c r="O641" i="5"/>
  <c r="P641" i="5"/>
  <c r="Q641" i="5"/>
  <c r="R641" i="5"/>
  <c r="S641" i="5"/>
  <c r="T641" i="5"/>
  <c r="U641" i="5"/>
  <c r="V641" i="5"/>
  <c r="W641" i="5"/>
  <c r="X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AC642" i="5" s="1"/>
  <c r="O642" i="5"/>
  <c r="P642" i="5"/>
  <c r="Q642" i="5"/>
  <c r="R642" i="5"/>
  <c r="S642" i="5"/>
  <c r="T642" i="5"/>
  <c r="U642" i="5"/>
  <c r="V642" i="5"/>
  <c r="W642" i="5"/>
  <c r="X642" i="5"/>
  <c r="B643" i="5"/>
  <c r="AB643" i="5" s="1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B646" i="5"/>
  <c r="C646" i="5"/>
  <c r="D646" i="5"/>
  <c r="E646" i="5"/>
  <c r="F646" i="5"/>
  <c r="G646" i="5"/>
  <c r="H646" i="5"/>
  <c r="I646" i="5"/>
  <c r="J646" i="5"/>
  <c r="K646" i="5"/>
  <c r="L646" i="5"/>
  <c r="M646" i="5"/>
  <c r="N646" i="5"/>
  <c r="O646" i="5"/>
  <c r="P646" i="5"/>
  <c r="Q646" i="5"/>
  <c r="R646" i="5"/>
  <c r="S646" i="5"/>
  <c r="T646" i="5"/>
  <c r="U646" i="5"/>
  <c r="V646" i="5"/>
  <c r="W646" i="5"/>
  <c r="X646" i="5"/>
  <c r="B647" i="5"/>
  <c r="C647" i="5"/>
  <c r="D647" i="5"/>
  <c r="E647" i="5"/>
  <c r="F647" i="5"/>
  <c r="G647" i="5"/>
  <c r="H647" i="5"/>
  <c r="I647" i="5"/>
  <c r="J647" i="5"/>
  <c r="K647" i="5"/>
  <c r="L647" i="5"/>
  <c r="M647" i="5"/>
  <c r="N647" i="5"/>
  <c r="O647" i="5"/>
  <c r="P647" i="5"/>
  <c r="Q647" i="5"/>
  <c r="R647" i="5"/>
  <c r="S647" i="5"/>
  <c r="T647" i="5"/>
  <c r="U647" i="5"/>
  <c r="V647" i="5"/>
  <c r="W647" i="5"/>
  <c r="X647" i="5"/>
  <c r="B648" i="5"/>
  <c r="C648" i="5"/>
  <c r="D648" i="5"/>
  <c r="E648" i="5"/>
  <c r="F648" i="5"/>
  <c r="G648" i="5"/>
  <c r="H648" i="5"/>
  <c r="I648" i="5"/>
  <c r="J648" i="5"/>
  <c r="K648" i="5"/>
  <c r="L648" i="5"/>
  <c r="M648" i="5"/>
  <c r="N648" i="5"/>
  <c r="O648" i="5"/>
  <c r="P648" i="5"/>
  <c r="Q648" i="5"/>
  <c r="R648" i="5"/>
  <c r="S648" i="5"/>
  <c r="T648" i="5"/>
  <c r="U648" i="5"/>
  <c r="V648" i="5"/>
  <c r="W648" i="5"/>
  <c r="X648" i="5"/>
  <c r="B649" i="5"/>
  <c r="C649" i="5"/>
  <c r="D649" i="5"/>
  <c r="E649" i="5"/>
  <c r="F649" i="5"/>
  <c r="G649" i="5"/>
  <c r="H649" i="5"/>
  <c r="I649" i="5"/>
  <c r="J649" i="5"/>
  <c r="K649" i="5"/>
  <c r="L649" i="5"/>
  <c r="M649" i="5"/>
  <c r="N649" i="5"/>
  <c r="O649" i="5"/>
  <c r="AC649" i="5" s="1"/>
  <c r="P649" i="5"/>
  <c r="Q649" i="5"/>
  <c r="R649" i="5"/>
  <c r="S649" i="5"/>
  <c r="T649" i="5"/>
  <c r="U649" i="5"/>
  <c r="V649" i="5"/>
  <c r="W649" i="5"/>
  <c r="X649" i="5"/>
  <c r="B650" i="5"/>
  <c r="C650" i="5"/>
  <c r="AB650" i="5" s="1"/>
  <c r="D650" i="5"/>
  <c r="E650" i="5"/>
  <c r="F650" i="5"/>
  <c r="G650" i="5"/>
  <c r="H650" i="5"/>
  <c r="I650" i="5"/>
  <c r="J650" i="5"/>
  <c r="K650" i="5"/>
  <c r="L650" i="5"/>
  <c r="M650" i="5"/>
  <c r="N650" i="5"/>
  <c r="O650" i="5"/>
  <c r="P650" i="5"/>
  <c r="Q650" i="5"/>
  <c r="R650" i="5"/>
  <c r="S650" i="5"/>
  <c r="T650" i="5"/>
  <c r="U650" i="5"/>
  <c r="V650" i="5"/>
  <c r="W650" i="5"/>
  <c r="X650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AC651" i="5" s="1"/>
  <c r="P651" i="5"/>
  <c r="Q651" i="5"/>
  <c r="R651" i="5"/>
  <c r="S651" i="5"/>
  <c r="T651" i="5"/>
  <c r="U651" i="5"/>
  <c r="V651" i="5"/>
  <c r="W651" i="5"/>
  <c r="X651" i="5"/>
  <c r="B652" i="5"/>
  <c r="C652" i="5"/>
  <c r="AB652" i="5" s="1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AC653" i="5" s="1"/>
  <c r="P653" i="5"/>
  <c r="Q653" i="5"/>
  <c r="R653" i="5"/>
  <c r="S653" i="5"/>
  <c r="T653" i="5"/>
  <c r="U653" i="5"/>
  <c r="V653" i="5"/>
  <c r="W653" i="5"/>
  <c r="X653" i="5"/>
  <c r="B654" i="5"/>
  <c r="C654" i="5"/>
  <c r="AB654" i="5" s="1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AC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AC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AB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AC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AC670" i="5" s="1"/>
  <c r="N670" i="5"/>
  <c r="O670" i="5"/>
  <c r="P670" i="5"/>
  <c r="Q670" i="5"/>
  <c r="R670" i="5"/>
  <c r="S670" i="5"/>
  <c r="T670" i="5"/>
  <c r="U670" i="5"/>
  <c r="V670" i="5"/>
  <c r="W670" i="5"/>
  <c r="X670" i="5"/>
  <c r="AB670" i="5"/>
  <c r="B671" i="5"/>
  <c r="C671" i="5"/>
  <c r="D671" i="5"/>
  <c r="E671" i="5"/>
  <c r="F671" i="5"/>
  <c r="G671" i="5"/>
  <c r="H671" i="5"/>
  <c r="AB671" i="5" s="1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AC673" i="5" s="1"/>
  <c r="O673" i="5"/>
  <c r="P673" i="5"/>
  <c r="Q673" i="5"/>
  <c r="R673" i="5"/>
  <c r="S673" i="5"/>
  <c r="T673" i="5"/>
  <c r="U673" i="5"/>
  <c r="V673" i="5"/>
  <c r="W673" i="5"/>
  <c r="X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AB674" i="5"/>
  <c r="AC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AC675" i="5" s="1"/>
  <c r="Q675" i="5"/>
  <c r="R675" i="5"/>
  <c r="S675" i="5"/>
  <c r="T675" i="5"/>
  <c r="U675" i="5"/>
  <c r="V675" i="5"/>
  <c r="W675" i="5"/>
  <c r="X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AC681" i="5"/>
  <c r="B682" i="5"/>
  <c r="C682" i="5"/>
  <c r="D682" i="5"/>
  <c r="E682" i="5"/>
  <c r="F682" i="5"/>
  <c r="G682" i="5"/>
  <c r="H682" i="5"/>
  <c r="I682" i="5"/>
  <c r="J682" i="5"/>
  <c r="K682" i="5"/>
  <c r="L682" i="5"/>
  <c r="M682" i="5"/>
  <c r="N682" i="5"/>
  <c r="O682" i="5"/>
  <c r="P682" i="5"/>
  <c r="Q682" i="5"/>
  <c r="R682" i="5"/>
  <c r="S682" i="5"/>
  <c r="T682" i="5"/>
  <c r="U682" i="5"/>
  <c r="V682" i="5"/>
  <c r="W682" i="5"/>
  <c r="X682" i="5"/>
  <c r="AB682" i="5"/>
  <c r="B683" i="5"/>
  <c r="C683" i="5"/>
  <c r="D683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X683" i="5"/>
  <c r="AC683" i="5"/>
  <c r="B684" i="5"/>
  <c r="C684" i="5"/>
  <c r="D684" i="5"/>
  <c r="E684" i="5"/>
  <c r="F684" i="5"/>
  <c r="G684" i="5"/>
  <c r="H684" i="5"/>
  <c r="I684" i="5"/>
  <c r="J684" i="5"/>
  <c r="K684" i="5"/>
  <c r="L684" i="5"/>
  <c r="M684" i="5"/>
  <c r="N684" i="5"/>
  <c r="O684" i="5"/>
  <c r="P684" i="5"/>
  <c r="Q684" i="5"/>
  <c r="R684" i="5"/>
  <c r="S684" i="5"/>
  <c r="T684" i="5"/>
  <c r="U684" i="5"/>
  <c r="V684" i="5"/>
  <c r="W684" i="5"/>
  <c r="X684" i="5"/>
  <c r="AB684" i="5"/>
  <c r="B685" i="5"/>
  <c r="C685" i="5"/>
  <c r="D685" i="5"/>
  <c r="E685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R685" i="5"/>
  <c r="S685" i="5"/>
  <c r="T685" i="5"/>
  <c r="U685" i="5"/>
  <c r="V685" i="5"/>
  <c r="W685" i="5"/>
  <c r="X685" i="5"/>
  <c r="AC685" i="5"/>
  <c r="B686" i="5"/>
  <c r="C686" i="5"/>
  <c r="D686" i="5"/>
  <c r="E686" i="5"/>
  <c r="F686" i="5"/>
  <c r="G686" i="5"/>
  <c r="H686" i="5"/>
  <c r="I686" i="5"/>
  <c r="J686" i="5"/>
  <c r="K686" i="5"/>
  <c r="L686" i="5"/>
  <c r="M686" i="5"/>
  <c r="N686" i="5"/>
  <c r="O686" i="5"/>
  <c r="P686" i="5"/>
  <c r="Q686" i="5"/>
  <c r="R686" i="5"/>
  <c r="S686" i="5"/>
  <c r="T686" i="5"/>
  <c r="U686" i="5"/>
  <c r="V686" i="5"/>
  <c r="W686" i="5"/>
  <c r="X686" i="5"/>
  <c r="AB686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AC689" i="5" s="1"/>
  <c r="P689" i="5"/>
  <c r="Q689" i="5"/>
  <c r="R689" i="5"/>
  <c r="S689" i="5"/>
  <c r="T689" i="5"/>
  <c r="U689" i="5"/>
  <c r="V689" i="5"/>
  <c r="W689" i="5"/>
  <c r="X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AB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AC697" i="5" s="1"/>
  <c r="P697" i="5"/>
  <c r="Q697" i="5"/>
  <c r="R697" i="5"/>
  <c r="S697" i="5"/>
  <c r="T697" i="5"/>
  <c r="U697" i="5"/>
  <c r="V697" i="5"/>
  <c r="W697" i="5"/>
  <c r="X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AB699" i="5"/>
  <c r="AC699" i="5"/>
  <c r="B700" i="5"/>
  <c r="C700" i="5"/>
  <c r="D700" i="5"/>
  <c r="E700" i="5"/>
  <c r="F700" i="5"/>
  <c r="G700" i="5"/>
  <c r="H700" i="5"/>
  <c r="AB700" i="5" s="1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AC706" i="5" s="1"/>
  <c r="N706" i="5"/>
  <c r="O706" i="5"/>
  <c r="P706" i="5"/>
  <c r="Q706" i="5"/>
  <c r="R706" i="5"/>
  <c r="S706" i="5"/>
  <c r="T706" i="5"/>
  <c r="U706" i="5"/>
  <c r="V706" i="5"/>
  <c r="W706" i="5"/>
  <c r="X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AC708" i="5" s="1"/>
  <c r="P708" i="5"/>
  <c r="Q708" i="5"/>
  <c r="R708" i="5"/>
  <c r="S708" i="5"/>
  <c r="T708" i="5"/>
  <c r="U708" i="5"/>
  <c r="V708" i="5"/>
  <c r="W708" i="5"/>
  <c r="X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AC710" i="5" s="1"/>
  <c r="N710" i="5"/>
  <c r="O710" i="5"/>
  <c r="P710" i="5"/>
  <c r="Q710" i="5"/>
  <c r="R710" i="5"/>
  <c r="S710" i="5"/>
  <c r="T710" i="5"/>
  <c r="U710" i="5"/>
  <c r="V710" i="5"/>
  <c r="W710" i="5"/>
  <c r="X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B718" i="5"/>
  <c r="C718" i="5"/>
  <c r="D718" i="5"/>
  <c r="E718" i="5"/>
  <c r="F718" i="5"/>
  <c r="G718" i="5"/>
  <c r="H718" i="5"/>
  <c r="I718" i="5"/>
  <c r="J718" i="5"/>
  <c r="K718" i="5"/>
  <c r="L718" i="5"/>
  <c r="M718" i="5"/>
  <c r="AC718" i="5" s="1"/>
  <c r="N718" i="5"/>
  <c r="O718" i="5"/>
  <c r="P718" i="5"/>
  <c r="Q718" i="5"/>
  <c r="R718" i="5"/>
  <c r="S718" i="5"/>
  <c r="T718" i="5"/>
  <c r="U718" i="5"/>
  <c r="V718" i="5"/>
  <c r="W718" i="5"/>
  <c r="X718" i="5"/>
  <c r="B719" i="5"/>
  <c r="C719" i="5"/>
  <c r="D719" i="5"/>
  <c r="E719" i="5"/>
  <c r="F719" i="5"/>
  <c r="G719" i="5"/>
  <c r="H719" i="5"/>
  <c r="I719" i="5"/>
  <c r="J719" i="5"/>
  <c r="K719" i="5"/>
  <c r="L719" i="5"/>
  <c r="M719" i="5"/>
  <c r="N719" i="5"/>
  <c r="O719" i="5"/>
  <c r="P719" i="5"/>
  <c r="Q719" i="5"/>
  <c r="R719" i="5"/>
  <c r="S719" i="5"/>
  <c r="T719" i="5"/>
  <c r="U719" i="5"/>
  <c r="V719" i="5"/>
  <c r="W719" i="5"/>
  <c r="X719" i="5"/>
  <c r="B720" i="5"/>
  <c r="C720" i="5"/>
  <c r="D720" i="5"/>
  <c r="E720" i="5"/>
  <c r="F720" i="5"/>
  <c r="G720" i="5"/>
  <c r="H720" i="5"/>
  <c r="I720" i="5"/>
  <c r="J720" i="5"/>
  <c r="K720" i="5"/>
  <c r="L720" i="5"/>
  <c r="M720" i="5"/>
  <c r="N720" i="5"/>
  <c r="O720" i="5"/>
  <c r="P720" i="5"/>
  <c r="Q720" i="5"/>
  <c r="R720" i="5"/>
  <c r="S720" i="5"/>
  <c r="T720" i="5"/>
  <c r="U720" i="5"/>
  <c r="V720" i="5"/>
  <c r="W720" i="5"/>
  <c r="X720" i="5"/>
  <c r="B721" i="5"/>
  <c r="C721" i="5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X721" i="5"/>
  <c r="B722" i="5"/>
  <c r="C722" i="5"/>
  <c r="D722" i="5"/>
  <c r="E722" i="5"/>
  <c r="F722" i="5"/>
  <c r="G722" i="5"/>
  <c r="H722" i="5"/>
  <c r="I722" i="5"/>
  <c r="J722" i="5"/>
  <c r="K722" i="5"/>
  <c r="L722" i="5"/>
  <c r="M722" i="5"/>
  <c r="N722" i="5"/>
  <c r="O722" i="5"/>
  <c r="P722" i="5"/>
  <c r="Q722" i="5"/>
  <c r="R722" i="5"/>
  <c r="S722" i="5"/>
  <c r="T722" i="5"/>
  <c r="U722" i="5"/>
  <c r="V722" i="5"/>
  <c r="W722" i="5"/>
  <c r="X722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AC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AC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AB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AC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AC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AC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AB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AC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AC734" i="5" s="1"/>
  <c r="N734" i="5"/>
  <c r="O734" i="5"/>
  <c r="P734" i="5"/>
  <c r="Q734" i="5"/>
  <c r="R734" i="5"/>
  <c r="S734" i="5"/>
  <c r="T734" i="5"/>
  <c r="U734" i="5"/>
  <c r="V734" i="5"/>
  <c r="W734" i="5"/>
  <c r="X734" i="5"/>
  <c r="AB734" i="5"/>
  <c r="B735" i="5"/>
  <c r="C735" i="5"/>
  <c r="D735" i="5"/>
  <c r="E735" i="5"/>
  <c r="F735" i="5"/>
  <c r="G735" i="5"/>
  <c r="H735" i="5"/>
  <c r="AB735" i="5" s="1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AC737" i="5" s="1"/>
  <c r="O737" i="5"/>
  <c r="P737" i="5"/>
  <c r="Q737" i="5"/>
  <c r="R737" i="5"/>
  <c r="S737" i="5"/>
  <c r="T737" i="5"/>
  <c r="U737" i="5"/>
  <c r="V737" i="5"/>
  <c r="W737" i="5"/>
  <c r="X737" i="5"/>
  <c r="B738" i="5"/>
  <c r="AB738" i="5" s="1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AC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AC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AC749" i="5" s="1"/>
  <c r="O749" i="5"/>
  <c r="P749" i="5"/>
  <c r="Q749" i="5"/>
  <c r="R749" i="5"/>
  <c r="S749" i="5"/>
  <c r="T749" i="5"/>
  <c r="U749" i="5"/>
  <c r="V749" i="5"/>
  <c r="W749" i="5"/>
  <c r="X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B754" i="5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X754" i="5"/>
  <c r="AB754" i="5"/>
  <c r="B755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X755" i="5"/>
  <c r="B756" i="5"/>
  <c r="C756" i="5"/>
  <c r="D756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X756" i="5"/>
  <c r="B757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X757" i="5"/>
  <c r="AC757" i="5"/>
  <c r="B758" i="5"/>
  <c r="C758" i="5"/>
  <c r="D758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X758" i="5"/>
  <c r="AB758" i="5"/>
  <c r="B759" i="5"/>
  <c r="C759" i="5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X759" i="5"/>
  <c r="B760" i="5"/>
  <c r="C760" i="5"/>
  <c r="D760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X760" i="5"/>
  <c r="B761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AC761" i="5" s="1"/>
  <c r="P761" i="5"/>
  <c r="Q761" i="5"/>
  <c r="R761" i="5"/>
  <c r="S761" i="5"/>
  <c r="T761" i="5"/>
  <c r="U761" i="5"/>
  <c r="V761" i="5"/>
  <c r="W761" i="5"/>
  <c r="X761" i="5"/>
  <c r="B762" i="5"/>
  <c r="C762" i="5"/>
  <c r="AB762" i="5" s="1"/>
  <c r="D762" i="5"/>
  <c r="E762" i="5"/>
  <c r="F762" i="5"/>
  <c r="G762" i="5"/>
  <c r="H762" i="5"/>
  <c r="I762" i="5"/>
  <c r="J762" i="5"/>
  <c r="K762" i="5"/>
  <c r="L762" i="5"/>
  <c r="M762" i="5"/>
  <c r="N762" i="5"/>
  <c r="O762" i="5"/>
  <c r="AC762" i="5" s="1"/>
  <c r="P762" i="5"/>
  <c r="Q762" i="5"/>
  <c r="R762" i="5"/>
  <c r="S762" i="5"/>
  <c r="T762" i="5"/>
  <c r="U762" i="5"/>
  <c r="V762" i="5"/>
  <c r="W762" i="5"/>
  <c r="X762" i="5"/>
  <c r="B763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X763" i="5"/>
  <c r="B764" i="5"/>
  <c r="C764" i="5"/>
  <c r="D764" i="5"/>
  <c r="E764" i="5"/>
  <c r="F764" i="5"/>
  <c r="G764" i="5"/>
  <c r="AB764" i="5" s="1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X764" i="5"/>
  <c r="B765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B766" i="5"/>
  <c r="C766" i="5"/>
  <c r="D766" i="5"/>
  <c r="E766" i="5"/>
  <c r="F766" i="5"/>
  <c r="G766" i="5"/>
  <c r="H766" i="5"/>
  <c r="I766" i="5"/>
  <c r="J766" i="5"/>
  <c r="K766" i="5"/>
  <c r="L766" i="5"/>
  <c r="M766" i="5"/>
  <c r="N766" i="5"/>
  <c r="O766" i="5"/>
  <c r="P766" i="5"/>
  <c r="Q766" i="5"/>
  <c r="R766" i="5"/>
  <c r="S766" i="5"/>
  <c r="T766" i="5"/>
  <c r="U766" i="5"/>
  <c r="V766" i="5"/>
  <c r="W766" i="5"/>
  <c r="X766" i="5"/>
  <c r="AC766" i="5"/>
  <c r="B767" i="5"/>
  <c r="C767" i="5"/>
  <c r="D767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X767" i="5"/>
  <c r="AB767" i="5"/>
  <c r="B768" i="5"/>
  <c r="C768" i="5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B769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B770" i="5"/>
  <c r="C770" i="5"/>
  <c r="D770" i="5"/>
  <c r="E770" i="5"/>
  <c r="F770" i="5"/>
  <c r="G770" i="5"/>
  <c r="H770" i="5"/>
  <c r="I770" i="5"/>
  <c r="J770" i="5"/>
  <c r="K770" i="5"/>
  <c r="L770" i="5"/>
  <c r="M770" i="5"/>
  <c r="N770" i="5"/>
  <c r="O770" i="5"/>
  <c r="AC770" i="5" s="1"/>
  <c r="P770" i="5"/>
  <c r="Q770" i="5"/>
  <c r="R770" i="5"/>
  <c r="S770" i="5"/>
  <c r="T770" i="5"/>
  <c r="U770" i="5"/>
  <c r="V770" i="5"/>
  <c r="W770" i="5"/>
  <c r="X770" i="5"/>
  <c r="B771" i="5"/>
  <c r="C771" i="5"/>
  <c r="D771" i="5"/>
  <c r="E771" i="5"/>
  <c r="F771" i="5"/>
  <c r="G771" i="5"/>
  <c r="H771" i="5"/>
  <c r="I771" i="5"/>
  <c r="J771" i="5"/>
  <c r="K771" i="5"/>
  <c r="L771" i="5"/>
  <c r="M771" i="5"/>
  <c r="N771" i="5"/>
  <c r="O771" i="5"/>
  <c r="P771" i="5"/>
  <c r="Q771" i="5"/>
  <c r="R771" i="5"/>
  <c r="S771" i="5"/>
  <c r="T771" i="5"/>
  <c r="U771" i="5"/>
  <c r="V771" i="5"/>
  <c r="W771" i="5"/>
  <c r="X771" i="5"/>
  <c r="AB771" i="5"/>
  <c r="B772" i="5"/>
  <c r="C772" i="5"/>
  <c r="D772" i="5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X772" i="5"/>
  <c r="B773" i="5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X773" i="5"/>
  <c r="B774" i="5"/>
  <c r="C774" i="5"/>
  <c r="D774" i="5"/>
  <c r="E774" i="5"/>
  <c r="F774" i="5"/>
  <c r="G774" i="5"/>
  <c r="H774" i="5"/>
  <c r="I774" i="5"/>
  <c r="J774" i="5"/>
  <c r="K774" i="5"/>
  <c r="L774" i="5"/>
  <c r="M774" i="5"/>
  <c r="AC774" i="5" s="1"/>
  <c r="N774" i="5"/>
  <c r="O774" i="5"/>
  <c r="P774" i="5"/>
  <c r="Q774" i="5"/>
  <c r="R774" i="5"/>
  <c r="S774" i="5"/>
  <c r="T774" i="5"/>
  <c r="U774" i="5"/>
  <c r="V774" i="5"/>
  <c r="W774" i="5"/>
  <c r="X774" i="5"/>
  <c r="B775" i="5"/>
  <c r="C775" i="5"/>
  <c r="D775" i="5"/>
  <c r="E775" i="5"/>
  <c r="F775" i="5"/>
  <c r="G775" i="5"/>
  <c r="H775" i="5"/>
  <c r="I775" i="5"/>
  <c r="J775" i="5"/>
  <c r="K775" i="5"/>
  <c r="L775" i="5"/>
  <c r="M775" i="5"/>
  <c r="N775" i="5"/>
  <c r="O775" i="5"/>
  <c r="P775" i="5"/>
  <c r="Q775" i="5"/>
  <c r="R775" i="5"/>
  <c r="S775" i="5"/>
  <c r="T775" i="5"/>
  <c r="U775" i="5"/>
  <c r="V775" i="5"/>
  <c r="W775" i="5"/>
  <c r="X775" i="5"/>
  <c r="B776" i="5"/>
  <c r="C776" i="5"/>
  <c r="D776" i="5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X776" i="5"/>
  <c r="B777" i="5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AC777" i="5"/>
  <c r="B778" i="5"/>
  <c r="C778" i="5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X778" i="5"/>
  <c r="AB778" i="5"/>
  <c r="B779" i="5"/>
  <c r="C779" i="5"/>
  <c r="D779" i="5"/>
  <c r="E779" i="5"/>
  <c r="F779" i="5"/>
  <c r="G779" i="5"/>
  <c r="H779" i="5"/>
  <c r="I779" i="5"/>
  <c r="J779" i="5"/>
  <c r="K779" i="5"/>
  <c r="L779" i="5"/>
  <c r="M779" i="5"/>
  <c r="N779" i="5"/>
  <c r="O779" i="5"/>
  <c r="P779" i="5"/>
  <c r="Q779" i="5"/>
  <c r="R779" i="5"/>
  <c r="S779" i="5"/>
  <c r="T779" i="5"/>
  <c r="U779" i="5"/>
  <c r="V779" i="5"/>
  <c r="W779" i="5"/>
  <c r="X779" i="5"/>
  <c r="B780" i="5"/>
  <c r="C780" i="5"/>
  <c r="D780" i="5"/>
  <c r="E780" i="5"/>
  <c r="F780" i="5"/>
  <c r="G780" i="5"/>
  <c r="H780" i="5"/>
  <c r="I780" i="5"/>
  <c r="J780" i="5"/>
  <c r="K780" i="5"/>
  <c r="L780" i="5"/>
  <c r="M780" i="5"/>
  <c r="AC780" i="5" s="1"/>
  <c r="N780" i="5"/>
  <c r="O780" i="5"/>
  <c r="P780" i="5"/>
  <c r="Q780" i="5"/>
  <c r="R780" i="5"/>
  <c r="S780" i="5"/>
  <c r="T780" i="5"/>
  <c r="U780" i="5"/>
  <c r="V780" i="5"/>
  <c r="W780" i="5"/>
  <c r="X780" i="5"/>
  <c r="B781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AC781" i="5" s="1"/>
  <c r="O781" i="5"/>
  <c r="P781" i="5"/>
  <c r="Q781" i="5"/>
  <c r="R781" i="5"/>
  <c r="S781" i="5"/>
  <c r="T781" i="5"/>
  <c r="U781" i="5"/>
  <c r="V781" i="5"/>
  <c r="W781" i="5"/>
  <c r="X781" i="5"/>
  <c r="B782" i="5"/>
  <c r="C782" i="5"/>
  <c r="D782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X782" i="5"/>
  <c r="B783" i="5"/>
  <c r="C783" i="5"/>
  <c r="D783" i="5"/>
  <c r="E783" i="5"/>
  <c r="F783" i="5"/>
  <c r="G783" i="5"/>
  <c r="H783" i="5"/>
  <c r="I783" i="5"/>
  <c r="J783" i="5"/>
  <c r="K783" i="5"/>
  <c r="L783" i="5"/>
  <c r="M783" i="5"/>
  <c r="N783" i="5"/>
  <c r="O783" i="5"/>
  <c r="P783" i="5"/>
  <c r="Q783" i="5"/>
  <c r="R783" i="5"/>
  <c r="S783" i="5"/>
  <c r="T783" i="5"/>
  <c r="U783" i="5"/>
  <c r="V783" i="5"/>
  <c r="W783" i="5"/>
  <c r="X783" i="5"/>
  <c r="B784" i="5"/>
  <c r="C784" i="5"/>
  <c r="D784" i="5"/>
  <c r="E784" i="5"/>
  <c r="F784" i="5"/>
  <c r="G784" i="5"/>
  <c r="H784" i="5"/>
  <c r="I784" i="5"/>
  <c r="J784" i="5"/>
  <c r="K784" i="5"/>
  <c r="L784" i="5"/>
  <c r="M784" i="5"/>
  <c r="AC784" i="5" s="1"/>
  <c r="N784" i="5"/>
  <c r="O784" i="5"/>
  <c r="P784" i="5"/>
  <c r="Q784" i="5"/>
  <c r="R784" i="5"/>
  <c r="S784" i="5"/>
  <c r="T784" i="5"/>
  <c r="U784" i="5"/>
  <c r="V784" i="5"/>
  <c r="W784" i="5"/>
  <c r="X784" i="5"/>
  <c r="B785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X785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AC788" i="5" s="1"/>
  <c r="N788" i="5"/>
  <c r="O788" i="5"/>
  <c r="P788" i="5"/>
  <c r="Q788" i="5"/>
  <c r="R788" i="5"/>
  <c r="S788" i="5"/>
  <c r="T788" i="5"/>
  <c r="U788" i="5"/>
  <c r="V788" i="5"/>
  <c r="W788" i="5"/>
  <c r="X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AC789" i="5" s="1"/>
  <c r="O789" i="5"/>
  <c r="P789" i="5"/>
  <c r="Q789" i="5"/>
  <c r="R789" i="5"/>
  <c r="S789" i="5"/>
  <c r="T789" i="5"/>
  <c r="U789" i="5"/>
  <c r="V789" i="5"/>
  <c r="W789" i="5"/>
  <c r="X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AC790" i="5" s="1"/>
  <c r="P790" i="5"/>
  <c r="Q790" i="5"/>
  <c r="R790" i="5"/>
  <c r="S790" i="5"/>
  <c r="T790" i="5"/>
  <c r="U790" i="5"/>
  <c r="V790" i="5"/>
  <c r="W790" i="5"/>
  <c r="X790" i="5"/>
  <c r="B791" i="5"/>
  <c r="C791" i="5"/>
  <c r="AB791" i="5" s="1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AC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AC795" i="5" s="1"/>
  <c r="N795" i="5"/>
  <c r="O795" i="5"/>
  <c r="P795" i="5"/>
  <c r="Q795" i="5"/>
  <c r="R795" i="5"/>
  <c r="S795" i="5"/>
  <c r="T795" i="5"/>
  <c r="U795" i="5"/>
  <c r="V795" i="5"/>
  <c r="W795" i="5"/>
  <c r="X795" i="5"/>
  <c r="AB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AC798" i="5" s="1"/>
  <c r="P798" i="5"/>
  <c r="Q798" i="5"/>
  <c r="R798" i="5"/>
  <c r="S798" i="5"/>
  <c r="T798" i="5"/>
  <c r="U798" i="5"/>
  <c r="V798" i="5"/>
  <c r="W798" i="5"/>
  <c r="X798" i="5"/>
  <c r="B799" i="5"/>
  <c r="C799" i="5"/>
  <c r="AB799" i="5" s="1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AC801" i="5" s="1"/>
  <c r="Q801" i="5"/>
  <c r="R801" i="5"/>
  <c r="S801" i="5"/>
  <c r="T801" i="5"/>
  <c r="U801" i="5"/>
  <c r="V801" i="5"/>
  <c r="W801" i="5"/>
  <c r="X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AC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AB803" i="5"/>
  <c r="AC803" i="5"/>
  <c r="B804" i="5"/>
  <c r="C804" i="5"/>
  <c r="D804" i="5"/>
  <c r="E804" i="5"/>
  <c r="F804" i="5"/>
  <c r="G804" i="5"/>
  <c r="H804" i="5"/>
  <c r="AB804" i="5" s="1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AC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AC807" i="5" s="1"/>
  <c r="N807" i="5"/>
  <c r="O807" i="5"/>
  <c r="P807" i="5"/>
  <c r="Q807" i="5"/>
  <c r="R807" i="5"/>
  <c r="S807" i="5"/>
  <c r="T807" i="5"/>
  <c r="U807" i="5"/>
  <c r="V807" i="5"/>
  <c r="W807" i="5"/>
  <c r="X807" i="5"/>
  <c r="AB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AC808" i="5" s="1"/>
  <c r="N808" i="5"/>
  <c r="O808" i="5"/>
  <c r="P808" i="5"/>
  <c r="Q808" i="5"/>
  <c r="R808" i="5"/>
  <c r="S808" i="5"/>
  <c r="T808" i="5"/>
  <c r="U808" i="5"/>
  <c r="V808" i="5"/>
  <c r="W808" i="5"/>
  <c r="X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AC809" i="5" s="1"/>
  <c r="O809" i="5"/>
  <c r="P809" i="5"/>
  <c r="Q809" i="5"/>
  <c r="R809" i="5"/>
  <c r="S809" i="5"/>
  <c r="T809" i="5"/>
  <c r="U809" i="5"/>
  <c r="V809" i="5"/>
  <c r="W809" i="5"/>
  <c r="X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AC812" i="5" s="1"/>
  <c r="N812" i="5"/>
  <c r="O812" i="5"/>
  <c r="P812" i="5"/>
  <c r="Q812" i="5"/>
  <c r="R812" i="5"/>
  <c r="S812" i="5"/>
  <c r="T812" i="5"/>
  <c r="U812" i="5"/>
  <c r="V812" i="5"/>
  <c r="W812" i="5"/>
  <c r="X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AC813" i="5" s="1"/>
  <c r="O813" i="5"/>
  <c r="P813" i="5"/>
  <c r="Q813" i="5"/>
  <c r="R813" i="5"/>
  <c r="S813" i="5"/>
  <c r="T813" i="5"/>
  <c r="U813" i="5"/>
  <c r="V813" i="5"/>
  <c r="W813" i="5"/>
  <c r="X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AC816" i="5" s="1"/>
  <c r="N816" i="5"/>
  <c r="O816" i="5"/>
  <c r="P816" i="5"/>
  <c r="Q816" i="5"/>
  <c r="R816" i="5"/>
  <c r="S816" i="5"/>
  <c r="T816" i="5"/>
  <c r="U816" i="5"/>
  <c r="V816" i="5"/>
  <c r="W816" i="5"/>
  <c r="X816" i="5"/>
  <c r="B817" i="5"/>
  <c r="C817" i="5"/>
  <c r="D817" i="5"/>
  <c r="E817" i="5"/>
  <c r="F817" i="5"/>
  <c r="G817" i="5"/>
  <c r="H817" i="5"/>
  <c r="I817" i="5"/>
  <c r="J817" i="5"/>
  <c r="K817" i="5"/>
  <c r="L817" i="5"/>
  <c r="M817" i="5"/>
  <c r="N817" i="5"/>
  <c r="O817" i="5"/>
  <c r="P817" i="5"/>
  <c r="Q817" i="5"/>
  <c r="R817" i="5"/>
  <c r="S817" i="5"/>
  <c r="T817" i="5"/>
  <c r="U817" i="5"/>
  <c r="V817" i="5"/>
  <c r="W817" i="5"/>
  <c r="X817" i="5"/>
  <c r="B818" i="5"/>
  <c r="C818" i="5"/>
  <c r="D818" i="5"/>
  <c r="E818" i="5"/>
  <c r="F818" i="5"/>
  <c r="G818" i="5"/>
  <c r="H818" i="5"/>
  <c r="I818" i="5"/>
  <c r="J818" i="5"/>
  <c r="K818" i="5"/>
  <c r="L818" i="5"/>
  <c r="M818" i="5"/>
  <c r="N818" i="5"/>
  <c r="O818" i="5"/>
  <c r="P818" i="5"/>
  <c r="Q818" i="5"/>
  <c r="R818" i="5"/>
  <c r="S818" i="5"/>
  <c r="T818" i="5"/>
  <c r="U818" i="5"/>
  <c r="V818" i="5"/>
  <c r="W818" i="5"/>
  <c r="X818" i="5"/>
  <c r="B819" i="5"/>
  <c r="C819" i="5"/>
  <c r="D819" i="5"/>
  <c r="E819" i="5"/>
  <c r="F819" i="5"/>
  <c r="G819" i="5"/>
  <c r="H819" i="5"/>
  <c r="I819" i="5"/>
  <c r="J819" i="5"/>
  <c r="K819" i="5"/>
  <c r="L819" i="5"/>
  <c r="M819" i="5"/>
  <c r="N819" i="5"/>
  <c r="O819" i="5"/>
  <c r="P819" i="5"/>
  <c r="Q819" i="5"/>
  <c r="R819" i="5"/>
  <c r="S819" i="5"/>
  <c r="T819" i="5"/>
  <c r="U819" i="5"/>
  <c r="V819" i="5"/>
  <c r="W819" i="5"/>
  <c r="X819" i="5"/>
  <c r="B820" i="5"/>
  <c r="C820" i="5"/>
  <c r="D820" i="5"/>
  <c r="E820" i="5"/>
  <c r="F820" i="5"/>
  <c r="G820" i="5"/>
  <c r="H820" i="5"/>
  <c r="I820" i="5"/>
  <c r="J820" i="5"/>
  <c r="K820" i="5"/>
  <c r="L820" i="5"/>
  <c r="M820" i="5"/>
  <c r="AC820" i="5" s="1"/>
  <c r="N820" i="5"/>
  <c r="O820" i="5"/>
  <c r="P820" i="5"/>
  <c r="Q820" i="5"/>
  <c r="R820" i="5"/>
  <c r="S820" i="5"/>
  <c r="T820" i="5"/>
  <c r="U820" i="5"/>
  <c r="V820" i="5"/>
  <c r="W820" i="5"/>
  <c r="X820" i="5"/>
  <c r="B821" i="5"/>
  <c r="C821" i="5"/>
  <c r="D821" i="5"/>
  <c r="E821" i="5"/>
  <c r="F821" i="5"/>
  <c r="G821" i="5"/>
  <c r="H821" i="5"/>
  <c r="I821" i="5"/>
  <c r="J821" i="5"/>
  <c r="K821" i="5"/>
  <c r="L821" i="5"/>
  <c r="M821" i="5"/>
  <c r="N821" i="5"/>
  <c r="AC821" i="5" s="1"/>
  <c r="O821" i="5"/>
  <c r="P821" i="5"/>
  <c r="Q821" i="5"/>
  <c r="R821" i="5"/>
  <c r="S821" i="5"/>
  <c r="T821" i="5"/>
  <c r="U821" i="5"/>
  <c r="V821" i="5"/>
  <c r="W821" i="5"/>
  <c r="X821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AC822" i="5" s="1"/>
  <c r="P822" i="5"/>
  <c r="Q822" i="5"/>
  <c r="R822" i="5"/>
  <c r="S822" i="5"/>
  <c r="T822" i="5"/>
  <c r="U822" i="5"/>
  <c r="V822" i="5"/>
  <c r="W822" i="5"/>
  <c r="X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AC826" i="5" s="1"/>
  <c r="O826" i="5"/>
  <c r="P826" i="5"/>
  <c r="Q826" i="5"/>
  <c r="R826" i="5"/>
  <c r="S826" i="5"/>
  <c r="T826" i="5"/>
  <c r="U826" i="5"/>
  <c r="V826" i="5"/>
  <c r="W826" i="5"/>
  <c r="X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AB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AC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AB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AC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AC835" i="5" s="1"/>
  <c r="N835" i="5"/>
  <c r="O835" i="5"/>
  <c r="P835" i="5"/>
  <c r="Q835" i="5"/>
  <c r="R835" i="5"/>
  <c r="S835" i="5"/>
  <c r="T835" i="5"/>
  <c r="U835" i="5"/>
  <c r="V835" i="5"/>
  <c r="W835" i="5"/>
  <c r="X835" i="5"/>
  <c r="AB835" i="5"/>
  <c r="B836" i="5"/>
  <c r="C836" i="5"/>
  <c r="D836" i="5"/>
  <c r="E836" i="5"/>
  <c r="F836" i="5"/>
  <c r="G836" i="5"/>
  <c r="H836" i="5"/>
  <c r="AB836" i="5" s="1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AC838" i="5" s="1"/>
  <c r="O838" i="5"/>
  <c r="P838" i="5"/>
  <c r="Q838" i="5"/>
  <c r="R838" i="5"/>
  <c r="S838" i="5"/>
  <c r="T838" i="5"/>
  <c r="U838" i="5"/>
  <c r="V838" i="5"/>
  <c r="W838" i="5"/>
  <c r="X838" i="5"/>
  <c r="B839" i="5"/>
  <c r="AB839" i="5" s="1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AC841" i="5" s="1"/>
  <c r="O841" i="5"/>
  <c r="P841" i="5"/>
  <c r="Q841" i="5"/>
  <c r="R841" i="5"/>
  <c r="S841" i="5"/>
  <c r="T841" i="5"/>
  <c r="U841" i="5"/>
  <c r="V841" i="5"/>
  <c r="W841" i="5"/>
  <c r="X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AC842" i="5" s="1"/>
  <c r="O842" i="5"/>
  <c r="P842" i="5"/>
  <c r="Q842" i="5"/>
  <c r="R842" i="5"/>
  <c r="S842" i="5"/>
  <c r="T842" i="5"/>
  <c r="U842" i="5"/>
  <c r="V842" i="5"/>
  <c r="W842" i="5"/>
  <c r="X842" i="5"/>
  <c r="B843" i="5"/>
  <c r="AB843" i="5" s="1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AC847" i="5" s="1"/>
  <c r="N847" i="5"/>
  <c r="O847" i="5"/>
  <c r="P847" i="5"/>
  <c r="Q847" i="5"/>
  <c r="R847" i="5"/>
  <c r="S847" i="5"/>
  <c r="T847" i="5"/>
  <c r="U847" i="5"/>
  <c r="V847" i="5"/>
  <c r="W847" i="5"/>
  <c r="X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AC851" i="5" s="1"/>
  <c r="N851" i="5"/>
  <c r="O851" i="5"/>
  <c r="P851" i="5"/>
  <c r="Q851" i="5"/>
  <c r="R851" i="5"/>
  <c r="S851" i="5"/>
  <c r="T851" i="5"/>
  <c r="U851" i="5"/>
  <c r="V851" i="5"/>
  <c r="W851" i="5"/>
  <c r="X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B853" i="5"/>
  <c r="C853" i="5"/>
  <c r="D853" i="5"/>
  <c r="E853" i="5"/>
  <c r="F853" i="5"/>
  <c r="G853" i="5"/>
  <c r="H853" i="5"/>
  <c r="I853" i="5"/>
  <c r="J853" i="5"/>
  <c r="K853" i="5"/>
  <c r="L853" i="5"/>
  <c r="M853" i="5"/>
  <c r="N853" i="5"/>
  <c r="O853" i="5"/>
  <c r="P853" i="5"/>
  <c r="Q853" i="5"/>
  <c r="R853" i="5"/>
  <c r="S853" i="5"/>
  <c r="T853" i="5"/>
  <c r="U853" i="5"/>
  <c r="V853" i="5"/>
  <c r="W853" i="5"/>
  <c r="X853" i="5"/>
  <c r="B854" i="5"/>
  <c r="C854" i="5"/>
  <c r="D854" i="5"/>
  <c r="E854" i="5"/>
  <c r="F854" i="5"/>
  <c r="G854" i="5"/>
  <c r="H854" i="5"/>
  <c r="I854" i="5"/>
  <c r="J854" i="5"/>
  <c r="K854" i="5"/>
  <c r="L854" i="5"/>
  <c r="M854" i="5"/>
  <c r="N854" i="5"/>
  <c r="O854" i="5"/>
  <c r="P854" i="5"/>
  <c r="Q854" i="5"/>
  <c r="R854" i="5"/>
  <c r="S854" i="5"/>
  <c r="T854" i="5"/>
  <c r="U854" i="5"/>
  <c r="V854" i="5"/>
  <c r="W854" i="5"/>
  <c r="X854" i="5"/>
  <c r="AC854" i="5"/>
  <c r="B855" i="5"/>
  <c r="C855" i="5"/>
  <c r="D855" i="5"/>
  <c r="E855" i="5"/>
  <c r="F855" i="5"/>
  <c r="G855" i="5"/>
  <c r="H855" i="5"/>
  <c r="I855" i="5"/>
  <c r="J855" i="5"/>
  <c r="K855" i="5"/>
  <c r="L855" i="5"/>
  <c r="M855" i="5"/>
  <c r="N855" i="5"/>
  <c r="O855" i="5"/>
  <c r="P855" i="5"/>
  <c r="Q855" i="5"/>
  <c r="R855" i="5"/>
  <c r="S855" i="5"/>
  <c r="T855" i="5"/>
  <c r="U855" i="5"/>
  <c r="V855" i="5"/>
  <c r="W855" i="5"/>
  <c r="X855" i="5"/>
  <c r="B856" i="5"/>
  <c r="C856" i="5"/>
  <c r="D856" i="5"/>
  <c r="E856" i="5"/>
  <c r="F856" i="5"/>
  <c r="G856" i="5"/>
  <c r="H856" i="5"/>
  <c r="I856" i="5"/>
  <c r="J856" i="5"/>
  <c r="K856" i="5"/>
  <c r="L856" i="5"/>
  <c r="M856" i="5"/>
  <c r="AC856" i="5" s="1"/>
  <c r="N856" i="5"/>
  <c r="O856" i="5"/>
  <c r="P856" i="5"/>
  <c r="Q856" i="5"/>
  <c r="R856" i="5"/>
  <c r="S856" i="5"/>
  <c r="T856" i="5"/>
  <c r="U856" i="5"/>
  <c r="V856" i="5"/>
  <c r="W856" i="5"/>
  <c r="X856" i="5"/>
  <c r="B857" i="5"/>
  <c r="C857" i="5"/>
  <c r="D857" i="5"/>
  <c r="E857" i="5"/>
  <c r="F857" i="5"/>
  <c r="G857" i="5"/>
  <c r="H857" i="5"/>
  <c r="I857" i="5"/>
  <c r="J857" i="5"/>
  <c r="K857" i="5"/>
  <c r="L857" i="5"/>
  <c r="M857" i="5"/>
  <c r="N857" i="5"/>
  <c r="AC857" i="5" s="1"/>
  <c r="O857" i="5"/>
  <c r="P857" i="5"/>
  <c r="Q857" i="5"/>
  <c r="R857" i="5"/>
  <c r="S857" i="5"/>
  <c r="T857" i="5"/>
  <c r="U857" i="5"/>
  <c r="V857" i="5"/>
  <c r="W857" i="5"/>
  <c r="X857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AC862" i="5" s="1"/>
  <c r="P862" i="5"/>
  <c r="Q862" i="5"/>
  <c r="R862" i="5"/>
  <c r="S862" i="5"/>
  <c r="T862" i="5"/>
  <c r="U862" i="5"/>
  <c r="V862" i="5"/>
  <c r="W862" i="5"/>
  <c r="X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AB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AC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AC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AC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AB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AC870" i="5" s="1"/>
  <c r="O870" i="5"/>
  <c r="P870" i="5"/>
  <c r="Q870" i="5"/>
  <c r="R870" i="5"/>
  <c r="S870" i="5"/>
  <c r="T870" i="5"/>
  <c r="U870" i="5"/>
  <c r="V870" i="5"/>
  <c r="W870" i="5"/>
  <c r="X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AC874" i="5" s="1"/>
  <c r="O874" i="5"/>
  <c r="P874" i="5"/>
  <c r="Q874" i="5"/>
  <c r="R874" i="5"/>
  <c r="S874" i="5"/>
  <c r="T874" i="5"/>
  <c r="U874" i="5"/>
  <c r="V874" i="5"/>
  <c r="W874" i="5"/>
  <c r="X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AC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AC887" i="5" s="1"/>
  <c r="N887" i="5"/>
  <c r="O887" i="5"/>
  <c r="P887" i="5"/>
  <c r="Q887" i="5"/>
  <c r="R887" i="5"/>
  <c r="S887" i="5"/>
  <c r="T887" i="5"/>
  <c r="U887" i="5"/>
  <c r="V887" i="5"/>
  <c r="W887" i="5"/>
  <c r="X887" i="5"/>
  <c r="AB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AC888" i="5" s="1"/>
  <c r="N888" i="5"/>
  <c r="O888" i="5"/>
  <c r="P888" i="5"/>
  <c r="Q888" i="5"/>
  <c r="R888" i="5"/>
  <c r="S888" i="5"/>
  <c r="T888" i="5"/>
  <c r="U888" i="5"/>
  <c r="V888" i="5"/>
  <c r="W888" i="5"/>
  <c r="X888" i="5"/>
  <c r="B889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AC889" i="5" s="1"/>
  <c r="O889" i="5"/>
  <c r="P889" i="5"/>
  <c r="Q889" i="5"/>
  <c r="R889" i="5"/>
  <c r="S889" i="5"/>
  <c r="T889" i="5"/>
  <c r="U889" i="5"/>
  <c r="V889" i="5"/>
  <c r="W889" i="5"/>
  <c r="X889" i="5"/>
  <c r="B890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AC890" i="5" s="1"/>
  <c r="P890" i="5"/>
  <c r="Q890" i="5"/>
  <c r="R890" i="5"/>
  <c r="S890" i="5"/>
  <c r="T890" i="5"/>
  <c r="U890" i="5"/>
  <c r="V890" i="5"/>
  <c r="W890" i="5"/>
  <c r="X890" i="5"/>
  <c r="B891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U891" i="5"/>
  <c r="V891" i="5"/>
  <c r="W891" i="5"/>
  <c r="X891" i="5"/>
  <c r="B892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W892" i="5"/>
  <c r="X892" i="5"/>
  <c r="B893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U893" i="5"/>
  <c r="V893" i="5"/>
  <c r="W893" i="5"/>
  <c r="X893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AC894" i="5" s="1"/>
  <c r="O894" i="5"/>
  <c r="P894" i="5"/>
  <c r="Q894" i="5"/>
  <c r="R894" i="5"/>
  <c r="S894" i="5"/>
  <c r="T894" i="5"/>
  <c r="U894" i="5"/>
  <c r="V894" i="5"/>
  <c r="W894" i="5"/>
  <c r="X894" i="5"/>
  <c r="B895" i="5"/>
  <c r="AB895" i="5" s="1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AC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AC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AC899" i="5" s="1"/>
  <c r="N899" i="5"/>
  <c r="O899" i="5"/>
  <c r="P899" i="5"/>
  <c r="Q899" i="5"/>
  <c r="R899" i="5"/>
  <c r="S899" i="5"/>
  <c r="T899" i="5"/>
  <c r="U899" i="5"/>
  <c r="V899" i="5"/>
  <c r="W899" i="5"/>
  <c r="X899" i="5"/>
  <c r="AB899" i="5"/>
  <c r="B900" i="5"/>
  <c r="C900" i="5"/>
  <c r="D900" i="5"/>
  <c r="E900" i="5"/>
  <c r="F900" i="5"/>
  <c r="G900" i="5"/>
  <c r="H900" i="5"/>
  <c r="AB900" i="5" s="1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AC902" i="5" s="1"/>
  <c r="O902" i="5"/>
  <c r="P902" i="5"/>
  <c r="Q902" i="5"/>
  <c r="R902" i="5"/>
  <c r="S902" i="5"/>
  <c r="T902" i="5"/>
  <c r="U902" i="5"/>
  <c r="V902" i="5"/>
  <c r="W902" i="5"/>
  <c r="X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AC906" i="5" s="1"/>
  <c r="O906" i="5"/>
  <c r="P906" i="5"/>
  <c r="Q906" i="5"/>
  <c r="R906" i="5"/>
  <c r="S906" i="5"/>
  <c r="T906" i="5"/>
  <c r="U906" i="5"/>
  <c r="V906" i="5"/>
  <c r="W906" i="5"/>
  <c r="X906" i="5"/>
  <c r="B907" i="5"/>
  <c r="AB907" i="5" s="1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AC911" i="5" s="1"/>
  <c r="N911" i="5"/>
  <c r="O911" i="5"/>
  <c r="P911" i="5"/>
  <c r="Q911" i="5"/>
  <c r="R911" i="5"/>
  <c r="S911" i="5"/>
  <c r="T911" i="5"/>
  <c r="U911" i="5"/>
  <c r="V911" i="5"/>
  <c r="W911" i="5"/>
  <c r="X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AC915" i="5" s="1"/>
  <c r="N915" i="5"/>
  <c r="O915" i="5"/>
  <c r="P915" i="5"/>
  <c r="Q915" i="5"/>
  <c r="R915" i="5"/>
  <c r="S915" i="5"/>
  <c r="T915" i="5"/>
  <c r="U915" i="5"/>
  <c r="V915" i="5"/>
  <c r="W915" i="5"/>
  <c r="X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AC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AC920" i="5" s="1"/>
  <c r="N920" i="5"/>
  <c r="O920" i="5"/>
  <c r="P920" i="5"/>
  <c r="Q920" i="5"/>
  <c r="R920" i="5"/>
  <c r="S920" i="5"/>
  <c r="T920" i="5"/>
  <c r="U920" i="5"/>
  <c r="V920" i="5"/>
  <c r="W920" i="5"/>
  <c r="X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AC921" i="5" s="1"/>
  <c r="O921" i="5"/>
  <c r="P921" i="5"/>
  <c r="Q921" i="5"/>
  <c r="R921" i="5"/>
  <c r="S921" i="5"/>
  <c r="T921" i="5"/>
  <c r="U921" i="5"/>
  <c r="V921" i="5"/>
  <c r="W921" i="5"/>
  <c r="X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AC922" i="5" s="1"/>
  <c r="P922" i="5"/>
  <c r="Q922" i="5"/>
  <c r="R922" i="5"/>
  <c r="S922" i="5"/>
  <c r="T922" i="5"/>
  <c r="U922" i="5"/>
  <c r="V922" i="5"/>
  <c r="W922" i="5"/>
  <c r="X922" i="5"/>
  <c r="B923" i="5"/>
  <c r="C923" i="5"/>
  <c r="AB923" i="5" s="1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B925" i="5"/>
  <c r="C925" i="5"/>
  <c r="D925" i="5"/>
  <c r="E925" i="5"/>
  <c r="F925" i="5"/>
  <c r="G925" i="5"/>
  <c r="H925" i="5"/>
  <c r="I925" i="5"/>
  <c r="J925" i="5"/>
  <c r="K925" i="5"/>
  <c r="L925" i="5"/>
  <c r="M925" i="5"/>
  <c r="N925" i="5"/>
  <c r="O925" i="5"/>
  <c r="P925" i="5"/>
  <c r="AC925" i="5" s="1"/>
  <c r="Q925" i="5"/>
  <c r="R925" i="5"/>
  <c r="S925" i="5"/>
  <c r="T925" i="5"/>
  <c r="U925" i="5"/>
  <c r="V925" i="5"/>
  <c r="W925" i="5"/>
  <c r="X925" i="5"/>
  <c r="B926" i="5"/>
  <c r="C926" i="5"/>
  <c r="D926" i="5"/>
  <c r="E926" i="5"/>
  <c r="F926" i="5"/>
  <c r="G926" i="5"/>
  <c r="H926" i="5"/>
  <c r="I926" i="5"/>
  <c r="J926" i="5"/>
  <c r="K926" i="5"/>
  <c r="L926" i="5"/>
  <c r="M926" i="5"/>
  <c r="N926" i="5"/>
  <c r="O926" i="5"/>
  <c r="P926" i="5"/>
  <c r="Q926" i="5"/>
  <c r="R926" i="5"/>
  <c r="S926" i="5"/>
  <c r="T926" i="5"/>
  <c r="U926" i="5"/>
  <c r="V926" i="5"/>
  <c r="W926" i="5"/>
  <c r="X926" i="5"/>
  <c r="AC926" i="5"/>
  <c r="B927" i="5"/>
  <c r="C927" i="5"/>
  <c r="D927" i="5"/>
  <c r="E927" i="5"/>
  <c r="F927" i="5"/>
  <c r="G927" i="5"/>
  <c r="H927" i="5"/>
  <c r="I927" i="5"/>
  <c r="J927" i="5"/>
  <c r="K927" i="5"/>
  <c r="L927" i="5"/>
  <c r="M927" i="5"/>
  <c r="N927" i="5"/>
  <c r="O927" i="5"/>
  <c r="P927" i="5"/>
  <c r="Q927" i="5"/>
  <c r="R927" i="5"/>
  <c r="S927" i="5"/>
  <c r="T927" i="5"/>
  <c r="U927" i="5"/>
  <c r="V927" i="5"/>
  <c r="W927" i="5"/>
  <c r="X927" i="5"/>
  <c r="AB927" i="5"/>
  <c r="B928" i="5"/>
  <c r="C928" i="5"/>
  <c r="D928" i="5"/>
  <c r="E928" i="5"/>
  <c r="F928" i="5"/>
  <c r="G928" i="5"/>
  <c r="H928" i="5"/>
  <c r="I928" i="5"/>
  <c r="J928" i="5"/>
  <c r="K928" i="5"/>
  <c r="L928" i="5"/>
  <c r="M928" i="5"/>
  <c r="N928" i="5"/>
  <c r="O928" i="5"/>
  <c r="P928" i="5"/>
  <c r="Q928" i="5"/>
  <c r="R928" i="5"/>
  <c r="S928" i="5"/>
  <c r="T928" i="5"/>
  <c r="U928" i="5"/>
  <c r="V928" i="5"/>
  <c r="W928" i="5"/>
  <c r="X928" i="5"/>
  <c r="B929" i="5"/>
  <c r="C929" i="5"/>
  <c r="D929" i="5"/>
  <c r="E929" i="5"/>
  <c r="F929" i="5"/>
  <c r="G929" i="5"/>
  <c r="H929" i="5"/>
  <c r="I929" i="5"/>
  <c r="J929" i="5"/>
  <c r="K929" i="5"/>
  <c r="L929" i="5"/>
  <c r="M929" i="5"/>
  <c r="N929" i="5"/>
  <c r="AC929" i="5" s="1"/>
  <c r="O929" i="5"/>
  <c r="P929" i="5"/>
  <c r="Q929" i="5"/>
  <c r="R929" i="5"/>
  <c r="S929" i="5"/>
  <c r="T929" i="5"/>
  <c r="U929" i="5"/>
  <c r="V929" i="5"/>
  <c r="W929" i="5"/>
  <c r="X929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AC930" i="5" s="1"/>
  <c r="O930" i="5"/>
  <c r="P930" i="5"/>
  <c r="Q930" i="5"/>
  <c r="R930" i="5"/>
  <c r="S930" i="5"/>
  <c r="T930" i="5"/>
  <c r="U930" i="5"/>
  <c r="V930" i="5"/>
  <c r="W930" i="5"/>
  <c r="X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AC931" i="5" s="1"/>
  <c r="O931" i="5"/>
  <c r="P931" i="5"/>
  <c r="Q931" i="5"/>
  <c r="R931" i="5"/>
  <c r="S931" i="5"/>
  <c r="T931" i="5"/>
  <c r="U931" i="5"/>
  <c r="V931" i="5"/>
  <c r="W931" i="5"/>
  <c r="X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AB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AC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AB934" i="5"/>
  <c r="AC934" i="5"/>
  <c r="B935" i="5"/>
  <c r="C935" i="5"/>
  <c r="D935" i="5"/>
  <c r="E935" i="5"/>
  <c r="F935" i="5"/>
  <c r="G935" i="5"/>
  <c r="H935" i="5"/>
  <c r="AB935" i="5" s="1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AC937" i="5" s="1"/>
  <c r="O937" i="5"/>
  <c r="P937" i="5"/>
  <c r="Q937" i="5"/>
  <c r="R937" i="5"/>
  <c r="S937" i="5"/>
  <c r="T937" i="5"/>
  <c r="U937" i="5"/>
  <c r="V937" i="5"/>
  <c r="W937" i="5"/>
  <c r="X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AB938" i="5"/>
  <c r="AC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AC943" i="5" s="1"/>
  <c r="N943" i="5"/>
  <c r="O943" i="5"/>
  <c r="P943" i="5"/>
  <c r="Q943" i="5"/>
  <c r="R943" i="5"/>
  <c r="S943" i="5"/>
  <c r="T943" i="5"/>
  <c r="U943" i="5"/>
  <c r="V943" i="5"/>
  <c r="W943" i="5"/>
  <c r="X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AC947" i="5" s="1"/>
  <c r="N947" i="5"/>
  <c r="O947" i="5"/>
  <c r="P947" i="5"/>
  <c r="Q947" i="5"/>
  <c r="R947" i="5"/>
  <c r="S947" i="5"/>
  <c r="T947" i="5"/>
  <c r="U947" i="5"/>
  <c r="V947" i="5"/>
  <c r="W947" i="5"/>
  <c r="X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AC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AC952" i="5" s="1"/>
  <c r="N952" i="5"/>
  <c r="O952" i="5"/>
  <c r="P952" i="5"/>
  <c r="Q952" i="5"/>
  <c r="R952" i="5"/>
  <c r="S952" i="5"/>
  <c r="T952" i="5"/>
  <c r="U952" i="5"/>
  <c r="V952" i="5"/>
  <c r="W952" i="5"/>
  <c r="X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AC953" i="5" s="1"/>
  <c r="O953" i="5"/>
  <c r="P953" i="5"/>
  <c r="Q953" i="5"/>
  <c r="R953" i="5"/>
  <c r="S953" i="5"/>
  <c r="T953" i="5"/>
  <c r="U953" i="5"/>
  <c r="V953" i="5"/>
  <c r="W953" i="5"/>
  <c r="X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AC958" i="5" s="1"/>
  <c r="P958" i="5"/>
  <c r="Q958" i="5"/>
  <c r="R958" i="5"/>
  <c r="S958" i="5"/>
  <c r="T958" i="5"/>
  <c r="U958" i="5"/>
  <c r="V958" i="5"/>
  <c r="W958" i="5"/>
  <c r="X958" i="5"/>
  <c r="B959" i="5"/>
  <c r="C959" i="5"/>
  <c r="AB959" i="5" s="1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B961" i="5"/>
  <c r="C961" i="5"/>
  <c r="D961" i="5"/>
  <c r="E961" i="5"/>
  <c r="F961" i="5"/>
  <c r="G961" i="5"/>
  <c r="H961" i="5"/>
  <c r="I961" i="5"/>
  <c r="J961" i="5"/>
  <c r="K961" i="5"/>
  <c r="L961" i="5"/>
  <c r="M961" i="5"/>
  <c r="N961" i="5"/>
  <c r="O961" i="5"/>
  <c r="P961" i="5"/>
  <c r="AC961" i="5" s="1"/>
  <c r="Q961" i="5"/>
  <c r="R961" i="5"/>
  <c r="S961" i="5"/>
  <c r="T961" i="5"/>
  <c r="U961" i="5"/>
  <c r="V961" i="5"/>
  <c r="W961" i="5"/>
  <c r="X961" i="5"/>
  <c r="B962" i="5"/>
  <c r="C962" i="5"/>
  <c r="D962" i="5"/>
  <c r="E962" i="5"/>
  <c r="F962" i="5"/>
  <c r="G962" i="5"/>
  <c r="H962" i="5"/>
  <c r="I962" i="5"/>
  <c r="J962" i="5"/>
  <c r="K962" i="5"/>
  <c r="L962" i="5"/>
  <c r="M962" i="5"/>
  <c r="N962" i="5"/>
  <c r="O962" i="5"/>
  <c r="P962" i="5"/>
  <c r="AC962" i="5" s="1"/>
  <c r="Q962" i="5"/>
  <c r="R962" i="5"/>
  <c r="S962" i="5"/>
  <c r="T962" i="5"/>
  <c r="U962" i="5"/>
  <c r="V962" i="5"/>
  <c r="W962" i="5"/>
  <c r="X962" i="5"/>
  <c r="B963" i="5"/>
  <c r="C963" i="5"/>
  <c r="D963" i="5"/>
  <c r="E963" i="5"/>
  <c r="F963" i="5"/>
  <c r="G963" i="5"/>
  <c r="H963" i="5"/>
  <c r="I963" i="5"/>
  <c r="J963" i="5"/>
  <c r="K963" i="5"/>
  <c r="L963" i="5"/>
  <c r="M963" i="5"/>
  <c r="N963" i="5"/>
  <c r="O963" i="5"/>
  <c r="P963" i="5"/>
  <c r="Q963" i="5"/>
  <c r="R963" i="5"/>
  <c r="S963" i="5"/>
  <c r="T963" i="5"/>
  <c r="U963" i="5"/>
  <c r="V963" i="5"/>
  <c r="W963" i="5"/>
  <c r="X963" i="5"/>
  <c r="AB963" i="5"/>
  <c r="AC963" i="5"/>
  <c r="B964" i="5"/>
  <c r="C964" i="5"/>
  <c r="D964" i="5"/>
  <c r="E964" i="5"/>
  <c r="F964" i="5"/>
  <c r="G964" i="5"/>
  <c r="H964" i="5"/>
  <c r="I964" i="5"/>
  <c r="J964" i="5"/>
  <c r="K964" i="5"/>
  <c r="L964" i="5"/>
  <c r="M964" i="5"/>
  <c r="N964" i="5"/>
  <c r="O964" i="5"/>
  <c r="P964" i="5"/>
  <c r="Q964" i="5"/>
  <c r="R964" i="5"/>
  <c r="S964" i="5"/>
  <c r="T964" i="5"/>
  <c r="U964" i="5"/>
  <c r="V964" i="5"/>
  <c r="W964" i="5"/>
  <c r="X964" i="5"/>
  <c r="B965" i="5"/>
  <c r="C965" i="5"/>
  <c r="D965" i="5"/>
  <c r="E965" i="5"/>
  <c r="F965" i="5"/>
  <c r="G965" i="5"/>
  <c r="H965" i="5"/>
  <c r="I965" i="5"/>
  <c r="J965" i="5"/>
  <c r="K965" i="5"/>
  <c r="L965" i="5"/>
  <c r="M965" i="5"/>
  <c r="N965" i="5"/>
  <c r="AC965" i="5" s="1"/>
  <c r="O965" i="5"/>
  <c r="P965" i="5"/>
  <c r="Q965" i="5"/>
  <c r="R965" i="5"/>
  <c r="S965" i="5"/>
  <c r="T965" i="5"/>
  <c r="U965" i="5"/>
  <c r="V965" i="5"/>
  <c r="W965" i="5"/>
  <c r="X965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AC968" i="5" s="1"/>
  <c r="N968" i="5"/>
  <c r="O968" i="5"/>
  <c r="P968" i="5"/>
  <c r="Q968" i="5"/>
  <c r="R968" i="5"/>
  <c r="S968" i="5"/>
  <c r="T968" i="5"/>
  <c r="U968" i="5"/>
  <c r="V968" i="5"/>
  <c r="W968" i="5"/>
  <c r="X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AC969" i="5" s="1"/>
  <c r="O969" i="5"/>
  <c r="P969" i="5"/>
  <c r="Q969" i="5"/>
  <c r="R969" i="5"/>
  <c r="S969" i="5"/>
  <c r="T969" i="5"/>
  <c r="U969" i="5"/>
  <c r="V969" i="5"/>
  <c r="W969" i="5"/>
  <c r="X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AC973" i="5" s="1"/>
  <c r="O973" i="5"/>
  <c r="P973" i="5"/>
  <c r="Q973" i="5"/>
  <c r="R973" i="5"/>
  <c r="S973" i="5"/>
  <c r="T973" i="5"/>
  <c r="U973" i="5"/>
  <c r="V973" i="5"/>
  <c r="W973" i="5"/>
  <c r="X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AC976" i="5" s="1"/>
  <c r="N976" i="5"/>
  <c r="O976" i="5"/>
  <c r="P976" i="5"/>
  <c r="Q976" i="5"/>
  <c r="R976" i="5"/>
  <c r="S976" i="5"/>
  <c r="T976" i="5"/>
  <c r="U976" i="5"/>
  <c r="V976" i="5"/>
  <c r="W976" i="5"/>
  <c r="X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AC977" i="5" s="1"/>
  <c r="O977" i="5"/>
  <c r="P977" i="5"/>
  <c r="Q977" i="5"/>
  <c r="R977" i="5"/>
  <c r="S977" i="5"/>
  <c r="T977" i="5"/>
  <c r="U977" i="5"/>
  <c r="V977" i="5"/>
  <c r="W977" i="5"/>
  <c r="X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AC981" i="5" s="1"/>
  <c r="O981" i="5"/>
  <c r="P981" i="5"/>
  <c r="Q981" i="5"/>
  <c r="R981" i="5"/>
  <c r="S981" i="5"/>
  <c r="T981" i="5"/>
  <c r="U981" i="5"/>
  <c r="V981" i="5"/>
  <c r="W981" i="5"/>
  <c r="X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AC982" i="5" s="1"/>
  <c r="O982" i="5"/>
  <c r="P982" i="5"/>
  <c r="Q982" i="5"/>
  <c r="R982" i="5"/>
  <c r="S982" i="5"/>
  <c r="T982" i="5"/>
  <c r="U982" i="5"/>
  <c r="V982" i="5"/>
  <c r="W982" i="5"/>
  <c r="X982" i="5"/>
  <c r="B983" i="5"/>
  <c r="AB983" i="5" s="1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AC986" i="5" s="1"/>
  <c r="N986" i="5"/>
  <c r="O986" i="5"/>
  <c r="P986" i="5"/>
  <c r="Q986" i="5"/>
  <c r="R986" i="5"/>
  <c r="S986" i="5"/>
  <c r="T986" i="5"/>
  <c r="U986" i="5"/>
  <c r="V986" i="5"/>
  <c r="W986" i="5"/>
  <c r="X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AC989" i="5" s="1"/>
  <c r="Q989" i="5"/>
  <c r="R989" i="5"/>
  <c r="S989" i="5"/>
  <c r="T989" i="5"/>
  <c r="U989" i="5"/>
  <c r="V989" i="5"/>
  <c r="W989" i="5"/>
  <c r="X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AC990" i="5" s="1"/>
  <c r="N990" i="5"/>
  <c r="O990" i="5"/>
  <c r="P990" i="5"/>
  <c r="Q990" i="5"/>
  <c r="R990" i="5"/>
  <c r="S990" i="5"/>
  <c r="T990" i="5"/>
  <c r="U990" i="5"/>
  <c r="V990" i="5"/>
  <c r="W990" i="5"/>
  <c r="X990" i="5"/>
  <c r="B991" i="5"/>
  <c r="AB991" i="5" s="1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AC993" i="5" s="1"/>
  <c r="O993" i="5"/>
  <c r="P993" i="5"/>
  <c r="Q993" i="5"/>
  <c r="R993" i="5"/>
  <c r="S993" i="5"/>
  <c r="T993" i="5"/>
  <c r="U993" i="5"/>
  <c r="V993" i="5"/>
  <c r="W993" i="5"/>
  <c r="X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AC994" i="5" s="1"/>
  <c r="O994" i="5"/>
  <c r="P994" i="5"/>
  <c r="Q994" i="5"/>
  <c r="R994" i="5"/>
  <c r="S994" i="5"/>
  <c r="T994" i="5"/>
  <c r="U994" i="5"/>
  <c r="V994" i="5"/>
  <c r="W994" i="5"/>
  <c r="X994" i="5"/>
  <c r="B995" i="5"/>
  <c r="AB995" i="5" s="1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AC995" i="5" s="1"/>
  <c r="P995" i="5"/>
  <c r="Q995" i="5"/>
  <c r="R995" i="5"/>
  <c r="S995" i="5"/>
  <c r="T995" i="5"/>
  <c r="U995" i="5"/>
  <c r="V995" i="5"/>
  <c r="W995" i="5"/>
  <c r="X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B997" i="5"/>
  <c r="C997" i="5"/>
  <c r="D997" i="5"/>
  <c r="E997" i="5"/>
  <c r="F997" i="5"/>
  <c r="G997" i="5"/>
  <c r="H997" i="5"/>
  <c r="I997" i="5"/>
  <c r="J997" i="5"/>
  <c r="K997" i="5"/>
  <c r="L997" i="5"/>
  <c r="M997" i="5"/>
  <c r="N997" i="5"/>
  <c r="O997" i="5"/>
  <c r="P997" i="5"/>
  <c r="Q997" i="5"/>
  <c r="R997" i="5"/>
  <c r="S997" i="5"/>
  <c r="T997" i="5"/>
  <c r="U997" i="5"/>
  <c r="V997" i="5"/>
  <c r="W997" i="5"/>
  <c r="X997" i="5"/>
  <c r="B998" i="5"/>
  <c r="C998" i="5"/>
  <c r="D998" i="5"/>
  <c r="E998" i="5"/>
  <c r="F998" i="5"/>
  <c r="G998" i="5"/>
  <c r="H998" i="5"/>
  <c r="I998" i="5"/>
  <c r="J998" i="5"/>
  <c r="K998" i="5"/>
  <c r="L998" i="5"/>
  <c r="M998" i="5"/>
  <c r="N998" i="5"/>
  <c r="O998" i="5"/>
  <c r="AC998" i="5" s="1"/>
  <c r="P998" i="5"/>
  <c r="Q998" i="5"/>
  <c r="R998" i="5"/>
  <c r="S998" i="5"/>
  <c r="T998" i="5"/>
  <c r="U998" i="5"/>
  <c r="V998" i="5"/>
  <c r="W998" i="5"/>
  <c r="X998" i="5"/>
  <c r="B999" i="5"/>
  <c r="C999" i="5"/>
  <c r="AB999" i="5" s="1"/>
  <c r="D999" i="5"/>
  <c r="E999" i="5"/>
  <c r="F999" i="5"/>
  <c r="G999" i="5"/>
  <c r="H999" i="5"/>
  <c r="I999" i="5"/>
  <c r="J999" i="5"/>
  <c r="K999" i="5"/>
  <c r="L999" i="5"/>
  <c r="M999" i="5"/>
  <c r="N999" i="5"/>
  <c r="O999" i="5"/>
  <c r="P999" i="5"/>
  <c r="Q999" i="5"/>
  <c r="R999" i="5"/>
  <c r="S999" i="5"/>
  <c r="T999" i="5"/>
  <c r="U999" i="5"/>
  <c r="V999" i="5"/>
  <c r="W999" i="5"/>
  <c r="X999" i="5"/>
  <c r="B1000" i="5"/>
  <c r="C1000" i="5"/>
  <c r="D1000" i="5"/>
  <c r="E1000" i="5"/>
  <c r="F1000" i="5"/>
  <c r="G1000" i="5"/>
  <c r="H1000" i="5"/>
  <c r="I1000" i="5"/>
  <c r="J1000" i="5"/>
  <c r="K1000" i="5"/>
  <c r="L1000" i="5"/>
  <c r="M1000" i="5"/>
  <c r="N1000" i="5"/>
  <c r="O1000" i="5"/>
  <c r="P1000" i="5"/>
  <c r="Q1000" i="5"/>
  <c r="R1000" i="5"/>
  <c r="S1000" i="5"/>
  <c r="T1000" i="5"/>
  <c r="U1000" i="5"/>
  <c r="V1000" i="5"/>
  <c r="W1000" i="5"/>
  <c r="X1000" i="5"/>
  <c r="B1001" i="5"/>
  <c r="C1001" i="5"/>
  <c r="D1001" i="5"/>
  <c r="E1001" i="5"/>
  <c r="F1001" i="5"/>
  <c r="G1001" i="5"/>
  <c r="H1001" i="5"/>
  <c r="I1001" i="5"/>
  <c r="J1001" i="5"/>
  <c r="K1001" i="5"/>
  <c r="L1001" i="5"/>
  <c r="M1001" i="5"/>
  <c r="N1001" i="5"/>
  <c r="O1001" i="5"/>
  <c r="P1001" i="5"/>
  <c r="Q1001" i="5"/>
  <c r="R1001" i="5"/>
  <c r="S1001" i="5"/>
  <c r="T1001" i="5"/>
  <c r="U1001" i="5"/>
  <c r="V1001" i="5"/>
  <c r="W1001" i="5"/>
  <c r="X1001" i="5"/>
  <c r="AC1001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AC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AC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AB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B1006" i="5"/>
  <c r="AB1006" i="5" s="1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AC1009" i="5" s="1"/>
  <c r="Q1009" i="5"/>
  <c r="R1009" i="5"/>
  <c r="S1009" i="5"/>
  <c r="T1009" i="5"/>
  <c r="U1009" i="5"/>
  <c r="V1009" i="5"/>
  <c r="W1009" i="5"/>
  <c r="X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AC1018" i="5" s="1"/>
  <c r="Q1018" i="5"/>
  <c r="R1018" i="5"/>
  <c r="S1018" i="5"/>
  <c r="T1018" i="5"/>
  <c r="U1018" i="5"/>
  <c r="V1018" i="5"/>
  <c r="W1018" i="5"/>
  <c r="X1018" i="5"/>
  <c r="B1019" i="5"/>
  <c r="C1019" i="5"/>
  <c r="D1019" i="5"/>
  <c r="AB1019" i="5" s="1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AC1019" i="5" s="1"/>
  <c r="Q1019" i="5"/>
  <c r="R1019" i="5"/>
  <c r="S1019" i="5"/>
  <c r="T1019" i="5"/>
  <c r="U1019" i="5"/>
  <c r="V1019" i="5"/>
  <c r="W1019" i="5"/>
  <c r="X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AC1021" i="5" s="1"/>
  <c r="Q1021" i="5"/>
  <c r="R1021" i="5"/>
  <c r="S1021" i="5"/>
  <c r="T1021" i="5"/>
  <c r="U1021" i="5"/>
  <c r="V1021" i="5"/>
  <c r="W1021" i="5"/>
  <c r="X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AC1022" i="5" s="1"/>
  <c r="N1022" i="5"/>
  <c r="O1022" i="5"/>
  <c r="P1022" i="5"/>
  <c r="Q1022" i="5"/>
  <c r="R1022" i="5"/>
  <c r="S1022" i="5"/>
  <c r="T1022" i="5"/>
  <c r="U1022" i="5"/>
  <c r="V1022" i="5"/>
  <c r="W1022" i="5"/>
  <c r="X1022" i="5"/>
  <c r="AB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AC1025" i="5" s="1"/>
  <c r="P1025" i="5"/>
  <c r="Q1025" i="5"/>
  <c r="R1025" i="5"/>
  <c r="S1025" i="5"/>
  <c r="T1025" i="5"/>
  <c r="U1025" i="5"/>
  <c r="V1025" i="5"/>
  <c r="W1025" i="5"/>
  <c r="X1025" i="5"/>
  <c r="B1026" i="5"/>
  <c r="C1026" i="5"/>
  <c r="AB1026" i="5" s="1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B1033" i="5"/>
  <c r="C1033" i="5"/>
  <c r="D1033" i="5"/>
  <c r="E1033" i="5"/>
  <c r="F1033" i="5"/>
  <c r="G1033" i="5"/>
  <c r="H1033" i="5"/>
  <c r="I1033" i="5"/>
  <c r="J1033" i="5"/>
  <c r="K1033" i="5"/>
  <c r="L1033" i="5"/>
  <c r="M1033" i="5"/>
  <c r="N1033" i="5"/>
  <c r="O1033" i="5"/>
  <c r="P1033" i="5"/>
  <c r="Q1033" i="5"/>
  <c r="R1033" i="5"/>
  <c r="S1033" i="5"/>
  <c r="T1033" i="5"/>
  <c r="U1033" i="5"/>
  <c r="V1033" i="5"/>
  <c r="W1033" i="5"/>
  <c r="X1033" i="5"/>
  <c r="B1034" i="5"/>
  <c r="C1034" i="5"/>
  <c r="D1034" i="5"/>
  <c r="E1034" i="5"/>
  <c r="F1034" i="5"/>
  <c r="G1034" i="5"/>
  <c r="H1034" i="5"/>
  <c r="I1034" i="5"/>
  <c r="J1034" i="5"/>
  <c r="K1034" i="5"/>
  <c r="L1034" i="5"/>
  <c r="M1034" i="5"/>
  <c r="N1034" i="5"/>
  <c r="AC1034" i="5" s="1"/>
  <c r="O1034" i="5"/>
  <c r="P1034" i="5"/>
  <c r="Q1034" i="5"/>
  <c r="R1034" i="5"/>
  <c r="S1034" i="5"/>
  <c r="T1034" i="5"/>
  <c r="U1034" i="5"/>
  <c r="V1034" i="5"/>
  <c r="W1034" i="5"/>
  <c r="X1034" i="5"/>
  <c r="B1035" i="5"/>
  <c r="AB1035" i="5" s="1"/>
  <c r="C1035" i="5"/>
  <c r="D1035" i="5"/>
  <c r="E1035" i="5"/>
  <c r="F1035" i="5"/>
  <c r="G1035" i="5"/>
  <c r="H1035" i="5"/>
  <c r="I1035" i="5"/>
  <c r="J1035" i="5"/>
  <c r="K1035" i="5"/>
  <c r="L1035" i="5"/>
  <c r="M1035" i="5"/>
  <c r="N1035" i="5"/>
  <c r="O1035" i="5"/>
  <c r="P1035" i="5"/>
  <c r="Q1035" i="5"/>
  <c r="R1035" i="5"/>
  <c r="S1035" i="5"/>
  <c r="T1035" i="5"/>
  <c r="U1035" i="5"/>
  <c r="V1035" i="5"/>
  <c r="W1035" i="5"/>
  <c r="X1035" i="5"/>
  <c r="B1036" i="5"/>
  <c r="C1036" i="5"/>
  <c r="D1036" i="5"/>
  <c r="E1036" i="5"/>
  <c r="F1036" i="5"/>
  <c r="G1036" i="5"/>
  <c r="H1036" i="5"/>
  <c r="I1036" i="5"/>
  <c r="J1036" i="5"/>
  <c r="K1036" i="5"/>
  <c r="L1036" i="5"/>
  <c r="M1036" i="5"/>
  <c r="N1036" i="5"/>
  <c r="O1036" i="5"/>
  <c r="P1036" i="5"/>
  <c r="Q1036" i="5"/>
  <c r="R1036" i="5"/>
  <c r="S1036" i="5"/>
  <c r="T1036" i="5"/>
  <c r="U1036" i="5"/>
  <c r="V1036" i="5"/>
  <c r="W1036" i="5"/>
  <c r="X1036" i="5"/>
  <c r="B1037" i="5"/>
  <c r="C1037" i="5"/>
  <c r="D1037" i="5"/>
  <c r="E1037" i="5"/>
  <c r="F1037" i="5"/>
  <c r="G1037" i="5"/>
  <c r="H1037" i="5"/>
  <c r="I1037" i="5"/>
  <c r="J1037" i="5"/>
  <c r="K1037" i="5"/>
  <c r="L1037" i="5"/>
  <c r="M1037" i="5"/>
  <c r="N1037" i="5"/>
  <c r="O1037" i="5"/>
  <c r="P1037" i="5"/>
  <c r="Q1037" i="5"/>
  <c r="R1037" i="5"/>
  <c r="S1037" i="5"/>
  <c r="T1037" i="5"/>
  <c r="U1037" i="5"/>
  <c r="V1037" i="5"/>
  <c r="W1037" i="5"/>
  <c r="X1037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AC1039" i="5" s="1"/>
  <c r="N1039" i="5"/>
  <c r="O1039" i="5"/>
  <c r="P1039" i="5"/>
  <c r="Q1039" i="5"/>
  <c r="R1039" i="5"/>
  <c r="S1039" i="5"/>
  <c r="T1039" i="5"/>
  <c r="U1039" i="5"/>
  <c r="V1039" i="5"/>
  <c r="W1039" i="5"/>
  <c r="X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AC1043" i="5" s="1"/>
  <c r="N1043" i="5"/>
  <c r="O1043" i="5"/>
  <c r="P1043" i="5"/>
  <c r="Q1043" i="5"/>
  <c r="R1043" i="5"/>
  <c r="S1043" i="5"/>
  <c r="T1043" i="5"/>
  <c r="U1043" i="5"/>
  <c r="V1043" i="5"/>
  <c r="W1043" i="5"/>
  <c r="X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AC1046" i="5" s="1"/>
  <c r="Q1046" i="5"/>
  <c r="R1046" i="5"/>
  <c r="S1046" i="5"/>
  <c r="T1046" i="5"/>
  <c r="U1046" i="5"/>
  <c r="V1046" i="5"/>
  <c r="W1046" i="5"/>
  <c r="X1046" i="5"/>
  <c r="B1047" i="5"/>
  <c r="C1047" i="5"/>
  <c r="D1047" i="5"/>
  <c r="AB1047" i="5" s="1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AC1050" i="5" s="1"/>
  <c r="O1050" i="5"/>
  <c r="P1050" i="5"/>
  <c r="Q1050" i="5"/>
  <c r="R1050" i="5"/>
  <c r="S1050" i="5"/>
  <c r="T1050" i="5"/>
  <c r="U1050" i="5"/>
  <c r="V1050" i="5"/>
  <c r="W1050" i="5"/>
  <c r="X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AC1051" i="5" s="1"/>
  <c r="O1051" i="5"/>
  <c r="P1051" i="5"/>
  <c r="Q1051" i="5"/>
  <c r="R1051" i="5"/>
  <c r="S1051" i="5"/>
  <c r="T1051" i="5"/>
  <c r="U1051" i="5"/>
  <c r="V1051" i="5"/>
  <c r="W1051" i="5"/>
  <c r="X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AC1054" i="5" s="1"/>
  <c r="Q1054" i="5"/>
  <c r="R1054" i="5"/>
  <c r="S1054" i="5"/>
  <c r="T1054" i="5"/>
  <c r="U1054" i="5"/>
  <c r="V1054" i="5"/>
  <c r="W1054" i="5"/>
  <c r="X1054" i="5"/>
  <c r="B1055" i="5"/>
  <c r="C1055" i="5"/>
  <c r="D1055" i="5"/>
  <c r="AB1055" i="5" s="1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AC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AC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AB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B1062" i="5"/>
  <c r="C1062" i="5"/>
  <c r="AB1062" i="5" s="1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AC1066" i="5" s="1"/>
  <c r="O1066" i="5"/>
  <c r="P1066" i="5"/>
  <c r="Q1066" i="5"/>
  <c r="R1066" i="5"/>
  <c r="S1066" i="5"/>
  <c r="T1066" i="5"/>
  <c r="U1066" i="5"/>
  <c r="V1066" i="5"/>
  <c r="W1066" i="5"/>
  <c r="X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B1070" i="5"/>
  <c r="C1070" i="5"/>
  <c r="D1070" i="5"/>
  <c r="F1070" i="5"/>
  <c r="G1070" i="5"/>
  <c r="H1070" i="5"/>
  <c r="I1070" i="5"/>
  <c r="J1070" i="5"/>
  <c r="L1070" i="5"/>
  <c r="M1070" i="5"/>
  <c r="O1070" i="5"/>
  <c r="P1070" i="5"/>
  <c r="Q1070" i="5"/>
  <c r="R1070" i="5"/>
  <c r="S1070" i="5"/>
  <c r="T1070" i="5"/>
  <c r="U1070" i="5"/>
  <c r="X1070" i="5"/>
  <c r="Y1070" i="5"/>
  <c r="Z1070" i="5"/>
  <c r="AA1070" i="5"/>
  <c r="G1071" i="5"/>
  <c r="P1071" i="5"/>
  <c r="X1071" i="5"/>
  <c r="Y1071" i="5"/>
  <c r="D1072" i="5"/>
  <c r="E1072" i="5"/>
  <c r="M1072" i="5"/>
  <c r="N1072" i="5"/>
  <c r="U1072" i="5"/>
  <c r="V1072" i="5"/>
  <c r="B1073" i="5"/>
  <c r="C1073" i="5"/>
  <c r="D1073" i="5"/>
  <c r="E1073" i="5"/>
  <c r="I1073" i="5"/>
  <c r="J1073" i="5"/>
  <c r="L1073" i="5"/>
  <c r="M1073" i="5"/>
  <c r="N1073" i="5"/>
  <c r="R1073" i="5"/>
  <c r="S1073" i="5"/>
  <c r="T1073" i="5"/>
  <c r="U1073" i="5"/>
  <c r="V1073" i="5"/>
  <c r="B1074" i="5"/>
  <c r="J1074" i="5"/>
  <c r="K1074" i="5"/>
  <c r="R1074" i="5"/>
  <c r="V1074" i="5"/>
  <c r="E1075" i="5"/>
  <c r="F1075" i="5"/>
  <c r="G1075" i="5"/>
  <c r="I1075" i="5"/>
  <c r="M1075" i="5"/>
  <c r="N1075" i="5"/>
  <c r="O1075" i="5"/>
  <c r="U1075" i="5"/>
  <c r="V1075" i="5"/>
  <c r="W1075" i="5"/>
  <c r="D1076" i="5"/>
  <c r="H1076" i="5"/>
  <c r="L1076" i="5"/>
  <c r="P1076" i="5"/>
  <c r="V1076" i="5"/>
  <c r="C1077" i="5"/>
  <c r="G1077" i="5"/>
  <c r="H1077" i="5"/>
  <c r="K1077" i="5"/>
  <c r="L1077" i="5"/>
  <c r="M1077" i="5"/>
  <c r="O1077" i="5"/>
  <c r="P1077" i="5"/>
  <c r="S1077" i="5"/>
  <c r="W1077" i="5"/>
  <c r="X1077" i="5"/>
  <c r="B1078" i="5"/>
  <c r="C1078" i="5"/>
  <c r="D1078" i="5"/>
  <c r="F1078" i="5"/>
  <c r="K1078" i="5"/>
  <c r="L1078" i="5"/>
  <c r="N1078" i="5"/>
  <c r="O1078" i="5"/>
  <c r="R1078" i="5"/>
  <c r="S1078" i="5"/>
  <c r="T1078" i="5"/>
  <c r="V1078" i="5"/>
  <c r="C1079" i="5"/>
  <c r="E1079" i="5"/>
  <c r="F1079" i="5"/>
  <c r="J1079" i="5"/>
  <c r="M1079" i="5"/>
  <c r="N1079" i="5"/>
  <c r="R1079" i="5"/>
  <c r="U1079" i="5"/>
  <c r="V1079" i="5"/>
  <c r="C1080" i="5"/>
  <c r="D1080" i="5"/>
  <c r="E1080" i="5"/>
  <c r="H1080" i="5"/>
  <c r="I1080" i="5"/>
  <c r="K1080" i="5"/>
  <c r="L1080" i="5"/>
  <c r="M1080" i="5"/>
  <c r="P1080" i="5"/>
  <c r="S1080" i="5"/>
  <c r="T1080" i="5"/>
  <c r="U1080" i="5"/>
  <c r="X1080" i="5"/>
  <c r="D1081" i="5"/>
  <c r="G1081" i="5"/>
  <c r="H1081" i="5"/>
  <c r="I1081" i="5"/>
  <c r="K1081" i="5"/>
  <c r="L1081" i="5"/>
  <c r="O1081" i="5"/>
  <c r="S1081" i="5"/>
  <c r="T1081" i="5"/>
  <c r="W1081" i="5"/>
  <c r="X1081" i="5"/>
  <c r="B1082" i="5"/>
  <c r="C1082" i="5"/>
  <c r="J1082" i="5"/>
  <c r="K1082" i="5"/>
  <c r="N1082" i="5"/>
  <c r="O1082" i="5"/>
  <c r="R1082" i="5"/>
  <c r="S1082" i="5"/>
  <c r="B1083" i="5"/>
  <c r="G1083" i="5"/>
  <c r="I1083" i="5"/>
  <c r="J1083" i="5"/>
  <c r="O1083" i="5"/>
  <c r="Q1083" i="5"/>
  <c r="U1083" i="5"/>
  <c r="V1083" i="5"/>
  <c r="W1083" i="5"/>
  <c r="B1084" i="5"/>
  <c r="C1084" i="5"/>
  <c r="D1084" i="5"/>
  <c r="E1084" i="5"/>
  <c r="F1084" i="5"/>
  <c r="H1084" i="5"/>
  <c r="I1084" i="5"/>
  <c r="J1084" i="5"/>
  <c r="K1084" i="5"/>
  <c r="L1084" i="5"/>
  <c r="M1084" i="5"/>
  <c r="N1084" i="5"/>
  <c r="P1084" i="5"/>
  <c r="Q1084" i="5"/>
  <c r="R1084" i="5"/>
  <c r="S1084" i="5"/>
  <c r="T1084" i="5"/>
  <c r="U1084" i="5"/>
  <c r="V1084" i="5"/>
  <c r="X1084" i="5"/>
  <c r="C1085" i="5"/>
  <c r="D1085" i="5"/>
  <c r="E1085" i="5"/>
  <c r="F1085" i="5"/>
  <c r="L1085" i="5"/>
  <c r="M1085" i="5"/>
  <c r="N1085" i="5"/>
  <c r="O1085" i="5"/>
  <c r="T1085" i="5"/>
  <c r="U1085" i="5"/>
  <c r="V1085" i="5"/>
  <c r="B1086" i="5"/>
  <c r="C1086" i="5"/>
  <c r="L1086" i="5"/>
  <c r="T1086" i="5"/>
  <c r="V1086" i="5"/>
  <c r="W1086" i="5"/>
  <c r="C1087" i="5"/>
  <c r="F1087" i="5"/>
  <c r="I1087" i="5"/>
  <c r="J1087" i="5"/>
  <c r="K1087" i="5"/>
  <c r="M1087" i="5"/>
  <c r="N1087" i="5"/>
  <c r="U1087" i="5"/>
  <c r="V1087" i="5"/>
  <c r="B1088" i="5"/>
  <c r="D1088" i="5"/>
  <c r="I1088" i="5"/>
  <c r="J1088" i="5"/>
  <c r="L1088" i="5"/>
  <c r="M1088" i="5"/>
  <c r="P1088" i="5"/>
  <c r="Q1088" i="5"/>
  <c r="R1088" i="5"/>
  <c r="T1088" i="5"/>
  <c r="U1088" i="5"/>
  <c r="X1088" i="5"/>
  <c r="B1089" i="5"/>
  <c r="C1089" i="5"/>
  <c r="F1089" i="5"/>
  <c r="G1089" i="5"/>
  <c r="J1089" i="5"/>
  <c r="K1089" i="5"/>
  <c r="M1089" i="5"/>
  <c r="N1089" i="5"/>
  <c r="O1089" i="5"/>
  <c r="P1089" i="5"/>
  <c r="S1089" i="5"/>
  <c r="U1089" i="5"/>
  <c r="V1089" i="5"/>
  <c r="W1089" i="5"/>
  <c r="X1089" i="5"/>
  <c r="B1090" i="5"/>
  <c r="E1090" i="5"/>
  <c r="G1090" i="5"/>
  <c r="H1090" i="5"/>
  <c r="I1090" i="5"/>
  <c r="J1090" i="5"/>
  <c r="O1090" i="5"/>
  <c r="P1090" i="5"/>
  <c r="Q1090" i="5"/>
  <c r="R1090" i="5"/>
  <c r="U1090" i="5"/>
  <c r="V1090" i="5"/>
  <c r="X1090" i="5"/>
  <c r="D1091" i="5"/>
  <c r="E1091" i="5"/>
  <c r="F1091" i="5"/>
  <c r="G1091" i="5"/>
  <c r="H1091" i="5"/>
  <c r="L1091" i="5"/>
  <c r="N1091" i="5"/>
  <c r="O1091" i="5"/>
  <c r="P1091" i="5"/>
  <c r="Q1091" i="5"/>
  <c r="T1091" i="5"/>
  <c r="V1091" i="5"/>
  <c r="W1091" i="5"/>
  <c r="X1091" i="5"/>
  <c r="B1092" i="5"/>
  <c r="C1092" i="5"/>
  <c r="D1092" i="5"/>
  <c r="F1092" i="5"/>
  <c r="G1092" i="5"/>
  <c r="H1092" i="5"/>
  <c r="I1092" i="5"/>
  <c r="J1092" i="5"/>
  <c r="K1092" i="5"/>
  <c r="L1092" i="5"/>
  <c r="N1092" i="5"/>
  <c r="O1092" i="5"/>
  <c r="P1092" i="5"/>
  <c r="Q1092" i="5"/>
  <c r="R1092" i="5"/>
  <c r="S1092" i="5"/>
  <c r="T1092" i="5"/>
  <c r="V1092" i="5"/>
  <c r="W1092" i="5"/>
  <c r="X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A1095" i="5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B1095" i="5"/>
  <c r="D1095" i="5"/>
  <c r="G1095" i="5"/>
  <c r="H1095" i="5"/>
  <c r="I1095" i="5"/>
  <c r="J1095" i="5"/>
  <c r="K1095" i="5"/>
  <c r="L1095" i="5"/>
  <c r="O1095" i="5"/>
  <c r="P1095" i="5"/>
  <c r="Q1095" i="5"/>
  <c r="R1095" i="5"/>
  <c r="T1095" i="5"/>
  <c r="W1095" i="5"/>
  <c r="X1095" i="5"/>
  <c r="B1096" i="5"/>
  <c r="C1096" i="5"/>
  <c r="D1096" i="5"/>
  <c r="E1096" i="5"/>
  <c r="F1096" i="5"/>
  <c r="G1096" i="5"/>
  <c r="I1096" i="5"/>
  <c r="J1096" i="5"/>
  <c r="K1096" i="5"/>
  <c r="L1096" i="5"/>
  <c r="M1096" i="5"/>
  <c r="N1096" i="5"/>
  <c r="O1096" i="5"/>
  <c r="Q1096" i="5"/>
  <c r="R1096" i="5"/>
  <c r="S1096" i="5"/>
  <c r="T1096" i="5"/>
  <c r="U1096" i="5"/>
  <c r="V1096" i="5"/>
  <c r="W1096" i="5"/>
  <c r="C1097" i="5"/>
  <c r="D1097" i="5"/>
  <c r="G1097" i="5"/>
  <c r="K1097" i="5"/>
  <c r="L1097" i="5"/>
  <c r="N1097" i="5"/>
  <c r="O1097" i="5"/>
  <c r="P1097" i="5"/>
  <c r="T1097" i="5"/>
  <c r="W1097" i="5"/>
  <c r="X1097" i="5"/>
  <c r="B1098" i="5"/>
  <c r="C1098" i="5"/>
  <c r="D1098" i="5"/>
  <c r="E1098" i="5"/>
  <c r="F1098" i="5"/>
  <c r="I1098" i="5"/>
  <c r="J1098" i="5"/>
  <c r="K1098" i="5"/>
  <c r="L1098" i="5"/>
  <c r="M1098" i="5"/>
  <c r="N1098" i="5"/>
  <c r="Q1098" i="5"/>
  <c r="R1098" i="5"/>
  <c r="S1098" i="5"/>
  <c r="T1098" i="5"/>
  <c r="U1098" i="5"/>
  <c r="V1098" i="5"/>
  <c r="F1099" i="5"/>
  <c r="G1099" i="5"/>
  <c r="N1099" i="5"/>
  <c r="V1099" i="5"/>
  <c r="W1099" i="5"/>
  <c r="X1099" i="5"/>
  <c r="B1100" i="5"/>
  <c r="E1100" i="5"/>
  <c r="I1100" i="5"/>
  <c r="J1100" i="5"/>
  <c r="M1100" i="5"/>
  <c r="N1100" i="5"/>
  <c r="P1100" i="5"/>
  <c r="R1100" i="5"/>
  <c r="U1100" i="5"/>
  <c r="X1100" i="5"/>
  <c r="E1101" i="5"/>
  <c r="F1101" i="5"/>
  <c r="G1101" i="5"/>
  <c r="L1101" i="5"/>
  <c r="N1101" i="5"/>
  <c r="O1101" i="5"/>
  <c r="V1101" i="5"/>
  <c r="W1101" i="5"/>
  <c r="F1102" i="5"/>
  <c r="G1102" i="5"/>
  <c r="N1102" i="5"/>
  <c r="O1102" i="5"/>
  <c r="V1102" i="5"/>
  <c r="W1102" i="5"/>
  <c r="B1103" i="5"/>
  <c r="C1103" i="5"/>
  <c r="G1103" i="5"/>
  <c r="H1103" i="5"/>
  <c r="J1103" i="5"/>
  <c r="K1103" i="5"/>
  <c r="L1103" i="5"/>
  <c r="P1103" i="5"/>
  <c r="R1103" i="5"/>
  <c r="S1103" i="5"/>
  <c r="X1103" i="5"/>
  <c r="D1104" i="5"/>
  <c r="E1104" i="5"/>
  <c r="G1104" i="5"/>
  <c r="L1104" i="5"/>
  <c r="N1104" i="5"/>
  <c r="O1104" i="5"/>
  <c r="T1104" i="5"/>
  <c r="V1104" i="5"/>
  <c r="D1105" i="5"/>
  <c r="E1105" i="5"/>
  <c r="F1105" i="5"/>
  <c r="G1105" i="5"/>
  <c r="K1105" i="5"/>
  <c r="L1105" i="5"/>
  <c r="M1105" i="5"/>
  <c r="N1105" i="5"/>
  <c r="S1105" i="5"/>
  <c r="T1105" i="5"/>
  <c r="U1105" i="5"/>
  <c r="V1105" i="5"/>
  <c r="B1106" i="5"/>
  <c r="E1106" i="5"/>
  <c r="F1106" i="5"/>
  <c r="H1106" i="5"/>
  <c r="J1106" i="5"/>
  <c r="L1106" i="5"/>
  <c r="M1106" i="5"/>
  <c r="N1106" i="5"/>
  <c r="P1106" i="5"/>
  <c r="R1106" i="5"/>
  <c r="V1106" i="5"/>
  <c r="X1106" i="5"/>
  <c r="A1107" i="5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C1119" i="5" s="1"/>
  <c r="B1107" i="5"/>
  <c r="C1107" i="5"/>
  <c r="D1107" i="5"/>
  <c r="H1107" i="5"/>
  <c r="J1107" i="5"/>
  <c r="K1107" i="5"/>
  <c r="O1107" i="5"/>
  <c r="P1107" i="5"/>
  <c r="Q1107" i="5"/>
  <c r="R1107" i="5"/>
  <c r="X1107" i="5"/>
  <c r="B1108" i="5"/>
  <c r="G1108" i="5"/>
  <c r="H1108" i="5"/>
  <c r="N1108" i="5"/>
  <c r="P1108" i="5"/>
  <c r="Q1108" i="5"/>
  <c r="U1108" i="5"/>
  <c r="V1108" i="5"/>
  <c r="W1108" i="5"/>
  <c r="X1108" i="5"/>
  <c r="C1109" i="5"/>
  <c r="E1109" i="5"/>
  <c r="G1109" i="5"/>
  <c r="H1109" i="5"/>
  <c r="K1109" i="5"/>
  <c r="O1109" i="5"/>
  <c r="S1109" i="5"/>
  <c r="W1109" i="5"/>
  <c r="B1110" i="5"/>
  <c r="C1110" i="5"/>
  <c r="D1110" i="5"/>
  <c r="J1110" i="5"/>
  <c r="K1110" i="5"/>
  <c r="L1110" i="5"/>
  <c r="M1110" i="5"/>
  <c r="N1110" i="5"/>
  <c r="R1110" i="5"/>
  <c r="S1110" i="5"/>
  <c r="T1110" i="5"/>
  <c r="U1110" i="5"/>
  <c r="V1110" i="5"/>
  <c r="C1111" i="5"/>
  <c r="G1111" i="5"/>
  <c r="H1111" i="5"/>
  <c r="J1111" i="5"/>
  <c r="K1111" i="5"/>
  <c r="O1111" i="5"/>
  <c r="P1111" i="5"/>
  <c r="Q1111" i="5"/>
  <c r="S1111" i="5"/>
  <c r="T1111" i="5"/>
  <c r="W1111" i="5"/>
  <c r="X1111" i="5"/>
  <c r="B1112" i="5"/>
  <c r="E1112" i="5"/>
  <c r="F1112" i="5"/>
  <c r="I1112" i="5"/>
  <c r="M1112" i="5"/>
  <c r="N1112" i="5"/>
  <c r="O1112" i="5"/>
  <c r="P1112" i="5"/>
  <c r="U1112" i="5"/>
  <c r="V1112" i="5"/>
  <c r="W1112" i="5"/>
  <c r="E1113" i="5"/>
  <c r="G1113" i="5"/>
  <c r="H1113" i="5"/>
  <c r="K1113" i="5"/>
  <c r="S1113" i="5"/>
  <c r="T1113" i="5"/>
  <c r="U1113" i="5"/>
  <c r="C1114" i="5"/>
  <c r="D1114" i="5"/>
  <c r="E1114" i="5"/>
  <c r="F1114" i="5"/>
  <c r="K1114" i="5"/>
  <c r="L1114" i="5"/>
  <c r="M1114" i="5"/>
  <c r="N1114" i="5"/>
  <c r="Q1114" i="5"/>
  <c r="R1114" i="5"/>
  <c r="S1114" i="5"/>
  <c r="T1114" i="5"/>
  <c r="U1114" i="5"/>
  <c r="B1115" i="5"/>
  <c r="C1115" i="5"/>
  <c r="E1115" i="5"/>
  <c r="G1115" i="5"/>
  <c r="H1115" i="5"/>
  <c r="I1115" i="5"/>
  <c r="J1115" i="5"/>
  <c r="K1115" i="5"/>
  <c r="M1115" i="5"/>
  <c r="O1115" i="5"/>
  <c r="R1115" i="5"/>
  <c r="S1115" i="5"/>
  <c r="T1115" i="5"/>
  <c r="U1115" i="5"/>
  <c r="W1115" i="5"/>
  <c r="X1115" i="5"/>
  <c r="B1116" i="5"/>
  <c r="E1116" i="5"/>
  <c r="F1116" i="5"/>
  <c r="H1116" i="5"/>
  <c r="I1116" i="5"/>
  <c r="J1116" i="5"/>
  <c r="N1116" i="5"/>
  <c r="O1116" i="5"/>
  <c r="P1116" i="5"/>
  <c r="Q1116" i="5"/>
  <c r="R1116" i="5"/>
  <c r="V1116" i="5"/>
  <c r="X1116" i="5"/>
  <c r="B1117" i="5"/>
  <c r="E1117" i="5"/>
  <c r="G1117" i="5"/>
  <c r="H1117" i="5"/>
  <c r="I1117" i="5"/>
  <c r="J1117" i="5"/>
  <c r="K1117" i="5"/>
  <c r="M1117" i="5"/>
  <c r="O1117" i="5"/>
  <c r="P1117" i="5"/>
  <c r="Q1117" i="5"/>
  <c r="R1117" i="5"/>
  <c r="U1117" i="5"/>
  <c r="V1117" i="5"/>
  <c r="X1117" i="5"/>
  <c r="J1118" i="5"/>
  <c r="M1118" i="5"/>
  <c r="S1118" i="5"/>
  <c r="D1119" i="5"/>
  <c r="I1119" i="5"/>
  <c r="E9" i="4"/>
  <c r="G9" i="4"/>
  <c r="J12" i="4"/>
  <c r="J13" i="4"/>
  <c r="J14" i="4"/>
  <c r="J15" i="4"/>
  <c r="J16" i="4"/>
  <c r="J17" i="4"/>
  <c r="J18" i="4"/>
  <c r="J19" i="4"/>
  <c r="J20" i="4"/>
  <c r="J21" i="4"/>
  <c r="J22" i="4"/>
  <c r="B23" i="4"/>
  <c r="B1069" i="4" s="1"/>
  <c r="C23" i="4"/>
  <c r="D23" i="4"/>
  <c r="D1069" i="4" s="1"/>
  <c r="E23" i="4"/>
  <c r="F23" i="4"/>
  <c r="G23" i="4"/>
  <c r="H23" i="4"/>
  <c r="I23" i="4"/>
  <c r="J23" i="4"/>
  <c r="B24" i="4"/>
  <c r="C24" i="4"/>
  <c r="D24" i="4"/>
  <c r="E24" i="4"/>
  <c r="F24" i="4"/>
  <c r="G24" i="4"/>
  <c r="H24" i="4"/>
  <c r="I24" i="4"/>
  <c r="J24" i="4"/>
  <c r="B25" i="4"/>
  <c r="C25" i="4"/>
  <c r="D25" i="4"/>
  <c r="E25" i="4"/>
  <c r="F25" i="4"/>
  <c r="G25" i="4"/>
  <c r="H25" i="4"/>
  <c r="I25" i="4"/>
  <c r="J25" i="4"/>
  <c r="B26" i="4"/>
  <c r="C26" i="4"/>
  <c r="D26" i="4"/>
  <c r="E26" i="4"/>
  <c r="F26" i="4"/>
  <c r="G26" i="4"/>
  <c r="H26" i="4"/>
  <c r="I26" i="4"/>
  <c r="J26" i="4"/>
  <c r="B27" i="4"/>
  <c r="C27" i="4"/>
  <c r="D27" i="4"/>
  <c r="E27" i="4"/>
  <c r="F27" i="4"/>
  <c r="G27" i="4"/>
  <c r="H27" i="4"/>
  <c r="I27" i="4"/>
  <c r="J27" i="4"/>
  <c r="B28" i="4"/>
  <c r="C28" i="4"/>
  <c r="D28" i="4"/>
  <c r="E28" i="4"/>
  <c r="F28" i="4"/>
  <c r="G28" i="4"/>
  <c r="H28" i="4"/>
  <c r="I28" i="4"/>
  <c r="J28" i="4"/>
  <c r="B29" i="4"/>
  <c r="C29" i="4"/>
  <c r="D29" i="4"/>
  <c r="E29" i="4"/>
  <c r="F29" i="4"/>
  <c r="G29" i="4"/>
  <c r="H29" i="4"/>
  <c r="I29" i="4"/>
  <c r="J29" i="4"/>
  <c r="B30" i="4"/>
  <c r="C30" i="4"/>
  <c r="D30" i="4"/>
  <c r="E30" i="4"/>
  <c r="F30" i="4"/>
  <c r="G30" i="4"/>
  <c r="H30" i="4"/>
  <c r="I30" i="4"/>
  <c r="J30" i="4"/>
  <c r="B31" i="4"/>
  <c r="C31" i="4"/>
  <c r="D31" i="4"/>
  <c r="E31" i="4"/>
  <c r="F31" i="4"/>
  <c r="G31" i="4"/>
  <c r="H31" i="4"/>
  <c r="I31" i="4"/>
  <c r="J31" i="4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J1074" i="4" s="1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J1081" i="4" s="1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J1094" i="4" s="1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J1099" i="4" s="1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J1103" i="4" s="1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J1107" i="4" s="1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J1110" i="4" s="1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J1115" i="4" s="1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B1003" i="4"/>
  <c r="C1003" i="4"/>
  <c r="D1003" i="4"/>
  <c r="E1003" i="4"/>
  <c r="F1003" i="4"/>
  <c r="G1003" i="4"/>
  <c r="H1003" i="4"/>
  <c r="I1003" i="4"/>
  <c r="J1003" i="4"/>
  <c r="B1004" i="4"/>
  <c r="C1004" i="4"/>
  <c r="D1004" i="4"/>
  <c r="E1004" i="4"/>
  <c r="F1004" i="4"/>
  <c r="G1004" i="4"/>
  <c r="H1004" i="4"/>
  <c r="I1004" i="4"/>
  <c r="J1004" i="4"/>
  <c r="B1005" i="4"/>
  <c r="C1005" i="4"/>
  <c r="D1005" i="4"/>
  <c r="E1005" i="4"/>
  <c r="F1005" i="4"/>
  <c r="G1005" i="4"/>
  <c r="H1005" i="4"/>
  <c r="I1005" i="4"/>
  <c r="J1005" i="4"/>
  <c r="B1006" i="4"/>
  <c r="C1006" i="4"/>
  <c r="D1006" i="4"/>
  <c r="E1006" i="4"/>
  <c r="F1006" i="4"/>
  <c r="G1006" i="4"/>
  <c r="H1006" i="4"/>
  <c r="I1006" i="4"/>
  <c r="J1006" i="4"/>
  <c r="B1007" i="4"/>
  <c r="C1007" i="4"/>
  <c r="D1007" i="4"/>
  <c r="E1007" i="4"/>
  <c r="F1007" i="4"/>
  <c r="G1007" i="4"/>
  <c r="H1007" i="4"/>
  <c r="I1007" i="4"/>
  <c r="J1007" i="4"/>
  <c r="B1008" i="4"/>
  <c r="C1008" i="4"/>
  <c r="D1008" i="4"/>
  <c r="E1008" i="4"/>
  <c r="F1008" i="4"/>
  <c r="G1008" i="4"/>
  <c r="H1008" i="4"/>
  <c r="I1008" i="4"/>
  <c r="J1008" i="4"/>
  <c r="B1009" i="4"/>
  <c r="C1009" i="4"/>
  <c r="D1009" i="4"/>
  <c r="E1009" i="4"/>
  <c r="F1009" i="4"/>
  <c r="G1009" i="4"/>
  <c r="H1009" i="4"/>
  <c r="I1009" i="4"/>
  <c r="J1009" i="4"/>
  <c r="B1010" i="4"/>
  <c r="C1010" i="4"/>
  <c r="D1010" i="4"/>
  <c r="E1010" i="4"/>
  <c r="F1010" i="4"/>
  <c r="G1010" i="4"/>
  <c r="H1010" i="4"/>
  <c r="I1010" i="4"/>
  <c r="J1010" i="4"/>
  <c r="B1011" i="4"/>
  <c r="C1011" i="4"/>
  <c r="D1011" i="4"/>
  <c r="E1011" i="4"/>
  <c r="F1011" i="4"/>
  <c r="G1011" i="4"/>
  <c r="H1011" i="4"/>
  <c r="I1011" i="4"/>
  <c r="J1011" i="4"/>
  <c r="B1012" i="4"/>
  <c r="C1012" i="4"/>
  <c r="D1012" i="4"/>
  <c r="E1012" i="4"/>
  <c r="F1012" i="4"/>
  <c r="G1012" i="4"/>
  <c r="H1012" i="4"/>
  <c r="I1012" i="4"/>
  <c r="J1012" i="4"/>
  <c r="B1013" i="4"/>
  <c r="C1013" i="4"/>
  <c r="D1013" i="4"/>
  <c r="E1013" i="4"/>
  <c r="F1013" i="4"/>
  <c r="G1013" i="4"/>
  <c r="H1013" i="4"/>
  <c r="I1013" i="4"/>
  <c r="J1013" i="4"/>
  <c r="B1014" i="4"/>
  <c r="C1014" i="4"/>
  <c r="D1014" i="4"/>
  <c r="E1014" i="4"/>
  <c r="F1014" i="4"/>
  <c r="G1014" i="4"/>
  <c r="H1014" i="4"/>
  <c r="I1014" i="4"/>
  <c r="J1014" i="4"/>
  <c r="B1015" i="4"/>
  <c r="C1015" i="4"/>
  <c r="D1015" i="4"/>
  <c r="E1015" i="4"/>
  <c r="F1015" i="4"/>
  <c r="G1015" i="4"/>
  <c r="H1015" i="4"/>
  <c r="I1015" i="4"/>
  <c r="J1015" i="4"/>
  <c r="B1016" i="4"/>
  <c r="C1016" i="4"/>
  <c r="D1016" i="4"/>
  <c r="E1016" i="4"/>
  <c r="F1016" i="4"/>
  <c r="G1016" i="4"/>
  <c r="H1016" i="4"/>
  <c r="I1016" i="4"/>
  <c r="J1016" i="4"/>
  <c r="B1017" i="4"/>
  <c r="C1017" i="4"/>
  <c r="D1017" i="4"/>
  <c r="E1017" i="4"/>
  <c r="F1017" i="4"/>
  <c r="G1017" i="4"/>
  <c r="H1017" i="4"/>
  <c r="I1017" i="4"/>
  <c r="J1017" i="4"/>
  <c r="B1018" i="4"/>
  <c r="C1018" i="4"/>
  <c r="D1018" i="4"/>
  <c r="E1018" i="4"/>
  <c r="F1018" i="4"/>
  <c r="G1018" i="4"/>
  <c r="H1018" i="4"/>
  <c r="I1018" i="4"/>
  <c r="J1018" i="4"/>
  <c r="B1019" i="4"/>
  <c r="C1019" i="4"/>
  <c r="D1019" i="4"/>
  <c r="E1019" i="4"/>
  <c r="F1019" i="4"/>
  <c r="G1019" i="4"/>
  <c r="H1019" i="4"/>
  <c r="I1019" i="4"/>
  <c r="J1019" i="4"/>
  <c r="B1020" i="4"/>
  <c r="C1020" i="4"/>
  <c r="D1020" i="4"/>
  <c r="E1020" i="4"/>
  <c r="F1020" i="4"/>
  <c r="G1020" i="4"/>
  <c r="H1020" i="4"/>
  <c r="I1020" i="4"/>
  <c r="J1020" i="4"/>
  <c r="B1021" i="4"/>
  <c r="C1021" i="4"/>
  <c r="D1021" i="4"/>
  <c r="E1021" i="4"/>
  <c r="F1021" i="4"/>
  <c r="G1021" i="4"/>
  <c r="H1021" i="4"/>
  <c r="I1021" i="4"/>
  <c r="J1021" i="4"/>
  <c r="B1022" i="4"/>
  <c r="C1022" i="4"/>
  <c r="D1022" i="4"/>
  <c r="E1022" i="4"/>
  <c r="F1022" i="4"/>
  <c r="G1022" i="4"/>
  <c r="H1022" i="4"/>
  <c r="I1022" i="4"/>
  <c r="J1022" i="4"/>
  <c r="B1023" i="4"/>
  <c r="C1023" i="4"/>
  <c r="D1023" i="4"/>
  <c r="E1023" i="4"/>
  <c r="F1023" i="4"/>
  <c r="G1023" i="4"/>
  <c r="H1023" i="4"/>
  <c r="I1023" i="4"/>
  <c r="J1023" i="4"/>
  <c r="B1024" i="4"/>
  <c r="C1024" i="4"/>
  <c r="D1024" i="4"/>
  <c r="E1024" i="4"/>
  <c r="F1024" i="4"/>
  <c r="G1024" i="4"/>
  <c r="H1024" i="4"/>
  <c r="I1024" i="4"/>
  <c r="J1024" i="4"/>
  <c r="B1025" i="4"/>
  <c r="C1025" i="4"/>
  <c r="D1025" i="4"/>
  <c r="E1025" i="4"/>
  <c r="F1025" i="4"/>
  <c r="G1025" i="4"/>
  <c r="H1025" i="4"/>
  <c r="I1025" i="4"/>
  <c r="J1025" i="4"/>
  <c r="B1026" i="4"/>
  <c r="C1026" i="4"/>
  <c r="D1026" i="4"/>
  <c r="E1026" i="4"/>
  <c r="F1026" i="4"/>
  <c r="G1026" i="4"/>
  <c r="H1026" i="4"/>
  <c r="I1026" i="4"/>
  <c r="J1026" i="4"/>
  <c r="B1027" i="4"/>
  <c r="C1027" i="4"/>
  <c r="D1027" i="4"/>
  <c r="E1027" i="4"/>
  <c r="F1027" i="4"/>
  <c r="G1027" i="4"/>
  <c r="H1027" i="4"/>
  <c r="I1027" i="4"/>
  <c r="J1027" i="4"/>
  <c r="B1028" i="4"/>
  <c r="C1028" i="4"/>
  <c r="D1028" i="4"/>
  <c r="E1028" i="4"/>
  <c r="F1028" i="4"/>
  <c r="G1028" i="4"/>
  <c r="H1028" i="4"/>
  <c r="I1028" i="4"/>
  <c r="J1028" i="4"/>
  <c r="B1029" i="4"/>
  <c r="C1029" i="4"/>
  <c r="D1029" i="4"/>
  <c r="E1029" i="4"/>
  <c r="F1029" i="4"/>
  <c r="G1029" i="4"/>
  <c r="H1029" i="4"/>
  <c r="I1029" i="4"/>
  <c r="J1029" i="4"/>
  <c r="B1030" i="4"/>
  <c r="C1030" i="4"/>
  <c r="D1030" i="4"/>
  <c r="E1030" i="4"/>
  <c r="F1030" i="4"/>
  <c r="G1030" i="4"/>
  <c r="H1030" i="4"/>
  <c r="I1030" i="4"/>
  <c r="J1030" i="4"/>
  <c r="B1031" i="4"/>
  <c r="C1031" i="4"/>
  <c r="D1031" i="4"/>
  <c r="E1031" i="4"/>
  <c r="F1031" i="4"/>
  <c r="G1031" i="4"/>
  <c r="H1031" i="4"/>
  <c r="I1031" i="4"/>
  <c r="J1031" i="4"/>
  <c r="B1032" i="4"/>
  <c r="C1032" i="4"/>
  <c r="D1032" i="4"/>
  <c r="E1032" i="4"/>
  <c r="F1032" i="4"/>
  <c r="G1032" i="4"/>
  <c r="H1032" i="4"/>
  <c r="I1032" i="4"/>
  <c r="J1032" i="4"/>
  <c r="B1033" i="4"/>
  <c r="C1033" i="4"/>
  <c r="D1033" i="4"/>
  <c r="E1033" i="4"/>
  <c r="F1033" i="4"/>
  <c r="G1033" i="4"/>
  <c r="H1033" i="4"/>
  <c r="I1033" i="4"/>
  <c r="J1033" i="4"/>
  <c r="B1034" i="4"/>
  <c r="C1034" i="4"/>
  <c r="D1034" i="4"/>
  <c r="E1034" i="4"/>
  <c r="F1034" i="4"/>
  <c r="G1034" i="4"/>
  <c r="H1034" i="4"/>
  <c r="I1034" i="4"/>
  <c r="J1034" i="4"/>
  <c r="B1035" i="4"/>
  <c r="C1035" i="4"/>
  <c r="D1035" i="4"/>
  <c r="E1035" i="4"/>
  <c r="F1035" i="4"/>
  <c r="G1035" i="4"/>
  <c r="H1035" i="4"/>
  <c r="I1035" i="4"/>
  <c r="J1035" i="4"/>
  <c r="B1036" i="4"/>
  <c r="C1036" i="4"/>
  <c r="D1036" i="4"/>
  <c r="E1036" i="4"/>
  <c r="F1036" i="4"/>
  <c r="G1036" i="4"/>
  <c r="H1036" i="4"/>
  <c r="I1036" i="4"/>
  <c r="J1036" i="4"/>
  <c r="B1037" i="4"/>
  <c r="C1037" i="4"/>
  <c r="D1037" i="4"/>
  <c r="E1037" i="4"/>
  <c r="F1037" i="4"/>
  <c r="G1037" i="4"/>
  <c r="H1037" i="4"/>
  <c r="I1037" i="4"/>
  <c r="J1037" i="4"/>
  <c r="B1038" i="4"/>
  <c r="C1038" i="4"/>
  <c r="D1038" i="4"/>
  <c r="E1038" i="4"/>
  <c r="F1038" i="4"/>
  <c r="G1038" i="4"/>
  <c r="H1038" i="4"/>
  <c r="I1038" i="4"/>
  <c r="J1038" i="4"/>
  <c r="B1039" i="4"/>
  <c r="C1039" i="4"/>
  <c r="D1039" i="4"/>
  <c r="E1039" i="4"/>
  <c r="F1039" i="4"/>
  <c r="G1039" i="4"/>
  <c r="H1039" i="4"/>
  <c r="I1039" i="4"/>
  <c r="J1039" i="4"/>
  <c r="B1040" i="4"/>
  <c r="C1040" i="4"/>
  <c r="D1040" i="4"/>
  <c r="E1040" i="4"/>
  <c r="F1040" i="4"/>
  <c r="G1040" i="4"/>
  <c r="H1040" i="4"/>
  <c r="I1040" i="4"/>
  <c r="J1040" i="4"/>
  <c r="B1041" i="4"/>
  <c r="C1041" i="4"/>
  <c r="D1041" i="4"/>
  <c r="E1041" i="4"/>
  <c r="F1041" i="4"/>
  <c r="G1041" i="4"/>
  <c r="H1041" i="4"/>
  <c r="I1041" i="4"/>
  <c r="J1041" i="4"/>
  <c r="B1042" i="4"/>
  <c r="C1042" i="4"/>
  <c r="D1042" i="4"/>
  <c r="E1042" i="4"/>
  <c r="F1042" i="4"/>
  <c r="G1042" i="4"/>
  <c r="H1042" i="4"/>
  <c r="I1042" i="4"/>
  <c r="J1042" i="4"/>
  <c r="B1043" i="4"/>
  <c r="C1043" i="4"/>
  <c r="D1043" i="4"/>
  <c r="E1043" i="4"/>
  <c r="F1043" i="4"/>
  <c r="G1043" i="4"/>
  <c r="H1043" i="4"/>
  <c r="I1043" i="4"/>
  <c r="J1043" i="4"/>
  <c r="B1044" i="4"/>
  <c r="C1044" i="4"/>
  <c r="D1044" i="4"/>
  <c r="E1044" i="4"/>
  <c r="F1044" i="4"/>
  <c r="G1044" i="4"/>
  <c r="H1044" i="4"/>
  <c r="I1044" i="4"/>
  <c r="J1044" i="4"/>
  <c r="B1045" i="4"/>
  <c r="C1045" i="4"/>
  <c r="D1045" i="4"/>
  <c r="E1045" i="4"/>
  <c r="F1045" i="4"/>
  <c r="G1045" i="4"/>
  <c r="H1045" i="4"/>
  <c r="I1045" i="4"/>
  <c r="J1045" i="4"/>
  <c r="B1046" i="4"/>
  <c r="C1046" i="4"/>
  <c r="D1046" i="4"/>
  <c r="E1046" i="4"/>
  <c r="F1046" i="4"/>
  <c r="G1046" i="4"/>
  <c r="H1046" i="4"/>
  <c r="I1046" i="4"/>
  <c r="J1046" i="4"/>
  <c r="B1047" i="4"/>
  <c r="C1047" i="4"/>
  <c r="D1047" i="4"/>
  <c r="E1047" i="4"/>
  <c r="F1047" i="4"/>
  <c r="G1047" i="4"/>
  <c r="H1047" i="4"/>
  <c r="I1047" i="4"/>
  <c r="J1047" i="4"/>
  <c r="B1048" i="4"/>
  <c r="C1048" i="4"/>
  <c r="D1048" i="4"/>
  <c r="E1048" i="4"/>
  <c r="F1048" i="4"/>
  <c r="G1048" i="4"/>
  <c r="H1048" i="4"/>
  <c r="I1048" i="4"/>
  <c r="J1048" i="4"/>
  <c r="B1049" i="4"/>
  <c r="C1049" i="4"/>
  <c r="D1049" i="4"/>
  <c r="E1049" i="4"/>
  <c r="F1049" i="4"/>
  <c r="G1049" i="4"/>
  <c r="H1049" i="4"/>
  <c r="I1049" i="4"/>
  <c r="J1049" i="4"/>
  <c r="B1050" i="4"/>
  <c r="C1050" i="4"/>
  <c r="D1050" i="4"/>
  <c r="E1050" i="4"/>
  <c r="F1050" i="4"/>
  <c r="G1050" i="4"/>
  <c r="H1050" i="4"/>
  <c r="I1050" i="4"/>
  <c r="J1050" i="4"/>
  <c r="B1051" i="4"/>
  <c r="C1051" i="4"/>
  <c r="D1051" i="4"/>
  <c r="E1051" i="4"/>
  <c r="F1051" i="4"/>
  <c r="G1051" i="4"/>
  <c r="H1051" i="4"/>
  <c r="I1051" i="4"/>
  <c r="J1051" i="4"/>
  <c r="B1052" i="4"/>
  <c r="C1052" i="4"/>
  <c r="D1052" i="4"/>
  <c r="E1052" i="4"/>
  <c r="F1052" i="4"/>
  <c r="G1052" i="4"/>
  <c r="H1052" i="4"/>
  <c r="I1052" i="4"/>
  <c r="J1052" i="4"/>
  <c r="B1053" i="4"/>
  <c r="C1053" i="4"/>
  <c r="D1053" i="4"/>
  <c r="E1053" i="4"/>
  <c r="F1053" i="4"/>
  <c r="G1053" i="4"/>
  <c r="H1053" i="4"/>
  <c r="I1053" i="4"/>
  <c r="J1053" i="4"/>
  <c r="B1054" i="4"/>
  <c r="C1054" i="4"/>
  <c r="D1054" i="4"/>
  <c r="E1054" i="4"/>
  <c r="F1054" i="4"/>
  <c r="G1054" i="4"/>
  <c r="H1054" i="4"/>
  <c r="I1054" i="4"/>
  <c r="J1054" i="4"/>
  <c r="B1055" i="4"/>
  <c r="C1055" i="4"/>
  <c r="D1055" i="4"/>
  <c r="E1055" i="4"/>
  <c r="F1055" i="4"/>
  <c r="G1055" i="4"/>
  <c r="H1055" i="4"/>
  <c r="I1055" i="4"/>
  <c r="J1055" i="4"/>
  <c r="B1056" i="4"/>
  <c r="C1056" i="4"/>
  <c r="D1056" i="4"/>
  <c r="E1056" i="4"/>
  <c r="F1056" i="4"/>
  <c r="G1056" i="4"/>
  <c r="H1056" i="4"/>
  <c r="I1056" i="4"/>
  <c r="J1056" i="4"/>
  <c r="B1057" i="4"/>
  <c r="C1057" i="4"/>
  <c r="D1057" i="4"/>
  <c r="E1057" i="4"/>
  <c r="F1057" i="4"/>
  <c r="G1057" i="4"/>
  <c r="H1057" i="4"/>
  <c r="I1057" i="4"/>
  <c r="J1057" i="4"/>
  <c r="B1058" i="4"/>
  <c r="C1058" i="4"/>
  <c r="D1058" i="4"/>
  <c r="E1058" i="4"/>
  <c r="F1058" i="4"/>
  <c r="G1058" i="4"/>
  <c r="H1058" i="4"/>
  <c r="I1058" i="4"/>
  <c r="J1058" i="4"/>
  <c r="B1059" i="4"/>
  <c r="C1059" i="4"/>
  <c r="D1059" i="4"/>
  <c r="E1059" i="4"/>
  <c r="F1059" i="4"/>
  <c r="G1059" i="4"/>
  <c r="H1059" i="4"/>
  <c r="I1059" i="4"/>
  <c r="J1059" i="4"/>
  <c r="B1060" i="4"/>
  <c r="C1060" i="4"/>
  <c r="D1060" i="4"/>
  <c r="E1060" i="4"/>
  <c r="F1060" i="4"/>
  <c r="G1060" i="4"/>
  <c r="H1060" i="4"/>
  <c r="I1060" i="4"/>
  <c r="J1060" i="4"/>
  <c r="B1061" i="4"/>
  <c r="C1061" i="4"/>
  <c r="D1061" i="4"/>
  <c r="E1061" i="4"/>
  <c r="F1061" i="4"/>
  <c r="G1061" i="4"/>
  <c r="H1061" i="4"/>
  <c r="I1061" i="4"/>
  <c r="J1061" i="4"/>
  <c r="B1062" i="4"/>
  <c r="C1062" i="4"/>
  <c r="D1062" i="4"/>
  <c r="E1062" i="4"/>
  <c r="F1062" i="4"/>
  <c r="G1062" i="4"/>
  <c r="H1062" i="4"/>
  <c r="I1062" i="4"/>
  <c r="J1062" i="4"/>
  <c r="B1063" i="4"/>
  <c r="C1063" i="4"/>
  <c r="D1063" i="4"/>
  <c r="E1063" i="4"/>
  <c r="F1063" i="4"/>
  <c r="G1063" i="4"/>
  <c r="H1063" i="4"/>
  <c r="I1063" i="4"/>
  <c r="J1063" i="4"/>
  <c r="B1064" i="4"/>
  <c r="C1064" i="4"/>
  <c r="D1064" i="4"/>
  <c r="E1064" i="4"/>
  <c r="F1064" i="4"/>
  <c r="G1064" i="4"/>
  <c r="H1064" i="4"/>
  <c r="I1064" i="4"/>
  <c r="J1064" i="4"/>
  <c r="B1065" i="4"/>
  <c r="C1065" i="4"/>
  <c r="D1065" i="4"/>
  <c r="E1065" i="4"/>
  <c r="F1065" i="4"/>
  <c r="G1065" i="4"/>
  <c r="H1065" i="4"/>
  <c r="I1065" i="4"/>
  <c r="J1065" i="4"/>
  <c r="B1066" i="4"/>
  <c r="C1066" i="4"/>
  <c r="D1066" i="4"/>
  <c r="E1066" i="4"/>
  <c r="F1066" i="4"/>
  <c r="G1066" i="4"/>
  <c r="H1066" i="4"/>
  <c r="I1066" i="4"/>
  <c r="J1066" i="4"/>
  <c r="B1067" i="4"/>
  <c r="C1067" i="4"/>
  <c r="D1067" i="4"/>
  <c r="E1067" i="4"/>
  <c r="F1067" i="4"/>
  <c r="G1067" i="4"/>
  <c r="H1067" i="4"/>
  <c r="I1067" i="4"/>
  <c r="J1067" i="4"/>
  <c r="C1069" i="4"/>
  <c r="E1069" i="4"/>
  <c r="F1069" i="4"/>
  <c r="G1069" i="4"/>
  <c r="H1069" i="4"/>
  <c r="I1069" i="4"/>
  <c r="J1070" i="4"/>
  <c r="B1071" i="4"/>
  <c r="C1071" i="4"/>
  <c r="B1072" i="4"/>
  <c r="J1072" i="4"/>
  <c r="G1073" i="4"/>
  <c r="H1073" i="4"/>
  <c r="J1073" i="4"/>
  <c r="E1075" i="4"/>
  <c r="F1075" i="4"/>
  <c r="H1075" i="4"/>
  <c r="F1076" i="4"/>
  <c r="G1077" i="4"/>
  <c r="B1078" i="4"/>
  <c r="C1078" i="4"/>
  <c r="F1078" i="4"/>
  <c r="I1079" i="4"/>
  <c r="B1080" i="4"/>
  <c r="H1080" i="4"/>
  <c r="J1080" i="4"/>
  <c r="B1082" i="4"/>
  <c r="F1082" i="4"/>
  <c r="G1082" i="4"/>
  <c r="F1083" i="4"/>
  <c r="E1084" i="4"/>
  <c r="H1084" i="4"/>
  <c r="C1085" i="4"/>
  <c r="E1085" i="4"/>
  <c r="F1086" i="4"/>
  <c r="J1086" i="4"/>
  <c r="C1087" i="4"/>
  <c r="J1087" i="4"/>
  <c r="B1089" i="4"/>
  <c r="C1089" i="4"/>
  <c r="G1089" i="4"/>
  <c r="J1089" i="4"/>
  <c r="J1090" i="4"/>
  <c r="F1091" i="4"/>
  <c r="I1091" i="4"/>
  <c r="E1092" i="4"/>
  <c r="F1093" i="4"/>
  <c r="G1093" i="4"/>
  <c r="A1094" i="4"/>
  <c r="A1095" i="4" s="1"/>
  <c r="I1094" i="4"/>
  <c r="G1095" i="4"/>
  <c r="J1095" i="4"/>
  <c r="A1096" i="4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F1096" i="4"/>
  <c r="E1108" i="4"/>
  <c r="G1112" i="4"/>
  <c r="G1116" i="4"/>
  <c r="C9" i="3"/>
  <c r="E9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B602" i="3"/>
  <c r="C602" i="3"/>
  <c r="D602" i="3"/>
  <c r="E602" i="3"/>
  <c r="E1120" i="3" s="1"/>
  <c r="F602" i="3"/>
  <c r="G602" i="3"/>
  <c r="H602" i="3"/>
  <c r="I602" i="3"/>
  <c r="J602" i="3"/>
  <c r="K602" i="3"/>
  <c r="L602" i="3"/>
  <c r="M602" i="3"/>
  <c r="N602" i="3"/>
  <c r="O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B627" i="3"/>
  <c r="C627" i="3"/>
  <c r="D627" i="3"/>
  <c r="E627" i="3"/>
  <c r="F627" i="3"/>
  <c r="G627" i="3"/>
  <c r="H627" i="3"/>
  <c r="I627" i="3"/>
  <c r="J627" i="3"/>
  <c r="K627" i="3"/>
  <c r="K1122" i="3" s="1"/>
  <c r="L627" i="3"/>
  <c r="M627" i="3"/>
  <c r="N627" i="3"/>
  <c r="O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M1124" i="3" s="1"/>
  <c r="N650" i="3"/>
  <c r="O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O1125" i="3" s="1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B699" i="3"/>
  <c r="C699" i="3"/>
  <c r="D699" i="3"/>
  <c r="E699" i="3"/>
  <c r="F699" i="3"/>
  <c r="G699" i="3"/>
  <c r="G1128" i="3" s="1"/>
  <c r="H699" i="3"/>
  <c r="I699" i="3"/>
  <c r="J699" i="3"/>
  <c r="K699" i="3"/>
  <c r="L699" i="3"/>
  <c r="M699" i="3"/>
  <c r="N699" i="3"/>
  <c r="O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B722" i="3"/>
  <c r="C722" i="3"/>
  <c r="D722" i="3"/>
  <c r="E722" i="3"/>
  <c r="F722" i="3"/>
  <c r="G722" i="3"/>
  <c r="H722" i="3"/>
  <c r="I722" i="3"/>
  <c r="I1130" i="3" s="1"/>
  <c r="J722" i="3"/>
  <c r="K722" i="3"/>
  <c r="L722" i="3"/>
  <c r="M722" i="3"/>
  <c r="N722" i="3"/>
  <c r="O722" i="3"/>
  <c r="B723" i="3"/>
  <c r="C723" i="3"/>
  <c r="C1130" i="3" s="1"/>
  <c r="D723" i="3"/>
  <c r="E723" i="3"/>
  <c r="F723" i="3"/>
  <c r="G723" i="3"/>
  <c r="H723" i="3"/>
  <c r="I723" i="3"/>
  <c r="J723" i="3"/>
  <c r="K723" i="3"/>
  <c r="L723" i="3"/>
  <c r="M723" i="3"/>
  <c r="N723" i="3"/>
  <c r="O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M1132" i="3" s="1"/>
  <c r="N746" i="3"/>
  <c r="O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O1132" i="3" s="1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B771" i="3"/>
  <c r="C771" i="3"/>
  <c r="C1134" i="3" s="1"/>
  <c r="D771" i="3"/>
  <c r="E771" i="3"/>
  <c r="F771" i="3"/>
  <c r="G771" i="3"/>
  <c r="H771" i="3"/>
  <c r="I771" i="3"/>
  <c r="J771" i="3"/>
  <c r="K771" i="3"/>
  <c r="L771" i="3"/>
  <c r="M771" i="3"/>
  <c r="N771" i="3"/>
  <c r="O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B783" i="3"/>
  <c r="C783" i="3"/>
  <c r="D783" i="3"/>
  <c r="E783" i="3"/>
  <c r="F783" i="3"/>
  <c r="G783" i="3"/>
  <c r="H783" i="3"/>
  <c r="I783" i="3"/>
  <c r="J783" i="3"/>
  <c r="K783" i="3"/>
  <c r="K1135" i="3" s="1"/>
  <c r="L783" i="3"/>
  <c r="M783" i="3"/>
  <c r="N783" i="3"/>
  <c r="O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B807" i="3"/>
  <c r="C807" i="3"/>
  <c r="D807" i="3"/>
  <c r="E807" i="3"/>
  <c r="F807" i="3"/>
  <c r="G807" i="3"/>
  <c r="G1137" i="3" s="1"/>
  <c r="H807" i="3"/>
  <c r="I807" i="3"/>
  <c r="J807" i="3"/>
  <c r="K807" i="3"/>
  <c r="L807" i="3"/>
  <c r="M807" i="3"/>
  <c r="N807" i="3"/>
  <c r="O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B818" i="3"/>
  <c r="C818" i="3"/>
  <c r="D818" i="3"/>
  <c r="E818" i="3"/>
  <c r="F818" i="3"/>
  <c r="G818" i="3"/>
  <c r="H818" i="3"/>
  <c r="I818" i="3"/>
  <c r="I1138" i="3" s="1"/>
  <c r="J818" i="3"/>
  <c r="K818" i="3"/>
  <c r="L818" i="3"/>
  <c r="M818" i="3"/>
  <c r="N818" i="3"/>
  <c r="O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B842" i="3"/>
  <c r="C842" i="3"/>
  <c r="D842" i="3"/>
  <c r="E842" i="3"/>
  <c r="E1140" i="3" s="1"/>
  <c r="F842" i="3"/>
  <c r="G842" i="3"/>
  <c r="H842" i="3"/>
  <c r="I842" i="3"/>
  <c r="J842" i="3"/>
  <c r="K842" i="3"/>
  <c r="L842" i="3"/>
  <c r="M842" i="3"/>
  <c r="N842" i="3"/>
  <c r="O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O1140" i="3" s="1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B915" i="3"/>
  <c r="C915" i="3"/>
  <c r="D915" i="3"/>
  <c r="E915" i="3"/>
  <c r="F915" i="3"/>
  <c r="G915" i="3"/>
  <c r="H915" i="3"/>
  <c r="I915" i="3"/>
  <c r="J915" i="3"/>
  <c r="K915" i="3"/>
  <c r="K1146" i="3" s="1"/>
  <c r="L915" i="3"/>
  <c r="M915" i="3"/>
  <c r="N915" i="3"/>
  <c r="O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M1148" i="3" s="1"/>
  <c r="N938" i="3"/>
  <c r="O938" i="3"/>
  <c r="B939" i="3"/>
  <c r="C939" i="3"/>
  <c r="D939" i="3"/>
  <c r="E939" i="3"/>
  <c r="F939" i="3"/>
  <c r="G939" i="3"/>
  <c r="G1148" i="3" s="1"/>
  <c r="H939" i="3"/>
  <c r="I939" i="3"/>
  <c r="J939" i="3"/>
  <c r="K939" i="3"/>
  <c r="L939" i="3"/>
  <c r="M939" i="3"/>
  <c r="N939" i="3"/>
  <c r="O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B974" i="3"/>
  <c r="C974" i="3"/>
  <c r="D974" i="3"/>
  <c r="E974" i="3"/>
  <c r="E1151" i="3" s="1"/>
  <c r="F974" i="3"/>
  <c r="G974" i="3"/>
  <c r="H974" i="3"/>
  <c r="I974" i="3"/>
  <c r="J974" i="3"/>
  <c r="K974" i="3"/>
  <c r="L974" i="3"/>
  <c r="M974" i="3"/>
  <c r="N974" i="3"/>
  <c r="O974" i="3"/>
  <c r="B975" i="3"/>
  <c r="C975" i="3"/>
  <c r="C1151" i="3" s="1"/>
  <c r="D975" i="3"/>
  <c r="E975" i="3"/>
  <c r="F975" i="3"/>
  <c r="G975" i="3"/>
  <c r="H975" i="3"/>
  <c r="I975" i="3"/>
  <c r="J975" i="3"/>
  <c r="K975" i="3"/>
  <c r="L975" i="3"/>
  <c r="M975" i="3"/>
  <c r="N975" i="3"/>
  <c r="O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B987" i="3"/>
  <c r="C987" i="3"/>
  <c r="D987" i="3"/>
  <c r="E987" i="3"/>
  <c r="F987" i="3"/>
  <c r="G987" i="3"/>
  <c r="G1152" i="3" s="1"/>
  <c r="H987" i="3"/>
  <c r="I987" i="3"/>
  <c r="J987" i="3"/>
  <c r="K987" i="3"/>
  <c r="L987" i="3"/>
  <c r="M987" i="3"/>
  <c r="N987" i="3"/>
  <c r="O987" i="3"/>
  <c r="O1152" i="3" s="1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O1153" i="3" s="1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M1156" i="3" s="1"/>
  <c r="N1034" i="3"/>
  <c r="O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B1071" i="3"/>
  <c r="C1071" i="3"/>
  <c r="D1071" i="3"/>
  <c r="J1071" i="3"/>
  <c r="N1071" i="3"/>
  <c r="D1072" i="3"/>
  <c r="G1072" i="3"/>
  <c r="B1073" i="3"/>
  <c r="G1073" i="3"/>
  <c r="J1073" i="3"/>
  <c r="N1073" i="3"/>
  <c r="B1074" i="3"/>
  <c r="J1074" i="3"/>
  <c r="K1074" i="3"/>
  <c r="L1074" i="3"/>
  <c r="B1075" i="3"/>
  <c r="D1075" i="3"/>
  <c r="J1075" i="3"/>
  <c r="D1076" i="3"/>
  <c r="H1076" i="3"/>
  <c r="L1076" i="3"/>
  <c r="H1077" i="3"/>
  <c r="J1077" i="3"/>
  <c r="D1078" i="3"/>
  <c r="H1078" i="3"/>
  <c r="L1078" i="3"/>
  <c r="D1079" i="3"/>
  <c r="E1079" i="3"/>
  <c r="F1079" i="3"/>
  <c r="L1079" i="3"/>
  <c r="D1080" i="3"/>
  <c r="F1080" i="3"/>
  <c r="G1080" i="3"/>
  <c r="L1080" i="3"/>
  <c r="F1081" i="3"/>
  <c r="B1082" i="3"/>
  <c r="D1082" i="3"/>
  <c r="L1082" i="3"/>
  <c r="B1083" i="3"/>
  <c r="D1083" i="3"/>
  <c r="F1083" i="3"/>
  <c r="L1083" i="3"/>
  <c r="D1084" i="3"/>
  <c r="F1084" i="3"/>
  <c r="N1084" i="3"/>
  <c r="O1084" i="3"/>
  <c r="F1085" i="3"/>
  <c r="J1085" i="3"/>
  <c r="N1085" i="3"/>
  <c r="J1086" i="3"/>
  <c r="F1087" i="3"/>
  <c r="L1087" i="3"/>
  <c r="N1087" i="3"/>
  <c r="E1088" i="3"/>
  <c r="H1088" i="3"/>
  <c r="N1088" i="3"/>
  <c r="B1089" i="3"/>
  <c r="G1089" i="3"/>
  <c r="H1089" i="3"/>
  <c r="J1089" i="3"/>
  <c r="L1089" i="3"/>
  <c r="B1090" i="3"/>
  <c r="D1090" i="3"/>
  <c r="F1090" i="3"/>
  <c r="J1090" i="3"/>
  <c r="L1090" i="3"/>
  <c r="N1090" i="3"/>
  <c r="D1091" i="3"/>
  <c r="H1091" i="3"/>
  <c r="L1091" i="3"/>
  <c r="M1091" i="3"/>
  <c r="B1092" i="3"/>
  <c r="H1092" i="3"/>
  <c r="J1092" i="3"/>
  <c r="B1093" i="3"/>
  <c r="H1093" i="3"/>
  <c r="I1093" i="3"/>
  <c r="J1093" i="3"/>
  <c r="O1093" i="3"/>
  <c r="B1094" i="3"/>
  <c r="D1094" i="3"/>
  <c r="F1094" i="3"/>
  <c r="J1094" i="3"/>
  <c r="L1094" i="3"/>
  <c r="N1094" i="3"/>
  <c r="D1095" i="3"/>
  <c r="F1095" i="3"/>
  <c r="H1095" i="3"/>
  <c r="L1095" i="3"/>
  <c r="B1096" i="3"/>
  <c r="E1096" i="3"/>
  <c r="F1096" i="3"/>
  <c r="G1096" i="3"/>
  <c r="J1096" i="3"/>
  <c r="B1097" i="3"/>
  <c r="D1097" i="3"/>
  <c r="I1097" i="3"/>
  <c r="J1097" i="3"/>
  <c r="B1098" i="3"/>
  <c r="C1098" i="3"/>
  <c r="D1098" i="3"/>
  <c r="J1098" i="3"/>
  <c r="L1098" i="3"/>
  <c r="N1098" i="3"/>
  <c r="C1099" i="3"/>
  <c r="D1099" i="3"/>
  <c r="F1099" i="3"/>
  <c r="H1099" i="3"/>
  <c r="L1099" i="3"/>
  <c r="N1099" i="3"/>
  <c r="B1100" i="3"/>
  <c r="F1100" i="3"/>
  <c r="J1100" i="3"/>
  <c r="M1100" i="3"/>
  <c r="N1100" i="3"/>
  <c r="D1101" i="3"/>
  <c r="J1101" i="3"/>
  <c r="L1101" i="3"/>
  <c r="O1101" i="3"/>
  <c r="D1102" i="3"/>
  <c r="J1102" i="3"/>
  <c r="L1102" i="3"/>
  <c r="D1103" i="3"/>
  <c r="F1103" i="3"/>
  <c r="H1103" i="3"/>
  <c r="K1103" i="3"/>
  <c r="L1103" i="3"/>
  <c r="N1103" i="3"/>
  <c r="B1104" i="3"/>
  <c r="F1104" i="3"/>
  <c r="G1104" i="3"/>
  <c r="H1104" i="3"/>
  <c r="J1104" i="3"/>
  <c r="N1104" i="3"/>
  <c r="D1105" i="3"/>
  <c r="H1105" i="3"/>
  <c r="L1105" i="3"/>
  <c r="D1106" i="3"/>
  <c r="F1106" i="3"/>
  <c r="I1106" i="3"/>
  <c r="L1106" i="3"/>
  <c r="D1107" i="3"/>
  <c r="F1107" i="3"/>
  <c r="K1107" i="3"/>
  <c r="L1107" i="3"/>
  <c r="N1107" i="3"/>
  <c r="B1108" i="3"/>
  <c r="F1108" i="3"/>
  <c r="H1108" i="3"/>
  <c r="J1108" i="3"/>
  <c r="N1108" i="3"/>
  <c r="B1109" i="3"/>
  <c r="D1109" i="3"/>
  <c r="H1109" i="3"/>
  <c r="L1109" i="3"/>
  <c r="B1110" i="3"/>
  <c r="C1110" i="3"/>
  <c r="F1110" i="3"/>
  <c r="L1110" i="3"/>
  <c r="N1110" i="3"/>
  <c r="F1111" i="3"/>
  <c r="L1111" i="3"/>
  <c r="M1111" i="3"/>
  <c r="N1111" i="3"/>
  <c r="E1112" i="3"/>
  <c r="F1112" i="3"/>
  <c r="H1112" i="3"/>
  <c r="J1112" i="3"/>
  <c r="N1112" i="3"/>
  <c r="B1113" i="3"/>
  <c r="D1113" i="3"/>
  <c r="H1113" i="3"/>
  <c r="J1113" i="3"/>
  <c r="L1113" i="3"/>
  <c r="B1114" i="3"/>
  <c r="F1114" i="3"/>
  <c r="I1114" i="3"/>
  <c r="J1114" i="3"/>
  <c r="K1114" i="3"/>
  <c r="N1114" i="3"/>
  <c r="F1115" i="3"/>
  <c r="H1115" i="3"/>
  <c r="M1115" i="3"/>
  <c r="N1115" i="3"/>
  <c r="F1116" i="3"/>
  <c r="G1116" i="3"/>
  <c r="H1116" i="3"/>
  <c r="N1116" i="3"/>
  <c r="B1117" i="3"/>
  <c r="D1117" i="3"/>
  <c r="G1117" i="3"/>
  <c r="H1117" i="3"/>
  <c r="J1117" i="3"/>
  <c r="L1117" i="3"/>
  <c r="B1118" i="3"/>
  <c r="D1118" i="3"/>
  <c r="F1118" i="3"/>
  <c r="J1118" i="3"/>
  <c r="N1118" i="3"/>
  <c r="C1119" i="3"/>
  <c r="D1119" i="3"/>
  <c r="H1119" i="3"/>
  <c r="N1119" i="3"/>
  <c r="B1120" i="3"/>
  <c r="H1120" i="3"/>
  <c r="N1120" i="3"/>
  <c r="B1121" i="3"/>
  <c r="H1121" i="3"/>
  <c r="J1121" i="3"/>
  <c r="L1121" i="3"/>
  <c r="O1121" i="3"/>
  <c r="B1122" i="3"/>
  <c r="D1122" i="3"/>
  <c r="F1122" i="3"/>
  <c r="J1122" i="3"/>
  <c r="L1122" i="3"/>
  <c r="N1122" i="3"/>
  <c r="D1123" i="3"/>
  <c r="H1123" i="3"/>
  <c r="L1123" i="3"/>
  <c r="B1124" i="3"/>
  <c r="H1124" i="3"/>
  <c r="J1124" i="3"/>
  <c r="B1125" i="3"/>
  <c r="H1125" i="3"/>
  <c r="J1125" i="3"/>
  <c r="B1126" i="3"/>
  <c r="D1126" i="3"/>
  <c r="F1126" i="3"/>
  <c r="J1126" i="3"/>
  <c r="L1126" i="3"/>
  <c r="N1126" i="3"/>
  <c r="D1127" i="3"/>
  <c r="F1127" i="3"/>
  <c r="H1127" i="3"/>
  <c r="L1127" i="3"/>
  <c r="B1128" i="3"/>
  <c r="F1128" i="3"/>
  <c r="J1128" i="3"/>
  <c r="B1129" i="3"/>
  <c r="D1129" i="3"/>
  <c r="J1129" i="3"/>
  <c r="B1130" i="3"/>
  <c r="D1130" i="3"/>
  <c r="J1130" i="3"/>
  <c r="L1130" i="3"/>
  <c r="N1130" i="3"/>
  <c r="D1131" i="3"/>
  <c r="F1131" i="3"/>
  <c r="H1131" i="3"/>
  <c r="L1131" i="3"/>
  <c r="N1131" i="3"/>
  <c r="B1132" i="3"/>
  <c r="F1132" i="3"/>
  <c r="J1132" i="3"/>
  <c r="N1132" i="3"/>
  <c r="D1133" i="3"/>
  <c r="J1133" i="3"/>
  <c r="L1133" i="3"/>
  <c r="D1134" i="3"/>
  <c r="J1134" i="3"/>
  <c r="K1134" i="3"/>
  <c r="L1134" i="3"/>
  <c r="D1135" i="3"/>
  <c r="F1135" i="3"/>
  <c r="H1135" i="3"/>
  <c r="L1135" i="3"/>
  <c r="N1135" i="3"/>
  <c r="B1136" i="3"/>
  <c r="F1136" i="3"/>
  <c r="H1136" i="3"/>
  <c r="J1136" i="3"/>
  <c r="N1136" i="3"/>
  <c r="D1137" i="3"/>
  <c r="H1137" i="3"/>
  <c r="L1137" i="3"/>
  <c r="D1138" i="3"/>
  <c r="F1138" i="3"/>
  <c r="L1138" i="3"/>
  <c r="D1139" i="3"/>
  <c r="F1139" i="3"/>
  <c r="L1139" i="3"/>
  <c r="N1139" i="3"/>
  <c r="B1140" i="3"/>
  <c r="F1140" i="3"/>
  <c r="H1140" i="3"/>
  <c r="J1140" i="3"/>
  <c r="N1140" i="3"/>
  <c r="B1141" i="3"/>
  <c r="D1141" i="3"/>
  <c r="H1141" i="3"/>
  <c r="L1141" i="3"/>
  <c r="B1142" i="3"/>
  <c r="F1142" i="3"/>
  <c r="L1142" i="3"/>
  <c r="N1142" i="3"/>
  <c r="C1143" i="3"/>
  <c r="F1143" i="3"/>
  <c r="L1143" i="3"/>
  <c r="N1143" i="3"/>
  <c r="E1144" i="3"/>
  <c r="F1144" i="3"/>
  <c r="H1144" i="3"/>
  <c r="J1144" i="3"/>
  <c r="N1144" i="3"/>
  <c r="B1145" i="3"/>
  <c r="D1145" i="3"/>
  <c r="H1145" i="3"/>
  <c r="J1145" i="3"/>
  <c r="L1145" i="3"/>
  <c r="B1146" i="3"/>
  <c r="F1146" i="3"/>
  <c r="J1146" i="3"/>
  <c r="N1146" i="3"/>
  <c r="F1147" i="3"/>
  <c r="H1147" i="3"/>
  <c r="N1147" i="3"/>
  <c r="F1148" i="3"/>
  <c r="H1148" i="3"/>
  <c r="N1148" i="3"/>
  <c r="B1149" i="3"/>
  <c r="D1149" i="3"/>
  <c r="H1149" i="3"/>
  <c r="J1149" i="3"/>
  <c r="L1149" i="3"/>
  <c r="B1150" i="3"/>
  <c r="D1150" i="3"/>
  <c r="F1150" i="3"/>
  <c r="J1150" i="3"/>
  <c r="N1150" i="3"/>
  <c r="D1151" i="3"/>
  <c r="H1151" i="3"/>
  <c r="N1151" i="3"/>
  <c r="B1152" i="3"/>
  <c r="H1152" i="3"/>
  <c r="N1152" i="3"/>
  <c r="B1153" i="3"/>
  <c r="H1153" i="3"/>
  <c r="J1153" i="3"/>
  <c r="L1153" i="3"/>
  <c r="B1154" i="3"/>
  <c r="D1154" i="3"/>
  <c r="F1154" i="3"/>
  <c r="J1154" i="3"/>
  <c r="L1154" i="3"/>
  <c r="N1154" i="3"/>
  <c r="D1155" i="3"/>
  <c r="H1155" i="3"/>
  <c r="K1155" i="3"/>
  <c r="L1155" i="3"/>
  <c r="B1156" i="3"/>
  <c r="H1156" i="3"/>
  <c r="J1156" i="3"/>
  <c r="B1157" i="3"/>
  <c r="H1157" i="3"/>
  <c r="J1157" i="3"/>
  <c r="B1158" i="3"/>
  <c r="D1158" i="3"/>
  <c r="F1158" i="3"/>
  <c r="I1158" i="3"/>
  <c r="J1158" i="3"/>
  <c r="L1158" i="3"/>
  <c r="D9" i="2"/>
  <c r="F9" i="2"/>
  <c r="B23" i="2"/>
  <c r="B1069" i="2" s="1"/>
  <c r="C23" i="2"/>
  <c r="D23" i="2"/>
  <c r="E23" i="2"/>
  <c r="E1069" i="2" s="1"/>
  <c r="F23" i="2"/>
  <c r="G23" i="2"/>
  <c r="H23" i="2"/>
  <c r="I23" i="2"/>
  <c r="J23" i="2"/>
  <c r="J1069" i="2" s="1"/>
  <c r="K23" i="2"/>
  <c r="B24" i="2"/>
  <c r="C24" i="2"/>
  <c r="D24" i="2"/>
  <c r="E24" i="2"/>
  <c r="F24" i="2"/>
  <c r="G24" i="2"/>
  <c r="H24" i="2"/>
  <c r="I24" i="2"/>
  <c r="J24" i="2"/>
  <c r="K24" i="2"/>
  <c r="B25" i="2"/>
  <c r="C25" i="2"/>
  <c r="D25" i="2"/>
  <c r="E25" i="2"/>
  <c r="F25" i="2"/>
  <c r="G25" i="2"/>
  <c r="H25" i="2"/>
  <c r="I25" i="2"/>
  <c r="J25" i="2"/>
  <c r="K25" i="2"/>
  <c r="B26" i="2"/>
  <c r="C26" i="2"/>
  <c r="D26" i="2"/>
  <c r="E26" i="2"/>
  <c r="F26" i="2"/>
  <c r="G26" i="2"/>
  <c r="H26" i="2"/>
  <c r="I26" i="2"/>
  <c r="J26" i="2"/>
  <c r="K26" i="2"/>
  <c r="B27" i="2"/>
  <c r="C27" i="2"/>
  <c r="D27" i="2"/>
  <c r="E27" i="2"/>
  <c r="F27" i="2"/>
  <c r="G27" i="2"/>
  <c r="H27" i="2"/>
  <c r="I27" i="2"/>
  <c r="J27" i="2"/>
  <c r="K27" i="2"/>
  <c r="B28" i="2"/>
  <c r="C28" i="2"/>
  <c r="D28" i="2"/>
  <c r="E28" i="2"/>
  <c r="F28" i="2"/>
  <c r="G28" i="2"/>
  <c r="H28" i="2"/>
  <c r="I28" i="2"/>
  <c r="J28" i="2"/>
  <c r="K28" i="2"/>
  <c r="B29" i="2"/>
  <c r="C29" i="2"/>
  <c r="D29" i="2"/>
  <c r="E29" i="2"/>
  <c r="F29" i="2"/>
  <c r="G29" i="2"/>
  <c r="H29" i="2"/>
  <c r="I29" i="2"/>
  <c r="J29" i="2"/>
  <c r="K29" i="2"/>
  <c r="B30" i="2"/>
  <c r="C30" i="2"/>
  <c r="D30" i="2"/>
  <c r="E30" i="2"/>
  <c r="F30" i="2"/>
  <c r="G30" i="2"/>
  <c r="H30" i="2"/>
  <c r="I30" i="2"/>
  <c r="J30" i="2"/>
  <c r="K30" i="2"/>
  <c r="B31" i="2"/>
  <c r="C31" i="2"/>
  <c r="D31" i="2"/>
  <c r="E31" i="2"/>
  <c r="F31" i="2"/>
  <c r="G31" i="2"/>
  <c r="H31" i="2"/>
  <c r="I31" i="2"/>
  <c r="J31" i="2"/>
  <c r="K31" i="2"/>
  <c r="B32" i="2"/>
  <c r="C32" i="2"/>
  <c r="D32" i="2"/>
  <c r="E32" i="2"/>
  <c r="F32" i="2"/>
  <c r="G32" i="2"/>
  <c r="H32" i="2"/>
  <c r="I32" i="2"/>
  <c r="J32" i="2"/>
  <c r="K32" i="2"/>
  <c r="B33" i="2"/>
  <c r="C33" i="2"/>
  <c r="D33" i="2"/>
  <c r="E33" i="2"/>
  <c r="F33" i="2"/>
  <c r="G33" i="2"/>
  <c r="H33" i="2"/>
  <c r="I33" i="2"/>
  <c r="J33" i="2"/>
  <c r="K33" i="2"/>
  <c r="B34" i="2"/>
  <c r="C34" i="2"/>
  <c r="D34" i="2"/>
  <c r="E34" i="2"/>
  <c r="F34" i="2"/>
  <c r="G34" i="2"/>
  <c r="H34" i="2"/>
  <c r="I34" i="2"/>
  <c r="J34" i="2"/>
  <c r="K34" i="2"/>
  <c r="B35" i="2"/>
  <c r="C35" i="2"/>
  <c r="D35" i="2"/>
  <c r="E35" i="2"/>
  <c r="F35" i="2"/>
  <c r="G35" i="2"/>
  <c r="H35" i="2"/>
  <c r="I35" i="2"/>
  <c r="J35" i="2"/>
  <c r="K35" i="2"/>
  <c r="B36" i="2"/>
  <c r="C36" i="2"/>
  <c r="D36" i="2"/>
  <c r="E36" i="2"/>
  <c r="F36" i="2"/>
  <c r="G36" i="2"/>
  <c r="H36" i="2"/>
  <c r="I36" i="2"/>
  <c r="J36" i="2"/>
  <c r="K36" i="2"/>
  <c r="B37" i="2"/>
  <c r="C37" i="2"/>
  <c r="D37" i="2"/>
  <c r="E37" i="2"/>
  <c r="F37" i="2"/>
  <c r="G37" i="2"/>
  <c r="H37" i="2"/>
  <c r="I37" i="2"/>
  <c r="J37" i="2"/>
  <c r="K37" i="2"/>
  <c r="B38" i="2"/>
  <c r="C38" i="2"/>
  <c r="D38" i="2"/>
  <c r="E38" i="2"/>
  <c r="F38" i="2"/>
  <c r="G38" i="2"/>
  <c r="H38" i="2"/>
  <c r="I38" i="2"/>
  <c r="J38" i="2"/>
  <c r="K38" i="2"/>
  <c r="B39" i="2"/>
  <c r="C39" i="2"/>
  <c r="D39" i="2"/>
  <c r="E39" i="2"/>
  <c r="F39" i="2"/>
  <c r="G39" i="2"/>
  <c r="H39" i="2"/>
  <c r="I39" i="2"/>
  <c r="J39" i="2"/>
  <c r="K39" i="2"/>
  <c r="B40" i="2"/>
  <c r="C40" i="2"/>
  <c r="D40" i="2"/>
  <c r="E40" i="2"/>
  <c r="F40" i="2"/>
  <c r="G40" i="2"/>
  <c r="H40" i="2"/>
  <c r="I40" i="2"/>
  <c r="J40" i="2"/>
  <c r="K40" i="2"/>
  <c r="B41" i="2"/>
  <c r="C41" i="2"/>
  <c r="D41" i="2"/>
  <c r="E41" i="2"/>
  <c r="F41" i="2"/>
  <c r="G41" i="2"/>
  <c r="H41" i="2"/>
  <c r="I41" i="2"/>
  <c r="J41" i="2"/>
  <c r="K41" i="2"/>
  <c r="B42" i="2"/>
  <c r="C42" i="2"/>
  <c r="D42" i="2"/>
  <c r="E42" i="2"/>
  <c r="F42" i="2"/>
  <c r="G42" i="2"/>
  <c r="H42" i="2"/>
  <c r="I42" i="2"/>
  <c r="J42" i="2"/>
  <c r="K42" i="2"/>
  <c r="B43" i="2"/>
  <c r="C43" i="2"/>
  <c r="D43" i="2"/>
  <c r="E43" i="2"/>
  <c r="F43" i="2"/>
  <c r="G43" i="2"/>
  <c r="H43" i="2"/>
  <c r="I43" i="2"/>
  <c r="J43" i="2"/>
  <c r="K43" i="2"/>
  <c r="B44" i="2"/>
  <c r="C44" i="2"/>
  <c r="D44" i="2"/>
  <c r="E44" i="2"/>
  <c r="F44" i="2"/>
  <c r="G44" i="2"/>
  <c r="H44" i="2"/>
  <c r="I44" i="2"/>
  <c r="J44" i="2"/>
  <c r="K44" i="2"/>
  <c r="B45" i="2"/>
  <c r="C45" i="2"/>
  <c r="D45" i="2"/>
  <c r="E45" i="2"/>
  <c r="F45" i="2"/>
  <c r="G45" i="2"/>
  <c r="H45" i="2"/>
  <c r="I45" i="2"/>
  <c r="J45" i="2"/>
  <c r="K45" i="2"/>
  <c r="B46" i="2"/>
  <c r="C46" i="2"/>
  <c r="D46" i="2"/>
  <c r="E46" i="2"/>
  <c r="F46" i="2"/>
  <c r="G46" i="2"/>
  <c r="H46" i="2"/>
  <c r="I46" i="2"/>
  <c r="J46" i="2"/>
  <c r="K46" i="2"/>
  <c r="B47" i="2"/>
  <c r="C47" i="2"/>
  <c r="D47" i="2"/>
  <c r="E47" i="2"/>
  <c r="F47" i="2"/>
  <c r="G47" i="2"/>
  <c r="H47" i="2"/>
  <c r="I47" i="2"/>
  <c r="J47" i="2"/>
  <c r="K47" i="2"/>
  <c r="B48" i="2"/>
  <c r="C48" i="2"/>
  <c r="D48" i="2"/>
  <c r="E48" i="2"/>
  <c r="F48" i="2"/>
  <c r="G48" i="2"/>
  <c r="H48" i="2"/>
  <c r="I48" i="2"/>
  <c r="J48" i="2"/>
  <c r="K48" i="2"/>
  <c r="B49" i="2"/>
  <c r="C49" i="2"/>
  <c r="D49" i="2"/>
  <c r="E49" i="2"/>
  <c r="F49" i="2"/>
  <c r="G49" i="2"/>
  <c r="H49" i="2"/>
  <c r="I49" i="2"/>
  <c r="J49" i="2"/>
  <c r="K49" i="2"/>
  <c r="B50" i="2"/>
  <c r="C50" i="2"/>
  <c r="D50" i="2"/>
  <c r="E50" i="2"/>
  <c r="F50" i="2"/>
  <c r="G50" i="2"/>
  <c r="H50" i="2"/>
  <c r="I50" i="2"/>
  <c r="J50" i="2"/>
  <c r="K50" i="2"/>
  <c r="B51" i="2"/>
  <c r="C51" i="2"/>
  <c r="D51" i="2"/>
  <c r="E51" i="2"/>
  <c r="F51" i="2"/>
  <c r="G51" i="2"/>
  <c r="H51" i="2"/>
  <c r="I51" i="2"/>
  <c r="J51" i="2"/>
  <c r="K51" i="2"/>
  <c r="B52" i="2"/>
  <c r="C52" i="2"/>
  <c r="D52" i="2"/>
  <c r="E52" i="2"/>
  <c r="F52" i="2"/>
  <c r="G52" i="2"/>
  <c r="H52" i="2"/>
  <c r="I52" i="2"/>
  <c r="J52" i="2"/>
  <c r="K52" i="2"/>
  <c r="B53" i="2"/>
  <c r="C53" i="2"/>
  <c r="D53" i="2"/>
  <c r="E53" i="2"/>
  <c r="F53" i="2"/>
  <c r="G53" i="2"/>
  <c r="H53" i="2"/>
  <c r="I53" i="2"/>
  <c r="J53" i="2"/>
  <c r="K53" i="2"/>
  <c r="B54" i="2"/>
  <c r="C54" i="2"/>
  <c r="D54" i="2"/>
  <c r="E54" i="2"/>
  <c r="F54" i="2"/>
  <c r="G54" i="2"/>
  <c r="H54" i="2"/>
  <c r="I54" i="2"/>
  <c r="J54" i="2"/>
  <c r="K54" i="2"/>
  <c r="B55" i="2"/>
  <c r="C55" i="2"/>
  <c r="D55" i="2"/>
  <c r="E55" i="2"/>
  <c r="F55" i="2"/>
  <c r="G55" i="2"/>
  <c r="H55" i="2"/>
  <c r="I55" i="2"/>
  <c r="J55" i="2"/>
  <c r="K55" i="2"/>
  <c r="B56" i="2"/>
  <c r="C56" i="2"/>
  <c r="D56" i="2"/>
  <c r="E56" i="2"/>
  <c r="F56" i="2"/>
  <c r="G56" i="2"/>
  <c r="H56" i="2"/>
  <c r="I56" i="2"/>
  <c r="J56" i="2"/>
  <c r="K56" i="2"/>
  <c r="B57" i="2"/>
  <c r="C57" i="2"/>
  <c r="D57" i="2"/>
  <c r="E57" i="2"/>
  <c r="F57" i="2"/>
  <c r="G57" i="2"/>
  <c r="H57" i="2"/>
  <c r="I57" i="2"/>
  <c r="J57" i="2"/>
  <c r="K57" i="2"/>
  <c r="B58" i="2"/>
  <c r="C58" i="2"/>
  <c r="D58" i="2"/>
  <c r="E58" i="2"/>
  <c r="F58" i="2"/>
  <c r="G58" i="2"/>
  <c r="H58" i="2"/>
  <c r="I58" i="2"/>
  <c r="J58" i="2"/>
  <c r="K58" i="2"/>
  <c r="B59" i="2"/>
  <c r="C59" i="2"/>
  <c r="D59" i="2"/>
  <c r="E59" i="2"/>
  <c r="F59" i="2"/>
  <c r="G59" i="2"/>
  <c r="H59" i="2"/>
  <c r="I59" i="2"/>
  <c r="J59" i="2"/>
  <c r="K59" i="2"/>
  <c r="B60" i="2"/>
  <c r="C60" i="2"/>
  <c r="D60" i="2"/>
  <c r="E60" i="2"/>
  <c r="F60" i="2"/>
  <c r="G60" i="2"/>
  <c r="H60" i="2"/>
  <c r="I60" i="2"/>
  <c r="J60" i="2"/>
  <c r="K60" i="2"/>
  <c r="B61" i="2"/>
  <c r="C61" i="2"/>
  <c r="D61" i="2"/>
  <c r="E61" i="2"/>
  <c r="F61" i="2"/>
  <c r="G61" i="2"/>
  <c r="H61" i="2"/>
  <c r="I61" i="2"/>
  <c r="J61" i="2"/>
  <c r="K61" i="2"/>
  <c r="B62" i="2"/>
  <c r="C62" i="2"/>
  <c r="D62" i="2"/>
  <c r="E62" i="2"/>
  <c r="F62" i="2"/>
  <c r="G62" i="2"/>
  <c r="H62" i="2"/>
  <c r="I62" i="2"/>
  <c r="J62" i="2"/>
  <c r="K62" i="2"/>
  <c r="B63" i="2"/>
  <c r="C63" i="2"/>
  <c r="D63" i="2"/>
  <c r="E63" i="2"/>
  <c r="F63" i="2"/>
  <c r="G63" i="2"/>
  <c r="H63" i="2"/>
  <c r="I63" i="2"/>
  <c r="J63" i="2"/>
  <c r="K63" i="2"/>
  <c r="B64" i="2"/>
  <c r="C64" i="2"/>
  <c r="D64" i="2"/>
  <c r="E64" i="2"/>
  <c r="F64" i="2"/>
  <c r="G64" i="2"/>
  <c r="H64" i="2"/>
  <c r="I64" i="2"/>
  <c r="J64" i="2"/>
  <c r="K64" i="2"/>
  <c r="B65" i="2"/>
  <c r="C65" i="2"/>
  <c r="D65" i="2"/>
  <c r="E65" i="2"/>
  <c r="F65" i="2"/>
  <c r="G65" i="2"/>
  <c r="H65" i="2"/>
  <c r="I65" i="2"/>
  <c r="J65" i="2"/>
  <c r="K65" i="2"/>
  <c r="B66" i="2"/>
  <c r="C66" i="2"/>
  <c r="D66" i="2"/>
  <c r="E66" i="2"/>
  <c r="F66" i="2"/>
  <c r="G66" i="2"/>
  <c r="H66" i="2"/>
  <c r="I66" i="2"/>
  <c r="J66" i="2"/>
  <c r="K66" i="2"/>
  <c r="B67" i="2"/>
  <c r="C67" i="2"/>
  <c r="D67" i="2"/>
  <c r="E67" i="2"/>
  <c r="F67" i="2"/>
  <c r="G67" i="2"/>
  <c r="H67" i="2"/>
  <c r="I67" i="2"/>
  <c r="J67" i="2"/>
  <c r="K67" i="2"/>
  <c r="B68" i="2"/>
  <c r="C68" i="2"/>
  <c r="D68" i="2"/>
  <c r="E68" i="2"/>
  <c r="F68" i="2"/>
  <c r="G68" i="2"/>
  <c r="H68" i="2"/>
  <c r="I68" i="2"/>
  <c r="J68" i="2"/>
  <c r="K68" i="2"/>
  <c r="B69" i="2"/>
  <c r="C69" i="2"/>
  <c r="D69" i="2"/>
  <c r="E69" i="2"/>
  <c r="F69" i="2"/>
  <c r="G69" i="2"/>
  <c r="H69" i="2"/>
  <c r="I69" i="2"/>
  <c r="J69" i="2"/>
  <c r="K69" i="2"/>
  <c r="B70" i="2"/>
  <c r="C70" i="2"/>
  <c r="D70" i="2"/>
  <c r="E70" i="2"/>
  <c r="F70" i="2"/>
  <c r="G70" i="2"/>
  <c r="H70" i="2"/>
  <c r="I70" i="2"/>
  <c r="J70" i="2"/>
  <c r="K70" i="2"/>
  <c r="B71" i="2"/>
  <c r="C71" i="2"/>
  <c r="D71" i="2"/>
  <c r="E71" i="2"/>
  <c r="F71" i="2"/>
  <c r="G71" i="2"/>
  <c r="H71" i="2"/>
  <c r="I71" i="2"/>
  <c r="J71" i="2"/>
  <c r="K71" i="2"/>
  <c r="B72" i="2"/>
  <c r="C72" i="2"/>
  <c r="D72" i="2"/>
  <c r="E72" i="2"/>
  <c r="F72" i="2"/>
  <c r="G72" i="2"/>
  <c r="H72" i="2"/>
  <c r="I72" i="2"/>
  <c r="J72" i="2"/>
  <c r="K72" i="2"/>
  <c r="B73" i="2"/>
  <c r="C73" i="2"/>
  <c r="D73" i="2"/>
  <c r="E73" i="2"/>
  <c r="F73" i="2"/>
  <c r="G73" i="2"/>
  <c r="H73" i="2"/>
  <c r="I73" i="2"/>
  <c r="J73" i="2"/>
  <c r="K73" i="2"/>
  <c r="B74" i="2"/>
  <c r="C74" i="2"/>
  <c r="D74" i="2"/>
  <c r="E74" i="2"/>
  <c r="F74" i="2"/>
  <c r="G74" i="2"/>
  <c r="H74" i="2"/>
  <c r="I74" i="2"/>
  <c r="J74" i="2"/>
  <c r="K74" i="2"/>
  <c r="B75" i="2"/>
  <c r="C75" i="2"/>
  <c r="D75" i="2"/>
  <c r="E75" i="2"/>
  <c r="F75" i="2"/>
  <c r="G75" i="2"/>
  <c r="H75" i="2"/>
  <c r="I75" i="2"/>
  <c r="J75" i="2"/>
  <c r="K75" i="2"/>
  <c r="B76" i="2"/>
  <c r="C76" i="2"/>
  <c r="D76" i="2"/>
  <c r="E76" i="2"/>
  <c r="F76" i="2"/>
  <c r="G76" i="2"/>
  <c r="H76" i="2"/>
  <c r="I76" i="2"/>
  <c r="J76" i="2"/>
  <c r="K76" i="2"/>
  <c r="B77" i="2"/>
  <c r="C77" i="2"/>
  <c r="D77" i="2"/>
  <c r="E77" i="2"/>
  <c r="F77" i="2"/>
  <c r="G77" i="2"/>
  <c r="H77" i="2"/>
  <c r="I77" i="2"/>
  <c r="J77" i="2"/>
  <c r="K77" i="2"/>
  <c r="B78" i="2"/>
  <c r="C78" i="2"/>
  <c r="D78" i="2"/>
  <c r="E78" i="2"/>
  <c r="F78" i="2"/>
  <c r="G78" i="2"/>
  <c r="H78" i="2"/>
  <c r="I78" i="2"/>
  <c r="J78" i="2"/>
  <c r="K78" i="2"/>
  <c r="B79" i="2"/>
  <c r="C79" i="2"/>
  <c r="D79" i="2"/>
  <c r="E79" i="2"/>
  <c r="F79" i="2"/>
  <c r="G79" i="2"/>
  <c r="H79" i="2"/>
  <c r="I79" i="2"/>
  <c r="J79" i="2"/>
  <c r="K79" i="2"/>
  <c r="B80" i="2"/>
  <c r="C80" i="2"/>
  <c r="D80" i="2"/>
  <c r="E80" i="2"/>
  <c r="F80" i="2"/>
  <c r="G80" i="2"/>
  <c r="H80" i="2"/>
  <c r="I80" i="2"/>
  <c r="J80" i="2"/>
  <c r="K80" i="2"/>
  <c r="B81" i="2"/>
  <c r="C81" i="2"/>
  <c r="D81" i="2"/>
  <c r="E81" i="2"/>
  <c r="F81" i="2"/>
  <c r="G81" i="2"/>
  <c r="H81" i="2"/>
  <c r="I81" i="2"/>
  <c r="J81" i="2"/>
  <c r="K81" i="2"/>
  <c r="B82" i="2"/>
  <c r="C82" i="2"/>
  <c r="D82" i="2"/>
  <c r="E82" i="2"/>
  <c r="F82" i="2"/>
  <c r="G82" i="2"/>
  <c r="H82" i="2"/>
  <c r="I82" i="2"/>
  <c r="J82" i="2"/>
  <c r="K82" i="2"/>
  <c r="B83" i="2"/>
  <c r="C83" i="2"/>
  <c r="D83" i="2"/>
  <c r="E83" i="2"/>
  <c r="F83" i="2"/>
  <c r="G83" i="2"/>
  <c r="H83" i="2"/>
  <c r="I83" i="2"/>
  <c r="J83" i="2"/>
  <c r="K83" i="2"/>
  <c r="B84" i="2"/>
  <c r="C84" i="2"/>
  <c r="D84" i="2"/>
  <c r="E84" i="2"/>
  <c r="F84" i="2"/>
  <c r="G84" i="2"/>
  <c r="H84" i="2"/>
  <c r="I84" i="2"/>
  <c r="J84" i="2"/>
  <c r="K84" i="2"/>
  <c r="B85" i="2"/>
  <c r="C85" i="2"/>
  <c r="D85" i="2"/>
  <c r="E85" i="2"/>
  <c r="F85" i="2"/>
  <c r="G85" i="2"/>
  <c r="H85" i="2"/>
  <c r="I85" i="2"/>
  <c r="J85" i="2"/>
  <c r="K85" i="2"/>
  <c r="B86" i="2"/>
  <c r="C86" i="2"/>
  <c r="D86" i="2"/>
  <c r="E86" i="2"/>
  <c r="F86" i="2"/>
  <c r="G86" i="2"/>
  <c r="H86" i="2"/>
  <c r="I86" i="2"/>
  <c r="J86" i="2"/>
  <c r="K86" i="2"/>
  <c r="B87" i="2"/>
  <c r="C87" i="2"/>
  <c r="D87" i="2"/>
  <c r="E87" i="2"/>
  <c r="F87" i="2"/>
  <c r="G87" i="2"/>
  <c r="H87" i="2"/>
  <c r="I87" i="2"/>
  <c r="J87" i="2"/>
  <c r="K87" i="2"/>
  <c r="B88" i="2"/>
  <c r="C88" i="2"/>
  <c r="D88" i="2"/>
  <c r="E88" i="2"/>
  <c r="F88" i="2"/>
  <c r="G88" i="2"/>
  <c r="H88" i="2"/>
  <c r="I88" i="2"/>
  <c r="J88" i="2"/>
  <c r="K88" i="2"/>
  <c r="B89" i="2"/>
  <c r="C89" i="2"/>
  <c r="D89" i="2"/>
  <c r="E89" i="2"/>
  <c r="F89" i="2"/>
  <c r="G89" i="2"/>
  <c r="H89" i="2"/>
  <c r="I89" i="2"/>
  <c r="J89" i="2"/>
  <c r="K89" i="2"/>
  <c r="B90" i="2"/>
  <c r="C90" i="2"/>
  <c r="D90" i="2"/>
  <c r="E90" i="2"/>
  <c r="F90" i="2"/>
  <c r="G90" i="2"/>
  <c r="H90" i="2"/>
  <c r="I90" i="2"/>
  <c r="J90" i="2"/>
  <c r="K90" i="2"/>
  <c r="B91" i="2"/>
  <c r="C91" i="2"/>
  <c r="D91" i="2"/>
  <c r="E91" i="2"/>
  <c r="F91" i="2"/>
  <c r="G91" i="2"/>
  <c r="H91" i="2"/>
  <c r="I91" i="2"/>
  <c r="J91" i="2"/>
  <c r="K91" i="2"/>
  <c r="B92" i="2"/>
  <c r="C92" i="2"/>
  <c r="D92" i="2"/>
  <c r="E92" i="2"/>
  <c r="F92" i="2"/>
  <c r="G92" i="2"/>
  <c r="H92" i="2"/>
  <c r="I92" i="2"/>
  <c r="J92" i="2"/>
  <c r="K92" i="2"/>
  <c r="B93" i="2"/>
  <c r="C93" i="2"/>
  <c r="D93" i="2"/>
  <c r="E93" i="2"/>
  <c r="F93" i="2"/>
  <c r="G93" i="2"/>
  <c r="H93" i="2"/>
  <c r="I93" i="2"/>
  <c r="J93" i="2"/>
  <c r="K93" i="2"/>
  <c r="B94" i="2"/>
  <c r="C94" i="2"/>
  <c r="D94" i="2"/>
  <c r="E94" i="2"/>
  <c r="F94" i="2"/>
  <c r="G94" i="2"/>
  <c r="H94" i="2"/>
  <c r="I94" i="2"/>
  <c r="J94" i="2"/>
  <c r="K94" i="2"/>
  <c r="B95" i="2"/>
  <c r="C95" i="2"/>
  <c r="D95" i="2"/>
  <c r="E95" i="2"/>
  <c r="F95" i="2"/>
  <c r="G95" i="2"/>
  <c r="H95" i="2"/>
  <c r="I95" i="2"/>
  <c r="J95" i="2"/>
  <c r="K95" i="2"/>
  <c r="B96" i="2"/>
  <c r="C96" i="2"/>
  <c r="D96" i="2"/>
  <c r="E96" i="2"/>
  <c r="F96" i="2"/>
  <c r="G96" i="2"/>
  <c r="H96" i="2"/>
  <c r="I96" i="2"/>
  <c r="J96" i="2"/>
  <c r="K96" i="2"/>
  <c r="B97" i="2"/>
  <c r="C97" i="2"/>
  <c r="D97" i="2"/>
  <c r="E97" i="2"/>
  <c r="F97" i="2"/>
  <c r="G97" i="2"/>
  <c r="H97" i="2"/>
  <c r="I97" i="2"/>
  <c r="J97" i="2"/>
  <c r="K97" i="2"/>
  <c r="B98" i="2"/>
  <c r="C98" i="2"/>
  <c r="D98" i="2"/>
  <c r="E98" i="2"/>
  <c r="F98" i="2"/>
  <c r="G98" i="2"/>
  <c r="H98" i="2"/>
  <c r="I98" i="2"/>
  <c r="J98" i="2"/>
  <c r="K98" i="2"/>
  <c r="B99" i="2"/>
  <c r="C99" i="2"/>
  <c r="D99" i="2"/>
  <c r="E99" i="2"/>
  <c r="F99" i="2"/>
  <c r="G99" i="2"/>
  <c r="H99" i="2"/>
  <c r="I99" i="2"/>
  <c r="J99" i="2"/>
  <c r="K99" i="2"/>
  <c r="B100" i="2"/>
  <c r="C100" i="2"/>
  <c r="D100" i="2"/>
  <c r="E100" i="2"/>
  <c r="F100" i="2"/>
  <c r="G100" i="2"/>
  <c r="H100" i="2"/>
  <c r="I100" i="2"/>
  <c r="J100" i="2"/>
  <c r="K100" i="2"/>
  <c r="B101" i="2"/>
  <c r="C101" i="2"/>
  <c r="D101" i="2"/>
  <c r="E101" i="2"/>
  <c r="F101" i="2"/>
  <c r="G101" i="2"/>
  <c r="H101" i="2"/>
  <c r="I101" i="2"/>
  <c r="J101" i="2"/>
  <c r="K101" i="2"/>
  <c r="B102" i="2"/>
  <c r="C102" i="2"/>
  <c r="D102" i="2"/>
  <c r="E102" i="2"/>
  <c r="F102" i="2"/>
  <c r="G102" i="2"/>
  <c r="H102" i="2"/>
  <c r="I102" i="2"/>
  <c r="J102" i="2"/>
  <c r="K102" i="2"/>
  <c r="B103" i="2"/>
  <c r="C103" i="2"/>
  <c r="D103" i="2"/>
  <c r="E103" i="2"/>
  <c r="F103" i="2"/>
  <c r="G103" i="2"/>
  <c r="H103" i="2"/>
  <c r="I103" i="2"/>
  <c r="J103" i="2"/>
  <c r="K103" i="2"/>
  <c r="B104" i="2"/>
  <c r="C104" i="2"/>
  <c r="D104" i="2"/>
  <c r="E104" i="2"/>
  <c r="F104" i="2"/>
  <c r="G104" i="2"/>
  <c r="H104" i="2"/>
  <c r="I104" i="2"/>
  <c r="J104" i="2"/>
  <c r="K104" i="2"/>
  <c r="B105" i="2"/>
  <c r="C105" i="2"/>
  <c r="D105" i="2"/>
  <c r="E105" i="2"/>
  <c r="F105" i="2"/>
  <c r="G105" i="2"/>
  <c r="H105" i="2"/>
  <c r="I105" i="2"/>
  <c r="J105" i="2"/>
  <c r="K105" i="2"/>
  <c r="B106" i="2"/>
  <c r="C106" i="2"/>
  <c r="D106" i="2"/>
  <c r="E106" i="2"/>
  <c r="F106" i="2"/>
  <c r="G106" i="2"/>
  <c r="H106" i="2"/>
  <c r="I106" i="2"/>
  <c r="J106" i="2"/>
  <c r="K106" i="2"/>
  <c r="B107" i="2"/>
  <c r="C107" i="2"/>
  <c r="D107" i="2"/>
  <c r="E107" i="2"/>
  <c r="F107" i="2"/>
  <c r="G107" i="2"/>
  <c r="H107" i="2"/>
  <c r="I107" i="2"/>
  <c r="J107" i="2"/>
  <c r="K107" i="2"/>
  <c r="B108" i="2"/>
  <c r="C108" i="2"/>
  <c r="D108" i="2"/>
  <c r="E108" i="2"/>
  <c r="F108" i="2"/>
  <c r="G108" i="2"/>
  <c r="H108" i="2"/>
  <c r="I108" i="2"/>
  <c r="J108" i="2"/>
  <c r="K108" i="2"/>
  <c r="B109" i="2"/>
  <c r="C109" i="2"/>
  <c r="D109" i="2"/>
  <c r="E109" i="2"/>
  <c r="F109" i="2"/>
  <c r="G109" i="2"/>
  <c r="H109" i="2"/>
  <c r="I109" i="2"/>
  <c r="J109" i="2"/>
  <c r="K109" i="2"/>
  <c r="B110" i="2"/>
  <c r="C110" i="2"/>
  <c r="D110" i="2"/>
  <c r="E110" i="2"/>
  <c r="F110" i="2"/>
  <c r="G110" i="2"/>
  <c r="H110" i="2"/>
  <c r="I110" i="2"/>
  <c r="J110" i="2"/>
  <c r="K110" i="2"/>
  <c r="B111" i="2"/>
  <c r="C111" i="2"/>
  <c r="D111" i="2"/>
  <c r="E111" i="2"/>
  <c r="F111" i="2"/>
  <c r="G111" i="2"/>
  <c r="H111" i="2"/>
  <c r="I111" i="2"/>
  <c r="J111" i="2"/>
  <c r="K111" i="2"/>
  <c r="B112" i="2"/>
  <c r="C112" i="2"/>
  <c r="D112" i="2"/>
  <c r="E112" i="2"/>
  <c r="F112" i="2"/>
  <c r="G112" i="2"/>
  <c r="H112" i="2"/>
  <c r="I112" i="2"/>
  <c r="J112" i="2"/>
  <c r="K112" i="2"/>
  <c r="B113" i="2"/>
  <c r="C113" i="2"/>
  <c r="D113" i="2"/>
  <c r="E113" i="2"/>
  <c r="F113" i="2"/>
  <c r="G113" i="2"/>
  <c r="H113" i="2"/>
  <c r="I113" i="2"/>
  <c r="J113" i="2"/>
  <c r="K113" i="2"/>
  <c r="B114" i="2"/>
  <c r="C114" i="2"/>
  <c r="D114" i="2"/>
  <c r="E114" i="2"/>
  <c r="F114" i="2"/>
  <c r="G114" i="2"/>
  <c r="H114" i="2"/>
  <c r="I114" i="2"/>
  <c r="J114" i="2"/>
  <c r="K114" i="2"/>
  <c r="B115" i="2"/>
  <c r="C115" i="2"/>
  <c r="D115" i="2"/>
  <c r="E115" i="2"/>
  <c r="F115" i="2"/>
  <c r="G115" i="2"/>
  <c r="H115" i="2"/>
  <c r="I115" i="2"/>
  <c r="J115" i="2"/>
  <c r="K115" i="2"/>
  <c r="B116" i="2"/>
  <c r="C116" i="2"/>
  <c r="D116" i="2"/>
  <c r="E116" i="2"/>
  <c r="F116" i="2"/>
  <c r="G116" i="2"/>
  <c r="H116" i="2"/>
  <c r="I116" i="2"/>
  <c r="J116" i="2"/>
  <c r="K116" i="2"/>
  <c r="B117" i="2"/>
  <c r="C117" i="2"/>
  <c r="D117" i="2"/>
  <c r="E117" i="2"/>
  <c r="F117" i="2"/>
  <c r="G117" i="2"/>
  <c r="H117" i="2"/>
  <c r="I117" i="2"/>
  <c r="J117" i="2"/>
  <c r="K117" i="2"/>
  <c r="B118" i="2"/>
  <c r="C118" i="2"/>
  <c r="D118" i="2"/>
  <c r="E118" i="2"/>
  <c r="F118" i="2"/>
  <c r="G118" i="2"/>
  <c r="H118" i="2"/>
  <c r="I118" i="2"/>
  <c r="J118" i="2"/>
  <c r="K118" i="2"/>
  <c r="B119" i="2"/>
  <c r="C119" i="2"/>
  <c r="D119" i="2"/>
  <c r="E119" i="2"/>
  <c r="F119" i="2"/>
  <c r="G119" i="2"/>
  <c r="H119" i="2"/>
  <c r="I119" i="2"/>
  <c r="J119" i="2"/>
  <c r="K119" i="2"/>
  <c r="B120" i="2"/>
  <c r="C120" i="2"/>
  <c r="D120" i="2"/>
  <c r="E120" i="2"/>
  <c r="F120" i="2"/>
  <c r="G120" i="2"/>
  <c r="H120" i="2"/>
  <c r="I120" i="2"/>
  <c r="J120" i="2"/>
  <c r="K120" i="2"/>
  <c r="B121" i="2"/>
  <c r="C121" i="2"/>
  <c r="D121" i="2"/>
  <c r="E121" i="2"/>
  <c r="F121" i="2"/>
  <c r="G121" i="2"/>
  <c r="H121" i="2"/>
  <c r="I121" i="2"/>
  <c r="J121" i="2"/>
  <c r="K121" i="2"/>
  <c r="B122" i="2"/>
  <c r="C122" i="2"/>
  <c r="D122" i="2"/>
  <c r="E122" i="2"/>
  <c r="F122" i="2"/>
  <c r="G122" i="2"/>
  <c r="H122" i="2"/>
  <c r="I122" i="2"/>
  <c r="J122" i="2"/>
  <c r="K122" i="2"/>
  <c r="B123" i="2"/>
  <c r="C123" i="2"/>
  <c r="D123" i="2"/>
  <c r="E123" i="2"/>
  <c r="F123" i="2"/>
  <c r="G123" i="2"/>
  <c r="H123" i="2"/>
  <c r="I123" i="2"/>
  <c r="J123" i="2"/>
  <c r="K123" i="2"/>
  <c r="B124" i="2"/>
  <c r="C124" i="2"/>
  <c r="D124" i="2"/>
  <c r="E124" i="2"/>
  <c r="F124" i="2"/>
  <c r="G124" i="2"/>
  <c r="H124" i="2"/>
  <c r="I124" i="2"/>
  <c r="J124" i="2"/>
  <c r="K124" i="2"/>
  <c r="B125" i="2"/>
  <c r="C125" i="2"/>
  <c r="D125" i="2"/>
  <c r="E125" i="2"/>
  <c r="F125" i="2"/>
  <c r="G125" i="2"/>
  <c r="H125" i="2"/>
  <c r="I125" i="2"/>
  <c r="J125" i="2"/>
  <c r="K125" i="2"/>
  <c r="B126" i="2"/>
  <c r="C126" i="2"/>
  <c r="D126" i="2"/>
  <c r="E126" i="2"/>
  <c r="F126" i="2"/>
  <c r="G126" i="2"/>
  <c r="H126" i="2"/>
  <c r="I126" i="2"/>
  <c r="J126" i="2"/>
  <c r="K126" i="2"/>
  <c r="B127" i="2"/>
  <c r="C127" i="2"/>
  <c r="D127" i="2"/>
  <c r="E127" i="2"/>
  <c r="F127" i="2"/>
  <c r="G127" i="2"/>
  <c r="H127" i="2"/>
  <c r="I127" i="2"/>
  <c r="J127" i="2"/>
  <c r="K127" i="2"/>
  <c r="B128" i="2"/>
  <c r="C128" i="2"/>
  <c r="D128" i="2"/>
  <c r="E128" i="2"/>
  <c r="F128" i="2"/>
  <c r="G128" i="2"/>
  <c r="H128" i="2"/>
  <c r="I128" i="2"/>
  <c r="J128" i="2"/>
  <c r="K128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B1003" i="2"/>
  <c r="C1003" i="2"/>
  <c r="D1003" i="2"/>
  <c r="E1003" i="2"/>
  <c r="F1003" i="2"/>
  <c r="G1003" i="2"/>
  <c r="H1003" i="2"/>
  <c r="I1003" i="2"/>
  <c r="J1003" i="2"/>
  <c r="K1003" i="2"/>
  <c r="B1004" i="2"/>
  <c r="C1004" i="2"/>
  <c r="D1004" i="2"/>
  <c r="E1004" i="2"/>
  <c r="F1004" i="2"/>
  <c r="G1004" i="2"/>
  <c r="H1004" i="2"/>
  <c r="I1004" i="2"/>
  <c r="J1004" i="2"/>
  <c r="K1004" i="2"/>
  <c r="B1005" i="2"/>
  <c r="C1005" i="2"/>
  <c r="D1005" i="2"/>
  <c r="E1005" i="2"/>
  <c r="F1005" i="2"/>
  <c r="G1005" i="2"/>
  <c r="H1005" i="2"/>
  <c r="I1005" i="2"/>
  <c r="J1005" i="2"/>
  <c r="K1005" i="2"/>
  <c r="B1006" i="2"/>
  <c r="C1006" i="2"/>
  <c r="D1006" i="2"/>
  <c r="E1006" i="2"/>
  <c r="F1006" i="2"/>
  <c r="G1006" i="2"/>
  <c r="H1006" i="2"/>
  <c r="I1006" i="2"/>
  <c r="J1006" i="2"/>
  <c r="K1006" i="2"/>
  <c r="B1007" i="2"/>
  <c r="C1007" i="2"/>
  <c r="D1007" i="2"/>
  <c r="E1007" i="2"/>
  <c r="F1007" i="2"/>
  <c r="G1007" i="2"/>
  <c r="H1007" i="2"/>
  <c r="I1007" i="2"/>
  <c r="J1007" i="2"/>
  <c r="K1007" i="2"/>
  <c r="B1008" i="2"/>
  <c r="C1008" i="2"/>
  <c r="D1008" i="2"/>
  <c r="E1008" i="2"/>
  <c r="F1008" i="2"/>
  <c r="G1008" i="2"/>
  <c r="H1008" i="2"/>
  <c r="I1008" i="2"/>
  <c r="J1008" i="2"/>
  <c r="K1008" i="2"/>
  <c r="B1009" i="2"/>
  <c r="C1009" i="2"/>
  <c r="D1009" i="2"/>
  <c r="E1009" i="2"/>
  <c r="F1009" i="2"/>
  <c r="G1009" i="2"/>
  <c r="H1009" i="2"/>
  <c r="I1009" i="2"/>
  <c r="J1009" i="2"/>
  <c r="K1009" i="2"/>
  <c r="B1010" i="2"/>
  <c r="C1010" i="2"/>
  <c r="D1010" i="2"/>
  <c r="E1010" i="2"/>
  <c r="F1010" i="2"/>
  <c r="G1010" i="2"/>
  <c r="H1010" i="2"/>
  <c r="I1010" i="2"/>
  <c r="J1010" i="2"/>
  <c r="K1010" i="2"/>
  <c r="B1011" i="2"/>
  <c r="C1011" i="2"/>
  <c r="D1011" i="2"/>
  <c r="E1011" i="2"/>
  <c r="F1011" i="2"/>
  <c r="G1011" i="2"/>
  <c r="H1011" i="2"/>
  <c r="I1011" i="2"/>
  <c r="J1011" i="2"/>
  <c r="K1011" i="2"/>
  <c r="B1012" i="2"/>
  <c r="C1012" i="2"/>
  <c r="D1012" i="2"/>
  <c r="E1012" i="2"/>
  <c r="F1012" i="2"/>
  <c r="G1012" i="2"/>
  <c r="H1012" i="2"/>
  <c r="I1012" i="2"/>
  <c r="J1012" i="2"/>
  <c r="K1012" i="2"/>
  <c r="B1013" i="2"/>
  <c r="C1013" i="2"/>
  <c r="D1013" i="2"/>
  <c r="E1013" i="2"/>
  <c r="F1013" i="2"/>
  <c r="G1013" i="2"/>
  <c r="H1013" i="2"/>
  <c r="I1013" i="2"/>
  <c r="J1013" i="2"/>
  <c r="K1013" i="2"/>
  <c r="B1014" i="2"/>
  <c r="C1014" i="2"/>
  <c r="D1014" i="2"/>
  <c r="E1014" i="2"/>
  <c r="F1014" i="2"/>
  <c r="G1014" i="2"/>
  <c r="H1014" i="2"/>
  <c r="I1014" i="2"/>
  <c r="J1014" i="2"/>
  <c r="K1014" i="2"/>
  <c r="B1015" i="2"/>
  <c r="C1015" i="2"/>
  <c r="D1015" i="2"/>
  <c r="E1015" i="2"/>
  <c r="F1015" i="2"/>
  <c r="G1015" i="2"/>
  <c r="H1015" i="2"/>
  <c r="I1015" i="2"/>
  <c r="J1015" i="2"/>
  <c r="K1015" i="2"/>
  <c r="B1016" i="2"/>
  <c r="C1016" i="2"/>
  <c r="D1016" i="2"/>
  <c r="E1016" i="2"/>
  <c r="F1016" i="2"/>
  <c r="G1016" i="2"/>
  <c r="H1016" i="2"/>
  <c r="I1016" i="2"/>
  <c r="J1016" i="2"/>
  <c r="K1016" i="2"/>
  <c r="B1017" i="2"/>
  <c r="C1017" i="2"/>
  <c r="D1017" i="2"/>
  <c r="E1017" i="2"/>
  <c r="F1017" i="2"/>
  <c r="G1017" i="2"/>
  <c r="H1017" i="2"/>
  <c r="I1017" i="2"/>
  <c r="J1017" i="2"/>
  <c r="K1017" i="2"/>
  <c r="B1018" i="2"/>
  <c r="C1018" i="2"/>
  <c r="D1018" i="2"/>
  <c r="E1018" i="2"/>
  <c r="F1018" i="2"/>
  <c r="G1018" i="2"/>
  <c r="H1018" i="2"/>
  <c r="I1018" i="2"/>
  <c r="J1018" i="2"/>
  <c r="K1018" i="2"/>
  <c r="B1019" i="2"/>
  <c r="C1019" i="2"/>
  <c r="D1019" i="2"/>
  <c r="E1019" i="2"/>
  <c r="F1019" i="2"/>
  <c r="G1019" i="2"/>
  <c r="H1019" i="2"/>
  <c r="I1019" i="2"/>
  <c r="J1019" i="2"/>
  <c r="K1019" i="2"/>
  <c r="B1020" i="2"/>
  <c r="C1020" i="2"/>
  <c r="D1020" i="2"/>
  <c r="E1020" i="2"/>
  <c r="F1020" i="2"/>
  <c r="G1020" i="2"/>
  <c r="H1020" i="2"/>
  <c r="I1020" i="2"/>
  <c r="J1020" i="2"/>
  <c r="K1020" i="2"/>
  <c r="B1021" i="2"/>
  <c r="C1021" i="2"/>
  <c r="D1021" i="2"/>
  <c r="E1021" i="2"/>
  <c r="F1021" i="2"/>
  <c r="G1021" i="2"/>
  <c r="H1021" i="2"/>
  <c r="I1021" i="2"/>
  <c r="J1021" i="2"/>
  <c r="K1021" i="2"/>
  <c r="B1022" i="2"/>
  <c r="C1022" i="2"/>
  <c r="D1022" i="2"/>
  <c r="E1022" i="2"/>
  <c r="F1022" i="2"/>
  <c r="G1022" i="2"/>
  <c r="H1022" i="2"/>
  <c r="I1022" i="2"/>
  <c r="J1022" i="2"/>
  <c r="K1022" i="2"/>
  <c r="B1023" i="2"/>
  <c r="C1023" i="2"/>
  <c r="D1023" i="2"/>
  <c r="E1023" i="2"/>
  <c r="F1023" i="2"/>
  <c r="G1023" i="2"/>
  <c r="H1023" i="2"/>
  <c r="I1023" i="2"/>
  <c r="J1023" i="2"/>
  <c r="K1023" i="2"/>
  <c r="B1024" i="2"/>
  <c r="C1024" i="2"/>
  <c r="D1024" i="2"/>
  <c r="E1024" i="2"/>
  <c r="F1024" i="2"/>
  <c r="G1024" i="2"/>
  <c r="H1024" i="2"/>
  <c r="I1024" i="2"/>
  <c r="J1024" i="2"/>
  <c r="K1024" i="2"/>
  <c r="B1025" i="2"/>
  <c r="C1025" i="2"/>
  <c r="D1025" i="2"/>
  <c r="E1025" i="2"/>
  <c r="F1025" i="2"/>
  <c r="G1025" i="2"/>
  <c r="H1025" i="2"/>
  <c r="I1025" i="2"/>
  <c r="J1025" i="2"/>
  <c r="K1025" i="2"/>
  <c r="B1026" i="2"/>
  <c r="C1026" i="2"/>
  <c r="D1026" i="2"/>
  <c r="E1026" i="2"/>
  <c r="F1026" i="2"/>
  <c r="G1026" i="2"/>
  <c r="H1026" i="2"/>
  <c r="I1026" i="2"/>
  <c r="J1026" i="2"/>
  <c r="K1026" i="2"/>
  <c r="B1027" i="2"/>
  <c r="C1027" i="2"/>
  <c r="D1027" i="2"/>
  <c r="E1027" i="2"/>
  <c r="F1027" i="2"/>
  <c r="G1027" i="2"/>
  <c r="H1027" i="2"/>
  <c r="I1027" i="2"/>
  <c r="J1027" i="2"/>
  <c r="K1027" i="2"/>
  <c r="B1028" i="2"/>
  <c r="C1028" i="2"/>
  <c r="D1028" i="2"/>
  <c r="E1028" i="2"/>
  <c r="F1028" i="2"/>
  <c r="G1028" i="2"/>
  <c r="H1028" i="2"/>
  <c r="I1028" i="2"/>
  <c r="J1028" i="2"/>
  <c r="K1028" i="2"/>
  <c r="B1029" i="2"/>
  <c r="C1029" i="2"/>
  <c r="D1029" i="2"/>
  <c r="E1029" i="2"/>
  <c r="F1029" i="2"/>
  <c r="G1029" i="2"/>
  <c r="H1029" i="2"/>
  <c r="I1029" i="2"/>
  <c r="J1029" i="2"/>
  <c r="K1029" i="2"/>
  <c r="B1030" i="2"/>
  <c r="C1030" i="2"/>
  <c r="D1030" i="2"/>
  <c r="E1030" i="2"/>
  <c r="F1030" i="2"/>
  <c r="G1030" i="2"/>
  <c r="H1030" i="2"/>
  <c r="I1030" i="2"/>
  <c r="J1030" i="2"/>
  <c r="K1030" i="2"/>
  <c r="B1031" i="2"/>
  <c r="C1031" i="2"/>
  <c r="D1031" i="2"/>
  <c r="E1031" i="2"/>
  <c r="F1031" i="2"/>
  <c r="G1031" i="2"/>
  <c r="H1031" i="2"/>
  <c r="I1031" i="2"/>
  <c r="J1031" i="2"/>
  <c r="K1031" i="2"/>
  <c r="B1032" i="2"/>
  <c r="C1032" i="2"/>
  <c r="D1032" i="2"/>
  <c r="E1032" i="2"/>
  <c r="F1032" i="2"/>
  <c r="G1032" i="2"/>
  <c r="H1032" i="2"/>
  <c r="I1032" i="2"/>
  <c r="J1032" i="2"/>
  <c r="K1032" i="2"/>
  <c r="B1033" i="2"/>
  <c r="C1033" i="2"/>
  <c r="D1033" i="2"/>
  <c r="E1033" i="2"/>
  <c r="F1033" i="2"/>
  <c r="G1033" i="2"/>
  <c r="H1033" i="2"/>
  <c r="I1033" i="2"/>
  <c r="J1033" i="2"/>
  <c r="K1033" i="2"/>
  <c r="B1034" i="2"/>
  <c r="C1034" i="2"/>
  <c r="D1034" i="2"/>
  <c r="E1034" i="2"/>
  <c r="F1034" i="2"/>
  <c r="G1034" i="2"/>
  <c r="H1034" i="2"/>
  <c r="I1034" i="2"/>
  <c r="J1034" i="2"/>
  <c r="K1034" i="2"/>
  <c r="B1035" i="2"/>
  <c r="C1035" i="2"/>
  <c r="D1035" i="2"/>
  <c r="E1035" i="2"/>
  <c r="F1035" i="2"/>
  <c r="G1035" i="2"/>
  <c r="H1035" i="2"/>
  <c r="I1035" i="2"/>
  <c r="J1035" i="2"/>
  <c r="K1035" i="2"/>
  <c r="B1036" i="2"/>
  <c r="C1036" i="2"/>
  <c r="D1036" i="2"/>
  <c r="E1036" i="2"/>
  <c r="F1036" i="2"/>
  <c r="G1036" i="2"/>
  <c r="H1036" i="2"/>
  <c r="I1036" i="2"/>
  <c r="J1036" i="2"/>
  <c r="K1036" i="2"/>
  <c r="B1037" i="2"/>
  <c r="C1037" i="2"/>
  <c r="D1037" i="2"/>
  <c r="E1037" i="2"/>
  <c r="F1037" i="2"/>
  <c r="G1037" i="2"/>
  <c r="H1037" i="2"/>
  <c r="I1037" i="2"/>
  <c r="J1037" i="2"/>
  <c r="K1037" i="2"/>
  <c r="B1038" i="2"/>
  <c r="C1038" i="2"/>
  <c r="D1038" i="2"/>
  <c r="E1038" i="2"/>
  <c r="F1038" i="2"/>
  <c r="G1038" i="2"/>
  <c r="H1038" i="2"/>
  <c r="I1038" i="2"/>
  <c r="J1038" i="2"/>
  <c r="K1038" i="2"/>
  <c r="B1039" i="2"/>
  <c r="C1039" i="2"/>
  <c r="D1039" i="2"/>
  <c r="E1039" i="2"/>
  <c r="F1039" i="2"/>
  <c r="G1039" i="2"/>
  <c r="H1039" i="2"/>
  <c r="I1039" i="2"/>
  <c r="J1039" i="2"/>
  <c r="K1039" i="2"/>
  <c r="B1040" i="2"/>
  <c r="C1040" i="2"/>
  <c r="D1040" i="2"/>
  <c r="E1040" i="2"/>
  <c r="F1040" i="2"/>
  <c r="G1040" i="2"/>
  <c r="H1040" i="2"/>
  <c r="I1040" i="2"/>
  <c r="J1040" i="2"/>
  <c r="K1040" i="2"/>
  <c r="B1041" i="2"/>
  <c r="C1041" i="2"/>
  <c r="D1041" i="2"/>
  <c r="E1041" i="2"/>
  <c r="F1041" i="2"/>
  <c r="G1041" i="2"/>
  <c r="H1041" i="2"/>
  <c r="I1041" i="2"/>
  <c r="J1041" i="2"/>
  <c r="K1041" i="2"/>
  <c r="B1042" i="2"/>
  <c r="C1042" i="2"/>
  <c r="D1042" i="2"/>
  <c r="E1042" i="2"/>
  <c r="F1042" i="2"/>
  <c r="G1042" i="2"/>
  <c r="H1042" i="2"/>
  <c r="I1042" i="2"/>
  <c r="J1042" i="2"/>
  <c r="K1042" i="2"/>
  <c r="B1043" i="2"/>
  <c r="C1043" i="2"/>
  <c r="D1043" i="2"/>
  <c r="E1043" i="2"/>
  <c r="F1043" i="2"/>
  <c r="G1043" i="2"/>
  <c r="H1043" i="2"/>
  <c r="I1043" i="2"/>
  <c r="J1043" i="2"/>
  <c r="K1043" i="2"/>
  <c r="B1044" i="2"/>
  <c r="C1044" i="2"/>
  <c r="D1044" i="2"/>
  <c r="E1044" i="2"/>
  <c r="F1044" i="2"/>
  <c r="G1044" i="2"/>
  <c r="H1044" i="2"/>
  <c r="I1044" i="2"/>
  <c r="J1044" i="2"/>
  <c r="K1044" i="2"/>
  <c r="B1045" i="2"/>
  <c r="C1045" i="2"/>
  <c r="D1045" i="2"/>
  <c r="E1045" i="2"/>
  <c r="F1045" i="2"/>
  <c r="G1045" i="2"/>
  <c r="H1045" i="2"/>
  <c r="I1045" i="2"/>
  <c r="J1045" i="2"/>
  <c r="K1045" i="2"/>
  <c r="B1046" i="2"/>
  <c r="C1046" i="2"/>
  <c r="D1046" i="2"/>
  <c r="E1046" i="2"/>
  <c r="F1046" i="2"/>
  <c r="G1046" i="2"/>
  <c r="H1046" i="2"/>
  <c r="I1046" i="2"/>
  <c r="J1046" i="2"/>
  <c r="K1046" i="2"/>
  <c r="B1047" i="2"/>
  <c r="C1047" i="2"/>
  <c r="D1047" i="2"/>
  <c r="E1047" i="2"/>
  <c r="F1047" i="2"/>
  <c r="G1047" i="2"/>
  <c r="H1047" i="2"/>
  <c r="I1047" i="2"/>
  <c r="J1047" i="2"/>
  <c r="K1047" i="2"/>
  <c r="B1048" i="2"/>
  <c r="C1048" i="2"/>
  <c r="D1048" i="2"/>
  <c r="E1048" i="2"/>
  <c r="F1048" i="2"/>
  <c r="G1048" i="2"/>
  <c r="H1048" i="2"/>
  <c r="I1048" i="2"/>
  <c r="J1048" i="2"/>
  <c r="K1048" i="2"/>
  <c r="B1049" i="2"/>
  <c r="C1049" i="2"/>
  <c r="D1049" i="2"/>
  <c r="E1049" i="2"/>
  <c r="F1049" i="2"/>
  <c r="G1049" i="2"/>
  <c r="H1049" i="2"/>
  <c r="I1049" i="2"/>
  <c r="J1049" i="2"/>
  <c r="K1049" i="2"/>
  <c r="B1050" i="2"/>
  <c r="C1050" i="2"/>
  <c r="D1050" i="2"/>
  <c r="E1050" i="2"/>
  <c r="F1050" i="2"/>
  <c r="G1050" i="2"/>
  <c r="H1050" i="2"/>
  <c r="I1050" i="2"/>
  <c r="J1050" i="2"/>
  <c r="K1050" i="2"/>
  <c r="B1051" i="2"/>
  <c r="C1051" i="2"/>
  <c r="D1051" i="2"/>
  <c r="E1051" i="2"/>
  <c r="F1051" i="2"/>
  <c r="G1051" i="2"/>
  <c r="H1051" i="2"/>
  <c r="I1051" i="2"/>
  <c r="J1051" i="2"/>
  <c r="K1051" i="2"/>
  <c r="B1052" i="2"/>
  <c r="C1052" i="2"/>
  <c r="D1052" i="2"/>
  <c r="E1052" i="2"/>
  <c r="F1052" i="2"/>
  <c r="G1052" i="2"/>
  <c r="H1052" i="2"/>
  <c r="I1052" i="2"/>
  <c r="J1052" i="2"/>
  <c r="K1052" i="2"/>
  <c r="B1053" i="2"/>
  <c r="C1053" i="2"/>
  <c r="D1053" i="2"/>
  <c r="E1053" i="2"/>
  <c r="F1053" i="2"/>
  <c r="G1053" i="2"/>
  <c r="H1053" i="2"/>
  <c r="I1053" i="2"/>
  <c r="J1053" i="2"/>
  <c r="K1053" i="2"/>
  <c r="B1054" i="2"/>
  <c r="C1054" i="2"/>
  <c r="D1054" i="2"/>
  <c r="E1054" i="2"/>
  <c r="F1054" i="2"/>
  <c r="G1054" i="2"/>
  <c r="H1054" i="2"/>
  <c r="I1054" i="2"/>
  <c r="J1054" i="2"/>
  <c r="K1054" i="2"/>
  <c r="B1055" i="2"/>
  <c r="C1055" i="2"/>
  <c r="D1055" i="2"/>
  <c r="E1055" i="2"/>
  <c r="F1055" i="2"/>
  <c r="G1055" i="2"/>
  <c r="H1055" i="2"/>
  <c r="I1055" i="2"/>
  <c r="J1055" i="2"/>
  <c r="K1055" i="2"/>
  <c r="B1056" i="2"/>
  <c r="C1056" i="2"/>
  <c r="D1056" i="2"/>
  <c r="E1056" i="2"/>
  <c r="F1056" i="2"/>
  <c r="G1056" i="2"/>
  <c r="H1056" i="2"/>
  <c r="I1056" i="2"/>
  <c r="J1056" i="2"/>
  <c r="K1056" i="2"/>
  <c r="B1057" i="2"/>
  <c r="C1057" i="2"/>
  <c r="D1057" i="2"/>
  <c r="E1057" i="2"/>
  <c r="F1057" i="2"/>
  <c r="G1057" i="2"/>
  <c r="H1057" i="2"/>
  <c r="I1057" i="2"/>
  <c r="J1057" i="2"/>
  <c r="K1057" i="2"/>
  <c r="B1058" i="2"/>
  <c r="C1058" i="2"/>
  <c r="D1058" i="2"/>
  <c r="E1058" i="2"/>
  <c r="F1058" i="2"/>
  <c r="G1058" i="2"/>
  <c r="H1058" i="2"/>
  <c r="I1058" i="2"/>
  <c r="J1058" i="2"/>
  <c r="K1058" i="2"/>
  <c r="B1059" i="2"/>
  <c r="C1059" i="2"/>
  <c r="D1059" i="2"/>
  <c r="E1059" i="2"/>
  <c r="F1059" i="2"/>
  <c r="G1059" i="2"/>
  <c r="H1059" i="2"/>
  <c r="I1059" i="2"/>
  <c r="J1059" i="2"/>
  <c r="K1059" i="2"/>
  <c r="B1060" i="2"/>
  <c r="C1060" i="2"/>
  <c r="D1060" i="2"/>
  <c r="E1060" i="2"/>
  <c r="F1060" i="2"/>
  <c r="G1060" i="2"/>
  <c r="H1060" i="2"/>
  <c r="I1060" i="2"/>
  <c r="J1060" i="2"/>
  <c r="K1060" i="2"/>
  <c r="B1061" i="2"/>
  <c r="C1061" i="2"/>
  <c r="D1061" i="2"/>
  <c r="E1061" i="2"/>
  <c r="F1061" i="2"/>
  <c r="G1061" i="2"/>
  <c r="H1061" i="2"/>
  <c r="I1061" i="2"/>
  <c r="J1061" i="2"/>
  <c r="K1061" i="2"/>
  <c r="B1062" i="2"/>
  <c r="C1062" i="2"/>
  <c r="D1062" i="2"/>
  <c r="E1062" i="2"/>
  <c r="F1062" i="2"/>
  <c r="G1062" i="2"/>
  <c r="H1062" i="2"/>
  <c r="I1062" i="2"/>
  <c r="J1062" i="2"/>
  <c r="K1062" i="2"/>
  <c r="B1063" i="2"/>
  <c r="C1063" i="2"/>
  <c r="D1063" i="2"/>
  <c r="E1063" i="2"/>
  <c r="F1063" i="2"/>
  <c r="G1063" i="2"/>
  <c r="H1063" i="2"/>
  <c r="I1063" i="2"/>
  <c r="J1063" i="2"/>
  <c r="K1063" i="2"/>
  <c r="B1064" i="2"/>
  <c r="C1064" i="2"/>
  <c r="D1064" i="2"/>
  <c r="E1064" i="2"/>
  <c r="F1064" i="2"/>
  <c r="G1064" i="2"/>
  <c r="H1064" i="2"/>
  <c r="I1064" i="2"/>
  <c r="J1064" i="2"/>
  <c r="K1064" i="2"/>
  <c r="B1065" i="2"/>
  <c r="C1065" i="2"/>
  <c r="D1065" i="2"/>
  <c r="E1065" i="2"/>
  <c r="F1065" i="2"/>
  <c r="G1065" i="2"/>
  <c r="H1065" i="2"/>
  <c r="I1065" i="2"/>
  <c r="J1065" i="2"/>
  <c r="K1065" i="2"/>
  <c r="B1066" i="2"/>
  <c r="C1066" i="2"/>
  <c r="D1066" i="2"/>
  <c r="E1066" i="2"/>
  <c r="F1066" i="2"/>
  <c r="G1066" i="2"/>
  <c r="H1066" i="2"/>
  <c r="I1066" i="2"/>
  <c r="J1066" i="2"/>
  <c r="K1066" i="2"/>
  <c r="B1067" i="2"/>
  <c r="C1067" i="2"/>
  <c r="D1067" i="2"/>
  <c r="E1067" i="2"/>
  <c r="F1067" i="2"/>
  <c r="G1067" i="2"/>
  <c r="H1067" i="2"/>
  <c r="I1067" i="2"/>
  <c r="J1067" i="2"/>
  <c r="K1067" i="2"/>
  <c r="C1069" i="2"/>
  <c r="F1069" i="2"/>
  <c r="G1069" i="2"/>
  <c r="H1069" i="2"/>
  <c r="I1069" i="2"/>
  <c r="K1069" i="2"/>
  <c r="F1070" i="2"/>
  <c r="G1071" i="2"/>
  <c r="I1071" i="2"/>
  <c r="C1072" i="2"/>
  <c r="E1073" i="2"/>
  <c r="G1073" i="2"/>
  <c r="K1073" i="2"/>
  <c r="C1074" i="2"/>
  <c r="E1075" i="2"/>
  <c r="I1075" i="2"/>
  <c r="K1075" i="2"/>
  <c r="B1077" i="2"/>
  <c r="G1077" i="2"/>
  <c r="I1077" i="2"/>
  <c r="J1078" i="2"/>
  <c r="E1079" i="2"/>
  <c r="G1079" i="2"/>
  <c r="H1080" i="2"/>
  <c r="B1081" i="2"/>
  <c r="E1081" i="2"/>
  <c r="C1082" i="2"/>
  <c r="F1082" i="2"/>
  <c r="J1082" i="2"/>
  <c r="K1083" i="2"/>
  <c r="C1084" i="2"/>
  <c r="H1084" i="2"/>
  <c r="I1085" i="2"/>
  <c r="K1085" i="2"/>
  <c r="F1086" i="2"/>
  <c r="G1087" i="2"/>
  <c r="I1087" i="2"/>
  <c r="C1088" i="2"/>
  <c r="E1089" i="2"/>
  <c r="G1089" i="2"/>
  <c r="K1089" i="2"/>
  <c r="C1090" i="2"/>
  <c r="E1091" i="2"/>
  <c r="I1091" i="2"/>
  <c r="K1091" i="2"/>
  <c r="B1093" i="2"/>
  <c r="G1093" i="2"/>
  <c r="I1093" i="2"/>
  <c r="A1094" i="2"/>
  <c r="G1094" i="2"/>
  <c r="I1094" i="2"/>
  <c r="A1095" i="2"/>
  <c r="K1095" i="2"/>
  <c r="A1096" i="2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B1096" i="2"/>
  <c r="I1096" i="2"/>
  <c r="G1097" i="2"/>
  <c r="H1097" i="2"/>
  <c r="I1097" i="2"/>
  <c r="E1098" i="2"/>
  <c r="B1099" i="2"/>
  <c r="C1099" i="2"/>
  <c r="G1099" i="2"/>
  <c r="E1100" i="2"/>
  <c r="H1100" i="2"/>
  <c r="G1101" i="2"/>
  <c r="H1101" i="2"/>
  <c r="I1101" i="2"/>
  <c r="C1102" i="2"/>
  <c r="I1102" i="2"/>
  <c r="B1103" i="2"/>
  <c r="E1103" i="2"/>
  <c r="B1104" i="2"/>
  <c r="E1104" i="2"/>
  <c r="I1104" i="2"/>
  <c r="G1105" i="2"/>
  <c r="H1105" i="2"/>
  <c r="K1105" i="2"/>
  <c r="G1106" i="2"/>
  <c r="I1106" i="2"/>
  <c r="C1107" i="2"/>
  <c r="K1107" i="2"/>
  <c r="B1108" i="2"/>
  <c r="F1109" i="2"/>
  <c r="G1109" i="2"/>
  <c r="I1109" i="2"/>
  <c r="G1110" i="2"/>
  <c r="I1110" i="2"/>
  <c r="K1111" i="2"/>
  <c r="E1112" i="2"/>
  <c r="K1112" i="2"/>
  <c r="B1113" i="2"/>
  <c r="F1113" i="2"/>
  <c r="E1114" i="2"/>
  <c r="F1114" i="2"/>
  <c r="G1114" i="2"/>
  <c r="G1115" i="2"/>
  <c r="J1115" i="2"/>
  <c r="K1115" i="2"/>
  <c r="K1116" i="2"/>
  <c r="B1117" i="2"/>
  <c r="G1117" i="2"/>
  <c r="I1117" i="2" l="1"/>
  <c r="K1117" i="2"/>
  <c r="I1116" i="2"/>
  <c r="E1116" i="2"/>
  <c r="C1116" i="2"/>
  <c r="C1115" i="2"/>
  <c r="E1115" i="2"/>
  <c r="I1114" i="2"/>
  <c r="C1114" i="2"/>
  <c r="K1114" i="2"/>
  <c r="I1113" i="2"/>
  <c r="K1113" i="2"/>
  <c r="G1113" i="2"/>
  <c r="I1115" i="2"/>
  <c r="I1111" i="2"/>
  <c r="I1107" i="2"/>
  <c r="I1103" i="2"/>
  <c r="I1099" i="2"/>
  <c r="I1095" i="2"/>
  <c r="I1157" i="3"/>
  <c r="O1157" i="3"/>
  <c r="O1156" i="3"/>
  <c r="M1155" i="3"/>
  <c r="K1154" i="3"/>
  <c r="G1153" i="3"/>
  <c r="E1152" i="3"/>
  <c r="C1150" i="3"/>
  <c r="G1149" i="3"/>
  <c r="H1117" i="2"/>
  <c r="J1116" i="2"/>
  <c r="B1116" i="2"/>
  <c r="H1116" i="2"/>
  <c r="H1113" i="2"/>
  <c r="J1112" i="2"/>
  <c r="H1112" i="2"/>
  <c r="J1111" i="2"/>
  <c r="B1111" i="2"/>
  <c r="F1110" i="2"/>
  <c r="B1109" i="2"/>
  <c r="H1109" i="2"/>
  <c r="H1108" i="2"/>
  <c r="J1107" i="2"/>
  <c r="F1106" i="2"/>
  <c r="B1105" i="2"/>
  <c r="F1105" i="2"/>
  <c r="H1104" i="2"/>
  <c r="F1101" i="2"/>
  <c r="J1100" i="2"/>
  <c r="B1100" i="2"/>
  <c r="B1097" i="2"/>
  <c r="B1095" i="2"/>
  <c r="F1094" i="2"/>
  <c r="H1093" i="2"/>
  <c r="J1092" i="2"/>
  <c r="H1092" i="2"/>
  <c r="B1091" i="2"/>
  <c r="F1088" i="2"/>
  <c r="H1088" i="2"/>
  <c r="F1087" i="2"/>
  <c r="H1086" i="2"/>
  <c r="H1085" i="2"/>
  <c r="J1084" i="2"/>
  <c r="J1083" i="2"/>
  <c r="B1083" i="2"/>
  <c r="B1082" i="2"/>
  <c r="F1080" i="2"/>
  <c r="F1079" i="2"/>
  <c r="F1078" i="2"/>
  <c r="H1078" i="2"/>
  <c r="H1077" i="2"/>
  <c r="J1076" i="2"/>
  <c r="H1076" i="2"/>
  <c r="J1075" i="2"/>
  <c r="B1075" i="2"/>
  <c r="J1074" i="2"/>
  <c r="B1074" i="2"/>
  <c r="F1074" i="2"/>
  <c r="B1073" i="2"/>
  <c r="F1072" i="2"/>
  <c r="H1072" i="2"/>
  <c r="F1071" i="2"/>
  <c r="J1070" i="2"/>
  <c r="H1070" i="2"/>
  <c r="J1152" i="3"/>
  <c r="I1112" i="2"/>
  <c r="C1112" i="2"/>
  <c r="C1111" i="2"/>
  <c r="E1111" i="2"/>
  <c r="G1111" i="2"/>
  <c r="C1110" i="2"/>
  <c r="E1110" i="2"/>
  <c r="K1110" i="2"/>
  <c r="K1109" i="2"/>
  <c r="I1108" i="2"/>
  <c r="K1108" i="2"/>
  <c r="E1108" i="2"/>
  <c r="C1108" i="2"/>
  <c r="E1107" i="2"/>
  <c r="G1107" i="2"/>
  <c r="C1106" i="2"/>
  <c r="E1106" i="2"/>
  <c r="K1106" i="2"/>
  <c r="I1105" i="2"/>
  <c r="K1104" i="2"/>
  <c r="C1104" i="2"/>
  <c r="K1103" i="2"/>
  <c r="C1103" i="2"/>
  <c r="G1103" i="2"/>
  <c r="E1102" i="2"/>
  <c r="K1102" i="2"/>
  <c r="G1102" i="2"/>
  <c r="K1101" i="2"/>
  <c r="I1100" i="2"/>
  <c r="K1100" i="2"/>
  <c r="C1100" i="2"/>
  <c r="K1099" i="2"/>
  <c r="E1099" i="2"/>
  <c r="I1098" i="2"/>
  <c r="K1098" i="2"/>
  <c r="G1098" i="2"/>
  <c r="K1097" i="2"/>
  <c r="K1096" i="2"/>
  <c r="E1096" i="2"/>
  <c r="C1096" i="2"/>
  <c r="C1095" i="2"/>
  <c r="E1095" i="2"/>
  <c r="G1095" i="2"/>
  <c r="E1094" i="2"/>
  <c r="K1094" i="2"/>
  <c r="K1093" i="2"/>
  <c r="I1092" i="2"/>
  <c r="C1092" i="2"/>
  <c r="K1092" i="2"/>
  <c r="C1091" i="2"/>
  <c r="K1090" i="2"/>
  <c r="C1089" i="2"/>
  <c r="I1089" i="2"/>
  <c r="E1088" i="2"/>
  <c r="E1087" i="2"/>
  <c r="K1087" i="2"/>
  <c r="G1086" i="2"/>
  <c r="C1086" i="2"/>
  <c r="G1085" i="2"/>
  <c r="I1084" i="2"/>
  <c r="I1083" i="2"/>
  <c r="E1083" i="2"/>
  <c r="K1082" i="2"/>
  <c r="K1081" i="2"/>
  <c r="C1081" i="2"/>
  <c r="I1081" i="2"/>
  <c r="G1081" i="2"/>
  <c r="C1080" i="2"/>
  <c r="E1080" i="2"/>
  <c r="I1079" i="2"/>
  <c r="K1079" i="2"/>
  <c r="G1078" i="2"/>
  <c r="C1078" i="2"/>
  <c r="K1077" i="2"/>
  <c r="I1076" i="2"/>
  <c r="C1076" i="2"/>
  <c r="I1074" i="2"/>
  <c r="K1074" i="2"/>
  <c r="C1073" i="2"/>
  <c r="I1073" i="2"/>
  <c r="E1072" i="2"/>
  <c r="E1071" i="2"/>
  <c r="K1071" i="2"/>
  <c r="G1070" i="2"/>
  <c r="C1070" i="2"/>
  <c r="F1117" i="2"/>
  <c r="B1115" i="2"/>
  <c r="B1112" i="2"/>
  <c r="J1108" i="2"/>
  <c r="B1107" i="2"/>
  <c r="J1104" i="2"/>
  <c r="J1103" i="2"/>
  <c r="F1102" i="2"/>
  <c r="B1101" i="2"/>
  <c r="J1099" i="2"/>
  <c r="F1098" i="2"/>
  <c r="J1096" i="2"/>
  <c r="J1091" i="2"/>
  <c r="J1090" i="2"/>
  <c r="B1090" i="2"/>
  <c r="F1090" i="2"/>
  <c r="B1089" i="2"/>
  <c r="J1086" i="2"/>
  <c r="B1085" i="2"/>
  <c r="N1158" i="3"/>
  <c r="L1157" i="3"/>
  <c r="D1157" i="3"/>
  <c r="N1156" i="3"/>
  <c r="F1156" i="3"/>
  <c r="N1155" i="3"/>
  <c r="F1155" i="3"/>
  <c r="D1153" i="3"/>
  <c r="F1152" i="3"/>
  <c r="F1151" i="3"/>
  <c r="L1151" i="3"/>
  <c r="L1150" i="3"/>
  <c r="J1148" i="3"/>
  <c r="L1147" i="3"/>
  <c r="D1147" i="3"/>
  <c r="B1148" i="3"/>
  <c r="J1142" i="3"/>
  <c r="J1141" i="3"/>
  <c r="B1138" i="3"/>
  <c r="B1137" i="3"/>
  <c r="J1120" i="3"/>
  <c r="B1116" i="3"/>
  <c r="J1110" i="3"/>
  <c r="J1109" i="3"/>
  <c r="B1106" i="3"/>
  <c r="B1105" i="3"/>
  <c r="J1088" i="3"/>
  <c r="J1087" i="3"/>
  <c r="J1078" i="3"/>
  <c r="H1092" i="4"/>
  <c r="H1090" i="4"/>
  <c r="D1086" i="4"/>
  <c r="H1083" i="4"/>
  <c r="D1079" i="4"/>
  <c r="H1076" i="4"/>
  <c r="I1074" i="4"/>
  <c r="D1072" i="4"/>
  <c r="C1070" i="4"/>
  <c r="AC1067" i="5"/>
  <c r="AB1067" i="5"/>
  <c r="AC1061" i="5"/>
  <c r="AB1051" i="5"/>
  <c r="AC1026" i="5"/>
  <c r="AC988" i="5"/>
  <c r="AB987" i="5"/>
  <c r="AC984" i="5"/>
  <c r="AC983" i="5"/>
  <c r="AC1065" i="5"/>
  <c r="AC1064" i="5"/>
  <c r="AC1053" i="5"/>
  <c r="AB1052" i="5"/>
  <c r="AC1049" i="5"/>
  <c r="AB1049" i="5"/>
  <c r="AC1048" i="5"/>
  <c r="AC1047" i="5"/>
  <c r="AC1044" i="5"/>
  <c r="AB1043" i="5"/>
  <c r="AC1042" i="5"/>
  <c r="AB1042" i="5"/>
  <c r="AB1040" i="5"/>
  <c r="AC1038" i="5"/>
  <c r="AB1038" i="5"/>
  <c r="AC1037" i="5"/>
  <c r="AC1033" i="5"/>
  <c r="AC1032" i="5"/>
  <c r="AC1029" i="5"/>
  <c r="AC1027" i="5"/>
  <c r="AB1027" i="5"/>
  <c r="AB1024" i="5"/>
  <c r="AB1020" i="5"/>
  <c r="AB1016" i="5"/>
  <c r="AC1014" i="5"/>
  <c r="AB1012" i="5"/>
  <c r="AB1011" i="5"/>
  <c r="AC1010" i="5"/>
  <c r="AB1010" i="5"/>
  <c r="AB1003" i="5"/>
  <c r="AC997" i="5"/>
  <c r="AB992" i="5"/>
  <c r="AC971" i="5"/>
  <c r="AB971" i="5"/>
  <c r="AC967" i="5"/>
  <c r="AB967" i="5"/>
  <c r="L1146" i="3"/>
  <c r="D1146" i="3"/>
  <c r="B1144" i="3"/>
  <c r="H1143" i="3"/>
  <c r="D1143" i="3"/>
  <c r="D1142" i="3"/>
  <c r="H1139" i="3"/>
  <c r="J1138" i="3"/>
  <c r="N1138" i="3"/>
  <c r="J1137" i="3"/>
  <c r="B1134" i="3"/>
  <c r="N1134" i="3"/>
  <c r="F1134" i="3"/>
  <c r="B1133" i="3"/>
  <c r="H1133" i="3"/>
  <c r="H1132" i="3"/>
  <c r="F1130" i="3"/>
  <c r="H1129" i="3"/>
  <c r="L1129" i="3"/>
  <c r="H1128" i="3"/>
  <c r="N1128" i="3"/>
  <c r="N1127" i="3"/>
  <c r="L1125" i="3"/>
  <c r="D1125" i="3"/>
  <c r="N1124" i="3"/>
  <c r="F1124" i="3"/>
  <c r="N1123" i="3"/>
  <c r="F1123" i="3"/>
  <c r="D1121" i="3"/>
  <c r="F1120" i="3"/>
  <c r="F1119" i="3"/>
  <c r="L1119" i="3"/>
  <c r="L1118" i="3"/>
  <c r="J1116" i="3"/>
  <c r="L1115" i="3"/>
  <c r="D1115" i="3"/>
  <c r="L1114" i="3"/>
  <c r="D1114" i="3"/>
  <c r="B1112" i="3"/>
  <c r="H1111" i="3"/>
  <c r="D1111" i="3"/>
  <c r="D1110" i="3"/>
  <c r="H1107" i="3"/>
  <c r="J1106" i="3"/>
  <c r="N1106" i="3"/>
  <c r="J1105" i="3"/>
  <c r="B1102" i="3"/>
  <c r="N1102" i="3"/>
  <c r="F1102" i="3"/>
  <c r="B1101" i="3"/>
  <c r="H1101" i="3"/>
  <c r="H1100" i="3"/>
  <c r="F1098" i="3"/>
  <c r="H1097" i="3"/>
  <c r="L1097" i="3"/>
  <c r="H1096" i="3"/>
  <c r="N1096" i="3"/>
  <c r="N1095" i="3"/>
  <c r="L1093" i="3"/>
  <c r="D1093" i="3"/>
  <c r="N1092" i="3"/>
  <c r="F1092" i="3"/>
  <c r="N1091" i="3"/>
  <c r="F1091" i="3"/>
  <c r="D1089" i="3"/>
  <c r="F1088" i="3"/>
  <c r="L1086" i="3"/>
  <c r="L1084" i="3"/>
  <c r="N1083" i="3"/>
  <c r="B1081" i="3"/>
  <c r="J1079" i="3"/>
  <c r="L1075" i="3"/>
  <c r="D1074" i="3"/>
  <c r="N1072" i="3"/>
  <c r="G1096" i="4"/>
  <c r="C1095" i="4"/>
  <c r="G1092" i="4"/>
  <c r="C1088" i="4"/>
  <c r="G1081" i="4"/>
  <c r="AB1066" i="5"/>
  <c r="AB1008" i="5"/>
  <c r="AB984" i="5"/>
  <c r="AB975" i="5"/>
  <c r="M1147" i="3"/>
  <c r="K1147" i="3"/>
  <c r="I1146" i="3"/>
  <c r="I1145" i="3"/>
  <c r="M1144" i="3"/>
  <c r="M1143" i="3"/>
  <c r="E1143" i="3"/>
  <c r="C1142" i="3"/>
  <c r="O1141" i="3"/>
  <c r="E1139" i="3"/>
  <c r="K1139" i="3"/>
  <c r="K1138" i="3"/>
  <c r="I1137" i="3"/>
  <c r="G1136" i="3"/>
  <c r="C1135" i="3"/>
  <c r="O1133" i="3"/>
  <c r="M1131" i="3"/>
  <c r="C1131" i="3"/>
  <c r="I1129" i="3"/>
  <c r="G1129" i="3"/>
  <c r="E1128" i="3"/>
  <c r="E1127" i="3"/>
  <c r="I1126" i="3"/>
  <c r="I1125" i="3"/>
  <c r="O1124" i="3"/>
  <c r="M1123" i="3"/>
  <c r="K1123" i="3"/>
  <c r="G1121" i="3"/>
  <c r="O1120" i="3"/>
  <c r="G1120" i="3"/>
  <c r="E1119" i="3"/>
  <c r="C1118" i="3"/>
  <c r="M1116" i="3"/>
  <c r="K1115" i="3"/>
  <c r="M1112" i="3"/>
  <c r="E1111" i="3"/>
  <c r="C1111" i="3"/>
  <c r="O1109" i="3"/>
  <c r="O1108" i="3"/>
  <c r="E1108" i="3"/>
  <c r="E1107" i="3"/>
  <c r="K1106" i="3"/>
  <c r="I1105" i="3"/>
  <c r="G1105" i="3"/>
  <c r="C1103" i="3"/>
  <c r="K1102" i="3"/>
  <c r="C1102" i="3"/>
  <c r="O1100" i="3"/>
  <c r="M1099" i="3"/>
  <c r="I1098" i="3"/>
  <c r="G1097" i="3"/>
  <c r="E1095" i="3"/>
  <c r="I1094" i="3"/>
  <c r="O1092" i="3"/>
  <c r="M1092" i="3"/>
  <c r="K1091" i="3"/>
  <c r="K1090" i="3"/>
  <c r="O1089" i="3"/>
  <c r="O1088" i="3"/>
  <c r="G1088" i="3"/>
  <c r="C1087" i="3"/>
  <c r="I1086" i="3"/>
  <c r="K1086" i="3"/>
  <c r="M1083" i="3"/>
  <c r="C1082" i="3"/>
  <c r="O1080" i="3"/>
  <c r="I1077" i="3"/>
  <c r="O1077" i="3"/>
  <c r="G1076" i="3"/>
  <c r="M1076" i="3"/>
  <c r="O1073" i="3"/>
  <c r="I1113" i="3"/>
  <c r="M1071" i="3"/>
  <c r="F1116" i="4"/>
  <c r="I1116" i="4"/>
  <c r="H1115" i="4"/>
  <c r="B1115" i="4"/>
  <c r="C1114" i="4"/>
  <c r="D1114" i="4"/>
  <c r="B1114" i="4"/>
  <c r="I1112" i="4"/>
  <c r="H1111" i="4"/>
  <c r="I1111" i="4"/>
  <c r="C1110" i="4"/>
  <c r="D1110" i="4"/>
  <c r="E1110" i="4"/>
  <c r="B1110" i="4"/>
  <c r="I1108" i="4"/>
  <c r="H1107" i="4"/>
  <c r="I1107" i="4"/>
  <c r="C1106" i="4"/>
  <c r="D1106" i="4"/>
  <c r="E1106" i="4"/>
  <c r="I1106" i="4"/>
  <c r="G1105" i="4"/>
  <c r="F1104" i="4"/>
  <c r="I1104" i="4"/>
  <c r="H1103" i="4"/>
  <c r="I1103" i="4"/>
  <c r="D1102" i="4"/>
  <c r="E1102" i="4"/>
  <c r="I1102" i="4"/>
  <c r="F1101" i="4"/>
  <c r="E1100" i="4"/>
  <c r="G1100" i="4"/>
  <c r="I1099" i="4"/>
  <c r="E1098" i="4"/>
  <c r="I1098" i="4"/>
  <c r="B1098" i="4"/>
  <c r="F1097" i="4"/>
  <c r="G1097" i="4"/>
  <c r="E1096" i="4"/>
  <c r="H1096" i="4"/>
  <c r="B1095" i="4"/>
  <c r="C1094" i="4"/>
  <c r="E1093" i="4"/>
  <c r="D1092" i="4"/>
  <c r="F1092" i="4"/>
  <c r="G1090" i="4"/>
  <c r="I1090" i="4"/>
  <c r="H1089" i="4"/>
  <c r="H1088" i="4"/>
  <c r="B1088" i="4"/>
  <c r="I1087" i="4"/>
  <c r="E1086" i="4"/>
  <c r="G1085" i="4"/>
  <c r="D1085" i="4"/>
  <c r="G1083" i="4"/>
  <c r="I1083" i="4"/>
  <c r="I1082" i="4"/>
  <c r="B1081" i="4"/>
  <c r="I1080" i="4"/>
  <c r="C1079" i="4"/>
  <c r="E1079" i="4"/>
  <c r="D1078" i="4"/>
  <c r="D1077" i="4"/>
  <c r="E1076" i="4"/>
  <c r="G1076" i="4"/>
  <c r="F1074" i="4"/>
  <c r="I1073" i="4"/>
  <c r="C1072" i="4"/>
  <c r="H1072" i="4"/>
  <c r="E1071" i="4"/>
  <c r="F1070" i="4"/>
  <c r="AC1068" i="5"/>
  <c r="AC1062" i="5"/>
  <c r="AB1060" i="5"/>
  <c r="AC1041" i="5"/>
  <c r="AC1040" i="5"/>
  <c r="AB1039" i="5"/>
  <c r="AC1035" i="5"/>
  <c r="AB1028" i="5"/>
  <c r="AC1017" i="5"/>
  <c r="AC1013" i="5"/>
  <c r="AC1012" i="5"/>
  <c r="AC987" i="5"/>
  <c r="AB978" i="5"/>
  <c r="AB974" i="5"/>
  <c r="AB972" i="5"/>
  <c r="AC970" i="5"/>
  <c r="AC966" i="5"/>
  <c r="AB966" i="5"/>
  <c r="AB964" i="5"/>
  <c r="AC955" i="5"/>
  <c r="AC951" i="5"/>
  <c r="AB948" i="5"/>
  <c r="AC946" i="5"/>
  <c r="AB946" i="5"/>
  <c r="AB944" i="5"/>
  <c r="AB919" i="5"/>
  <c r="AC891" i="5"/>
  <c r="AC885" i="5"/>
  <c r="AC884" i="5"/>
  <c r="AC880" i="5"/>
  <c r="AC873" i="5"/>
  <c r="AC872" i="5"/>
  <c r="AC869" i="5"/>
  <c r="AB867" i="5"/>
  <c r="AC861" i="5"/>
  <c r="AB860" i="5"/>
  <c r="AB800" i="5"/>
  <c r="AB774" i="5"/>
  <c r="AB756" i="5"/>
  <c r="AB718" i="5"/>
  <c r="AB708" i="5"/>
  <c r="AB707" i="5"/>
  <c r="AB706" i="5"/>
  <c r="AC702" i="5"/>
  <c r="AB702" i="5"/>
  <c r="AB695" i="5"/>
  <c r="AB679" i="5"/>
  <c r="AB675" i="5"/>
  <c r="AC665" i="5"/>
  <c r="AC661" i="5"/>
  <c r="AC659" i="5"/>
  <c r="AC654" i="5"/>
  <c r="AB646" i="5"/>
  <c r="AC643" i="5"/>
  <c r="AC628" i="5"/>
  <c r="AC626" i="5"/>
  <c r="AB626" i="5"/>
  <c r="AB624" i="5"/>
  <c r="AC618" i="5"/>
  <c r="AB611" i="5"/>
  <c r="AC605" i="5"/>
  <c r="AB604" i="5"/>
  <c r="AC587" i="5"/>
  <c r="AC580" i="5"/>
  <c r="W1116" i="5"/>
  <c r="G1116" i="5"/>
  <c r="AC574" i="5"/>
  <c r="AB574" i="5"/>
  <c r="AC573" i="5"/>
  <c r="P1115" i="5"/>
  <c r="AC556" i="5"/>
  <c r="AB551" i="5"/>
  <c r="C1113" i="5"/>
  <c r="R1113" i="5"/>
  <c r="J1113" i="5"/>
  <c r="L1113" i="5"/>
  <c r="AC529" i="5"/>
  <c r="AC528" i="5"/>
  <c r="AC515" i="5"/>
  <c r="AB514" i="5"/>
  <c r="AC513" i="5"/>
  <c r="L1111" i="5"/>
  <c r="D1111" i="5"/>
  <c r="AB500" i="5"/>
  <c r="AB490" i="5"/>
  <c r="AB955" i="5"/>
  <c r="AB951" i="5"/>
  <c r="AC917" i="5"/>
  <c r="AC916" i="5"/>
  <c r="AC912" i="5"/>
  <c r="AC909" i="5"/>
  <c r="AC908" i="5"/>
  <c r="AC907" i="5"/>
  <c r="AB896" i="5"/>
  <c r="AB891" i="5"/>
  <c r="AB874" i="5"/>
  <c r="AB870" i="5"/>
  <c r="AC859" i="5"/>
  <c r="AC855" i="5"/>
  <c r="AB852" i="5"/>
  <c r="AC850" i="5"/>
  <c r="AB850" i="5"/>
  <c r="AB848" i="5"/>
  <c r="AB838" i="5"/>
  <c r="AB832" i="5"/>
  <c r="AC827" i="5"/>
  <c r="AB824" i="5"/>
  <c r="AC810" i="5"/>
  <c r="AC765" i="5"/>
  <c r="AB759" i="5"/>
  <c r="AC745" i="5"/>
  <c r="AC744" i="5"/>
  <c r="AB743" i="5"/>
  <c r="AC739" i="5"/>
  <c r="AB739" i="5"/>
  <c r="AB728" i="5"/>
  <c r="AB678" i="5"/>
  <c r="AC662" i="5"/>
  <c r="AC657" i="5"/>
  <c r="AC656" i="5"/>
  <c r="AB635" i="5"/>
  <c r="AC629" i="5"/>
  <c r="AC627" i="5"/>
  <c r="AC623" i="5"/>
  <c r="AC619" i="5"/>
  <c r="AC614" i="5"/>
  <c r="AC602" i="5"/>
  <c r="AC598" i="5"/>
  <c r="AC596" i="5"/>
  <c r="AB596" i="5"/>
  <c r="AC581" i="5"/>
  <c r="AC579" i="5"/>
  <c r="L1115" i="5"/>
  <c r="D1115" i="5"/>
  <c r="V1114" i="5"/>
  <c r="AB550" i="5"/>
  <c r="AC547" i="5"/>
  <c r="W1114" i="5"/>
  <c r="O1114" i="5"/>
  <c r="G1114" i="5"/>
  <c r="AC524" i="5"/>
  <c r="R1112" i="5"/>
  <c r="J1112" i="5"/>
  <c r="AC949" i="5"/>
  <c r="AC948" i="5"/>
  <c r="AC944" i="5"/>
  <c r="AB939" i="5"/>
  <c r="AB928" i="5"/>
  <c r="AB925" i="5"/>
  <c r="AC923" i="5"/>
  <c r="AC903" i="5"/>
  <c r="AB903" i="5"/>
  <c r="AB889" i="5"/>
  <c r="AB884" i="5"/>
  <c r="AC882" i="5"/>
  <c r="AB882" i="5"/>
  <c r="AB880" i="5"/>
  <c r="AB859" i="5"/>
  <c r="AB855" i="5"/>
  <c r="AB842" i="5"/>
  <c r="AC837" i="5"/>
  <c r="AC823" i="5"/>
  <c r="AB820" i="5"/>
  <c r="AC818" i="5"/>
  <c r="AB818" i="5"/>
  <c r="AC805" i="5"/>
  <c r="AC797" i="5"/>
  <c r="AC793" i="5"/>
  <c r="AC792" i="5"/>
  <c r="AC791" i="5"/>
  <c r="AC778" i="5"/>
  <c r="AC772" i="5"/>
  <c r="AC763" i="5"/>
  <c r="AB763" i="5"/>
  <c r="AC754" i="5"/>
  <c r="AB752" i="5"/>
  <c r="AB748" i="5"/>
  <c r="AB746" i="5"/>
  <c r="AC721" i="5"/>
  <c r="AC720" i="5"/>
  <c r="AB719" i="5"/>
  <c r="AC716" i="5"/>
  <c r="AC713" i="5"/>
  <c r="AC712" i="5"/>
  <c r="AB711" i="5"/>
  <c r="AC707" i="5"/>
  <c r="AB703" i="5"/>
  <c r="AC698" i="5"/>
  <c r="AC694" i="5"/>
  <c r="AC692" i="5"/>
  <c r="AB667" i="5"/>
  <c r="AB632" i="5"/>
  <c r="AB618" i="5"/>
  <c r="Q1118" i="5"/>
  <c r="I1118" i="5"/>
  <c r="F1118" i="5"/>
  <c r="AB588" i="5"/>
  <c r="AB586" i="5"/>
  <c r="N1117" i="5"/>
  <c r="AB582" i="5"/>
  <c r="AB575" i="5"/>
  <c r="U1116" i="5"/>
  <c r="AB542" i="5"/>
  <c r="AB530" i="5"/>
  <c r="AB528" i="5"/>
  <c r="AB484" i="5"/>
  <c r="AC957" i="5"/>
  <c r="AC919" i="5"/>
  <c r="AB916" i="5"/>
  <c r="AC914" i="5"/>
  <c r="AB914" i="5"/>
  <c r="AC905" i="5"/>
  <c r="AC904" i="5"/>
  <c r="AC901" i="5"/>
  <c r="AC893" i="5"/>
  <c r="AC883" i="5"/>
  <c r="AC879" i="5"/>
  <c r="AC875" i="5"/>
  <c r="AB875" i="5"/>
  <c r="AC871" i="5"/>
  <c r="AB871" i="5"/>
  <c r="AC853" i="5"/>
  <c r="AC852" i="5"/>
  <c r="AC848" i="5"/>
  <c r="AC829" i="5"/>
  <c r="AC825" i="5"/>
  <c r="AC824" i="5"/>
  <c r="AB823" i="5"/>
  <c r="AC819" i="5"/>
  <c r="AC815" i="5"/>
  <c r="AC811" i="5"/>
  <c r="AB811" i="5"/>
  <c r="AC787" i="5"/>
  <c r="AC783" i="5"/>
  <c r="AC771" i="5"/>
  <c r="AC769" i="5"/>
  <c r="AB760" i="5"/>
  <c r="AC756" i="5"/>
  <c r="AC755" i="5"/>
  <c r="AB731" i="5"/>
  <c r="AB722" i="5"/>
  <c r="AB716" i="5"/>
  <c r="AB714" i="5"/>
  <c r="AB710" i="5"/>
  <c r="AC693" i="5"/>
  <c r="AC690" i="5"/>
  <c r="AC684" i="5"/>
  <c r="AB663" i="5"/>
  <c r="AC660" i="5"/>
  <c r="AC658" i="5"/>
  <c r="AB658" i="5"/>
  <c r="AB656" i="5"/>
  <c r="AB620" i="5"/>
  <c r="AB603" i="5"/>
  <c r="T1118" i="5"/>
  <c r="L1118" i="5"/>
  <c r="R1118" i="5"/>
  <c r="U1118" i="5"/>
  <c r="AC588" i="5"/>
  <c r="W1117" i="5"/>
  <c r="S1117" i="5"/>
  <c r="AC578" i="5"/>
  <c r="AB578" i="5"/>
  <c r="AB572" i="5"/>
  <c r="AC569" i="5"/>
  <c r="AC565" i="5"/>
  <c r="AC562" i="5"/>
  <c r="AB546" i="5"/>
  <c r="AC537" i="5"/>
  <c r="AB536" i="5"/>
  <c r="AC533" i="5"/>
  <c r="AC531" i="5"/>
  <c r="AC526" i="5"/>
  <c r="AC523" i="5"/>
  <c r="AB507" i="5"/>
  <c r="I1108" i="5"/>
  <c r="AB466" i="5"/>
  <c r="I1107" i="5"/>
  <c r="AB437" i="5"/>
  <c r="AB434" i="5"/>
  <c r="AB430" i="5"/>
  <c r="AB426" i="5"/>
  <c r="W1104" i="5"/>
  <c r="AB387" i="5"/>
  <c r="AB386" i="5"/>
  <c r="H1100" i="5"/>
  <c r="S1097" i="5"/>
  <c r="AB322" i="5"/>
  <c r="AC514" i="5"/>
  <c r="AB496" i="5"/>
  <c r="V1109" i="5"/>
  <c r="F1109" i="5"/>
  <c r="T1109" i="5"/>
  <c r="AB487" i="5"/>
  <c r="AC481" i="5"/>
  <c r="AC475" i="5"/>
  <c r="AC471" i="5"/>
  <c r="AC459" i="5"/>
  <c r="AC449" i="5"/>
  <c r="Q1105" i="5"/>
  <c r="I1105" i="5"/>
  <c r="W1105" i="5"/>
  <c r="O1105" i="5"/>
  <c r="C1105" i="5"/>
  <c r="F1104" i="5"/>
  <c r="U1104" i="5"/>
  <c r="AC418" i="5"/>
  <c r="AC414" i="5"/>
  <c r="AB414" i="5"/>
  <c r="W1103" i="5"/>
  <c r="AC410" i="5"/>
  <c r="D1102" i="5"/>
  <c r="S1102" i="5"/>
  <c r="K1102" i="5"/>
  <c r="R1102" i="5"/>
  <c r="J1102" i="5"/>
  <c r="AC380" i="5"/>
  <c r="S1099" i="5"/>
  <c r="K1099" i="5"/>
  <c r="C1099" i="5"/>
  <c r="AC356" i="5"/>
  <c r="AB349" i="5"/>
  <c r="AB347" i="5"/>
  <c r="Q1097" i="5"/>
  <c r="I1097" i="5"/>
  <c r="AB336" i="5"/>
  <c r="AC332" i="5"/>
  <c r="AB332" i="5"/>
  <c r="AC323" i="5"/>
  <c r="V1111" i="5"/>
  <c r="N1111" i="5"/>
  <c r="F1111" i="5"/>
  <c r="AC511" i="5"/>
  <c r="AC509" i="5"/>
  <c r="AB508" i="5"/>
  <c r="R1111" i="5"/>
  <c r="AC505" i="5"/>
  <c r="AC482" i="5"/>
  <c r="S1108" i="5"/>
  <c r="K1108" i="5"/>
  <c r="AC478" i="5"/>
  <c r="AB478" i="5"/>
  <c r="AC472" i="5"/>
  <c r="T1108" i="5"/>
  <c r="L1108" i="5"/>
  <c r="U1106" i="5"/>
  <c r="AC456" i="5"/>
  <c r="AB454" i="5"/>
  <c r="AB453" i="5"/>
  <c r="AC450" i="5"/>
  <c r="AB448" i="5"/>
  <c r="AC443" i="5"/>
  <c r="AB443" i="5"/>
  <c r="AC436" i="5"/>
  <c r="AB436" i="5"/>
  <c r="X1104" i="5"/>
  <c r="Q1103" i="5"/>
  <c r="I1103" i="5"/>
  <c r="AC415" i="5"/>
  <c r="AB412" i="5"/>
  <c r="AC399" i="5"/>
  <c r="Q1102" i="5"/>
  <c r="I1102" i="5"/>
  <c r="AC384" i="5"/>
  <c r="AB374" i="5"/>
  <c r="J1099" i="5"/>
  <c r="AC354" i="5"/>
  <c r="U1097" i="5"/>
  <c r="AB338" i="5"/>
  <c r="X1096" i="5"/>
  <c r="P1096" i="5"/>
  <c r="H1096" i="5"/>
  <c r="S1095" i="5"/>
  <c r="C1095" i="5"/>
  <c r="AC321" i="5"/>
  <c r="AB501" i="5"/>
  <c r="Q1110" i="5"/>
  <c r="I1110" i="5"/>
  <c r="AB494" i="5"/>
  <c r="AC491" i="5"/>
  <c r="AB491" i="5"/>
  <c r="X1109" i="5"/>
  <c r="AB485" i="5"/>
  <c r="Q1109" i="5"/>
  <c r="I1109" i="5"/>
  <c r="AC479" i="5"/>
  <c r="R1108" i="5"/>
  <c r="J1108" i="5"/>
  <c r="AB468" i="5"/>
  <c r="T1107" i="5"/>
  <c r="L1107" i="5"/>
  <c r="S1107" i="5"/>
  <c r="AC462" i="5"/>
  <c r="AB462" i="5"/>
  <c r="W1107" i="5"/>
  <c r="AC460" i="5"/>
  <c r="G1107" i="5"/>
  <c r="W1106" i="5"/>
  <c r="O1106" i="5"/>
  <c r="G1106" i="5"/>
  <c r="T1106" i="5"/>
  <c r="D1106" i="5"/>
  <c r="S1106" i="5"/>
  <c r="K1106" i="5"/>
  <c r="C1106" i="5"/>
  <c r="AC447" i="5"/>
  <c r="Q1106" i="5"/>
  <c r="AC446" i="5"/>
  <c r="I1106" i="5"/>
  <c r="X1105" i="5"/>
  <c r="P1105" i="5"/>
  <c r="H1105" i="5"/>
  <c r="AC427" i="5"/>
  <c r="AC413" i="5"/>
  <c r="AC411" i="5"/>
  <c r="AB411" i="5"/>
  <c r="U1102" i="5"/>
  <c r="E1102" i="5"/>
  <c r="AB407" i="5"/>
  <c r="X1102" i="5"/>
  <c r="P1102" i="5"/>
  <c r="H1102" i="5"/>
  <c r="T1101" i="5"/>
  <c r="D1101" i="5"/>
  <c r="AC392" i="5"/>
  <c r="U1101" i="5"/>
  <c r="T1100" i="5"/>
  <c r="L1100" i="5"/>
  <c r="D1100" i="5"/>
  <c r="U1099" i="5"/>
  <c r="E1099" i="5"/>
  <c r="T1099" i="5"/>
  <c r="L1099" i="5"/>
  <c r="D1099" i="5"/>
  <c r="AC350" i="5"/>
  <c r="AB350" i="5"/>
  <c r="AC343" i="5"/>
  <c r="H1097" i="5"/>
  <c r="AC322" i="5"/>
  <c r="AB283" i="5"/>
  <c r="AB274" i="5"/>
  <c r="AB263" i="5"/>
  <c r="AB259" i="5"/>
  <c r="AB230" i="5"/>
  <c r="E1087" i="5"/>
  <c r="T1087" i="5"/>
  <c r="L1087" i="5"/>
  <c r="D1087" i="5"/>
  <c r="W1087" i="5"/>
  <c r="O1087" i="5"/>
  <c r="G1087" i="5"/>
  <c r="W1085" i="5"/>
  <c r="G1085" i="5"/>
  <c r="AC194" i="5"/>
  <c r="AC188" i="5"/>
  <c r="AB188" i="5"/>
  <c r="X1083" i="5"/>
  <c r="P1083" i="5"/>
  <c r="H1083" i="5"/>
  <c r="R1083" i="5"/>
  <c r="X1082" i="5"/>
  <c r="H1082" i="5"/>
  <c r="T1082" i="5"/>
  <c r="L1082" i="5"/>
  <c r="D1082" i="5"/>
  <c r="AB146" i="5"/>
  <c r="AB135" i="5"/>
  <c r="AC132" i="5"/>
  <c r="AB131" i="5"/>
  <c r="AC130" i="5"/>
  <c r="AB118" i="5"/>
  <c r="AB117" i="5"/>
  <c r="AC115" i="5"/>
  <c r="AB108" i="5"/>
  <c r="U1077" i="5"/>
  <c r="E1077" i="5"/>
  <c r="AB103" i="5"/>
  <c r="Q1076" i="5"/>
  <c r="I1076" i="5"/>
  <c r="R1076" i="5"/>
  <c r="J1076" i="5"/>
  <c r="AB80" i="5"/>
  <c r="AC73" i="5"/>
  <c r="AC69" i="5"/>
  <c r="AC67" i="5"/>
  <c r="F1074" i="5"/>
  <c r="X1073" i="5"/>
  <c r="AB54" i="5"/>
  <c r="W1072" i="5"/>
  <c r="AB39" i="5"/>
  <c r="AB30" i="5"/>
  <c r="AC27" i="5"/>
  <c r="V1095" i="5"/>
  <c r="N1095" i="5"/>
  <c r="F1095" i="5"/>
  <c r="U1095" i="5"/>
  <c r="AB316" i="5"/>
  <c r="AB315" i="5"/>
  <c r="AC313" i="5"/>
  <c r="AC312" i="5"/>
  <c r="AB311" i="5"/>
  <c r="AB310" i="5"/>
  <c r="AB306" i="5"/>
  <c r="AB304" i="5"/>
  <c r="AB300" i="5"/>
  <c r="AB293" i="5"/>
  <c r="AC290" i="5"/>
  <c r="AC273" i="5"/>
  <c r="R1091" i="5"/>
  <c r="J1091" i="5"/>
  <c r="U1091" i="5"/>
  <c r="AB258" i="5"/>
  <c r="AC252" i="5"/>
  <c r="AB252" i="5"/>
  <c r="AC242" i="5"/>
  <c r="AB235" i="5"/>
  <c r="AC231" i="5"/>
  <c r="E1088" i="5"/>
  <c r="AC226" i="5"/>
  <c r="G1086" i="5"/>
  <c r="X1086" i="5"/>
  <c r="P1086" i="5"/>
  <c r="H1086" i="5"/>
  <c r="S1085" i="5"/>
  <c r="K1085" i="5"/>
  <c r="R1085" i="5"/>
  <c r="J1085" i="5"/>
  <c r="X1085" i="5"/>
  <c r="P1085" i="5"/>
  <c r="AB194" i="5"/>
  <c r="AC191" i="5"/>
  <c r="AC184" i="5"/>
  <c r="E1083" i="5"/>
  <c r="AB174" i="5"/>
  <c r="AC172" i="5"/>
  <c r="N1083" i="5"/>
  <c r="F1083" i="5"/>
  <c r="AC168" i="5"/>
  <c r="AB167" i="5"/>
  <c r="AC162" i="5"/>
  <c r="W1082" i="5"/>
  <c r="G1082" i="5"/>
  <c r="V1082" i="5"/>
  <c r="F1082" i="5"/>
  <c r="AC145" i="5"/>
  <c r="R1080" i="5"/>
  <c r="J1080" i="5"/>
  <c r="AB130" i="5"/>
  <c r="S1079" i="5"/>
  <c r="K1079" i="5"/>
  <c r="AB128" i="5"/>
  <c r="W1079" i="5"/>
  <c r="AC109" i="5"/>
  <c r="X1076" i="5"/>
  <c r="AB92" i="5"/>
  <c r="AB70" i="5"/>
  <c r="Q1074" i="5"/>
  <c r="I1074" i="5"/>
  <c r="S1074" i="5"/>
  <c r="C1074" i="5"/>
  <c r="AC65" i="5"/>
  <c r="AC52" i="5"/>
  <c r="AB52" i="5"/>
  <c r="AC49" i="5"/>
  <c r="R1072" i="5"/>
  <c r="I1072" i="5"/>
  <c r="O1071" i="5"/>
  <c r="Q1071" i="5"/>
  <c r="H1071" i="5"/>
  <c r="V1071" i="5"/>
  <c r="N1071" i="5"/>
  <c r="E1071" i="5"/>
  <c r="AC307" i="5"/>
  <c r="AC301" i="5"/>
  <c r="AB299" i="5"/>
  <c r="AC298" i="5"/>
  <c r="AC291" i="5"/>
  <c r="AC279" i="5"/>
  <c r="AC274" i="5"/>
  <c r="AC266" i="5"/>
  <c r="AB261" i="5"/>
  <c r="AC259" i="5"/>
  <c r="AC255" i="5"/>
  <c r="AB250" i="5"/>
  <c r="AB240" i="5"/>
  <c r="H1088" i="5"/>
  <c r="AB236" i="5"/>
  <c r="AB229" i="5"/>
  <c r="AC217" i="5"/>
  <c r="AC216" i="5"/>
  <c r="AB215" i="5"/>
  <c r="AC210" i="5"/>
  <c r="AC201" i="5"/>
  <c r="AC197" i="5"/>
  <c r="AC195" i="5"/>
  <c r="AB189" i="5"/>
  <c r="AC178" i="5"/>
  <c r="AB172" i="5"/>
  <c r="AC165" i="5"/>
  <c r="AB162" i="5"/>
  <c r="AC153" i="5"/>
  <c r="AC146" i="5"/>
  <c r="AC138" i="5"/>
  <c r="AB133" i="5"/>
  <c r="AC131" i="5"/>
  <c r="AC127" i="5"/>
  <c r="W1078" i="5"/>
  <c r="AC117" i="5"/>
  <c r="J1078" i="5"/>
  <c r="AB98" i="5"/>
  <c r="AB96" i="5"/>
  <c r="AC94" i="5"/>
  <c r="AB94" i="5"/>
  <c r="F1076" i="5"/>
  <c r="U1076" i="5"/>
  <c r="E1076" i="5"/>
  <c r="T1076" i="5"/>
  <c r="AB87" i="5"/>
  <c r="AC84" i="5"/>
  <c r="U1074" i="5"/>
  <c r="AB60" i="5"/>
  <c r="S1072" i="5"/>
  <c r="J1072" i="5"/>
  <c r="B1072" i="5"/>
  <c r="AC38" i="5"/>
  <c r="P1072" i="5"/>
  <c r="G1072" i="5"/>
  <c r="AB33" i="5"/>
  <c r="AB32" i="5"/>
  <c r="AC30" i="5"/>
  <c r="AC317" i="5"/>
  <c r="AC315" i="5"/>
  <c r="AC281" i="5"/>
  <c r="AC277" i="5"/>
  <c r="AB277" i="5"/>
  <c r="W1090" i="5"/>
  <c r="F1090" i="5"/>
  <c r="AC227" i="5"/>
  <c r="AB219" i="5"/>
  <c r="F1086" i="5"/>
  <c r="S1086" i="5"/>
  <c r="K1086" i="5"/>
  <c r="AB208" i="5"/>
  <c r="R1086" i="5"/>
  <c r="J1086" i="5"/>
  <c r="AB203" i="5"/>
  <c r="AC202" i="5"/>
  <c r="Q1085" i="5"/>
  <c r="I1085" i="5"/>
  <c r="AC181" i="5"/>
  <c r="AB178" i="5"/>
  <c r="AC173" i="5"/>
  <c r="AB171" i="5"/>
  <c r="AC170" i="5"/>
  <c r="V1081" i="5"/>
  <c r="F1081" i="5"/>
  <c r="Q1079" i="5"/>
  <c r="AB110" i="5"/>
  <c r="AC108" i="5"/>
  <c r="AB107" i="5"/>
  <c r="AB102" i="5"/>
  <c r="AC99" i="5"/>
  <c r="X1074" i="5"/>
  <c r="P1074" i="5"/>
  <c r="H1074" i="5"/>
  <c r="AB66" i="5"/>
  <c r="AC55" i="5"/>
  <c r="AB55" i="5"/>
  <c r="AC48" i="5"/>
  <c r="AB48" i="5"/>
  <c r="AB44" i="5"/>
  <c r="AB43" i="5"/>
  <c r="X1072" i="5"/>
  <c r="AB26" i="5"/>
  <c r="J1118" i="2"/>
  <c r="B1118" i="2"/>
  <c r="K1118" i="2"/>
  <c r="H1118" i="2"/>
  <c r="A1119" i="2"/>
  <c r="E1118" i="2"/>
  <c r="C1118" i="2"/>
  <c r="F1118" i="2"/>
  <c r="G1118" i="2"/>
  <c r="I1118" i="2"/>
  <c r="F1118" i="4"/>
  <c r="G1118" i="4"/>
  <c r="H1118" i="4"/>
  <c r="I1118" i="4"/>
  <c r="J1118" i="4"/>
  <c r="D1118" i="4"/>
  <c r="A1119" i="4"/>
  <c r="C1118" i="4"/>
  <c r="E1118" i="4"/>
  <c r="B1118" i="4"/>
  <c r="D1117" i="4"/>
  <c r="H1116" i="4"/>
  <c r="J1116" i="4"/>
  <c r="I1114" i="4"/>
  <c r="H1112" i="4"/>
  <c r="J1112" i="4"/>
  <c r="F1109" i="4"/>
  <c r="H1108" i="4"/>
  <c r="B1108" i="4"/>
  <c r="B1106" i="4"/>
  <c r="F1105" i="4"/>
  <c r="B1102" i="4"/>
  <c r="C1101" i="4"/>
  <c r="J1100" i="4"/>
  <c r="E1097" i="4"/>
  <c r="S1004" i="6"/>
  <c r="AC1005" i="5"/>
  <c r="H1115" i="2"/>
  <c r="H1114" i="2"/>
  <c r="H1110" i="2"/>
  <c r="H1106" i="2"/>
  <c r="H1098" i="2"/>
  <c r="H1095" i="2"/>
  <c r="O1158" i="3"/>
  <c r="M1158" i="3"/>
  <c r="K1158" i="3"/>
  <c r="C1158" i="3"/>
  <c r="G1157" i="3"/>
  <c r="K1157" i="3"/>
  <c r="C1157" i="3"/>
  <c r="G1156" i="3"/>
  <c r="E1156" i="3"/>
  <c r="K1156" i="3"/>
  <c r="C1156" i="3"/>
  <c r="E1155" i="3"/>
  <c r="C1155" i="3"/>
  <c r="I1154" i="3"/>
  <c r="C1154" i="3"/>
  <c r="I1153" i="3"/>
  <c r="K1153" i="3"/>
  <c r="C1153" i="3"/>
  <c r="M1152" i="3"/>
  <c r="K1152" i="3"/>
  <c r="C1152" i="3"/>
  <c r="M1151" i="3"/>
  <c r="K1151" i="3"/>
  <c r="I1150" i="3"/>
  <c r="K1150" i="3"/>
  <c r="I1149" i="3"/>
  <c r="O1149" i="3"/>
  <c r="K1149" i="3"/>
  <c r="C1149" i="3"/>
  <c r="O1148" i="3"/>
  <c r="E1148" i="3"/>
  <c r="K1148" i="3"/>
  <c r="C1148" i="3"/>
  <c r="E1147" i="3"/>
  <c r="C1147" i="3"/>
  <c r="C1146" i="3"/>
  <c r="O1145" i="3"/>
  <c r="G1145" i="3"/>
  <c r="K1145" i="3"/>
  <c r="C1145" i="3"/>
  <c r="O1144" i="3"/>
  <c r="G1144" i="3"/>
  <c r="K1144" i="3"/>
  <c r="C1144" i="3"/>
  <c r="K1143" i="3"/>
  <c r="I1142" i="3"/>
  <c r="K1142" i="3"/>
  <c r="I1141" i="3"/>
  <c r="G1141" i="3"/>
  <c r="K1141" i="3"/>
  <c r="C1141" i="3"/>
  <c r="G1140" i="3"/>
  <c r="M1140" i="3"/>
  <c r="K1140" i="3"/>
  <c r="C1140" i="3"/>
  <c r="M1139" i="3"/>
  <c r="C1139" i="3"/>
  <c r="C1138" i="3"/>
  <c r="O1137" i="3"/>
  <c r="K1137" i="3"/>
  <c r="C1137" i="3"/>
  <c r="O1136" i="3"/>
  <c r="M1136" i="3"/>
  <c r="E1136" i="3"/>
  <c r="K1136" i="3"/>
  <c r="C1136" i="3"/>
  <c r="M1135" i="3"/>
  <c r="E1135" i="3"/>
  <c r="I1134" i="3"/>
  <c r="I1133" i="3"/>
  <c r="G1133" i="3"/>
  <c r="K1133" i="3"/>
  <c r="C1133" i="3"/>
  <c r="G1132" i="3"/>
  <c r="E1132" i="3"/>
  <c r="K1132" i="3"/>
  <c r="C1132" i="3"/>
  <c r="E1131" i="3"/>
  <c r="K1131" i="3"/>
  <c r="K1130" i="3"/>
  <c r="O1129" i="3"/>
  <c r="K1129" i="3"/>
  <c r="C1129" i="3"/>
  <c r="O1128" i="3"/>
  <c r="M1128" i="3"/>
  <c r="K1128" i="3"/>
  <c r="C1128" i="3"/>
  <c r="M1127" i="3"/>
  <c r="K1127" i="3"/>
  <c r="C1127" i="3"/>
  <c r="K1126" i="3"/>
  <c r="C1126" i="3"/>
  <c r="G1125" i="3"/>
  <c r="K1125" i="3"/>
  <c r="C1125" i="3"/>
  <c r="G1124" i="3"/>
  <c r="E1124" i="3"/>
  <c r="K1124" i="3"/>
  <c r="C1124" i="3"/>
  <c r="E1123" i="3"/>
  <c r="C1123" i="3"/>
  <c r="I1122" i="3"/>
  <c r="C1122" i="3"/>
  <c r="I1121" i="3"/>
  <c r="K1121" i="3"/>
  <c r="C1121" i="3"/>
  <c r="M1120" i="3"/>
  <c r="K1120" i="3"/>
  <c r="C1120" i="3"/>
  <c r="M1119" i="3"/>
  <c r="K1119" i="3"/>
  <c r="I1118" i="3"/>
  <c r="K1118" i="3"/>
  <c r="I1117" i="3"/>
  <c r="O1117" i="3"/>
  <c r="K1117" i="3"/>
  <c r="C1117" i="3"/>
  <c r="O1116" i="3"/>
  <c r="E1116" i="3"/>
  <c r="K1116" i="3"/>
  <c r="C1116" i="3"/>
  <c r="E1115" i="3"/>
  <c r="C1115" i="3"/>
  <c r="C1114" i="3"/>
  <c r="O1112" i="3"/>
  <c r="G1112" i="3"/>
  <c r="K1112" i="3"/>
  <c r="C1112" i="3"/>
  <c r="K1111" i="3"/>
  <c r="I1110" i="3"/>
  <c r="K1110" i="3"/>
  <c r="I1109" i="3"/>
  <c r="G1109" i="3"/>
  <c r="K1109" i="3"/>
  <c r="C1109" i="3"/>
  <c r="G1108" i="3"/>
  <c r="M1108" i="3"/>
  <c r="K1108" i="3"/>
  <c r="C1108" i="3"/>
  <c r="M1107" i="3"/>
  <c r="C1107" i="3"/>
  <c r="C1106" i="3"/>
  <c r="O1105" i="3"/>
  <c r="K1105" i="3"/>
  <c r="C1105" i="3"/>
  <c r="O1104" i="3"/>
  <c r="M1104" i="3"/>
  <c r="E1104" i="3"/>
  <c r="K1104" i="3"/>
  <c r="C1104" i="3"/>
  <c r="M1103" i="3"/>
  <c r="E1103" i="3"/>
  <c r="I1102" i="3"/>
  <c r="I1101" i="3"/>
  <c r="G1101" i="3"/>
  <c r="K1101" i="3"/>
  <c r="C1101" i="3"/>
  <c r="G1100" i="3"/>
  <c r="E1100" i="3"/>
  <c r="K1100" i="3"/>
  <c r="C1100" i="3"/>
  <c r="E1099" i="3"/>
  <c r="K1099" i="3"/>
  <c r="K1098" i="3"/>
  <c r="O1097" i="3"/>
  <c r="K1097" i="3"/>
  <c r="C1097" i="3"/>
  <c r="O1096" i="3"/>
  <c r="M1096" i="3"/>
  <c r="K1096" i="3"/>
  <c r="C1096" i="3"/>
  <c r="M1095" i="3"/>
  <c r="K1095" i="3"/>
  <c r="C1095" i="3"/>
  <c r="K1094" i="3"/>
  <c r="C1094" i="3"/>
  <c r="G1093" i="3"/>
  <c r="K1093" i="3"/>
  <c r="C1093" i="3"/>
  <c r="G1092" i="3"/>
  <c r="E1092" i="3"/>
  <c r="K1092" i="3"/>
  <c r="C1092" i="3"/>
  <c r="E1091" i="3"/>
  <c r="C1091" i="3"/>
  <c r="I1090" i="3"/>
  <c r="C1090" i="3"/>
  <c r="I1089" i="3"/>
  <c r="K1089" i="3"/>
  <c r="C1089" i="3"/>
  <c r="M1088" i="3"/>
  <c r="K1088" i="3"/>
  <c r="C1088" i="3"/>
  <c r="K1087" i="3"/>
  <c r="C1086" i="3"/>
  <c r="I1085" i="3"/>
  <c r="O1085" i="3"/>
  <c r="K1085" i="3"/>
  <c r="C1085" i="3"/>
  <c r="M1084" i="3"/>
  <c r="K1084" i="3"/>
  <c r="C1084" i="3"/>
  <c r="K1083" i="3"/>
  <c r="C1083" i="3"/>
  <c r="I1082" i="3"/>
  <c r="K1082" i="3"/>
  <c r="I1081" i="3"/>
  <c r="O1081" i="3"/>
  <c r="G1081" i="3"/>
  <c r="K1081" i="3"/>
  <c r="C1081" i="3"/>
  <c r="E1080" i="3"/>
  <c r="K1080" i="3"/>
  <c r="C1080" i="3"/>
  <c r="K1079" i="3"/>
  <c r="C1079" i="3"/>
  <c r="I1078" i="3"/>
  <c r="K1078" i="3"/>
  <c r="C1078" i="3"/>
  <c r="G1077" i="3"/>
  <c r="K1077" i="3"/>
  <c r="C1077" i="3"/>
  <c r="O1076" i="3"/>
  <c r="K1076" i="3"/>
  <c r="C1076" i="3"/>
  <c r="M1075" i="3"/>
  <c r="K1075" i="3"/>
  <c r="C1075" i="3"/>
  <c r="C1074" i="3"/>
  <c r="K1073" i="3"/>
  <c r="C1073" i="3"/>
  <c r="O1072" i="3"/>
  <c r="M1072" i="3"/>
  <c r="E1072" i="3"/>
  <c r="K1072" i="3"/>
  <c r="C1072" i="3"/>
  <c r="O1113" i="3"/>
  <c r="G1113" i="3"/>
  <c r="K1113" i="3"/>
  <c r="C1113" i="3"/>
  <c r="E1071" i="3"/>
  <c r="K1071" i="3"/>
  <c r="AB809" i="5"/>
  <c r="AB769" i="5"/>
  <c r="J1117" i="2"/>
  <c r="J1114" i="2"/>
  <c r="B1114" i="2"/>
  <c r="J1113" i="2"/>
  <c r="J1110" i="2"/>
  <c r="B1110" i="2"/>
  <c r="J1109" i="2"/>
  <c r="J1106" i="2"/>
  <c r="B1106" i="2"/>
  <c r="J1105" i="2"/>
  <c r="J1102" i="2"/>
  <c r="B1102" i="2"/>
  <c r="J1101" i="2"/>
  <c r="J1098" i="2"/>
  <c r="B1098" i="2"/>
  <c r="J1097" i="2"/>
  <c r="J1095" i="2"/>
  <c r="J1094" i="2"/>
  <c r="B1094" i="2"/>
  <c r="J1093" i="2"/>
  <c r="B1092" i="2"/>
  <c r="J1089" i="2"/>
  <c r="J1088" i="2"/>
  <c r="B1088" i="2"/>
  <c r="J1087" i="2"/>
  <c r="B1087" i="2"/>
  <c r="B1086" i="2"/>
  <c r="J1085" i="2"/>
  <c r="B1084" i="2"/>
  <c r="J1081" i="2"/>
  <c r="J1080" i="2"/>
  <c r="B1080" i="2"/>
  <c r="J1079" i="2"/>
  <c r="B1079" i="2"/>
  <c r="B1078" i="2"/>
  <c r="J1077" i="2"/>
  <c r="B1076" i="2"/>
  <c r="J1073" i="2"/>
  <c r="J1072" i="2"/>
  <c r="B1072" i="2"/>
  <c r="J1071" i="2"/>
  <c r="B1071" i="2"/>
  <c r="B1070" i="2"/>
  <c r="G1117" i="4"/>
  <c r="G1115" i="4"/>
  <c r="G1111" i="4"/>
  <c r="G1107" i="4"/>
  <c r="AB1046" i="5"/>
  <c r="AC1031" i="5"/>
  <c r="AB1031" i="5"/>
  <c r="AB886" i="5"/>
  <c r="B1116" i="4"/>
  <c r="C1115" i="4"/>
  <c r="J1114" i="4"/>
  <c r="F1113" i="4"/>
  <c r="B1112" i="4"/>
  <c r="C1111" i="4"/>
  <c r="C1109" i="4"/>
  <c r="J1108" i="4"/>
  <c r="F1107" i="4"/>
  <c r="J1106" i="4"/>
  <c r="E1105" i="4"/>
  <c r="B1104" i="4"/>
  <c r="J1102" i="4"/>
  <c r="B1100" i="4"/>
  <c r="F1099" i="4"/>
  <c r="J1098" i="4"/>
  <c r="H1107" i="2"/>
  <c r="H1099" i="2"/>
  <c r="H1094" i="2"/>
  <c r="H1091" i="2"/>
  <c r="H1090" i="2"/>
  <c r="H1089" i="2"/>
  <c r="H1087" i="2"/>
  <c r="H1083" i="2"/>
  <c r="H1081" i="2"/>
  <c r="H1079" i="2"/>
  <c r="H1075" i="2"/>
  <c r="H1073" i="2"/>
  <c r="E1113" i="4"/>
  <c r="D1109" i="4"/>
  <c r="D1105" i="4"/>
  <c r="B1103" i="4"/>
  <c r="D1101" i="4"/>
  <c r="D1097" i="4"/>
  <c r="AB892" i="5"/>
  <c r="S1058" i="6"/>
  <c r="AC1059" i="5"/>
  <c r="S752" i="6"/>
  <c r="AC753" i="5"/>
  <c r="S441" i="6"/>
  <c r="AC442" i="5"/>
  <c r="Q425" i="6"/>
  <c r="R1103" i="6"/>
  <c r="S372" i="6"/>
  <c r="Q1099" i="6"/>
  <c r="Q354" i="6"/>
  <c r="R1097" i="6"/>
  <c r="D1097" i="6"/>
  <c r="L351" i="6"/>
  <c r="F1097" i="6"/>
  <c r="L330" i="6"/>
  <c r="F1095" i="6"/>
  <c r="Q308" i="6"/>
  <c r="R1093" i="6"/>
  <c r="L166" i="6"/>
  <c r="I1081" i="6"/>
  <c r="L114" i="6"/>
  <c r="D1077" i="6"/>
  <c r="L113" i="6"/>
  <c r="E1077" i="6"/>
  <c r="Q110" i="6"/>
  <c r="R1077" i="6"/>
  <c r="L88" i="6"/>
  <c r="L1075" i="6" s="1"/>
  <c r="E1075" i="6"/>
  <c r="G1096" i="2"/>
  <c r="C1094" i="2"/>
  <c r="G1092" i="2"/>
  <c r="I1090" i="2"/>
  <c r="G1084" i="2"/>
  <c r="G1083" i="2"/>
  <c r="K1080" i="2"/>
  <c r="G1080" i="2"/>
  <c r="C1079" i="2"/>
  <c r="F1117" i="4"/>
  <c r="F1115" i="4"/>
  <c r="C1113" i="4"/>
  <c r="F1111" i="4"/>
  <c r="C1105" i="4"/>
  <c r="J1104" i="4"/>
  <c r="F1103" i="4"/>
  <c r="E1101" i="4"/>
  <c r="C1099" i="4"/>
  <c r="H1111" i="2"/>
  <c r="H1103" i="2"/>
  <c r="H1102" i="2"/>
  <c r="H1096" i="2"/>
  <c r="H1082" i="2"/>
  <c r="F1077" i="2"/>
  <c r="F1076" i="2"/>
  <c r="F1075" i="2"/>
  <c r="H1074" i="2"/>
  <c r="F1073" i="2"/>
  <c r="H1071" i="2"/>
  <c r="G1116" i="2"/>
  <c r="G1112" i="2"/>
  <c r="G1108" i="2"/>
  <c r="G1104" i="2"/>
  <c r="G1100" i="2"/>
  <c r="C1098" i="2"/>
  <c r="G1091" i="2"/>
  <c r="G1090" i="2"/>
  <c r="K1088" i="2"/>
  <c r="G1088" i="2"/>
  <c r="C1087" i="2"/>
  <c r="E1086" i="2"/>
  <c r="I1082" i="2"/>
  <c r="G1082" i="2"/>
  <c r="E1078" i="2"/>
  <c r="G1076" i="2"/>
  <c r="G1075" i="2"/>
  <c r="G1074" i="2"/>
  <c r="K1072" i="2"/>
  <c r="G1072" i="2"/>
  <c r="C1071" i="2"/>
  <c r="E1070" i="2"/>
  <c r="AB931" i="5"/>
  <c r="AB930" i="5"/>
  <c r="AB929" i="5"/>
  <c r="AB906" i="5"/>
  <c r="AB730" i="5"/>
  <c r="AB729" i="5"/>
  <c r="T1102" i="5"/>
  <c r="L1102" i="5"/>
  <c r="AB400" i="5"/>
  <c r="C1102" i="5"/>
  <c r="AB397" i="5"/>
  <c r="B1102" i="5"/>
  <c r="AB395" i="5"/>
  <c r="S757" i="6"/>
  <c r="AC758" i="5"/>
  <c r="D1116" i="6"/>
  <c r="D1114" i="6"/>
  <c r="I1116" i="6"/>
  <c r="I1117" i="6"/>
  <c r="I1114" i="6"/>
  <c r="I1115" i="6"/>
  <c r="S516" i="6"/>
  <c r="Q1117" i="6"/>
  <c r="Q1115" i="6"/>
  <c r="Q1111" i="6"/>
  <c r="AC517" i="5"/>
  <c r="C1112" i="6"/>
  <c r="L506" i="6"/>
  <c r="C1110" i="6"/>
  <c r="C1111" i="6"/>
  <c r="S403" i="6"/>
  <c r="AC404" i="5"/>
  <c r="Q397" i="6"/>
  <c r="R1101" i="6"/>
  <c r="S393" i="6"/>
  <c r="AC394" i="5"/>
  <c r="F1108" i="2"/>
  <c r="F1100" i="2"/>
  <c r="F1099" i="2"/>
  <c r="F1093" i="2"/>
  <c r="F1085" i="2"/>
  <c r="F1084" i="2"/>
  <c r="F1083" i="2"/>
  <c r="F1081" i="2"/>
  <c r="I1115" i="4"/>
  <c r="F1100" i="4"/>
  <c r="AB421" i="5"/>
  <c r="H1104" i="5"/>
  <c r="C1117" i="2"/>
  <c r="E1117" i="2"/>
  <c r="C1113" i="2"/>
  <c r="E1113" i="2"/>
  <c r="C1109" i="2"/>
  <c r="E1109" i="2"/>
  <c r="C1105" i="2"/>
  <c r="E1105" i="2"/>
  <c r="C1101" i="2"/>
  <c r="E1101" i="2"/>
  <c r="C1097" i="2"/>
  <c r="E1097" i="2"/>
  <c r="C1093" i="2"/>
  <c r="E1093" i="2"/>
  <c r="E1092" i="2"/>
  <c r="E1090" i="2"/>
  <c r="I1088" i="2"/>
  <c r="I1086" i="2"/>
  <c r="K1086" i="2"/>
  <c r="C1085" i="2"/>
  <c r="E1085" i="2"/>
  <c r="K1084" i="2"/>
  <c r="E1084" i="2"/>
  <c r="C1083" i="2"/>
  <c r="E1082" i="2"/>
  <c r="I1080" i="2"/>
  <c r="I1078" i="2"/>
  <c r="K1078" i="2"/>
  <c r="C1077" i="2"/>
  <c r="E1077" i="2"/>
  <c r="K1076" i="2"/>
  <c r="E1076" i="2"/>
  <c r="C1075" i="2"/>
  <c r="E1074" i="2"/>
  <c r="I1072" i="2"/>
  <c r="I1070" i="2"/>
  <c r="K1070" i="2"/>
  <c r="AB805" i="5"/>
  <c r="V1103" i="5"/>
  <c r="N1103" i="5"/>
  <c r="F1103" i="5"/>
  <c r="AC408" i="5"/>
  <c r="M1102" i="5"/>
  <c r="U1071" i="5"/>
  <c r="N1070" i="5"/>
  <c r="AC24" i="5"/>
  <c r="AC1070" i="5" s="1"/>
  <c r="F1116" i="2"/>
  <c r="F1115" i="2"/>
  <c r="F1112" i="2"/>
  <c r="F1111" i="2"/>
  <c r="F1107" i="2"/>
  <c r="F1104" i="2"/>
  <c r="F1103" i="2"/>
  <c r="F1097" i="2"/>
  <c r="F1096" i="2"/>
  <c r="F1095" i="2"/>
  <c r="F1092" i="2"/>
  <c r="F1091" i="2"/>
  <c r="F1089" i="2"/>
  <c r="C1117" i="4"/>
  <c r="E1114" i="4"/>
  <c r="J1111" i="4"/>
  <c r="E1104" i="4"/>
  <c r="B1099" i="4"/>
  <c r="AC421" i="5"/>
  <c r="P1104" i="5"/>
  <c r="AB402" i="5"/>
  <c r="E1119" i="5"/>
  <c r="M1119" i="5"/>
  <c r="U1119" i="5"/>
  <c r="F1119" i="5"/>
  <c r="N1119" i="5"/>
  <c r="V1119" i="5"/>
  <c r="G1119" i="5"/>
  <c r="Q1119" i="5"/>
  <c r="A1120" i="5"/>
  <c r="H1119" i="5"/>
  <c r="R1119" i="5"/>
  <c r="J1119" i="5"/>
  <c r="X1119" i="5"/>
  <c r="K1119" i="5"/>
  <c r="L1119" i="5"/>
  <c r="T1119" i="5"/>
  <c r="B1119" i="5"/>
  <c r="W1119" i="5"/>
  <c r="P1119" i="5"/>
  <c r="O1119" i="5"/>
  <c r="S1119" i="5"/>
  <c r="AB806" i="5"/>
  <c r="AB766" i="5"/>
  <c r="AB740" i="5"/>
  <c r="J1096" i="4"/>
  <c r="B1096" i="4"/>
  <c r="F1095" i="4"/>
  <c r="B1094" i="4"/>
  <c r="J1092" i="4"/>
  <c r="B1092" i="4"/>
  <c r="B1090" i="4"/>
  <c r="F1089" i="4"/>
  <c r="J1088" i="4"/>
  <c r="F1087" i="4"/>
  <c r="B1086" i="4"/>
  <c r="F1085" i="4"/>
  <c r="J1084" i="4"/>
  <c r="B1084" i="4"/>
  <c r="J1082" i="4"/>
  <c r="F1081" i="4"/>
  <c r="F1079" i="4"/>
  <c r="J1078" i="4"/>
  <c r="F1077" i="4"/>
  <c r="J1076" i="4"/>
  <c r="B1076" i="4"/>
  <c r="B1074" i="4"/>
  <c r="F1073" i="4"/>
  <c r="F1071" i="4"/>
  <c r="B1070" i="4"/>
  <c r="AB1002" i="5"/>
  <c r="AB1001" i="5"/>
  <c r="AB902" i="5"/>
  <c r="AB638" i="5"/>
  <c r="AB637" i="5"/>
  <c r="AB393" i="5"/>
  <c r="X1101" i="5"/>
  <c r="P1101" i="5"/>
  <c r="H1101" i="5"/>
  <c r="Q1101" i="5"/>
  <c r="I1101" i="5"/>
  <c r="AB365" i="5"/>
  <c r="AC342" i="5"/>
  <c r="M1097" i="5"/>
  <c r="AB342" i="5"/>
  <c r="E1097" i="5"/>
  <c r="T1075" i="5"/>
  <c r="L1075" i="5"/>
  <c r="D1075" i="5"/>
  <c r="AB77" i="5"/>
  <c r="AB75" i="5"/>
  <c r="AB74" i="5"/>
  <c r="AC61" i="5"/>
  <c r="N1074" i="5"/>
  <c r="J1155" i="3"/>
  <c r="B1155" i="3"/>
  <c r="J1151" i="3"/>
  <c r="B1151" i="3"/>
  <c r="J1147" i="3"/>
  <c r="B1147" i="3"/>
  <c r="J1143" i="3"/>
  <c r="B1143" i="3"/>
  <c r="J1139" i="3"/>
  <c r="B1139" i="3"/>
  <c r="J1135" i="3"/>
  <c r="B1135" i="3"/>
  <c r="J1131" i="3"/>
  <c r="B1131" i="3"/>
  <c r="J1127" i="3"/>
  <c r="B1127" i="3"/>
  <c r="J1123" i="3"/>
  <c r="B1123" i="3"/>
  <c r="J1119" i="3"/>
  <c r="B1119" i="3"/>
  <c r="J1115" i="3"/>
  <c r="B1115" i="3"/>
  <c r="J1111" i="3"/>
  <c r="B1111" i="3"/>
  <c r="J1107" i="3"/>
  <c r="B1107" i="3"/>
  <c r="J1103" i="3"/>
  <c r="B1103" i="3"/>
  <c r="J1099" i="3"/>
  <c r="B1099" i="3"/>
  <c r="J1095" i="3"/>
  <c r="B1095" i="3"/>
  <c r="J1091" i="3"/>
  <c r="B1091" i="3"/>
  <c r="B1088" i="3"/>
  <c r="B1087" i="3"/>
  <c r="B1086" i="3"/>
  <c r="B1085" i="3"/>
  <c r="J1084" i="3"/>
  <c r="B1084" i="3"/>
  <c r="J1083" i="3"/>
  <c r="J1082" i="3"/>
  <c r="J1081" i="3"/>
  <c r="J1080" i="3"/>
  <c r="B1080" i="3"/>
  <c r="B1079" i="3"/>
  <c r="B1078" i="3"/>
  <c r="B1077" i="3"/>
  <c r="J1076" i="3"/>
  <c r="B1076" i="3"/>
  <c r="J1072" i="3"/>
  <c r="B1072" i="3"/>
  <c r="E1117" i="4"/>
  <c r="E1116" i="4"/>
  <c r="E1115" i="4"/>
  <c r="D1113" i="4"/>
  <c r="E1112" i="4"/>
  <c r="F1112" i="4"/>
  <c r="B1111" i="4"/>
  <c r="E1111" i="4"/>
  <c r="I1110" i="4"/>
  <c r="E1109" i="4"/>
  <c r="F1108" i="4"/>
  <c r="G1108" i="4"/>
  <c r="B1107" i="4"/>
  <c r="C1107" i="4"/>
  <c r="E1107" i="4"/>
  <c r="G1104" i="4"/>
  <c r="H1104" i="4"/>
  <c r="C1103" i="4"/>
  <c r="E1103" i="4"/>
  <c r="H1100" i="4"/>
  <c r="I1100" i="4"/>
  <c r="H1099" i="4"/>
  <c r="E1099" i="4"/>
  <c r="D1098" i="4"/>
  <c r="C1097" i="4"/>
  <c r="I1096" i="4"/>
  <c r="H1095" i="4"/>
  <c r="I1095" i="4"/>
  <c r="E1095" i="4"/>
  <c r="D1094" i="4"/>
  <c r="E1094" i="4"/>
  <c r="C1093" i="4"/>
  <c r="D1093" i="4"/>
  <c r="I1092" i="4"/>
  <c r="H1091" i="4"/>
  <c r="E1091" i="4"/>
  <c r="F1090" i="4"/>
  <c r="I1089" i="4"/>
  <c r="E1089" i="4"/>
  <c r="D1088" i="4"/>
  <c r="I1088" i="4"/>
  <c r="B1087" i="4"/>
  <c r="D1087" i="4"/>
  <c r="E1087" i="4"/>
  <c r="I1086" i="4"/>
  <c r="D1084" i="4"/>
  <c r="F1084" i="4"/>
  <c r="G1084" i="4"/>
  <c r="I1084" i="4"/>
  <c r="E1083" i="4"/>
  <c r="H1082" i="4"/>
  <c r="H1081" i="4"/>
  <c r="I1081" i="4"/>
  <c r="C1081" i="4"/>
  <c r="E1081" i="4"/>
  <c r="D1080" i="4"/>
  <c r="J1079" i="4"/>
  <c r="B1079" i="4"/>
  <c r="E1078" i="4"/>
  <c r="H1078" i="4"/>
  <c r="I1078" i="4"/>
  <c r="C1077" i="4"/>
  <c r="E1077" i="4"/>
  <c r="D1076" i="4"/>
  <c r="I1076" i="4"/>
  <c r="I1075" i="4"/>
  <c r="D1075" i="4"/>
  <c r="G1074" i="4"/>
  <c r="H1074" i="4"/>
  <c r="B1073" i="4"/>
  <c r="C1073" i="4"/>
  <c r="D1073" i="4"/>
  <c r="E1073" i="4"/>
  <c r="I1072" i="4"/>
  <c r="I1071" i="4"/>
  <c r="J1071" i="4"/>
  <c r="D1071" i="4"/>
  <c r="D1070" i="4"/>
  <c r="E1070" i="4"/>
  <c r="G1070" i="4"/>
  <c r="H1070" i="4"/>
  <c r="I1070" i="4"/>
  <c r="J1069" i="4"/>
  <c r="AB1034" i="5"/>
  <c r="AC1030" i="5"/>
  <c r="AB1018" i="5"/>
  <c r="AB988" i="5"/>
  <c r="AB956" i="5"/>
  <c r="AB798" i="5"/>
  <c r="AB737" i="5"/>
  <c r="AB733" i="5"/>
  <c r="AB726" i="5"/>
  <c r="AB725" i="5"/>
  <c r="AB642" i="5"/>
  <c r="AB641" i="5"/>
  <c r="F1113" i="5"/>
  <c r="AB535" i="5"/>
  <c r="AB394" i="5"/>
  <c r="AC385" i="5"/>
  <c r="M1101" i="5"/>
  <c r="W1100" i="5"/>
  <c r="O1100" i="5"/>
  <c r="G1100" i="5"/>
  <c r="AC372" i="5"/>
  <c r="O1099" i="5"/>
  <c r="AC369" i="5"/>
  <c r="M1099" i="5"/>
  <c r="AC364" i="5"/>
  <c r="P1099" i="5"/>
  <c r="H1099" i="5"/>
  <c r="Q1099" i="5"/>
  <c r="I1099" i="5"/>
  <c r="AC212" i="5"/>
  <c r="O1086" i="5"/>
  <c r="AB201" i="5"/>
  <c r="B1085" i="5"/>
  <c r="AB82" i="5"/>
  <c r="AB1068" i="5"/>
  <c r="AB917" i="5"/>
  <c r="AC913" i="5"/>
  <c r="AB911" i="5"/>
  <c r="AB893" i="5"/>
  <c r="AC877" i="5"/>
  <c r="AC876" i="5"/>
  <c r="AB857" i="5"/>
  <c r="AB829" i="5"/>
  <c r="AC570" i="5"/>
  <c r="M1116" i="5"/>
  <c r="N1109" i="5"/>
  <c r="AC489" i="5"/>
  <c r="AC488" i="5"/>
  <c r="M1109" i="5"/>
  <c r="G1158" i="3"/>
  <c r="E1158" i="3"/>
  <c r="M1157" i="3"/>
  <c r="E1157" i="3"/>
  <c r="I1156" i="3"/>
  <c r="I1155" i="3"/>
  <c r="O1155" i="3"/>
  <c r="G1155" i="3"/>
  <c r="O1154" i="3"/>
  <c r="G1154" i="3"/>
  <c r="M1154" i="3"/>
  <c r="E1154" i="3"/>
  <c r="M1153" i="3"/>
  <c r="E1153" i="3"/>
  <c r="I1152" i="3"/>
  <c r="I1151" i="3"/>
  <c r="O1151" i="3"/>
  <c r="G1151" i="3"/>
  <c r="O1150" i="3"/>
  <c r="G1150" i="3"/>
  <c r="M1150" i="3"/>
  <c r="E1150" i="3"/>
  <c r="M1149" i="3"/>
  <c r="E1149" i="3"/>
  <c r="I1148" i="3"/>
  <c r="I1147" i="3"/>
  <c r="O1147" i="3"/>
  <c r="G1147" i="3"/>
  <c r="O1146" i="3"/>
  <c r="G1146" i="3"/>
  <c r="M1146" i="3"/>
  <c r="E1146" i="3"/>
  <c r="M1145" i="3"/>
  <c r="E1145" i="3"/>
  <c r="I1144" i="3"/>
  <c r="I1143" i="3"/>
  <c r="O1143" i="3"/>
  <c r="G1143" i="3"/>
  <c r="O1142" i="3"/>
  <c r="G1142" i="3"/>
  <c r="M1142" i="3"/>
  <c r="E1142" i="3"/>
  <c r="M1141" i="3"/>
  <c r="E1141" i="3"/>
  <c r="I1140" i="3"/>
  <c r="I1139" i="3"/>
  <c r="O1139" i="3"/>
  <c r="G1139" i="3"/>
  <c r="O1138" i="3"/>
  <c r="G1138" i="3"/>
  <c r="M1138" i="3"/>
  <c r="E1138" i="3"/>
  <c r="M1137" i="3"/>
  <c r="E1137" i="3"/>
  <c r="I1136" i="3"/>
  <c r="I1135" i="3"/>
  <c r="O1135" i="3"/>
  <c r="G1135" i="3"/>
  <c r="O1134" i="3"/>
  <c r="G1134" i="3"/>
  <c r="M1134" i="3"/>
  <c r="E1134" i="3"/>
  <c r="M1133" i="3"/>
  <c r="E1133" i="3"/>
  <c r="I1132" i="3"/>
  <c r="I1131" i="3"/>
  <c r="O1131" i="3"/>
  <c r="G1131" i="3"/>
  <c r="O1130" i="3"/>
  <c r="G1130" i="3"/>
  <c r="M1130" i="3"/>
  <c r="E1130" i="3"/>
  <c r="M1129" i="3"/>
  <c r="E1129" i="3"/>
  <c r="I1128" i="3"/>
  <c r="I1127" i="3"/>
  <c r="O1127" i="3"/>
  <c r="G1127" i="3"/>
  <c r="O1126" i="3"/>
  <c r="G1126" i="3"/>
  <c r="M1126" i="3"/>
  <c r="E1126" i="3"/>
  <c r="M1125" i="3"/>
  <c r="E1125" i="3"/>
  <c r="I1124" i="3"/>
  <c r="I1123" i="3"/>
  <c r="O1123" i="3"/>
  <c r="G1123" i="3"/>
  <c r="O1122" i="3"/>
  <c r="G1122" i="3"/>
  <c r="M1122" i="3"/>
  <c r="E1122" i="3"/>
  <c r="M1121" i="3"/>
  <c r="E1121" i="3"/>
  <c r="I1120" i="3"/>
  <c r="I1119" i="3"/>
  <c r="O1119" i="3"/>
  <c r="G1119" i="3"/>
  <c r="O1118" i="3"/>
  <c r="G1118" i="3"/>
  <c r="M1118" i="3"/>
  <c r="E1118" i="3"/>
  <c r="M1117" i="3"/>
  <c r="E1117" i="3"/>
  <c r="I1116" i="3"/>
  <c r="I1115" i="3"/>
  <c r="O1115" i="3"/>
  <c r="G1115" i="3"/>
  <c r="O1114" i="3"/>
  <c r="G1114" i="3"/>
  <c r="M1114" i="3"/>
  <c r="E1114" i="3"/>
  <c r="I1112" i="3"/>
  <c r="I1111" i="3"/>
  <c r="O1111" i="3"/>
  <c r="G1111" i="3"/>
  <c r="O1110" i="3"/>
  <c r="G1110" i="3"/>
  <c r="M1110" i="3"/>
  <c r="E1110" i="3"/>
  <c r="M1109" i="3"/>
  <c r="E1109" i="3"/>
  <c r="I1108" i="3"/>
  <c r="I1107" i="3"/>
  <c r="O1107" i="3"/>
  <c r="G1107" i="3"/>
  <c r="O1106" i="3"/>
  <c r="G1106" i="3"/>
  <c r="M1106" i="3"/>
  <c r="E1106" i="3"/>
  <c r="M1105" i="3"/>
  <c r="E1105" i="3"/>
  <c r="I1104" i="3"/>
  <c r="I1103" i="3"/>
  <c r="O1103" i="3"/>
  <c r="G1103" i="3"/>
  <c r="O1102" i="3"/>
  <c r="G1102" i="3"/>
  <c r="M1102" i="3"/>
  <c r="E1102" i="3"/>
  <c r="M1101" i="3"/>
  <c r="E1101" i="3"/>
  <c r="I1100" i="3"/>
  <c r="I1099" i="3"/>
  <c r="O1099" i="3"/>
  <c r="G1099" i="3"/>
  <c r="O1098" i="3"/>
  <c r="G1098" i="3"/>
  <c r="M1098" i="3"/>
  <c r="E1098" i="3"/>
  <c r="M1097" i="3"/>
  <c r="E1097" i="3"/>
  <c r="I1096" i="3"/>
  <c r="I1095" i="3"/>
  <c r="O1095" i="3"/>
  <c r="G1095" i="3"/>
  <c r="O1094" i="3"/>
  <c r="G1094" i="3"/>
  <c r="M1094" i="3"/>
  <c r="E1094" i="3"/>
  <c r="M1093" i="3"/>
  <c r="E1093" i="3"/>
  <c r="I1092" i="3"/>
  <c r="I1091" i="3"/>
  <c r="O1091" i="3"/>
  <c r="G1091" i="3"/>
  <c r="O1090" i="3"/>
  <c r="G1090" i="3"/>
  <c r="M1090" i="3"/>
  <c r="E1090" i="3"/>
  <c r="M1089" i="3"/>
  <c r="E1089" i="3"/>
  <c r="I1088" i="3"/>
  <c r="I1087" i="3"/>
  <c r="O1087" i="3"/>
  <c r="G1087" i="3"/>
  <c r="M1087" i="3"/>
  <c r="E1087" i="3"/>
  <c r="O1086" i="3"/>
  <c r="G1086" i="3"/>
  <c r="M1086" i="3"/>
  <c r="E1086" i="3"/>
  <c r="G1085" i="3"/>
  <c r="M1085" i="3"/>
  <c r="E1085" i="3"/>
  <c r="I1084" i="3"/>
  <c r="G1084" i="3"/>
  <c r="E1084" i="3"/>
  <c r="I1083" i="3"/>
  <c r="O1083" i="3"/>
  <c r="G1083" i="3"/>
  <c r="E1083" i="3"/>
  <c r="O1082" i="3"/>
  <c r="G1082" i="3"/>
  <c r="M1082" i="3"/>
  <c r="E1082" i="3"/>
  <c r="M1081" i="3"/>
  <c r="E1081" i="3"/>
  <c r="I1080" i="3"/>
  <c r="M1080" i="3"/>
  <c r="I1079" i="3"/>
  <c r="O1079" i="3"/>
  <c r="G1079" i="3"/>
  <c r="M1079" i="3"/>
  <c r="O1078" i="3"/>
  <c r="G1078" i="3"/>
  <c r="M1078" i="3"/>
  <c r="E1078" i="3"/>
  <c r="M1077" i="3"/>
  <c r="E1077" i="3"/>
  <c r="I1076" i="3"/>
  <c r="E1076" i="3"/>
  <c r="I1075" i="3"/>
  <c r="O1075" i="3"/>
  <c r="G1075" i="3"/>
  <c r="E1075" i="3"/>
  <c r="I1074" i="3"/>
  <c r="O1074" i="3"/>
  <c r="G1074" i="3"/>
  <c r="M1074" i="3"/>
  <c r="E1074" i="3"/>
  <c r="I1073" i="3"/>
  <c r="M1073" i="3"/>
  <c r="E1073" i="3"/>
  <c r="I1072" i="3"/>
  <c r="M1113" i="3"/>
  <c r="E1113" i="3"/>
  <c r="I1071" i="3"/>
  <c r="O1071" i="3"/>
  <c r="G1071" i="3"/>
  <c r="AB950" i="5"/>
  <c r="AB920" i="5"/>
  <c r="AB830" i="5"/>
  <c r="AB606" i="5"/>
  <c r="AB599" i="5"/>
  <c r="D1118" i="5"/>
  <c r="AB597" i="5"/>
  <c r="B1118" i="5"/>
  <c r="AC590" i="5"/>
  <c r="AB590" i="5"/>
  <c r="E1118" i="5"/>
  <c r="AC582" i="5"/>
  <c r="AB580" i="5"/>
  <c r="C1117" i="5"/>
  <c r="AC548" i="5"/>
  <c r="AC431" i="5"/>
  <c r="M1104" i="5"/>
  <c r="V1097" i="5"/>
  <c r="F1097" i="5"/>
  <c r="AB341" i="5"/>
  <c r="Q1073" i="5"/>
  <c r="H1073" i="5"/>
  <c r="W1073" i="5"/>
  <c r="AB49" i="5"/>
  <c r="F1073" i="5"/>
  <c r="F1071" i="5"/>
  <c r="AB35" i="5"/>
  <c r="H1158" i="3"/>
  <c r="N1157" i="3"/>
  <c r="F1157" i="3"/>
  <c r="L1156" i="3"/>
  <c r="D1156" i="3"/>
  <c r="H1154" i="3"/>
  <c r="N1153" i="3"/>
  <c r="F1153" i="3"/>
  <c r="L1152" i="3"/>
  <c r="D1152" i="3"/>
  <c r="H1150" i="3"/>
  <c r="N1149" i="3"/>
  <c r="F1149" i="3"/>
  <c r="L1148" i="3"/>
  <c r="D1148" i="3"/>
  <c r="H1146" i="3"/>
  <c r="N1145" i="3"/>
  <c r="F1145" i="3"/>
  <c r="L1144" i="3"/>
  <c r="D1144" i="3"/>
  <c r="H1142" i="3"/>
  <c r="N1141" i="3"/>
  <c r="F1141" i="3"/>
  <c r="L1140" i="3"/>
  <c r="D1140" i="3"/>
  <c r="H1138" i="3"/>
  <c r="N1137" i="3"/>
  <c r="F1137" i="3"/>
  <c r="L1136" i="3"/>
  <c r="D1136" i="3"/>
  <c r="H1134" i="3"/>
  <c r="N1133" i="3"/>
  <c r="F1133" i="3"/>
  <c r="L1132" i="3"/>
  <c r="D1132" i="3"/>
  <c r="H1130" i="3"/>
  <c r="N1129" i="3"/>
  <c r="F1129" i="3"/>
  <c r="L1128" i="3"/>
  <c r="D1128" i="3"/>
  <c r="H1126" i="3"/>
  <c r="N1125" i="3"/>
  <c r="F1125" i="3"/>
  <c r="L1124" i="3"/>
  <c r="D1124" i="3"/>
  <c r="H1122" i="3"/>
  <c r="N1121" i="3"/>
  <c r="F1121" i="3"/>
  <c r="L1120" i="3"/>
  <c r="D1120" i="3"/>
  <c r="H1118" i="3"/>
  <c r="N1117" i="3"/>
  <c r="F1117" i="3"/>
  <c r="L1116" i="3"/>
  <c r="D1116" i="3"/>
  <c r="H1114" i="3"/>
  <c r="L1112" i="3"/>
  <c r="D1112" i="3"/>
  <c r="H1110" i="3"/>
  <c r="N1109" i="3"/>
  <c r="F1109" i="3"/>
  <c r="L1108" i="3"/>
  <c r="D1108" i="3"/>
  <c r="H1106" i="3"/>
  <c r="N1105" i="3"/>
  <c r="F1105" i="3"/>
  <c r="L1104" i="3"/>
  <c r="D1104" i="3"/>
  <c r="H1102" i="3"/>
  <c r="N1101" i="3"/>
  <c r="F1101" i="3"/>
  <c r="L1100" i="3"/>
  <c r="D1100" i="3"/>
  <c r="H1098" i="3"/>
  <c r="N1097" i="3"/>
  <c r="F1097" i="3"/>
  <c r="L1096" i="3"/>
  <c r="D1096" i="3"/>
  <c r="H1094" i="3"/>
  <c r="N1093" i="3"/>
  <c r="F1093" i="3"/>
  <c r="L1092" i="3"/>
  <c r="D1092" i="3"/>
  <c r="H1090" i="3"/>
  <c r="N1089" i="3"/>
  <c r="F1089" i="3"/>
  <c r="L1088" i="3"/>
  <c r="D1088" i="3"/>
  <c r="D1087" i="3"/>
  <c r="H1086" i="3"/>
  <c r="D1086" i="3"/>
  <c r="H1085" i="3"/>
  <c r="L1085" i="3"/>
  <c r="D1085" i="3"/>
  <c r="H1084" i="3"/>
  <c r="H1082" i="3"/>
  <c r="H1081" i="3"/>
  <c r="N1081" i="3"/>
  <c r="L1081" i="3"/>
  <c r="D1081" i="3"/>
  <c r="H1080" i="3"/>
  <c r="N1080" i="3"/>
  <c r="N1079" i="3"/>
  <c r="N1077" i="3"/>
  <c r="F1077" i="3"/>
  <c r="L1077" i="3"/>
  <c r="D1077" i="3"/>
  <c r="N1076" i="3"/>
  <c r="F1076" i="3"/>
  <c r="N1075" i="3"/>
  <c r="F1075" i="3"/>
  <c r="H1074" i="3"/>
  <c r="H1073" i="3"/>
  <c r="F1073" i="3"/>
  <c r="L1073" i="3"/>
  <c r="D1073" i="3"/>
  <c r="H1072" i="3"/>
  <c r="F1072" i="3"/>
  <c r="L1072" i="3"/>
  <c r="N1113" i="3"/>
  <c r="F1113" i="3"/>
  <c r="F1071" i="3"/>
  <c r="L1071" i="3"/>
  <c r="C1116" i="4"/>
  <c r="G1113" i="4"/>
  <c r="C1112" i="4"/>
  <c r="G1109" i="4"/>
  <c r="C1108" i="4"/>
  <c r="C1104" i="4"/>
  <c r="G1103" i="4"/>
  <c r="C1102" i="4"/>
  <c r="G1101" i="4"/>
  <c r="C1100" i="4"/>
  <c r="G1099" i="4"/>
  <c r="C1098" i="4"/>
  <c r="C1096" i="4"/>
  <c r="C1092" i="4"/>
  <c r="G1091" i="4"/>
  <c r="C1090" i="4"/>
  <c r="G1087" i="4"/>
  <c r="C1086" i="4"/>
  <c r="C1084" i="4"/>
  <c r="C1082" i="4"/>
  <c r="C1080" i="4"/>
  <c r="G1079" i="4"/>
  <c r="C1076" i="4"/>
  <c r="G1075" i="4"/>
  <c r="C1074" i="4"/>
  <c r="G1071" i="4"/>
  <c r="F1117" i="5"/>
  <c r="O1073" i="5"/>
  <c r="AB1054" i="5"/>
  <c r="AC1011" i="5"/>
  <c r="AB998" i="5"/>
  <c r="AB985" i="5"/>
  <c r="AB953" i="5"/>
  <c r="AC779" i="5"/>
  <c r="AB779" i="5"/>
  <c r="AB633" i="5"/>
  <c r="S1101" i="5"/>
  <c r="K1101" i="5"/>
  <c r="C1101" i="5"/>
  <c r="AB390" i="5"/>
  <c r="R1101" i="5"/>
  <c r="J1101" i="5"/>
  <c r="AB388" i="5"/>
  <c r="B1101" i="5"/>
  <c r="S1100" i="5"/>
  <c r="K1100" i="5"/>
  <c r="C1100" i="5"/>
  <c r="Q1100" i="5"/>
  <c r="AC373" i="5"/>
  <c r="R1099" i="5"/>
  <c r="AB361" i="5"/>
  <c r="B1099" i="5"/>
  <c r="S1075" i="5"/>
  <c r="K1075" i="5"/>
  <c r="C1075" i="5"/>
  <c r="R1075" i="5"/>
  <c r="J1075" i="5"/>
  <c r="AB73" i="5"/>
  <c r="B1075" i="5"/>
  <c r="W1074" i="5"/>
  <c r="O1074" i="5"/>
  <c r="G1074" i="5"/>
  <c r="P1073" i="5"/>
  <c r="G1073" i="5"/>
  <c r="Q1072" i="5"/>
  <c r="H1072" i="5"/>
  <c r="Z1072" i="5"/>
  <c r="H1087" i="3"/>
  <c r="N1086" i="3"/>
  <c r="F1086" i="3"/>
  <c r="H1083" i="3"/>
  <c r="N1082" i="3"/>
  <c r="F1082" i="3"/>
  <c r="H1079" i="3"/>
  <c r="N1078" i="3"/>
  <c r="F1078" i="3"/>
  <c r="H1075" i="3"/>
  <c r="N1074" i="3"/>
  <c r="F1074" i="3"/>
  <c r="H1071" i="3"/>
  <c r="AB1058" i="5"/>
  <c r="AB1057" i="5"/>
  <c r="AB1044" i="5"/>
  <c r="AB1033" i="5"/>
  <c r="AB1023" i="5"/>
  <c r="AB997" i="5"/>
  <c r="AB994" i="5"/>
  <c r="AB993" i="5"/>
  <c r="AB981" i="5"/>
  <c r="AC954" i="5"/>
  <c r="AB952" i="5"/>
  <c r="AB949" i="5"/>
  <c r="AC945" i="5"/>
  <c r="AB943" i="5"/>
  <c r="AB937" i="5"/>
  <c r="AB933" i="5"/>
  <c r="AB926" i="5"/>
  <c r="AB905" i="5"/>
  <c r="AB797" i="5"/>
  <c r="AC743" i="5"/>
  <c r="X1114" i="5"/>
  <c r="P1114" i="5"/>
  <c r="AC541" i="5"/>
  <c r="H1114" i="5"/>
  <c r="X1112" i="5"/>
  <c r="H1112" i="5"/>
  <c r="AB506" i="5"/>
  <c r="B1111" i="5"/>
  <c r="AC177" i="5"/>
  <c r="M1083" i="5"/>
  <c r="U1082" i="5"/>
  <c r="AC158" i="5"/>
  <c r="M1082" i="5"/>
  <c r="AB158" i="5"/>
  <c r="E1082" i="5"/>
  <c r="AB138" i="5"/>
  <c r="B1080" i="5"/>
  <c r="T1079" i="5"/>
  <c r="L1079" i="5"/>
  <c r="D1079" i="5"/>
  <c r="AC124" i="5"/>
  <c r="O1079" i="5"/>
  <c r="G1079" i="5"/>
  <c r="AB124" i="5"/>
  <c r="AB29" i="5"/>
  <c r="T1071" i="5"/>
  <c r="L1071" i="5"/>
  <c r="AB28" i="5"/>
  <c r="C1071" i="5"/>
  <c r="AC25" i="5"/>
  <c r="M1071" i="5"/>
  <c r="D1071" i="5"/>
  <c r="S832" i="6"/>
  <c r="AC833" i="5"/>
  <c r="L769" i="6"/>
  <c r="S700" i="6"/>
  <c r="AC701" i="5"/>
  <c r="D1115" i="4"/>
  <c r="H1114" i="4"/>
  <c r="D1111" i="4"/>
  <c r="H1110" i="4"/>
  <c r="D1107" i="4"/>
  <c r="H1106" i="4"/>
  <c r="D1103" i="4"/>
  <c r="H1102" i="4"/>
  <c r="D1099" i="4"/>
  <c r="H1098" i="4"/>
  <c r="D1095" i="4"/>
  <c r="H1094" i="4"/>
  <c r="D1091" i="4"/>
  <c r="D1089" i="4"/>
  <c r="H1086" i="4"/>
  <c r="D1083" i="4"/>
  <c r="D1081" i="4"/>
  <c r="AB970" i="5"/>
  <c r="AB894" i="5"/>
  <c r="AB866" i="5"/>
  <c r="AB865" i="5"/>
  <c r="AC858" i="5"/>
  <c r="AB856" i="5"/>
  <c r="AB853" i="5"/>
  <c r="AC849" i="5"/>
  <c r="AB847" i="5"/>
  <c r="AB841" i="5"/>
  <c r="AB837" i="5"/>
  <c r="AB833" i="5"/>
  <c r="AB810" i="5"/>
  <c r="AB790" i="5"/>
  <c r="AB770" i="5"/>
  <c r="AB634" i="5"/>
  <c r="AB610" i="5"/>
  <c r="AB609" i="5"/>
  <c r="AB598" i="5"/>
  <c r="AC591" i="5"/>
  <c r="AC583" i="5"/>
  <c r="AC534" i="5"/>
  <c r="O1113" i="5"/>
  <c r="AC485" i="5"/>
  <c r="P1109" i="5"/>
  <c r="AB474" i="5"/>
  <c r="AB464" i="5"/>
  <c r="V1107" i="5"/>
  <c r="N1107" i="5"/>
  <c r="F1107" i="5"/>
  <c r="AB455" i="5"/>
  <c r="AB429" i="5"/>
  <c r="R1104" i="5"/>
  <c r="J1104" i="5"/>
  <c r="AB425" i="5"/>
  <c r="B1104" i="5"/>
  <c r="AB422" i="5"/>
  <c r="U1103" i="5"/>
  <c r="M1103" i="5"/>
  <c r="E1103" i="5"/>
  <c r="AB404" i="5"/>
  <c r="AB403" i="5"/>
  <c r="V1100" i="5"/>
  <c r="F1100" i="5"/>
  <c r="H1117" i="4"/>
  <c r="I1117" i="4"/>
  <c r="J1117" i="4"/>
  <c r="B1117" i="4"/>
  <c r="D1116" i="4"/>
  <c r="F1114" i="4"/>
  <c r="G1114" i="4"/>
  <c r="H1113" i="4"/>
  <c r="I1113" i="4"/>
  <c r="J1113" i="4"/>
  <c r="B1113" i="4"/>
  <c r="D1112" i="4"/>
  <c r="F1110" i="4"/>
  <c r="G1110" i="4"/>
  <c r="H1109" i="4"/>
  <c r="I1109" i="4"/>
  <c r="J1109" i="4"/>
  <c r="B1109" i="4"/>
  <c r="D1108" i="4"/>
  <c r="F1106" i="4"/>
  <c r="G1106" i="4"/>
  <c r="H1105" i="4"/>
  <c r="I1105" i="4"/>
  <c r="J1105" i="4"/>
  <c r="B1105" i="4"/>
  <c r="D1104" i="4"/>
  <c r="F1102" i="4"/>
  <c r="G1102" i="4"/>
  <c r="H1101" i="4"/>
  <c r="I1101" i="4"/>
  <c r="J1101" i="4"/>
  <c r="B1101" i="4"/>
  <c r="D1100" i="4"/>
  <c r="F1098" i="4"/>
  <c r="G1098" i="4"/>
  <c r="H1097" i="4"/>
  <c r="I1097" i="4"/>
  <c r="J1097" i="4"/>
  <c r="B1097" i="4"/>
  <c r="D1096" i="4"/>
  <c r="F1094" i="4"/>
  <c r="G1094" i="4"/>
  <c r="H1093" i="4"/>
  <c r="I1093" i="4"/>
  <c r="J1093" i="4"/>
  <c r="B1093" i="4"/>
  <c r="J1091" i="4"/>
  <c r="B1091" i="4"/>
  <c r="C1091" i="4"/>
  <c r="D1090" i="4"/>
  <c r="E1090" i="4"/>
  <c r="E1088" i="4"/>
  <c r="F1088" i="4"/>
  <c r="G1088" i="4"/>
  <c r="H1087" i="4"/>
  <c r="G1086" i="4"/>
  <c r="H1085" i="4"/>
  <c r="I1085" i="4"/>
  <c r="J1085" i="4"/>
  <c r="B1085" i="4"/>
  <c r="J1083" i="4"/>
  <c r="B1083" i="4"/>
  <c r="C1083" i="4"/>
  <c r="D1082" i="4"/>
  <c r="E1082" i="4"/>
  <c r="E1080" i="4"/>
  <c r="F1080" i="4"/>
  <c r="G1080" i="4"/>
  <c r="H1079" i="4"/>
  <c r="G1078" i="4"/>
  <c r="H1077" i="4"/>
  <c r="I1077" i="4"/>
  <c r="J1077" i="4"/>
  <c r="B1077" i="4"/>
  <c r="J1075" i="4"/>
  <c r="B1075" i="4"/>
  <c r="C1075" i="4"/>
  <c r="D1074" i="4"/>
  <c r="E1074" i="4"/>
  <c r="E1072" i="4"/>
  <c r="F1072" i="4"/>
  <c r="G1072" i="4"/>
  <c r="H1071" i="4"/>
  <c r="AB1053" i="5"/>
  <c r="AB901" i="5"/>
  <c r="AB854" i="5"/>
  <c r="AB834" i="5"/>
  <c r="AB821" i="5"/>
  <c r="AC817" i="5"/>
  <c r="AB815" i="5"/>
  <c r="AB796" i="5"/>
  <c r="AB793" i="5"/>
  <c r="AC786" i="5"/>
  <c r="AB786" i="5"/>
  <c r="AB784" i="5"/>
  <c r="AC776" i="5"/>
  <c r="AB775" i="5"/>
  <c r="AB644" i="5"/>
  <c r="AB600" i="5"/>
  <c r="Q1115" i="5"/>
  <c r="AB477" i="5"/>
  <c r="M1108" i="5"/>
  <c r="AB470" i="5"/>
  <c r="E1108" i="5"/>
  <c r="U1107" i="5"/>
  <c r="M1107" i="5"/>
  <c r="E1107" i="5"/>
  <c r="Q1104" i="5"/>
  <c r="I1104" i="5"/>
  <c r="AC412" i="5"/>
  <c r="O1103" i="5"/>
  <c r="AC1060" i="5"/>
  <c r="AB1050" i="5"/>
  <c r="AC1015" i="5"/>
  <c r="AB960" i="5"/>
  <c r="AB957" i="5"/>
  <c r="AC941" i="5"/>
  <c r="AC940" i="5"/>
  <c r="AC939" i="5"/>
  <c r="AC936" i="5"/>
  <c r="AC935" i="5"/>
  <c r="AB918" i="5"/>
  <c r="AB898" i="5"/>
  <c r="AB897" i="5"/>
  <c r="AB822" i="5"/>
  <c r="AB802" i="5"/>
  <c r="AB801" i="5"/>
  <c r="AB750" i="5"/>
  <c r="AC741" i="5"/>
  <c r="AC740" i="5"/>
  <c r="AB693" i="5"/>
  <c r="AC680" i="5"/>
  <c r="AB673" i="5"/>
  <c r="AB669" i="5"/>
  <c r="AB665" i="5"/>
  <c r="AB651" i="5"/>
  <c r="AC645" i="5"/>
  <c r="AB509" i="5"/>
  <c r="AB489" i="5"/>
  <c r="AB486" i="5"/>
  <c r="F1108" i="5"/>
  <c r="S1091" i="5"/>
  <c r="K1091" i="5"/>
  <c r="C1091" i="5"/>
  <c r="I1091" i="5"/>
  <c r="AC253" i="5"/>
  <c r="N1090" i="5"/>
  <c r="W1088" i="5"/>
  <c r="O1088" i="5"/>
  <c r="AC237" i="5"/>
  <c r="G1088" i="5"/>
  <c r="AB122" i="5"/>
  <c r="AB121" i="5"/>
  <c r="B1079" i="5"/>
  <c r="AB109" i="5"/>
  <c r="T1077" i="5"/>
  <c r="D1077" i="5"/>
  <c r="AC89" i="5"/>
  <c r="N1076" i="5"/>
  <c r="AC88" i="5"/>
  <c r="M1076" i="5"/>
  <c r="X1075" i="5"/>
  <c r="AC76" i="5"/>
  <c r="P1075" i="5"/>
  <c r="H1075" i="5"/>
  <c r="Q1075" i="5"/>
  <c r="AC56" i="5"/>
  <c r="AB56" i="5"/>
  <c r="AC1045" i="5"/>
  <c r="AB1029" i="5"/>
  <c r="AC1016" i="5"/>
  <c r="AB1015" i="5"/>
  <c r="AB1013" i="5"/>
  <c r="AB996" i="5"/>
  <c r="AB989" i="5"/>
  <c r="AC985" i="5"/>
  <c r="AB980" i="5"/>
  <c r="AB979" i="5"/>
  <c r="AB969" i="5"/>
  <c r="AB965" i="5"/>
  <c r="AB958" i="5"/>
  <c r="AB924" i="5"/>
  <c r="AB921" i="5"/>
  <c r="AB912" i="5"/>
  <c r="AB864" i="5"/>
  <c r="AB861" i="5"/>
  <c r="AC845" i="5"/>
  <c r="AC844" i="5"/>
  <c r="AC843" i="5"/>
  <c r="AC840" i="5"/>
  <c r="AC839" i="5"/>
  <c r="AB828" i="5"/>
  <c r="AB825" i="5"/>
  <c r="AB816" i="5"/>
  <c r="AC715" i="5"/>
  <c r="AB666" i="5"/>
  <c r="T1116" i="5"/>
  <c r="L1116" i="5"/>
  <c r="AB567" i="5"/>
  <c r="D1116" i="5"/>
  <c r="AB565" i="5"/>
  <c r="V1115" i="5"/>
  <c r="N1115" i="5"/>
  <c r="F1115" i="5"/>
  <c r="AC552" i="5"/>
  <c r="AB545" i="5"/>
  <c r="J1114" i="5"/>
  <c r="AB541" i="5"/>
  <c r="B1114" i="5"/>
  <c r="AB537" i="5"/>
  <c r="B1113" i="5"/>
  <c r="Q1113" i="5"/>
  <c r="I1113" i="5"/>
  <c r="W1113" i="5"/>
  <c r="AC530" i="5"/>
  <c r="M1113" i="5"/>
  <c r="D1113" i="5"/>
  <c r="AB523" i="5"/>
  <c r="AB518" i="5"/>
  <c r="G1112" i="5"/>
  <c r="U1109" i="5"/>
  <c r="L1109" i="5"/>
  <c r="D1109" i="5"/>
  <c r="AB480" i="5"/>
  <c r="C1108" i="5"/>
  <c r="AC476" i="5"/>
  <c r="O1108" i="5"/>
  <c r="AB471" i="5"/>
  <c r="D1108" i="5"/>
  <c r="AC264" i="5"/>
  <c r="M1090" i="5"/>
  <c r="R1089" i="5"/>
  <c r="AB243" i="5"/>
  <c r="R1087" i="5"/>
  <c r="AB218" i="5"/>
  <c r="B1087" i="5"/>
  <c r="AC213" i="5"/>
  <c r="N1086" i="5"/>
  <c r="D1086" i="5"/>
  <c r="AB205" i="5"/>
  <c r="AB125" i="5"/>
  <c r="AC1063" i="5"/>
  <c r="AB1063" i="5"/>
  <c r="AB1036" i="5"/>
  <c r="AB1030" i="5"/>
  <c r="AB990" i="5"/>
  <c r="AB962" i="5"/>
  <c r="AB961" i="5"/>
  <c r="AB888" i="5"/>
  <c r="AB885" i="5"/>
  <c r="AC881" i="5"/>
  <c r="AB879" i="5"/>
  <c r="AB873" i="5"/>
  <c r="AB869" i="5"/>
  <c r="AB862" i="5"/>
  <c r="AB792" i="5"/>
  <c r="AB789" i="5"/>
  <c r="AC785" i="5"/>
  <c r="AB783" i="5"/>
  <c r="AC773" i="5"/>
  <c r="AB765" i="5"/>
  <c r="AB747" i="5"/>
  <c r="AB724" i="5"/>
  <c r="AB723" i="5"/>
  <c r="AC717" i="5"/>
  <c r="AC709" i="5"/>
  <c r="AB696" i="5"/>
  <c r="AC676" i="5"/>
  <c r="AB676" i="5"/>
  <c r="K1118" i="5"/>
  <c r="AB595" i="5"/>
  <c r="X1118" i="5"/>
  <c r="P1118" i="5"/>
  <c r="H1118" i="5"/>
  <c r="V1118" i="5"/>
  <c r="AC589" i="5"/>
  <c r="N1118" i="5"/>
  <c r="T1117" i="5"/>
  <c r="L1117" i="5"/>
  <c r="AB579" i="5"/>
  <c r="D1117" i="5"/>
  <c r="I1114" i="5"/>
  <c r="AB538" i="5"/>
  <c r="Q1112" i="5"/>
  <c r="X1110" i="5"/>
  <c r="P1110" i="5"/>
  <c r="H1110" i="5"/>
  <c r="AC492" i="5"/>
  <c r="AB492" i="5"/>
  <c r="AB345" i="5"/>
  <c r="U1092" i="5"/>
  <c r="AC278" i="5"/>
  <c r="M1092" i="5"/>
  <c r="AB278" i="5"/>
  <c r="E1092" i="5"/>
  <c r="AC265" i="5"/>
  <c r="M1091" i="5"/>
  <c r="H1089" i="5"/>
  <c r="Q1089" i="5"/>
  <c r="I1089" i="5"/>
  <c r="AB238" i="5"/>
  <c r="AB224" i="5"/>
  <c r="X1087" i="5"/>
  <c r="P1087" i="5"/>
  <c r="H1087" i="5"/>
  <c r="Q1087" i="5"/>
  <c r="AC1020" i="5"/>
  <c r="AB982" i="5"/>
  <c r="AC975" i="5"/>
  <c r="AC974" i="5"/>
  <c r="AC972" i="5"/>
  <c r="AB954" i="5"/>
  <c r="AB922" i="5"/>
  <c r="AB890" i="5"/>
  <c r="AB858" i="5"/>
  <c r="AB826" i="5"/>
  <c r="AB794" i="5"/>
  <c r="AC775" i="5"/>
  <c r="AC719" i="5"/>
  <c r="AC711" i="5"/>
  <c r="AB688" i="5"/>
  <c r="AB683" i="5"/>
  <c r="AC677" i="5"/>
  <c r="AB660" i="5"/>
  <c r="AB659" i="5"/>
  <c r="AC622" i="5"/>
  <c r="AB622" i="5"/>
  <c r="AB619" i="5"/>
  <c r="AB601" i="5"/>
  <c r="AC592" i="5"/>
  <c r="AB591" i="5"/>
  <c r="AC585" i="5"/>
  <c r="AC584" i="5"/>
  <c r="AB583" i="5"/>
  <c r="AB555" i="5"/>
  <c r="AC549" i="5"/>
  <c r="AB532" i="5"/>
  <c r="AB531" i="5"/>
  <c r="W1110" i="5"/>
  <c r="AC493" i="5"/>
  <c r="O1110" i="5"/>
  <c r="G1110" i="5"/>
  <c r="AB445" i="5"/>
  <c r="R1105" i="5"/>
  <c r="J1105" i="5"/>
  <c r="AB441" i="5"/>
  <c r="B1105" i="5"/>
  <c r="AB432" i="5"/>
  <c r="C1104" i="5"/>
  <c r="AC428" i="5"/>
  <c r="AC375" i="5"/>
  <c r="AC374" i="5"/>
  <c r="AB370" i="5"/>
  <c r="AB173" i="5"/>
  <c r="Q1081" i="5"/>
  <c r="AC147" i="5"/>
  <c r="P1081" i="5"/>
  <c r="X1079" i="5"/>
  <c r="P1079" i="5"/>
  <c r="AC123" i="5"/>
  <c r="H1079" i="5"/>
  <c r="I1079" i="5"/>
  <c r="AB84" i="5"/>
  <c r="AB83" i="5"/>
  <c r="S704" i="6"/>
  <c r="AC705" i="5"/>
  <c r="Q469" i="6"/>
  <c r="AC470" i="5" s="1"/>
  <c r="R1107" i="6"/>
  <c r="S464" i="6"/>
  <c r="AC465" i="5"/>
  <c r="S450" i="6"/>
  <c r="AC451" i="5"/>
  <c r="S444" i="6"/>
  <c r="Q1105" i="6"/>
  <c r="L392" i="6"/>
  <c r="S377" i="6"/>
  <c r="AC378" i="5"/>
  <c r="L365" i="6"/>
  <c r="C1098" i="6"/>
  <c r="S360" i="6"/>
  <c r="Q1098" i="6"/>
  <c r="L336" i="6"/>
  <c r="D1096" i="6"/>
  <c r="Q332" i="6"/>
  <c r="R1095" i="6"/>
  <c r="L179" i="6"/>
  <c r="D1082" i="6"/>
  <c r="L141" i="6"/>
  <c r="D1079" i="6"/>
  <c r="L122" i="6"/>
  <c r="D1078" i="6"/>
  <c r="L121" i="6"/>
  <c r="E1078" i="6"/>
  <c r="Q90" i="6"/>
  <c r="R1075" i="6"/>
  <c r="L53" i="6"/>
  <c r="D1072" i="6"/>
  <c r="Q43" i="6"/>
  <c r="S43" i="6" s="1"/>
  <c r="P1071" i="6"/>
  <c r="F1071" i="6"/>
  <c r="L34" i="6"/>
  <c r="D1070" i="6"/>
  <c r="AC1036" i="5"/>
  <c r="AB1014" i="5"/>
  <c r="AC1007" i="5"/>
  <c r="AC1006" i="5"/>
  <c r="AC1004" i="5"/>
  <c r="AB986" i="5"/>
  <c r="AC979" i="5"/>
  <c r="AC978" i="5"/>
  <c r="AB940" i="5"/>
  <c r="AB908" i="5"/>
  <c r="AB876" i="5"/>
  <c r="AB844" i="5"/>
  <c r="AB812" i="5"/>
  <c r="AB780" i="5"/>
  <c r="AB692" i="5"/>
  <c r="AB691" i="5"/>
  <c r="AC678" i="5"/>
  <c r="AB655" i="5"/>
  <c r="AB629" i="5"/>
  <c r="AC625" i="5"/>
  <c r="AB623" i="5"/>
  <c r="AB615" i="5"/>
  <c r="AC586" i="5"/>
  <c r="AB564" i="5"/>
  <c r="AB563" i="5"/>
  <c r="AC550" i="5"/>
  <c r="AB527" i="5"/>
  <c r="T1112" i="5"/>
  <c r="L1112" i="5"/>
  <c r="D1112" i="5"/>
  <c r="AB517" i="5"/>
  <c r="AB461" i="5"/>
  <c r="AC444" i="5"/>
  <c r="AC438" i="5"/>
  <c r="AB438" i="5"/>
  <c r="AB323" i="5"/>
  <c r="AC318" i="5"/>
  <c r="M1095" i="5"/>
  <c r="AB318" i="5"/>
  <c r="E1095" i="5"/>
  <c r="AB266" i="5"/>
  <c r="B1091" i="5"/>
  <c r="T1090" i="5"/>
  <c r="L1090" i="5"/>
  <c r="D1090" i="5"/>
  <c r="S1090" i="5"/>
  <c r="K1090" i="5"/>
  <c r="AB256" i="5"/>
  <c r="C1090" i="5"/>
  <c r="AB213" i="5"/>
  <c r="H1085" i="5"/>
  <c r="AB176" i="5"/>
  <c r="AB153" i="5"/>
  <c r="AB139" i="5"/>
  <c r="G1078" i="5"/>
  <c r="AB1065" i="5"/>
  <c r="AB1061" i="5"/>
  <c r="AB1056" i="5"/>
  <c r="AB1048" i="5"/>
  <c r="AB1045" i="5"/>
  <c r="AB1025" i="5"/>
  <c r="AB1021" i="5"/>
  <c r="AB1017" i="5"/>
  <c r="AC1008" i="5"/>
  <c r="AB1007" i="5"/>
  <c r="AC1000" i="5"/>
  <c r="AC999" i="5"/>
  <c r="AC980" i="5"/>
  <c r="AB976" i="5"/>
  <c r="AB947" i="5"/>
  <c r="AC942" i="5"/>
  <c r="AB942" i="5"/>
  <c r="AB915" i="5"/>
  <c r="AC910" i="5"/>
  <c r="AB910" i="5"/>
  <c r="AB883" i="5"/>
  <c r="AC878" i="5"/>
  <c r="AB878" i="5"/>
  <c r="AB851" i="5"/>
  <c r="AC846" i="5"/>
  <c r="AB846" i="5"/>
  <c r="AB819" i="5"/>
  <c r="AC814" i="5"/>
  <c r="AB814" i="5"/>
  <c r="AB788" i="5"/>
  <c r="AB787" i="5"/>
  <c r="AC782" i="5"/>
  <c r="AB782" i="5"/>
  <c r="AB772" i="5"/>
  <c r="AB761" i="5"/>
  <c r="AB757" i="5"/>
  <c r="AB755" i="5"/>
  <c r="AC742" i="5"/>
  <c r="AB742" i="5"/>
  <c r="AC714" i="5"/>
  <c r="AC679" i="5"/>
  <c r="AB630" i="5"/>
  <c r="AB605" i="5"/>
  <c r="W1118" i="5"/>
  <c r="O1118" i="5"/>
  <c r="G1118" i="5"/>
  <c r="S1116" i="5"/>
  <c r="K1116" i="5"/>
  <c r="C1116" i="5"/>
  <c r="AC551" i="5"/>
  <c r="S1112" i="5"/>
  <c r="K1112" i="5"/>
  <c r="C1112" i="5"/>
  <c r="U1111" i="5"/>
  <c r="AC510" i="5"/>
  <c r="M1111" i="5"/>
  <c r="AB510" i="5"/>
  <c r="E1111" i="5"/>
  <c r="AB505" i="5"/>
  <c r="R1109" i="5"/>
  <c r="J1109" i="5"/>
  <c r="AB483" i="5"/>
  <c r="B1109" i="5"/>
  <c r="AB473" i="5"/>
  <c r="X1098" i="5"/>
  <c r="P1098" i="5"/>
  <c r="H1098" i="5"/>
  <c r="W1098" i="5"/>
  <c r="O1098" i="5"/>
  <c r="G1098" i="5"/>
  <c r="AB340" i="5"/>
  <c r="R1097" i="5"/>
  <c r="J1097" i="5"/>
  <c r="AB339" i="5"/>
  <c r="B1097" i="5"/>
  <c r="AB267" i="5"/>
  <c r="T1089" i="5"/>
  <c r="L1089" i="5"/>
  <c r="D1089" i="5"/>
  <c r="AC232" i="5"/>
  <c r="AB231" i="5"/>
  <c r="S1087" i="5"/>
  <c r="AC193" i="5"/>
  <c r="AC163" i="5"/>
  <c r="P1082" i="5"/>
  <c r="AB155" i="5"/>
  <c r="AB154" i="5"/>
  <c r="N1081" i="5"/>
  <c r="AC149" i="5"/>
  <c r="C1081" i="5"/>
  <c r="Q1080" i="5"/>
  <c r="T1072" i="5"/>
  <c r="L1072" i="5"/>
  <c r="C1072" i="5"/>
  <c r="AC1052" i="5"/>
  <c r="AC1028" i="5"/>
  <c r="AC996" i="5"/>
  <c r="AC964" i="5"/>
  <c r="AC932" i="5"/>
  <c r="AC900" i="5"/>
  <c r="AC868" i="5"/>
  <c r="AC836" i="5"/>
  <c r="AC804" i="5"/>
  <c r="AC764" i="5"/>
  <c r="AC751" i="5"/>
  <c r="AC750" i="5"/>
  <c r="AC748" i="5"/>
  <c r="AC746" i="5"/>
  <c r="AC732" i="5"/>
  <c r="AC723" i="5"/>
  <c r="AC722" i="5"/>
  <c r="AB694" i="5"/>
  <c r="AC687" i="5"/>
  <c r="AC686" i="5"/>
  <c r="AC682" i="5"/>
  <c r="AC652" i="5"/>
  <c r="AC647" i="5"/>
  <c r="AC646" i="5"/>
  <c r="AC633" i="5"/>
  <c r="AB602" i="5"/>
  <c r="AC595" i="5"/>
  <c r="AC594" i="5"/>
  <c r="AB584" i="5"/>
  <c r="AB576" i="5"/>
  <c r="AB568" i="5"/>
  <c r="AB566" i="5"/>
  <c r="AC559" i="5"/>
  <c r="AC558" i="5"/>
  <c r="AC554" i="5"/>
  <c r="AB512" i="5"/>
  <c r="AC473" i="5"/>
  <c r="AC429" i="5"/>
  <c r="AC381" i="5"/>
  <c r="AB309" i="5"/>
  <c r="AB292" i="5"/>
  <c r="AB275" i="5"/>
  <c r="V1088" i="5"/>
  <c r="N1088" i="5"/>
  <c r="AC229" i="5"/>
  <c r="F1088" i="5"/>
  <c r="AB226" i="5"/>
  <c r="U1086" i="5"/>
  <c r="AC214" i="5"/>
  <c r="M1086" i="5"/>
  <c r="E1086" i="5"/>
  <c r="T1083" i="5"/>
  <c r="L1083" i="5"/>
  <c r="D1083" i="5"/>
  <c r="AB169" i="5"/>
  <c r="AB160" i="5"/>
  <c r="U1081" i="5"/>
  <c r="AC150" i="5"/>
  <c r="M1081" i="5"/>
  <c r="E1081" i="5"/>
  <c r="AB150" i="5"/>
  <c r="V1080" i="5"/>
  <c r="N1080" i="5"/>
  <c r="F1080" i="5"/>
  <c r="B1076" i="5"/>
  <c r="AB85" i="5"/>
  <c r="AA1071" i="5"/>
  <c r="R1071" i="5"/>
  <c r="I1071" i="5"/>
  <c r="L470" i="6"/>
  <c r="I1107" i="6"/>
  <c r="L448" i="6"/>
  <c r="C1105" i="6"/>
  <c r="H1105" i="6"/>
  <c r="S422" i="6"/>
  <c r="Q1103" i="6"/>
  <c r="AB1064" i="5"/>
  <c r="AC1056" i="5"/>
  <c r="AC1055" i="5"/>
  <c r="AB1041" i="5"/>
  <c r="AB1037" i="5"/>
  <c r="AB1032" i="5"/>
  <c r="AC1024" i="5"/>
  <c r="AC1023" i="5"/>
  <c r="AB1009" i="5"/>
  <c r="AB1005" i="5"/>
  <c r="AB1000" i="5"/>
  <c r="AC992" i="5"/>
  <c r="AC991" i="5"/>
  <c r="AB977" i="5"/>
  <c r="AB973" i="5"/>
  <c r="AB968" i="5"/>
  <c r="AC960" i="5"/>
  <c r="AC959" i="5"/>
  <c r="AB945" i="5"/>
  <c r="AB941" i="5"/>
  <c r="AB936" i="5"/>
  <c r="AC928" i="5"/>
  <c r="AC927" i="5"/>
  <c r="AB913" i="5"/>
  <c r="AB909" i="5"/>
  <c r="AB904" i="5"/>
  <c r="AC896" i="5"/>
  <c r="AC895" i="5"/>
  <c r="AB881" i="5"/>
  <c r="AB877" i="5"/>
  <c r="AB872" i="5"/>
  <c r="AC864" i="5"/>
  <c r="AC863" i="5"/>
  <c r="AB849" i="5"/>
  <c r="AB845" i="5"/>
  <c r="AB840" i="5"/>
  <c r="AC832" i="5"/>
  <c r="AC831" i="5"/>
  <c r="AB817" i="5"/>
  <c r="AB813" i="5"/>
  <c r="AB808" i="5"/>
  <c r="AC800" i="5"/>
  <c r="AC799" i="5"/>
  <c r="AB785" i="5"/>
  <c r="AB781" i="5"/>
  <c r="AB776" i="5"/>
  <c r="AC752" i="5"/>
  <c r="AB751" i="5"/>
  <c r="AC724" i="5"/>
  <c r="AB720" i="5"/>
  <c r="AB715" i="5"/>
  <c r="AB705" i="5"/>
  <c r="AB701" i="5"/>
  <c r="AB697" i="5"/>
  <c r="AC688" i="5"/>
  <c r="AB687" i="5"/>
  <c r="AB664" i="5"/>
  <c r="AB661" i="5"/>
  <c r="AC648" i="5"/>
  <c r="AB647" i="5"/>
  <c r="AB628" i="5"/>
  <c r="AB627" i="5"/>
  <c r="AB592" i="5"/>
  <c r="AB587" i="5"/>
  <c r="AB577" i="5"/>
  <c r="AB573" i="5"/>
  <c r="AB569" i="5"/>
  <c r="AC560" i="5"/>
  <c r="AB559" i="5"/>
  <c r="AB533" i="5"/>
  <c r="AC520" i="5"/>
  <c r="AB519" i="5"/>
  <c r="AB493" i="5"/>
  <c r="AC477" i="5"/>
  <c r="AB410" i="5"/>
  <c r="AC398" i="5"/>
  <c r="AB330" i="5"/>
  <c r="AB302" i="5"/>
  <c r="AB297" i="5"/>
  <c r="AC286" i="5"/>
  <c r="AB286" i="5"/>
  <c r="AB276" i="5"/>
  <c r="AC151" i="5"/>
  <c r="Q1078" i="5"/>
  <c r="I1078" i="5"/>
  <c r="R1077" i="5"/>
  <c r="J1077" i="5"/>
  <c r="AB100" i="5"/>
  <c r="B1077" i="5"/>
  <c r="Q1077" i="5"/>
  <c r="I1077" i="5"/>
  <c r="W1076" i="5"/>
  <c r="O1076" i="5"/>
  <c r="G1076" i="5"/>
  <c r="S1076" i="5"/>
  <c r="K1076" i="5"/>
  <c r="C1076" i="5"/>
  <c r="AC956" i="5"/>
  <c r="AC924" i="5"/>
  <c r="AC892" i="5"/>
  <c r="AC860" i="5"/>
  <c r="AC828" i="5"/>
  <c r="AC796" i="5"/>
  <c r="AB698" i="5"/>
  <c r="AC691" i="5"/>
  <c r="AB662" i="5"/>
  <c r="AC655" i="5"/>
  <c r="AC650" i="5"/>
  <c r="AC615" i="5"/>
  <c r="AB570" i="5"/>
  <c r="AC563" i="5"/>
  <c r="AB552" i="5"/>
  <c r="AB544" i="5"/>
  <c r="AB534" i="5"/>
  <c r="AC527" i="5"/>
  <c r="AB499" i="5"/>
  <c r="AB482" i="5"/>
  <c r="AB460" i="5"/>
  <c r="AB459" i="5"/>
  <c r="AB444" i="5"/>
  <c r="AB428" i="5"/>
  <c r="AB419" i="5"/>
  <c r="AC406" i="5"/>
  <c r="AB406" i="5"/>
  <c r="AB371" i="5"/>
  <c r="AB364" i="5"/>
  <c r="AB356" i="5"/>
  <c r="AB326" i="5"/>
  <c r="AB281" i="5"/>
  <c r="AB246" i="5"/>
  <c r="AB237" i="5"/>
  <c r="AB212" i="5"/>
  <c r="AB211" i="5"/>
  <c r="W1084" i="5"/>
  <c r="O1084" i="5"/>
  <c r="AB182" i="5"/>
  <c r="G1084" i="5"/>
  <c r="AC166" i="5"/>
  <c r="AB166" i="5"/>
  <c r="R1081" i="5"/>
  <c r="J1081" i="5"/>
  <c r="AB147" i="5"/>
  <c r="B1081" i="5"/>
  <c r="AB105" i="5"/>
  <c r="AB61" i="5"/>
  <c r="AB777" i="5"/>
  <c r="AB773" i="5"/>
  <c r="AB768" i="5"/>
  <c r="AC760" i="5"/>
  <c r="AC759" i="5"/>
  <c r="AB745" i="5"/>
  <c r="AB741" i="5"/>
  <c r="AB736" i="5"/>
  <c r="AC728" i="5"/>
  <c r="AC727" i="5"/>
  <c r="AB713" i="5"/>
  <c r="AB709" i="5"/>
  <c r="AB704" i="5"/>
  <c r="AC696" i="5"/>
  <c r="AC695" i="5"/>
  <c r="AB681" i="5"/>
  <c r="AB677" i="5"/>
  <c r="AB672" i="5"/>
  <c r="AC664" i="5"/>
  <c r="AC663" i="5"/>
  <c r="AB649" i="5"/>
  <c r="AB645" i="5"/>
  <c r="AB640" i="5"/>
  <c r="AC632" i="5"/>
  <c r="AC631" i="5"/>
  <c r="AB617" i="5"/>
  <c r="AB613" i="5"/>
  <c r="AB608" i="5"/>
  <c r="AC600" i="5"/>
  <c r="AC599" i="5"/>
  <c r="AB585" i="5"/>
  <c r="AB581" i="5"/>
  <c r="AC568" i="5"/>
  <c r="AC567" i="5"/>
  <c r="AC564" i="5"/>
  <c r="AB553" i="5"/>
  <c r="AB549" i="5"/>
  <c r="AC536" i="5"/>
  <c r="AC535" i="5"/>
  <c r="AC532" i="5"/>
  <c r="AC1113" i="5" s="1"/>
  <c r="AB521" i="5"/>
  <c r="AB515" i="5"/>
  <c r="AC504" i="5"/>
  <c r="AB503" i="5"/>
  <c r="AC469" i="5"/>
  <c r="AB435" i="5"/>
  <c r="AB418" i="5"/>
  <c r="AC407" i="5"/>
  <c r="AB391" i="5"/>
  <c r="AB383" i="5"/>
  <c r="AB381" i="5"/>
  <c r="AB379" i="5"/>
  <c r="AB366" i="5"/>
  <c r="AC344" i="5"/>
  <c r="AB343" i="5"/>
  <c r="AB333" i="5"/>
  <c r="AB329" i="5"/>
  <c r="AB291" i="5"/>
  <c r="AC285" i="5"/>
  <c r="AC280" i="5"/>
  <c r="AB279" i="5"/>
  <c r="E1089" i="5"/>
  <c r="AB221" i="5"/>
  <c r="AB217" i="5"/>
  <c r="AB195" i="5"/>
  <c r="AC190" i="5"/>
  <c r="AB190" i="5"/>
  <c r="AB187" i="5"/>
  <c r="AB148" i="5"/>
  <c r="AB115" i="5"/>
  <c r="AC87" i="5"/>
  <c r="AC86" i="5"/>
  <c r="AC53" i="5"/>
  <c r="AB53" i="5"/>
  <c r="AC43" i="5"/>
  <c r="AC42" i="5"/>
  <c r="AB42" i="5"/>
  <c r="AC32" i="5"/>
  <c r="L756" i="6"/>
  <c r="L754" i="6"/>
  <c r="D1103" i="6"/>
  <c r="D1102" i="6"/>
  <c r="L389" i="6"/>
  <c r="C1100" i="6"/>
  <c r="L326" i="6"/>
  <c r="I1095" i="6"/>
  <c r="Q292" i="6"/>
  <c r="R1092" i="6"/>
  <c r="L238" i="6"/>
  <c r="D1087" i="6"/>
  <c r="S235" i="6"/>
  <c r="S1087" i="6" s="1"/>
  <c r="Q1087" i="6"/>
  <c r="AC236" i="5"/>
  <c r="L222" i="6"/>
  <c r="D1086" i="6"/>
  <c r="S211" i="6"/>
  <c r="S1085" i="6" s="1"/>
  <c r="Q1085" i="6"/>
  <c r="T1071" i="6"/>
  <c r="Q35" i="6"/>
  <c r="S35" i="6" s="1"/>
  <c r="R1070" i="6"/>
  <c r="R1069" i="6"/>
  <c r="Q23" i="6"/>
  <c r="AC700" i="5"/>
  <c r="AC668" i="5"/>
  <c r="AC644" i="5"/>
  <c r="AC636" i="5"/>
  <c r="AC612" i="5"/>
  <c r="AC604" i="5"/>
  <c r="AB560" i="5"/>
  <c r="AC501" i="5"/>
  <c r="AB467" i="5"/>
  <c r="AB450" i="5"/>
  <c r="AC439" i="5"/>
  <c r="AB423" i="5"/>
  <c r="AB416" i="5"/>
  <c r="AB413" i="5"/>
  <c r="AB409" i="5"/>
  <c r="AC396" i="5"/>
  <c r="AB368" i="5"/>
  <c r="AC359" i="5"/>
  <c r="AC358" i="5"/>
  <c r="AB346" i="5"/>
  <c r="AC319" i="5"/>
  <c r="AB301" i="5"/>
  <c r="AC295" i="5"/>
  <c r="AC294" i="5"/>
  <c r="AB282" i="5"/>
  <c r="AB253" i="5"/>
  <c r="AB249" i="5"/>
  <c r="K1088" i="5"/>
  <c r="C1088" i="5"/>
  <c r="AB228" i="5"/>
  <c r="AB210" i="5"/>
  <c r="Q1086" i="5"/>
  <c r="I1086" i="5"/>
  <c r="AB202" i="5"/>
  <c r="AB183" i="5"/>
  <c r="AB181" i="5"/>
  <c r="AB163" i="5"/>
  <c r="AC157" i="5"/>
  <c r="AC152" i="5"/>
  <c r="AB151" i="5"/>
  <c r="U1078" i="5"/>
  <c r="M1078" i="5"/>
  <c r="E1078" i="5"/>
  <c r="AB93" i="5"/>
  <c r="AB89" i="5"/>
  <c r="AB67" i="5"/>
  <c r="AC62" i="5"/>
  <c r="M1074" i="5"/>
  <c r="AB62" i="5"/>
  <c r="E1074" i="5"/>
  <c r="Z1071" i="5"/>
  <c r="S1071" i="5"/>
  <c r="J1071" i="5"/>
  <c r="B1071" i="5"/>
  <c r="B1094" i="6"/>
  <c r="A1095" i="6"/>
  <c r="L939" i="6"/>
  <c r="L658" i="6"/>
  <c r="L453" i="6"/>
  <c r="S432" i="6"/>
  <c r="S1104" i="6" s="1"/>
  <c r="Q1104" i="6"/>
  <c r="AC768" i="5"/>
  <c r="AC767" i="5"/>
  <c r="AB753" i="5"/>
  <c r="AB749" i="5"/>
  <c r="AB744" i="5"/>
  <c r="AC736" i="5"/>
  <c r="AC735" i="5"/>
  <c r="AB721" i="5"/>
  <c r="AB717" i="5"/>
  <c r="AB712" i="5"/>
  <c r="AC704" i="5"/>
  <c r="AC703" i="5"/>
  <c r="AB689" i="5"/>
  <c r="AB685" i="5"/>
  <c r="AB680" i="5"/>
  <c r="AC672" i="5"/>
  <c r="AC671" i="5"/>
  <c r="AB657" i="5"/>
  <c r="AB653" i="5"/>
  <c r="AB648" i="5"/>
  <c r="AC640" i="5"/>
  <c r="AC639" i="5"/>
  <c r="AB625" i="5"/>
  <c r="AB621" i="5"/>
  <c r="AB616" i="5"/>
  <c r="AC608" i="5"/>
  <c r="AC607" i="5"/>
  <c r="AB593" i="5"/>
  <c r="AB589" i="5"/>
  <c r="AC576" i="5"/>
  <c r="AC575" i="5"/>
  <c r="AC572" i="5"/>
  <c r="AB561" i="5"/>
  <c r="AB557" i="5"/>
  <c r="AC544" i="5"/>
  <c r="AC543" i="5"/>
  <c r="AC540" i="5"/>
  <c r="AB529" i="5"/>
  <c r="AB525" i="5"/>
  <c r="AC508" i="5"/>
  <c r="AC1111" i="5" s="1"/>
  <c r="AC502" i="5"/>
  <c r="AB502" i="5"/>
  <c r="AC495" i="5"/>
  <c r="AC494" i="5"/>
  <c r="AB476" i="5"/>
  <c r="AB457" i="5"/>
  <c r="AB451" i="5"/>
  <c r="AC440" i="5"/>
  <c r="AB439" i="5"/>
  <c r="AC405" i="5"/>
  <c r="AB373" i="5"/>
  <c r="AC365" i="5"/>
  <c r="AC360" i="5"/>
  <c r="AB359" i="5"/>
  <c r="AB352" i="5"/>
  <c r="AB317" i="5"/>
  <c r="AC296" i="5"/>
  <c r="AB295" i="5"/>
  <c r="AB288" i="5"/>
  <c r="AC245" i="5"/>
  <c r="AB233" i="5"/>
  <c r="AC222" i="5"/>
  <c r="AB222" i="5"/>
  <c r="AB198" i="5"/>
  <c r="AC189" i="5"/>
  <c r="S1083" i="5"/>
  <c r="K1083" i="5"/>
  <c r="C1083" i="5"/>
  <c r="AB164" i="5"/>
  <c r="Q1082" i="5"/>
  <c r="I1082" i="5"/>
  <c r="AC125" i="5"/>
  <c r="AB112" i="5"/>
  <c r="X1078" i="5"/>
  <c r="P1078" i="5"/>
  <c r="H1078" i="5"/>
  <c r="AC103" i="5"/>
  <c r="AC102" i="5"/>
  <c r="V1077" i="5"/>
  <c r="N1077" i="5"/>
  <c r="F1077" i="5"/>
  <c r="AB90" i="5"/>
  <c r="AC63" i="5"/>
  <c r="AC57" i="5"/>
  <c r="AC41" i="5"/>
  <c r="O1072" i="5"/>
  <c r="AB41" i="5"/>
  <c r="F1072" i="5"/>
  <c r="AB520" i="5"/>
  <c r="AC512" i="5"/>
  <c r="AB511" i="5"/>
  <c r="AB497" i="5"/>
  <c r="AB488" i="5"/>
  <c r="AC480" i="5"/>
  <c r="AB479" i="5"/>
  <c r="AB465" i="5"/>
  <c r="AB456" i="5"/>
  <c r="AC448" i="5"/>
  <c r="AB447" i="5"/>
  <c r="AB433" i="5"/>
  <c r="AB424" i="5"/>
  <c r="AC416" i="5"/>
  <c r="AB415" i="5"/>
  <c r="AB401" i="5"/>
  <c r="AB392" i="5"/>
  <c r="AB384" i="5"/>
  <c r="AB377" i="5"/>
  <c r="AB362" i="5"/>
  <c r="AC351" i="5"/>
  <c r="AB324" i="5"/>
  <c r="AC311" i="5"/>
  <c r="AC310" i="5"/>
  <c r="AC297" i="5"/>
  <c r="AC284" i="5"/>
  <c r="AC263" i="5"/>
  <c r="AC262" i="5"/>
  <c r="AB234" i="5"/>
  <c r="AC223" i="5"/>
  <c r="AB196" i="5"/>
  <c r="AC183" i="5"/>
  <c r="AC182" i="5"/>
  <c r="AC169" i="5"/>
  <c r="AC156" i="5"/>
  <c r="AC1081" i="5" s="1"/>
  <c r="AC135" i="5"/>
  <c r="AC134" i="5"/>
  <c r="AB106" i="5"/>
  <c r="AC95" i="5"/>
  <c r="AB68" i="5"/>
  <c r="AC54" i="5"/>
  <c r="AC46" i="5"/>
  <c r="AB46" i="5"/>
  <c r="AB27" i="5"/>
  <c r="L998" i="6"/>
  <c r="L941" i="6"/>
  <c r="L881" i="6"/>
  <c r="L872" i="6"/>
  <c r="S509" i="6"/>
  <c r="Q1113" i="6"/>
  <c r="Q1114" i="6"/>
  <c r="I1110" i="6"/>
  <c r="I1113" i="6"/>
  <c r="S506" i="6"/>
  <c r="S1112" i="6" s="1"/>
  <c r="Q1112" i="6"/>
  <c r="H1104" i="6"/>
  <c r="L442" i="6"/>
  <c r="L424" i="6"/>
  <c r="AB513" i="5"/>
  <c r="AB504" i="5"/>
  <c r="AC496" i="5"/>
  <c r="AB495" i="5"/>
  <c r="AB481" i="5"/>
  <c r="AB1109" i="5" s="1"/>
  <c r="AB472" i="5"/>
  <c r="AC464" i="5"/>
  <c r="AB463" i="5"/>
  <c r="AB449" i="5"/>
  <c r="AB440" i="5"/>
  <c r="AC432" i="5"/>
  <c r="AB431" i="5"/>
  <c r="AB417" i="5"/>
  <c r="AC382" i="5"/>
  <c r="AB382" i="5"/>
  <c r="AC376" i="5"/>
  <c r="AB375" i="5"/>
  <c r="AC361" i="5"/>
  <c r="AC348" i="5"/>
  <c r="AC327" i="5"/>
  <c r="AC326" i="5"/>
  <c r="AB298" i="5"/>
  <c r="AC287" i="5"/>
  <c r="AB260" i="5"/>
  <c r="AC247" i="5"/>
  <c r="AC246" i="5"/>
  <c r="AC233" i="5"/>
  <c r="AC220" i="5"/>
  <c r="AC199" i="5"/>
  <c r="AC198" i="5"/>
  <c r="AB170" i="5"/>
  <c r="AC159" i="5"/>
  <c r="AB132" i="5"/>
  <c r="AC119" i="5"/>
  <c r="AC118" i="5"/>
  <c r="AC105" i="5"/>
  <c r="AC1077" i="5" s="1"/>
  <c r="AC92" i="5"/>
  <c r="AC71" i="5"/>
  <c r="AC70" i="5"/>
  <c r="AC58" i="5"/>
  <c r="AC50" i="5"/>
  <c r="AC1073" i="5" s="1"/>
  <c r="AB45" i="5"/>
  <c r="AC37" i="5"/>
  <c r="AB25" i="5"/>
  <c r="L1044" i="6"/>
  <c r="L1028" i="6"/>
  <c r="L937" i="6"/>
  <c r="AC519" i="5"/>
  <c r="AC518" i="5"/>
  <c r="AC487" i="5"/>
  <c r="AC486" i="5"/>
  <c r="AC455" i="5"/>
  <c r="AC454" i="5"/>
  <c r="AC423" i="5"/>
  <c r="AC422" i="5"/>
  <c r="AC391" i="5"/>
  <c r="AC390" i="5"/>
  <c r="AC383" i="5"/>
  <c r="AB355" i="5"/>
  <c r="AC349" i="5"/>
  <c r="AC328" i="5"/>
  <c r="AB327" i="5"/>
  <c r="AB320" i="5"/>
  <c r="AB313" i="5"/>
  <c r="AB307" i="5"/>
  <c r="AB285" i="5"/>
  <c r="AB272" i="5"/>
  <c r="AB269" i="5"/>
  <c r="AB265" i="5"/>
  <c r="AC254" i="5"/>
  <c r="AB254" i="5"/>
  <c r="AC248" i="5"/>
  <c r="AB247" i="5"/>
  <c r="AB227" i="5"/>
  <c r="AC221" i="5"/>
  <c r="AC200" i="5"/>
  <c r="AB199" i="5"/>
  <c r="AB192" i="5"/>
  <c r="AB185" i="5"/>
  <c r="AB179" i="5"/>
  <c r="AB157" i="5"/>
  <c r="AB144" i="5"/>
  <c r="AB141" i="5"/>
  <c r="AB137" i="5"/>
  <c r="AC126" i="5"/>
  <c r="AB126" i="5"/>
  <c r="AC120" i="5"/>
  <c r="AB119" i="5"/>
  <c r="AB99" i="5"/>
  <c r="AC93" i="5"/>
  <c r="AC72" i="5"/>
  <c r="AB71" i="5"/>
  <c r="AB64" i="5"/>
  <c r="AC59" i="5"/>
  <c r="AC51" i="5"/>
  <c r="AC39" i="5"/>
  <c r="AB37" i="5"/>
  <c r="AB34" i="5"/>
  <c r="L817" i="6"/>
  <c r="L808" i="6"/>
  <c r="L632" i="6"/>
  <c r="L603" i="6"/>
  <c r="H1113" i="6"/>
  <c r="L512" i="6"/>
  <c r="H1116" i="6"/>
  <c r="H1117" i="6"/>
  <c r="H1112" i="6"/>
  <c r="L500" i="6"/>
  <c r="C1109" i="6"/>
  <c r="AB369" i="5"/>
  <c r="AB360" i="5"/>
  <c r="AC352" i="5"/>
  <c r="AB351" i="5"/>
  <c r="AB337" i="5"/>
  <c r="AB328" i="5"/>
  <c r="AC320" i="5"/>
  <c r="AB319" i="5"/>
  <c r="AB305" i="5"/>
  <c r="AB296" i="5"/>
  <c r="AC288" i="5"/>
  <c r="AB287" i="5"/>
  <c r="AB273" i="5"/>
  <c r="AB264" i="5"/>
  <c r="AC256" i="5"/>
  <c r="AB255" i="5"/>
  <c r="AB241" i="5"/>
  <c r="AB232" i="5"/>
  <c r="AC224" i="5"/>
  <c r="AB223" i="5"/>
  <c r="AB209" i="5"/>
  <c r="AB200" i="5"/>
  <c r="AC192" i="5"/>
  <c r="AC1084" i="5" s="1"/>
  <c r="AB191" i="5"/>
  <c r="AB177" i="5"/>
  <c r="AB168" i="5"/>
  <c r="AC160" i="5"/>
  <c r="AB159" i="5"/>
  <c r="AB145" i="5"/>
  <c r="AB136" i="5"/>
  <c r="AC128" i="5"/>
  <c r="AB127" i="5"/>
  <c r="AB113" i="5"/>
  <c r="AB104" i="5"/>
  <c r="AC96" i="5"/>
  <c r="AB95" i="5"/>
  <c r="AB81" i="5"/>
  <c r="AB72" i="5"/>
  <c r="AC64" i="5"/>
  <c r="AB63" i="5"/>
  <c r="AB38" i="5"/>
  <c r="AC31" i="5"/>
  <c r="AB31" i="5"/>
  <c r="L1048" i="6"/>
  <c r="L972" i="6"/>
  <c r="L920" i="6"/>
  <c r="L856" i="6"/>
  <c r="L473" i="6"/>
  <c r="D1107" i="6"/>
  <c r="AC367" i="5"/>
  <c r="AC366" i="5"/>
  <c r="AC335" i="5"/>
  <c r="AC334" i="5"/>
  <c r="AC303" i="5"/>
  <c r="AC302" i="5"/>
  <c r="AC271" i="5"/>
  <c r="AC270" i="5"/>
  <c r="AC239" i="5"/>
  <c r="AC238" i="5"/>
  <c r="AC207" i="5"/>
  <c r="AC206" i="5"/>
  <c r="AC175" i="5"/>
  <c r="AC174" i="5"/>
  <c r="AC143" i="5"/>
  <c r="AC142" i="5"/>
  <c r="AC111" i="5"/>
  <c r="AC110" i="5"/>
  <c r="AC79" i="5"/>
  <c r="AC78" i="5"/>
  <c r="AC35" i="5"/>
  <c r="L1062" i="6"/>
  <c r="L1041" i="6"/>
  <c r="L1033" i="6"/>
  <c r="L1004" i="6"/>
  <c r="L981" i="6"/>
  <c r="L978" i="6"/>
  <c r="L884" i="6"/>
  <c r="L882" i="6"/>
  <c r="L772" i="6"/>
  <c r="L770" i="6"/>
  <c r="L729" i="6"/>
  <c r="L671" i="6"/>
  <c r="L627" i="6"/>
  <c r="L482" i="6"/>
  <c r="C1108" i="6"/>
  <c r="Q456" i="6"/>
  <c r="R1106" i="6"/>
  <c r="I1101" i="6"/>
  <c r="L394" i="6"/>
  <c r="Q370" i="6"/>
  <c r="R1098" i="6"/>
  <c r="I1098" i="6"/>
  <c r="Q337" i="6"/>
  <c r="R1096" i="6"/>
  <c r="L1083" i="6"/>
  <c r="L157" i="6"/>
  <c r="D1081" i="6"/>
  <c r="L144" i="6"/>
  <c r="E1080" i="6"/>
  <c r="Q136" i="6"/>
  <c r="R1079" i="6"/>
  <c r="L56" i="6"/>
  <c r="E1072" i="6"/>
  <c r="AB408" i="5"/>
  <c r="AC400" i="5"/>
  <c r="AB399" i="5"/>
  <c r="AB385" i="5"/>
  <c r="AB376" i="5"/>
  <c r="AC368" i="5"/>
  <c r="AB367" i="5"/>
  <c r="AB353" i="5"/>
  <c r="AB344" i="5"/>
  <c r="AC336" i="5"/>
  <c r="AB335" i="5"/>
  <c r="AB321" i="5"/>
  <c r="AB312" i="5"/>
  <c r="AC304" i="5"/>
  <c r="AB303" i="5"/>
  <c r="AB289" i="5"/>
  <c r="AB1093" i="5" s="1"/>
  <c r="AB280" i="5"/>
  <c r="AC272" i="5"/>
  <c r="AB271" i="5"/>
  <c r="AB257" i="5"/>
  <c r="AB248" i="5"/>
  <c r="AC240" i="5"/>
  <c r="AB239" i="5"/>
  <c r="AB225" i="5"/>
  <c r="AB216" i="5"/>
  <c r="AC208" i="5"/>
  <c r="AB207" i="5"/>
  <c r="AB193" i="5"/>
  <c r="AB184" i="5"/>
  <c r="AC176" i="5"/>
  <c r="AB175" i="5"/>
  <c r="AB161" i="5"/>
  <c r="AB152" i="5"/>
  <c r="AC144" i="5"/>
  <c r="AB143" i="5"/>
  <c r="AB129" i="5"/>
  <c r="AB120" i="5"/>
  <c r="AC112" i="5"/>
  <c r="AB111" i="5"/>
  <c r="AB97" i="5"/>
  <c r="AB1077" i="5" s="1"/>
  <c r="AB88" i="5"/>
  <c r="AC80" i="5"/>
  <c r="AB79" i="5"/>
  <c r="AB65" i="5"/>
  <c r="AC45" i="5"/>
  <c r="AC36" i="5"/>
  <c r="AB36" i="5"/>
  <c r="AB24" i="5"/>
  <c r="AB1070" i="5" s="1"/>
  <c r="L1064" i="6"/>
  <c r="L1042" i="6"/>
  <c r="L1035" i="6"/>
  <c r="L954" i="6"/>
  <c r="L950" i="6"/>
  <c r="L843" i="6"/>
  <c r="L794" i="6"/>
  <c r="L780" i="6"/>
  <c r="L778" i="6"/>
  <c r="L713" i="6"/>
  <c r="L704" i="6"/>
  <c r="L620" i="6"/>
  <c r="Q1110" i="6"/>
  <c r="S505" i="6"/>
  <c r="S482" i="6"/>
  <c r="S1108" i="6" s="1"/>
  <c r="Q1108" i="6"/>
  <c r="L405" i="6"/>
  <c r="L1055" i="6"/>
  <c r="L1053" i="6"/>
  <c r="L1049" i="6"/>
  <c r="L1027" i="6"/>
  <c r="L1020" i="6"/>
  <c r="L1008" i="6"/>
  <c r="L979" i="6"/>
  <c r="L948" i="6"/>
  <c r="L933" i="6"/>
  <c r="L929" i="6"/>
  <c r="L908" i="6"/>
  <c r="L906" i="6"/>
  <c r="L900" i="6"/>
  <c r="L898" i="6"/>
  <c r="L841" i="6"/>
  <c r="L803" i="6"/>
  <c r="L732" i="6"/>
  <c r="L730" i="6"/>
  <c r="R1115" i="6"/>
  <c r="R1113" i="6"/>
  <c r="L516" i="6"/>
  <c r="C1115" i="6"/>
  <c r="D1117" i="6"/>
  <c r="R1105" i="6"/>
  <c r="L444" i="6"/>
  <c r="L441" i="6"/>
  <c r="E1104" i="6"/>
  <c r="D1101" i="6"/>
  <c r="L328" i="6"/>
  <c r="D1095" i="6"/>
  <c r="L327" i="6"/>
  <c r="E1095" i="6"/>
  <c r="L1037" i="6"/>
  <c r="L1018" i="6"/>
  <c r="L1014" i="6"/>
  <c r="L990" i="6"/>
  <c r="L961" i="6"/>
  <c r="L924" i="6"/>
  <c r="L922" i="6"/>
  <c r="L792" i="6"/>
  <c r="L784" i="6"/>
  <c r="L744" i="6"/>
  <c r="L692" i="6"/>
  <c r="L690" i="6"/>
  <c r="H1111" i="6"/>
  <c r="D1109" i="6"/>
  <c r="I1108" i="6"/>
  <c r="L479" i="6"/>
  <c r="L472" i="6"/>
  <c r="C1107" i="6"/>
  <c r="D1104" i="6"/>
  <c r="L426" i="6"/>
  <c r="L420" i="6"/>
  <c r="H1103" i="6"/>
  <c r="L1019" i="6"/>
  <c r="L1016" i="6"/>
  <c r="L991" i="6"/>
  <c r="L989" i="6"/>
  <c r="L985" i="6"/>
  <c r="L963" i="6"/>
  <c r="L956" i="6"/>
  <c r="L896" i="6"/>
  <c r="L860" i="6"/>
  <c r="L858" i="6"/>
  <c r="L680" i="6"/>
  <c r="L652" i="6"/>
  <c r="S511" i="6"/>
  <c r="Q1116" i="6"/>
  <c r="D1115" i="6"/>
  <c r="D1112" i="6"/>
  <c r="L494" i="6"/>
  <c r="L484" i="6"/>
  <c r="H1108" i="6"/>
  <c r="L437" i="6"/>
  <c r="R1104" i="6"/>
  <c r="L432" i="6"/>
  <c r="C1104" i="6"/>
  <c r="L1057" i="6"/>
  <c r="L1051" i="6"/>
  <c r="L1022" i="6"/>
  <c r="L993" i="6"/>
  <c r="L987" i="6"/>
  <c r="L958" i="6"/>
  <c r="L943" i="6"/>
  <c r="L912" i="6"/>
  <c r="L888" i="6"/>
  <c r="L876" i="6"/>
  <c r="L874" i="6"/>
  <c r="L848" i="6"/>
  <c r="L812" i="6"/>
  <c r="L810" i="6"/>
  <c r="L748" i="6"/>
  <c r="L746" i="6"/>
  <c r="L720" i="6"/>
  <c r="L684" i="6"/>
  <c r="L682" i="6"/>
  <c r="L667" i="6"/>
  <c r="L607" i="6"/>
  <c r="R1112" i="6"/>
  <c r="R1114" i="6"/>
  <c r="L503" i="6"/>
  <c r="L497" i="6"/>
  <c r="L1109" i="6" s="1"/>
  <c r="L490" i="6"/>
  <c r="L409" i="6"/>
  <c r="L1065" i="6"/>
  <c r="L1059" i="6"/>
  <c r="L1030" i="6"/>
  <c r="L1001" i="6"/>
  <c r="L995" i="6"/>
  <c r="L966" i="6"/>
  <c r="L914" i="6"/>
  <c r="L864" i="6"/>
  <c r="L850" i="6"/>
  <c r="L824" i="6"/>
  <c r="L800" i="6"/>
  <c r="L786" i="6"/>
  <c r="L760" i="6"/>
  <c r="L722" i="6"/>
  <c r="L696" i="6"/>
  <c r="L642" i="6"/>
  <c r="L457" i="6"/>
  <c r="Q386" i="6"/>
  <c r="R1100" i="6"/>
  <c r="L278" i="6"/>
  <c r="D1091" i="6"/>
  <c r="S275" i="6"/>
  <c r="S1090" i="6" s="1"/>
  <c r="Q1090" i="6"/>
  <c r="Q192" i="6"/>
  <c r="R1084" i="6"/>
  <c r="L188" i="6"/>
  <c r="D1083" i="6"/>
  <c r="L1067" i="6"/>
  <c r="L1038" i="6"/>
  <c r="L1009" i="6"/>
  <c r="L1003" i="6"/>
  <c r="L974" i="6"/>
  <c r="L945" i="6"/>
  <c r="L928" i="6"/>
  <c r="L890" i="6"/>
  <c r="L826" i="6"/>
  <c r="L762" i="6"/>
  <c r="L736" i="6"/>
  <c r="L698" i="6"/>
  <c r="L666" i="6"/>
  <c r="R1116" i="6"/>
  <c r="R1110" i="6"/>
  <c r="Q408" i="6"/>
  <c r="R1102" i="6"/>
  <c r="L280" i="6"/>
  <c r="E1091" i="6"/>
  <c r="L199" i="6"/>
  <c r="C1084" i="6"/>
  <c r="L675" i="6"/>
  <c r="L673" i="6"/>
  <c r="L664" i="6"/>
  <c r="L635" i="6"/>
  <c r="L622" i="6"/>
  <c r="L611" i="6"/>
  <c r="L609" i="6"/>
  <c r="L600" i="6"/>
  <c r="L519" i="6"/>
  <c r="L513" i="6"/>
  <c r="L510" i="6"/>
  <c r="L487" i="6"/>
  <c r="L481" i="6"/>
  <c r="L478" i="6"/>
  <c r="L463" i="6"/>
  <c r="L462" i="6"/>
  <c r="L447" i="6"/>
  <c r="L446" i="6"/>
  <c r="L431" i="6"/>
  <c r="L430" i="6"/>
  <c r="L415" i="6"/>
  <c r="L414" i="6"/>
  <c r="L399" i="6"/>
  <c r="L398" i="6"/>
  <c r="L240" i="6"/>
  <c r="L668" i="6"/>
  <c r="L650" i="6"/>
  <c r="L604" i="6"/>
  <c r="L946" i="6"/>
  <c r="L944" i="6"/>
  <c r="L925" i="6"/>
  <c r="L917" i="6"/>
  <c r="L909" i="6"/>
  <c r="L901" i="6"/>
  <c r="L893" i="6"/>
  <c r="L885" i="6"/>
  <c r="L877" i="6"/>
  <c r="L869" i="6"/>
  <c r="L861" i="6"/>
  <c r="L853" i="6"/>
  <c r="L845" i="6"/>
  <c r="L837" i="6"/>
  <c r="L829" i="6"/>
  <c r="L821" i="6"/>
  <c r="L813" i="6"/>
  <c r="L805" i="6"/>
  <c r="L797" i="6"/>
  <c r="L789" i="6"/>
  <c r="L781" i="6"/>
  <c r="L773" i="6"/>
  <c r="L765" i="6"/>
  <c r="L757" i="6"/>
  <c r="L749" i="6"/>
  <c r="L741" i="6"/>
  <c r="L733" i="6"/>
  <c r="L725" i="6"/>
  <c r="L717" i="6"/>
  <c r="L709" i="6"/>
  <c r="L701" i="6"/>
  <c r="L693" i="6"/>
  <c r="L685" i="6"/>
  <c r="L677" i="6"/>
  <c r="L637" i="6"/>
  <c r="L626" i="6"/>
  <c r="L624" i="6"/>
  <c r="L613" i="6"/>
  <c r="L521" i="6"/>
  <c r="L518" i="6"/>
  <c r="L495" i="6"/>
  <c r="L489" i="6"/>
  <c r="L486" i="6"/>
  <c r="L467" i="6"/>
  <c r="L451" i="6"/>
  <c r="L435" i="6"/>
  <c r="L419" i="6"/>
  <c r="L403" i="6"/>
  <c r="L387" i="6"/>
  <c r="L323" i="6"/>
  <c r="L648" i="6"/>
  <c r="L616" i="6"/>
  <c r="L523" i="6"/>
  <c r="L515" i="6"/>
  <c r="L507" i="6"/>
  <c r="L499" i="6"/>
  <c r="L491" i="6"/>
  <c r="L483" i="6"/>
  <c r="L475" i="6"/>
  <c r="L459" i="6"/>
  <c r="L443" i="6"/>
  <c r="L427" i="6"/>
  <c r="L411" i="6"/>
  <c r="L395" i="6"/>
  <c r="L385" i="6"/>
  <c r="L380" i="6"/>
  <c r="L379" i="6"/>
  <c r="L369" i="6"/>
  <c r="L364" i="6"/>
  <c r="L363" i="6"/>
  <c r="L353" i="6"/>
  <c r="L294" i="6"/>
  <c r="L676" i="6"/>
  <c r="L644" i="6"/>
  <c r="L612" i="6"/>
  <c r="L471" i="6"/>
  <c r="L465" i="6"/>
  <c r="L455" i="6"/>
  <c r="L449" i="6"/>
  <c r="L439" i="6"/>
  <c r="L433" i="6"/>
  <c r="L423" i="6"/>
  <c r="L417" i="6"/>
  <c r="L407" i="6"/>
  <c r="L401" i="6"/>
  <c r="L391" i="6"/>
  <c r="L672" i="6"/>
  <c r="L640" i="6"/>
  <c r="L608" i="6"/>
  <c r="L517" i="6"/>
  <c r="L509" i="6"/>
  <c r="L501" i="6"/>
  <c r="L493" i="6"/>
  <c r="L485" i="6"/>
  <c r="L477" i="6"/>
  <c r="L461" i="6"/>
  <c r="L445" i="6"/>
  <c r="L429" i="6"/>
  <c r="L413" i="6"/>
  <c r="L397" i="6"/>
  <c r="L1101" i="6" s="1"/>
  <c r="L383" i="6"/>
  <c r="L373" i="6"/>
  <c r="L367" i="6"/>
  <c r="L357" i="6"/>
  <c r="L337" i="6"/>
  <c r="L332" i="6"/>
  <c r="L331" i="6"/>
  <c r="L316" i="6"/>
  <c r="L382" i="6"/>
  <c r="L378" i="6"/>
  <c r="L374" i="6"/>
  <c r="L370" i="6"/>
  <c r="L366" i="6"/>
  <c r="L362" i="6"/>
  <c r="L358" i="6"/>
  <c r="L354" i="6"/>
  <c r="L349" i="6"/>
  <c r="L1097" i="6" s="1"/>
  <c r="L306" i="6"/>
  <c r="L301" i="6"/>
  <c r="L273" i="6"/>
  <c r="L200" i="6"/>
  <c r="L111" i="6"/>
  <c r="L1077" i="6" s="1"/>
  <c r="L26" i="6"/>
  <c r="L305" i="6"/>
  <c r="L300" i="6"/>
  <c r="L285" i="6"/>
  <c r="L250" i="6"/>
  <c r="L243" i="6"/>
  <c r="L220" i="6"/>
  <c r="L55" i="6"/>
  <c r="L310" i="6"/>
  <c r="L284" i="6"/>
  <c r="L257" i="6"/>
  <c r="L1089" i="6" s="1"/>
  <c r="L248" i="6"/>
  <c r="L96" i="6"/>
  <c r="L91" i="6"/>
  <c r="L68" i="6"/>
  <c r="L325" i="6"/>
  <c r="L1095" i="6" s="1"/>
  <c r="L293" i="6"/>
  <c r="L274" i="6"/>
  <c r="L228" i="6"/>
  <c r="L221" i="6"/>
  <c r="L206" i="6"/>
  <c r="L1085" i="6" s="1"/>
  <c r="L191" i="6"/>
  <c r="L341" i="6"/>
  <c r="L309" i="6"/>
  <c r="L258" i="6"/>
  <c r="L244" i="6"/>
  <c r="L232" i="6"/>
  <c r="L143" i="6"/>
  <c r="Q41" i="6"/>
  <c r="S41" i="6" s="1"/>
  <c r="L384" i="6"/>
  <c r="L376" i="6"/>
  <c r="L368" i="6"/>
  <c r="L360" i="6"/>
  <c r="L344" i="6"/>
  <c r="L340" i="6"/>
  <c r="L312" i="6"/>
  <c r="L308" i="6"/>
  <c r="L276" i="6"/>
  <c r="L1091" i="6" s="1"/>
  <c r="L269" i="6"/>
  <c r="L1090" i="6" s="1"/>
  <c r="L219" i="6"/>
  <c r="L218" i="6"/>
  <c r="L61" i="6"/>
  <c r="L57" i="6"/>
  <c r="L181" i="6"/>
  <c r="L177" i="6"/>
  <c r="L170" i="6"/>
  <c r="L169" i="6"/>
  <c r="L124" i="6"/>
  <c r="L103" i="6"/>
  <c r="L71" i="6"/>
  <c r="L159" i="6"/>
  <c r="L133" i="6"/>
  <c r="L120" i="6"/>
  <c r="L93" i="6"/>
  <c r="L89" i="6"/>
  <c r="L82" i="6"/>
  <c r="L81" i="6"/>
  <c r="L37" i="6"/>
  <c r="L235" i="6"/>
  <c r="L234" i="6"/>
  <c r="L203" i="6"/>
  <c r="L202" i="6"/>
  <c r="L175" i="6"/>
  <c r="L155" i="6"/>
  <c r="L149" i="6"/>
  <c r="L145" i="6"/>
  <c r="S40" i="6"/>
  <c r="L39" i="6"/>
  <c r="L167" i="6"/>
  <c r="L135" i="6"/>
  <c r="L79" i="6"/>
  <c r="L36" i="6"/>
  <c r="L183" i="6"/>
  <c r="L151" i="6"/>
  <c r="L119" i="6"/>
  <c r="L105" i="6"/>
  <c r="L95" i="6"/>
  <c r="L63" i="6"/>
  <c r="L49" i="6"/>
  <c r="L42" i="6"/>
  <c r="S39" i="6"/>
  <c r="L31" i="6"/>
  <c r="L30" i="6"/>
  <c r="L193" i="6"/>
  <c r="L161" i="6"/>
  <c r="L129" i="6"/>
  <c r="L73" i="6"/>
  <c r="L48" i="6"/>
  <c r="S27" i="6"/>
  <c r="S45" i="6"/>
  <c r="S42" i="6"/>
  <c r="S31" i="6"/>
  <c r="L25" i="6"/>
  <c r="L1070" i="6" s="1"/>
  <c r="L44" i="6"/>
  <c r="Q29" i="6"/>
  <c r="S29" i="6" s="1"/>
  <c r="S44" i="6"/>
  <c r="L40" i="6"/>
  <c r="AB1105" i="5" l="1"/>
  <c r="AC1089" i="5"/>
  <c r="AC1119" i="5"/>
  <c r="AC1102" i="5"/>
  <c r="AC1079" i="5"/>
  <c r="AC1091" i="5"/>
  <c r="AC1092" i="5"/>
  <c r="AC1109" i="5"/>
  <c r="AB1091" i="5"/>
  <c r="AB1098" i="5"/>
  <c r="AB1084" i="5"/>
  <c r="AC1115" i="5"/>
  <c r="AB1106" i="5"/>
  <c r="AC1075" i="5"/>
  <c r="AB1078" i="5"/>
  <c r="AC1078" i="5"/>
  <c r="AC1087" i="5"/>
  <c r="AC1106" i="5"/>
  <c r="AB1092" i="5"/>
  <c r="AB1080" i="5"/>
  <c r="AC1088" i="5"/>
  <c r="AB1111" i="5"/>
  <c r="AC1105" i="5"/>
  <c r="AB1119" i="5"/>
  <c r="AC1117" i="5"/>
  <c r="AC1108" i="5"/>
  <c r="AC1074" i="5"/>
  <c r="AB1104" i="5"/>
  <c r="AB1115" i="5"/>
  <c r="S1103" i="6"/>
  <c r="L1096" i="6"/>
  <c r="AB1086" i="5"/>
  <c r="AB1116" i="5"/>
  <c r="AC1090" i="5"/>
  <c r="AC1114" i="5"/>
  <c r="C1120" i="5"/>
  <c r="K1120" i="5"/>
  <c r="S1120" i="5"/>
  <c r="A1121" i="5"/>
  <c r="J1120" i="5"/>
  <c r="T1120" i="5"/>
  <c r="B1120" i="5"/>
  <c r="L1120" i="5"/>
  <c r="U1120" i="5"/>
  <c r="I1120" i="5"/>
  <c r="W1120" i="5"/>
  <c r="M1120" i="5"/>
  <c r="X1120" i="5"/>
  <c r="N1120" i="5"/>
  <c r="AB1120" i="5"/>
  <c r="P1120" i="5"/>
  <c r="Q1120" i="5"/>
  <c r="H1120" i="5"/>
  <c r="D1120" i="5"/>
  <c r="E1120" i="5"/>
  <c r="F1120" i="5"/>
  <c r="V1120" i="5"/>
  <c r="AC1120" i="5"/>
  <c r="G1120" i="5"/>
  <c r="O1120" i="5"/>
  <c r="R1120" i="5"/>
  <c r="S354" i="6"/>
  <c r="S1097" i="6" s="1"/>
  <c r="Q1097" i="6"/>
  <c r="AC355" i="5"/>
  <c r="L1084" i="6"/>
  <c r="L1078" i="6"/>
  <c r="L1104" i="6"/>
  <c r="S1110" i="6"/>
  <c r="S1111" i="6"/>
  <c r="S337" i="6"/>
  <c r="S1096" i="6" s="1"/>
  <c r="Q1096" i="6"/>
  <c r="AC1086" i="5"/>
  <c r="AB1081" i="5"/>
  <c r="AB1097" i="5"/>
  <c r="AC1072" i="5"/>
  <c r="AC338" i="5"/>
  <c r="AC1097" i="5" s="1"/>
  <c r="AB1107" i="5"/>
  <c r="AB1113" i="5"/>
  <c r="Q1071" i="6"/>
  <c r="AB1076" i="5"/>
  <c r="AB1088" i="5"/>
  <c r="S1105" i="6"/>
  <c r="AB1114" i="5"/>
  <c r="AB1079" i="5"/>
  <c r="L1079" i="6"/>
  <c r="L1094" i="6"/>
  <c r="L1076" i="6"/>
  <c r="L1113" i="6"/>
  <c r="L1116" i="6"/>
  <c r="S408" i="6"/>
  <c r="S1102" i="6" s="1"/>
  <c r="Q1102" i="6"/>
  <c r="S1116" i="6"/>
  <c r="S1117" i="6"/>
  <c r="S136" i="6"/>
  <c r="S1079" i="6" s="1"/>
  <c r="Q1079" i="6"/>
  <c r="AB1118" i="5"/>
  <c r="AB1090" i="5"/>
  <c r="AC1116" i="5"/>
  <c r="AB1112" i="5"/>
  <c r="S1098" i="6"/>
  <c r="AC1110" i="5"/>
  <c r="L1112" i="6"/>
  <c r="L1110" i="6"/>
  <c r="L1111" i="6"/>
  <c r="S1099" i="6"/>
  <c r="AC1085" i="5"/>
  <c r="S469" i="6"/>
  <c r="S1107" i="6" s="1"/>
  <c r="Q1107" i="6"/>
  <c r="AC1100" i="5"/>
  <c r="D1119" i="4"/>
  <c r="E1119" i="4"/>
  <c r="F1119" i="4"/>
  <c r="J1119" i="4"/>
  <c r="A1120" i="4"/>
  <c r="H1119" i="4"/>
  <c r="C1119" i="4"/>
  <c r="G1119" i="4"/>
  <c r="I1119" i="4"/>
  <c r="B1119" i="4"/>
  <c r="L1108" i="6"/>
  <c r="S456" i="6"/>
  <c r="S1106" i="6" s="1"/>
  <c r="Q1106" i="6"/>
  <c r="AC457" i="5"/>
  <c r="AC1107" i="5" s="1"/>
  <c r="AB1071" i="5"/>
  <c r="S386" i="6"/>
  <c r="S1100" i="6" s="1"/>
  <c r="Q1100" i="6"/>
  <c r="AC387" i="5"/>
  <c r="AC1101" i="5" s="1"/>
  <c r="AB1085" i="5"/>
  <c r="AB1072" i="5"/>
  <c r="AB1082" i="5"/>
  <c r="AB1102" i="5"/>
  <c r="S1070" i="6"/>
  <c r="L1073" i="6"/>
  <c r="AB1095" i="5"/>
  <c r="AC1083" i="5"/>
  <c r="AB1100" i="5"/>
  <c r="S23" i="6"/>
  <c r="S1069" i="6" s="1"/>
  <c r="Q1069" i="6"/>
  <c r="S292" i="6"/>
  <c r="S1092" i="6" s="1"/>
  <c r="Q1092" i="6"/>
  <c r="AC293" i="5"/>
  <c r="AC1093" i="5" s="1"/>
  <c r="AB1087" i="5"/>
  <c r="AB1074" i="5"/>
  <c r="AC1095" i="5"/>
  <c r="AC1112" i="5"/>
  <c r="S425" i="6"/>
  <c r="AC426" i="5"/>
  <c r="AC1104" i="5" s="1"/>
  <c r="L1072" i="6"/>
  <c r="L1086" i="6"/>
  <c r="L1098" i="6"/>
  <c r="S192" i="6"/>
  <c r="S1084" i="6" s="1"/>
  <c r="Q1084" i="6"/>
  <c r="L1102" i="6"/>
  <c r="L1105" i="6"/>
  <c r="AB1089" i="5"/>
  <c r="S1115" i="6"/>
  <c r="S1113" i="6"/>
  <c r="S1114" i="6"/>
  <c r="AB1103" i="5"/>
  <c r="AB1096" i="5"/>
  <c r="L1107" i="6"/>
  <c r="AC409" i="5"/>
  <c r="AC1103" i="5" s="1"/>
  <c r="AB1075" i="5"/>
  <c r="AB1099" i="5"/>
  <c r="S397" i="6"/>
  <c r="S1101" i="6" s="1"/>
  <c r="Q1101" i="6"/>
  <c r="L1082" i="6"/>
  <c r="L1100" i="6"/>
  <c r="L1103" i="6"/>
  <c r="AC1098" i="5"/>
  <c r="L1099" i="6"/>
  <c r="AB1101" i="5"/>
  <c r="AC1118" i="5"/>
  <c r="H1119" i="2"/>
  <c r="I1119" i="2"/>
  <c r="F1119" i="2"/>
  <c r="B1119" i="2"/>
  <c r="C1119" i="2"/>
  <c r="E1119" i="2"/>
  <c r="J1119" i="2"/>
  <c r="K1119" i="2"/>
  <c r="A1120" i="2"/>
  <c r="G1119" i="2"/>
  <c r="S1071" i="6"/>
  <c r="L1087" i="6"/>
  <c r="L1093" i="6"/>
  <c r="L1088" i="6"/>
  <c r="L1106" i="6"/>
  <c r="L1080" i="6"/>
  <c r="S370" i="6"/>
  <c r="AC371" i="5"/>
  <c r="AC1099" i="5" s="1"/>
  <c r="L1117" i="6"/>
  <c r="A1096" i="6"/>
  <c r="B1095" i="6"/>
  <c r="AB1083" i="5"/>
  <c r="S90" i="6"/>
  <c r="S1075" i="6" s="1"/>
  <c r="Q1075" i="6"/>
  <c r="AC91" i="5"/>
  <c r="AC1076" i="5" s="1"/>
  <c r="AC1071" i="5"/>
  <c r="Q1070" i="6"/>
  <c r="L1074" i="6"/>
  <c r="L1071" i="6"/>
  <c r="L1092" i="6"/>
  <c r="L1115" i="6"/>
  <c r="L1114" i="6"/>
  <c r="L1081" i="6"/>
  <c r="AC1082" i="5"/>
  <c r="AB1094" i="5"/>
  <c r="AC137" i="5"/>
  <c r="AC1080" i="5" s="1"/>
  <c r="AB1110" i="5"/>
  <c r="AB1117" i="5"/>
  <c r="S332" i="6"/>
  <c r="S1095" i="6" s="1"/>
  <c r="Q1095" i="6"/>
  <c r="AC333" i="5"/>
  <c r="AC1096" i="5" s="1"/>
  <c r="AB1108" i="5"/>
  <c r="AB1073" i="5"/>
  <c r="S110" i="6"/>
  <c r="S1077" i="6" s="1"/>
  <c r="Q1077" i="6"/>
  <c r="S308" i="6"/>
  <c r="S1093" i="6" s="1"/>
  <c r="Q1093" i="6"/>
  <c r="AC309" i="5"/>
  <c r="AC1094" i="5" s="1"/>
  <c r="B1096" i="6" l="1"/>
  <c r="A1097" i="6"/>
  <c r="B1120" i="4"/>
  <c r="J1120" i="4"/>
  <c r="C1120" i="4"/>
  <c r="A1121" i="4"/>
  <c r="D1120" i="4"/>
  <c r="I1120" i="4"/>
  <c r="H1120" i="4"/>
  <c r="E1120" i="4"/>
  <c r="F1120" i="4"/>
  <c r="G1120" i="4"/>
  <c r="F1120" i="2"/>
  <c r="G1120" i="2"/>
  <c r="C1120" i="2"/>
  <c r="A1121" i="2"/>
  <c r="B1120" i="2"/>
  <c r="E1120" i="2"/>
  <c r="H1120" i="2"/>
  <c r="J1120" i="2"/>
  <c r="I1120" i="2"/>
  <c r="K1120" i="2"/>
  <c r="I1121" i="5"/>
  <c r="Q1121" i="5"/>
  <c r="AB1121" i="5"/>
  <c r="C1121" i="5"/>
  <c r="L1121" i="5"/>
  <c r="U1121" i="5"/>
  <c r="D1121" i="5"/>
  <c r="M1121" i="5"/>
  <c r="V1121" i="5"/>
  <c r="H1121" i="5"/>
  <c r="T1121" i="5"/>
  <c r="J1121" i="5"/>
  <c r="W1121" i="5"/>
  <c r="K1121" i="5"/>
  <c r="X1121" i="5"/>
  <c r="G1121" i="5"/>
  <c r="N1121" i="5"/>
  <c r="E1121" i="5"/>
  <c r="AC1121" i="5"/>
  <c r="B1121" i="5"/>
  <c r="F1121" i="5"/>
  <c r="O1121" i="5"/>
  <c r="A1122" i="5"/>
  <c r="P1121" i="5"/>
  <c r="R1121" i="5"/>
  <c r="S1121" i="5"/>
  <c r="C1121" i="2" l="1"/>
  <c r="A1122" i="2"/>
  <c r="E1121" i="2"/>
  <c r="J1121" i="2"/>
  <c r="G1121" i="2"/>
  <c r="H1121" i="2"/>
  <c r="I1121" i="2"/>
  <c r="K1121" i="2"/>
  <c r="B1121" i="2"/>
  <c r="F1121" i="2"/>
  <c r="H1121" i="4"/>
  <c r="I1121" i="4"/>
  <c r="B1121" i="4"/>
  <c r="J1121" i="4"/>
  <c r="D1121" i="4"/>
  <c r="E1121" i="4"/>
  <c r="F1121" i="4"/>
  <c r="G1121" i="4"/>
  <c r="A1122" i="4"/>
  <c r="C1121" i="4"/>
  <c r="G1122" i="5"/>
  <c r="O1122" i="5"/>
  <c r="W1122" i="5"/>
  <c r="D1122" i="5"/>
  <c r="M1122" i="5"/>
  <c r="V1122" i="5"/>
  <c r="E1122" i="5"/>
  <c r="N1122" i="5"/>
  <c r="X1122" i="5"/>
  <c r="H1122" i="5"/>
  <c r="S1122" i="5"/>
  <c r="I1122" i="5"/>
  <c r="T1122" i="5"/>
  <c r="J1122" i="5"/>
  <c r="U1122" i="5"/>
  <c r="B1122" i="5"/>
  <c r="AB1122" i="5"/>
  <c r="C1122" i="5"/>
  <c r="AC1122" i="5"/>
  <c r="Q1122" i="5"/>
  <c r="K1122" i="5"/>
  <c r="L1122" i="5"/>
  <c r="P1122" i="5"/>
  <c r="F1122" i="5"/>
  <c r="A1123" i="5"/>
  <c r="R1122" i="5"/>
  <c r="A1098" i="6"/>
  <c r="B1097" i="6"/>
  <c r="E1123" i="5" l="1"/>
  <c r="M1123" i="5"/>
  <c r="U1123" i="5"/>
  <c r="F1123" i="5"/>
  <c r="O1123" i="5"/>
  <c r="X1123" i="5"/>
  <c r="G1123" i="5"/>
  <c r="P1123" i="5"/>
  <c r="AB1123" i="5"/>
  <c r="D1123" i="5"/>
  <c r="R1123" i="5"/>
  <c r="H1123" i="5"/>
  <c r="S1123" i="5"/>
  <c r="I1123" i="5"/>
  <c r="T1123" i="5"/>
  <c r="N1123" i="5"/>
  <c r="Q1123" i="5"/>
  <c r="K1123" i="5"/>
  <c r="L1123" i="5"/>
  <c r="V1123" i="5"/>
  <c r="W1123" i="5"/>
  <c r="C1123" i="5"/>
  <c r="J1123" i="5"/>
  <c r="AC1123" i="5"/>
  <c r="B1123" i="5"/>
  <c r="A1124" i="5"/>
  <c r="F1122" i="4"/>
  <c r="G1122" i="4"/>
  <c r="H1122" i="4"/>
  <c r="E1122" i="4"/>
  <c r="I1122" i="4"/>
  <c r="C1122" i="4"/>
  <c r="A1123" i="4"/>
  <c r="D1122" i="4"/>
  <c r="J1122" i="4"/>
  <c r="B1122" i="4"/>
  <c r="B1098" i="6"/>
  <c r="A1099" i="6"/>
  <c r="J1122" i="2"/>
  <c r="B1122" i="2"/>
  <c r="K1122" i="2"/>
  <c r="H1122" i="2"/>
  <c r="I1122" i="2"/>
  <c r="A1123" i="2"/>
  <c r="C1122" i="2"/>
  <c r="E1122" i="2"/>
  <c r="F1122" i="2"/>
  <c r="G1122" i="2"/>
  <c r="B1099" i="6" l="1"/>
  <c r="A1100" i="6"/>
  <c r="H1123" i="2"/>
  <c r="I1123" i="2"/>
  <c r="F1123" i="2"/>
  <c r="A1124" i="2"/>
  <c r="B1123" i="2"/>
  <c r="E1123" i="2"/>
  <c r="C1123" i="2"/>
  <c r="G1123" i="2"/>
  <c r="J1123" i="2"/>
  <c r="K1123" i="2"/>
  <c r="C1124" i="5"/>
  <c r="K1124" i="5"/>
  <c r="S1124" i="5"/>
  <c r="A1125" i="5"/>
  <c r="G1124" i="5"/>
  <c r="P1124" i="5"/>
  <c r="AB1124" i="5"/>
  <c r="H1124" i="5"/>
  <c r="Q1124" i="5"/>
  <c r="AC1124" i="5"/>
  <c r="D1124" i="5"/>
  <c r="O1124" i="5"/>
  <c r="E1124" i="5"/>
  <c r="R1124" i="5"/>
  <c r="F1124" i="5"/>
  <c r="T1124" i="5"/>
  <c r="J1124" i="5"/>
  <c r="L1124" i="5"/>
  <c r="B1124" i="5"/>
  <c r="W1124" i="5"/>
  <c r="U1124" i="5"/>
  <c r="V1124" i="5"/>
  <c r="X1124" i="5"/>
  <c r="M1124" i="5"/>
  <c r="N1124" i="5"/>
  <c r="I1124" i="5"/>
  <c r="D1123" i="4"/>
  <c r="E1123" i="4"/>
  <c r="F1123" i="4"/>
  <c r="I1123" i="4"/>
  <c r="J1123" i="4"/>
  <c r="G1123" i="4"/>
  <c r="C1123" i="4"/>
  <c r="H1123" i="4"/>
  <c r="A1124" i="4"/>
  <c r="B1123" i="4"/>
  <c r="I1125" i="5" l="1"/>
  <c r="Q1125" i="5"/>
  <c r="AB1125" i="5"/>
  <c r="H1125" i="5"/>
  <c r="R1125" i="5"/>
  <c r="A1126" i="5"/>
  <c r="J1125" i="5"/>
  <c r="S1125" i="5"/>
  <c r="C1125" i="5"/>
  <c r="N1125" i="5"/>
  <c r="AC1125" i="5"/>
  <c r="D1125" i="5"/>
  <c r="O1125" i="5"/>
  <c r="E1125" i="5"/>
  <c r="P1125" i="5"/>
  <c r="B1125" i="5"/>
  <c r="V1125" i="5"/>
  <c r="F1125" i="5"/>
  <c r="W1125" i="5"/>
  <c r="T1125" i="5"/>
  <c r="X1125" i="5"/>
  <c r="M1125" i="5"/>
  <c r="U1125" i="5"/>
  <c r="K1125" i="5"/>
  <c r="L1125" i="5"/>
  <c r="G1125" i="5"/>
  <c r="B1124" i="4"/>
  <c r="J1124" i="4"/>
  <c r="C1124" i="4"/>
  <c r="A1125" i="4"/>
  <c r="D1124" i="4"/>
  <c r="H1124" i="4"/>
  <c r="I1124" i="4"/>
  <c r="E1124" i="4"/>
  <c r="G1124" i="4"/>
  <c r="F1124" i="4"/>
  <c r="F1124" i="2"/>
  <c r="G1124" i="2"/>
  <c r="C1124" i="2"/>
  <c r="A1125" i="2"/>
  <c r="B1124" i="2"/>
  <c r="E1124" i="2"/>
  <c r="H1124" i="2"/>
  <c r="K1124" i="2"/>
  <c r="I1124" i="2"/>
  <c r="J1124" i="2"/>
  <c r="B1100" i="6"/>
  <c r="A1101" i="6"/>
  <c r="A1102" i="6" l="1"/>
  <c r="B1101" i="6"/>
  <c r="C1125" i="2"/>
  <c r="A1126" i="2"/>
  <c r="E1125" i="2"/>
  <c r="J1125" i="2"/>
  <c r="F1125" i="2"/>
  <c r="G1125" i="2"/>
  <c r="H1125" i="2"/>
  <c r="K1125" i="2"/>
  <c r="I1125" i="2"/>
  <c r="B1125" i="2"/>
  <c r="H1125" i="4"/>
  <c r="I1125" i="4"/>
  <c r="B1125" i="4"/>
  <c r="J1125" i="4"/>
  <c r="C1125" i="4"/>
  <c r="D1125" i="4"/>
  <c r="F1125" i="4"/>
  <c r="G1125" i="4"/>
  <c r="A1126" i="4"/>
  <c r="E1125" i="4"/>
  <c r="G1126" i="5"/>
  <c r="O1126" i="5"/>
  <c r="W1126" i="5"/>
  <c r="J1126" i="5"/>
  <c r="S1126" i="5"/>
  <c r="B1126" i="5"/>
  <c r="K1126" i="5"/>
  <c r="T1126" i="5"/>
  <c r="M1126" i="5"/>
  <c r="AB1126" i="5"/>
  <c r="C1126" i="5"/>
  <c r="N1126" i="5"/>
  <c r="AC1126" i="5"/>
  <c r="D1126" i="5"/>
  <c r="P1126" i="5"/>
  <c r="A1127" i="5"/>
  <c r="Q1126" i="5"/>
  <c r="R1126" i="5"/>
  <c r="I1126" i="5"/>
  <c r="E1126" i="5"/>
  <c r="F1126" i="5"/>
  <c r="V1126" i="5"/>
  <c r="X1126" i="5"/>
  <c r="H1126" i="5"/>
  <c r="L1126" i="5"/>
  <c r="U1126" i="5"/>
  <c r="J1126" i="2" l="1"/>
  <c r="B1126" i="2"/>
  <c r="K1126" i="2"/>
  <c r="H1126" i="2"/>
  <c r="G1126" i="2"/>
  <c r="I1126" i="2"/>
  <c r="A1127" i="2"/>
  <c r="C1126" i="2"/>
  <c r="E1126" i="2"/>
  <c r="F1126" i="2"/>
  <c r="B1102" i="6"/>
  <c r="A1103" i="6"/>
  <c r="E1127" i="5"/>
  <c r="M1127" i="5"/>
  <c r="U1127" i="5"/>
  <c r="B1127" i="5"/>
  <c r="K1127" i="5"/>
  <c r="T1127" i="5"/>
  <c r="C1127" i="5"/>
  <c r="L1127" i="5"/>
  <c r="V1127" i="5"/>
  <c r="J1127" i="5"/>
  <c r="X1127" i="5"/>
  <c r="N1127" i="5"/>
  <c r="AB1127" i="5"/>
  <c r="O1127" i="5"/>
  <c r="AC1127" i="5"/>
  <c r="H1127" i="5"/>
  <c r="I1127" i="5"/>
  <c r="F1127" i="5"/>
  <c r="W1127" i="5"/>
  <c r="D1127" i="5"/>
  <c r="G1127" i="5"/>
  <c r="P1127" i="5"/>
  <c r="A1128" i="5"/>
  <c r="Q1127" i="5"/>
  <c r="S1127" i="5"/>
  <c r="R1127" i="5"/>
  <c r="F1126" i="4"/>
  <c r="G1126" i="4"/>
  <c r="H1126" i="4"/>
  <c r="D1126" i="4"/>
  <c r="E1126" i="4"/>
  <c r="B1126" i="4"/>
  <c r="A1127" i="4"/>
  <c r="I1126" i="4"/>
  <c r="J1126" i="4"/>
  <c r="C1126" i="4"/>
  <c r="C1128" i="5" l="1"/>
  <c r="K1128" i="5"/>
  <c r="S1128" i="5"/>
  <c r="A1129" i="5"/>
  <c r="D1128" i="5"/>
  <c r="M1128" i="5"/>
  <c r="V1128" i="5"/>
  <c r="E1128" i="5"/>
  <c r="N1128" i="5"/>
  <c r="W1128" i="5"/>
  <c r="I1128" i="5"/>
  <c r="U1128" i="5"/>
  <c r="J1128" i="5"/>
  <c r="X1128" i="5"/>
  <c r="L1128" i="5"/>
  <c r="AB1128" i="5"/>
  <c r="B1128" i="5"/>
  <c r="T1128" i="5"/>
  <c r="F1128" i="5"/>
  <c r="AC1128" i="5"/>
  <c r="Q1128" i="5"/>
  <c r="H1128" i="5"/>
  <c r="O1128" i="5"/>
  <c r="P1128" i="5"/>
  <c r="G1128" i="5"/>
  <c r="R1128" i="5"/>
  <c r="H1127" i="2"/>
  <c r="I1127" i="2"/>
  <c r="F1127" i="2"/>
  <c r="K1127" i="2"/>
  <c r="A1128" i="2"/>
  <c r="B1127" i="2"/>
  <c r="E1127" i="2"/>
  <c r="G1127" i="2"/>
  <c r="J1127" i="2"/>
  <c r="C1127" i="2"/>
  <c r="D1127" i="4"/>
  <c r="E1127" i="4"/>
  <c r="F1127" i="4"/>
  <c r="H1127" i="4"/>
  <c r="I1127" i="4"/>
  <c r="C1127" i="4"/>
  <c r="G1127" i="4"/>
  <c r="J1127" i="4"/>
  <c r="A1128" i="4"/>
  <c r="B1127" i="4"/>
  <c r="B1103" i="6"/>
  <c r="A1104" i="6"/>
  <c r="I1129" i="5" l="1"/>
  <c r="Q1129" i="5"/>
  <c r="AB1129" i="5"/>
  <c r="E1129" i="5"/>
  <c r="N1129" i="5"/>
  <c r="W1129" i="5"/>
  <c r="F1129" i="5"/>
  <c r="O1129" i="5"/>
  <c r="X1129" i="5"/>
  <c r="H1129" i="5"/>
  <c r="T1129" i="5"/>
  <c r="J1129" i="5"/>
  <c r="U1129" i="5"/>
  <c r="K1129" i="5"/>
  <c r="V1129" i="5"/>
  <c r="P1129" i="5"/>
  <c r="R1129" i="5"/>
  <c r="L1129" i="5"/>
  <c r="M1129" i="5"/>
  <c r="S1129" i="5"/>
  <c r="AC1129" i="5"/>
  <c r="D1129" i="5"/>
  <c r="G1129" i="5"/>
  <c r="C1129" i="5"/>
  <c r="A1130" i="5"/>
  <c r="B1129" i="5"/>
  <c r="B1104" i="6"/>
  <c r="A1105" i="6"/>
  <c r="F1128" i="2"/>
  <c r="G1128" i="2"/>
  <c r="C1128" i="2"/>
  <c r="A1129" i="2"/>
  <c r="B1128" i="2"/>
  <c r="E1128" i="2"/>
  <c r="H1128" i="2"/>
  <c r="J1128" i="2"/>
  <c r="K1128" i="2"/>
  <c r="I1128" i="2"/>
  <c r="B1128" i="4"/>
  <c r="J1128" i="4"/>
  <c r="C1128" i="4"/>
  <c r="A1129" i="4"/>
  <c r="D1128" i="4"/>
  <c r="I1128" i="4"/>
  <c r="G1128" i="4"/>
  <c r="E1128" i="4"/>
  <c r="F1128" i="4"/>
  <c r="H1128" i="4"/>
  <c r="H1129" i="4" l="1"/>
  <c r="I1129" i="4"/>
  <c r="B1129" i="4"/>
  <c r="J1129" i="4"/>
  <c r="C1129" i="4"/>
  <c r="A1130" i="4"/>
  <c r="F1129" i="4"/>
  <c r="G1129" i="4"/>
  <c r="D1129" i="4"/>
  <c r="E1129" i="4"/>
  <c r="C1129" i="2"/>
  <c r="A1130" i="2"/>
  <c r="E1129" i="2"/>
  <c r="J1129" i="2"/>
  <c r="B1129" i="2"/>
  <c r="F1129" i="2"/>
  <c r="G1129" i="2"/>
  <c r="H1129" i="2"/>
  <c r="I1129" i="2"/>
  <c r="K1129" i="2"/>
  <c r="G1130" i="5"/>
  <c r="O1130" i="5"/>
  <c r="W1130" i="5"/>
  <c r="F1130" i="5"/>
  <c r="P1130" i="5"/>
  <c r="AB1130" i="5"/>
  <c r="H1130" i="5"/>
  <c r="Q1130" i="5"/>
  <c r="AC1130" i="5"/>
  <c r="E1130" i="5"/>
  <c r="S1130" i="5"/>
  <c r="I1130" i="5"/>
  <c r="T1130" i="5"/>
  <c r="J1130" i="5"/>
  <c r="U1130" i="5"/>
  <c r="K1130" i="5"/>
  <c r="L1130" i="5"/>
  <c r="C1130" i="5"/>
  <c r="X1130" i="5"/>
  <c r="R1130" i="5"/>
  <c r="V1130" i="5"/>
  <c r="A1131" i="5"/>
  <c r="M1130" i="5"/>
  <c r="N1130" i="5"/>
  <c r="B1130" i="5"/>
  <c r="D1130" i="5"/>
  <c r="B1105" i="6"/>
  <c r="A1106" i="6"/>
  <c r="J1130" i="2" l="1"/>
  <c r="B1130" i="2"/>
  <c r="K1130" i="2"/>
  <c r="H1130" i="2"/>
  <c r="F1130" i="2"/>
  <c r="G1130" i="2"/>
  <c r="I1130" i="2"/>
  <c r="A1131" i="2"/>
  <c r="C1130" i="2"/>
  <c r="E1130" i="2"/>
  <c r="B1106" i="6"/>
  <c r="A1107" i="6"/>
  <c r="F1130" i="4"/>
  <c r="G1130" i="4"/>
  <c r="H1130" i="4"/>
  <c r="C1130" i="4"/>
  <c r="D1130" i="4"/>
  <c r="B1130" i="4"/>
  <c r="A1131" i="4"/>
  <c r="I1130" i="4"/>
  <c r="J1130" i="4"/>
  <c r="E1130" i="4"/>
  <c r="E1131" i="5"/>
  <c r="M1131" i="5"/>
  <c r="U1131" i="5"/>
  <c r="H1131" i="5"/>
  <c r="Q1131" i="5"/>
  <c r="AC1131" i="5"/>
  <c r="I1131" i="5"/>
  <c r="R1131" i="5"/>
  <c r="A1132" i="5"/>
  <c r="D1131" i="5"/>
  <c r="P1131" i="5"/>
  <c r="F1131" i="5"/>
  <c r="S1131" i="5"/>
  <c r="G1131" i="5"/>
  <c r="T1131" i="5"/>
  <c r="B1131" i="5"/>
  <c r="W1131" i="5"/>
  <c r="C1131" i="5"/>
  <c r="X1131" i="5"/>
  <c r="O1131" i="5"/>
  <c r="AB1131" i="5"/>
  <c r="N1131" i="5"/>
  <c r="V1131" i="5"/>
  <c r="J1131" i="5"/>
  <c r="K1131" i="5"/>
  <c r="L1131" i="5"/>
  <c r="D1131" i="4" l="1"/>
  <c r="E1131" i="4"/>
  <c r="F1131" i="4"/>
  <c r="G1131" i="4"/>
  <c r="H1131" i="4"/>
  <c r="B1131" i="4"/>
  <c r="I1131" i="4"/>
  <c r="J1131" i="4"/>
  <c r="A1132" i="4"/>
  <c r="C1131" i="4"/>
  <c r="H1131" i="2"/>
  <c r="I1131" i="2"/>
  <c r="F1131" i="2"/>
  <c r="J1131" i="2"/>
  <c r="K1131" i="2"/>
  <c r="A1132" i="2"/>
  <c r="E1131" i="2"/>
  <c r="G1131" i="2"/>
  <c r="B1131" i="2"/>
  <c r="C1131" i="2"/>
  <c r="B1107" i="6"/>
  <c r="A1108" i="6"/>
  <c r="C1132" i="5"/>
  <c r="K1132" i="5"/>
  <c r="S1132" i="5"/>
  <c r="A1133" i="5"/>
  <c r="I1132" i="5"/>
  <c r="R1132" i="5"/>
  <c r="J1132" i="5"/>
  <c r="T1132" i="5"/>
  <c r="D1132" i="5"/>
  <c r="O1132" i="5"/>
  <c r="AC1132" i="5"/>
  <c r="E1132" i="5"/>
  <c r="P1132" i="5"/>
  <c r="F1132" i="5"/>
  <c r="Q1132" i="5"/>
  <c r="N1132" i="5"/>
  <c r="U1132" i="5"/>
  <c r="L1132" i="5"/>
  <c r="AB1132" i="5"/>
  <c r="B1132" i="5"/>
  <c r="G1132" i="5"/>
  <c r="W1132" i="5"/>
  <c r="X1132" i="5"/>
  <c r="M1132" i="5"/>
  <c r="V1132" i="5"/>
  <c r="H1132" i="5"/>
  <c r="F1132" i="2" l="1"/>
  <c r="G1132" i="2"/>
  <c r="C1132" i="2"/>
  <c r="A1133" i="2"/>
  <c r="K1132" i="2"/>
  <c r="B1132" i="2"/>
  <c r="E1132" i="2"/>
  <c r="H1132" i="2"/>
  <c r="I1132" i="2"/>
  <c r="J1132" i="2"/>
  <c r="B1108" i="6"/>
  <c r="A1109" i="6"/>
  <c r="I1133" i="5"/>
  <c r="Q1133" i="5"/>
  <c r="AB1133" i="5"/>
  <c r="B1133" i="5"/>
  <c r="K1133" i="5"/>
  <c r="T1133" i="5"/>
  <c r="C1133" i="5"/>
  <c r="L1133" i="5"/>
  <c r="U1133" i="5"/>
  <c r="N1133" i="5"/>
  <c r="AC1133" i="5"/>
  <c r="D1133" i="5"/>
  <c r="O1133" i="5"/>
  <c r="A1134" i="5"/>
  <c r="E1133" i="5"/>
  <c r="P1133" i="5"/>
  <c r="H1133" i="5"/>
  <c r="J1133" i="5"/>
  <c r="F1133" i="5"/>
  <c r="W1133" i="5"/>
  <c r="G1133" i="5"/>
  <c r="M1133" i="5"/>
  <c r="X1133" i="5"/>
  <c r="R1133" i="5"/>
  <c r="S1133" i="5"/>
  <c r="V1133" i="5"/>
  <c r="B1132" i="4"/>
  <c r="J1132" i="4"/>
  <c r="C1132" i="4"/>
  <c r="A1133" i="4"/>
  <c r="D1132" i="4"/>
  <c r="H1132" i="4"/>
  <c r="I1132" i="4"/>
  <c r="F1132" i="4"/>
  <c r="E1132" i="4"/>
  <c r="G1132" i="4"/>
  <c r="H1133" i="4" l="1"/>
  <c r="I1133" i="4"/>
  <c r="B1133" i="4"/>
  <c r="J1133" i="4"/>
  <c r="G1133" i="4"/>
  <c r="F1133" i="4"/>
  <c r="A1134" i="4"/>
  <c r="D1133" i="4"/>
  <c r="C1133" i="4"/>
  <c r="E1133" i="4"/>
  <c r="A1110" i="6"/>
  <c r="B1109" i="6"/>
  <c r="C1133" i="2"/>
  <c r="A1134" i="2"/>
  <c r="E1133" i="2"/>
  <c r="J1133" i="2"/>
  <c r="B1133" i="2"/>
  <c r="F1133" i="2"/>
  <c r="I1133" i="2"/>
  <c r="G1133" i="2"/>
  <c r="H1133" i="2"/>
  <c r="K1133" i="2"/>
  <c r="G1134" i="5"/>
  <c r="O1134" i="5"/>
  <c r="W1134" i="5"/>
  <c r="C1134" i="5"/>
  <c r="L1134" i="5"/>
  <c r="U1134" i="5"/>
  <c r="D1134" i="5"/>
  <c r="M1134" i="5"/>
  <c r="V1134" i="5"/>
  <c r="K1134" i="5"/>
  <c r="AB1134" i="5"/>
  <c r="N1134" i="5"/>
  <c r="AC1134" i="5"/>
  <c r="B1134" i="5"/>
  <c r="P1134" i="5"/>
  <c r="A1135" i="5"/>
  <c r="E1134" i="5"/>
  <c r="T1134" i="5"/>
  <c r="F1134" i="5"/>
  <c r="X1134" i="5"/>
  <c r="R1134" i="5"/>
  <c r="I1134" i="5"/>
  <c r="J1134" i="5"/>
  <c r="Q1134" i="5"/>
  <c r="H1134" i="5"/>
  <c r="S1134" i="5"/>
  <c r="F1134" i="4" l="1"/>
  <c r="G1134" i="4"/>
  <c r="H1134" i="4"/>
  <c r="B1134" i="4"/>
  <c r="C1134" i="4"/>
  <c r="A1135" i="4"/>
  <c r="D1134" i="4"/>
  <c r="I1134" i="4"/>
  <c r="J1134" i="4"/>
  <c r="E1134" i="4"/>
  <c r="E1135" i="5"/>
  <c r="M1135" i="5"/>
  <c r="U1135" i="5"/>
  <c r="D1135" i="5"/>
  <c r="N1135" i="5"/>
  <c r="W1135" i="5"/>
  <c r="F1135" i="5"/>
  <c r="O1135" i="5"/>
  <c r="X1135" i="5"/>
  <c r="J1135" i="5"/>
  <c r="V1135" i="5"/>
  <c r="K1135" i="5"/>
  <c r="AB1135" i="5"/>
  <c r="L1135" i="5"/>
  <c r="AC1135" i="5"/>
  <c r="Q1135" i="5"/>
  <c r="R1135" i="5"/>
  <c r="I1135" i="5"/>
  <c r="P1135" i="5"/>
  <c r="S1135" i="5"/>
  <c r="T1135" i="5"/>
  <c r="G1135" i="5"/>
  <c r="H1135" i="5"/>
  <c r="A1136" i="5"/>
  <c r="B1135" i="5"/>
  <c r="C1135" i="5"/>
  <c r="J1134" i="2"/>
  <c r="B1134" i="2"/>
  <c r="K1134" i="2"/>
  <c r="H1134" i="2"/>
  <c r="E1134" i="2"/>
  <c r="F1134" i="2"/>
  <c r="G1134" i="2"/>
  <c r="I1134" i="2"/>
  <c r="C1134" i="2"/>
  <c r="A1135" i="2"/>
  <c r="B1110" i="6"/>
  <c r="A1111" i="6"/>
  <c r="H1135" i="2" l="1"/>
  <c r="I1135" i="2"/>
  <c r="F1135" i="2"/>
  <c r="G1135" i="2"/>
  <c r="J1135" i="2"/>
  <c r="K1135" i="2"/>
  <c r="A1136" i="2"/>
  <c r="C1135" i="2"/>
  <c r="E1135" i="2"/>
  <c r="B1135" i="2"/>
  <c r="D1135" i="4"/>
  <c r="E1135" i="4"/>
  <c r="F1135" i="4"/>
  <c r="C1135" i="4"/>
  <c r="G1135" i="4"/>
  <c r="I1135" i="4"/>
  <c r="J1135" i="4"/>
  <c r="A1136" i="4"/>
  <c r="B1135" i="4"/>
  <c r="H1135" i="4"/>
  <c r="C1136" i="5"/>
  <c r="K1136" i="5"/>
  <c r="S1136" i="5"/>
  <c r="A1137" i="5"/>
  <c r="F1136" i="5"/>
  <c r="O1136" i="5"/>
  <c r="X1136" i="5"/>
  <c r="G1136" i="5"/>
  <c r="P1136" i="5"/>
  <c r="AB1136" i="5"/>
  <c r="I1136" i="5"/>
  <c r="U1136" i="5"/>
  <c r="J1136" i="5"/>
  <c r="V1136" i="5"/>
  <c r="L1136" i="5"/>
  <c r="W1136" i="5"/>
  <c r="H1136" i="5"/>
  <c r="M1136" i="5"/>
  <c r="D1136" i="5"/>
  <c r="AC1136" i="5"/>
  <c r="R1136" i="5"/>
  <c r="T1136" i="5"/>
  <c r="N1136" i="5"/>
  <c r="Q1136" i="5"/>
  <c r="B1136" i="5"/>
  <c r="E1136" i="5"/>
  <c r="A1112" i="6"/>
  <c r="B1111" i="6"/>
  <c r="I1137" i="5" l="1"/>
  <c r="Q1137" i="5"/>
  <c r="AB1137" i="5"/>
  <c r="G1137" i="5"/>
  <c r="P1137" i="5"/>
  <c r="AC1137" i="5"/>
  <c r="H1137" i="5"/>
  <c r="R1137" i="5"/>
  <c r="A1138" i="5"/>
  <c r="F1137" i="5"/>
  <c r="T1137" i="5"/>
  <c r="J1137" i="5"/>
  <c r="U1137" i="5"/>
  <c r="K1137" i="5"/>
  <c r="V1137" i="5"/>
  <c r="C1137" i="5"/>
  <c r="W1137" i="5"/>
  <c r="D1137" i="5"/>
  <c r="X1137" i="5"/>
  <c r="O1137" i="5"/>
  <c r="B1137" i="5"/>
  <c r="N1137" i="5"/>
  <c r="S1137" i="5"/>
  <c r="E1137" i="5"/>
  <c r="M1137" i="5"/>
  <c r="L1137" i="5"/>
  <c r="B1112" i="6"/>
  <c r="A1113" i="6"/>
  <c r="F1136" i="2"/>
  <c r="G1136" i="2"/>
  <c r="C1136" i="2"/>
  <c r="A1137" i="2"/>
  <c r="J1136" i="2"/>
  <c r="K1136" i="2"/>
  <c r="B1136" i="2"/>
  <c r="E1136" i="2"/>
  <c r="H1136" i="2"/>
  <c r="I1136" i="2"/>
  <c r="B1136" i="4"/>
  <c r="J1136" i="4"/>
  <c r="C1136" i="4"/>
  <c r="A1137" i="4"/>
  <c r="D1136" i="4"/>
  <c r="G1136" i="4"/>
  <c r="H1136" i="4"/>
  <c r="E1136" i="4"/>
  <c r="F1136" i="4"/>
  <c r="I1136" i="4"/>
  <c r="C1137" i="2" l="1"/>
  <c r="A1138" i="2"/>
  <c r="E1137" i="2"/>
  <c r="J1137" i="2"/>
  <c r="B1137" i="2"/>
  <c r="F1137" i="2"/>
  <c r="G1137" i="2"/>
  <c r="I1137" i="2"/>
  <c r="K1137" i="2"/>
  <c r="H1137" i="2"/>
  <c r="B1113" i="6"/>
  <c r="A1114" i="6"/>
  <c r="H1137" i="4"/>
  <c r="I1137" i="4"/>
  <c r="B1137" i="4"/>
  <c r="J1137" i="4"/>
  <c r="A1138" i="4"/>
  <c r="F1137" i="4"/>
  <c r="G1137" i="4"/>
  <c r="D1137" i="4"/>
  <c r="C1137" i="4"/>
  <c r="E1137" i="4"/>
  <c r="G1138" i="5"/>
  <c r="O1138" i="5"/>
  <c r="W1138" i="5"/>
  <c r="I1138" i="5"/>
  <c r="R1138" i="5"/>
  <c r="A1139" i="5"/>
  <c r="J1138" i="5"/>
  <c r="S1138" i="5"/>
  <c r="E1138" i="5"/>
  <c r="Q1138" i="5"/>
  <c r="F1138" i="5"/>
  <c r="T1138" i="5"/>
  <c r="H1138" i="5"/>
  <c r="U1138" i="5"/>
  <c r="N1138" i="5"/>
  <c r="P1138" i="5"/>
  <c r="L1138" i="5"/>
  <c r="B1138" i="5"/>
  <c r="AC1138" i="5"/>
  <c r="C1138" i="5"/>
  <c r="D1138" i="5"/>
  <c r="X1138" i="5"/>
  <c r="AB1138" i="5"/>
  <c r="V1138" i="5"/>
  <c r="K1138" i="5"/>
  <c r="M1138" i="5"/>
  <c r="J1138" i="2" l="1"/>
  <c r="B1138" i="2"/>
  <c r="K1138" i="2"/>
  <c r="H1138" i="2"/>
  <c r="C1138" i="2"/>
  <c r="E1138" i="2"/>
  <c r="F1138" i="2"/>
  <c r="G1138" i="2"/>
  <c r="A1139" i="2"/>
  <c r="I1138" i="2"/>
  <c r="E1139" i="5"/>
  <c r="J1139" i="5"/>
  <c r="R1139" i="5"/>
  <c r="AC1139" i="5"/>
  <c r="B1139" i="5"/>
  <c r="K1139" i="5"/>
  <c r="S1139" i="5"/>
  <c r="A1140" i="5"/>
  <c r="D1139" i="5"/>
  <c r="O1139" i="5"/>
  <c r="AB1139" i="5"/>
  <c r="F1139" i="5"/>
  <c r="P1139" i="5"/>
  <c r="G1139" i="5"/>
  <c r="Q1139" i="5"/>
  <c r="I1139" i="5"/>
  <c r="X1139" i="5"/>
  <c r="L1139" i="5"/>
  <c r="C1139" i="5"/>
  <c r="V1139" i="5"/>
  <c r="H1139" i="5"/>
  <c r="M1139" i="5"/>
  <c r="W1139" i="5"/>
  <c r="N1139" i="5"/>
  <c r="T1139" i="5"/>
  <c r="U1139" i="5"/>
  <c r="B1114" i="6"/>
  <c r="A1115" i="6"/>
  <c r="F1138" i="4"/>
  <c r="G1138" i="4"/>
  <c r="H1138" i="4"/>
  <c r="B1138" i="4"/>
  <c r="J1138" i="4"/>
  <c r="C1138" i="4"/>
  <c r="D1138" i="4"/>
  <c r="I1138" i="4"/>
  <c r="A1139" i="4"/>
  <c r="E1138" i="4"/>
  <c r="D1139" i="4" l="1"/>
  <c r="E1139" i="4"/>
  <c r="F1139" i="4"/>
  <c r="B1139" i="4"/>
  <c r="C1139" i="4"/>
  <c r="A1140" i="4"/>
  <c r="I1139" i="4"/>
  <c r="J1139" i="4"/>
  <c r="G1139" i="4"/>
  <c r="H1139" i="4"/>
  <c r="B1115" i="6"/>
  <c r="A1116" i="6"/>
  <c r="H1140" i="5"/>
  <c r="P1140" i="5"/>
  <c r="X1140" i="5"/>
  <c r="I1140" i="5"/>
  <c r="Q1140" i="5"/>
  <c r="AB1140" i="5"/>
  <c r="K1140" i="5"/>
  <c r="U1140" i="5"/>
  <c r="B1140" i="5"/>
  <c r="L1140" i="5"/>
  <c r="V1140" i="5"/>
  <c r="C1140" i="5"/>
  <c r="M1140" i="5"/>
  <c r="W1140" i="5"/>
  <c r="R1140" i="5"/>
  <c r="D1140" i="5"/>
  <c r="S1140" i="5"/>
  <c r="N1140" i="5"/>
  <c r="F1140" i="5"/>
  <c r="G1140" i="5"/>
  <c r="J1140" i="5"/>
  <c r="A1141" i="5"/>
  <c r="E1140" i="5"/>
  <c r="O1140" i="5"/>
  <c r="T1140" i="5"/>
  <c r="AC1140" i="5"/>
  <c r="H1139" i="2"/>
  <c r="I1139" i="2"/>
  <c r="F1139" i="2"/>
  <c r="E1139" i="2"/>
  <c r="G1139" i="2"/>
  <c r="J1139" i="2"/>
  <c r="K1139" i="2"/>
  <c r="A1140" i="2"/>
  <c r="B1139" i="2"/>
  <c r="C1139" i="2"/>
  <c r="B1140" i="4" l="1"/>
  <c r="J1140" i="4"/>
  <c r="C1140" i="4"/>
  <c r="A1141" i="4"/>
  <c r="D1140" i="4"/>
  <c r="F1140" i="4"/>
  <c r="G1140" i="4"/>
  <c r="E1140" i="4"/>
  <c r="H1140" i="4"/>
  <c r="I1140" i="4"/>
  <c r="B1116" i="6"/>
  <c r="A1117" i="6"/>
  <c r="F1140" i="2"/>
  <c r="G1140" i="2"/>
  <c r="C1140" i="2"/>
  <c r="A1141" i="2"/>
  <c r="I1140" i="2"/>
  <c r="J1140" i="2"/>
  <c r="K1140" i="2"/>
  <c r="B1140" i="2"/>
  <c r="E1140" i="2"/>
  <c r="H1140" i="2"/>
  <c r="F1141" i="5"/>
  <c r="N1141" i="5"/>
  <c r="V1141" i="5"/>
  <c r="G1141" i="5"/>
  <c r="O1141" i="5"/>
  <c r="W1141" i="5"/>
  <c r="E1141" i="5"/>
  <c r="Q1141" i="5"/>
  <c r="A1142" i="5"/>
  <c r="H1141" i="5"/>
  <c r="R1141" i="5"/>
  <c r="I1141" i="5"/>
  <c r="S1141" i="5"/>
  <c r="J1141" i="5"/>
  <c r="AB1141" i="5"/>
  <c r="K1141" i="5"/>
  <c r="AC1141" i="5"/>
  <c r="C1141" i="5"/>
  <c r="U1141" i="5"/>
  <c r="D1141" i="5"/>
  <c r="L1141" i="5"/>
  <c r="M1141" i="5"/>
  <c r="B1141" i="5"/>
  <c r="T1141" i="5"/>
  <c r="X1141" i="5"/>
  <c r="P1141" i="5"/>
  <c r="A1118" i="6" l="1"/>
  <c r="B1117" i="6"/>
  <c r="H1141" i="4"/>
  <c r="I1141" i="4"/>
  <c r="B1141" i="4"/>
  <c r="J1141" i="4"/>
  <c r="G1141" i="4"/>
  <c r="A1142" i="4"/>
  <c r="E1141" i="4"/>
  <c r="D1141" i="4"/>
  <c r="F1141" i="4"/>
  <c r="C1141" i="4"/>
  <c r="D1142" i="5"/>
  <c r="L1142" i="5"/>
  <c r="T1142" i="5"/>
  <c r="E1142" i="5"/>
  <c r="M1142" i="5"/>
  <c r="U1142" i="5"/>
  <c r="K1142" i="5"/>
  <c r="W1142" i="5"/>
  <c r="B1142" i="5"/>
  <c r="N1142" i="5"/>
  <c r="X1142" i="5"/>
  <c r="C1142" i="5"/>
  <c r="O1142" i="5"/>
  <c r="AB1142" i="5"/>
  <c r="Q1142" i="5"/>
  <c r="R1142" i="5"/>
  <c r="J1142" i="5"/>
  <c r="H1142" i="5"/>
  <c r="I1142" i="5"/>
  <c r="P1142" i="5"/>
  <c r="F1142" i="5"/>
  <c r="A1143" i="5"/>
  <c r="G1142" i="5"/>
  <c r="S1142" i="5"/>
  <c r="V1142" i="5"/>
  <c r="AC1142" i="5"/>
  <c r="C1141" i="2"/>
  <c r="A1142" i="2"/>
  <c r="E1141" i="2"/>
  <c r="J1141" i="2"/>
  <c r="K1141" i="2"/>
  <c r="B1141" i="2"/>
  <c r="G1141" i="2"/>
  <c r="H1141" i="2"/>
  <c r="I1141" i="2"/>
  <c r="F1141" i="2"/>
  <c r="J1142" i="2" l="1"/>
  <c r="B1142" i="2"/>
  <c r="K1142" i="2"/>
  <c r="H1142" i="2"/>
  <c r="C1142" i="2"/>
  <c r="E1142" i="2"/>
  <c r="F1142" i="2"/>
  <c r="G1142" i="2"/>
  <c r="A1143" i="2"/>
  <c r="I1142" i="2"/>
  <c r="B1143" i="5"/>
  <c r="J1143" i="5"/>
  <c r="R1143" i="5"/>
  <c r="AC1143" i="5"/>
  <c r="C1143" i="5"/>
  <c r="K1143" i="5"/>
  <c r="S1143" i="5"/>
  <c r="A1144" i="5"/>
  <c r="G1143" i="5"/>
  <c r="Q1143" i="5"/>
  <c r="H1143" i="5"/>
  <c r="T1143" i="5"/>
  <c r="I1143" i="5"/>
  <c r="U1143" i="5"/>
  <c r="F1143" i="5"/>
  <c r="X1143" i="5"/>
  <c r="L1143" i="5"/>
  <c r="AB1143" i="5"/>
  <c r="D1143" i="5"/>
  <c r="V1143" i="5"/>
  <c r="M1143" i="5"/>
  <c r="N1143" i="5"/>
  <c r="O1143" i="5"/>
  <c r="E1143" i="5"/>
  <c r="W1143" i="5"/>
  <c r="P1143" i="5"/>
  <c r="F1142" i="4"/>
  <c r="G1142" i="4"/>
  <c r="H1142" i="4"/>
  <c r="A1143" i="4"/>
  <c r="I1142" i="4"/>
  <c r="B1142" i="4"/>
  <c r="C1142" i="4"/>
  <c r="D1142" i="4"/>
  <c r="J1142" i="4"/>
  <c r="E1142" i="4"/>
  <c r="B1118" i="6"/>
  <c r="J1118" i="6"/>
  <c r="R1118" i="6"/>
  <c r="I1118" i="6"/>
  <c r="S1118" i="6"/>
  <c r="K1118" i="6"/>
  <c r="T1118" i="6"/>
  <c r="C1118" i="6"/>
  <c r="L1118" i="6"/>
  <c r="A1119" i="6"/>
  <c r="H1118" i="6"/>
  <c r="F1118" i="6"/>
  <c r="O1118" i="6"/>
  <c r="P1118" i="6"/>
  <c r="E1118" i="6"/>
  <c r="N1118" i="6"/>
  <c r="G1118" i="6"/>
  <c r="M1118" i="6"/>
  <c r="D1118" i="6"/>
  <c r="Q1118" i="6"/>
  <c r="F1119" i="6" l="1"/>
  <c r="N1119" i="6"/>
  <c r="H1119" i="6"/>
  <c r="Q1119" i="6"/>
  <c r="I1119" i="6"/>
  <c r="R1119" i="6"/>
  <c r="J1119" i="6"/>
  <c r="S1119" i="6"/>
  <c r="D1119" i="6"/>
  <c r="T1119" i="6"/>
  <c r="B1119" i="6"/>
  <c r="O1119" i="6"/>
  <c r="M1119" i="6"/>
  <c r="P1119" i="6"/>
  <c r="E1119" i="6"/>
  <c r="G1119" i="6"/>
  <c r="K1119" i="6"/>
  <c r="L1119" i="6"/>
  <c r="A1120" i="6"/>
  <c r="C1119" i="6"/>
  <c r="D1143" i="4"/>
  <c r="E1143" i="4"/>
  <c r="F1143" i="4"/>
  <c r="B1143" i="4"/>
  <c r="J1143" i="4"/>
  <c r="I1143" i="4"/>
  <c r="A1144" i="4"/>
  <c r="G1143" i="4"/>
  <c r="C1143" i="4"/>
  <c r="H1143" i="4"/>
  <c r="H1144" i="5"/>
  <c r="P1144" i="5"/>
  <c r="X1144" i="5"/>
  <c r="I1144" i="5"/>
  <c r="Q1144" i="5"/>
  <c r="AB1144" i="5"/>
  <c r="C1144" i="5"/>
  <c r="M1144" i="5"/>
  <c r="W1144" i="5"/>
  <c r="D1144" i="5"/>
  <c r="N1144" i="5"/>
  <c r="AC1144" i="5"/>
  <c r="E1144" i="5"/>
  <c r="O1144" i="5"/>
  <c r="A1145" i="5"/>
  <c r="R1144" i="5"/>
  <c r="S1144" i="5"/>
  <c r="K1144" i="5"/>
  <c r="J1144" i="5"/>
  <c r="L1144" i="5"/>
  <c r="T1144" i="5"/>
  <c r="F1144" i="5"/>
  <c r="G1144" i="5"/>
  <c r="U1144" i="5"/>
  <c r="V1144" i="5"/>
  <c r="B1144" i="5"/>
  <c r="H1143" i="2"/>
  <c r="I1143" i="2"/>
  <c r="F1143" i="2"/>
  <c r="C1143" i="2"/>
  <c r="E1143" i="2"/>
  <c r="G1143" i="2"/>
  <c r="J1143" i="2"/>
  <c r="K1143" i="2"/>
  <c r="A1144" i="2"/>
  <c r="B1143" i="2"/>
  <c r="F1145" i="5" l="1"/>
  <c r="N1145" i="5"/>
  <c r="V1145" i="5"/>
  <c r="G1145" i="5"/>
  <c r="O1145" i="5"/>
  <c r="W1145" i="5"/>
  <c r="I1145" i="5"/>
  <c r="S1145" i="5"/>
  <c r="J1145" i="5"/>
  <c r="T1145" i="5"/>
  <c r="K1145" i="5"/>
  <c r="U1145" i="5"/>
  <c r="E1145" i="5"/>
  <c r="AB1145" i="5"/>
  <c r="H1145" i="5"/>
  <c r="AC1145" i="5"/>
  <c r="C1145" i="5"/>
  <c r="R1145" i="5"/>
  <c r="M1145" i="5"/>
  <c r="P1145" i="5"/>
  <c r="Q1145" i="5"/>
  <c r="D1145" i="5"/>
  <c r="L1145" i="5"/>
  <c r="B1145" i="5"/>
  <c r="X1145" i="5"/>
  <c r="A1146" i="5"/>
  <c r="B1144" i="4"/>
  <c r="J1144" i="4"/>
  <c r="C1144" i="4"/>
  <c r="A1145" i="4"/>
  <c r="D1144" i="4"/>
  <c r="E1144" i="4"/>
  <c r="F1144" i="4"/>
  <c r="G1144" i="4"/>
  <c r="H1144" i="4"/>
  <c r="I1144" i="4"/>
  <c r="B1120" i="6"/>
  <c r="J1120" i="6"/>
  <c r="R1120" i="6"/>
  <c r="F1120" i="6"/>
  <c r="O1120" i="6"/>
  <c r="G1120" i="6"/>
  <c r="P1120" i="6"/>
  <c r="H1120" i="6"/>
  <c r="Q1120" i="6"/>
  <c r="M1120" i="6"/>
  <c r="K1120" i="6"/>
  <c r="N1120" i="6"/>
  <c r="S1120" i="6"/>
  <c r="D1120" i="6"/>
  <c r="T1120" i="6"/>
  <c r="A1121" i="6"/>
  <c r="E1120" i="6"/>
  <c r="L1120" i="6"/>
  <c r="C1120" i="6"/>
  <c r="I1120" i="6"/>
  <c r="F1144" i="2"/>
  <c r="G1144" i="2"/>
  <c r="C1144" i="2"/>
  <c r="A1145" i="2"/>
  <c r="H1144" i="2"/>
  <c r="I1144" i="2"/>
  <c r="J1144" i="2"/>
  <c r="K1144" i="2"/>
  <c r="B1144" i="2"/>
  <c r="E1144" i="2"/>
  <c r="C1145" i="2" l="1"/>
  <c r="A1146" i="2"/>
  <c r="E1145" i="2"/>
  <c r="J1145" i="2"/>
  <c r="I1145" i="2"/>
  <c r="K1145" i="2"/>
  <c r="F1145" i="2"/>
  <c r="G1145" i="2"/>
  <c r="H1145" i="2"/>
  <c r="B1145" i="2"/>
  <c r="F1121" i="6"/>
  <c r="N1121" i="6"/>
  <c r="D1121" i="6"/>
  <c r="M1121" i="6"/>
  <c r="E1121" i="6"/>
  <c r="O1121" i="6"/>
  <c r="G1121" i="6"/>
  <c r="P1121" i="6"/>
  <c r="I1121" i="6"/>
  <c r="A1122" i="6"/>
  <c r="C1121" i="6"/>
  <c r="S1121" i="6"/>
  <c r="L1121" i="6"/>
  <c r="Q1121" i="6"/>
  <c r="B1121" i="6"/>
  <c r="R1121" i="6"/>
  <c r="H1121" i="6"/>
  <c r="T1121" i="6"/>
  <c r="J1121" i="6"/>
  <c r="K1121" i="6"/>
  <c r="D1146" i="5"/>
  <c r="L1146" i="5"/>
  <c r="T1146" i="5"/>
  <c r="E1146" i="5"/>
  <c r="M1146" i="5"/>
  <c r="U1146" i="5"/>
  <c r="C1146" i="5"/>
  <c r="O1146" i="5"/>
  <c r="AB1146" i="5"/>
  <c r="F1146" i="5"/>
  <c r="P1146" i="5"/>
  <c r="AC1146" i="5"/>
  <c r="G1146" i="5"/>
  <c r="Q1146" i="5"/>
  <c r="A1147" i="5"/>
  <c r="N1146" i="5"/>
  <c r="R1146" i="5"/>
  <c r="J1146" i="5"/>
  <c r="K1146" i="5"/>
  <c r="S1146" i="5"/>
  <c r="V1146" i="5"/>
  <c r="H1146" i="5"/>
  <c r="I1146" i="5"/>
  <c r="B1146" i="5"/>
  <c r="W1146" i="5"/>
  <c r="X1146" i="5"/>
  <c r="H1145" i="4"/>
  <c r="I1145" i="4"/>
  <c r="B1145" i="4"/>
  <c r="J1145" i="4"/>
  <c r="F1145" i="4"/>
  <c r="G1145" i="4"/>
  <c r="D1145" i="4"/>
  <c r="E1145" i="4"/>
  <c r="C1145" i="4"/>
  <c r="A1146" i="4"/>
  <c r="B1122" i="6" l="1"/>
  <c r="J1122" i="6"/>
  <c r="R1122" i="6"/>
  <c r="C1122" i="6"/>
  <c r="L1122" i="6"/>
  <c r="A1123" i="6"/>
  <c r="D1122" i="6"/>
  <c r="M1122" i="6"/>
  <c r="E1122" i="6"/>
  <c r="N1122" i="6"/>
  <c r="Q1122" i="6"/>
  <c r="O1122" i="6"/>
  <c r="K1122" i="6"/>
  <c r="P1122" i="6"/>
  <c r="F1122" i="6"/>
  <c r="H1122" i="6"/>
  <c r="I1122" i="6"/>
  <c r="S1122" i="6"/>
  <c r="G1122" i="6"/>
  <c r="T1122" i="6"/>
  <c r="B1147" i="5"/>
  <c r="J1147" i="5"/>
  <c r="R1147" i="5"/>
  <c r="AC1147" i="5"/>
  <c r="C1147" i="5"/>
  <c r="K1147" i="5"/>
  <c r="S1147" i="5"/>
  <c r="A1148" i="5"/>
  <c r="I1147" i="5"/>
  <c r="U1147" i="5"/>
  <c r="L1147" i="5"/>
  <c r="V1147" i="5"/>
  <c r="M1147" i="5"/>
  <c r="W1147" i="5"/>
  <c r="F1147" i="5"/>
  <c r="X1147" i="5"/>
  <c r="G1147" i="5"/>
  <c r="AB1147" i="5"/>
  <c r="D1147" i="5"/>
  <c r="Q1147" i="5"/>
  <c r="O1147" i="5"/>
  <c r="P1147" i="5"/>
  <c r="T1147" i="5"/>
  <c r="H1147" i="5"/>
  <c r="N1147" i="5"/>
  <c r="E1147" i="5"/>
  <c r="F1146" i="4"/>
  <c r="G1146" i="4"/>
  <c r="H1146" i="4"/>
  <c r="J1146" i="4"/>
  <c r="A1147" i="4"/>
  <c r="E1146" i="4"/>
  <c r="B1146" i="4"/>
  <c r="C1146" i="4"/>
  <c r="D1146" i="4"/>
  <c r="I1146" i="4"/>
  <c r="J1146" i="2"/>
  <c r="B1146" i="2"/>
  <c r="K1146" i="2"/>
  <c r="H1146" i="2"/>
  <c r="C1146" i="2"/>
  <c r="F1146" i="2"/>
  <c r="E1146" i="2"/>
  <c r="I1146" i="2"/>
  <c r="A1147" i="2"/>
  <c r="G1146" i="2"/>
  <c r="F1123" i="6" l="1"/>
  <c r="N1123" i="6"/>
  <c r="J1123" i="6"/>
  <c r="S1123" i="6"/>
  <c r="B1123" i="6"/>
  <c r="K1123" i="6"/>
  <c r="T1123" i="6"/>
  <c r="C1123" i="6"/>
  <c r="L1123" i="6"/>
  <c r="A1124" i="6"/>
  <c r="M1123" i="6"/>
  <c r="H1123" i="6"/>
  <c r="O1123" i="6"/>
  <c r="P1123" i="6"/>
  <c r="D1123" i="6"/>
  <c r="R1123" i="6"/>
  <c r="G1123" i="6"/>
  <c r="E1123" i="6"/>
  <c r="I1123" i="6"/>
  <c r="Q1123" i="6"/>
  <c r="H1148" i="5"/>
  <c r="P1148" i="5"/>
  <c r="X1148" i="5"/>
  <c r="I1148" i="5"/>
  <c r="Q1148" i="5"/>
  <c r="AB1148" i="5"/>
  <c r="E1148" i="5"/>
  <c r="O1148" i="5"/>
  <c r="A1149" i="5"/>
  <c r="F1148" i="5"/>
  <c r="R1148" i="5"/>
  <c r="G1148" i="5"/>
  <c r="S1148" i="5"/>
  <c r="M1148" i="5"/>
  <c r="N1148" i="5"/>
  <c r="K1148" i="5"/>
  <c r="AC1148" i="5"/>
  <c r="T1148" i="5"/>
  <c r="U1148" i="5"/>
  <c r="V1148" i="5"/>
  <c r="J1148" i="5"/>
  <c r="L1148" i="5"/>
  <c r="C1148" i="5"/>
  <c r="B1148" i="5"/>
  <c r="D1148" i="5"/>
  <c r="W1148" i="5"/>
  <c r="D1147" i="4"/>
  <c r="E1147" i="4"/>
  <c r="F1147" i="4"/>
  <c r="A1148" i="4"/>
  <c r="I1147" i="4"/>
  <c r="J1147" i="4"/>
  <c r="G1147" i="4"/>
  <c r="B1147" i="4"/>
  <c r="C1147" i="4"/>
  <c r="H1147" i="4"/>
  <c r="H1147" i="2"/>
  <c r="I1147" i="2"/>
  <c r="F1147" i="2"/>
  <c r="B1147" i="2"/>
  <c r="C1147" i="2"/>
  <c r="E1147" i="2"/>
  <c r="G1147" i="2"/>
  <c r="J1147" i="2"/>
  <c r="K1147" i="2"/>
  <c r="A1148" i="2"/>
  <c r="F1149" i="5" l="1"/>
  <c r="N1149" i="5"/>
  <c r="V1149" i="5"/>
  <c r="G1149" i="5"/>
  <c r="O1149" i="5"/>
  <c r="W1149" i="5"/>
  <c r="K1149" i="5"/>
  <c r="U1149" i="5"/>
  <c r="B1149" i="5"/>
  <c r="L1149" i="5"/>
  <c r="X1149" i="5"/>
  <c r="C1149" i="5"/>
  <c r="M1149" i="5"/>
  <c r="AB1149" i="5"/>
  <c r="E1149" i="5"/>
  <c r="T1149" i="5"/>
  <c r="H1149" i="5"/>
  <c r="AC1149" i="5"/>
  <c r="R1149" i="5"/>
  <c r="Q1149" i="5"/>
  <c r="S1149" i="5"/>
  <c r="A1150" i="5"/>
  <c r="J1149" i="5"/>
  <c r="P1149" i="5"/>
  <c r="D1149" i="5"/>
  <c r="I1149" i="5"/>
  <c r="F1148" i="2"/>
  <c r="G1148" i="2"/>
  <c r="C1148" i="2"/>
  <c r="A1149" i="2"/>
  <c r="E1148" i="2"/>
  <c r="H1148" i="2"/>
  <c r="I1148" i="2"/>
  <c r="J1148" i="2"/>
  <c r="B1148" i="2"/>
  <c r="K1148" i="2"/>
  <c r="B1148" i="4"/>
  <c r="J1148" i="4"/>
  <c r="C1148" i="4"/>
  <c r="A1149" i="4"/>
  <c r="D1148" i="4"/>
  <c r="E1148" i="4"/>
  <c r="F1148" i="4"/>
  <c r="G1148" i="4"/>
  <c r="H1148" i="4"/>
  <c r="I1148" i="4"/>
  <c r="B1124" i="6"/>
  <c r="J1124" i="6"/>
  <c r="R1124" i="6"/>
  <c r="H1124" i="6"/>
  <c r="Q1124" i="6"/>
  <c r="I1124" i="6"/>
  <c r="S1124" i="6"/>
  <c r="K1124" i="6"/>
  <c r="T1124" i="6"/>
  <c r="F1124" i="6"/>
  <c r="D1124" i="6"/>
  <c r="P1124" i="6"/>
  <c r="M1124" i="6"/>
  <c r="N1124" i="6"/>
  <c r="C1124" i="6"/>
  <c r="E1124" i="6"/>
  <c r="A1125" i="6"/>
  <c r="G1124" i="6"/>
  <c r="L1124" i="6"/>
  <c r="O1124" i="6"/>
  <c r="F1125" i="6" l="1"/>
  <c r="N1125" i="6"/>
  <c r="G1125" i="6"/>
  <c r="P1125" i="6"/>
  <c r="H1125" i="6"/>
  <c r="Q1125" i="6"/>
  <c r="I1125" i="6"/>
  <c r="R1125" i="6"/>
  <c r="B1125" i="6"/>
  <c r="O1125" i="6"/>
  <c r="L1125" i="6"/>
  <c r="K1125" i="6"/>
  <c r="M1125" i="6"/>
  <c r="C1125" i="6"/>
  <c r="A1126" i="6"/>
  <c r="J1125" i="6"/>
  <c r="S1125" i="6"/>
  <c r="T1125" i="6"/>
  <c r="D1125" i="6"/>
  <c r="E1125" i="6"/>
  <c r="C1149" i="2"/>
  <c r="A1150" i="2"/>
  <c r="E1149" i="2"/>
  <c r="J1149" i="2"/>
  <c r="H1149" i="2"/>
  <c r="I1149" i="2"/>
  <c r="K1149" i="2"/>
  <c r="F1149" i="2"/>
  <c r="G1149" i="2"/>
  <c r="B1149" i="2"/>
  <c r="H1149" i="4"/>
  <c r="I1149" i="4"/>
  <c r="B1149" i="4"/>
  <c r="J1149" i="4"/>
  <c r="E1149" i="4"/>
  <c r="F1149" i="4"/>
  <c r="C1149" i="4"/>
  <c r="G1149" i="4"/>
  <c r="D1149" i="4"/>
  <c r="A1150" i="4"/>
  <c r="D1150" i="5"/>
  <c r="L1150" i="5"/>
  <c r="T1150" i="5"/>
  <c r="E1150" i="5"/>
  <c r="M1150" i="5"/>
  <c r="U1150" i="5"/>
  <c r="G1150" i="5"/>
  <c r="Q1150" i="5"/>
  <c r="A1151" i="5"/>
  <c r="H1150" i="5"/>
  <c r="R1150" i="5"/>
  <c r="I1150" i="5"/>
  <c r="S1150" i="5"/>
  <c r="N1150" i="5"/>
  <c r="O1150" i="5"/>
  <c r="J1150" i="5"/>
  <c r="AB1150" i="5"/>
  <c r="V1150" i="5"/>
  <c r="W1150" i="5"/>
  <c r="X1150" i="5"/>
  <c r="K1150" i="5"/>
  <c r="P1150" i="5"/>
  <c r="C1150" i="5"/>
  <c r="F1150" i="5"/>
  <c r="AC1150" i="5"/>
  <c r="B1150" i="5"/>
  <c r="F1150" i="4" l="1"/>
  <c r="G1150" i="4"/>
  <c r="H1150" i="4"/>
  <c r="I1150" i="4"/>
  <c r="J1150" i="4"/>
  <c r="D1150" i="4"/>
  <c r="B1150" i="4"/>
  <c r="C1150" i="4"/>
  <c r="E1150" i="4"/>
  <c r="A1151" i="4"/>
  <c r="B1126" i="6"/>
  <c r="J1126" i="6"/>
  <c r="R1126" i="6"/>
  <c r="E1126" i="6"/>
  <c r="N1126" i="6"/>
  <c r="F1126" i="6"/>
  <c r="O1126" i="6"/>
  <c r="G1126" i="6"/>
  <c r="P1126" i="6"/>
  <c r="K1126" i="6"/>
  <c r="H1126" i="6"/>
  <c r="L1126" i="6"/>
  <c r="M1126" i="6"/>
  <c r="T1126" i="6"/>
  <c r="A1127" i="6"/>
  <c r="I1126" i="6"/>
  <c r="C1126" i="6"/>
  <c r="D1126" i="6"/>
  <c r="Q1126" i="6"/>
  <c r="S1126" i="6"/>
  <c r="J1150" i="2"/>
  <c r="B1150" i="2"/>
  <c r="K1150" i="2"/>
  <c r="H1150" i="2"/>
  <c r="A1151" i="2"/>
  <c r="C1150" i="2"/>
  <c r="E1150" i="2"/>
  <c r="F1150" i="2"/>
  <c r="G1150" i="2"/>
  <c r="I1150" i="2"/>
  <c r="B1151" i="5"/>
  <c r="J1151" i="5"/>
  <c r="R1151" i="5"/>
  <c r="AC1151" i="5"/>
  <c r="C1151" i="5"/>
  <c r="K1151" i="5"/>
  <c r="S1151" i="5"/>
  <c r="A1152" i="5"/>
  <c r="M1151" i="5"/>
  <c r="W1151" i="5"/>
  <c r="D1151" i="5"/>
  <c r="N1151" i="5"/>
  <c r="X1151" i="5"/>
  <c r="E1151" i="5"/>
  <c r="O1151" i="5"/>
  <c r="AB1151" i="5"/>
  <c r="F1151" i="5"/>
  <c r="U1151" i="5"/>
  <c r="G1151" i="5"/>
  <c r="V1151" i="5"/>
  <c r="Q1151" i="5"/>
  <c r="T1151" i="5"/>
  <c r="L1151" i="5"/>
  <c r="P1151" i="5"/>
  <c r="H1151" i="5"/>
  <c r="I1151" i="5"/>
  <c r="H1152" i="5" l="1"/>
  <c r="P1152" i="5"/>
  <c r="X1152" i="5"/>
  <c r="I1152" i="5"/>
  <c r="Q1152" i="5"/>
  <c r="AB1152" i="5"/>
  <c r="G1152" i="5"/>
  <c r="S1152" i="5"/>
  <c r="J1152" i="5"/>
  <c r="T1152" i="5"/>
  <c r="K1152" i="5"/>
  <c r="U1152" i="5"/>
  <c r="M1152" i="5"/>
  <c r="N1152" i="5"/>
  <c r="F1152" i="5"/>
  <c r="AC1152" i="5"/>
  <c r="V1152" i="5"/>
  <c r="B1152" i="5"/>
  <c r="W1152" i="5"/>
  <c r="C1152" i="5"/>
  <c r="A1153" i="5"/>
  <c r="O1152" i="5"/>
  <c r="R1152" i="5"/>
  <c r="E1152" i="5"/>
  <c r="L1152" i="5"/>
  <c r="D1152" i="5"/>
  <c r="H1151" i="2"/>
  <c r="I1151" i="2"/>
  <c r="F1151" i="2"/>
  <c r="B1151" i="2"/>
  <c r="C1151" i="2"/>
  <c r="E1151" i="2"/>
  <c r="K1151" i="2"/>
  <c r="A1152" i="2"/>
  <c r="G1151" i="2"/>
  <c r="J1151" i="2"/>
  <c r="D1151" i="4"/>
  <c r="E1151" i="4"/>
  <c r="F1151" i="4"/>
  <c r="J1151" i="4"/>
  <c r="A1152" i="4"/>
  <c r="H1151" i="4"/>
  <c r="G1151" i="4"/>
  <c r="B1151" i="4"/>
  <c r="C1151" i="4"/>
  <c r="I1151" i="4"/>
  <c r="F1127" i="6"/>
  <c r="N1127" i="6"/>
  <c r="C1127" i="6"/>
  <c r="L1127" i="6"/>
  <c r="A1128" i="6"/>
  <c r="D1127" i="6"/>
  <c r="M1127" i="6"/>
  <c r="E1127" i="6"/>
  <c r="O1127" i="6"/>
  <c r="G1127" i="6"/>
  <c r="S1127" i="6"/>
  <c r="I1127" i="6"/>
  <c r="J1127" i="6"/>
  <c r="Q1127" i="6"/>
  <c r="B1127" i="6"/>
  <c r="R1127" i="6"/>
  <c r="T1127" i="6"/>
  <c r="K1127" i="6"/>
  <c r="H1127" i="6"/>
  <c r="P1127" i="6"/>
  <c r="F1153" i="5" l="1"/>
  <c r="N1153" i="5"/>
  <c r="V1153" i="5"/>
  <c r="G1153" i="5"/>
  <c r="O1153" i="5"/>
  <c r="W1153" i="5"/>
  <c r="C1153" i="5"/>
  <c r="M1153" i="5"/>
  <c r="AB1153" i="5"/>
  <c r="D1153" i="5"/>
  <c r="P1153" i="5"/>
  <c r="AC1153" i="5"/>
  <c r="E1153" i="5"/>
  <c r="Q1153" i="5"/>
  <c r="A1154" i="5"/>
  <c r="B1153" i="5"/>
  <c r="T1153" i="5"/>
  <c r="H1153" i="5"/>
  <c r="U1153" i="5"/>
  <c r="R1153" i="5"/>
  <c r="X1153" i="5"/>
  <c r="L1153" i="5"/>
  <c r="S1153" i="5"/>
  <c r="I1153" i="5"/>
  <c r="K1153" i="5"/>
  <c r="J1153" i="5"/>
  <c r="B1128" i="6"/>
  <c r="J1128" i="6"/>
  <c r="R1128" i="6"/>
  <c r="K1128" i="6"/>
  <c r="T1128" i="6"/>
  <c r="C1128" i="6"/>
  <c r="L1128" i="6"/>
  <c r="A1129" i="6"/>
  <c r="D1128" i="6"/>
  <c r="M1128" i="6"/>
  <c r="O1128" i="6"/>
  <c r="F1128" i="6"/>
  <c r="G1128" i="6"/>
  <c r="N1128" i="6"/>
  <c r="H1128" i="6"/>
  <c r="I1128" i="6"/>
  <c r="E1128" i="6"/>
  <c r="P1128" i="6"/>
  <c r="Q1128" i="6"/>
  <c r="S1128" i="6"/>
  <c r="F1152" i="2"/>
  <c r="G1152" i="2"/>
  <c r="C1152" i="2"/>
  <c r="A1153" i="2"/>
  <c r="B1152" i="2"/>
  <c r="E1152" i="2"/>
  <c r="H1152" i="2"/>
  <c r="I1152" i="2"/>
  <c r="J1152" i="2"/>
  <c r="K1152" i="2"/>
  <c r="B1152" i="4"/>
  <c r="J1152" i="4"/>
  <c r="C1152" i="4"/>
  <c r="A1153" i="4"/>
  <c r="D1152" i="4"/>
  <c r="I1152" i="4"/>
  <c r="E1152" i="4"/>
  <c r="F1152" i="4"/>
  <c r="G1152" i="4"/>
  <c r="H1152" i="4"/>
  <c r="D1154" i="5" l="1"/>
  <c r="L1154" i="5"/>
  <c r="T1154" i="5"/>
  <c r="E1154" i="5"/>
  <c r="M1154" i="5"/>
  <c r="U1154" i="5"/>
  <c r="I1154" i="5"/>
  <c r="S1154" i="5"/>
  <c r="J1154" i="5"/>
  <c r="V1154" i="5"/>
  <c r="K1154" i="5"/>
  <c r="W1154" i="5"/>
  <c r="N1154" i="5"/>
  <c r="A1155" i="5"/>
  <c r="O1154" i="5"/>
  <c r="G1154" i="5"/>
  <c r="AB1154" i="5"/>
  <c r="X1154" i="5"/>
  <c r="B1154" i="5"/>
  <c r="AC1154" i="5"/>
  <c r="C1154" i="5"/>
  <c r="Q1154" i="5"/>
  <c r="R1154" i="5"/>
  <c r="F1154" i="5"/>
  <c r="P1154" i="5"/>
  <c r="H1154" i="5"/>
  <c r="H1153" i="4"/>
  <c r="I1153" i="4"/>
  <c r="B1153" i="4"/>
  <c r="J1153" i="4"/>
  <c r="D1153" i="4"/>
  <c r="E1153" i="4"/>
  <c r="G1153" i="4"/>
  <c r="C1153" i="4"/>
  <c r="A1154" i="4"/>
  <c r="F1153" i="4"/>
  <c r="C1153" i="2"/>
  <c r="A1154" i="2"/>
  <c r="E1153" i="2"/>
  <c r="J1153" i="2"/>
  <c r="G1153" i="2"/>
  <c r="H1153" i="2"/>
  <c r="I1153" i="2"/>
  <c r="K1153" i="2"/>
  <c r="B1153" i="2"/>
  <c r="F1153" i="2"/>
  <c r="F1129" i="6"/>
  <c r="N1129" i="6"/>
  <c r="I1129" i="6"/>
  <c r="R1129" i="6"/>
  <c r="J1129" i="6"/>
  <c r="S1129" i="6"/>
  <c r="B1129" i="6"/>
  <c r="K1129" i="6"/>
  <c r="T1129" i="6"/>
  <c r="H1129" i="6"/>
  <c r="C1129" i="6"/>
  <c r="Q1129" i="6"/>
  <c r="D1129" i="6"/>
  <c r="A1130" i="6"/>
  <c r="L1129" i="6"/>
  <c r="O1129" i="6"/>
  <c r="P1129" i="6"/>
  <c r="E1129" i="6"/>
  <c r="M1129" i="6"/>
  <c r="G1129" i="6"/>
  <c r="F1154" i="4" l="1"/>
  <c r="G1154" i="4"/>
  <c r="H1154" i="4"/>
  <c r="E1154" i="4"/>
  <c r="I1154" i="4"/>
  <c r="C1154" i="4"/>
  <c r="B1154" i="4"/>
  <c r="D1154" i="4"/>
  <c r="J1154" i="4"/>
  <c r="A1155" i="4"/>
  <c r="B1155" i="5"/>
  <c r="J1155" i="5"/>
  <c r="R1155" i="5"/>
  <c r="AC1155" i="5"/>
  <c r="C1155" i="5"/>
  <c r="K1155" i="5"/>
  <c r="S1155" i="5"/>
  <c r="A1156" i="5"/>
  <c r="E1155" i="5"/>
  <c r="O1155" i="5"/>
  <c r="AB1155" i="5"/>
  <c r="F1155" i="5"/>
  <c r="P1155" i="5"/>
  <c r="G1155" i="5"/>
  <c r="Q1155" i="5"/>
  <c r="U1155" i="5"/>
  <c r="D1155" i="5"/>
  <c r="V1155" i="5"/>
  <c r="N1155" i="5"/>
  <c r="X1155" i="5"/>
  <c r="H1155" i="5"/>
  <c r="T1155" i="5"/>
  <c r="W1155" i="5"/>
  <c r="M1155" i="5"/>
  <c r="I1155" i="5"/>
  <c r="L1155" i="5"/>
  <c r="B1130" i="6"/>
  <c r="J1130" i="6"/>
  <c r="R1130" i="6"/>
  <c r="G1130" i="6"/>
  <c r="P1130" i="6"/>
  <c r="H1130" i="6"/>
  <c r="Q1130" i="6"/>
  <c r="I1130" i="6"/>
  <c r="S1130" i="6"/>
  <c r="D1130" i="6"/>
  <c r="T1130" i="6"/>
  <c r="N1130" i="6"/>
  <c r="O1130" i="6"/>
  <c r="F1130" i="6"/>
  <c r="L1130" i="6"/>
  <c r="E1130" i="6"/>
  <c r="K1130" i="6"/>
  <c r="A1131" i="6"/>
  <c r="C1130" i="6"/>
  <c r="M1130" i="6"/>
  <c r="J1154" i="2"/>
  <c r="B1154" i="2"/>
  <c r="K1154" i="2"/>
  <c r="H1154" i="2"/>
  <c r="I1154" i="2"/>
  <c r="A1155" i="2"/>
  <c r="C1154" i="2"/>
  <c r="E1154" i="2"/>
  <c r="F1154" i="2"/>
  <c r="G1154" i="2"/>
  <c r="F1131" i="6" l="1"/>
  <c r="N1131" i="6"/>
  <c r="E1131" i="6"/>
  <c r="O1131" i="6"/>
  <c r="G1131" i="6"/>
  <c r="P1131" i="6"/>
  <c r="H1131" i="6"/>
  <c r="Q1131" i="6"/>
  <c r="L1131" i="6"/>
  <c r="K1131" i="6"/>
  <c r="M1131" i="6"/>
  <c r="C1131" i="6"/>
  <c r="T1131" i="6"/>
  <c r="B1131" i="6"/>
  <c r="D1131" i="6"/>
  <c r="S1131" i="6"/>
  <c r="R1131" i="6"/>
  <c r="I1131" i="6"/>
  <c r="J1131" i="6"/>
  <c r="A1132" i="6"/>
  <c r="H1156" i="5"/>
  <c r="P1156" i="5"/>
  <c r="X1156" i="5"/>
  <c r="I1156" i="5"/>
  <c r="Q1156" i="5"/>
  <c r="AB1156" i="5"/>
  <c r="K1156" i="5"/>
  <c r="U1156" i="5"/>
  <c r="B1156" i="5"/>
  <c r="L1156" i="5"/>
  <c r="V1156" i="5"/>
  <c r="C1156" i="5"/>
  <c r="M1156" i="5"/>
  <c r="W1156" i="5"/>
  <c r="J1156" i="5"/>
  <c r="N1156" i="5"/>
  <c r="F1156" i="5"/>
  <c r="AC1156" i="5"/>
  <c r="A1157" i="5"/>
  <c r="D1156" i="5"/>
  <c r="E1156" i="5"/>
  <c r="S1156" i="5"/>
  <c r="T1156" i="5"/>
  <c r="G1156" i="5"/>
  <c r="O1156" i="5"/>
  <c r="R1156" i="5"/>
  <c r="D1155" i="4"/>
  <c r="E1155" i="4"/>
  <c r="F1155" i="4"/>
  <c r="I1155" i="4"/>
  <c r="J1155" i="4"/>
  <c r="G1155" i="4"/>
  <c r="H1155" i="4"/>
  <c r="B1155" i="4"/>
  <c r="C1155" i="4"/>
  <c r="A1156" i="4"/>
  <c r="H1155" i="2"/>
  <c r="I1155" i="2"/>
  <c r="F1155" i="2"/>
  <c r="A1156" i="2"/>
  <c r="B1155" i="2"/>
  <c r="C1155" i="2"/>
  <c r="J1155" i="2"/>
  <c r="K1155" i="2"/>
  <c r="E1155" i="2"/>
  <c r="G1155" i="2"/>
  <c r="F1156" i="2" l="1"/>
  <c r="G1156" i="2"/>
  <c r="C1156" i="2"/>
  <c r="B1156" i="2"/>
  <c r="E1156" i="2"/>
  <c r="J1156" i="2"/>
  <c r="H1156" i="2"/>
  <c r="I1156" i="2"/>
  <c r="K1156" i="2"/>
  <c r="B1156" i="4"/>
  <c r="J1156" i="4"/>
  <c r="C1156" i="4"/>
  <c r="D1156" i="4"/>
  <c r="H1156" i="4"/>
  <c r="E1156" i="4"/>
  <c r="F1156" i="4"/>
  <c r="G1156" i="4"/>
  <c r="I1156" i="4"/>
  <c r="F1157" i="5"/>
  <c r="N1157" i="5"/>
  <c r="V1157" i="5"/>
  <c r="G1157" i="5"/>
  <c r="O1157" i="5"/>
  <c r="W1157" i="5"/>
  <c r="E1157" i="5"/>
  <c r="Q1157" i="5"/>
  <c r="H1157" i="5"/>
  <c r="R1157" i="5"/>
  <c r="I1157" i="5"/>
  <c r="S1157" i="5"/>
  <c r="B1157" i="5"/>
  <c r="T1157" i="5"/>
  <c r="C1157" i="5"/>
  <c r="U1157" i="5"/>
  <c r="M1157" i="5"/>
  <c r="AC1157" i="5"/>
  <c r="D1157" i="5"/>
  <c r="J1157" i="5"/>
  <c r="X1157" i="5"/>
  <c r="AB1157" i="5"/>
  <c r="K1157" i="5"/>
  <c r="L1157" i="5"/>
  <c r="P1157" i="5"/>
  <c r="B1132" i="6"/>
  <c r="J1132" i="6"/>
  <c r="R1132" i="6"/>
  <c r="D1132" i="6"/>
  <c r="M1132" i="6"/>
  <c r="E1132" i="6"/>
  <c r="N1132" i="6"/>
  <c r="F1132" i="6"/>
  <c r="O1132" i="6"/>
  <c r="H1132" i="6"/>
  <c r="A1133" i="6"/>
  <c r="I1132" i="6"/>
  <c r="K1132" i="6"/>
  <c r="Q1132" i="6"/>
  <c r="G1132" i="6"/>
  <c r="L1132" i="6"/>
  <c r="C1132" i="6"/>
  <c r="P1132" i="6"/>
  <c r="T1132" i="6"/>
  <c r="S1132" i="6"/>
  <c r="F1133" i="6" l="1"/>
  <c r="N1133" i="6"/>
  <c r="B1133" i="6"/>
  <c r="K1133" i="6"/>
  <c r="T1133" i="6"/>
  <c r="C1133" i="6"/>
  <c r="L1133" i="6"/>
  <c r="A1134" i="6"/>
  <c r="D1133" i="6"/>
  <c r="M1133" i="6"/>
  <c r="Q1133" i="6"/>
  <c r="G1133" i="6"/>
  <c r="H1133" i="6"/>
  <c r="O1133" i="6"/>
  <c r="P1133" i="6"/>
  <c r="R1133" i="6"/>
  <c r="E1133" i="6"/>
  <c r="S1133" i="6"/>
  <c r="I1133" i="6"/>
  <c r="J1133" i="6"/>
  <c r="B1134" i="6" l="1"/>
  <c r="J1134" i="6"/>
  <c r="R1134" i="6"/>
  <c r="I1134" i="6"/>
  <c r="S1134" i="6"/>
  <c r="K1134" i="6"/>
  <c r="T1134" i="6"/>
  <c r="C1134" i="6"/>
  <c r="L1134" i="6"/>
  <c r="A1135" i="6"/>
  <c r="M1134" i="6"/>
  <c r="D1134" i="6"/>
  <c r="Q1134" i="6"/>
  <c r="E1134" i="6"/>
  <c r="H1134" i="6"/>
  <c r="N1134" i="6"/>
  <c r="G1134" i="6"/>
  <c r="O1134" i="6"/>
  <c r="F1134" i="6"/>
  <c r="P1134" i="6"/>
  <c r="F1135" i="6" l="1"/>
  <c r="N1135" i="6"/>
  <c r="H1135" i="6"/>
  <c r="Q1135" i="6"/>
  <c r="I1135" i="6"/>
  <c r="R1135" i="6"/>
  <c r="J1135" i="6"/>
  <c r="S1135" i="6"/>
  <c r="E1135" i="6"/>
  <c r="A1136" i="6"/>
  <c r="O1135" i="6"/>
  <c r="B1135" i="6"/>
  <c r="P1135" i="6"/>
  <c r="G1135" i="6"/>
  <c r="C1135" i="6"/>
  <c r="D1135" i="6"/>
  <c r="T1135" i="6"/>
  <c r="K1135" i="6"/>
  <c r="M1135" i="6"/>
  <c r="L1135" i="6"/>
  <c r="E1136" i="6" l="1"/>
  <c r="M1136" i="6"/>
  <c r="A1137" i="6"/>
  <c r="F1136" i="6"/>
  <c r="N1136" i="6"/>
  <c r="G1136" i="6"/>
  <c r="O1136" i="6"/>
  <c r="L1136" i="6"/>
  <c r="J1136" i="6"/>
  <c r="K1136" i="6"/>
  <c r="C1136" i="6"/>
  <c r="R1136" i="6"/>
  <c r="H1136" i="6"/>
  <c r="I1136" i="6"/>
  <c r="T1136" i="6"/>
  <c r="P1136" i="6"/>
  <c r="Q1136" i="6"/>
  <c r="B1136" i="6"/>
  <c r="D1136" i="6"/>
  <c r="S1136" i="6"/>
  <c r="I1137" i="6" l="1"/>
  <c r="Q1137" i="6"/>
  <c r="B1137" i="6"/>
  <c r="J1137" i="6"/>
  <c r="R1137" i="6"/>
  <c r="C1137" i="6"/>
  <c r="K1137" i="6"/>
  <c r="S1137" i="6"/>
  <c r="F1137" i="6"/>
  <c r="T1137" i="6"/>
  <c r="E1137" i="6"/>
  <c r="A1138" i="6"/>
  <c r="G1137" i="6"/>
  <c r="M1137" i="6"/>
  <c r="L1137" i="6"/>
  <c r="N1137" i="6"/>
  <c r="P1137" i="6"/>
  <c r="H1137" i="6"/>
  <c r="O1137" i="6"/>
  <c r="D1137" i="6"/>
  <c r="E1138" i="6" l="1"/>
  <c r="M1138" i="6"/>
  <c r="A1139" i="6"/>
  <c r="F1138" i="6"/>
  <c r="N1138" i="6"/>
  <c r="G1138" i="6"/>
  <c r="O1138" i="6"/>
  <c r="K1138" i="6"/>
  <c r="P1138" i="6"/>
  <c r="B1138" i="6"/>
  <c r="Q1138" i="6"/>
  <c r="H1138" i="6"/>
  <c r="T1138" i="6"/>
  <c r="L1138" i="6"/>
  <c r="R1138" i="6"/>
  <c r="D1138" i="6"/>
  <c r="I1138" i="6"/>
  <c r="J1138" i="6"/>
  <c r="C1138" i="6"/>
  <c r="S1138" i="6"/>
  <c r="I1139" i="6" l="1"/>
  <c r="Q1139" i="6"/>
  <c r="B1139" i="6"/>
  <c r="J1139" i="6"/>
  <c r="R1139" i="6"/>
  <c r="C1139" i="6"/>
  <c r="K1139" i="6"/>
  <c r="S1139" i="6"/>
  <c r="E1139" i="6"/>
  <c r="P1139" i="6"/>
  <c r="H1139" i="6"/>
  <c r="L1139" i="6"/>
  <c r="O1139" i="6"/>
  <c r="T1139" i="6"/>
  <c r="A1140" i="6"/>
  <c r="G1139" i="6"/>
  <c r="N1139" i="6"/>
  <c r="D1139" i="6"/>
  <c r="F1139" i="6"/>
  <c r="M1139" i="6"/>
  <c r="E1140" i="6" l="1"/>
  <c r="M1140" i="6"/>
  <c r="A1141" i="6"/>
  <c r="F1140" i="6"/>
  <c r="N1140" i="6"/>
  <c r="G1140" i="6"/>
  <c r="O1140" i="6"/>
  <c r="J1140" i="6"/>
  <c r="C1140" i="6"/>
  <c r="R1140" i="6"/>
  <c r="D1140" i="6"/>
  <c r="S1140" i="6"/>
  <c r="K1140" i="6"/>
  <c r="T1140" i="6"/>
  <c r="L1140" i="6"/>
  <c r="H1140" i="6"/>
  <c r="I1140" i="6"/>
  <c r="P1140" i="6"/>
  <c r="Q1140" i="6"/>
  <c r="B1140" i="6"/>
  <c r="I1141" i="6" l="1"/>
  <c r="Q1141" i="6"/>
  <c r="B1141" i="6"/>
  <c r="J1141" i="6"/>
  <c r="R1141" i="6"/>
  <c r="C1141" i="6"/>
  <c r="K1141" i="6"/>
  <c r="S1141" i="6"/>
  <c r="D1141" i="6"/>
  <c r="O1141" i="6"/>
  <c r="M1141" i="6"/>
  <c r="N1141" i="6"/>
  <c r="F1141" i="6"/>
  <c r="A1142" i="6"/>
  <c r="E1141" i="6"/>
  <c r="P1141" i="6"/>
  <c r="L1141" i="6"/>
  <c r="G1141" i="6"/>
  <c r="T1141" i="6"/>
  <c r="H1141" i="6"/>
  <c r="E1142" i="6" l="1"/>
  <c r="M1142" i="6"/>
  <c r="A1143" i="6"/>
  <c r="F1142" i="6"/>
  <c r="N1142" i="6"/>
  <c r="G1142" i="6"/>
  <c r="O1142" i="6"/>
  <c r="I1142" i="6"/>
  <c r="T1142" i="6"/>
  <c r="H1142" i="6"/>
  <c r="J1142" i="6"/>
  <c r="P1142" i="6"/>
  <c r="C1142" i="6"/>
  <c r="D1142" i="6"/>
  <c r="R1142" i="6"/>
  <c r="B1142" i="6"/>
  <c r="K1142" i="6"/>
  <c r="S1142" i="6"/>
  <c r="L1142" i="6"/>
  <c r="Q1142" i="6"/>
  <c r="I1143" i="6" l="1"/>
  <c r="Q1143" i="6"/>
  <c r="B1143" i="6"/>
  <c r="J1143" i="6"/>
  <c r="R1143" i="6"/>
  <c r="C1143" i="6"/>
  <c r="K1143" i="6"/>
  <c r="S1143" i="6"/>
  <c r="N1143" i="6"/>
  <c r="D1143" i="6"/>
  <c r="P1143" i="6"/>
  <c r="E1143" i="6"/>
  <c r="T1143" i="6"/>
  <c r="H1143" i="6"/>
  <c r="G1143" i="6"/>
  <c r="L1143" i="6"/>
  <c r="A1144" i="6"/>
  <c r="M1143" i="6"/>
  <c r="F1143" i="6"/>
  <c r="O1143" i="6"/>
  <c r="E1144" i="6" l="1"/>
  <c r="M1144" i="6"/>
  <c r="A1145" i="6"/>
  <c r="F1144" i="6"/>
  <c r="N1144" i="6"/>
  <c r="G1144" i="6"/>
  <c r="O1144" i="6"/>
  <c r="H1144" i="6"/>
  <c r="S1144" i="6"/>
  <c r="K1144" i="6"/>
  <c r="L1144" i="6"/>
  <c r="C1144" i="6"/>
  <c r="R1144" i="6"/>
  <c r="J1144" i="6"/>
  <c r="P1144" i="6"/>
  <c r="B1144" i="6"/>
  <c r="D1144" i="6"/>
  <c r="I1144" i="6"/>
  <c r="Q1144" i="6"/>
  <c r="T1144" i="6"/>
  <c r="I1145" i="6" l="1"/>
  <c r="Q1145" i="6"/>
  <c r="B1145" i="6"/>
  <c r="J1145" i="6"/>
  <c r="R1145" i="6"/>
  <c r="C1145" i="6"/>
  <c r="K1145" i="6"/>
  <c r="S1145" i="6"/>
  <c r="M1145" i="6"/>
  <c r="F1145" i="6"/>
  <c r="A1146" i="6"/>
  <c r="G1145" i="6"/>
  <c r="N1145" i="6"/>
  <c r="O1145" i="6"/>
  <c r="P1145" i="6"/>
  <c r="E1145" i="6"/>
  <c r="T1145" i="6"/>
  <c r="H1145" i="6"/>
  <c r="D1145" i="6"/>
  <c r="L1145" i="6"/>
  <c r="E1146" i="6" l="1"/>
  <c r="M1146" i="6"/>
  <c r="A1147" i="6"/>
  <c r="F1146" i="6"/>
  <c r="N1146" i="6"/>
  <c r="G1146" i="6"/>
  <c r="O1146" i="6"/>
  <c r="D1146" i="6"/>
  <c r="R1146" i="6"/>
  <c r="P1146" i="6"/>
  <c r="B1146" i="6"/>
  <c r="Q1146" i="6"/>
  <c r="I1146" i="6"/>
  <c r="S1146" i="6"/>
  <c r="T1146" i="6"/>
  <c r="J1146" i="6"/>
  <c r="C1146" i="6"/>
  <c r="K1146" i="6"/>
  <c r="L1146" i="6"/>
  <c r="H1146" i="6"/>
  <c r="I1147" i="6" l="1"/>
  <c r="Q1147" i="6"/>
  <c r="B1147" i="6"/>
  <c r="J1147" i="6"/>
  <c r="R1147" i="6"/>
  <c r="C1147" i="6"/>
  <c r="K1147" i="6"/>
  <c r="S1147" i="6"/>
  <c r="L1147" i="6"/>
  <c r="H1147" i="6"/>
  <c r="M1147" i="6"/>
  <c r="D1147" i="6"/>
  <c r="P1147" i="6"/>
  <c r="A1148" i="6"/>
  <c r="N1147" i="6"/>
  <c r="O1147" i="6"/>
  <c r="T1147" i="6"/>
  <c r="F1147" i="6"/>
  <c r="E1147" i="6"/>
  <c r="G1147" i="6"/>
  <c r="E1148" i="6" l="1"/>
  <c r="M1148" i="6"/>
  <c r="A1149" i="6"/>
  <c r="F1148" i="6"/>
  <c r="N1148" i="6"/>
  <c r="G1148" i="6"/>
  <c r="O1148" i="6"/>
  <c r="C1148" i="6"/>
  <c r="Q1148" i="6"/>
  <c r="D1148" i="6"/>
  <c r="S1148" i="6"/>
  <c r="H1148" i="6"/>
  <c r="T1148" i="6"/>
  <c r="K1148" i="6"/>
  <c r="B1148" i="6"/>
  <c r="P1148" i="6"/>
  <c r="J1148" i="6"/>
  <c r="L1148" i="6"/>
  <c r="R1148" i="6"/>
  <c r="I1148" i="6"/>
  <c r="I1149" i="6" l="1"/>
  <c r="Q1149" i="6"/>
  <c r="B1149" i="6"/>
  <c r="J1149" i="6"/>
  <c r="R1149" i="6"/>
  <c r="C1149" i="6"/>
  <c r="K1149" i="6"/>
  <c r="S1149" i="6"/>
  <c r="H1149" i="6"/>
  <c r="N1149" i="6"/>
  <c r="O1149" i="6"/>
  <c r="F1149" i="6"/>
  <c r="A1150" i="6"/>
  <c r="E1149" i="6"/>
  <c r="G1149" i="6"/>
  <c r="T1149" i="6"/>
  <c r="M1149" i="6"/>
  <c r="P1149" i="6"/>
  <c r="D1149" i="6"/>
  <c r="L1149" i="6"/>
  <c r="E1150" i="6" l="1"/>
  <c r="M1150" i="6"/>
  <c r="A1151" i="6"/>
  <c r="F1150" i="6"/>
  <c r="N1150" i="6"/>
  <c r="G1150" i="6"/>
  <c r="O1150" i="6"/>
  <c r="H1150" i="6"/>
  <c r="S1150" i="6"/>
  <c r="I1150" i="6"/>
  <c r="T1150" i="6"/>
  <c r="L1150" i="6"/>
  <c r="D1150" i="6"/>
  <c r="J1150" i="6"/>
  <c r="R1150" i="6"/>
  <c r="Q1150" i="6"/>
  <c r="B1150" i="6"/>
  <c r="C1150" i="6"/>
  <c r="K1150" i="6"/>
  <c r="P1150" i="6"/>
  <c r="I1151" i="6" l="1"/>
  <c r="Q1151" i="6"/>
  <c r="B1151" i="6"/>
  <c r="J1151" i="6"/>
  <c r="R1151" i="6"/>
  <c r="C1151" i="6"/>
  <c r="K1151" i="6"/>
  <c r="S1151" i="6"/>
  <c r="M1151" i="6"/>
  <c r="N1151" i="6"/>
  <c r="F1151" i="6"/>
  <c r="T1151" i="6"/>
  <c r="G1151" i="6"/>
  <c r="H1151" i="6"/>
  <c r="A1152" i="6"/>
  <c r="E1151" i="6"/>
  <c r="L1151" i="6"/>
  <c r="D1151" i="6"/>
  <c r="P1151" i="6"/>
  <c r="O1151" i="6"/>
  <c r="E1152" i="6" l="1"/>
  <c r="M1152" i="6"/>
  <c r="A1153" i="6"/>
  <c r="F1152" i="6"/>
  <c r="N1152" i="6"/>
  <c r="G1152" i="6"/>
  <c r="O1152" i="6"/>
  <c r="D1152" i="6"/>
  <c r="R1152" i="6"/>
  <c r="H1152" i="6"/>
  <c r="S1152" i="6"/>
  <c r="K1152" i="6"/>
  <c r="I1152" i="6"/>
  <c r="J1152" i="6"/>
  <c r="T1152" i="6"/>
  <c r="Q1152" i="6"/>
  <c r="L1152" i="6"/>
  <c r="B1152" i="6"/>
  <c r="C1152" i="6"/>
  <c r="P1152" i="6"/>
  <c r="I1153" i="6" l="1"/>
  <c r="Q1153" i="6"/>
  <c r="B1153" i="6"/>
  <c r="J1153" i="6"/>
  <c r="R1153" i="6"/>
  <c r="C1153" i="6"/>
  <c r="K1153" i="6"/>
  <c r="S1153" i="6"/>
  <c r="L1153" i="6"/>
  <c r="M1153" i="6"/>
  <c r="E1153" i="6"/>
  <c r="P1153" i="6"/>
  <c r="G1153" i="6"/>
  <c r="H1153" i="6"/>
  <c r="A1154" i="6"/>
  <c r="D1153" i="6"/>
  <c r="F1153" i="6"/>
  <c r="N1153" i="6"/>
  <c r="T1153" i="6"/>
  <c r="O1153" i="6"/>
  <c r="E1154" i="6" l="1"/>
  <c r="M1154" i="6"/>
  <c r="A1155" i="6"/>
  <c r="F1154" i="6"/>
  <c r="N1154" i="6"/>
  <c r="G1154" i="6"/>
  <c r="O1154" i="6"/>
  <c r="C1154" i="6"/>
  <c r="Q1154" i="6"/>
  <c r="D1154" i="6"/>
  <c r="R1154" i="6"/>
  <c r="J1154" i="6"/>
  <c r="I1154" i="6"/>
  <c r="K1154" i="6"/>
  <c r="T1154" i="6"/>
  <c r="L1154" i="6"/>
  <c r="P1154" i="6"/>
  <c r="B1154" i="6"/>
  <c r="S1154" i="6"/>
  <c r="H1154" i="6"/>
  <c r="I1155" i="6" l="1"/>
  <c r="Q1155" i="6"/>
  <c r="B1155" i="6"/>
  <c r="J1155" i="6"/>
  <c r="R1155" i="6"/>
  <c r="C1155" i="6"/>
  <c r="K1155" i="6"/>
  <c r="S1155" i="6"/>
  <c r="H1155" i="6"/>
  <c r="L1155" i="6"/>
  <c r="D1155" i="6"/>
  <c r="O1155" i="6"/>
  <c r="G1155" i="6"/>
  <c r="M1155" i="6"/>
  <c r="A1156" i="6"/>
  <c r="P1155" i="6"/>
  <c r="E1155" i="6"/>
  <c r="F1155" i="6"/>
  <c r="T1155" i="6"/>
  <c r="N1155" i="6"/>
  <c r="E1156" i="6" l="1"/>
  <c r="M1156" i="6"/>
  <c r="F1156" i="6"/>
  <c r="N1156" i="6"/>
  <c r="G1156" i="6"/>
  <c r="O1156" i="6"/>
  <c r="B1156" i="6"/>
  <c r="P1156" i="6"/>
  <c r="C1156" i="6"/>
  <c r="Q1156" i="6"/>
  <c r="I1156" i="6"/>
  <c r="T1156" i="6"/>
  <c r="J1156" i="6"/>
  <c r="K1156" i="6"/>
  <c r="D1156" i="6"/>
  <c r="H1156" i="6"/>
  <c r="R1156" i="6"/>
  <c r="S1156" i="6"/>
  <c r="L1156" i="6"/>
</calcChain>
</file>

<file path=xl/sharedStrings.xml><?xml version="1.0" encoding="utf-8"?>
<sst xmlns="http://schemas.openxmlformats.org/spreadsheetml/2006/main" count="254" uniqueCount="102">
  <si>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</si>
  <si>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</si>
  <si>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</si>
  <si>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</si>
  <si>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</si>
  <si>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</si>
  <si>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</si>
  <si>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</si>
  <si>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</si>
  <si>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</si>
  <si>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</si>
  <si>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</si>
  <si>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</si>
  <si>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</si>
  <si>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</si>
  <si>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</si>
  <si>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</si>
  <si>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</si>
  <si>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</si>
  <si>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</si>
  <si>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</si>
  <si>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</si>
  <si>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</si>
  <si>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</si>
  <si>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</si>
  <si>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</si>
  <si>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HIGH</t>
  </si>
  <si>
    <t>LOW</t>
  </si>
  <si>
    <t>November 04, 2013 - LYSTRA LOUTAN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</si>
  <si>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</si>
  <si>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</si>
  <si>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</si>
  <si>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</si>
  <si>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</si>
  <si>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</si>
  <si>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</si>
  <si>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</si>
  <si>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 xml:space="preserve"> 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</si>
  <si>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</si>
  <si>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</si>
  <si>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</si>
  <si>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</si>
  <si>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</si>
  <si>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</si>
  <si>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</si>
  <si>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</si>
  <si>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</si>
  <si>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</si>
  <si>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</si>
  <si>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</si>
  <si>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</si>
  <si>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</si>
  <si>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</si>
  <si>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</si>
  <si>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</si>
  <si>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</si>
  <si>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</si>
  <si>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</si>
  <si>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</si>
  <si>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</si>
  <si>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</si>
  <si>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</si>
  <si>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FIRM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</si>
  <si>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</si>
  <si>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</si>
  <si>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</si>
  <si>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</si>
  <si>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t>FUTURE GAS PIPELINE</t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</si>
  <si>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</si>
  <si>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</si>
  <si>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</si>
  <si>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</si>
  <si>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</si>
  <si>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</si>
  <si>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</si>
  <si>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</si>
  <si>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</si>
  <si>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</si>
  <si>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</si>
  <si>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</si>
  <si>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</si>
  <si>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</si>
  <si>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</si>
  <si>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</si>
  <si>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</si>
  <si>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</si>
  <si>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</si>
  <si>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</si>
  <si>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TOTAL FGT FIRM</t>
  </si>
  <si>
    <t>PHASE VIII FTS 3</t>
  </si>
  <si>
    <t>FGT FIRM BY ZONE</t>
  </si>
  <si>
    <t>Florida Power &amp; Light Company</t>
  </si>
  <si>
    <t>Docket No. 160154-EI</t>
  </si>
  <si>
    <t>Staff's First Set of Interrogatories</t>
  </si>
  <si>
    <t>Interrogatory No. 2</t>
  </si>
  <si>
    <t>Tab 1 of 6</t>
  </si>
  <si>
    <t>Attachment No. 22</t>
  </si>
  <si>
    <t>Tab 2 of 6</t>
  </si>
  <si>
    <t>Tab 3 of 6</t>
  </si>
  <si>
    <t>Tab 4 of 6</t>
  </si>
  <si>
    <t>Tab 5 of 6</t>
  </si>
  <si>
    <t>Tab 6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</si>
</sst>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1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2"/>
      <color indexed="12"/>
      <name val="Arial"/>
      <family val="2"/>
    </font>
    <font>
      <b/>
      <u val="singleAccounting"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sz val="12"/>
      <color indexed="12"/>
      <name val="Arial"/>
      <family val="2"/>
    </font>
    <font>
      <sz val="12"/>
      <color theme="3"/>
      <name val="Arial"/>
      <family val="2"/>
    </font>
    <font>
      <b/>
      <sz val="12"/>
      <color theme="3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6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5">
    <xf numFmtId="164" fontId="0" fillId="0" borderId="0">
      <alignment horizontal="left" wrapText="1"/>
    </xf>
    <xf numFmtId="44" fontId="5" fillId="0" borderId="0" applyFont="0" applyFill="0" applyBorder="0" applyAlignment="0" applyProtection="0"/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5" fillId="0" borderId="0"/>
  </cellStyleXfs>
  <cellXfs count="123">
    <xf numFmtId="164" fontId="0" fillId="0" borderId="0" xfId="0">
      <alignment horizontal="left" wrapText="1"/>
    </xf>
    <xf numFmtId="165" fontId="0" fillId="0" borderId="0" xfId="0" applyNumberFormat="1" applyAlignment="1"/>
    <xf numFmtId="165" fontId="3" fillId="0" borderId="1" xfId="0" quotePrefix="1" applyNumberFormat="1" applyFont="1" applyBorder="1" applyAlignment="1">
      <alignment horizontal="left"/>
    </xf>
    <xf numFmtId="165" fontId="3" fillId="0" borderId="3" xfId="0" quotePrefix="1" applyNumberFormat="1" applyFont="1" applyBorder="1" applyAlignment="1">
      <alignment horizontal="left"/>
    </xf>
    <xf numFmtId="165" fontId="4" fillId="0" borderId="4" xfId="0" applyNumberFormat="1" applyFont="1" applyBorder="1" applyAlignment="1"/>
    <xf numFmtId="165" fontId="3" fillId="0" borderId="1" xfId="0" applyNumberFormat="1" applyFont="1" applyBorder="1" applyAlignment="1"/>
    <xf numFmtId="165" fontId="3" fillId="0" borderId="3" xfId="0" applyNumberFormat="1" applyFont="1" applyBorder="1" applyAlignment="1"/>
    <xf numFmtId="165" fontId="4" fillId="0" borderId="4" xfId="0" quotePrefix="1" applyNumberFormat="1" applyFont="1" applyBorder="1" applyAlignment="1">
      <alignment horizontal="left"/>
    </xf>
    <xf numFmtId="0" fontId="5" fillId="0" borderId="0" xfId="24"/>
    <xf numFmtId="0" fontId="5" fillId="0" borderId="0" xfId="24" applyAlignment="1">
      <alignment horizontal="center"/>
    </xf>
    <xf numFmtId="166" fontId="6" fillId="0" borderId="0" xfId="24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5" fontId="6" fillId="0" borderId="0" xfId="0" applyNumberFormat="1" applyFont="1" applyAlignment="1"/>
    <xf numFmtId="17" fontId="2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6" fillId="0" borderId="0" xfId="0" applyNumberFormat="1" applyFont="1" applyAlignment="1">
      <alignment horizontal="center"/>
    </xf>
    <xf numFmtId="17" fontId="6" fillId="0" borderId="0" xfId="0" applyNumberFormat="1" applyFont="1" applyAlignment="1">
      <alignment horizontal="center"/>
    </xf>
    <xf numFmtId="8" fontId="5" fillId="0" borderId="0" xfId="24" applyNumberFormat="1"/>
    <xf numFmtId="0" fontId="5" fillId="0" borderId="0" xfId="24" applyAlignment="1">
      <alignment horizontal="center" wrapText="1"/>
    </xf>
    <xf numFmtId="0" fontId="7" fillId="0" borderId="0" xfId="24" applyFont="1" applyAlignment="1">
      <alignment horizontal="center" wrapText="1"/>
    </xf>
    <xf numFmtId="0" fontId="8" fillId="0" borderId="0" xfId="24" applyFont="1" applyAlignment="1">
      <alignment horizontal="center" wrapText="1"/>
    </xf>
    <xf numFmtId="0" fontId="7" fillId="0" borderId="0" xfId="24" quotePrefix="1" applyFont="1" applyAlignment="1">
      <alignment horizontal="center" wrapText="1"/>
    </xf>
    <xf numFmtId="10" fontId="9" fillId="2" borderId="0" xfId="24" applyNumberFormat="1" applyFont="1" applyFill="1" applyAlignment="1">
      <alignment horizontal="center"/>
    </xf>
    <xf numFmtId="0" fontId="7" fillId="2" borderId="0" xfId="24" applyFont="1" applyFill="1" applyAlignment="1">
      <alignment horizontal="center"/>
    </xf>
    <xf numFmtId="166" fontId="7" fillId="0" borderId="0" xfId="24" applyNumberFormat="1" applyFont="1" applyFill="1" applyAlignment="1">
      <alignment horizontal="center"/>
    </xf>
    <xf numFmtId="15" fontId="7" fillId="0" borderId="0" xfId="24" applyNumberFormat="1" applyFont="1" applyAlignment="1">
      <alignment horizontal="left"/>
    </xf>
    <xf numFmtId="166" fontId="6" fillId="0" borderId="0" xfId="0" applyNumberFormat="1" applyFont="1" applyAlignment="1">
      <alignment horizontal="center"/>
    </xf>
    <xf numFmtId="166" fontId="6" fillId="0" borderId="0" xfId="1" applyNumberFormat="1" applyFont="1" applyAlignment="1">
      <alignment horizontal="center"/>
    </xf>
    <xf numFmtId="44" fontId="10" fillId="0" borderId="0" xfId="1" applyFont="1" applyAlignment="1">
      <alignment horizontal="center"/>
    </xf>
    <xf numFmtId="0" fontId="8" fillId="0" borderId="0" xfId="24" applyFont="1" applyAlignment="1">
      <alignment horizontal="center"/>
    </xf>
    <xf numFmtId="165" fontId="7" fillId="0" borderId="0" xfId="0" quotePrefix="1" applyNumberFormat="1" applyFont="1" applyFill="1" applyAlignment="1">
      <alignment horizontal="center"/>
    </xf>
    <xf numFmtId="165" fontId="7" fillId="0" borderId="0" xfId="0" applyNumberFormat="1" applyFont="1" applyFill="1" applyAlignment="1">
      <alignment horizontal="center"/>
    </xf>
    <xf numFmtId="165" fontId="7" fillId="3" borderId="0" xfId="0" quotePrefix="1" applyNumberFormat="1" applyFont="1" applyFill="1" applyAlignment="1">
      <alignment horizontal="center"/>
    </xf>
    <xf numFmtId="165" fontId="7" fillId="4" borderId="0" xfId="0" quotePrefix="1" applyNumberFormat="1" applyFont="1" applyFill="1" applyAlignment="1">
      <alignment horizontal="center"/>
    </xf>
    <xf numFmtId="165" fontId="7" fillId="5" borderId="0" xfId="0" quotePrefix="1" applyNumberFormat="1" applyFont="1" applyFill="1" applyAlignment="1">
      <alignment horizontal="center"/>
    </xf>
    <xf numFmtId="0" fontId="5" fillId="0" borderId="0" xfId="24" applyFill="1"/>
    <xf numFmtId="165" fontId="7" fillId="3" borderId="0" xfId="0" quotePrefix="1" applyNumberFormat="1" applyFont="1" applyFill="1" applyAlignment="1">
      <alignment horizontal="center" vertical="center" wrapText="1"/>
    </xf>
    <xf numFmtId="165" fontId="7" fillId="4" borderId="0" xfId="0" quotePrefix="1" applyNumberFormat="1" applyFont="1" applyFill="1" applyAlignment="1">
      <alignment horizontal="center" vertical="center" wrapText="1"/>
    </xf>
    <xf numFmtId="165" fontId="7" fillId="5" borderId="0" xfId="0" quotePrefix="1" applyNumberFormat="1" applyFont="1" applyFill="1" applyAlignment="1">
      <alignment horizontal="center" vertical="center" wrapText="1"/>
    </xf>
    <xf numFmtId="0" fontId="11" fillId="0" borderId="0" xfId="24" applyFont="1"/>
    <xf numFmtId="10" fontId="7" fillId="2" borderId="0" xfId="24" quotePrefix="1" applyNumberFormat="1" applyFont="1" applyFill="1" applyAlignment="1">
      <alignment horizontal="center"/>
    </xf>
    <xf numFmtId="15" fontId="7" fillId="2" borderId="0" xfId="24" applyNumberFormat="1" applyFont="1" applyFill="1" applyAlignment="1">
      <alignment horizontal="left"/>
    </xf>
    <xf numFmtId="15" fontId="7" fillId="0" borderId="0" xfId="24" quotePrefix="1" applyNumberFormat="1" applyFont="1" applyAlignment="1">
      <alignment horizontal="left"/>
    </xf>
    <xf numFmtId="0" fontId="12" fillId="0" borderId="0" xfId="24" applyFont="1"/>
    <xf numFmtId="8" fontId="6" fillId="0" borderId="0" xfId="24" applyNumberFormat="1" applyFont="1" applyAlignment="1">
      <alignment horizontal="center"/>
    </xf>
    <xf numFmtId="166" fontId="6" fillId="7" borderId="0" xfId="24" applyNumberFormat="1" applyFont="1" applyFill="1" applyAlignment="1">
      <alignment horizontal="center"/>
    </xf>
    <xf numFmtId="166" fontId="6" fillId="8" borderId="0" xfId="24" applyNumberFormat="1" applyFont="1" applyFill="1" applyAlignment="1">
      <alignment horizontal="center"/>
    </xf>
    <xf numFmtId="15" fontId="7" fillId="0" borderId="0" xfId="24" applyNumberFormat="1" applyFont="1" applyFill="1" applyAlignment="1">
      <alignment horizontal="left"/>
    </xf>
    <xf numFmtId="0" fontId="5" fillId="0" borderId="0" xfId="24" applyFill="1" applyAlignment="1">
      <alignment horizontal="center"/>
    </xf>
    <xf numFmtId="168" fontId="6" fillId="0" borderId="0" xfId="24" applyNumberFormat="1" applyFont="1" applyAlignment="1">
      <alignment horizontal="center"/>
    </xf>
    <xf numFmtId="166" fontId="6" fillId="4" borderId="0" xfId="24" applyNumberFormat="1" applyFont="1" applyFill="1" applyAlignment="1">
      <alignment horizontal="center"/>
    </xf>
    <xf numFmtId="168" fontId="5" fillId="0" borderId="0" xfId="24" applyNumberFormat="1"/>
    <xf numFmtId="166" fontId="5" fillId="0" borderId="0" xfId="24" applyNumberFormat="1"/>
    <xf numFmtId="166" fontId="7" fillId="6" borderId="0" xfId="24" applyNumberFormat="1" applyFont="1" applyFill="1" applyAlignment="1">
      <alignment horizontal="center"/>
    </xf>
    <xf numFmtId="168" fontId="6" fillId="0" borderId="0" xfId="24" applyNumberFormat="1" applyFont="1"/>
    <xf numFmtId="166" fontId="6" fillId="0" borderId="0" xfId="24" applyNumberFormat="1" applyFont="1"/>
    <xf numFmtId="168" fontId="15" fillId="0" borderId="0" xfId="24" applyNumberFormat="1" applyFont="1" applyAlignment="1">
      <alignment horizontal="center"/>
    </xf>
    <xf numFmtId="169" fontId="6" fillId="0" borderId="0" xfId="24" applyNumberFormat="1" applyFont="1" applyAlignment="1">
      <alignment horizontal="center"/>
    </xf>
    <xf numFmtId="168" fontId="15" fillId="9" borderId="0" xfId="24" applyNumberFormat="1" applyFont="1" applyFill="1" applyAlignment="1">
      <alignment horizontal="center"/>
    </xf>
    <xf numFmtId="169" fontId="6" fillId="6" borderId="0" xfId="24" applyNumberFormat="1" applyFont="1" applyFill="1" applyAlignment="1">
      <alignment horizontal="center"/>
    </xf>
    <xf numFmtId="168" fontId="15" fillId="10" borderId="0" xfId="24" applyNumberFormat="1" applyFont="1" applyFill="1" applyAlignment="1">
      <alignment horizontal="center"/>
    </xf>
    <xf numFmtId="168" fontId="15" fillId="11" borderId="0" xfId="24" applyNumberFormat="1" applyFont="1" applyFill="1" applyAlignment="1">
      <alignment horizontal="center"/>
    </xf>
    <xf numFmtId="166" fontId="6" fillId="6" borderId="0" xfId="24" applyNumberFormat="1" applyFont="1" applyFill="1" applyAlignment="1">
      <alignment horizontal="center"/>
    </xf>
    <xf numFmtId="168" fontId="15" fillId="12" borderId="0" xfId="24" applyNumberFormat="1" applyFont="1" applyFill="1" applyAlignment="1">
      <alignment horizontal="center"/>
    </xf>
    <xf numFmtId="168" fontId="15" fillId="13" borderId="0" xfId="24" applyNumberFormat="1" applyFont="1" applyFill="1" applyAlignment="1">
      <alignment horizontal="center"/>
    </xf>
    <xf numFmtId="168" fontId="15" fillId="14" borderId="0" xfId="24" applyNumberFormat="1" applyFont="1" applyFill="1" applyAlignment="1">
      <alignment horizontal="center"/>
    </xf>
    <xf numFmtId="166" fontId="16" fillId="7" borderId="0" xfId="24" applyNumberFormat="1" applyFont="1" applyFill="1" applyAlignment="1">
      <alignment horizontal="center"/>
    </xf>
    <xf numFmtId="166" fontId="16" fillId="4" borderId="0" xfId="24" applyNumberFormat="1" applyFont="1" applyFill="1" applyAlignment="1">
      <alignment horizontal="center"/>
    </xf>
    <xf numFmtId="168" fontId="16" fillId="0" borderId="0" xfId="24" applyNumberFormat="1" applyFont="1" applyAlignment="1">
      <alignment horizontal="center"/>
    </xf>
    <xf numFmtId="166" fontId="16" fillId="0" borderId="0" xfId="24" applyNumberFormat="1" applyFont="1" applyAlignment="1">
      <alignment horizontal="center"/>
    </xf>
    <xf numFmtId="169" fontId="16" fillId="0" borderId="0" xfId="24" applyNumberFormat="1" applyFont="1" applyAlignment="1">
      <alignment horizontal="center"/>
    </xf>
    <xf numFmtId="166" fontId="17" fillId="6" borderId="0" xfId="24" applyNumberFormat="1" applyFont="1" applyFill="1" applyAlignment="1">
      <alignment horizontal="center"/>
    </xf>
    <xf numFmtId="0" fontId="7" fillId="7" borderId="0" xfId="24" applyFont="1" applyFill="1" applyAlignment="1">
      <alignment horizontal="center" wrapText="1"/>
    </xf>
    <xf numFmtId="0" fontId="7" fillId="4" borderId="0" xfId="24" applyFont="1" applyFill="1" applyAlignment="1">
      <alignment horizontal="center" wrapText="1"/>
    </xf>
    <xf numFmtId="0" fontId="7" fillId="6" borderId="0" xfId="24" applyFont="1" applyFill="1" applyAlignment="1">
      <alignment horizontal="center" wrapText="1"/>
    </xf>
    <xf numFmtId="0" fontId="7" fillId="7" borderId="0" xfId="24" quotePrefix="1" applyFont="1" applyFill="1" applyAlignment="1">
      <alignment horizontal="center" wrapText="1"/>
    </xf>
    <xf numFmtId="0" fontId="7" fillId="3" borderId="0" xfId="24" quotePrefix="1" applyFont="1" applyFill="1" applyAlignment="1">
      <alignment horizontal="center" wrapText="1"/>
    </xf>
    <xf numFmtId="0" fontId="7" fillId="4" borderId="0" xfId="24" quotePrefix="1" applyFont="1" applyFill="1" applyAlignment="1">
      <alignment horizontal="center" wrapText="1"/>
    </xf>
    <xf numFmtId="0" fontId="7" fillId="0" borderId="0" xfId="24" applyFont="1" applyAlignment="1">
      <alignment horizontal="center"/>
    </xf>
    <xf numFmtId="10" fontId="7" fillId="0" borderId="0" xfId="24" applyNumberFormat="1" applyFont="1" applyFill="1" applyAlignment="1">
      <alignment horizontal="center"/>
    </xf>
    <xf numFmtId="0" fontId="7" fillId="0" borderId="0" xfId="24" applyFont="1" applyFill="1" applyAlignment="1">
      <alignment horizontal="center"/>
    </xf>
    <xf numFmtId="10" fontId="7" fillId="2" borderId="0" xfId="24" applyNumberFormat="1" applyFont="1" applyFill="1" applyAlignment="1">
      <alignment horizontal="center"/>
    </xf>
    <xf numFmtId="0" fontId="7" fillId="0" borderId="0" xfId="24" quotePrefix="1" applyFont="1" applyAlignment="1">
      <alignment horizontal="center"/>
    </xf>
    <xf numFmtId="1" fontId="6" fillId="0" borderId="0" xfId="24" applyNumberFormat="1" applyFont="1" applyAlignment="1">
      <alignment horizontal="center"/>
    </xf>
    <xf numFmtId="1" fontId="5" fillId="0" borderId="0" xfId="24" applyNumberFormat="1" applyAlignment="1">
      <alignment horizontal="center"/>
    </xf>
    <xf numFmtId="1" fontId="6" fillId="15" borderId="0" xfId="24" applyNumberFormat="1" applyFont="1" applyFill="1" applyAlignment="1">
      <alignment horizontal="center"/>
    </xf>
    <xf numFmtId="1" fontId="6" fillId="0" borderId="0" xfId="24" applyNumberFormat="1" applyFont="1" applyFill="1" applyAlignment="1">
      <alignment horizontal="center"/>
    </xf>
    <xf numFmtId="3" fontId="6" fillId="0" borderId="0" xfId="24" applyNumberFormat="1" applyFont="1" applyAlignment="1">
      <alignment horizontal="center"/>
    </xf>
    <xf numFmtId="3" fontId="6" fillId="0" borderId="0" xfId="24" applyNumberFormat="1" applyFont="1" applyFill="1" applyAlignment="1">
      <alignment horizontal="center"/>
    </xf>
    <xf numFmtId="3" fontId="6" fillId="15" borderId="0" xfId="24" applyNumberFormat="1" applyFont="1" applyFill="1" applyAlignment="1">
      <alignment horizontal="center"/>
    </xf>
    <xf numFmtId="170" fontId="7" fillId="6" borderId="0" xfId="24" applyNumberFormat="1" applyFont="1" applyFill="1" applyAlignment="1">
      <alignment horizontal="center"/>
    </xf>
    <xf numFmtId="3" fontId="6" fillId="6" borderId="0" xfId="24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" fontId="6" fillId="0" borderId="0" xfId="0" applyNumberFormat="1" applyFont="1" applyAlignment="1"/>
    <xf numFmtId="1" fontId="7" fillId="6" borderId="0" xfId="24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6" borderId="0" xfId="24" applyNumberFormat="1" applyFont="1" applyFill="1" applyAlignment="1">
      <alignment horizontal="center"/>
    </xf>
    <xf numFmtId="0" fontId="8" fillId="6" borderId="0" xfId="24" applyFont="1" applyFill="1" applyAlignment="1">
      <alignment horizontal="center" wrapText="1"/>
    </xf>
    <xf numFmtId="0" fontId="7" fillId="3" borderId="0" xfId="24" applyFont="1" applyFill="1" applyAlignment="1">
      <alignment horizontal="center" wrapText="1"/>
    </xf>
    <xf numFmtId="0" fontId="6" fillId="0" borderId="0" xfId="24" applyFont="1" applyAlignment="1">
      <alignment horizontal="center" wrapText="1"/>
    </xf>
    <xf numFmtId="0" fontId="7" fillId="0" borderId="0" xfId="24" quotePrefix="1" applyFont="1" applyFill="1" applyAlignment="1">
      <alignment horizontal="center"/>
    </xf>
    <xf numFmtId="0" fontId="7" fillId="0" borderId="0" xfId="24" applyFont="1" applyFill="1" applyAlignment="1"/>
    <xf numFmtId="0" fontId="7" fillId="5" borderId="0" xfId="24" applyFont="1" applyFill="1" applyAlignment="1">
      <alignment horizontal="center"/>
    </xf>
    <xf numFmtId="0" fontId="7" fillId="7" borderId="0" xfId="24" quotePrefix="1" applyFont="1" applyFill="1" applyAlignment="1">
      <alignment horizontal="center"/>
    </xf>
    <xf numFmtId="0" fontId="7" fillId="0" borderId="0" xfId="24" applyFont="1"/>
    <xf numFmtId="165" fontId="4" fillId="0" borderId="0" xfId="0" applyNumberFormat="1" applyFont="1" applyAlignment="1">
      <alignment horizontal="left"/>
    </xf>
    <xf numFmtId="165" fontId="3" fillId="0" borderId="2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165" fontId="7" fillId="7" borderId="0" xfId="0" quotePrefix="1" applyNumberFormat="1" applyFont="1" applyFill="1" applyAlignment="1">
      <alignment horizontal="center"/>
    </xf>
    <xf numFmtId="0" fontId="7" fillId="0" borderId="0" xfId="24" applyFont="1" applyAlignment="1">
      <alignment horizontal="center"/>
    </xf>
    <xf numFmtId="0" fontId="7" fillId="6" borderId="0" xfId="24" quotePrefix="1" applyFont="1" applyFill="1" applyAlignment="1">
      <alignment horizontal="center"/>
    </xf>
    <xf numFmtId="0" fontId="7" fillId="6" borderId="0" xfId="24" applyFont="1" applyFill="1" applyAlignment="1">
      <alignment horizontal="center"/>
    </xf>
    <xf numFmtId="0" fontId="7" fillId="7" borderId="0" xfId="24" applyFont="1" applyFill="1" applyAlignment="1">
      <alignment horizontal="center"/>
    </xf>
    <xf numFmtId="0" fontId="7" fillId="7" borderId="0" xfId="24" quotePrefix="1" applyFont="1" applyFill="1" applyAlignment="1">
      <alignment horizontal="center"/>
    </xf>
    <xf numFmtId="0" fontId="20" fillId="7" borderId="7" xfId="24" quotePrefix="1" applyFont="1" applyFill="1" applyBorder="1" applyAlignment="1">
      <alignment horizontal="center"/>
    </xf>
    <xf numFmtId="0" fontId="20" fillId="7" borderId="6" xfId="24" quotePrefix="1" applyFont="1" applyFill="1" applyBorder="1" applyAlignment="1">
      <alignment horizontal="center"/>
    </xf>
    <xf numFmtId="0" fontId="20" fillId="7" borderId="5" xfId="24" quotePrefix="1" applyFont="1" applyFill="1" applyBorder="1" applyAlignment="1">
      <alignment horizontal="center"/>
    </xf>
    <xf numFmtId="0" fontId="7" fillId="0" borderId="0" xfId="24" quotePrefix="1" applyFont="1" applyFill="1" applyAlignment="1">
      <alignment horizontal="center"/>
    </xf>
    <xf numFmtId="0" fontId="7" fillId="5" borderId="0" xfId="24" quotePrefix="1" applyFont="1" applyFill="1" applyAlignment="1">
      <alignment horizontal="center"/>
    </xf>
    <xf numFmtId="0" fontId="7" fillId="5" borderId="0" xfId="24" applyFont="1" applyFill="1" applyAlignment="1">
      <alignment horizontal="center"/>
    </xf>
  </cellXfs>
  <cellStyles count="25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 2" xfId="21"/>
    <cellStyle name="Normal 2 2" xfId="22"/>
    <cellStyle name="Normal 2 3" xfId="23"/>
    <cellStyle name="Normal_060415 RAP Fuel Price Forecast Template - Case 1 (Historical Spread)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2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3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ctrlProps/ctrlProp4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5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6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7.xml><?xml version="1.0" encoding="utf-8"?>
<formControlPr xmlns="http://schemas.microsoft.com/office/spreadsheetml/2009/9/main" objectType="Drop" dropLines="2" dropStyle="combo" dx="18" fmlaLink="CONTROL!$C$42" fmlaRange="CONTROL!$B$42:$B$43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28575</xdr:rowOff>
        </xdr:from>
        <xdr:to>
          <xdr:col>7</xdr:col>
          <xdr:colOff>123825</xdr:colOff>
          <xdr:row>8</xdr:row>
          <xdr:rowOff>114300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57150</xdr:rowOff>
        </xdr:from>
        <xdr:to>
          <xdr:col>8</xdr:col>
          <xdr:colOff>314325</xdr:colOff>
          <xdr:row>8</xdr:row>
          <xdr:rowOff>133350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38100</xdr:rowOff>
        </xdr:from>
        <xdr:to>
          <xdr:col>6</xdr:col>
          <xdr:colOff>381000</xdr:colOff>
          <xdr:row>8</xdr:row>
          <xdr:rowOff>95250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133350</xdr:rowOff>
        </xdr:from>
        <xdr:to>
          <xdr:col>8</xdr:col>
          <xdr:colOff>304800</xdr:colOff>
          <xdr:row>9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7</xdr:row>
          <xdr:rowOff>133350</xdr:rowOff>
        </xdr:from>
        <xdr:to>
          <xdr:col>9</xdr:col>
          <xdr:colOff>571500</xdr:colOff>
          <xdr:row>9</xdr:row>
          <xdr:rowOff>19050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7</xdr:row>
          <xdr:rowOff>28575</xdr:rowOff>
        </xdr:from>
        <xdr:to>
          <xdr:col>8</xdr:col>
          <xdr:colOff>552450</xdr:colOff>
          <xdr:row>8</xdr:row>
          <xdr:rowOff>114300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133350</xdr:rowOff>
        </xdr:from>
        <xdr:to>
          <xdr:col>12</xdr:col>
          <xdr:colOff>266700</xdr:colOff>
          <xdr:row>9</xdr:row>
          <xdr:rowOff>9525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3.zip\2013\11.%20November\131104%202013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Curves"/>
      <sheetName val="_Setup_"/>
      <sheetName val="PIRA - LONG TERM OIL BACKUP"/>
      <sheetName val="PIRA - LONG TERM GAS BACKUP"/>
      <sheetName val="OIL &amp; GAS SEASONALITY"/>
      <sheetName val="DISTILLATE &amp; RESIDUAL FUEL OIL"/>
      <sheetName val="FGT NON-FIRM"/>
      <sheetName val="FGT PRIMARY FIRM ZONE 1"/>
      <sheetName val="FGT PRIMARY FIRM ZONE 2"/>
      <sheetName val="FGT PRIMARY FIRM ZONE 3"/>
      <sheetName val="FGT FIRM ZONE 3 MOBILE BAY-DES"/>
      <sheetName val="FTS 3  FIRM ZONE 3 MOBILE BAY-D"/>
      <sheetName val="TRANSCO 4A LATERAL TO FTS 3"/>
      <sheetName val="TRANSCO 4 LATERAL TO GULFSTREAM"/>
      <sheetName val="SESH TO FGT FIRM ZONE 3 MOB BAY"/>
      <sheetName val="SESH TO FTS 3"/>
      <sheetName val="SESH TO GULFSTREAM"/>
      <sheetName val="GULFSTREAM FIRM "/>
      <sheetName val="GULFSTREAM NON-FIRM"/>
      <sheetName val="GULFSTREAM NON-FIRM  BACKHAUL "/>
      <sheetName val="UPS REPLACEMENT"/>
      <sheetName val="FUTURE GAS PIPELINE"/>
      <sheetName val="Upload"/>
      <sheetName val="MOST LIKELY COAL &amp; PET COKE"/>
      <sheetName val="GULF SOUTH TO FGT Z3 MOBILE BAY"/>
      <sheetName val="GULF SOUTH TO GULFSTREAM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zoomScale="70" zoomScaleNormal="70" workbookViewId="0">
      <selection sqref="A1:A6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x14ac:dyDescent="0.25">
      <c r="A1" s="107" t="s">
        <v>91</v>
      </c>
    </row>
    <row r="2" spans="1:3" x14ac:dyDescent="0.25">
      <c r="A2" s="107" t="s">
        <v>92</v>
      </c>
    </row>
    <row r="3" spans="1:3" x14ac:dyDescent="0.25">
      <c r="A3" s="107" t="s">
        <v>93</v>
      </c>
    </row>
    <row r="4" spans="1:3" x14ac:dyDescent="0.25">
      <c r="A4" s="107" t="s">
        <v>94</v>
      </c>
    </row>
    <row r="5" spans="1:3" x14ac:dyDescent="0.25">
      <c r="A5" s="107" t="s">
        <v>96</v>
      </c>
    </row>
    <row r="6" spans="1:3" x14ac:dyDescent="0.25">
      <c r="A6" s="107" t="s">
        <v>95</v>
      </c>
    </row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108">
        <v>2</v>
      </c>
    </row>
    <row r="10" spans="1:3" x14ac:dyDescent="0.25">
      <c r="B10" s="6" t="s">
        <v>8</v>
      </c>
      <c r="C10" s="110"/>
    </row>
    <row r="11" spans="1:3" x14ac:dyDescent="0.25">
      <c r="B11" s="5" t="s">
        <v>7</v>
      </c>
      <c r="C11" s="109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108">
        <v>2</v>
      </c>
    </row>
    <row r="16" spans="1:3" x14ac:dyDescent="0.25">
      <c r="B16" s="6" t="s">
        <v>8</v>
      </c>
      <c r="C16" s="110"/>
    </row>
    <row r="17" spans="2:3" x14ac:dyDescent="0.25">
      <c r="B17" s="5" t="s">
        <v>7</v>
      </c>
      <c r="C17" s="109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108">
        <v>2</v>
      </c>
    </row>
    <row r="22" spans="2:3" x14ac:dyDescent="0.25">
      <c r="B22" s="6" t="s">
        <v>8</v>
      </c>
      <c r="C22" s="110"/>
    </row>
    <row r="23" spans="2:3" x14ac:dyDescent="0.25">
      <c r="B23" s="5" t="s">
        <v>7</v>
      </c>
      <c r="C23" s="109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108">
        <v>1</v>
      </c>
    </row>
    <row r="28" spans="2:3" x14ac:dyDescent="0.25">
      <c r="B28" s="2" t="s">
        <v>4</v>
      </c>
      <c r="C28" s="109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108">
        <v>2</v>
      </c>
    </row>
    <row r="33" spans="2:3" x14ac:dyDescent="0.25">
      <c r="B33" s="6" t="s">
        <v>8</v>
      </c>
      <c r="C33" s="110"/>
    </row>
    <row r="34" spans="2:3" x14ac:dyDescent="0.25">
      <c r="B34" s="5" t="s">
        <v>7</v>
      </c>
      <c r="C34" s="109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108">
        <v>1</v>
      </c>
    </row>
    <row r="39" spans="2:3" x14ac:dyDescent="0.25">
      <c r="B39" s="2" t="s">
        <v>4</v>
      </c>
      <c r="C39" s="109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108">
        <v>1</v>
      </c>
    </row>
    <row r="43" spans="2:3" x14ac:dyDescent="0.25">
      <c r="B43" s="2" t="s">
        <v>0</v>
      </c>
      <c r="C43" s="109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76"/>
  <sheetViews>
    <sheetView zoomScale="70" zoomScaleNormal="70" workbookViewId="0">
      <pane xSplit="1" ySplit="11" topLeftCell="B12" activePane="bottomRight" state="frozen"/>
      <selection activeCell="A6" sqref="A6"/>
      <selection pane="topRight" activeCell="A6" sqref="A6"/>
      <selection pane="bottomLeft" activeCell="A6" sqref="A6"/>
      <selection pane="bottomRight" activeCell="A7" sqref="A7"/>
    </sheetView>
  </sheetViews>
  <sheetFormatPr defaultColWidth="7.109375" defaultRowHeight="12.75" x14ac:dyDescent="0.2"/>
  <cols>
    <col min="1" max="1" width="19.77734375" style="9" customWidth="1"/>
    <col min="2" max="4" width="16.109375" style="9" customWidth="1"/>
    <col min="5" max="5" width="21" style="9" customWidth="1"/>
    <col min="6" max="9" width="16.109375" style="9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 x14ac:dyDescent="0.25">
      <c r="A1" s="107" t="s">
        <v>91</v>
      </c>
    </row>
    <row r="2" spans="1:17" ht="15.75" x14ac:dyDescent="0.25">
      <c r="A2" s="107" t="s">
        <v>92</v>
      </c>
    </row>
    <row r="3" spans="1:17" ht="15.75" x14ac:dyDescent="0.25">
      <c r="A3" s="107" t="s">
        <v>93</v>
      </c>
    </row>
    <row r="4" spans="1:17" ht="15.75" x14ac:dyDescent="0.25">
      <c r="A4" s="107" t="s">
        <v>94</v>
      </c>
    </row>
    <row r="5" spans="1:17" ht="15.75" x14ac:dyDescent="0.25">
      <c r="A5" s="107" t="s">
        <v>96</v>
      </c>
    </row>
    <row r="6" spans="1:17" ht="15.75" x14ac:dyDescent="0.25">
      <c r="A6" s="107" t="s">
        <v>97</v>
      </c>
    </row>
    <row r="8" spans="1:17" ht="15.75" x14ac:dyDescent="0.25">
      <c r="A8" s="25" t="s">
        <v>28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25"/>
      <c r="B9" s="24"/>
      <c r="C9" s="23" t="s">
        <v>27</v>
      </c>
      <c r="D9" s="22">
        <f>1-0.273</f>
        <v>0.72699999999999998</v>
      </c>
      <c r="E9" s="23" t="s">
        <v>26</v>
      </c>
      <c r="F9" s="22">
        <f>1+0.273</f>
        <v>1.2730000000000001</v>
      </c>
      <c r="G9" s="8"/>
      <c r="H9" s="8"/>
      <c r="I9" s="8"/>
    </row>
    <row r="10" spans="1:17" s="18" customFormat="1" ht="21" customHeight="1" x14ac:dyDescent="0.25">
      <c r="B10" s="19" t="s">
        <v>25</v>
      </c>
      <c r="C10" s="19" t="s">
        <v>24</v>
      </c>
      <c r="D10" s="19" t="s">
        <v>23</v>
      </c>
      <c r="E10" s="21" t="s">
        <v>22</v>
      </c>
      <c r="F10" s="19" t="s">
        <v>21</v>
      </c>
      <c r="G10" s="21" t="s">
        <v>20</v>
      </c>
      <c r="H10" s="21" t="s">
        <v>19</v>
      </c>
      <c r="I10" s="19" t="s">
        <v>18</v>
      </c>
      <c r="J10" s="19" t="s">
        <v>17</v>
      </c>
      <c r="K10" s="19" t="s">
        <v>16</v>
      </c>
      <c r="L10" s="19"/>
    </row>
    <row r="11" spans="1:17" s="18" customFormat="1" ht="19.5" customHeight="1" x14ac:dyDescent="0.25">
      <c r="A11" s="20" t="s">
        <v>15</v>
      </c>
      <c r="B11" s="19" t="s">
        <v>14</v>
      </c>
      <c r="C11" s="19" t="s">
        <v>14</v>
      </c>
      <c r="D11" s="19" t="s">
        <v>14</v>
      </c>
      <c r="E11" s="19" t="s">
        <v>14</v>
      </c>
      <c r="F11" s="19" t="s">
        <v>14</v>
      </c>
      <c r="G11" s="19" t="s">
        <v>14</v>
      </c>
      <c r="H11" s="19" t="s">
        <v>14</v>
      </c>
      <c r="I11" s="19" t="s">
        <v>14</v>
      </c>
      <c r="J11" s="19" t="s">
        <v>14</v>
      </c>
      <c r="K11" s="19" t="s">
        <v>14</v>
      </c>
      <c r="L11" s="19"/>
    </row>
    <row r="12" spans="1:17" ht="15" x14ac:dyDescent="0.2">
      <c r="A12" s="16">
        <v>41275</v>
      </c>
      <c r="B12" s="10">
        <v>24.537438554750199</v>
      </c>
      <c r="C12" s="10">
        <v>24.1051915564654</v>
      </c>
      <c r="D12" s="10">
        <v>24.1051915564654</v>
      </c>
      <c r="E12" s="10">
        <v>23.9685330658994</v>
      </c>
      <c r="F12" s="10">
        <v>23.9685330658994</v>
      </c>
      <c r="G12" s="10">
        <v>24.239908537597501</v>
      </c>
      <c r="H12" s="10">
        <v>24.1051915564654</v>
      </c>
      <c r="I12" s="10">
        <v>24.1051915564654</v>
      </c>
      <c r="J12" s="10">
        <v>23.744985724561499</v>
      </c>
      <c r="K12" s="10">
        <v>24.1051915564654</v>
      </c>
      <c r="L12" s="10"/>
      <c r="M12" s="17"/>
      <c r="N12" s="17"/>
      <c r="O12" s="17"/>
      <c r="P12" s="17"/>
      <c r="Q12" s="17"/>
    </row>
    <row r="13" spans="1:17" ht="15" x14ac:dyDescent="0.2">
      <c r="A13" s="16">
        <v>41306</v>
      </c>
      <c r="B13" s="10">
        <v>25.612662092624401</v>
      </c>
      <c r="C13" s="10">
        <v>25.180415094339601</v>
      </c>
      <c r="D13" s="10">
        <v>25.180415094339601</v>
      </c>
      <c r="E13" s="10">
        <v>25.043756603773598</v>
      </c>
      <c r="F13" s="10">
        <v>25.043756603773598</v>
      </c>
      <c r="G13" s="10">
        <v>25.315132075471698</v>
      </c>
      <c r="H13" s="10">
        <v>25.180415094339601</v>
      </c>
      <c r="I13" s="10">
        <v>25.180415094339601</v>
      </c>
      <c r="J13" s="10">
        <v>24.8202092624357</v>
      </c>
      <c r="K13" s="10">
        <v>25.180415094339601</v>
      </c>
      <c r="L13" s="10"/>
      <c r="M13" s="17"/>
      <c r="N13" s="17"/>
      <c r="O13" s="17"/>
      <c r="P13" s="17"/>
      <c r="Q13" s="17"/>
    </row>
    <row r="14" spans="1:17" ht="15" x14ac:dyDescent="0.2">
      <c r="A14" s="16">
        <v>41334</v>
      </c>
      <c r="B14" s="10">
        <v>23.994085486637498</v>
      </c>
      <c r="C14" s="10">
        <v>23.561838488352802</v>
      </c>
      <c r="D14" s="10">
        <v>23.561838488352802</v>
      </c>
      <c r="E14" s="10">
        <v>23.425179997786799</v>
      </c>
      <c r="F14" s="10">
        <v>23.425179997786799</v>
      </c>
      <c r="G14" s="10">
        <v>23.696555469484899</v>
      </c>
      <c r="H14" s="10">
        <v>23.561838488352802</v>
      </c>
      <c r="I14" s="10">
        <v>23.561838488352802</v>
      </c>
      <c r="J14" s="10">
        <v>23.201632656448801</v>
      </c>
      <c r="K14" s="10">
        <v>23.561838488352802</v>
      </c>
      <c r="L14" s="10"/>
      <c r="M14" s="17"/>
      <c r="N14" s="17"/>
      <c r="O14" s="17"/>
      <c r="P14" s="17"/>
      <c r="Q14" s="17"/>
    </row>
    <row r="15" spans="1:17" ht="15" x14ac:dyDescent="0.2">
      <c r="A15" s="16">
        <v>41365</v>
      </c>
      <c r="B15" s="10">
        <v>22.9189005145798</v>
      </c>
      <c r="C15" s="10">
        <v>22.486653516295</v>
      </c>
      <c r="D15" s="10">
        <v>22.486653516295</v>
      </c>
      <c r="E15" s="10">
        <v>22.349995025729001</v>
      </c>
      <c r="F15" s="10">
        <v>22.349995025729001</v>
      </c>
      <c r="G15" s="10">
        <v>22.621370497427101</v>
      </c>
      <c r="H15" s="10">
        <v>22.486653516295</v>
      </c>
      <c r="I15" s="10">
        <v>22.486653516295</v>
      </c>
      <c r="J15" s="10">
        <v>22.126447684391099</v>
      </c>
      <c r="K15" s="10">
        <v>22.486653516295</v>
      </c>
      <c r="L15" s="10"/>
      <c r="M15" s="17"/>
      <c r="N15" s="17"/>
      <c r="O15" s="17"/>
      <c r="P15" s="17"/>
      <c r="Q15" s="17"/>
    </row>
    <row r="16" spans="1:17" ht="15" x14ac:dyDescent="0.2">
      <c r="A16" s="16">
        <v>41395</v>
      </c>
      <c r="B16" s="10">
        <v>22.8476548995739</v>
      </c>
      <c r="C16" s="10">
        <v>22.4154079012892</v>
      </c>
      <c r="D16" s="10">
        <v>22.4154079012892</v>
      </c>
      <c r="E16" s="10">
        <v>22.278749410723201</v>
      </c>
      <c r="F16" s="10">
        <v>22.278749410723201</v>
      </c>
      <c r="G16" s="10">
        <v>22.550124882421301</v>
      </c>
      <c r="H16" s="10">
        <v>22.4154079012892</v>
      </c>
      <c r="I16" s="10">
        <v>22.4154079012892</v>
      </c>
      <c r="J16" s="10">
        <v>22.055202069385299</v>
      </c>
      <c r="K16" s="10">
        <v>22.4154079012892</v>
      </c>
      <c r="L16" s="10"/>
      <c r="M16" s="17"/>
      <c r="N16" s="17"/>
      <c r="O16" s="17"/>
      <c r="P16" s="17"/>
      <c r="Q16" s="17"/>
    </row>
    <row r="17" spans="1:17" ht="15" x14ac:dyDescent="0.2">
      <c r="A17" s="16">
        <v>41426</v>
      </c>
      <c r="B17" s="10">
        <v>22.7692229845626</v>
      </c>
      <c r="C17" s="10">
        <v>22.336975986277899</v>
      </c>
      <c r="D17" s="10">
        <v>22.336975986277899</v>
      </c>
      <c r="E17" s="10">
        <v>22.200317495711801</v>
      </c>
      <c r="F17" s="10">
        <v>22.200317495711801</v>
      </c>
      <c r="G17" s="10">
        <v>22.471692967409901</v>
      </c>
      <c r="H17" s="10">
        <v>22.336975986277899</v>
      </c>
      <c r="I17" s="10">
        <v>22.336975986277899</v>
      </c>
      <c r="J17" s="10">
        <v>21.976770154373899</v>
      </c>
      <c r="K17" s="10">
        <v>22.336975986277899</v>
      </c>
      <c r="L17" s="10"/>
      <c r="M17" s="17"/>
      <c r="N17" s="17"/>
      <c r="O17" s="17"/>
      <c r="P17" s="17"/>
      <c r="Q17" s="17"/>
    </row>
    <row r="18" spans="1:17" ht="15" x14ac:dyDescent="0.2">
      <c r="A18" s="16">
        <v>41456</v>
      </c>
      <c r="B18" s="10">
        <v>23.7831210645715</v>
      </c>
      <c r="C18" s="10">
        <v>23.3508740662867</v>
      </c>
      <c r="D18" s="10">
        <v>23.3508740662867</v>
      </c>
      <c r="E18" s="10">
        <v>23.214215575720701</v>
      </c>
      <c r="F18" s="10">
        <v>23.214215575720701</v>
      </c>
      <c r="G18" s="10">
        <v>23.485591047418801</v>
      </c>
      <c r="H18" s="10">
        <v>23.3508740662867</v>
      </c>
      <c r="I18" s="10">
        <v>23.3508740662867</v>
      </c>
      <c r="J18" s="10">
        <v>22.990668234382799</v>
      </c>
      <c r="K18" s="10">
        <v>23.3508740662867</v>
      </c>
      <c r="L18" s="10"/>
      <c r="M18" s="17"/>
      <c r="N18" s="17"/>
      <c r="O18" s="17"/>
      <c r="P18" s="17"/>
      <c r="Q18" s="17"/>
    </row>
    <row r="19" spans="1:17" ht="15" x14ac:dyDescent="0.2">
      <c r="A19" s="16">
        <v>41487</v>
      </c>
      <c r="B19" s="10">
        <v>24.206792840148299</v>
      </c>
      <c r="C19" s="10">
        <v>23.7745458418635</v>
      </c>
      <c r="D19" s="10">
        <v>23.7745458418635</v>
      </c>
      <c r="E19" s="10">
        <v>23.637887351297501</v>
      </c>
      <c r="F19" s="10">
        <v>23.637887351297501</v>
      </c>
      <c r="G19" s="10">
        <v>23.909262822995601</v>
      </c>
      <c r="H19" s="10">
        <v>23.7745458418635</v>
      </c>
      <c r="I19" s="10">
        <v>23.7745458418635</v>
      </c>
      <c r="J19" s="10">
        <v>23.414340009959599</v>
      </c>
      <c r="K19" s="10">
        <v>23.7745458418635</v>
      </c>
      <c r="L19" s="10"/>
      <c r="M19" s="17"/>
      <c r="N19" s="17"/>
      <c r="O19" s="17"/>
      <c r="P19" s="17"/>
      <c r="Q19" s="17"/>
    </row>
    <row r="20" spans="1:17" ht="15" x14ac:dyDescent="0.2">
      <c r="A20" s="16">
        <v>41518</v>
      </c>
      <c r="B20" s="10">
        <v>24.283552315608901</v>
      </c>
      <c r="C20" s="10">
        <v>23.851305317324201</v>
      </c>
      <c r="D20" s="10">
        <v>23.851305317324201</v>
      </c>
      <c r="E20" s="10">
        <v>23.714646826758099</v>
      </c>
      <c r="F20" s="10">
        <v>23.714646826758099</v>
      </c>
      <c r="G20" s="10">
        <v>23.986022298456302</v>
      </c>
      <c r="H20" s="10">
        <v>23.851305317324201</v>
      </c>
      <c r="I20" s="10">
        <v>23.851305317324201</v>
      </c>
      <c r="J20" s="10">
        <v>23.4910994854202</v>
      </c>
      <c r="K20" s="10">
        <v>23.851305317324201</v>
      </c>
      <c r="L20" s="10"/>
      <c r="M20" s="17"/>
      <c r="N20" s="17"/>
      <c r="O20" s="17"/>
      <c r="P20" s="17"/>
      <c r="Q20" s="17"/>
    </row>
    <row r="21" spans="1:17" ht="15" x14ac:dyDescent="0.2">
      <c r="A21" s="16">
        <v>41548</v>
      </c>
      <c r="B21" s="10">
        <v>23.8538143639684</v>
      </c>
      <c r="C21" s="10">
        <v>23.4215673656836</v>
      </c>
      <c r="D21" s="10">
        <v>23.4215673656836</v>
      </c>
      <c r="E21" s="10">
        <v>23.284908875117601</v>
      </c>
      <c r="F21" s="10">
        <v>23.284908875117601</v>
      </c>
      <c r="G21" s="10">
        <v>23.556284346815701</v>
      </c>
      <c r="H21" s="10">
        <v>23.4215673656836</v>
      </c>
      <c r="I21" s="10">
        <v>23.4215673656836</v>
      </c>
      <c r="J21" s="10">
        <v>23.061361533779699</v>
      </c>
      <c r="K21" s="10">
        <v>23.4215673656836</v>
      </c>
      <c r="L21" s="10"/>
      <c r="M21" s="17"/>
      <c r="N21" s="17"/>
      <c r="O21" s="17"/>
      <c r="P21" s="17"/>
      <c r="Q21" s="17"/>
    </row>
    <row r="22" spans="1:17" ht="15" x14ac:dyDescent="0.2">
      <c r="A22" s="16">
        <v>41579</v>
      </c>
      <c r="B22" s="10">
        <v>23.073236706689499</v>
      </c>
      <c r="C22" s="10">
        <v>22.640989708404799</v>
      </c>
      <c r="D22" s="10">
        <v>22.640989708404799</v>
      </c>
      <c r="E22" s="10">
        <v>22.5043312178388</v>
      </c>
      <c r="F22" s="10">
        <v>22.5043312178388</v>
      </c>
      <c r="G22" s="10">
        <v>22.7757066895369</v>
      </c>
      <c r="H22" s="10">
        <v>22.640989708404799</v>
      </c>
      <c r="I22" s="10">
        <v>22.640989708404799</v>
      </c>
      <c r="J22" s="10">
        <v>22.280783876500902</v>
      </c>
      <c r="K22" s="10">
        <v>22.640989708404799</v>
      </c>
      <c r="L22" s="10"/>
      <c r="M22" s="17"/>
      <c r="N22" s="17"/>
      <c r="O22" s="17"/>
      <c r="P22" s="17"/>
      <c r="Q22" s="17"/>
    </row>
    <row r="23" spans="1:17" ht="15" x14ac:dyDescent="0.2">
      <c r="A23" s="16">
        <v>41609</v>
      </c>
      <c r="B23" s="10">
        <f>22.9977 * CHOOSE(CONTROL!$C$9, $D$9, 100%, $F$9) + CHOOSE(CONTROL!$C$27, 0.0021, 0)</f>
        <v>22.999799999999997</v>
      </c>
      <c r="C23" s="10">
        <f>22.5655 * CHOOSE(CONTROL!$C$9, $D$9, 100%, $F$9) + CHOOSE(CONTROL!$C$27, 0.0021, 0)</f>
        <v>22.567599999999999</v>
      </c>
      <c r="D23" s="10">
        <f>22.5655 * CHOOSE(CONTROL!$C$9, $D$9, 100%, $F$9) + CHOOSE(CONTROL!$C$27, 0.0021, 0)</f>
        <v>22.567599999999999</v>
      </c>
      <c r="E23" s="10">
        <f>22.4288 * CHOOSE(CONTROL!$C$9, $D$9, 100%, $F$9) + CHOOSE(CONTROL!$C$27, 0.0021, 0)</f>
        <v>22.430899999999998</v>
      </c>
      <c r="F23" s="10">
        <f>22.4288 * CHOOSE(CONTROL!$C$9, $D$9, 100%, $F$9) + CHOOSE(CONTROL!$C$27, 0.0021, 0)</f>
        <v>22.430899999999998</v>
      </c>
      <c r="G23" s="10">
        <f>22.7002 * CHOOSE(CONTROL!$C$9, $D$9, 100%, $F$9) + CHOOSE(CONTROL!$C$27, 0.0021, 0)</f>
        <v>22.702299999999997</v>
      </c>
      <c r="H23" s="10">
        <f>22.5655 * CHOOSE(CONTROL!$C$9, $D$9, 100%, $F$9) + CHOOSE(CONTROL!$C$27, 0.0021, 0)</f>
        <v>22.567599999999999</v>
      </c>
      <c r="I23" s="10">
        <f>22.5655 * CHOOSE(CONTROL!$C$9, $D$9, 100%, $F$9) + CHOOSE(CONTROL!$C$27, 0.0021, 0)</f>
        <v>22.567599999999999</v>
      </c>
      <c r="J23" s="10">
        <f>22.2052 * CHOOSE(CONTROL!$C$9, $D$9, 100%, $F$9) + CHOOSE(CONTROL!$C$27, 0.0021, 0)</f>
        <v>22.2073</v>
      </c>
      <c r="K23" s="10">
        <f>22.5655 * CHOOSE(CONTROL!$C$9, $D$9, 100%, $F$9) + CHOOSE(CONTROL!$C$27, 0.0021, 0)</f>
        <v>22.567599999999999</v>
      </c>
      <c r="L23" s="10"/>
      <c r="M23" s="17"/>
      <c r="N23" s="17"/>
      <c r="O23" s="17"/>
      <c r="P23" s="17"/>
      <c r="Q23" s="17"/>
    </row>
    <row r="24" spans="1:17" ht="15" x14ac:dyDescent="0.2">
      <c r="A24" s="16">
        <v>41640</v>
      </c>
      <c r="B24" s="10">
        <f>23.0481 * CHOOSE(CONTROL!$C$9, $D$9, 100%, $F$9) + CHOOSE(CONTROL!$C$27, 0.0021, 0)</f>
        <v>23.0502</v>
      </c>
      <c r="C24" s="10">
        <f>22.6159 * CHOOSE(CONTROL!$C$9, $D$9, 100%, $F$9) + CHOOSE(CONTROL!$C$27, 0.0021, 0)</f>
        <v>22.617999999999999</v>
      </c>
      <c r="D24" s="10">
        <f>22.6159 * CHOOSE(CONTROL!$C$9, $D$9, 100%, $F$9) + CHOOSE(CONTROL!$C$27, 0.0021, 0)</f>
        <v>22.617999999999999</v>
      </c>
      <c r="E24" s="10">
        <f>22.4792 * CHOOSE(CONTROL!$C$9, $D$9, 100%, $F$9) + CHOOSE(CONTROL!$C$27, 0.0021, 0)</f>
        <v>22.481299999999997</v>
      </c>
      <c r="F24" s="10">
        <f>22.4792 * CHOOSE(CONTROL!$C$9, $D$9, 100%, $F$9) + CHOOSE(CONTROL!$C$27, 0.0021, 0)</f>
        <v>22.481299999999997</v>
      </c>
      <c r="G24" s="10">
        <f>22.7506 * CHOOSE(CONTROL!$C$9, $D$9, 100%, $F$9) + CHOOSE(CONTROL!$C$27, 0.0021, 0)</f>
        <v>22.752699999999997</v>
      </c>
      <c r="H24" s="10">
        <f>22.6159 * CHOOSE(CONTROL!$C$9, $D$9, 100%, $F$9) + CHOOSE(CONTROL!$C$27, 0.0021, 0)</f>
        <v>22.617999999999999</v>
      </c>
      <c r="I24" s="10">
        <f>22.6159 * CHOOSE(CONTROL!$C$9, $D$9, 100%, $F$9) + CHOOSE(CONTROL!$C$27, 0.0021, 0)</f>
        <v>22.617999999999999</v>
      </c>
      <c r="J24" s="10">
        <f>22.2557 * CHOOSE(CONTROL!$C$9, $D$9, 100%, $F$9) + CHOOSE(CONTROL!$C$27, 0.0021, 0)</f>
        <v>22.2578</v>
      </c>
      <c r="K24" s="10">
        <f>22.6159 * CHOOSE(CONTROL!$C$9, $D$9, 100%, $F$9) + CHOOSE(CONTROL!$C$27, 0.0021, 0)</f>
        <v>22.617999999999999</v>
      </c>
      <c r="L24" s="10"/>
      <c r="M24" s="17"/>
      <c r="N24" s="17"/>
      <c r="O24" s="17"/>
      <c r="P24" s="17"/>
      <c r="Q24" s="17"/>
    </row>
    <row r="25" spans="1:17" ht="15" x14ac:dyDescent="0.2">
      <c r="A25" s="16">
        <v>41671</v>
      </c>
      <c r="B25" s="10">
        <f>23.069 * CHOOSE(CONTROL!$C$9, $D$9, 100%, $F$9) + CHOOSE(CONTROL!$C$27, 0.0021, 0)</f>
        <v>23.071099999999998</v>
      </c>
      <c r="C25" s="10">
        <f>22.6368 * CHOOSE(CONTROL!$C$9, $D$9, 100%, $F$9) + CHOOSE(CONTROL!$C$27, 0.0021, 0)</f>
        <v>22.6389</v>
      </c>
      <c r="D25" s="10">
        <f>22.6368 * CHOOSE(CONTROL!$C$9, $D$9, 100%, $F$9) + CHOOSE(CONTROL!$C$27, 0.0021, 0)</f>
        <v>22.6389</v>
      </c>
      <c r="E25" s="10">
        <f>22.5001 * CHOOSE(CONTROL!$C$9, $D$9, 100%, $F$9) + CHOOSE(CONTROL!$C$27, 0.0021, 0)</f>
        <v>22.502199999999998</v>
      </c>
      <c r="F25" s="10">
        <f>22.5001 * CHOOSE(CONTROL!$C$9, $D$9, 100%, $F$9) + CHOOSE(CONTROL!$C$27, 0.0021, 0)</f>
        <v>22.502199999999998</v>
      </c>
      <c r="G25" s="10">
        <f>22.7715 * CHOOSE(CONTROL!$C$9, $D$9, 100%, $F$9) + CHOOSE(CONTROL!$C$27, 0.0021, 0)</f>
        <v>22.773599999999998</v>
      </c>
      <c r="H25" s="10">
        <f>22.6368 * CHOOSE(CONTROL!$C$9, $D$9, 100%, $F$9) + CHOOSE(CONTROL!$C$27, 0.0021, 0)</f>
        <v>22.6389</v>
      </c>
      <c r="I25" s="10">
        <f>22.6368 * CHOOSE(CONTROL!$C$9, $D$9, 100%, $F$9) + CHOOSE(CONTROL!$C$27, 0.0021, 0)</f>
        <v>22.6389</v>
      </c>
      <c r="J25" s="10">
        <f>22.2766 * CHOOSE(CONTROL!$C$9, $D$9, 100%, $F$9) + CHOOSE(CONTROL!$C$27, 0.0021, 0)</f>
        <v>22.278699999999997</v>
      </c>
      <c r="K25" s="10">
        <f>22.6368 * CHOOSE(CONTROL!$C$9, $D$9, 100%, $F$9) + CHOOSE(CONTROL!$C$27, 0.0021, 0)</f>
        <v>22.6389</v>
      </c>
      <c r="L25" s="10"/>
      <c r="M25" s="17"/>
      <c r="N25" s="17"/>
      <c r="O25" s="17"/>
      <c r="P25" s="17"/>
      <c r="Q25" s="17"/>
    </row>
    <row r="26" spans="1:17" ht="15" x14ac:dyDescent="0.2">
      <c r="A26" s="16">
        <v>41699</v>
      </c>
      <c r="B26" s="10">
        <f>23.0705 * CHOOSE(CONTROL!$C$9, $D$9, 100%, $F$9) + CHOOSE(CONTROL!$C$27, 0.0021, 0)</f>
        <v>23.072599999999998</v>
      </c>
      <c r="C26" s="10">
        <f>22.6382 * CHOOSE(CONTROL!$C$9, $D$9, 100%, $F$9) + CHOOSE(CONTROL!$C$27, 0.0021, 0)</f>
        <v>22.6403</v>
      </c>
      <c r="D26" s="10">
        <f>22.6382 * CHOOSE(CONTROL!$C$9, $D$9, 100%, $F$9) + CHOOSE(CONTROL!$C$27, 0.0021, 0)</f>
        <v>22.6403</v>
      </c>
      <c r="E26" s="10">
        <f>22.5016 * CHOOSE(CONTROL!$C$9, $D$9, 100%, $F$9) + CHOOSE(CONTROL!$C$27, 0.0021, 0)</f>
        <v>22.503699999999998</v>
      </c>
      <c r="F26" s="10">
        <f>22.5016 * CHOOSE(CONTROL!$C$9, $D$9, 100%, $F$9) + CHOOSE(CONTROL!$C$27, 0.0021, 0)</f>
        <v>22.503699999999998</v>
      </c>
      <c r="G26" s="10">
        <f>22.7729 * CHOOSE(CONTROL!$C$9, $D$9, 100%, $F$9) + CHOOSE(CONTROL!$C$27, 0.0021, 0)</f>
        <v>22.774999999999999</v>
      </c>
      <c r="H26" s="10">
        <f>22.6382 * CHOOSE(CONTROL!$C$9, $D$9, 100%, $F$9) + CHOOSE(CONTROL!$C$27, 0.0021, 0)</f>
        <v>22.6403</v>
      </c>
      <c r="I26" s="10">
        <f>22.6382 * CHOOSE(CONTROL!$C$9, $D$9, 100%, $F$9) + CHOOSE(CONTROL!$C$27, 0.0021, 0)</f>
        <v>22.6403</v>
      </c>
      <c r="J26" s="10">
        <f>22.278 * CHOOSE(CONTROL!$C$9, $D$9, 100%, $F$9) + CHOOSE(CONTROL!$C$27, 0.0021, 0)</f>
        <v>22.280099999999997</v>
      </c>
      <c r="K26" s="10">
        <f>22.6382 * CHOOSE(CONTROL!$C$9, $D$9, 100%, $F$9) + CHOOSE(CONTROL!$C$27, 0.0021, 0)</f>
        <v>22.6403</v>
      </c>
      <c r="L26" s="10"/>
      <c r="M26" s="17"/>
      <c r="N26" s="17"/>
      <c r="O26" s="17"/>
      <c r="P26" s="17"/>
      <c r="Q26" s="17"/>
    </row>
    <row r="27" spans="1:17" ht="15" x14ac:dyDescent="0.2">
      <c r="A27" s="16">
        <v>41730</v>
      </c>
      <c r="B27" s="10">
        <f>23.0503 * CHOOSE(CONTROL!$C$9, $D$9, 100%, $F$9) + CHOOSE(CONTROL!$C$27, 0.0021, 0)</f>
        <v>23.052399999999999</v>
      </c>
      <c r="C27" s="10">
        <f>22.618 * CHOOSE(CONTROL!$C$9, $D$9, 100%, $F$9) + CHOOSE(CONTROL!$C$27, 0.0021, 0)</f>
        <v>22.620099999999997</v>
      </c>
      <c r="D27" s="10">
        <f>22.618 * CHOOSE(CONTROL!$C$9, $D$9, 100%, $F$9) + CHOOSE(CONTROL!$C$27, 0.0021, 0)</f>
        <v>22.620099999999997</v>
      </c>
      <c r="E27" s="10">
        <f>22.4814 * CHOOSE(CONTROL!$C$9, $D$9, 100%, $F$9) + CHOOSE(CONTROL!$C$27, 0.0021, 0)</f>
        <v>22.483499999999999</v>
      </c>
      <c r="F27" s="10">
        <f>22.4814 * CHOOSE(CONTROL!$C$9, $D$9, 100%, $F$9) + CHOOSE(CONTROL!$C$27, 0.0021, 0)</f>
        <v>22.483499999999999</v>
      </c>
      <c r="G27" s="10">
        <f>22.7528 * CHOOSE(CONTROL!$C$9, $D$9, 100%, $F$9) + CHOOSE(CONTROL!$C$27, 0.0021, 0)</f>
        <v>22.754899999999999</v>
      </c>
      <c r="H27" s="10">
        <f>22.618 * CHOOSE(CONTROL!$C$9, $D$9, 100%, $F$9) + CHOOSE(CONTROL!$C$27, 0.0021, 0)</f>
        <v>22.620099999999997</v>
      </c>
      <c r="I27" s="10">
        <f>22.618 * CHOOSE(CONTROL!$C$9, $D$9, 100%, $F$9) + CHOOSE(CONTROL!$C$27, 0.0021, 0)</f>
        <v>22.620099999999997</v>
      </c>
      <c r="J27" s="10">
        <f>22.2578 * CHOOSE(CONTROL!$C$9, $D$9, 100%, $F$9) + CHOOSE(CONTROL!$C$27, 0.0021, 0)</f>
        <v>22.259899999999998</v>
      </c>
      <c r="K27" s="10">
        <f>22.618 * CHOOSE(CONTROL!$C$9, $D$9, 100%, $F$9) + CHOOSE(CONTROL!$C$27, 0.0021, 0)</f>
        <v>22.620099999999997</v>
      </c>
      <c r="L27" s="10"/>
      <c r="M27" s="17"/>
      <c r="N27" s="17"/>
      <c r="O27" s="17"/>
      <c r="P27" s="17"/>
      <c r="Q27" s="17"/>
    </row>
    <row r="28" spans="1:17" ht="15" x14ac:dyDescent="0.2">
      <c r="A28" s="16">
        <v>41760</v>
      </c>
      <c r="B28" s="10">
        <f>23.0136 * CHOOSE(CONTROL!$C$9, $D$9, 100%, $F$9) + CHOOSE(CONTROL!$C$27, 0.0021, 0)</f>
        <v>23.015699999999999</v>
      </c>
      <c r="C28" s="10">
        <f>22.5813 * CHOOSE(CONTROL!$C$9, $D$9, 100%, $F$9) + CHOOSE(CONTROL!$C$27, 0.0021, 0)</f>
        <v>22.583399999999997</v>
      </c>
      <c r="D28" s="10">
        <f>22.5813 * CHOOSE(CONTROL!$C$9, $D$9, 100%, $F$9) + CHOOSE(CONTROL!$C$27, 0.0021, 0)</f>
        <v>22.583399999999997</v>
      </c>
      <c r="E28" s="10">
        <f>22.4446 * CHOOSE(CONTROL!$C$9, $D$9, 100%, $F$9) + CHOOSE(CONTROL!$C$27, 0.0021, 0)</f>
        <v>22.4467</v>
      </c>
      <c r="F28" s="10">
        <f>22.4446 * CHOOSE(CONTROL!$C$9, $D$9, 100%, $F$9) + CHOOSE(CONTROL!$C$27, 0.0021, 0)</f>
        <v>22.4467</v>
      </c>
      <c r="G28" s="10">
        <f>22.716 * CHOOSE(CONTROL!$C$9, $D$9, 100%, $F$9) + CHOOSE(CONTROL!$C$27, 0.0021, 0)</f>
        <v>22.7181</v>
      </c>
      <c r="H28" s="10">
        <f>22.5813 * CHOOSE(CONTROL!$C$9, $D$9, 100%, $F$9) + CHOOSE(CONTROL!$C$27, 0.0021, 0)</f>
        <v>22.583399999999997</v>
      </c>
      <c r="I28" s="10">
        <f>22.5813 * CHOOSE(CONTROL!$C$9, $D$9, 100%, $F$9) + CHOOSE(CONTROL!$C$27, 0.0021, 0)</f>
        <v>22.583399999999997</v>
      </c>
      <c r="J28" s="10">
        <f>22.2211 * CHOOSE(CONTROL!$C$9, $D$9, 100%, $F$9) + CHOOSE(CONTROL!$C$27, 0.0021, 0)</f>
        <v>22.223199999999999</v>
      </c>
      <c r="K28" s="10">
        <f>22.5813 * CHOOSE(CONTROL!$C$9, $D$9, 100%, $F$9) + CHOOSE(CONTROL!$C$27, 0.0021, 0)</f>
        <v>22.583399999999997</v>
      </c>
      <c r="L28" s="10"/>
      <c r="M28" s="17"/>
      <c r="N28" s="17"/>
      <c r="O28" s="17"/>
      <c r="P28" s="17"/>
      <c r="Q28" s="17"/>
    </row>
    <row r="29" spans="1:17" ht="15" x14ac:dyDescent="0.2">
      <c r="A29" s="16">
        <v>41791</v>
      </c>
      <c r="B29" s="10">
        <f>22.9739 * CHOOSE(CONTROL!$C$9, $D$9, 100%, $F$9) + CHOOSE(CONTROL!$C$27, 0.0021, 0)</f>
        <v>22.975999999999999</v>
      </c>
      <c r="C29" s="10">
        <f>22.5417 * CHOOSE(CONTROL!$C$9, $D$9, 100%, $F$9) + CHOOSE(CONTROL!$C$27, 0.0021, 0)</f>
        <v>22.543799999999997</v>
      </c>
      <c r="D29" s="10">
        <f>22.5417 * CHOOSE(CONTROL!$C$9, $D$9, 100%, $F$9) + CHOOSE(CONTROL!$C$27, 0.0021, 0)</f>
        <v>22.543799999999997</v>
      </c>
      <c r="E29" s="10">
        <f>22.405 * CHOOSE(CONTROL!$C$9, $D$9, 100%, $F$9) + CHOOSE(CONTROL!$C$27, 0.0021, 0)</f>
        <v>22.4071</v>
      </c>
      <c r="F29" s="10">
        <f>22.405 * CHOOSE(CONTROL!$C$9, $D$9, 100%, $F$9) + CHOOSE(CONTROL!$C$27, 0.0021, 0)</f>
        <v>22.4071</v>
      </c>
      <c r="G29" s="10">
        <f>22.6764 * CHOOSE(CONTROL!$C$9, $D$9, 100%, $F$9) + CHOOSE(CONTROL!$C$27, 0.0021, 0)</f>
        <v>22.6785</v>
      </c>
      <c r="H29" s="10">
        <f>22.5417 * CHOOSE(CONTROL!$C$9, $D$9, 100%, $F$9) + CHOOSE(CONTROL!$C$27, 0.0021, 0)</f>
        <v>22.543799999999997</v>
      </c>
      <c r="I29" s="10">
        <f>22.5417 * CHOOSE(CONTROL!$C$9, $D$9, 100%, $F$9) + CHOOSE(CONTROL!$C$27, 0.0021, 0)</f>
        <v>22.543799999999997</v>
      </c>
      <c r="J29" s="10">
        <f>22.1815 * CHOOSE(CONTROL!$C$9, $D$9, 100%, $F$9) + CHOOSE(CONTROL!$C$27, 0.0021, 0)</f>
        <v>22.183599999999998</v>
      </c>
      <c r="K29" s="10">
        <f>22.5417 * CHOOSE(CONTROL!$C$9, $D$9, 100%, $F$9) + CHOOSE(CONTROL!$C$27, 0.0021, 0)</f>
        <v>22.543799999999997</v>
      </c>
      <c r="L29" s="10"/>
      <c r="M29" s="17"/>
      <c r="N29" s="17"/>
      <c r="O29" s="17"/>
      <c r="P29" s="17"/>
      <c r="Q29" s="17"/>
    </row>
    <row r="30" spans="1:17" ht="15" x14ac:dyDescent="0.2">
      <c r="A30" s="16">
        <v>41821</v>
      </c>
      <c r="B30" s="10">
        <f>22.9523 * CHOOSE(CONTROL!$C$9, $D$9, 100%, $F$9) + CHOOSE(CONTROL!$C$27, 0.0021, 0)</f>
        <v>22.9544</v>
      </c>
      <c r="C30" s="10">
        <f>22.5201 * CHOOSE(CONTROL!$C$9, $D$9, 100%, $F$9) + CHOOSE(CONTROL!$C$27, 0.0021, 0)</f>
        <v>22.522199999999998</v>
      </c>
      <c r="D30" s="10">
        <f>22.5201 * CHOOSE(CONTROL!$C$9, $D$9, 100%, $F$9) + CHOOSE(CONTROL!$C$27, 0.0021, 0)</f>
        <v>22.522199999999998</v>
      </c>
      <c r="E30" s="10">
        <f>22.3834 * CHOOSE(CONTROL!$C$9, $D$9, 100%, $F$9) + CHOOSE(CONTROL!$C$27, 0.0021, 0)</f>
        <v>22.3855</v>
      </c>
      <c r="F30" s="10">
        <f>22.3834 * CHOOSE(CONTROL!$C$9, $D$9, 100%, $F$9) + CHOOSE(CONTROL!$C$27, 0.0021, 0)</f>
        <v>22.3855</v>
      </c>
      <c r="G30" s="10">
        <f>22.6548 * CHOOSE(CONTROL!$C$9, $D$9, 100%, $F$9) + CHOOSE(CONTROL!$C$27, 0.0021, 0)</f>
        <v>22.6569</v>
      </c>
      <c r="H30" s="10">
        <f>22.5201 * CHOOSE(CONTROL!$C$9, $D$9, 100%, $F$9) + CHOOSE(CONTROL!$C$27, 0.0021, 0)</f>
        <v>22.522199999999998</v>
      </c>
      <c r="I30" s="10">
        <f>22.5201 * CHOOSE(CONTROL!$C$9, $D$9, 100%, $F$9) + CHOOSE(CONTROL!$C$27, 0.0021, 0)</f>
        <v>22.522199999999998</v>
      </c>
      <c r="J30" s="10">
        <f>22.1599 * CHOOSE(CONTROL!$C$9, $D$9, 100%, $F$9) + CHOOSE(CONTROL!$C$27, 0.0021, 0)</f>
        <v>22.161999999999999</v>
      </c>
      <c r="K30" s="10">
        <f>22.5201 * CHOOSE(CONTROL!$C$9, $D$9, 100%, $F$9) + CHOOSE(CONTROL!$C$27, 0.0021, 0)</f>
        <v>22.522199999999998</v>
      </c>
      <c r="L30" s="10"/>
      <c r="M30" s="17"/>
      <c r="N30" s="17"/>
      <c r="O30" s="17"/>
      <c r="P30" s="17"/>
      <c r="Q30" s="17"/>
    </row>
    <row r="31" spans="1:17" ht="15" x14ac:dyDescent="0.2">
      <c r="A31" s="16">
        <v>41852</v>
      </c>
      <c r="B31" s="10">
        <f>22.9336 * CHOOSE(CONTROL!$C$9, $D$9, 100%, $F$9) + CHOOSE(CONTROL!$C$27, 0.0021, 0)</f>
        <v>22.935699999999997</v>
      </c>
      <c r="C31" s="10">
        <f>22.5013 * CHOOSE(CONTROL!$C$9, $D$9, 100%, $F$9) + CHOOSE(CONTROL!$C$27, 0.0021, 0)</f>
        <v>22.503399999999999</v>
      </c>
      <c r="D31" s="10">
        <f>22.5013 * CHOOSE(CONTROL!$C$9, $D$9, 100%, $F$9) + CHOOSE(CONTROL!$C$27, 0.0021, 0)</f>
        <v>22.503399999999999</v>
      </c>
      <c r="E31" s="10">
        <f>22.3647 * CHOOSE(CONTROL!$C$9, $D$9, 100%, $F$9) + CHOOSE(CONTROL!$C$27, 0.0021, 0)</f>
        <v>22.366799999999998</v>
      </c>
      <c r="F31" s="10">
        <f>22.3647 * CHOOSE(CONTROL!$C$9, $D$9, 100%, $F$9) + CHOOSE(CONTROL!$C$27, 0.0021, 0)</f>
        <v>22.366799999999998</v>
      </c>
      <c r="G31" s="10">
        <f>22.6361 * CHOOSE(CONTROL!$C$9, $D$9, 100%, $F$9) + CHOOSE(CONTROL!$C$27, 0.0021, 0)</f>
        <v>22.638199999999998</v>
      </c>
      <c r="H31" s="10">
        <f>22.5013 * CHOOSE(CONTROL!$C$9, $D$9, 100%, $F$9) + CHOOSE(CONTROL!$C$27, 0.0021, 0)</f>
        <v>22.503399999999999</v>
      </c>
      <c r="I31" s="10">
        <f>22.5013 * CHOOSE(CONTROL!$C$9, $D$9, 100%, $F$9) + CHOOSE(CONTROL!$C$27, 0.0021, 0)</f>
        <v>22.503399999999999</v>
      </c>
      <c r="J31" s="10">
        <f>22.1411 * CHOOSE(CONTROL!$C$9, $D$9, 100%, $F$9) + CHOOSE(CONTROL!$C$27, 0.0021, 0)</f>
        <v>22.1432</v>
      </c>
      <c r="K31" s="10">
        <f>22.5013 * CHOOSE(CONTROL!$C$9, $D$9, 100%, $F$9) + CHOOSE(CONTROL!$C$27, 0.0021, 0)</f>
        <v>22.503399999999999</v>
      </c>
      <c r="L31" s="10"/>
      <c r="M31" s="17"/>
      <c r="N31" s="17"/>
      <c r="O31" s="17"/>
      <c r="P31" s="17"/>
      <c r="Q31" s="17"/>
    </row>
    <row r="32" spans="1:17" ht="15" x14ac:dyDescent="0.2">
      <c r="A32" s="16">
        <v>41883</v>
      </c>
      <c r="B32" s="10">
        <f>22.9163 * CHOOSE(CONTROL!$C$9, $D$9, 100%, $F$9) + CHOOSE(CONTROL!$C$27, 0.0021, 0)</f>
        <v>22.918399999999998</v>
      </c>
      <c r="C32" s="10">
        <f>22.484 * CHOOSE(CONTROL!$C$9, $D$9, 100%, $F$9) + CHOOSE(CONTROL!$C$27, 0.0021, 0)</f>
        <v>22.4861</v>
      </c>
      <c r="D32" s="10">
        <f>22.484 * CHOOSE(CONTROL!$C$9, $D$9, 100%, $F$9) + CHOOSE(CONTROL!$C$27, 0.0021, 0)</f>
        <v>22.4861</v>
      </c>
      <c r="E32" s="10">
        <f>22.3474 * CHOOSE(CONTROL!$C$9, $D$9, 100%, $F$9) + CHOOSE(CONTROL!$C$27, 0.0021, 0)</f>
        <v>22.349499999999999</v>
      </c>
      <c r="F32" s="10">
        <f>22.3474 * CHOOSE(CONTROL!$C$9, $D$9, 100%, $F$9) + CHOOSE(CONTROL!$C$27, 0.0021, 0)</f>
        <v>22.349499999999999</v>
      </c>
      <c r="G32" s="10">
        <f>22.6188 * CHOOSE(CONTROL!$C$9, $D$9, 100%, $F$9) + CHOOSE(CONTROL!$C$27, 0.0021, 0)</f>
        <v>22.620899999999999</v>
      </c>
      <c r="H32" s="10">
        <f>22.484 * CHOOSE(CONTROL!$C$9, $D$9, 100%, $F$9) + CHOOSE(CONTROL!$C$27, 0.0021, 0)</f>
        <v>22.4861</v>
      </c>
      <c r="I32" s="10">
        <f>22.484 * CHOOSE(CONTROL!$C$9, $D$9, 100%, $F$9) + CHOOSE(CONTROL!$C$27, 0.0021, 0)</f>
        <v>22.4861</v>
      </c>
      <c r="J32" s="10">
        <f>22.1238 * CHOOSE(CONTROL!$C$9, $D$9, 100%, $F$9) + CHOOSE(CONTROL!$C$27, 0.0021, 0)</f>
        <v>22.125899999999998</v>
      </c>
      <c r="K32" s="10">
        <f>22.484 * CHOOSE(CONTROL!$C$9, $D$9, 100%, $F$9) + CHOOSE(CONTROL!$C$27, 0.0021, 0)</f>
        <v>22.4861</v>
      </c>
      <c r="L32" s="10"/>
      <c r="M32" s="17"/>
      <c r="N32" s="17"/>
      <c r="O32" s="17"/>
      <c r="P32" s="17"/>
      <c r="Q32" s="17"/>
    </row>
    <row r="33" spans="1:17" ht="15" x14ac:dyDescent="0.2">
      <c r="A33" s="16">
        <v>41913</v>
      </c>
      <c r="B33" s="10">
        <f>22.9012 * CHOOSE(CONTROL!$C$9, $D$9, 100%, $F$9) + CHOOSE(CONTROL!$C$27, 0.0021, 0)</f>
        <v>22.903299999999998</v>
      </c>
      <c r="C33" s="10">
        <f>22.4689 * CHOOSE(CONTROL!$C$9, $D$9, 100%, $F$9) + CHOOSE(CONTROL!$C$27, 0.0021, 0)</f>
        <v>22.471</v>
      </c>
      <c r="D33" s="10">
        <f>22.4689 * CHOOSE(CONTROL!$C$9, $D$9, 100%, $F$9) + CHOOSE(CONTROL!$C$27, 0.0021, 0)</f>
        <v>22.471</v>
      </c>
      <c r="E33" s="10">
        <f>22.3323 * CHOOSE(CONTROL!$C$9, $D$9, 100%, $F$9) + CHOOSE(CONTROL!$C$27, 0.0021, 0)</f>
        <v>22.334399999999999</v>
      </c>
      <c r="F33" s="10">
        <f>22.3323 * CHOOSE(CONTROL!$C$9, $D$9, 100%, $F$9) + CHOOSE(CONTROL!$C$27, 0.0021, 0)</f>
        <v>22.334399999999999</v>
      </c>
      <c r="G33" s="10">
        <f>22.6036 * CHOOSE(CONTROL!$C$9, $D$9, 100%, $F$9) + CHOOSE(CONTROL!$C$27, 0.0021, 0)</f>
        <v>22.605699999999999</v>
      </c>
      <c r="H33" s="10">
        <f>22.4689 * CHOOSE(CONTROL!$C$9, $D$9, 100%, $F$9) + CHOOSE(CONTROL!$C$27, 0.0021, 0)</f>
        <v>22.471</v>
      </c>
      <c r="I33" s="10">
        <f>22.4689 * CHOOSE(CONTROL!$C$9, $D$9, 100%, $F$9) + CHOOSE(CONTROL!$C$27, 0.0021, 0)</f>
        <v>22.471</v>
      </c>
      <c r="J33" s="10">
        <f>22.1087 * CHOOSE(CONTROL!$C$9, $D$9, 100%, $F$9) + CHOOSE(CONTROL!$C$27, 0.0021, 0)</f>
        <v>22.110799999999998</v>
      </c>
      <c r="K33" s="10">
        <f>22.4689 * CHOOSE(CONTROL!$C$9, $D$9, 100%, $F$9) + CHOOSE(CONTROL!$C$27, 0.0021, 0)</f>
        <v>22.471</v>
      </c>
      <c r="L33" s="10"/>
      <c r="M33" s="17"/>
      <c r="N33" s="17"/>
      <c r="O33" s="17"/>
      <c r="P33" s="17"/>
      <c r="Q33" s="17"/>
    </row>
    <row r="34" spans="1:17" ht="15" x14ac:dyDescent="0.2">
      <c r="A34" s="16">
        <v>41944</v>
      </c>
      <c r="B34" s="10">
        <f>22.8824 * CHOOSE(CONTROL!$C$9, $D$9, 100%, $F$9) + CHOOSE(CONTROL!$C$27, 0.0021, 0)</f>
        <v>22.884499999999999</v>
      </c>
      <c r="C34" s="10">
        <f>22.4502 * CHOOSE(CONTROL!$C$9, $D$9, 100%, $F$9) + CHOOSE(CONTROL!$C$27, 0.0021, 0)</f>
        <v>22.452299999999997</v>
      </c>
      <c r="D34" s="10">
        <f>22.4502 * CHOOSE(CONTROL!$C$9, $D$9, 100%, $F$9) + CHOOSE(CONTROL!$C$27, 0.0021, 0)</f>
        <v>22.452299999999997</v>
      </c>
      <c r="E34" s="10">
        <f>22.3135 * CHOOSE(CONTROL!$C$9, $D$9, 100%, $F$9) + CHOOSE(CONTROL!$C$27, 0.0021, 0)</f>
        <v>22.3156</v>
      </c>
      <c r="F34" s="10">
        <f>22.3135 * CHOOSE(CONTROL!$C$9, $D$9, 100%, $F$9) + CHOOSE(CONTROL!$C$27, 0.0021, 0)</f>
        <v>22.3156</v>
      </c>
      <c r="G34" s="10">
        <f>22.5849 * CHOOSE(CONTROL!$C$9, $D$9, 100%, $F$9) + CHOOSE(CONTROL!$C$27, 0.0021, 0)</f>
        <v>22.587</v>
      </c>
      <c r="H34" s="10">
        <f>22.4502 * CHOOSE(CONTROL!$C$9, $D$9, 100%, $F$9) + CHOOSE(CONTROL!$C$27, 0.0021, 0)</f>
        <v>22.452299999999997</v>
      </c>
      <c r="I34" s="10">
        <f>22.4502 * CHOOSE(CONTROL!$C$9, $D$9, 100%, $F$9) + CHOOSE(CONTROL!$C$27, 0.0021, 0)</f>
        <v>22.452299999999997</v>
      </c>
      <c r="J34" s="10">
        <f>22.09 * CHOOSE(CONTROL!$C$9, $D$9, 100%, $F$9) + CHOOSE(CONTROL!$C$27, 0.0021, 0)</f>
        <v>22.092099999999999</v>
      </c>
      <c r="K34" s="10">
        <f>22.4502 * CHOOSE(CONTROL!$C$9, $D$9, 100%, $F$9) + CHOOSE(CONTROL!$C$27, 0.0021, 0)</f>
        <v>22.452299999999997</v>
      </c>
      <c r="L34" s="10"/>
      <c r="M34" s="17"/>
      <c r="N34" s="17"/>
      <c r="O34" s="17"/>
      <c r="P34" s="17"/>
      <c r="Q34" s="17"/>
    </row>
    <row r="35" spans="1:17" ht="15" x14ac:dyDescent="0.2">
      <c r="A35" s="16">
        <v>41974</v>
      </c>
      <c r="B35" s="10">
        <f>22.8594 * CHOOSE(CONTROL!$C$9, $D$9, 100%, $F$9) + CHOOSE(CONTROL!$C$27, 0.0021, 0)</f>
        <v>22.861499999999999</v>
      </c>
      <c r="C35" s="10">
        <f>22.4271 * CHOOSE(CONTROL!$C$9, $D$9, 100%, $F$9) + CHOOSE(CONTROL!$C$27, 0.0021, 0)</f>
        <v>22.429199999999998</v>
      </c>
      <c r="D35" s="10">
        <f>22.4271 * CHOOSE(CONTROL!$C$9, $D$9, 100%, $F$9) + CHOOSE(CONTROL!$C$27, 0.0021, 0)</f>
        <v>22.429199999999998</v>
      </c>
      <c r="E35" s="10">
        <f>22.2905 * CHOOSE(CONTROL!$C$9, $D$9, 100%, $F$9) + CHOOSE(CONTROL!$C$27, 0.0021, 0)</f>
        <v>22.2926</v>
      </c>
      <c r="F35" s="10">
        <f>22.2905 * CHOOSE(CONTROL!$C$9, $D$9, 100%, $F$9) + CHOOSE(CONTROL!$C$27, 0.0021, 0)</f>
        <v>22.2926</v>
      </c>
      <c r="G35" s="10">
        <f>22.5619 * CHOOSE(CONTROL!$C$9, $D$9, 100%, $F$9) + CHOOSE(CONTROL!$C$27, 0.0021, 0)</f>
        <v>22.564</v>
      </c>
      <c r="H35" s="10">
        <f>22.4271 * CHOOSE(CONTROL!$C$9, $D$9, 100%, $F$9) + CHOOSE(CONTROL!$C$27, 0.0021, 0)</f>
        <v>22.429199999999998</v>
      </c>
      <c r="I35" s="10">
        <f>22.4271 * CHOOSE(CONTROL!$C$9, $D$9, 100%, $F$9) + CHOOSE(CONTROL!$C$27, 0.0021, 0)</f>
        <v>22.429199999999998</v>
      </c>
      <c r="J35" s="10">
        <f>22.0669 * CHOOSE(CONTROL!$C$9, $D$9, 100%, $F$9) + CHOOSE(CONTROL!$C$27, 0.0021, 0)</f>
        <v>22.068999999999999</v>
      </c>
      <c r="K35" s="10">
        <f>22.4271 * CHOOSE(CONTROL!$C$9, $D$9, 100%, $F$9) + CHOOSE(CONTROL!$C$27, 0.0021, 0)</f>
        <v>22.429199999999998</v>
      </c>
      <c r="L35" s="10"/>
      <c r="M35" s="17"/>
      <c r="N35" s="17"/>
      <c r="O35" s="17"/>
      <c r="P35" s="17"/>
      <c r="Q35" s="17"/>
    </row>
    <row r="36" spans="1:17" ht="15" x14ac:dyDescent="0.2">
      <c r="A36" s="16">
        <v>42005</v>
      </c>
      <c r="B36" s="10">
        <f>22.837 * CHOOSE(CONTROL!$C$9, $D$9, 100%, $F$9) + CHOOSE(CONTROL!$C$27, 0.0021, 0)</f>
        <v>22.839099999999998</v>
      </c>
      <c r="C36" s="10">
        <f>22.4048 * CHOOSE(CONTROL!$C$9, $D$9, 100%, $F$9) + CHOOSE(CONTROL!$C$27, 0.0021, 0)</f>
        <v>22.4069</v>
      </c>
      <c r="D36" s="10">
        <f>22.4048 * CHOOSE(CONTROL!$C$9, $D$9, 100%, $F$9) + CHOOSE(CONTROL!$C$27, 0.0021, 0)</f>
        <v>22.4069</v>
      </c>
      <c r="E36" s="10">
        <f>22.2681 * CHOOSE(CONTROL!$C$9, $D$9, 100%, $F$9) + CHOOSE(CONTROL!$C$27, 0.0021, 0)</f>
        <v>22.270199999999999</v>
      </c>
      <c r="F36" s="10">
        <f>22.2681 * CHOOSE(CONTROL!$C$9, $D$9, 100%, $F$9) + CHOOSE(CONTROL!$C$27, 0.0021, 0)</f>
        <v>22.270199999999999</v>
      </c>
      <c r="G36" s="10">
        <f>22.5395 * CHOOSE(CONTROL!$C$9, $D$9, 100%, $F$9) + CHOOSE(CONTROL!$C$27, 0.0021, 0)</f>
        <v>22.541599999999999</v>
      </c>
      <c r="H36" s="10">
        <f>22.4048 * CHOOSE(CONTROL!$C$9, $D$9, 100%, $F$9) + CHOOSE(CONTROL!$C$27, 0.0021, 0)</f>
        <v>22.4069</v>
      </c>
      <c r="I36" s="10">
        <f>22.4048 * CHOOSE(CONTROL!$C$9, $D$9, 100%, $F$9) + CHOOSE(CONTROL!$C$27, 0.0021, 0)</f>
        <v>22.4069</v>
      </c>
      <c r="J36" s="10">
        <f>22.4048 * CHOOSE(CONTROL!$C$9, $D$9, 100%, $F$9) + CHOOSE(CONTROL!$C$27, 0.0021, 0)</f>
        <v>22.4069</v>
      </c>
      <c r="K36" s="10">
        <f>22.4048 * CHOOSE(CONTROL!$C$9, $D$9, 100%, $F$9) + CHOOSE(CONTROL!$C$27, 0.0021, 0)</f>
        <v>22.4069</v>
      </c>
      <c r="L36" s="10"/>
      <c r="M36" s="17"/>
      <c r="N36" s="17"/>
      <c r="O36" s="17"/>
      <c r="P36" s="17"/>
      <c r="Q36" s="17"/>
    </row>
    <row r="37" spans="1:17" ht="15" x14ac:dyDescent="0.2">
      <c r="A37" s="16">
        <v>42036</v>
      </c>
      <c r="B37" s="10">
        <f>22.783 * CHOOSE(CONTROL!$C$9, $D$9, 100%, $F$9) + CHOOSE(CONTROL!$C$27, 0.0021, 0)</f>
        <v>22.7851</v>
      </c>
      <c r="C37" s="10">
        <f>22.3508 * CHOOSE(CONTROL!$C$9, $D$9, 100%, $F$9) + CHOOSE(CONTROL!$C$27, 0.0021, 0)</f>
        <v>22.352899999999998</v>
      </c>
      <c r="D37" s="10">
        <f>22.3508 * CHOOSE(CONTROL!$C$9, $D$9, 100%, $F$9) + CHOOSE(CONTROL!$C$27, 0.0021, 0)</f>
        <v>22.352899999999998</v>
      </c>
      <c r="E37" s="10">
        <f>22.2141 * CHOOSE(CONTROL!$C$9, $D$9, 100%, $F$9) + CHOOSE(CONTROL!$C$27, 0.0021, 0)</f>
        <v>22.216199999999997</v>
      </c>
      <c r="F37" s="10">
        <f>22.2141 * CHOOSE(CONTROL!$C$9, $D$9, 100%, $F$9) + CHOOSE(CONTROL!$C$27, 0.0021, 0)</f>
        <v>22.216199999999997</v>
      </c>
      <c r="G37" s="10">
        <f>22.4855 * CHOOSE(CONTROL!$C$9, $D$9, 100%, $F$9) + CHOOSE(CONTROL!$C$27, 0.0021, 0)</f>
        <v>22.487599999999997</v>
      </c>
      <c r="H37" s="10">
        <f>22.3508 * CHOOSE(CONTROL!$C$9, $D$9, 100%, $F$9) + CHOOSE(CONTROL!$C$27, 0.0021, 0)</f>
        <v>22.352899999999998</v>
      </c>
      <c r="I37" s="10">
        <f>22.3508 * CHOOSE(CONTROL!$C$9, $D$9, 100%, $F$9) + CHOOSE(CONTROL!$C$27, 0.0021, 0)</f>
        <v>22.352899999999998</v>
      </c>
      <c r="J37" s="10">
        <f>22.3508 * CHOOSE(CONTROL!$C$9, $D$9, 100%, $F$9) + CHOOSE(CONTROL!$C$27, 0.0021, 0)</f>
        <v>22.352899999999998</v>
      </c>
      <c r="K37" s="10">
        <f>22.3508 * CHOOSE(CONTROL!$C$9, $D$9, 100%, $F$9) + CHOOSE(CONTROL!$C$27, 0.0021, 0)</f>
        <v>22.352899999999998</v>
      </c>
      <c r="L37" s="10"/>
      <c r="M37" s="17"/>
      <c r="N37" s="17"/>
      <c r="O37" s="17"/>
      <c r="P37" s="17"/>
      <c r="Q37" s="17"/>
    </row>
    <row r="38" spans="1:17" ht="15" x14ac:dyDescent="0.2">
      <c r="A38" s="16">
        <v>42064</v>
      </c>
      <c r="B38" s="10">
        <f>22.711 * CHOOSE(CONTROL!$C$9, $D$9, 100%, $F$9) + CHOOSE(CONTROL!$C$27, 0.0021, 0)</f>
        <v>22.713099999999997</v>
      </c>
      <c r="C38" s="10">
        <f>22.2787 * CHOOSE(CONTROL!$C$9, $D$9, 100%, $F$9) + CHOOSE(CONTROL!$C$27, 0.0021, 0)</f>
        <v>22.280799999999999</v>
      </c>
      <c r="D38" s="10">
        <f>22.2787 * CHOOSE(CONTROL!$C$9, $D$9, 100%, $F$9) + CHOOSE(CONTROL!$C$27, 0.0021, 0)</f>
        <v>22.280799999999999</v>
      </c>
      <c r="E38" s="10">
        <f>22.1421 * CHOOSE(CONTROL!$C$9, $D$9, 100%, $F$9) + CHOOSE(CONTROL!$C$27, 0.0021, 0)</f>
        <v>22.144199999999998</v>
      </c>
      <c r="F38" s="10">
        <f>22.1421 * CHOOSE(CONTROL!$C$9, $D$9, 100%, $F$9) + CHOOSE(CONTROL!$C$27, 0.0021, 0)</f>
        <v>22.144199999999998</v>
      </c>
      <c r="G38" s="10">
        <f>22.4134 * CHOOSE(CONTROL!$C$9, $D$9, 100%, $F$9) + CHOOSE(CONTROL!$C$27, 0.0021, 0)</f>
        <v>22.415499999999998</v>
      </c>
      <c r="H38" s="10">
        <f>22.2787 * CHOOSE(CONTROL!$C$9, $D$9, 100%, $F$9) + CHOOSE(CONTROL!$C$27, 0.0021, 0)</f>
        <v>22.280799999999999</v>
      </c>
      <c r="I38" s="10">
        <f>22.2787 * CHOOSE(CONTROL!$C$9, $D$9, 100%, $F$9) + CHOOSE(CONTROL!$C$27, 0.0021, 0)</f>
        <v>22.280799999999999</v>
      </c>
      <c r="J38" s="10">
        <f>22.2787 * CHOOSE(CONTROL!$C$9, $D$9, 100%, $F$9) + CHOOSE(CONTROL!$C$27, 0.0021, 0)</f>
        <v>22.280799999999999</v>
      </c>
      <c r="K38" s="10">
        <f>22.2787 * CHOOSE(CONTROL!$C$9, $D$9, 100%, $F$9) + CHOOSE(CONTROL!$C$27, 0.0021, 0)</f>
        <v>22.280799999999999</v>
      </c>
      <c r="L38" s="10"/>
      <c r="M38" s="17"/>
      <c r="N38" s="17"/>
      <c r="O38" s="17"/>
      <c r="P38" s="17"/>
      <c r="Q38" s="17"/>
    </row>
    <row r="39" spans="1:17" ht="15" x14ac:dyDescent="0.2">
      <c r="A39" s="16">
        <v>42095</v>
      </c>
      <c r="B39" s="10">
        <f>22.6029 * CHOOSE(CONTROL!$C$9, $D$9, 100%, $F$9) + CHOOSE(CONTROL!$C$27, 0.0021, 0)</f>
        <v>22.605</v>
      </c>
      <c r="C39" s="10">
        <f>22.1707 * CHOOSE(CONTROL!$C$9, $D$9, 100%, $F$9) + CHOOSE(CONTROL!$C$27, 0.0021, 0)</f>
        <v>22.172799999999999</v>
      </c>
      <c r="D39" s="10">
        <f>22.1707 * CHOOSE(CONTROL!$C$9, $D$9, 100%, $F$9) + CHOOSE(CONTROL!$C$27, 0.0021, 0)</f>
        <v>22.172799999999999</v>
      </c>
      <c r="E39" s="10">
        <f>22.034 * CHOOSE(CONTROL!$C$9, $D$9, 100%, $F$9) + CHOOSE(CONTROL!$C$27, 0.0021, 0)</f>
        <v>22.036099999999998</v>
      </c>
      <c r="F39" s="10">
        <f>22.034 * CHOOSE(CONTROL!$C$9, $D$9, 100%, $F$9) + CHOOSE(CONTROL!$C$27, 0.0021, 0)</f>
        <v>22.036099999999998</v>
      </c>
      <c r="G39" s="10">
        <f>22.3054 * CHOOSE(CONTROL!$C$9, $D$9, 100%, $F$9) + CHOOSE(CONTROL!$C$27, 0.0021, 0)</f>
        <v>22.307499999999997</v>
      </c>
      <c r="H39" s="10">
        <f>22.1707 * CHOOSE(CONTROL!$C$9, $D$9, 100%, $F$9) + CHOOSE(CONTROL!$C$27, 0.0021, 0)</f>
        <v>22.172799999999999</v>
      </c>
      <c r="I39" s="10">
        <f>22.1707 * CHOOSE(CONTROL!$C$9, $D$9, 100%, $F$9) + CHOOSE(CONTROL!$C$27, 0.0021, 0)</f>
        <v>22.172799999999999</v>
      </c>
      <c r="J39" s="10">
        <f>22.1707 * CHOOSE(CONTROL!$C$9, $D$9, 100%, $F$9) + CHOOSE(CONTROL!$C$27, 0.0021, 0)</f>
        <v>22.172799999999999</v>
      </c>
      <c r="K39" s="10">
        <f>22.1707 * CHOOSE(CONTROL!$C$9, $D$9, 100%, $F$9) + CHOOSE(CONTROL!$C$27, 0.0021, 0)</f>
        <v>22.172799999999999</v>
      </c>
      <c r="L39" s="10"/>
      <c r="M39" s="17"/>
      <c r="N39" s="17"/>
      <c r="O39" s="17"/>
      <c r="P39" s="17"/>
      <c r="Q39" s="17"/>
    </row>
    <row r="40" spans="1:17" ht="15" x14ac:dyDescent="0.2">
      <c r="A40" s="16">
        <v>42125</v>
      </c>
      <c r="B40" s="10">
        <f>22.4913 * CHOOSE(CONTROL!$C$9, $D$9, 100%, $F$9) + CHOOSE(CONTROL!$C$27, 0.0021, 0)</f>
        <v>22.493399999999998</v>
      </c>
      <c r="C40" s="10">
        <f>22.059 * CHOOSE(CONTROL!$C$9, $D$9, 100%, $F$9) + CHOOSE(CONTROL!$C$27, 0.0021, 0)</f>
        <v>22.0611</v>
      </c>
      <c r="D40" s="10">
        <f>22.059 * CHOOSE(CONTROL!$C$9, $D$9, 100%, $F$9) + CHOOSE(CONTROL!$C$27, 0.0021, 0)</f>
        <v>22.0611</v>
      </c>
      <c r="E40" s="10">
        <f>21.9223 * CHOOSE(CONTROL!$C$9, $D$9, 100%, $F$9) + CHOOSE(CONTROL!$C$27, 0.0021, 0)</f>
        <v>21.924399999999999</v>
      </c>
      <c r="F40" s="10">
        <f>21.9223 * CHOOSE(CONTROL!$C$9, $D$9, 100%, $F$9) + CHOOSE(CONTROL!$C$27, 0.0021, 0)</f>
        <v>21.924399999999999</v>
      </c>
      <c r="G40" s="10">
        <f>22.1937 * CHOOSE(CONTROL!$C$9, $D$9, 100%, $F$9) + CHOOSE(CONTROL!$C$27, 0.0021, 0)</f>
        <v>22.195799999999998</v>
      </c>
      <c r="H40" s="10">
        <f>22.059 * CHOOSE(CONTROL!$C$9, $D$9, 100%, $F$9) + CHOOSE(CONTROL!$C$27, 0.0021, 0)</f>
        <v>22.0611</v>
      </c>
      <c r="I40" s="10">
        <f>22.059 * CHOOSE(CONTROL!$C$9, $D$9, 100%, $F$9) + CHOOSE(CONTROL!$C$27, 0.0021, 0)</f>
        <v>22.0611</v>
      </c>
      <c r="J40" s="10">
        <f>22.059 * CHOOSE(CONTROL!$C$9, $D$9, 100%, $F$9) + CHOOSE(CONTROL!$C$27, 0.0021, 0)</f>
        <v>22.0611</v>
      </c>
      <c r="K40" s="10">
        <f>22.059 * CHOOSE(CONTROL!$C$9, $D$9, 100%, $F$9) + CHOOSE(CONTROL!$C$27, 0.0021, 0)</f>
        <v>22.0611</v>
      </c>
      <c r="L40" s="10"/>
      <c r="M40" s="17"/>
      <c r="N40" s="17"/>
      <c r="O40" s="17"/>
      <c r="P40" s="17"/>
      <c r="Q40" s="17"/>
    </row>
    <row r="41" spans="1:17" ht="15" x14ac:dyDescent="0.2">
      <c r="A41" s="16">
        <v>42156</v>
      </c>
      <c r="B41" s="10">
        <f>22.376 * CHOOSE(CONTROL!$C$9, $D$9, 100%, $F$9) + CHOOSE(CONTROL!$C$27, 0.0021, 0)</f>
        <v>22.3781</v>
      </c>
      <c r="C41" s="10">
        <f>21.9437 * CHOOSE(CONTROL!$C$9, $D$9, 100%, $F$9) + CHOOSE(CONTROL!$C$27, 0.0021, 0)</f>
        <v>21.945799999999998</v>
      </c>
      <c r="D41" s="10">
        <f>21.9437 * CHOOSE(CONTROL!$C$9, $D$9, 100%, $F$9) + CHOOSE(CONTROL!$C$27, 0.0021, 0)</f>
        <v>21.945799999999998</v>
      </c>
      <c r="E41" s="10">
        <f>21.8071 * CHOOSE(CONTROL!$C$9, $D$9, 100%, $F$9) + CHOOSE(CONTROL!$C$27, 0.0021, 0)</f>
        <v>21.809199999999997</v>
      </c>
      <c r="F41" s="10">
        <f>21.8071 * CHOOSE(CONTROL!$C$9, $D$9, 100%, $F$9) + CHOOSE(CONTROL!$C$27, 0.0021, 0)</f>
        <v>21.809199999999997</v>
      </c>
      <c r="G41" s="10">
        <f>22.0785 * CHOOSE(CONTROL!$C$9, $D$9, 100%, $F$9) + CHOOSE(CONTROL!$C$27, 0.0021, 0)</f>
        <v>22.080599999999997</v>
      </c>
      <c r="H41" s="10">
        <f>21.9437 * CHOOSE(CONTROL!$C$9, $D$9, 100%, $F$9) + CHOOSE(CONTROL!$C$27, 0.0021, 0)</f>
        <v>21.945799999999998</v>
      </c>
      <c r="I41" s="10">
        <f>21.9437 * CHOOSE(CONTROL!$C$9, $D$9, 100%, $F$9) + CHOOSE(CONTROL!$C$27, 0.0021, 0)</f>
        <v>21.945799999999998</v>
      </c>
      <c r="J41" s="10">
        <f>21.9437 * CHOOSE(CONTROL!$C$9, $D$9, 100%, $F$9) + CHOOSE(CONTROL!$C$27, 0.0021, 0)</f>
        <v>21.945799999999998</v>
      </c>
      <c r="K41" s="10">
        <f>21.9437 * CHOOSE(CONTROL!$C$9, $D$9, 100%, $F$9) + CHOOSE(CONTROL!$C$27, 0.0021, 0)</f>
        <v>21.945799999999998</v>
      </c>
      <c r="L41" s="10"/>
      <c r="M41" s="17"/>
      <c r="N41" s="17"/>
      <c r="O41" s="17"/>
      <c r="P41" s="17"/>
      <c r="Q41" s="17"/>
    </row>
    <row r="42" spans="1:17" ht="15" x14ac:dyDescent="0.2">
      <c r="A42" s="16">
        <v>42186</v>
      </c>
      <c r="B42" s="10">
        <f>22.3256 * CHOOSE(CONTROL!$C$9, $D$9, 100%, $F$9) + CHOOSE(CONTROL!$C$27, 0.0021, 0)</f>
        <v>22.3277</v>
      </c>
      <c r="C42" s="10">
        <f>21.8933 * CHOOSE(CONTROL!$C$9, $D$9, 100%, $F$9) + CHOOSE(CONTROL!$C$27, 0.0021, 0)</f>
        <v>21.895399999999999</v>
      </c>
      <c r="D42" s="10">
        <f>21.8933 * CHOOSE(CONTROL!$C$9, $D$9, 100%, $F$9) + CHOOSE(CONTROL!$C$27, 0.0021, 0)</f>
        <v>21.895399999999999</v>
      </c>
      <c r="E42" s="10">
        <f>21.7567 * CHOOSE(CONTROL!$C$9, $D$9, 100%, $F$9) + CHOOSE(CONTROL!$C$27, 0.0021, 0)</f>
        <v>21.758799999999997</v>
      </c>
      <c r="F42" s="10">
        <f>21.7567 * CHOOSE(CONTROL!$C$9, $D$9, 100%, $F$9) + CHOOSE(CONTROL!$C$27, 0.0021, 0)</f>
        <v>21.758799999999997</v>
      </c>
      <c r="G42" s="10">
        <f>22.028 * CHOOSE(CONTROL!$C$9, $D$9, 100%, $F$9) + CHOOSE(CONTROL!$C$27, 0.0021, 0)</f>
        <v>22.030099999999997</v>
      </c>
      <c r="H42" s="10">
        <f>21.8933 * CHOOSE(CONTROL!$C$9, $D$9, 100%, $F$9) + CHOOSE(CONTROL!$C$27, 0.0021, 0)</f>
        <v>21.895399999999999</v>
      </c>
      <c r="I42" s="10">
        <f>21.8933 * CHOOSE(CONTROL!$C$9, $D$9, 100%, $F$9) + CHOOSE(CONTROL!$C$27, 0.0021, 0)</f>
        <v>21.895399999999999</v>
      </c>
      <c r="J42" s="10">
        <f>21.8933 * CHOOSE(CONTROL!$C$9, $D$9, 100%, $F$9) + CHOOSE(CONTROL!$C$27, 0.0021, 0)</f>
        <v>21.895399999999999</v>
      </c>
      <c r="K42" s="10">
        <f>21.8933 * CHOOSE(CONTROL!$C$9, $D$9, 100%, $F$9) + CHOOSE(CONTROL!$C$27, 0.0021, 0)</f>
        <v>21.895399999999999</v>
      </c>
      <c r="L42" s="10"/>
      <c r="M42" s="17"/>
      <c r="N42" s="17"/>
      <c r="O42" s="17"/>
      <c r="P42" s="17"/>
      <c r="Q42" s="17"/>
    </row>
    <row r="43" spans="1:17" ht="15" x14ac:dyDescent="0.2">
      <c r="A43" s="16">
        <v>42217</v>
      </c>
      <c r="B43" s="10">
        <f>22.2823 * CHOOSE(CONTROL!$C$9, $D$9, 100%, $F$9) + CHOOSE(CONTROL!$C$27, 0.0021, 0)</f>
        <v>22.284399999999998</v>
      </c>
      <c r="C43" s="10">
        <f>21.8501 * CHOOSE(CONTROL!$C$9, $D$9, 100%, $F$9) + CHOOSE(CONTROL!$C$27, 0.0021, 0)</f>
        <v>21.8522</v>
      </c>
      <c r="D43" s="10">
        <f>21.8501 * CHOOSE(CONTROL!$C$9, $D$9, 100%, $F$9) + CHOOSE(CONTROL!$C$27, 0.0021, 0)</f>
        <v>21.8522</v>
      </c>
      <c r="E43" s="10">
        <f>21.7134 * CHOOSE(CONTROL!$C$9, $D$9, 100%, $F$9) + CHOOSE(CONTROL!$C$27, 0.0021, 0)</f>
        <v>21.715499999999999</v>
      </c>
      <c r="F43" s="10">
        <f>21.7134 * CHOOSE(CONTROL!$C$9, $D$9, 100%, $F$9) + CHOOSE(CONTROL!$C$27, 0.0021, 0)</f>
        <v>21.715499999999999</v>
      </c>
      <c r="G43" s="10">
        <f>21.9848 * CHOOSE(CONTROL!$C$9, $D$9, 100%, $F$9) + CHOOSE(CONTROL!$C$27, 0.0021, 0)</f>
        <v>21.986899999999999</v>
      </c>
      <c r="H43" s="10">
        <f>21.8501 * CHOOSE(CONTROL!$C$9, $D$9, 100%, $F$9) + CHOOSE(CONTROL!$C$27, 0.0021, 0)</f>
        <v>21.8522</v>
      </c>
      <c r="I43" s="10">
        <f>21.8501 * CHOOSE(CONTROL!$C$9, $D$9, 100%, $F$9) + CHOOSE(CONTROL!$C$27, 0.0021, 0)</f>
        <v>21.8522</v>
      </c>
      <c r="J43" s="10">
        <f>21.8501 * CHOOSE(CONTROL!$C$9, $D$9, 100%, $F$9) + CHOOSE(CONTROL!$C$27, 0.0021, 0)</f>
        <v>21.8522</v>
      </c>
      <c r="K43" s="10">
        <f>21.8501 * CHOOSE(CONTROL!$C$9, $D$9, 100%, $F$9) + CHOOSE(CONTROL!$C$27, 0.0021, 0)</f>
        <v>21.8522</v>
      </c>
      <c r="L43" s="10"/>
      <c r="M43" s="17"/>
      <c r="N43" s="17"/>
      <c r="O43" s="17"/>
      <c r="P43" s="17"/>
      <c r="Q43" s="17"/>
    </row>
    <row r="44" spans="1:17" ht="15" x14ac:dyDescent="0.2">
      <c r="A44" s="16">
        <v>42248</v>
      </c>
      <c r="B44" s="10">
        <f>22.2463 * CHOOSE(CONTROL!$C$9, $D$9, 100%, $F$9) + CHOOSE(CONTROL!$C$27, 0.0021, 0)</f>
        <v>22.2484</v>
      </c>
      <c r="C44" s="10">
        <f>21.8141 * CHOOSE(CONTROL!$C$9, $D$9, 100%, $F$9) + CHOOSE(CONTROL!$C$27, 0.0021, 0)</f>
        <v>21.816199999999998</v>
      </c>
      <c r="D44" s="10">
        <f>21.8141 * CHOOSE(CONTROL!$C$9, $D$9, 100%, $F$9) + CHOOSE(CONTROL!$C$27, 0.0021, 0)</f>
        <v>21.816199999999998</v>
      </c>
      <c r="E44" s="10">
        <f>21.6774 * CHOOSE(CONTROL!$C$9, $D$9, 100%, $F$9) + CHOOSE(CONTROL!$C$27, 0.0021, 0)</f>
        <v>21.679499999999997</v>
      </c>
      <c r="F44" s="10">
        <f>21.6774 * CHOOSE(CONTROL!$C$9, $D$9, 100%, $F$9) + CHOOSE(CONTROL!$C$27, 0.0021, 0)</f>
        <v>21.679499999999997</v>
      </c>
      <c r="G44" s="10">
        <f>21.9488 * CHOOSE(CONTROL!$C$9, $D$9, 100%, $F$9) + CHOOSE(CONTROL!$C$27, 0.0021, 0)</f>
        <v>21.950899999999997</v>
      </c>
      <c r="H44" s="10">
        <f>21.8141 * CHOOSE(CONTROL!$C$9, $D$9, 100%, $F$9) + CHOOSE(CONTROL!$C$27, 0.0021, 0)</f>
        <v>21.816199999999998</v>
      </c>
      <c r="I44" s="10">
        <f>21.8141 * CHOOSE(CONTROL!$C$9, $D$9, 100%, $F$9) + CHOOSE(CONTROL!$C$27, 0.0021, 0)</f>
        <v>21.816199999999998</v>
      </c>
      <c r="J44" s="10">
        <f>21.8141 * CHOOSE(CONTROL!$C$9, $D$9, 100%, $F$9) + CHOOSE(CONTROL!$C$27, 0.0021, 0)</f>
        <v>21.816199999999998</v>
      </c>
      <c r="K44" s="10">
        <f>21.8141 * CHOOSE(CONTROL!$C$9, $D$9, 100%, $F$9) + CHOOSE(CONTROL!$C$27, 0.0021, 0)</f>
        <v>21.816199999999998</v>
      </c>
      <c r="L44" s="10"/>
      <c r="M44" s="17"/>
      <c r="N44" s="17"/>
      <c r="O44" s="17"/>
      <c r="P44" s="17"/>
      <c r="Q44" s="17"/>
    </row>
    <row r="45" spans="1:17" ht="15" x14ac:dyDescent="0.2">
      <c r="A45" s="16">
        <v>42278</v>
      </c>
      <c r="B45" s="10">
        <f>22.1995 * CHOOSE(CONTROL!$C$9, $D$9, 100%, $F$9) + CHOOSE(CONTROL!$C$27, 0.0021, 0)</f>
        <v>22.201599999999999</v>
      </c>
      <c r="C45" s="10">
        <f>21.7672 * CHOOSE(CONTROL!$C$9, $D$9, 100%, $F$9) + CHOOSE(CONTROL!$C$27, 0.0021, 0)</f>
        <v>21.769299999999998</v>
      </c>
      <c r="D45" s="10">
        <f>21.7672 * CHOOSE(CONTROL!$C$9, $D$9, 100%, $F$9) + CHOOSE(CONTROL!$C$27, 0.0021, 0)</f>
        <v>21.769299999999998</v>
      </c>
      <c r="E45" s="10">
        <f>21.6306 * CHOOSE(CONTROL!$C$9, $D$9, 100%, $F$9) + CHOOSE(CONTROL!$C$27, 0.0021, 0)</f>
        <v>21.6327</v>
      </c>
      <c r="F45" s="10">
        <f>21.6306 * CHOOSE(CONTROL!$C$9, $D$9, 100%, $F$9) + CHOOSE(CONTROL!$C$27, 0.0021, 0)</f>
        <v>21.6327</v>
      </c>
      <c r="G45" s="10">
        <f>21.902 * CHOOSE(CONTROL!$C$9, $D$9, 100%, $F$9) + CHOOSE(CONTROL!$C$27, 0.0021, 0)</f>
        <v>21.9041</v>
      </c>
      <c r="H45" s="10">
        <f>21.7672 * CHOOSE(CONTROL!$C$9, $D$9, 100%, $F$9) + CHOOSE(CONTROL!$C$27, 0.0021, 0)</f>
        <v>21.769299999999998</v>
      </c>
      <c r="I45" s="10">
        <f>21.7672 * CHOOSE(CONTROL!$C$9, $D$9, 100%, $F$9) + CHOOSE(CONTROL!$C$27, 0.0021, 0)</f>
        <v>21.769299999999998</v>
      </c>
      <c r="J45" s="10">
        <f>21.7672 * CHOOSE(CONTROL!$C$9, $D$9, 100%, $F$9) + CHOOSE(CONTROL!$C$27, 0.0021, 0)</f>
        <v>21.769299999999998</v>
      </c>
      <c r="K45" s="10">
        <f>21.7672 * CHOOSE(CONTROL!$C$9, $D$9, 100%, $F$9) + CHOOSE(CONTROL!$C$27, 0.0021, 0)</f>
        <v>21.769299999999998</v>
      </c>
      <c r="L45" s="10"/>
      <c r="M45" s="17"/>
      <c r="N45" s="17"/>
      <c r="O45" s="17"/>
      <c r="P45" s="17"/>
      <c r="Q45" s="17"/>
    </row>
    <row r="46" spans="1:17" ht="15" x14ac:dyDescent="0.2">
      <c r="A46" s="16">
        <v>42309</v>
      </c>
      <c r="B46" s="10">
        <f>22.1491 * CHOOSE(CONTROL!$C$9, $D$9, 100%, $F$9) + CHOOSE(CONTROL!$C$27, 0.0021, 0)</f>
        <v>22.151199999999999</v>
      </c>
      <c r="C46" s="10">
        <f>21.7168 * CHOOSE(CONTROL!$C$9, $D$9, 100%, $F$9) + CHOOSE(CONTROL!$C$27, 0.0021, 0)</f>
        <v>21.718899999999998</v>
      </c>
      <c r="D46" s="10">
        <f>21.7168 * CHOOSE(CONTROL!$C$9, $D$9, 100%, $F$9) + CHOOSE(CONTROL!$C$27, 0.0021, 0)</f>
        <v>21.718899999999998</v>
      </c>
      <c r="E46" s="10">
        <f>21.5802 * CHOOSE(CONTROL!$C$9, $D$9, 100%, $F$9) + CHOOSE(CONTROL!$C$27, 0.0021, 0)</f>
        <v>21.5823</v>
      </c>
      <c r="F46" s="10">
        <f>21.5802 * CHOOSE(CONTROL!$C$9, $D$9, 100%, $F$9) + CHOOSE(CONTROL!$C$27, 0.0021, 0)</f>
        <v>21.5823</v>
      </c>
      <c r="G46" s="10">
        <f>21.8515 * CHOOSE(CONTROL!$C$9, $D$9, 100%, $F$9) + CHOOSE(CONTROL!$C$27, 0.0021, 0)</f>
        <v>21.8536</v>
      </c>
      <c r="H46" s="10">
        <f>21.7168 * CHOOSE(CONTROL!$C$9, $D$9, 100%, $F$9) + CHOOSE(CONTROL!$C$27, 0.0021, 0)</f>
        <v>21.718899999999998</v>
      </c>
      <c r="I46" s="10">
        <f>21.7168 * CHOOSE(CONTROL!$C$9, $D$9, 100%, $F$9) + CHOOSE(CONTROL!$C$27, 0.0021, 0)</f>
        <v>21.718899999999998</v>
      </c>
      <c r="J46" s="10">
        <f>21.7168 * CHOOSE(CONTROL!$C$9, $D$9, 100%, $F$9) + CHOOSE(CONTROL!$C$27, 0.0021, 0)</f>
        <v>21.718899999999998</v>
      </c>
      <c r="K46" s="10">
        <f>21.7168 * CHOOSE(CONTROL!$C$9, $D$9, 100%, $F$9) + CHOOSE(CONTROL!$C$27, 0.0021, 0)</f>
        <v>21.718899999999998</v>
      </c>
      <c r="L46" s="10"/>
      <c r="M46" s="17"/>
      <c r="N46" s="17"/>
      <c r="O46" s="17"/>
      <c r="P46" s="17"/>
      <c r="Q46" s="17"/>
    </row>
    <row r="47" spans="1:17" ht="15" x14ac:dyDescent="0.2">
      <c r="A47" s="16">
        <v>42339</v>
      </c>
      <c r="B47" s="10">
        <f>22.0986 * CHOOSE(CONTROL!$C$9, $D$9, 100%, $F$9) + CHOOSE(CONTROL!$C$27, 0.0021, 0)</f>
        <v>22.1007</v>
      </c>
      <c r="C47" s="10">
        <f>21.6664 * CHOOSE(CONTROL!$C$9, $D$9, 100%, $F$9) + CHOOSE(CONTROL!$C$27, 0.0021, 0)</f>
        <v>21.668499999999998</v>
      </c>
      <c r="D47" s="10">
        <f>21.6664 * CHOOSE(CONTROL!$C$9, $D$9, 100%, $F$9) + CHOOSE(CONTROL!$C$27, 0.0021, 0)</f>
        <v>21.668499999999998</v>
      </c>
      <c r="E47" s="10">
        <f>21.5297 * CHOOSE(CONTROL!$C$9, $D$9, 100%, $F$9) + CHOOSE(CONTROL!$C$27, 0.0021, 0)</f>
        <v>21.531799999999997</v>
      </c>
      <c r="F47" s="10">
        <f>21.5297 * CHOOSE(CONTROL!$C$9, $D$9, 100%, $F$9) + CHOOSE(CONTROL!$C$27, 0.0021, 0)</f>
        <v>21.531799999999997</v>
      </c>
      <c r="G47" s="10">
        <f>21.8011 * CHOOSE(CONTROL!$C$9, $D$9, 100%, $F$9) + CHOOSE(CONTROL!$C$27, 0.0021, 0)</f>
        <v>21.8032</v>
      </c>
      <c r="H47" s="10">
        <f>21.6664 * CHOOSE(CONTROL!$C$9, $D$9, 100%, $F$9) + CHOOSE(CONTROL!$C$27, 0.0021, 0)</f>
        <v>21.668499999999998</v>
      </c>
      <c r="I47" s="10">
        <f>21.6664 * CHOOSE(CONTROL!$C$9, $D$9, 100%, $F$9) + CHOOSE(CONTROL!$C$27, 0.0021, 0)</f>
        <v>21.668499999999998</v>
      </c>
      <c r="J47" s="10">
        <f>21.6664 * CHOOSE(CONTROL!$C$9, $D$9, 100%, $F$9) + CHOOSE(CONTROL!$C$27, 0.0021, 0)</f>
        <v>21.668499999999998</v>
      </c>
      <c r="K47" s="10">
        <f>21.6664 * CHOOSE(CONTROL!$C$9, $D$9, 100%, $F$9) + CHOOSE(CONTROL!$C$27, 0.0021, 0)</f>
        <v>21.668499999999998</v>
      </c>
      <c r="L47" s="10"/>
      <c r="M47" s="17"/>
      <c r="N47" s="17"/>
      <c r="O47" s="17"/>
      <c r="P47" s="17"/>
      <c r="Q47" s="17"/>
    </row>
    <row r="48" spans="1:17" ht="15" x14ac:dyDescent="0.2">
      <c r="A48" s="16">
        <v>42370</v>
      </c>
      <c r="B48" s="10">
        <f>23.1268 * CHOOSE(CONTROL!$C$9, $D$9, 100%, $F$9) + CHOOSE(CONTROL!$C$27, 0.0021, 0)</f>
        <v>23.128899999999998</v>
      </c>
      <c r="C48" s="10">
        <f>22.6945 * CHOOSE(CONTROL!$C$9, $D$9, 100%, $F$9) + CHOOSE(CONTROL!$C$27, 0.0021, 0)</f>
        <v>22.6966</v>
      </c>
      <c r="D48" s="10">
        <f>22.6945 * CHOOSE(CONTROL!$C$9, $D$9, 100%, $F$9) + CHOOSE(CONTROL!$C$27, 0.0021, 0)</f>
        <v>22.6966</v>
      </c>
      <c r="E48" s="10">
        <f>22.5579 * CHOOSE(CONTROL!$C$9, $D$9, 100%, $F$9) + CHOOSE(CONTROL!$C$27, 0.0021, 0)</f>
        <v>22.56</v>
      </c>
      <c r="F48" s="10">
        <f>22.5579 * CHOOSE(CONTROL!$C$9, $D$9, 100%, $F$9) + CHOOSE(CONTROL!$C$27, 0.0021, 0)</f>
        <v>22.56</v>
      </c>
      <c r="G48" s="10">
        <f>22.8292 * CHOOSE(CONTROL!$C$9, $D$9, 100%, $F$9) + CHOOSE(CONTROL!$C$27, 0.0021, 0)</f>
        <v>22.831299999999999</v>
      </c>
      <c r="H48" s="10">
        <f>22.6945 * CHOOSE(CONTROL!$C$9, $D$9, 100%, $F$9) + CHOOSE(CONTROL!$C$27, 0.0021, 0)</f>
        <v>22.6966</v>
      </c>
      <c r="I48" s="10">
        <f>22.6945 * CHOOSE(CONTROL!$C$9, $D$9, 100%, $F$9) + CHOOSE(CONTROL!$C$27, 0.0021, 0)</f>
        <v>22.6966</v>
      </c>
      <c r="J48" s="10">
        <f>22.6945 * CHOOSE(CONTROL!$C$9, $D$9, 100%, $F$9) + CHOOSE(CONTROL!$C$27, 0.0021, 0)</f>
        <v>22.6966</v>
      </c>
      <c r="K48" s="10">
        <f>22.6945 * CHOOSE(CONTROL!$C$9, $D$9, 100%, $F$9) + CHOOSE(CONTROL!$C$27, 0.0021, 0)</f>
        <v>22.6966</v>
      </c>
      <c r="L48" s="10"/>
    </row>
    <row r="49" spans="1:12" ht="15" x14ac:dyDescent="0.2">
      <c r="A49" s="16">
        <v>42401</v>
      </c>
      <c r="B49" s="10">
        <f>22.5374 * CHOOSE(CONTROL!$C$9, $D$9, 100%, $F$9) + CHOOSE(CONTROL!$C$27, 0.0021, 0)</f>
        <v>22.5395</v>
      </c>
      <c r="C49" s="10">
        <f>22.1052 * CHOOSE(CONTROL!$C$9, $D$9, 100%, $F$9) + CHOOSE(CONTROL!$C$27, 0.0021, 0)</f>
        <v>22.107299999999999</v>
      </c>
      <c r="D49" s="10">
        <f>22.1052 * CHOOSE(CONTROL!$C$9, $D$9, 100%, $F$9) + CHOOSE(CONTROL!$C$27, 0.0021, 0)</f>
        <v>22.107299999999999</v>
      </c>
      <c r="E49" s="10">
        <f>21.9685 * CHOOSE(CONTROL!$C$9, $D$9, 100%, $F$9) + CHOOSE(CONTROL!$C$27, 0.0021, 0)</f>
        <v>21.970599999999997</v>
      </c>
      <c r="F49" s="10">
        <f>21.9685 * CHOOSE(CONTROL!$C$9, $D$9, 100%, $F$9) + CHOOSE(CONTROL!$C$27, 0.0021, 0)</f>
        <v>21.970599999999997</v>
      </c>
      <c r="G49" s="10">
        <f>22.2399 * CHOOSE(CONTROL!$C$9, $D$9, 100%, $F$9) + CHOOSE(CONTROL!$C$27, 0.0021, 0)</f>
        <v>22.241999999999997</v>
      </c>
      <c r="H49" s="10">
        <f>22.1052 * CHOOSE(CONTROL!$C$9, $D$9, 100%, $F$9) + CHOOSE(CONTROL!$C$27, 0.0021, 0)</f>
        <v>22.107299999999999</v>
      </c>
      <c r="I49" s="10">
        <f>22.1052 * CHOOSE(CONTROL!$C$9, $D$9, 100%, $F$9) + CHOOSE(CONTROL!$C$27, 0.0021, 0)</f>
        <v>22.107299999999999</v>
      </c>
      <c r="J49" s="10">
        <f>22.1052 * CHOOSE(CONTROL!$C$9, $D$9, 100%, $F$9) + CHOOSE(CONTROL!$C$27, 0.0021, 0)</f>
        <v>22.107299999999999</v>
      </c>
      <c r="K49" s="10">
        <f>22.1052 * CHOOSE(CONTROL!$C$9, $D$9, 100%, $F$9) + CHOOSE(CONTROL!$C$27, 0.0021, 0)</f>
        <v>22.107299999999999</v>
      </c>
      <c r="L49" s="10"/>
    </row>
    <row r="50" spans="1:12" ht="15" x14ac:dyDescent="0.2">
      <c r="A50" s="16">
        <v>42430</v>
      </c>
      <c r="B50" s="10">
        <f>22.2942 * CHOOSE(CONTROL!$C$9, $D$9, 100%, $F$9) + CHOOSE(CONTROL!$C$27, 0.0021, 0)</f>
        <v>22.296299999999999</v>
      </c>
      <c r="C50" s="10">
        <f>21.8619 * CHOOSE(CONTROL!$C$9, $D$9, 100%, $F$9) + CHOOSE(CONTROL!$C$27, 0.0021, 0)</f>
        <v>21.863999999999997</v>
      </c>
      <c r="D50" s="10">
        <f>21.8619 * CHOOSE(CONTROL!$C$9, $D$9, 100%, $F$9) + CHOOSE(CONTROL!$C$27, 0.0021, 0)</f>
        <v>21.863999999999997</v>
      </c>
      <c r="E50" s="10">
        <f>21.7253 * CHOOSE(CONTROL!$C$9, $D$9, 100%, $F$9) + CHOOSE(CONTROL!$C$27, 0.0021, 0)</f>
        <v>21.727399999999999</v>
      </c>
      <c r="F50" s="10">
        <f>21.7253 * CHOOSE(CONTROL!$C$9, $D$9, 100%, $F$9) + CHOOSE(CONTROL!$C$27, 0.0021, 0)</f>
        <v>21.727399999999999</v>
      </c>
      <c r="G50" s="10">
        <f>21.9967 * CHOOSE(CONTROL!$C$9, $D$9, 100%, $F$9) + CHOOSE(CONTROL!$C$27, 0.0021, 0)</f>
        <v>21.998799999999999</v>
      </c>
      <c r="H50" s="10">
        <f>21.8619 * CHOOSE(CONTROL!$C$9, $D$9, 100%, $F$9) + CHOOSE(CONTROL!$C$27, 0.0021, 0)</f>
        <v>21.863999999999997</v>
      </c>
      <c r="I50" s="10">
        <f>21.8619 * CHOOSE(CONTROL!$C$9, $D$9, 100%, $F$9) + CHOOSE(CONTROL!$C$27, 0.0021, 0)</f>
        <v>21.863999999999997</v>
      </c>
      <c r="J50" s="10">
        <f>21.8619 * CHOOSE(CONTROL!$C$9, $D$9, 100%, $F$9) + CHOOSE(CONTROL!$C$27, 0.0021, 0)</f>
        <v>21.863999999999997</v>
      </c>
      <c r="K50" s="10">
        <f>21.8619 * CHOOSE(CONTROL!$C$9, $D$9, 100%, $F$9) + CHOOSE(CONTROL!$C$27, 0.0021, 0)</f>
        <v>21.863999999999997</v>
      </c>
      <c r="L50" s="10"/>
    </row>
    <row r="51" spans="1:12" ht="15" x14ac:dyDescent="0.2">
      <c r="A51" s="16">
        <v>42461</v>
      </c>
      <c r="B51" s="10">
        <f>22.0037 * CHOOSE(CONTROL!$C$9, $D$9, 100%, $F$9) + CHOOSE(CONTROL!$C$27, 0.0021, 0)</f>
        <v>22.005799999999997</v>
      </c>
      <c r="C51" s="10">
        <f>21.5715 * CHOOSE(CONTROL!$C$9, $D$9, 100%, $F$9) + CHOOSE(CONTROL!$C$27, 0.0021, 0)</f>
        <v>21.573599999999999</v>
      </c>
      <c r="D51" s="10">
        <f>21.5715 * CHOOSE(CONTROL!$C$9, $D$9, 100%, $F$9) + CHOOSE(CONTROL!$C$27, 0.0021, 0)</f>
        <v>21.573599999999999</v>
      </c>
      <c r="E51" s="10">
        <f>21.4348 * CHOOSE(CONTROL!$C$9, $D$9, 100%, $F$9) + CHOOSE(CONTROL!$C$27, 0.0021, 0)</f>
        <v>21.436899999999998</v>
      </c>
      <c r="F51" s="10">
        <f>21.4348 * CHOOSE(CONTROL!$C$9, $D$9, 100%, $F$9) + CHOOSE(CONTROL!$C$27, 0.0021, 0)</f>
        <v>21.436899999999998</v>
      </c>
      <c r="G51" s="10">
        <f>21.7062 * CHOOSE(CONTROL!$C$9, $D$9, 100%, $F$9) + CHOOSE(CONTROL!$C$27, 0.0021, 0)</f>
        <v>21.708299999999998</v>
      </c>
      <c r="H51" s="10">
        <f>21.5715 * CHOOSE(CONTROL!$C$9, $D$9, 100%, $F$9) + CHOOSE(CONTROL!$C$27, 0.0021, 0)</f>
        <v>21.573599999999999</v>
      </c>
      <c r="I51" s="10">
        <f>21.5715 * CHOOSE(CONTROL!$C$9, $D$9, 100%, $F$9) + CHOOSE(CONTROL!$C$27, 0.0021, 0)</f>
        <v>21.573599999999999</v>
      </c>
      <c r="J51" s="10">
        <f>21.5715 * CHOOSE(CONTROL!$C$9, $D$9, 100%, $F$9) + CHOOSE(CONTROL!$C$27, 0.0021, 0)</f>
        <v>21.573599999999999</v>
      </c>
      <c r="K51" s="10">
        <f>21.5715 * CHOOSE(CONTROL!$C$9, $D$9, 100%, $F$9) + CHOOSE(CONTROL!$C$27, 0.0021, 0)</f>
        <v>21.573599999999999</v>
      </c>
      <c r="L51" s="10"/>
    </row>
    <row r="52" spans="1:12" ht="15" x14ac:dyDescent="0.2">
      <c r="A52" s="16">
        <v>42491</v>
      </c>
      <c r="B52" s="10">
        <f>22.4177 * CHOOSE(CONTROL!$C$9, $D$9, 100%, $F$9) + CHOOSE(CONTROL!$C$27, 0.0021, 0)</f>
        <v>22.419799999999999</v>
      </c>
      <c r="C52" s="10">
        <f>21.9854 * CHOOSE(CONTROL!$C$9, $D$9, 100%, $F$9) + CHOOSE(CONTROL!$C$27, 0.0021, 0)</f>
        <v>21.987499999999997</v>
      </c>
      <c r="D52" s="10">
        <f>21.9854 * CHOOSE(CONTROL!$C$9, $D$9, 100%, $F$9) + CHOOSE(CONTROL!$C$27, 0.0021, 0)</f>
        <v>21.987499999999997</v>
      </c>
      <c r="E52" s="10">
        <f>21.8488 * CHOOSE(CONTROL!$C$9, $D$9, 100%, $F$9) + CHOOSE(CONTROL!$C$27, 0.0021, 0)</f>
        <v>21.850899999999999</v>
      </c>
      <c r="F52" s="10">
        <f>21.8488 * CHOOSE(CONTROL!$C$9, $D$9, 100%, $F$9) + CHOOSE(CONTROL!$C$27, 0.0021, 0)</f>
        <v>21.850899999999999</v>
      </c>
      <c r="G52" s="10">
        <f>22.1201 * CHOOSE(CONTROL!$C$9, $D$9, 100%, $F$9) + CHOOSE(CONTROL!$C$27, 0.0021, 0)</f>
        <v>22.122199999999999</v>
      </c>
      <c r="H52" s="10">
        <f>21.9854 * CHOOSE(CONTROL!$C$9, $D$9, 100%, $F$9) + CHOOSE(CONTROL!$C$27, 0.0021, 0)</f>
        <v>21.987499999999997</v>
      </c>
      <c r="I52" s="10">
        <f>21.9854 * CHOOSE(CONTROL!$C$9, $D$9, 100%, $F$9) + CHOOSE(CONTROL!$C$27, 0.0021, 0)</f>
        <v>21.987499999999997</v>
      </c>
      <c r="J52" s="10">
        <f>21.9854 * CHOOSE(CONTROL!$C$9, $D$9, 100%, $F$9) + CHOOSE(CONTROL!$C$27, 0.0021, 0)</f>
        <v>21.987499999999997</v>
      </c>
      <c r="K52" s="10">
        <f>21.9854 * CHOOSE(CONTROL!$C$9, $D$9, 100%, $F$9) + CHOOSE(CONTROL!$C$27, 0.0021, 0)</f>
        <v>21.987499999999997</v>
      </c>
      <c r="L52" s="10"/>
    </row>
    <row r="53" spans="1:12" ht="15" x14ac:dyDescent="0.2">
      <c r="A53" s="16">
        <v>42522</v>
      </c>
      <c r="B53" s="10">
        <f>22.6656 * CHOOSE(CONTROL!$C$9, $D$9, 100%, $F$9) + CHOOSE(CONTROL!$C$27, 0.0021, 0)</f>
        <v>22.6677</v>
      </c>
      <c r="C53" s="10">
        <f>22.2334 * CHOOSE(CONTROL!$C$9, $D$9, 100%, $F$9) + CHOOSE(CONTROL!$C$27, 0.0021, 0)</f>
        <v>22.235499999999998</v>
      </c>
      <c r="D53" s="10">
        <f>22.2334 * CHOOSE(CONTROL!$C$9, $D$9, 100%, $F$9) + CHOOSE(CONTROL!$C$27, 0.0021, 0)</f>
        <v>22.235499999999998</v>
      </c>
      <c r="E53" s="10">
        <f>22.0967 * CHOOSE(CONTROL!$C$9, $D$9, 100%, $F$9) + CHOOSE(CONTROL!$C$27, 0.0021, 0)</f>
        <v>22.098799999999997</v>
      </c>
      <c r="F53" s="10">
        <f>22.0967 * CHOOSE(CONTROL!$C$9, $D$9, 100%, $F$9) + CHOOSE(CONTROL!$C$27, 0.0021, 0)</f>
        <v>22.098799999999997</v>
      </c>
      <c r="G53" s="10">
        <f>22.3681 * CHOOSE(CONTROL!$C$9, $D$9, 100%, $F$9) + CHOOSE(CONTROL!$C$27, 0.0021, 0)</f>
        <v>22.370199999999997</v>
      </c>
      <c r="H53" s="10">
        <f>22.2334 * CHOOSE(CONTROL!$C$9, $D$9, 100%, $F$9) + CHOOSE(CONTROL!$C$27, 0.0021, 0)</f>
        <v>22.235499999999998</v>
      </c>
      <c r="I53" s="10">
        <f>22.2334 * CHOOSE(CONTROL!$C$9, $D$9, 100%, $F$9) + CHOOSE(CONTROL!$C$27, 0.0021, 0)</f>
        <v>22.235499999999998</v>
      </c>
      <c r="J53" s="10">
        <f>22.2334 * CHOOSE(CONTROL!$C$9, $D$9, 100%, $F$9) + CHOOSE(CONTROL!$C$27, 0.0021, 0)</f>
        <v>22.235499999999998</v>
      </c>
      <c r="K53" s="10">
        <f>22.2334 * CHOOSE(CONTROL!$C$9, $D$9, 100%, $F$9) + CHOOSE(CONTROL!$C$27, 0.0021, 0)</f>
        <v>22.235499999999998</v>
      </c>
      <c r="L53" s="10"/>
    </row>
    <row r="54" spans="1:12" ht="15" x14ac:dyDescent="0.2">
      <c r="A54" s="16">
        <v>42552</v>
      </c>
      <c r="B54" s="10">
        <f>23.0746 * CHOOSE(CONTROL!$C$9, $D$9, 100%, $F$9) + CHOOSE(CONTROL!$C$27, 0.0021, 0)</f>
        <v>23.076699999999999</v>
      </c>
      <c r="C54" s="10">
        <f>22.6424 * CHOOSE(CONTROL!$C$9, $D$9, 100%, $F$9) + CHOOSE(CONTROL!$C$27, 0.0021, 0)</f>
        <v>22.644499999999997</v>
      </c>
      <c r="D54" s="10">
        <f>22.6424 * CHOOSE(CONTROL!$C$9, $D$9, 100%, $F$9) + CHOOSE(CONTROL!$C$27, 0.0021, 0)</f>
        <v>22.644499999999997</v>
      </c>
      <c r="E54" s="10">
        <f>22.5057 * CHOOSE(CONTROL!$C$9, $D$9, 100%, $F$9) + CHOOSE(CONTROL!$C$27, 0.0021, 0)</f>
        <v>22.5078</v>
      </c>
      <c r="F54" s="10">
        <f>22.5057 * CHOOSE(CONTROL!$C$9, $D$9, 100%, $F$9) + CHOOSE(CONTROL!$C$27, 0.0021, 0)</f>
        <v>22.5078</v>
      </c>
      <c r="G54" s="10">
        <f>22.7771 * CHOOSE(CONTROL!$C$9, $D$9, 100%, $F$9) + CHOOSE(CONTROL!$C$27, 0.0021, 0)</f>
        <v>22.779199999999999</v>
      </c>
      <c r="H54" s="10">
        <f>22.6424 * CHOOSE(CONTROL!$C$9, $D$9, 100%, $F$9) + CHOOSE(CONTROL!$C$27, 0.0021, 0)</f>
        <v>22.644499999999997</v>
      </c>
      <c r="I54" s="10">
        <f>22.6424 * CHOOSE(CONTROL!$C$9, $D$9, 100%, $F$9) + CHOOSE(CONTROL!$C$27, 0.0021, 0)</f>
        <v>22.644499999999997</v>
      </c>
      <c r="J54" s="10">
        <f>22.6424 * CHOOSE(CONTROL!$C$9, $D$9, 100%, $F$9) + CHOOSE(CONTROL!$C$27, 0.0021, 0)</f>
        <v>22.644499999999997</v>
      </c>
      <c r="K54" s="10">
        <f>22.6424 * CHOOSE(CONTROL!$C$9, $D$9, 100%, $F$9) + CHOOSE(CONTROL!$C$27, 0.0021, 0)</f>
        <v>22.644499999999997</v>
      </c>
      <c r="L54" s="10"/>
    </row>
    <row r="55" spans="1:12" ht="15" x14ac:dyDescent="0.2">
      <c r="A55" s="16">
        <v>42583</v>
      </c>
      <c r="B55" s="10">
        <f>23.1994 * CHOOSE(CONTROL!$C$9, $D$9, 100%, $F$9) + CHOOSE(CONTROL!$C$27, 0.0021, 0)</f>
        <v>23.201499999999999</v>
      </c>
      <c r="C55" s="10">
        <f>22.7672 * CHOOSE(CONTROL!$C$9, $D$9, 100%, $F$9) + CHOOSE(CONTROL!$C$27, 0.0021, 0)</f>
        <v>22.769299999999998</v>
      </c>
      <c r="D55" s="10">
        <f>22.7672 * CHOOSE(CONTROL!$C$9, $D$9, 100%, $F$9) + CHOOSE(CONTROL!$C$27, 0.0021, 0)</f>
        <v>22.769299999999998</v>
      </c>
      <c r="E55" s="10">
        <f>22.6305 * CHOOSE(CONTROL!$C$9, $D$9, 100%, $F$9) + CHOOSE(CONTROL!$C$27, 0.0021, 0)</f>
        <v>22.6326</v>
      </c>
      <c r="F55" s="10">
        <f>22.6305 * CHOOSE(CONTROL!$C$9, $D$9, 100%, $F$9) + CHOOSE(CONTROL!$C$27, 0.0021, 0)</f>
        <v>22.6326</v>
      </c>
      <c r="G55" s="10">
        <f>22.9019 * CHOOSE(CONTROL!$C$9, $D$9, 100%, $F$9) + CHOOSE(CONTROL!$C$27, 0.0021, 0)</f>
        <v>22.904</v>
      </c>
      <c r="H55" s="10">
        <f>22.7672 * CHOOSE(CONTROL!$C$9, $D$9, 100%, $F$9) + CHOOSE(CONTROL!$C$27, 0.0021, 0)</f>
        <v>22.769299999999998</v>
      </c>
      <c r="I55" s="10">
        <f>22.7672 * CHOOSE(CONTROL!$C$9, $D$9, 100%, $F$9) + CHOOSE(CONTROL!$C$27, 0.0021, 0)</f>
        <v>22.769299999999998</v>
      </c>
      <c r="J55" s="10">
        <f>22.7672 * CHOOSE(CONTROL!$C$9, $D$9, 100%, $F$9) + CHOOSE(CONTROL!$C$27, 0.0021, 0)</f>
        <v>22.769299999999998</v>
      </c>
      <c r="K55" s="10">
        <f>22.7672 * CHOOSE(CONTROL!$C$9, $D$9, 100%, $F$9) + CHOOSE(CONTROL!$C$27, 0.0021, 0)</f>
        <v>22.769299999999998</v>
      </c>
      <c r="L55" s="10"/>
    </row>
    <row r="56" spans="1:12" ht="15" x14ac:dyDescent="0.2">
      <c r="A56" s="16">
        <v>42614</v>
      </c>
      <c r="B56" s="10">
        <f>23.6246 * CHOOSE(CONTROL!$C$9, $D$9, 100%, $F$9) + CHOOSE(CONTROL!$C$27, 0.0021, 0)</f>
        <v>23.6267</v>
      </c>
      <c r="C56" s="10">
        <f>23.1923 * CHOOSE(CONTROL!$C$9, $D$9, 100%, $F$9) + CHOOSE(CONTROL!$C$27, 0.0021, 0)</f>
        <v>23.194399999999998</v>
      </c>
      <c r="D56" s="10">
        <f>23.1923 * CHOOSE(CONTROL!$C$9, $D$9, 100%, $F$9) + CHOOSE(CONTROL!$C$27, 0.0021, 0)</f>
        <v>23.194399999999998</v>
      </c>
      <c r="E56" s="10">
        <f>23.0557 * CHOOSE(CONTROL!$C$9, $D$9, 100%, $F$9) + CHOOSE(CONTROL!$C$27, 0.0021, 0)</f>
        <v>23.0578</v>
      </c>
      <c r="F56" s="10">
        <f>23.0557 * CHOOSE(CONTROL!$C$9, $D$9, 100%, $F$9) + CHOOSE(CONTROL!$C$27, 0.0021, 0)</f>
        <v>23.0578</v>
      </c>
      <c r="G56" s="10">
        <f>23.3271 * CHOOSE(CONTROL!$C$9, $D$9, 100%, $F$9) + CHOOSE(CONTROL!$C$27, 0.0021, 0)</f>
        <v>23.3292</v>
      </c>
      <c r="H56" s="10">
        <f>23.1923 * CHOOSE(CONTROL!$C$9, $D$9, 100%, $F$9) + CHOOSE(CONTROL!$C$27, 0.0021, 0)</f>
        <v>23.194399999999998</v>
      </c>
      <c r="I56" s="10">
        <f>23.1923 * CHOOSE(CONTROL!$C$9, $D$9, 100%, $F$9) + CHOOSE(CONTROL!$C$27, 0.0021, 0)</f>
        <v>23.194399999999998</v>
      </c>
      <c r="J56" s="10">
        <f>23.1923 * CHOOSE(CONTROL!$C$9, $D$9, 100%, $F$9) + CHOOSE(CONTROL!$C$27, 0.0021, 0)</f>
        <v>23.194399999999998</v>
      </c>
      <c r="K56" s="10">
        <f>23.1923 * CHOOSE(CONTROL!$C$9, $D$9, 100%, $F$9) + CHOOSE(CONTROL!$C$27, 0.0021, 0)</f>
        <v>23.194399999999998</v>
      </c>
      <c r="L56" s="10"/>
    </row>
    <row r="57" spans="1:12" ht="15" x14ac:dyDescent="0.2">
      <c r="A57" s="16">
        <v>42644</v>
      </c>
      <c r="B57" s="10">
        <f>24.1628 * CHOOSE(CONTROL!$C$9, $D$9, 100%, $F$9) + CHOOSE(CONTROL!$C$27, 0.0021, 0)</f>
        <v>24.164899999999999</v>
      </c>
      <c r="C57" s="10">
        <f>23.7305 * CHOOSE(CONTROL!$C$9, $D$9, 100%, $F$9) + CHOOSE(CONTROL!$C$27, 0.0021, 0)</f>
        <v>23.732599999999998</v>
      </c>
      <c r="D57" s="10">
        <f>23.7305 * CHOOSE(CONTROL!$C$9, $D$9, 100%, $F$9) + CHOOSE(CONTROL!$C$27, 0.0021, 0)</f>
        <v>23.732599999999998</v>
      </c>
      <c r="E57" s="10">
        <f>23.5938 * CHOOSE(CONTROL!$C$9, $D$9, 100%, $F$9) + CHOOSE(CONTROL!$C$27, 0.0021, 0)</f>
        <v>23.5959</v>
      </c>
      <c r="F57" s="10">
        <f>23.5938 * CHOOSE(CONTROL!$C$9, $D$9, 100%, $F$9) + CHOOSE(CONTROL!$C$27, 0.0021, 0)</f>
        <v>23.5959</v>
      </c>
      <c r="G57" s="10">
        <f>23.8652 * CHOOSE(CONTROL!$C$9, $D$9, 100%, $F$9) + CHOOSE(CONTROL!$C$27, 0.0021, 0)</f>
        <v>23.8673</v>
      </c>
      <c r="H57" s="10">
        <f>23.7305 * CHOOSE(CONTROL!$C$9, $D$9, 100%, $F$9) + CHOOSE(CONTROL!$C$27, 0.0021, 0)</f>
        <v>23.732599999999998</v>
      </c>
      <c r="I57" s="10">
        <f>23.7305 * CHOOSE(CONTROL!$C$9, $D$9, 100%, $F$9) + CHOOSE(CONTROL!$C$27, 0.0021, 0)</f>
        <v>23.732599999999998</v>
      </c>
      <c r="J57" s="10">
        <f>23.7305 * CHOOSE(CONTROL!$C$9, $D$9, 100%, $F$9) + CHOOSE(CONTROL!$C$27, 0.0021, 0)</f>
        <v>23.732599999999998</v>
      </c>
      <c r="K57" s="10">
        <f>23.7305 * CHOOSE(CONTROL!$C$9, $D$9, 100%, $F$9) + CHOOSE(CONTROL!$C$27, 0.0021, 0)</f>
        <v>23.732599999999998</v>
      </c>
      <c r="L57" s="10"/>
    </row>
    <row r="58" spans="1:12" ht="15" x14ac:dyDescent="0.2">
      <c r="A58" s="16">
        <v>42675</v>
      </c>
      <c r="B58" s="10">
        <f>24.2133 * CHOOSE(CONTROL!$C$9, $D$9, 100%, $F$9) + CHOOSE(CONTROL!$C$27, 0.0021, 0)</f>
        <v>24.215399999999999</v>
      </c>
      <c r="C58" s="10">
        <f>23.781 * CHOOSE(CONTROL!$C$9, $D$9, 100%, $F$9) + CHOOSE(CONTROL!$C$27, 0.0021, 0)</f>
        <v>23.783099999999997</v>
      </c>
      <c r="D58" s="10">
        <f>23.781 * CHOOSE(CONTROL!$C$9, $D$9, 100%, $F$9) + CHOOSE(CONTROL!$C$27, 0.0021, 0)</f>
        <v>23.783099999999997</v>
      </c>
      <c r="E58" s="10">
        <f>23.6444 * CHOOSE(CONTROL!$C$9, $D$9, 100%, $F$9) + CHOOSE(CONTROL!$C$27, 0.0021, 0)</f>
        <v>23.6465</v>
      </c>
      <c r="F58" s="10">
        <f>23.6444 * CHOOSE(CONTROL!$C$9, $D$9, 100%, $F$9) + CHOOSE(CONTROL!$C$27, 0.0021, 0)</f>
        <v>23.6465</v>
      </c>
      <c r="G58" s="10">
        <f>23.9157 * CHOOSE(CONTROL!$C$9, $D$9, 100%, $F$9) + CHOOSE(CONTROL!$C$27, 0.0021, 0)</f>
        <v>23.9178</v>
      </c>
      <c r="H58" s="10">
        <f>23.781 * CHOOSE(CONTROL!$C$9, $D$9, 100%, $F$9) + CHOOSE(CONTROL!$C$27, 0.0021, 0)</f>
        <v>23.783099999999997</v>
      </c>
      <c r="I58" s="10">
        <f>23.781 * CHOOSE(CONTROL!$C$9, $D$9, 100%, $F$9) + CHOOSE(CONTROL!$C$27, 0.0021, 0)</f>
        <v>23.783099999999997</v>
      </c>
      <c r="J58" s="10">
        <f>23.781 * CHOOSE(CONTROL!$C$9, $D$9, 100%, $F$9) + CHOOSE(CONTROL!$C$27, 0.0021, 0)</f>
        <v>23.783099999999997</v>
      </c>
      <c r="K58" s="10">
        <f>23.781 * CHOOSE(CONTROL!$C$9, $D$9, 100%, $F$9) + CHOOSE(CONTROL!$C$27, 0.0021, 0)</f>
        <v>23.783099999999997</v>
      </c>
      <c r="L58" s="10"/>
    </row>
    <row r="59" spans="1:12" ht="15" x14ac:dyDescent="0.2">
      <c r="A59" s="16">
        <v>42705</v>
      </c>
      <c r="B59" s="10">
        <f>23.7835 * CHOOSE(CONTROL!$C$9, $D$9, 100%, $F$9) + CHOOSE(CONTROL!$C$27, 0.0021, 0)</f>
        <v>23.785599999999999</v>
      </c>
      <c r="C59" s="10">
        <f>23.3512 * CHOOSE(CONTROL!$C$9, $D$9, 100%, $F$9) + CHOOSE(CONTROL!$C$27, 0.0021, 0)</f>
        <v>23.353299999999997</v>
      </c>
      <c r="D59" s="10">
        <f>23.3512 * CHOOSE(CONTROL!$C$9, $D$9, 100%, $F$9) + CHOOSE(CONTROL!$C$27, 0.0021, 0)</f>
        <v>23.353299999999997</v>
      </c>
      <c r="E59" s="10">
        <f>23.2146 * CHOOSE(CONTROL!$C$9, $D$9, 100%, $F$9) + CHOOSE(CONTROL!$C$27, 0.0021, 0)</f>
        <v>23.216699999999999</v>
      </c>
      <c r="F59" s="10">
        <f>23.2146 * CHOOSE(CONTROL!$C$9, $D$9, 100%, $F$9) + CHOOSE(CONTROL!$C$27, 0.0021, 0)</f>
        <v>23.216699999999999</v>
      </c>
      <c r="G59" s="10">
        <f>23.4859 * CHOOSE(CONTROL!$C$9, $D$9, 100%, $F$9) + CHOOSE(CONTROL!$C$27, 0.0021, 0)</f>
        <v>23.488</v>
      </c>
      <c r="H59" s="10">
        <f>23.3512 * CHOOSE(CONTROL!$C$9, $D$9, 100%, $F$9) + CHOOSE(CONTROL!$C$27, 0.0021, 0)</f>
        <v>23.353299999999997</v>
      </c>
      <c r="I59" s="10">
        <f>23.3512 * CHOOSE(CONTROL!$C$9, $D$9, 100%, $F$9) + CHOOSE(CONTROL!$C$27, 0.0021, 0)</f>
        <v>23.353299999999997</v>
      </c>
      <c r="J59" s="10">
        <f>23.3512 * CHOOSE(CONTROL!$C$9, $D$9, 100%, $F$9) + CHOOSE(CONTROL!$C$27, 0.0021, 0)</f>
        <v>23.353299999999997</v>
      </c>
      <c r="K59" s="10">
        <f>23.3512 * CHOOSE(CONTROL!$C$9, $D$9, 100%, $F$9) + CHOOSE(CONTROL!$C$27, 0.0021, 0)</f>
        <v>23.353299999999997</v>
      </c>
      <c r="L59" s="10"/>
    </row>
    <row r="60" spans="1:12" ht="15" x14ac:dyDescent="0.2">
      <c r="A60" s="16">
        <v>42736</v>
      </c>
      <c r="B60" s="10">
        <f>23.5493 * CHOOSE(CONTROL!$C$9, $D$9, 100%, $F$9) + CHOOSE(CONTROL!$C$27, 0.0021, 0)</f>
        <v>23.551399999999997</v>
      </c>
      <c r="C60" s="10">
        <f>23.117 * CHOOSE(CONTROL!$C$9, $D$9, 100%, $F$9) + CHOOSE(CONTROL!$C$27, 0.0021, 0)</f>
        <v>23.1191</v>
      </c>
      <c r="D60" s="10">
        <f>23.117 * CHOOSE(CONTROL!$C$9, $D$9, 100%, $F$9) + CHOOSE(CONTROL!$C$27, 0.0021, 0)</f>
        <v>23.1191</v>
      </c>
      <c r="E60" s="10">
        <f>22.9804 * CHOOSE(CONTROL!$C$9, $D$9, 100%, $F$9) + CHOOSE(CONTROL!$C$27, 0.0021, 0)</f>
        <v>22.982499999999998</v>
      </c>
      <c r="F60" s="10">
        <f>22.9804 * CHOOSE(CONTROL!$C$9, $D$9, 100%, $F$9) + CHOOSE(CONTROL!$C$27, 0.0021, 0)</f>
        <v>22.982499999999998</v>
      </c>
      <c r="G60" s="10">
        <f>23.2517 * CHOOSE(CONTROL!$C$9, $D$9, 100%, $F$9) + CHOOSE(CONTROL!$C$27, 0.0021, 0)</f>
        <v>23.253799999999998</v>
      </c>
      <c r="H60" s="10">
        <f>23.117 * CHOOSE(CONTROL!$C$9, $D$9, 100%, $F$9) + CHOOSE(CONTROL!$C$27, 0.0021, 0)</f>
        <v>23.1191</v>
      </c>
      <c r="I60" s="10">
        <f>23.117 * CHOOSE(CONTROL!$C$9, $D$9, 100%, $F$9) + CHOOSE(CONTROL!$C$27, 0.0021, 0)</f>
        <v>23.1191</v>
      </c>
      <c r="J60" s="10">
        <f>23.117 * CHOOSE(CONTROL!$C$9, $D$9, 100%, $F$9) + CHOOSE(CONTROL!$C$27, 0.0021, 0)</f>
        <v>23.1191</v>
      </c>
      <c r="K60" s="10">
        <f>23.117 * CHOOSE(CONTROL!$C$9, $D$9, 100%, $F$9) + CHOOSE(CONTROL!$C$27, 0.0021, 0)</f>
        <v>23.1191</v>
      </c>
      <c r="L60" s="10"/>
    </row>
    <row r="61" spans="1:12" ht="15" x14ac:dyDescent="0.2">
      <c r="A61" s="16">
        <v>42767</v>
      </c>
      <c r="B61" s="10">
        <f>22.948 * CHOOSE(CONTROL!$C$9, $D$9, 100%, $F$9) + CHOOSE(CONTROL!$C$27, 0.0021, 0)</f>
        <v>22.950099999999999</v>
      </c>
      <c r="C61" s="10">
        <f>22.5158 * CHOOSE(CONTROL!$C$9, $D$9, 100%, $F$9) + CHOOSE(CONTROL!$C$27, 0.0021, 0)</f>
        <v>22.517899999999997</v>
      </c>
      <c r="D61" s="10">
        <f>22.5158 * CHOOSE(CONTROL!$C$9, $D$9, 100%, $F$9) + CHOOSE(CONTROL!$C$27, 0.0021, 0)</f>
        <v>22.517899999999997</v>
      </c>
      <c r="E61" s="10">
        <f>22.3791 * CHOOSE(CONTROL!$C$9, $D$9, 100%, $F$9) + CHOOSE(CONTROL!$C$27, 0.0021, 0)</f>
        <v>22.3812</v>
      </c>
      <c r="F61" s="10">
        <f>22.3791 * CHOOSE(CONTROL!$C$9, $D$9, 100%, $F$9) + CHOOSE(CONTROL!$C$27, 0.0021, 0)</f>
        <v>22.3812</v>
      </c>
      <c r="G61" s="10">
        <f>22.6505 * CHOOSE(CONTROL!$C$9, $D$9, 100%, $F$9) + CHOOSE(CONTROL!$C$27, 0.0021, 0)</f>
        <v>22.6526</v>
      </c>
      <c r="H61" s="10">
        <f>22.5158 * CHOOSE(CONTROL!$C$9, $D$9, 100%, $F$9) + CHOOSE(CONTROL!$C$27, 0.0021, 0)</f>
        <v>22.517899999999997</v>
      </c>
      <c r="I61" s="10">
        <f>22.5158 * CHOOSE(CONTROL!$C$9, $D$9, 100%, $F$9) + CHOOSE(CONTROL!$C$27, 0.0021, 0)</f>
        <v>22.517899999999997</v>
      </c>
      <c r="J61" s="10">
        <f>22.5158 * CHOOSE(CONTROL!$C$9, $D$9, 100%, $F$9) + CHOOSE(CONTROL!$C$27, 0.0021, 0)</f>
        <v>22.517899999999997</v>
      </c>
      <c r="K61" s="10">
        <f>22.5158 * CHOOSE(CONTROL!$C$9, $D$9, 100%, $F$9) + CHOOSE(CONTROL!$C$27, 0.0021, 0)</f>
        <v>22.517899999999997</v>
      </c>
      <c r="L61" s="10"/>
    </row>
    <row r="62" spans="1:12" ht="15" x14ac:dyDescent="0.2">
      <c r="A62" s="16">
        <v>42795</v>
      </c>
      <c r="B62" s="10">
        <f>22.6998 * CHOOSE(CONTROL!$C$9, $D$9, 100%, $F$9) + CHOOSE(CONTROL!$C$27, 0.0021, 0)</f>
        <v>22.701899999999998</v>
      </c>
      <c r="C62" s="10">
        <f>22.2676 * CHOOSE(CONTROL!$C$9, $D$9, 100%, $F$9) + CHOOSE(CONTROL!$C$27, 0.0021, 0)</f>
        <v>22.2697</v>
      </c>
      <c r="D62" s="10">
        <f>22.2676 * CHOOSE(CONTROL!$C$9, $D$9, 100%, $F$9) + CHOOSE(CONTROL!$C$27, 0.0021, 0)</f>
        <v>22.2697</v>
      </c>
      <c r="E62" s="10">
        <f>22.1309 * CHOOSE(CONTROL!$C$9, $D$9, 100%, $F$9) + CHOOSE(CONTROL!$C$27, 0.0021, 0)</f>
        <v>22.132999999999999</v>
      </c>
      <c r="F62" s="10">
        <f>22.1309 * CHOOSE(CONTROL!$C$9, $D$9, 100%, $F$9) + CHOOSE(CONTROL!$C$27, 0.0021, 0)</f>
        <v>22.132999999999999</v>
      </c>
      <c r="G62" s="10">
        <f>22.4023 * CHOOSE(CONTROL!$C$9, $D$9, 100%, $F$9) + CHOOSE(CONTROL!$C$27, 0.0021, 0)</f>
        <v>22.404399999999999</v>
      </c>
      <c r="H62" s="10">
        <f>22.2676 * CHOOSE(CONTROL!$C$9, $D$9, 100%, $F$9) + CHOOSE(CONTROL!$C$27, 0.0021, 0)</f>
        <v>22.2697</v>
      </c>
      <c r="I62" s="10">
        <f>22.2676 * CHOOSE(CONTROL!$C$9, $D$9, 100%, $F$9) + CHOOSE(CONTROL!$C$27, 0.0021, 0)</f>
        <v>22.2697</v>
      </c>
      <c r="J62" s="10">
        <f>22.2676 * CHOOSE(CONTROL!$C$9, $D$9, 100%, $F$9) + CHOOSE(CONTROL!$C$27, 0.0021, 0)</f>
        <v>22.2697</v>
      </c>
      <c r="K62" s="10">
        <f>22.2676 * CHOOSE(CONTROL!$C$9, $D$9, 100%, $F$9) + CHOOSE(CONTROL!$C$27, 0.0021, 0)</f>
        <v>22.2697</v>
      </c>
      <c r="L62" s="10"/>
    </row>
    <row r="63" spans="1:12" ht="15" x14ac:dyDescent="0.2">
      <c r="A63" s="16">
        <v>42826</v>
      </c>
      <c r="B63" s="10">
        <f>22.4035 * CHOOSE(CONTROL!$C$9, $D$9, 100%, $F$9) + CHOOSE(CONTROL!$C$27, 0.0021, 0)</f>
        <v>22.4056</v>
      </c>
      <c r="C63" s="10">
        <f>21.9712 * CHOOSE(CONTROL!$C$9, $D$9, 100%, $F$9) + CHOOSE(CONTROL!$C$27, 0.0021, 0)</f>
        <v>21.973299999999998</v>
      </c>
      <c r="D63" s="10">
        <f>21.9712 * CHOOSE(CONTROL!$C$9, $D$9, 100%, $F$9) + CHOOSE(CONTROL!$C$27, 0.0021, 0)</f>
        <v>21.973299999999998</v>
      </c>
      <c r="E63" s="10">
        <f>21.8345 * CHOOSE(CONTROL!$C$9, $D$9, 100%, $F$9) + CHOOSE(CONTROL!$C$27, 0.0021, 0)</f>
        <v>21.836599999999997</v>
      </c>
      <c r="F63" s="10">
        <f>21.8345 * CHOOSE(CONTROL!$C$9, $D$9, 100%, $F$9) + CHOOSE(CONTROL!$C$27, 0.0021, 0)</f>
        <v>21.836599999999997</v>
      </c>
      <c r="G63" s="10">
        <f>22.1059 * CHOOSE(CONTROL!$C$9, $D$9, 100%, $F$9) + CHOOSE(CONTROL!$C$27, 0.0021, 0)</f>
        <v>22.107999999999997</v>
      </c>
      <c r="H63" s="10">
        <f>21.9712 * CHOOSE(CONTROL!$C$9, $D$9, 100%, $F$9) + CHOOSE(CONTROL!$C$27, 0.0021, 0)</f>
        <v>21.973299999999998</v>
      </c>
      <c r="I63" s="10">
        <f>21.9712 * CHOOSE(CONTROL!$C$9, $D$9, 100%, $F$9) + CHOOSE(CONTROL!$C$27, 0.0021, 0)</f>
        <v>21.973299999999998</v>
      </c>
      <c r="J63" s="10">
        <f>21.9712 * CHOOSE(CONTROL!$C$9, $D$9, 100%, $F$9) + CHOOSE(CONTROL!$C$27, 0.0021, 0)</f>
        <v>21.973299999999998</v>
      </c>
      <c r="K63" s="10">
        <f>21.9712 * CHOOSE(CONTROL!$C$9, $D$9, 100%, $F$9) + CHOOSE(CONTROL!$C$27, 0.0021, 0)</f>
        <v>21.973299999999998</v>
      </c>
      <c r="L63" s="10"/>
    </row>
    <row r="64" spans="1:12" ht="15" x14ac:dyDescent="0.2">
      <c r="A64" s="16">
        <v>42856</v>
      </c>
      <c r="B64" s="10">
        <f>22.8258 * CHOOSE(CONTROL!$C$9, $D$9, 100%, $F$9) + CHOOSE(CONTROL!$C$27, 0.0021, 0)</f>
        <v>22.8279</v>
      </c>
      <c r="C64" s="10">
        <f>22.3935 * CHOOSE(CONTROL!$C$9, $D$9, 100%, $F$9) + CHOOSE(CONTROL!$C$27, 0.0021, 0)</f>
        <v>22.395599999999998</v>
      </c>
      <c r="D64" s="10">
        <f>22.3935 * CHOOSE(CONTROL!$C$9, $D$9, 100%, $F$9) + CHOOSE(CONTROL!$C$27, 0.0021, 0)</f>
        <v>22.395599999999998</v>
      </c>
      <c r="E64" s="10">
        <f>22.2569 * CHOOSE(CONTROL!$C$9, $D$9, 100%, $F$9) + CHOOSE(CONTROL!$C$27, 0.0021, 0)</f>
        <v>22.259</v>
      </c>
      <c r="F64" s="10">
        <f>22.2569 * CHOOSE(CONTROL!$C$9, $D$9, 100%, $F$9) + CHOOSE(CONTROL!$C$27, 0.0021, 0)</f>
        <v>22.259</v>
      </c>
      <c r="G64" s="10">
        <f>22.5283 * CHOOSE(CONTROL!$C$9, $D$9, 100%, $F$9) + CHOOSE(CONTROL!$C$27, 0.0021, 0)</f>
        <v>22.5304</v>
      </c>
      <c r="H64" s="10">
        <f>22.3935 * CHOOSE(CONTROL!$C$9, $D$9, 100%, $F$9) + CHOOSE(CONTROL!$C$27, 0.0021, 0)</f>
        <v>22.395599999999998</v>
      </c>
      <c r="I64" s="10">
        <f>22.3935 * CHOOSE(CONTROL!$C$9, $D$9, 100%, $F$9) + CHOOSE(CONTROL!$C$27, 0.0021, 0)</f>
        <v>22.395599999999998</v>
      </c>
      <c r="J64" s="10">
        <f>22.3935 * CHOOSE(CONTROL!$C$9, $D$9, 100%, $F$9) + CHOOSE(CONTROL!$C$27, 0.0021, 0)</f>
        <v>22.395599999999998</v>
      </c>
      <c r="K64" s="10">
        <f>22.3935 * CHOOSE(CONTROL!$C$9, $D$9, 100%, $F$9) + CHOOSE(CONTROL!$C$27, 0.0021, 0)</f>
        <v>22.395599999999998</v>
      </c>
      <c r="L64" s="10"/>
    </row>
    <row r="65" spans="1:12" ht="15" x14ac:dyDescent="0.2">
      <c r="A65" s="16">
        <v>42887</v>
      </c>
      <c r="B65" s="10">
        <f>23.0788 * CHOOSE(CONTROL!$C$9, $D$9, 100%, $F$9) + CHOOSE(CONTROL!$C$27, 0.0021, 0)</f>
        <v>23.0809</v>
      </c>
      <c r="C65" s="10">
        <f>22.6465 * CHOOSE(CONTROL!$C$9, $D$9, 100%, $F$9) + CHOOSE(CONTROL!$C$27, 0.0021, 0)</f>
        <v>22.648599999999998</v>
      </c>
      <c r="D65" s="10">
        <f>22.6465 * CHOOSE(CONTROL!$C$9, $D$9, 100%, $F$9) + CHOOSE(CONTROL!$C$27, 0.0021, 0)</f>
        <v>22.648599999999998</v>
      </c>
      <c r="E65" s="10">
        <f>22.5099 * CHOOSE(CONTROL!$C$9, $D$9, 100%, $F$9) + CHOOSE(CONTROL!$C$27, 0.0021, 0)</f>
        <v>22.511999999999997</v>
      </c>
      <c r="F65" s="10">
        <f>22.5099 * CHOOSE(CONTROL!$C$9, $D$9, 100%, $F$9) + CHOOSE(CONTROL!$C$27, 0.0021, 0)</f>
        <v>22.511999999999997</v>
      </c>
      <c r="G65" s="10">
        <f>22.7812 * CHOOSE(CONTROL!$C$9, $D$9, 100%, $F$9) + CHOOSE(CONTROL!$C$27, 0.0021, 0)</f>
        <v>22.783299999999997</v>
      </c>
      <c r="H65" s="10">
        <f>22.6465 * CHOOSE(CONTROL!$C$9, $D$9, 100%, $F$9) + CHOOSE(CONTROL!$C$27, 0.0021, 0)</f>
        <v>22.648599999999998</v>
      </c>
      <c r="I65" s="10">
        <f>22.6465 * CHOOSE(CONTROL!$C$9, $D$9, 100%, $F$9) + CHOOSE(CONTROL!$C$27, 0.0021, 0)</f>
        <v>22.648599999999998</v>
      </c>
      <c r="J65" s="10">
        <f>22.6465 * CHOOSE(CONTROL!$C$9, $D$9, 100%, $F$9) + CHOOSE(CONTROL!$C$27, 0.0021, 0)</f>
        <v>22.648599999999998</v>
      </c>
      <c r="K65" s="10">
        <f>22.6465 * CHOOSE(CONTROL!$C$9, $D$9, 100%, $F$9) + CHOOSE(CONTROL!$C$27, 0.0021, 0)</f>
        <v>22.648599999999998</v>
      </c>
      <c r="L65" s="10"/>
    </row>
    <row r="66" spans="1:12" ht="15" x14ac:dyDescent="0.2">
      <c r="A66" s="16">
        <v>42917</v>
      </c>
      <c r="B66" s="10">
        <f>23.4961 * CHOOSE(CONTROL!$C$9, $D$9, 100%, $F$9) + CHOOSE(CONTROL!$C$27, 0.0021, 0)</f>
        <v>23.498199999999997</v>
      </c>
      <c r="C66" s="10">
        <f>23.0638 * CHOOSE(CONTROL!$C$9, $D$9, 100%, $F$9) + CHOOSE(CONTROL!$C$27, 0.0021, 0)</f>
        <v>23.065899999999999</v>
      </c>
      <c r="D66" s="10">
        <f>23.0638 * CHOOSE(CONTROL!$C$9, $D$9, 100%, $F$9) + CHOOSE(CONTROL!$C$27, 0.0021, 0)</f>
        <v>23.065899999999999</v>
      </c>
      <c r="E66" s="10">
        <f>22.9272 * CHOOSE(CONTROL!$C$9, $D$9, 100%, $F$9) + CHOOSE(CONTROL!$C$27, 0.0021, 0)</f>
        <v>22.929299999999998</v>
      </c>
      <c r="F66" s="10">
        <f>22.9272 * CHOOSE(CONTROL!$C$9, $D$9, 100%, $F$9) + CHOOSE(CONTROL!$C$27, 0.0021, 0)</f>
        <v>22.929299999999998</v>
      </c>
      <c r="G66" s="10">
        <f>23.1985 * CHOOSE(CONTROL!$C$9, $D$9, 100%, $F$9) + CHOOSE(CONTROL!$C$27, 0.0021, 0)</f>
        <v>23.200599999999998</v>
      </c>
      <c r="H66" s="10">
        <f>23.0638 * CHOOSE(CONTROL!$C$9, $D$9, 100%, $F$9) + CHOOSE(CONTROL!$C$27, 0.0021, 0)</f>
        <v>23.065899999999999</v>
      </c>
      <c r="I66" s="10">
        <f>23.0638 * CHOOSE(CONTROL!$C$9, $D$9, 100%, $F$9) + CHOOSE(CONTROL!$C$27, 0.0021, 0)</f>
        <v>23.065899999999999</v>
      </c>
      <c r="J66" s="10">
        <f>23.0638 * CHOOSE(CONTROL!$C$9, $D$9, 100%, $F$9) + CHOOSE(CONTROL!$C$27, 0.0021, 0)</f>
        <v>23.065899999999999</v>
      </c>
      <c r="K66" s="10">
        <f>23.0638 * CHOOSE(CONTROL!$C$9, $D$9, 100%, $F$9) + CHOOSE(CONTROL!$C$27, 0.0021, 0)</f>
        <v>23.065899999999999</v>
      </c>
      <c r="L66" s="10"/>
    </row>
    <row r="67" spans="1:12" ht="15" x14ac:dyDescent="0.2">
      <c r="A67" s="16">
        <v>42948</v>
      </c>
      <c r="B67" s="10">
        <f>23.6234 * CHOOSE(CONTROL!$C$9, $D$9, 100%, $F$9) + CHOOSE(CONTROL!$C$27, 0.0021, 0)</f>
        <v>23.625499999999999</v>
      </c>
      <c r="C67" s="10">
        <f>23.1912 * CHOOSE(CONTROL!$C$9, $D$9, 100%, $F$9) + CHOOSE(CONTROL!$C$27, 0.0021, 0)</f>
        <v>23.193299999999997</v>
      </c>
      <c r="D67" s="10">
        <f>23.1912 * CHOOSE(CONTROL!$C$9, $D$9, 100%, $F$9) + CHOOSE(CONTROL!$C$27, 0.0021, 0)</f>
        <v>23.193299999999997</v>
      </c>
      <c r="E67" s="10">
        <f>23.0545 * CHOOSE(CONTROL!$C$9, $D$9, 100%, $F$9) + CHOOSE(CONTROL!$C$27, 0.0021, 0)</f>
        <v>23.0566</v>
      </c>
      <c r="F67" s="10">
        <f>23.0545 * CHOOSE(CONTROL!$C$9, $D$9, 100%, $F$9) + CHOOSE(CONTROL!$C$27, 0.0021, 0)</f>
        <v>23.0566</v>
      </c>
      <c r="G67" s="10">
        <f>23.3259 * CHOOSE(CONTROL!$C$9, $D$9, 100%, $F$9) + CHOOSE(CONTROL!$C$27, 0.0021, 0)</f>
        <v>23.327999999999999</v>
      </c>
      <c r="H67" s="10">
        <f>23.1912 * CHOOSE(CONTROL!$C$9, $D$9, 100%, $F$9) + CHOOSE(CONTROL!$C$27, 0.0021, 0)</f>
        <v>23.193299999999997</v>
      </c>
      <c r="I67" s="10">
        <f>23.1912 * CHOOSE(CONTROL!$C$9, $D$9, 100%, $F$9) + CHOOSE(CONTROL!$C$27, 0.0021, 0)</f>
        <v>23.193299999999997</v>
      </c>
      <c r="J67" s="10">
        <f>23.1912 * CHOOSE(CONTROL!$C$9, $D$9, 100%, $F$9) + CHOOSE(CONTROL!$C$27, 0.0021, 0)</f>
        <v>23.193299999999997</v>
      </c>
      <c r="K67" s="10">
        <f>23.1912 * CHOOSE(CONTROL!$C$9, $D$9, 100%, $F$9) + CHOOSE(CONTROL!$C$27, 0.0021, 0)</f>
        <v>23.193299999999997</v>
      </c>
      <c r="L67" s="10"/>
    </row>
    <row r="68" spans="1:12" ht="15" x14ac:dyDescent="0.2">
      <c r="A68" s="16">
        <v>42979</v>
      </c>
      <c r="B68" s="10">
        <f>24.0572 * CHOOSE(CONTROL!$C$9, $D$9, 100%, $F$9) + CHOOSE(CONTROL!$C$27, 0.0021, 0)</f>
        <v>24.0593</v>
      </c>
      <c r="C68" s="10">
        <f>23.625 * CHOOSE(CONTROL!$C$9, $D$9, 100%, $F$9) + CHOOSE(CONTROL!$C$27, 0.0021, 0)</f>
        <v>23.627099999999999</v>
      </c>
      <c r="D68" s="10">
        <f>23.625 * CHOOSE(CONTROL!$C$9, $D$9, 100%, $F$9) + CHOOSE(CONTROL!$C$27, 0.0021, 0)</f>
        <v>23.627099999999999</v>
      </c>
      <c r="E68" s="10">
        <f>23.4883 * CHOOSE(CONTROL!$C$9, $D$9, 100%, $F$9) + CHOOSE(CONTROL!$C$27, 0.0021, 0)</f>
        <v>23.490399999999998</v>
      </c>
      <c r="F68" s="10">
        <f>23.4883 * CHOOSE(CONTROL!$C$9, $D$9, 100%, $F$9) + CHOOSE(CONTROL!$C$27, 0.0021, 0)</f>
        <v>23.490399999999998</v>
      </c>
      <c r="G68" s="10">
        <f>23.7597 * CHOOSE(CONTROL!$C$9, $D$9, 100%, $F$9) + CHOOSE(CONTROL!$C$27, 0.0021, 0)</f>
        <v>23.761799999999997</v>
      </c>
      <c r="H68" s="10">
        <f>23.625 * CHOOSE(CONTROL!$C$9, $D$9, 100%, $F$9) + CHOOSE(CONTROL!$C$27, 0.0021, 0)</f>
        <v>23.627099999999999</v>
      </c>
      <c r="I68" s="10">
        <f>23.625 * CHOOSE(CONTROL!$C$9, $D$9, 100%, $F$9) + CHOOSE(CONTROL!$C$27, 0.0021, 0)</f>
        <v>23.627099999999999</v>
      </c>
      <c r="J68" s="10">
        <f>23.625 * CHOOSE(CONTROL!$C$9, $D$9, 100%, $F$9) + CHOOSE(CONTROL!$C$27, 0.0021, 0)</f>
        <v>23.627099999999999</v>
      </c>
      <c r="K68" s="10">
        <f>23.625 * CHOOSE(CONTROL!$C$9, $D$9, 100%, $F$9) + CHOOSE(CONTROL!$C$27, 0.0021, 0)</f>
        <v>23.627099999999999</v>
      </c>
      <c r="L68" s="10"/>
    </row>
    <row r="69" spans="1:12" ht="15" x14ac:dyDescent="0.2">
      <c r="A69" s="16">
        <v>43009</v>
      </c>
      <c r="B69" s="10">
        <f>24.6063 * CHOOSE(CONTROL!$C$9, $D$9, 100%, $F$9) + CHOOSE(CONTROL!$C$27, 0.0021, 0)</f>
        <v>24.6084</v>
      </c>
      <c r="C69" s="10">
        <f>24.174 * CHOOSE(CONTROL!$C$9, $D$9, 100%, $F$9) + CHOOSE(CONTROL!$C$27, 0.0021, 0)</f>
        <v>24.176099999999998</v>
      </c>
      <c r="D69" s="10">
        <f>24.174 * CHOOSE(CONTROL!$C$9, $D$9, 100%, $F$9) + CHOOSE(CONTROL!$C$27, 0.0021, 0)</f>
        <v>24.176099999999998</v>
      </c>
      <c r="E69" s="10">
        <f>24.0374 * CHOOSE(CONTROL!$C$9, $D$9, 100%, $F$9) + CHOOSE(CONTROL!$C$27, 0.0021, 0)</f>
        <v>24.0395</v>
      </c>
      <c r="F69" s="10">
        <f>24.0374 * CHOOSE(CONTROL!$C$9, $D$9, 100%, $F$9) + CHOOSE(CONTROL!$C$27, 0.0021, 0)</f>
        <v>24.0395</v>
      </c>
      <c r="G69" s="10">
        <f>24.3087 * CHOOSE(CONTROL!$C$9, $D$9, 100%, $F$9) + CHOOSE(CONTROL!$C$27, 0.0021, 0)</f>
        <v>24.3108</v>
      </c>
      <c r="H69" s="10">
        <f>24.174 * CHOOSE(CONTROL!$C$9, $D$9, 100%, $F$9) + CHOOSE(CONTROL!$C$27, 0.0021, 0)</f>
        <v>24.176099999999998</v>
      </c>
      <c r="I69" s="10">
        <f>24.174 * CHOOSE(CONTROL!$C$9, $D$9, 100%, $F$9) + CHOOSE(CONTROL!$C$27, 0.0021, 0)</f>
        <v>24.176099999999998</v>
      </c>
      <c r="J69" s="10">
        <f>24.174 * CHOOSE(CONTROL!$C$9, $D$9, 100%, $F$9) + CHOOSE(CONTROL!$C$27, 0.0021, 0)</f>
        <v>24.176099999999998</v>
      </c>
      <c r="K69" s="10">
        <f>24.174 * CHOOSE(CONTROL!$C$9, $D$9, 100%, $F$9) + CHOOSE(CONTROL!$C$27, 0.0021, 0)</f>
        <v>24.176099999999998</v>
      </c>
      <c r="L69" s="10"/>
    </row>
    <row r="70" spans="1:12" ht="15" x14ac:dyDescent="0.2">
      <c r="A70" s="16">
        <v>43040</v>
      </c>
      <c r="B70" s="10">
        <f>24.6578 * CHOOSE(CONTROL!$C$9, $D$9, 100%, $F$9) + CHOOSE(CONTROL!$C$27, 0.0021, 0)</f>
        <v>24.6599</v>
      </c>
      <c r="C70" s="10">
        <f>24.2256 * CHOOSE(CONTROL!$C$9, $D$9, 100%, $F$9) + CHOOSE(CONTROL!$C$27, 0.0021, 0)</f>
        <v>24.227699999999999</v>
      </c>
      <c r="D70" s="10">
        <f>24.2256 * CHOOSE(CONTROL!$C$9, $D$9, 100%, $F$9) + CHOOSE(CONTROL!$C$27, 0.0021, 0)</f>
        <v>24.227699999999999</v>
      </c>
      <c r="E70" s="10">
        <f>24.0889 * CHOOSE(CONTROL!$C$9, $D$9, 100%, $F$9) + CHOOSE(CONTROL!$C$27, 0.0021, 0)</f>
        <v>24.090999999999998</v>
      </c>
      <c r="F70" s="10">
        <f>24.0889 * CHOOSE(CONTROL!$C$9, $D$9, 100%, $F$9) + CHOOSE(CONTROL!$C$27, 0.0021, 0)</f>
        <v>24.090999999999998</v>
      </c>
      <c r="G70" s="10">
        <f>24.3603 * CHOOSE(CONTROL!$C$9, $D$9, 100%, $F$9) + CHOOSE(CONTROL!$C$27, 0.0021, 0)</f>
        <v>24.362399999999997</v>
      </c>
      <c r="H70" s="10">
        <f>24.2256 * CHOOSE(CONTROL!$C$9, $D$9, 100%, $F$9) + CHOOSE(CONTROL!$C$27, 0.0021, 0)</f>
        <v>24.227699999999999</v>
      </c>
      <c r="I70" s="10">
        <f>24.2256 * CHOOSE(CONTROL!$C$9, $D$9, 100%, $F$9) + CHOOSE(CONTROL!$C$27, 0.0021, 0)</f>
        <v>24.227699999999999</v>
      </c>
      <c r="J70" s="10">
        <f>24.2256 * CHOOSE(CONTROL!$C$9, $D$9, 100%, $F$9) + CHOOSE(CONTROL!$C$27, 0.0021, 0)</f>
        <v>24.227699999999999</v>
      </c>
      <c r="K70" s="10">
        <f>24.2256 * CHOOSE(CONTROL!$C$9, $D$9, 100%, $F$9) + CHOOSE(CONTROL!$C$27, 0.0021, 0)</f>
        <v>24.227699999999999</v>
      </c>
      <c r="L70" s="10"/>
    </row>
    <row r="71" spans="1:12" ht="15" x14ac:dyDescent="0.2">
      <c r="A71" s="16">
        <v>43070</v>
      </c>
      <c r="B71" s="10">
        <f>24.2193 * CHOOSE(CONTROL!$C$9, $D$9, 100%, $F$9) + CHOOSE(CONTROL!$C$27, 0.0021, 0)</f>
        <v>24.221399999999999</v>
      </c>
      <c r="C71" s="10">
        <f>23.787 * CHOOSE(CONTROL!$C$9, $D$9, 100%, $F$9) + CHOOSE(CONTROL!$C$27, 0.0021, 0)</f>
        <v>23.789099999999998</v>
      </c>
      <c r="D71" s="10">
        <f>23.787 * CHOOSE(CONTROL!$C$9, $D$9, 100%, $F$9) + CHOOSE(CONTROL!$C$27, 0.0021, 0)</f>
        <v>23.789099999999998</v>
      </c>
      <c r="E71" s="10">
        <f>23.6504 * CHOOSE(CONTROL!$C$9, $D$9, 100%, $F$9) + CHOOSE(CONTROL!$C$27, 0.0021, 0)</f>
        <v>23.6525</v>
      </c>
      <c r="F71" s="10">
        <f>23.6504 * CHOOSE(CONTROL!$C$9, $D$9, 100%, $F$9) + CHOOSE(CONTROL!$C$27, 0.0021, 0)</f>
        <v>23.6525</v>
      </c>
      <c r="G71" s="10">
        <f>23.9218 * CHOOSE(CONTROL!$C$9, $D$9, 100%, $F$9) + CHOOSE(CONTROL!$C$27, 0.0021, 0)</f>
        <v>23.9239</v>
      </c>
      <c r="H71" s="10">
        <f>23.787 * CHOOSE(CONTROL!$C$9, $D$9, 100%, $F$9) + CHOOSE(CONTROL!$C$27, 0.0021, 0)</f>
        <v>23.789099999999998</v>
      </c>
      <c r="I71" s="10">
        <f>23.787 * CHOOSE(CONTROL!$C$9, $D$9, 100%, $F$9) + CHOOSE(CONTROL!$C$27, 0.0021, 0)</f>
        <v>23.789099999999998</v>
      </c>
      <c r="J71" s="10">
        <f>23.787 * CHOOSE(CONTROL!$C$9, $D$9, 100%, $F$9) + CHOOSE(CONTROL!$C$27, 0.0021, 0)</f>
        <v>23.789099999999998</v>
      </c>
      <c r="K71" s="10">
        <f>23.787 * CHOOSE(CONTROL!$C$9, $D$9, 100%, $F$9) + CHOOSE(CONTROL!$C$27, 0.0021, 0)</f>
        <v>23.789099999999998</v>
      </c>
      <c r="L71" s="10"/>
    </row>
    <row r="72" spans="1:12" ht="15" x14ac:dyDescent="0.2">
      <c r="A72" s="16">
        <v>43101</v>
      </c>
      <c r="B72" s="10">
        <f>25.1083 * CHOOSE(CONTROL!$C$9, $D$9, 100%, $F$9) + CHOOSE(CONTROL!$C$27, 0.0021, 0)</f>
        <v>25.110399999999998</v>
      </c>
      <c r="C72" s="10">
        <f>24.676 * CHOOSE(CONTROL!$C$9, $D$9, 100%, $F$9) + CHOOSE(CONTROL!$C$27, 0.0021, 0)</f>
        <v>24.678099999999997</v>
      </c>
      <c r="D72" s="10">
        <f>24.676 * CHOOSE(CONTROL!$C$9, $D$9, 100%, $F$9) + CHOOSE(CONTROL!$C$27, 0.0021, 0)</f>
        <v>24.678099999999997</v>
      </c>
      <c r="E72" s="10">
        <f>24.5394 * CHOOSE(CONTROL!$C$9, $D$9, 100%, $F$9) + CHOOSE(CONTROL!$C$27, 0.0021, 0)</f>
        <v>24.541499999999999</v>
      </c>
      <c r="F72" s="10">
        <f>24.5394 * CHOOSE(CONTROL!$C$9, $D$9, 100%, $F$9) + CHOOSE(CONTROL!$C$27, 0.0021, 0)</f>
        <v>24.541499999999999</v>
      </c>
      <c r="G72" s="10">
        <f>24.8107 * CHOOSE(CONTROL!$C$9, $D$9, 100%, $F$9) + CHOOSE(CONTROL!$C$27, 0.0021, 0)</f>
        <v>24.812799999999999</v>
      </c>
      <c r="H72" s="10">
        <f>24.676 * CHOOSE(CONTROL!$C$9, $D$9, 100%, $F$9) + CHOOSE(CONTROL!$C$27, 0.0021, 0)</f>
        <v>24.678099999999997</v>
      </c>
      <c r="I72" s="10">
        <f>24.676 * CHOOSE(CONTROL!$C$9, $D$9, 100%, $F$9) + CHOOSE(CONTROL!$C$27, 0.0021, 0)</f>
        <v>24.678099999999997</v>
      </c>
      <c r="J72" s="10">
        <f>24.676 * CHOOSE(CONTROL!$C$9, $D$9, 100%, $F$9) + CHOOSE(CONTROL!$C$27, 0.0021, 0)</f>
        <v>24.678099999999997</v>
      </c>
      <c r="K72" s="10">
        <f>24.676 * CHOOSE(CONTROL!$C$9, $D$9, 100%, $F$9) + CHOOSE(CONTROL!$C$27, 0.0021, 0)</f>
        <v>24.678099999999997</v>
      </c>
      <c r="L72" s="10"/>
    </row>
    <row r="73" spans="1:12" ht="15" x14ac:dyDescent="0.2">
      <c r="A73" s="16">
        <v>43132</v>
      </c>
      <c r="B73" s="10">
        <f>24.4629 * CHOOSE(CONTROL!$C$9, $D$9, 100%, $F$9) + CHOOSE(CONTROL!$C$27, 0.0021, 0)</f>
        <v>24.465</v>
      </c>
      <c r="C73" s="10">
        <f>24.0307 * CHOOSE(CONTROL!$C$9, $D$9, 100%, $F$9) + CHOOSE(CONTROL!$C$27, 0.0021, 0)</f>
        <v>24.032799999999998</v>
      </c>
      <c r="D73" s="10">
        <f>24.0307 * CHOOSE(CONTROL!$C$9, $D$9, 100%, $F$9) + CHOOSE(CONTROL!$C$27, 0.0021, 0)</f>
        <v>24.032799999999998</v>
      </c>
      <c r="E73" s="10">
        <f>23.894 * CHOOSE(CONTROL!$C$9, $D$9, 100%, $F$9) + CHOOSE(CONTROL!$C$27, 0.0021, 0)</f>
        <v>23.896099999999997</v>
      </c>
      <c r="F73" s="10">
        <f>23.894 * CHOOSE(CONTROL!$C$9, $D$9, 100%, $F$9) + CHOOSE(CONTROL!$C$27, 0.0021, 0)</f>
        <v>23.896099999999997</v>
      </c>
      <c r="G73" s="10">
        <f>24.1654 * CHOOSE(CONTROL!$C$9, $D$9, 100%, $F$9) + CHOOSE(CONTROL!$C$27, 0.0021, 0)</f>
        <v>24.1675</v>
      </c>
      <c r="H73" s="10">
        <f>24.0307 * CHOOSE(CONTROL!$C$9, $D$9, 100%, $F$9) + CHOOSE(CONTROL!$C$27, 0.0021, 0)</f>
        <v>24.032799999999998</v>
      </c>
      <c r="I73" s="10">
        <f>24.0307 * CHOOSE(CONTROL!$C$9, $D$9, 100%, $F$9) + CHOOSE(CONTROL!$C$27, 0.0021, 0)</f>
        <v>24.032799999999998</v>
      </c>
      <c r="J73" s="10">
        <f>24.0307 * CHOOSE(CONTROL!$C$9, $D$9, 100%, $F$9) + CHOOSE(CONTROL!$C$27, 0.0021, 0)</f>
        <v>24.032799999999998</v>
      </c>
      <c r="K73" s="10">
        <f>24.0307 * CHOOSE(CONTROL!$C$9, $D$9, 100%, $F$9) + CHOOSE(CONTROL!$C$27, 0.0021, 0)</f>
        <v>24.032799999999998</v>
      </c>
      <c r="L73" s="10"/>
    </row>
    <row r="74" spans="1:12" ht="15" x14ac:dyDescent="0.2">
      <c r="A74" s="16">
        <v>43160</v>
      </c>
      <c r="B74" s="10">
        <f>24.1965 * CHOOSE(CONTROL!$C$9, $D$9, 100%, $F$9) + CHOOSE(CONTROL!$C$27, 0.0021, 0)</f>
        <v>24.198599999999999</v>
      </c>
      <c r="C74" s="10">
        <f>23.7643 * CHOOSE(CONTROL!$C$9, $D$9, 100%, $F$9) + CHOOSE(CONTROL!$C$27, 0.0021, 0)</f>
        <v>23.766399999999997</v>
      </c>
      <c r="D74" s="10">
        <f>23.7643 * CHOOSE(CONTROL!$C$9, $D$9, 100%, $F$9) + CHOOSE(CONTROL!$C$27, 0.0021, 0)</f>
        <v>23.766399999999997</v>
      </c>
      <c r="E74" s="10">
        <f>23.6276 * CHOOSE(CONTROL!$C$9, $D$9, 100%, $F$9) + CHOOSE(CONTROL!$C$27, 0.0021, 0)</f>
        <v>23.6297</v>
      </c>
      <c r="F74" s="10">
        <f>23.6276 * CHOOSE(CONTROL!$C$9, $D$9, 100%, $F$9) + CHOOSE(CONTROL!$C$27, 0.0021, 0)</f>
        <v>23.6297</v>
      </c>
      <c r="G74" s="10">
        <f>23.899 * CHOOSE(CONTROL!$C$9, $D$9, 100%, $F$9) + CHOOSE(CONTROL!$C$27, 0.0021, 0)</f>
        <v>23.9011</v>
      </c>
      <c r="H74" s="10">
        <f>23.7643 * CHOOSE(CONTROL!$C$9, $D$9, 100%, $F$9) + CHOOSE(CONTROL!$C$27, 0.0021, 0)</f>
        <v>23.766399999999997</v>
      </c>
      <c r="I74" s="10">
        <f>23.7643 * CHOOSE(CONTROL!$C$9, $D$9, 100%, $F$9) + CHOOSE(CONTROL!$C$27, 0.0021, 0)</f>
        <v>23.766399999999997</v>
      </c>
      <c r="J74" s="10">
        <f>23.7643 * CHOOSE(CONTROL!$C$9, $D$9, 100%, $F$9) + CHOOSE(CONTROL!$C$27, 0.0021, 0)</f>
        <v>23.766399999999997</v>
      </c>
      <c r="K74" s="10">
        <f>23.7643 * CHOOSE(CONTROL!$C$9, $D$9, 100%, $F$9) + CHOOSE(CONTROL!$C$27, 0.0021, 0)</f>
        <v>23.766399999999997</v>
      </c>
      <c r="L74" s="10"/>
    </row>
    <row r="75" spans="1:12" ht="15" x14ac:dyDescent="0.2">
      <c r="A75" s="16">
        <v>43191</v>
      </c>
      <c r="B75" s="10">
        <f>23.8784 * CHOOSE(CONTROL!$C$9, $D$9, 100%, $F$9) + CHOOSE(CONTROL!$C$27, 0.0021, 0)</f>
        <v>23.880499999999998</v>
      </c>
      <c r="C75" s="10">
        <f>23.4462 * CHOOSE(CONTROL!$C$9, $D$9, 100%, $F$9) + CHOOSE(CONTROL!$C$27, 0.0021, 0)</f>
        <v>23.4483</v>
      </c>
      <c r="D75" s="10">
        <f>23.4462 * CHOOSE(CONTROL!$C$9, $D$9, 100%, $F$9) + CHOOSE(CONTROL!$C$27, 0.0021, 0)</f>
        <v>23.4483</v>
      </c>
      <c r="E75" s="10">
        <f>23.3095 * CHOOSE(CONTROL!$C$9, $D$9, 100%, $F$9) + CHOOSE(CONTROL!$C$27, 0.0021, 0)</f>
        <v>23.311599999999999</v>
      </c>
      <c r="F75" s="10">
        <f>23.3095 * CHOOSE(CONTROL!$C$9, $D$9, 100%, $F$9) + CHOOSE(CONTROL!$C$27, 0.0021, 0)</f>
        <v>23.311599999999999</v>
      </c>
      <c r="G75" s="10">
        <f>23.5809 * CHOOSE(CONTROL!$C$9, $D$9, 100%, $F$9) + CHOOSE(CONTROL!$C$27, 0.0021, 0)</f>
        <v>23.582999999999998</v>
      </c>
      <c r="H75" s="10">
        <f>23.4462 * CHOOSE(CONTROL!$C$9, $D$9, 100%, $F$9) + CHOOSE(CONTROL!$C$27, 0.0021, 0)</f>
        <v>23.4483</v>
      </c>
      <c r="I75" s="10">
        <f>23.4462 * CHOOSE(CONTROL!$C$9, $D$9, 100%, $F$9) + CHOOSE(CONTROL!$C$27, 0.0021, 0)</f>
        <v>23.4483</v>
      </c>
      <c r="J75" s="10">
        <f>23.4462 * CHOOSE(CONTROL!$C$9, $D$9, 100%, $F$9) + CHOOSE(CONTROL!$C$27, 0.0021, 0)</f>
        <v>23.4483</v>
      </c>
      <c r="K75" s="10">
        <f>23.4462 * CHOOSE(CONTROL!$C$9, $D$9, 100%, $F$9) + CHOOSE(CONTROL!$C$27, 0.0021, 0)</f>
        <v>23.4483</v>
      </c>
      <c r="L75" s="10"/>
    </row>
    <row r="76" spans="1:12" ht="15" x14ac:dyDescent="0.2">
      <c r="A76" s="16">
        <v>43221</v>
      </c>
      <c r="B76" s="10">
        <f>24.3317 * CHOOSE(CONTROL!$C$9, $D$9, 100%, $F$9) + CHOOSE(CONTROL!$C$27, 0.0021, 0)</f>
        <v>24.3338</v>
      </c>
      <c r="C76" s="10">
        <f>23.8995 * CHOOSE(CONTROL!$C$9, $D$9, 100%, $F$9) + CHOOSE(CONTROL!$C$27, 0.0021, 0)</f>
        <v>23.901599999999998</v>
      </c>
      <c r="D76" s="10">
        <f>23.8995 * CHOOSE(CONTROL!$C$9, $D$9, 100%, $F$9) + CHOOSE(CONTROL!$C$27, 0.0021, 0)</f>
        <v>23.901599999999998</v>
      </c>
      <c r="E76" s="10">
        <f>23.7628 * CHOOSE(CONTROL!$C$9, $D$9, 100%, $F$9) + CHOOSE(CONTROL!$C$27, 0.0021, 0)</f>
        <v>23.764899999999997</v>
      </c>
      <c r="F76" s="10">
        <f>23.7628 * CHOOSE(CONTROL!$C$9, $D$9, 100%, $F$9) + CHOOSE(CONTROL!$C$27, 0.0021, 0)</f>
        <v>23.764899999999997</v>
      </c>
      <c r="G76" s="10">
        <f>24.0342 * CHOOSE(CONTROL!$C$9, $D$9, 100%, $F$9) + CHOOSE(CONTROL!$C$27, 0.0021, 0)</f>
        <v>24.036299999999997</v>
      </c>
      <c r="H76" s="10">
        <f>23.8995 * CHOOSE(CONTROL!$C$9, $D$9, 100%, $F$9) + CHOOSE(CONTROL!$C$27, 0.0021, 0)</f>
        <v>23.901599999999998</v>
      </c>
      <c r="I76" s="10">
        <f>23.8995 * CHOOSE(CONTROL!$C$9, $D$9, 100%, $F$9) + CHOOSE(CONTROL!$C$27, 0.0021, 0)</f>
        <v>23.901599999999998</v>
      </c>
      <c r="J76" s="10">
        <f>23.8995 * CHOOSE(CONTROL!$C$9, $D$9, 100%, $F$9) + CHOOSE(CONTROL!$C$27, 0.0021, 0)</f>
        <v>23.901599999999998</v>
      </c>
      <c r="K76" s="10">
        <f>23.8995 * CHOOSE(CONTROL!$C$9, $D$9, 100%, $F$9) + CHOOSE(CONTROL!$C$27, 0.0021, 0)</f>
        <v>23.901599999999998</v>
      </c>
      <c r="L76" s="10"/>
    </row>
    <row r="77" spans="1:12" ht="15" x14ac:dyDescent="0.2">
      <c r="A77" s="16">
        <v>43252</v>
      </c>
      <c r="B77" s="10">
        <f>24.6033 * CHOOSE(CONTROL!$C$9, $D$9, 100%, $F$9) + CHOOSE(CONTROL!$C$27, 0.0021, 0)</f>
        <v>24.605399999999999</v>
      </c>
      <c r="C77" s="10">
        <f>24.171 * CHOOSE(CONTROL!$C$9, $D$9, 100%, $F$9) + CHOOSE(CONTROL!$C$27, 0.0021, 0)</f>
        <v>24.173099999999998</v>
      </c>
      <c r="D77" s="10">
        <f>24.171 * CHOOSE(CONTROL!$C$9, $D$9, 100%, $F$9) + CHOOSE(CONTROL!$C$27, 0.0021, 0)</f>
        <v>24.173099999999998</v>
      </c>
      <c r="E77" s="10">
        <f>24.0343 * CHOOSE(CONTROL!$C$9, $D$9, 100%, $F$9) + CHOOSE(CONTROL!$C$27, 0.0021, 0)</f>
        <v>24.0364</v>
      </c>
      <c r="F77" s="10">
        <f>24.0343 * CHOOSE(CONTROL!$C$9, $D$9, 100%, $F$9) + CHOOSE(CONTROL!$C$27, 0.0021, 0)</f>
        <v>24.0364</v>
      </c>
      <c r="G77" s="10">
        <f>24.3057 * CHOOSE(CONTROL!$C$9, $D$9, 100%, $F$9) + CHOOSE(CONTROL!$C$27, 0.0021, 0)</f>
        <v>24.3078</v>
      </c>
      <c r="H77" s="10">
        <f>24.171 * CHOOSE(CONTROL!$C$9, $D$9, 100%, $F$9) + CHOOSE(CONTROL!$C$27, 0.0021, 0)</f>
        <v>24.173099999999998</v>
      </c>
      <c r="I77" s="10">
        <f>24.171 * CHOOSE(CONTROL!$C$9, $D$9, 100%, $F$9) + CHOOSE(CONTROL!$C$27, 0.0021, 0)</f>
        <v>24.173099999999998</v>
      </c>
      <c r="J77" s="10">
        <f>24.171 * CHOOSE(CONTROL!$C$9, $D$9, 100%, $F$9) + CHOOSE(CONTROL!$C$27, 0.0021, 0)</f>
        <v>24.173099999999998</v>
      </c>
      <c r="K77" s="10">
        <f>24.171 * CHOOSE(CONTROL!$C$9, $D$9, 100%, $F$9) + CHOOSE(CONTROL!$C$27, 0.0021, 0)</f>
        <v>24.173099999999998</v>
      </c>
      <c r="L77" s="10"/>
    </row>
    <row r="78" spans="1:12" ht="15" x14ac:dyDescent="0.2">
      <c r="A78" s="16">
        <v>43282</v>
      </c>
      <c r="B78" s="10">
        <f>25.0512 * CHOOSE(CONTROL!$C$9, $D$9, 100%, $F$9) + CHOOSE(CONTROL!$C$27, 0.0021, 0)</f>
        <v>25.0533</v>
      </c>
      <c r="C78" s="10">
        <f>24.6189 * CHOOSE(CONTROL!$C$9, $D$9, 100%, $F$9) + CHOOSE(CONTROL!$C$27, 0.0021, 0)</f>
        <v>24.620999999999999</v>
      </c>
      <c r="D78" s="10">
        <f>24.6189 * CHOOSE(CONTROL!$C$9, $D$9, 100%, $F$9) + CHOOSE(CONTROL!$C$27, 0.0021, 0)</f>
        <v>24.620999999999999</v>
      </c>
      <c r="E78" s="10">
        <f>24.4823 * CHOOSE(CONTROL!$C$9, $D$9, 100%, $F$9) + CHOOSE(CONTROL!$C$27, 0.0021, 0)</f>
        <v>24.484399999999997</v>
      </c>
      <c r="F78" s="10">
        <f>24.4823 * CHOOSE(CONTROL!$C$9, $D$9, 100%, $F$9) + CHOOSE(CONTROL!$C$27, 0.0021, 0)</f>
        <v>24.484399999999997</v>
      </c>
      <c r="G78" s="10">
        <f>24.7536 * CHOOSE(CONTROL!$C$9, $D$9, 100%, $F$9) + CHOOSE(CONTROL!$C$27, 0.0021, 0)</f>
        <v>24.755699999999997</v>
      </c>
      <c r="H78" s="10">
        <f>24.6189 * CHOOSE(CONTROL!$C$9, $D$9, 100%, $F$9) + CHOOSE(CONTROL!$C$27, 0.0021, 0)</f>
        <v>24.620999999999999</v>
      </c>
      <c r="I78" s="10">
        <f>24.6189 * CHOOSE(CONTROL!$C$9, $D$9, 100%, $F$9) + CHOOSE(CONTROL!$C$27, 0.0021, 0)</f>
        <v>24.620999999999999</v>
      </c>
      <c r="J78" s="10">
        <f>24.6189 * CHOOSE(CONTROL!$C$9, $D$9, 100%, $F$9) + CHOOSE(CONTROL!$C$27, 0.0021, 0)</f>
        <v>24.620999999999999</v>
      </c>
      <c r="K78" s="10">
        <f>24.6189 * CHOOSE(CONTROL!$C$9, $D$9, 100%, $F$9) + CHOOSE(CONTROL!$C$27, 0.0021, 0)</f>
        <v>24.620999999999999</v>
      </c>
      <c r="L78" s="10"/>
    </row>
    <row r="79" spans="1:12" ht="15" x14ac:dyDescent="0.2">
      <c r="A79" s="16">
        <v>43313</v>
      </c>
      <c r="B79" s="10">
        <f>25.1879 * CHOOSE(CONTROL!$C$9, $D$9, 100%, $F$9) + CHOOSE(CONTROL!$C$27, 0.0021, 0)</f>
        <v>25.189999999999998</v>
      </c>
      <c r="C79" s="10">
        <f>24.7556 * CHOOSE(CONTROL!$C$9, $D$9, 100%, $F$9) + CHOOSE(CONTROL!$C$27, 0.0021, 0)</f>
        <v>24.7577</v>
      </c>
      <c r="D79" s="10">
        <f>24.7556 * CHOOSE(CONTROL!$C$9, $D$9, 100%, $F$9) + CHOOSE(CONTROL!$C$27, 0.0021, 0)</f>
        <v>24.7577</v>
      </c>
      <c r="E79" s="10">
        <f>24.619 * CHOOSE(CONTROL!$C$9, $D$9, 100%, $F$9) + CHOOSE(CONTROL!$C$27, 0.0021, 0)</f>
        <v>24.621099999999998</v>
      </c>
      <c r="F79" s="10">
        <f>24.619 * CHOOSE(CONTROL!$C$9, $D$9, 100%, $F$9) + CHOOSE(CONTROL!$C$27, 0.0021, 0)</f>
        <v>24.621099999999998</v>
      </c>
      <c r="G79" s="10">
        <f>24.8903 * CHOOSE(CONTROL!$C$9, $D$9, 100%, $F$9) + CHOOSE(CONTROL!$C$27, 0.0021, 0)</f>
        <v>24.892399999999999</v>
      </c>
      <c r="H79" s="10">
        <f>24.7556 * CHOOSE(CONTROL!$C$9, $D$9, 100%, $F$9) + CHOOSE(CONTROL!$C$27, 0.0021, 0)</f>
        <v>24.7577</v>
      </c>
      <c r="I79" s="10">
        <f>24.7556 * CHOOSE(CONTROL!$C$9, $D$9, 100%, $F$9) + CHOOSE(CONTROL!$C$27, 0.0021, 0)</f>
        <v>24.7577</v>
      </c>
      <c r="J79" s="10">
        <f>24.7556 * CHOOSE(CONTROL!$C$9, $D$9, 100%, $F$9) + CHOOSE(CONTROL!$C$27, 0.0021, 0)</f>
        <v>24.7577</v>
      </c>
      <c r="K79" s="10">
        <f>24.7556 * CHOOSE(CONTROL!$C$9, $D$9, 100%, $F$9) + CHOOSE(CONTROL!$C$27, 0.0021, 0)</f>
        <v>24.7577</v>
      </c>
      <c r="L79" s="10"/>
    </row>
    <row r="80" spans="1:12" ht="15" x14ac:dyDescent="0.2">
      <c r="A80" s="16">
        <v>43344</v>
      </c>
      <c r="B80" s="10">
        <f>25.6535 * CHOOSE(CONTROL!$C$9, $D$9, 100%, $F$9) + CHOOSE(CONTROL!$C$27, 0.0021, 0)</f>
        <v>25.6556</v>
      </c>
      <c r="C80" s="10">
        <f>25.2212 * CHOOSE(CONTROL!$C$9, $D$9, 100%, $F$9) + CHOOSE(CONTROL!$C$27, 0.0021, 0)</f>
        <v>25.223299999999998</v>
      </c>
      <c r="D80" s="10">
        <f>25.2212 * CHOOSE(CONTROL!$C$9, $D$9, 100%, $F$9) + CHOOSE(CONTROL!$C$27, 0.0021, 0)</f>
        <v>25.223299999999998</v>
      </c>
      <c r="E80" s="10">
        <f>25.0845 * CHOOSE(CONTROL!$C$9, $D$9, 100%, $F$9) + CHOOSE(CONTROL!$C$27, 0.0021, 0)</f>
        <v>25.086599999999997</v>
      </c>
      <c r="F80" s="10">
        <f>25.0845 * CHOOSE(CONTROL!$C$9, $D$9, 100%, $F$9) + CHOOSE(CONTROL!$C$27, 0.0021, 0)</f>
        <v>25.086599999999997</v>
      </c>
      <c r="G80" s="10">
        <f>25.3559 * CHOOSE(CONTROL!$C$9, $D$9, 100%, $F$9) + CHOOSE(CONTROL!$C$27, 0.0021, 0)</f>
        <v>25.357999999999997</v>
      </c>
      <c r="H80" s="10">
        <f>25.2212 * CHOOSE(CONTROL!$C$9, $D$9, 100%, $F$9) + CHOOSE(CONTROL!$C$27, 0.0021, 0)</f>
        <v>25.223299999999998</v>
      </c>
      <c r="I80" s="10">
        <f>25.2212 * CHOOSE(CONTROL!$C$9, $D$9, 100%, $F$9) + CHOOSE(CONTROL!$C$27, 0.0021, 0)</f>
        <v>25.223299999999998</v>
      </c>
      <c r="J80" s="10">
        <f>25.2212 * CHOOSE(CONTROL!$C$9, $D$9, 100%, $F$9) + CHOOSE(CONTROL!$C$27, 0.0021, 0)</f>
        <v>25.223299999999998</v>
      </c>
      <c r="K80" s="10">
        <f>25.2212 * CHOOSE(CONTROL!$C$9, $D$9, 100%, $F$9) + CHOOSE(CONTROL!$C$27, 0.0021, 0)</f>
        <v>25.223299999999998</v>
      </c>
      <c r="L80" s="10"/>
    </row>
    <row r="81" spans="1:12" ht="15" x14ac:dyDescent="0.2">
      <c r="A81" s="16">
        <v>43374</v>
      </c>
      <c r="B81" s="10">
        <f>26.2428 * CHOOSE(CONTROL!$C$9, $D$9, 100%, $F$9) + CHOOSE(CONTROL!$C$27, 0.0021, 0)</f>
        <v>26.244899999999998</v>
      </c>
      <c r="C81" s="10">
        <f>25.8105 * CHOOSE(CONTROL!$C$9, $D$9, 100%, $F$9) + CHOOSE(CONTROL!$C$27, 0.0021, 0)</f>
        <v>25.8126</v>
      </c>
      <c r="D81" s="10">
        <f>25.8105 * CHOOSE(CONTROL!$C$9, $D$9, 100%, $F$9) + CHOOSE(CONTROL!$C$27, 0.0021, 0)</f>
        <v>25.8126</v>
      </c>
      <c r="E81" s="10">
        <f>25.6739 * CHOOSE(CONTROL!$C$9, $D$9, 100%, $F$9) + CHOOSE(CONTROL!$C$27, 0.0021, 0)</f>
        <v>25.675999999999998</v>
      </c>
      <c r="F81" s="10">
        <f>25.6739 * CHOOSE(CONTROL!$C$9, $D$9, 100%, $F$9) + CHOOSE(CONTROL!$C$27, 0.0021, 0)</f>
        <v>25.675999999999998</v>
      </c>
      <c r="G81" s="10">
        <f>25.9453 * CHOOSE(CONTROL!$C$9, $D$9, 100%, $F$9) + CHOOSE(CONTROL!$C$27, 0.0021, 0)</f>
        <v>25.947399999999998</v>
      </c>
      <c r="H81" s="10">
        <f>25.8105 * CHOOSE(CONTROL!$C$9, $D$9, 100%, $F$9) + CHOOSE(CONTROL!$C$27, 0.0021, 0)</f>
        <v>25.8126</v>
      </c>
      <c r="I81" s="10">
        <f>25.8105 * CHOOSE(CONTROL!$C$9, $D$9, 100%, $F$9) + CHOOSE(CONTROL!$C$27, 0.0021, 0)</f>
        <v>25.8126</v>
      </c>
      <c r="J81" s="10">
        <f>25.8105 * CHOOSE(CONTROL!$C$9, $D$9, 100%, $F$9) + CHOOSE(CONTROL!$C$27, 0.0021, 0)</f>
        <v>25.8126</v>
      </c>
      <c r="K81" s="10">
        <f>25.8105 * CHOOSE(CONTROL!$C$9, $D$9, 100%, $F$9) + CHOOSE(CONTROL!$C$27, 0.0021, 0)</f>
        <v>25.8126</v>
      </c>
      <c r="L81" s="10"/>
    </row>
    <row r="82" spans="1:12" ht="15" x14ac:dyDescent="0.2">
      <c r="A82" s="16">
        <v>43405</v>
      </c>
      <c r="B82" s="10">
        <f>26.2981 * CHOOSE(CONTROL!$C$9, $D$9, 100%, $F$9) + CHOOSE(CONTROL!$C$27, 0.0021, 0)</f>
        <v>26.3002</v>
      </c>
      <c r="C82" s="10">
        <f>25.8659 * CHOOSE(CONTROL!$C$9, $D$9, 100%, $F$9) + CHOOSE(CONTROL!$C$27, 0.0021, 0)</f>
        <v>25.867999999999999</v>
      </c>
      <c r="D82" s="10">
        <f>25.8659 * CHOOSE(CONTROL!$C$9, $D$9, 100%, $F$9) + CHOOSE(CONTROL!$C$27, 0.0021, 0)</f>
        <v>25.867999999999999</v>
      </c>
      <c r="E82" s="10">
        <f>25.7292 * CHOOSE(CONTROL!$C$9, $D$9, 100%, $F$9) + CHOOSE(CONTROL!$C$27, 0.0021, 0)</f>
        <v>25.731299999999997</v>
      </c>
      <c r="F82" s="10">
        <f>25.7292 * CHOOSE(CONTROL!$C$9, $D$9, 100%, $F$9) + CHOOSE(CONTROL!$C$27, 0.0021, 0)</f>
        <v>25.731299999999997</v>
      </c>
      <c r="G82" s="10">
        <f>26.0006 * CHOOSE(CONTROL!$C$9, $D$9, 100%, $F$9) + CHOOSE(CONTROL!$C$27, 0.0021, 0)</f>
        <v>26.002699999999997</v>
      </c>
      <c r="H82" s="10">
        <f>25.8659 * CHOOSE(CONTROL!$C$9, $D$9, 100%, $F$9) + CHOOSE(CONTROL!$C$27, 0.0021, 0)</f>
        <v>25.867999999999999</v>
      </c>
      <c r="I82" s="10">
        <f>25.8659 * CHOOSE(CONTROL!$C$9, $D$9, 100%, $F$9) + CHOOSE(CONTROL!$C$27, 0.0021, 0)</f>
        <v>25.867999999999999</v>
      </c>
      <c r="J82" s="10">
        <f>25.8659 * CHOOSE(CONTROL!$C$9, $D$9, 100%, $F$9) + CHOOSE(CONTROL!$C$27, 0.0021, 0)</f>
        <v>25.867999999999999</v>
      </c>
      <c r="K82" s="10">
        <f>25.8659 * CHOOSE(CONTROL!$C$9, $D$9, 100%, $F$9) + CHOOSE(CONTROL!$C$27, 0.0021, 0)</f>
        <v>25.867999999999999</v>
      </c>
      <c r="L82" s="10"/>
    </row>
    <row r="83" spans="1:12" ht="15" x14ac:dyDescent="0.2">
      <c r="A83" s="16">
        <v>43435</v>
      </c>
      <c r="B83" s="10">
        <f>25.8274 * CHOOSE(CONTROL!$C$9, $D$9, 100%, $F$9) + CHOOSE(CONTROL!$C$27, 0.0021, 0)</f>
        <v>25.829499999999999</v>
      </c>
      <c r="C83" s="10">
        <f>25.3952 * CHOOSE(CONTROL!$C$9, $D$9, 100%, $F$9) + CHOOSE(CONTROL!$C$27, 0.0021, 0)</f>
        <v>25.397299999999998</v>
      </c>
      <c r="D83" s="10">
        <f>25.3952 * CHOOSE(CONTROL!$C$9, $D$9, 100%, $F$9) + CHOOSE(CONTROL!$C$27, 0.0021, 0)</f>
        <v>25.397299999999998</v>
      </c>
      <c r="E83" s="10">
        <f>25.2585 * CHOOSE(CONTROL!$C$9, $D$9, 100%, $F$9) + CHOOSE(CONTROL!$C$27, 0.0021, 0)</f>
        <v>25.2606</v>
      </c>
      <c r="F83" s="10">
        <f>25.2585 * CHOOSE(CONTROL!$C$9, $D$9, 100%, $F$9) + CHOOSE(CONTROL!$C$27, 0.0021, 0)</f>
        <v>25.2606</v>
      </c>
      <c r="G83" s="10">
        <f>25.5299 * CHOOSE(CONTROL!$C$9, $D$9, 100%, $F$9) + CHOOSE(CONTROL!$C$27, 0.0021, 0)</f>
        <v>25.532</v>
      </c>
      <c r="H83" s="10">
        <f>25.3952 * CHOOSE(CONTROL!$C$9, $D$9, 100%, $F$9) + CHOOSE(CONTROL!$C$27, 0.0021, 0)</f>
        <v>25.397299999999998</v>
      </c>
      <c r="I83" s="10">
        <f>25.3952 * CHOOSE(CONTROL!$C$9, $D$9, 100%, $F$9) + CHOOSE(CONTROL!$C$27, 0.0021, 0)</f>
        <v>25.397299999999998</v>
      </c>
      <c r="J83" s="10">
        <f>25.3952 * CHOOSE(CONTROL!$C$9, $D$9, 100%, $F$9) + CHOOSE(CONTROL!$C$27, 0.0021, 0)</f>
        <v>25.397299999999998</v>
      </c>
      <c r="K83" s="10">
        <f>25.3952 * CHOOSE(CONTROL!$C$9, $D$9, 100%, $F$9) + CHOOSE(CONTROL!$C$27, 0.0021, 0)</f>
        <v>25.397299999999998</v>
      </c>
      <c r="L83" s="10"/>
    </row>
    <row r="84" spans="1:12" ht="15" x14ac:dyDescent="0.2">
      <c r="A84" s="16">
        <v>43466</v>
      </c>
      <c r="B84" s="10">
        <f>25.6348 * CHOOSE(CONTROL!$C$9, $D$9, 100%, $F$9) + CHOOSE(CONTROL!$C$27, 0.0021, 0)</f>
        <v>25.636899999999997</v>
      </c>
      <c r="C84" s="10">
        <f>25.2025 * CHOOSE(CONTROL!$C$9, $D$9, 100%, $F$9) + CHOOSE(CONTROL!$C$27, 0.0021, 0)</f>
        <v>25.204599999999999</v>
      </c>
      <c r="D84" s="10">
        <f>25.2025 * CHOOSE(CONTROL!$C$9, $D$9, 100%, $F$9) + CHOOSE(CONTROL!$C$27, 0.0021, 0)</f>
        <v>25.204599999999999</v>
      </c>
      <c r="E84" s="10">
        <f>25.0659 * CHOOSE(CONTROL!$C$9, $D$9, 100%, $F$9) + CHOOSE(CONTROL!$C$27, 0.0021, 0)</f>
        <v>25.067999999999998</v>
      </c>
      <c r="F84" s="10">
        <f>25.0659 * CHOOSE(CONTROL!$C$9, $D$9, 100%, $F$9) + CHOOSE(CONTROL!$C$27, 0.0021, 0)</f>
        <v>25.067999999999998</v>
      </c>
      <c r="G84" s="10">
        <f>25.3372 * CHOOSE(CONTROL!$C$9, $D$9, 100%, $F$9) + CHOOSE(CONTROL!$C$27, 0.0021, 0)</f>
        <v>25.339299999999998</v>
      </c>
      <c r="H84" s="10">
        <f>25.2025 * CHOOSE(CONTROL!$C$9, $D$9, 100%, $F$9) + CHOOSE(CONTROL!$C$27, 0.0021, 0)</f>
        <v>25.204599999999999</v>
      </c>
      <c r="I84" s="10">
        <f>25.2025 * CHOOSE(CONTROL!$C$9, $D$9, 100%, $F$9) + CHOOSE(CONTROL!$C$27, 0.0021, 0)</f>
        <v>25.204599999999999</v>
      </c>
      <c r="J84" s="10">
        <f>25.2025 * CHOOSE(CONTROL!$C$9, $D$9, 100%, $F$9) + CHOOSE(CONTROL!$C$27, 0.0021, 0)</f>
        <v>25.204599999999999</v>
      </c>
      <c r="K84" s="10">
        <f>25.2025 * CHOOSE(CONTROL!$C$9, $D$9, 100%, $F$9) + CHOOSE(CONTROL!$C$27, 0.0021, 0)</f>
        <v>25.204599999999999</v>
      </c>
      <c r="L84" s="10"/>
    </row>
    <row r="85" spans="1:12" ht="15" x14ac:dyDescent="0.2">
      <c r="A85" s="16">
        <v>43497</v>
      </c>
      <c r="B85" s="10">
        <f>24.9745 * CHOOSE(CONTROL!$C$9, $D$9, 100%, $F$9) + CHOOSE(CONTROL!$C$27, 0.0021, 0)</f>
        <v>24.976599999999998</v>
      </c>
      <c r="C85" s="10">
        <f>24.5423 * CHOOSE(CONTROL!$C$9, $D$9, 100%, $F$9) + CHOOSE(CONTROL!$C$27, 0.0021, 0)</f>
        <v>24.5444</v>
      </c>
      <c r="D85" s="10">
        <f>24.5423 * CHOOSE(CONTROL!$C$9, $D$9, 100%, $F$9) + CHOOSE(CONTROL!$C$27, 0.0021, 0)</f>
        <v>24.5444</v>
      </c>
      <c r="E85" s="10">
        <f>24.4056 * CHOOSE(CONTROL!$C$9, $D$9, 100%, $F$9) + CHOOSE(CONTROL!$C$27, 0.0021, 0)</f>
        <v>24.407699999999998</v>
      </c>
      <c r="F85" s="10">
        <f>24.4056 * CHOOSE(CONTROL!$C$9, $D$9, 100%, $F$9) + CHOOSE(CONTROL!$C$27, 0.0021, 0)</f>
        <v>24.407699999999998</v>
      </c>
      <c r="G85" s="10">
        <f>24.677 * CHOOSE(CONTROL!$C$9, $D$9, 100%, $F$9) + CHOOSE(CONTROL!$C$27, 0.0021, 0)</f>
        <v>24.679099999999998</v>
      </c>
      <c r="H85" s="10">
        <f>24.5423 * CHOOSE(CONTROL!$C$9, $D$9, 100%, $F$9) + CHOOSE(CONTROL!$C$27, 0.0021, 0)</f>
        <v>24.5444</v>
      </c>
      <c r="I85" s="10">
        <f>24.5423 * CHOOSE(CONTROL!$C$9, $D$9, 100%, $F$9) + CHOOSE(CONTROL!$C$27, 0.0021, 0)</f>
        <v>24.5444</v>
      </c>
      <c r="J85" s="10">
        <f>24.5423 * CHOOSE(CONTROL!$C$9, $D$9, 100%, $F$9) + CHOOSE(CONTROL!$C$27, 0.0021, 0)</f>
        <v>24.5444</v>
      </c>
      <c r="K85" s="10">
        <f>24.5423 * CHOOSE(CONTROL!$C$9, $D$9, 100%, $F$9) + CHOOSE(CONTROL!$C$27, 0.0021, 0)</f>
        <v>24.5444</v>
      </c>
      <c r="L85" s="10"/>
    </row>
    <row r="86" spans="1:12" ht="15" x14ac:dyDescent="0.2">
      <c r="A86" s="16">
        <v>43525</v>
      </c>
      <c r="B86" s="10">
        <f>24.702 * CHOOSE(CONTROL!$C$9, $D$9, 100%, $F$9) + CHOOSE(CONTROL!$C$27, 0.0021, 0)</f>
        <v>24.7041</v>
      </c>
      <c r="C86" s="10">
        <f>24.2697 * CHOOSE(CONTROL!$C$9, $D$9, 100%, $F$9) + CHOOSE(CONTROL!$C$27, 0.0021, 0)</f>
        <v>24.271799999999999</v>
      </c>
      <c r="D86" s="10">
        <f>24.2697 * CHOOSE(CONTROL!$C$9, $D$9, 100%, $F$9) + CHOOSE(CONTROL!$C$27, 0.0021, 0)</f>
        <v>24.271799999999999</v>
      </c>
      <c r="E86" s="10">
        <f>24.1331 * CHOOSE(CONTROL!$C$9, $D$9, 100%, $F$9) + CHOOSE(CONTROL!$C$27, 0.0021, 0)</f>
        <v>24.135199999999998</v>
      </c>
      <c r="F86" s="10">
        <f>24.1331 * CHOOSE(CONTROL!$C$9, $D$9, 100%, $F$9) + CHOOSE(CONTROL!$C$27, 0.0021, 0)</f>
        <v>24.135199999999998</v>
      </c>
      <c r="G86" s="10">
        <f>24.4044 * CHOOSE(CONTROL!$C$9, $D$9, 100%, $F$9) + CHOOSE(CONTROL!$C$27, 0.0021, 0)</f>
        <v>24.406499999999998</v>
      </c>
      <c r="H86" s="10">
        <f>24.2697 * CHOOSE(CONTROL!$C$9, $D$9, 100%, $F$9) + CHOOSE(CONTROL!$C$27, 0.0021, 0)</f>
        <v>24.271799999999999</v>
      </c>
      <c r="I86" s="10">
        <f>24.2697 * CHOOSE(CONTROL!$C$9, $D$9, 100%, $F$9) + CHOOSE(CONTROL!$C$27, 0.0021, 0)</f>
        <v>24.271799999999999</v>
      </c>
      <c r="J86" s="10">
        <f>24.2697 * CHOOSE(CONTROL!$C$9, $D$9, 100%, $F$9) + CHOOSE(CONTROL!$C$27, 0.0021, 0)</f>
        <v>24.271799999999999</v>
      </c>
      <c r="K86" s="10">
        <f>24.2697 * CHOOSE(CONTROL!$C$9, $D$9, 100%, $F$9) + CHOOSE(CONTROL!$C$27, 0.0021, 0)</f>
        <v>24.271799999999999</v>
      </c>
      <c r="L86" s="10"/>
    </row>
    <row r="87" spans="1:12" ht="15" x14ac:dyDescent="0.2">
      <c r="A87" s="16">
        <v>43556</v>
      </c>
      <c r="B87" s="10">
        <f>24.3765 * CHOOSE(CONTROL!$C$9, $D$9, 100%, $F$9) + CHOOSE(CONTROL!$C$27, 0.0021, 0)</f>
        <v>24.378599999999999</v>
      </c>
      <c r="C87" s="10">
        <f>23.9443 * CHOOSE(CONTROL!$C$9, $D$9, 100%, $F$9) + CHOOSE(CONTROL!$C$27, 0.0021, 0)</f>
        <v>23.946399999999997</v>
      </c>
      <c r="D87" s="10">
        <f>23.9443 * CHOOSE(CONTROL!$C$9, $D$9, 100%, $F$9) + CHOOSE(CONTROL!$C$27, 0.0021, 0)</f>
        <v>23.946399999999997</v>
      </c>
      <c r="E87" s="10">
        <f>23.8076 * CHOOSE(CONTROL!$C$9, $D$9, 100%, $F$9) + CHOOSE(CONTROL!$C$27, 0.0021, 0)</f>
        <v>23.809699999999999</v>
      </c>
      <c r="F87" s="10">
        <f>23.8076 * CHOOSE(CONTROL!$C$9, $D$9, 100%, $F$9) + CHOOSE(CONTROL!$C$27, 0.0021, 0)</f>
        <v>23.809699999999999</v>
      </c>
      <c r="G87" s="10">
        <f>24.079 * CHOOSE(CONTROL!$C$9, $D$9, 100%, $F$9) + CHOOSE(CONTROL!$C$27, 0.0021, 0)</f>
        <v>24.081099999999999</v>
      </c>
      <c r="H87" s="10">
        <f>23.9443 * CHOOSE(CONTROL!$C$9, $D$9, 100%, $F$9) + CHOOSE(CONTROL!$C$27, 0.0021, 0)</f>
        <v>23.946399999999997</v>
      </c>
      <c r="I87" s="10">
        <f>23.9443 * CHOOSE(CONTROL!$C$9, $D$9, 100%, $F$9) + CHOOSE(CONTROL!$C$27, 0.0021, 0)</f>
        <v>23.946399999999997</v>
      </c>
      <c r="J87" s="10">
        <f>23.9443 * CHOOSE(CONTROL!$C$9, $D$9, 100%, $F$9) + CHOOSE(CONTROL!$C$27, 0.0021, 0)</f>
        <v>23.946399999999997</v>
      </c>
      <c r="K87" s="10">
        <f>23.9443 * CHOOSE(CONTROL!$C$9, $D$9, 100%, $F$9) + CHOOSE(CONTROL!$C$27, 0.0021, 0)</f>
        <v>23.946399999999997</v>
      </c>
      <c r="L87" s="10"/>
    </row>
    <row r="88" spans="1:12" ht="15" x14ac:dyDescent="0.2">
      <c r="A88" s="16">
        <v>43586</v>
      </c>
      <c r="B88" s="10">
        <f>24.8403 * CHOOSE(CONTROL!$C$9, $D$9, 100%, $F$9) + CHOOSE(CONTROL!$C$27, 0.0021, 0)</f>
        <v>24.842399999999998</v>
      </c>
      <c r="C88" s="10">
        <f>24.4081 * CHOOSE(CONTROL!$C$9, $D$9, 100%, $F$9) + CHOOSE(CONTROL!$C$27, 0.0021, 0)</f>
        <v>24.4102</v>
      </c>
      <c r="D88" s="10">
        <f>24.4081 * CHOOSE(CONTROL!$C$9, $D$9, 100%, $F$9) + CHOOSE(CONTROL!$C$27, 0.0021, 0)</f>
        <v>24.4102</v>
      </c>
      <c r="E88" s="10">
        <f>24.2714 * CHOOSE(CONTROL!$C$9, $D$9, 100%, $F$9) + CHOOSE(CONTROL!$C$27, 0.0021, 0)</f>
        <v>24.273499999999999</v>
      </c>
      <c r="F88" s="10">
        <f>24.2714 * CHOOSE(CONTROL!$C$9, $D$9, 100%, $F$9) + CHOOSE(CONTROL!$C$27, 0.0021, 0)</f>
        <v>24.273499999999999</v>
      </c>
      <c r="G88" s="10">
        <f>24.5428 * CHOOSE(CONTROL!$C$9, $D$9, 100%, $F$9) + CHOOSE(CONTROL!$C$27, 0.0021, 0)</f>
        <v>24.544899999999998</v>
      </c>
      <c r="H88" s="10">
        <f>24.4081 * CHOOSE(CONTROL!$C$9, $D$9, 100%, $F$9) + CHOOSE(CONTROL!$C$27, 0.0021, 0)</f>
        <v>24.4102</v>
      </c>
      <c r="I88" s="10">
        <f>24.4081 * CHOOSE(CONTROL!$C$9, $D$9, 100%, $F$9) + CHOOSE(CONTROL!$C$27, 0.0021, 0)</f>
        <v>24.4102</v>
      </c>
      <c r="J88" s="10">
        <f>24.4081 * CHOOSE(CONTROL!$C$9, $D$9, 100%, $F$9) + CHOOSE(CONTROL!$C$27, 0.0021, 0)</f>
        <v>24.4102</v>
      </c>
      <c r="K88" s="10">
        <f>24.4081 * CHOOSE(CONTROL!$C$9, $D$9, 100%, $F$9) + CHOOSE(CONTROL!$C$27, 0.0021, 0)</f>
        <v>24.4102</v>
      </c>
      <c r="L88" s="10"/>
    </row>
    <row r="89" spans="1:12" ht="15" x14ac:dyDescent="0.2">
      <c r="A89" s="16">
        <v>43617</v>
      </c>
      <c r="B89" s="10">
        <f>25.1181 * CHOOSE(CONTROL!$C$9, $D$9, 100%, $F$9) + CHOOSE(CONTROL!$C$27, 0.0021, 0)</f>
        <v>25.120199999999997</v>
      </c>
      <c r="C89" s="10">
        <f>24.6859 * CHOOSE(CONTROL!$C$9, $D$9, 100%, $F$9) + CHOOSE(CONTROL!$C$27, 0.0021, 0)</f>
        <v>24.687999999999999</v>
      </c>
      <c r="D89" s="10">
        <f>24.6859 * CHOOSE(CONTROL!$C$9, $D$9, 100%, $F$9) + CHOOSE(CONTROL!$C$27, 0.0021, 0)</f>
        <v>24.687999999999999</v>
      </c>
      <c r="E89" s="10">
        <f>24.5492 * CHOOSE(CONTROL!$C$9, $D$9, 100%, $F$9) + CHOOSE(CONTROL!$C$27, 0.0021, 0)</f>
        <v>24.551299999999998</v>
      </c>
      <c r="F89" s="10">
        <f>24.5492 * CHOOSE(CONTROL!$C$9, $D$9, 100%, $F$9) + CHOOSE(CONTROL!$C$27, 0.0021, 0)</f>
        <v>24.551299999999998</v>
      </c>
      <c r="G89" s="10">
        <f>24.8206 * CHOOSE(CONTROL!$C$9, $D$9, 100%, $F$9) + CHOOSE(CONTROL!$C$27, 0.0021, 0)</f>
        <v>24.822699999999998</v>
      </c>
      <c r="H89" s="10">
        <f>24.6859 * CHOOSE(CONTROL!$C$9, $D$9, 100%, $F$9) + CHOOSE(CONTROL!$C$27, 0.0021, 0)</f>
        <v>24.687999999999999</v>
      </c>
      <c r="I89" s="10">
        <f>24.6859 * CHOOSE(CONTROL!$C$9, $D$9, 100%, $F$9) + CHOOSE(CONTROL!$C$27, 0.0021, 0)</f>
        <v>24.687999999999999</v>
      </c>
      <c r="J89" s="10">
        <f>24.6859 * CHOOSE(CONTROL!$C$9, $D$9, 100%, $F$9) + CHOOSE(CONTROL!$C$27, 0.0021, 0)</f>
        <v>24.687999999999999</v>
      </c>
      <c r="K89" s="10">
        <f>24.6859 * CHOOSE(CONTROL!$C$9, $D$9, 100%, $F$9) + CHOOSE(CONTROL!$C$27, 0.0021, 0)</f>
        <v>24.687999999999999</v>
      </c>
      <c r="L89" s="10"/>
    </row>
    <row r="90" spans="1:12" ht="15" x14ac:dyDescent="0.2">
      <c r="A90" s="16">
        <v>43647</v>
      </c>
      <c r="B90" s="10">
        <f>25.5763 * CHOOSE(CONTROL!$C$9, $D$9, 100%, $F$9) + CHOOSE(CONTROL!$C$27, 0.0021, 0)</f>
        <v>25.578399999999998</v>
      </c>
      <c r="C90" s="10">
        <f>25.1441 * CHOOSE(CONTROL!$C$9, $D$9, 100%, $F$9) + CHOOSE(CONTROL!$C$27, 0.0021, 0)</f>
        <v>25.1462</v>
      </c>
      <c r="D90" s="10">
        <f>25.1441 * CHOOSE(CONTROL!$C$9, $D$9, 100%, $F$9) + CHOOSE(CONTROL!$C$27, 0.0021, 0)</f>
        <v>25.1462</v>
      </c>
      <c r="E90" s="10">
        <f>25.0074 * CHOOSE(CONTROL!$C$9, $D$9, 100%, $F$9) + CHOOSE(CONTROL!$C$27, 0.0021, 0)</f>
        <v>25.009499999999999</v>
      </c>
      <c r="F90" s="10">
        <f>25.0074 * CHOOSE(CONTROL!$C$9, $D$9, 100%, $F$9) + CHOOSE(CONTROL!$C$27, 0.0021, 0)</f>
        <v>25.009499999999999</v>
      </c>
      <c r="G90" s="10">
        <f>25.2788 * CHOOSE(CONTROL!$C$9, $D$9, 100%, $F$9) + CHOOSE(CONTROL!$C$27, 0.0021, 0)</f>
        <v>25.280899999999999</v>
      </c>
      <c r="H90" s="10">
        <f>25.1441 * CHOOSE(CONTROL!$C$9, $D$9, 100%, $F$9) + CHOOSE(CONTROL!$C$27, 0.0021, 0)</f>
        <v>25.1462</v>
      </c>
      <c r="I90" s="10">
        <f>25.1441 * CHOOSE(CONTROL!$C$9, $D$9, 100%, $F$9) + CHOOSE(CONTROL!$C$27, 0.0021, 0)</f>
        <v>25.1462</v>
      </c>
      <c r="J90" s="10">
        <f>25.1441 * CHOOSE(CONTROL!$C$9, $D$9, 100%, $F$9) + CHOOSE(CONTROL!$C$27, 0.0021, 0)</f>
        <v>25.1462</v>
      </c>
      <c r="K90" s="10">
        <f>25.1441 * CHOOSE(CONTROL!$C$9, $D$9, 100%, $F$9) + CHOOSE(CONTROL!$C$27, 0.0021, 0)</f>
        <v>25.1462</v>
      </c>
      <c r="L90" s="10"/>
    </row>
    <row r="91" spans="1:12" ht="15" x14ac:dyDescent="0.2">
      <c r="A91" s="16">
        <v>43678</v>
      </c>
      <c r="B91" s="10">
        <f>25.7162 * CHOOSE(CONTROL!$C$9, $D$9, 100%, $F$9) + CHOOSE(CONTROL!$C$27, 0.0021, 0)</f>
        <v>25.718299999999999</v>
      </c>
      <c r="C91" s="10">
        <f>25.284 * CHOOSE(CONTROL!$C$9, $D$9, 100%, $F$9) + CHOOSE(CONTROL!$C$27, 0.0021, 0)</f>
        <v>25.286099999999998</v>
      </c>
      <c r="D91" s="10">
        <f>25.284 * CHOOSE(CONTROL!$C$9, $D$9, 100%, $F$9) + CHOOSE(CONTROL!$C$27, 0.0021, 0)</f>
        <v>25.286099999999998</v>
      </c>
      <c r="E91" s="10">
        <f>25.1473 * CHOOSE(CONTROL!$C$9, $D$9, 100%, $F$9) + CHOOSE(CONTROL!$C$27, 0.0021, 0)</f>
        <v>25.1494</v>
      </c>
      <c r="F91" s="10">
        <f>25.1473 * CHOOSE(CONTROL!$C$9, $D$9, 100%, $F$9) + CHOOSE(CONTROL!$C$27, 0.0021, 0)</f>
        <v>25.1494</v>
      </c>
      <c r="G91" s="10">
        <f>25.4187 * CHOOSE(CONTROL!$C$9, $D$9, 100%, $F$9) + CHOOSE(CONTROL!$C$27, 0.0021, 0)</f>
        <v>25.4208</v>
      </c>
      <c r="H91" s="10">
        <f>25.284 * CHOOSE(CONTROL!$C$9, $D$9, 100%, $F$9) + CHOOSE(CONTROL!$C$27, 0.0021, 0)</f>
        <v>25.286099999999998</v>
      </c>
      <c r="I91" s="10">
        <f>25.284 * CHOOSE(CONTROL!$C$9, $D$9, 100%, $F$9) + CHOOSE(CONTROL!$C$27, 0.0021, 0)</f>
        <v>25.286099999999998</v>
      </c>
      <c r="J91" s="10">
        <f>25.284 * CHOOSE(CONTROL!$C$9, $D$9, 100%, $F$9) + CHOOSE(CONTROL!$C$27, 0.0021, 0)</f>
        <v>25.286099999999998</v>
      </c>
      <c r="K91" s="10">
        <f>25.284 * CHOOSE(CONTROL!$C$9, $D$9, 100%, $F$9) + CHOOSE(CONTROL!$C$27, 0.0021, 0)</f>
        <v>25.286099999999998</v>
      </c>
      <c r="L91" s="10"/>
    </row>
    <row r="92" spans="1:12" ht="15" x14ac:dyDescent="0.2">
      <c r="A92" s="16">
        <v>43709</v>
      </c>
      <c r="B92" s="10">
        <f>26.1925 * CHOOSE(CONTROL!$C$9, $D$9, 100%, $F$9) + CHOOSE(CONTROL!$C$27, 0.0021, 0)</f>
        <v>26.194599999999998</v>
      </c>
      <c r="C92" s="10">
        <f>25.7603 * CHOOSE(CONTROL!$C$9, $D$9, 100%, $F$9) + CHOOSE(CONTROL!$C$27, 0.0021, 0)</f>
        <v>25.7624</v>
      </c>
      <c r="D92" s="10">
        <f>25.7603 * CHOOSE(CONTROL!$C$9, $D$9, 100%, $F$9) + CHOOSE(CONTROL!$C$27, 0.0021, 0)</f>
        <v>25.7624</v>
      </c>
      <c r="E92" s="10">
        <f>25.6236 * CHOOSE(CONTROL!$C$9, $D$9, 100%, $F$9) + CHOOSE(CONTROL!$C$27, 0.0021, 0)</f>
        <v>25.625699999999998</v>
      </c>
      <c r="F92" s="10">
        <f>25.6236 * CHOOSE(CONTROL!$C$9, $D$9, 100%, $F$9) + CHOOSE(CONTROL!$C$27, 0.0021, 0)</f>
        <v>25.625699999999998</v>
      </c>
      <c r="G92" s="10">
        <f>25.895 * CHOOSE(CONTROL!$C$9, $D$9, 100%, $F$9) + CHOOSE(CONTROL!$C$27, 0.0021, 0)</f>
        <v>25.897099999999998</v>
      </c>
      <c r="H92" s="10">
        <f>25.7603 * CHOOSE(CONTROL!$C$9, $D$9, 100%, $F$9) + CHOOSE(CONTROL!$C$27, 0.0021, 0)</f>
        <v>25.7624</v>
      </c>
      <c r="I92" s="10">
        <f>25.7603 * CHOOSE(CONTROL!$C$9, $D$9, 100%, $F$9) + CHOOSE(CONTROL!$C$27, 0.0021, 0)</f>
        <v>25.7624</v>
      </c>
      <c r="J92" s="10">
        <f>25.7603 * CHOOSE(CONTROL!$C$9, $D$9, 100%, $F$9) + CHOOSE(CONTROL!$C$27, 0.0021, 0)</f>
        <v>25.7624</v>
      </c>
      <c r="K92" s="10">
        <f>25.7603 * CHOOSE(CONTROL!$C$9, $D$9, 100%, $F$9) + CHOOSE(CONTROL!$C$27, 0.0021, 0)</f>
        <v>25.7624</v>
      </c>
      <c r="L92" s="10"/>
    </row>
    <row r="93" spans="1:12" ht="15" x14ac:dyDescent="0.2">
      <c r="A93" s="16">
        <v>43739</v>
      </c>
      <c r="B93" s="10">
        <f>26.7955 * CHOOSE(CONTROL!$C$9, $D$9, 100%, $F$9) + CHOOSE(CONTROL!$C$27, 0.0021, 0)</f>
        <v>26.797599999999999</v>
      </c>
      <c r="C93" s="10">
        <f>26.3632 * CHOOSE(CONTROL!$C$9, $D$9, 100%, $F$9) + CHOOSE(CONTROL!$C$27, 0.0021, 0)</f>
        <v>26.365299999999998</v>
      </c>
      <c r="D93" s="10">
        <f>26.3632 * CHOOSE(CONTROL!$C$9, $D$9, 100%, $F$9) + CHOOSE(CONTROL!$C$27, 0.0021, 0)</f>
        <v>26.365299999999998</v>
      </c>
      <c r="E93" s="10">
        <f>26.2266 * CHOOSE(CONTROL!$C$9, $D$9, 100%, $F$9) + CHOOSE(CONTROL!$C$27, 0.0021, 0)</f>
        <v>26.2287</v>
      </c>
      <c r="F93" s="10">
        <f>26.2266 * CHOOSE(CONTROL!$C$9, $D$9, 100%, $F$9) + CHOOSE(CONTROL!$C$27, 0.0021, 0)</f>
        <v>26.2287</v>
      </c>
      <c r="G93" s="10">
        <f>26.498 * CHOOSE(CONTROL!$C$9, $D$9, 100%, $F$9) + CHOOSE(CONTROL!$C$27, 0.0021, 0)</f>
        <v>26.5001</v>
      </c>
      <c r="H93" s="10">
        <f>26.3632 * CHOOSE(CONTROL!$C$9, $D$9, 100%, $F$9) + CHOOSE(CONTROL!$C$27, 0.0021, 0)</f>
        <v>26.365299999999998</v>
      </c>
      <c r="I93" s="10">
        <f>26.3632 * CHOOSE(CONTROL!$C$9, $D$9, 100%, $F$9) + CHOOSE(CONTROL!$C$27, 0.0021, 0)</f>
        <v>26.365299999999998</v>
      </c>
      <c r="J93" s="10">
        <f>26.3632 * CHOOSE(CONTROL!$C$9, $D$9, 100%, $F$9) + CHOOSE(CONTROL!$C$27, 0.0021, 0)</f>
        <v>26.365299999999998</v>
      </c>
      <c r="K93" s="10">
        <f>26.3632 * CHOOSE(CONTROL!$C$9, $D$9, 100%, $F$9) + CHOOSE(CONTROL!$C$27, 0.0021, 0)</f>
        <v>26.365299999999998</v>
      </c>
      <c r="L93" s="10"/>
    </row>
    <row r="94" spans="1:12" ht="15" x14ac:dyDescent="0.2">
      <c r="A94" s="16">
        <v>43770</v>
      </c>
      <c r="B94" s="10">
        <f>26.8521 * CHOOSE(CONTROL!$C$9, $D$9, 100%, $F$9) + CHOOSE(CONTROL!$C$27, 0.0021, 0)</f>
        <v>26.854199999999999</v>
      </c>
      <c r="C94" s="10">
        <f>26.4198 * CHOOSE(CONTROL!$C$9, $D$9, 100%, $F$9) + CHOOSE(CONTROL!$C$27, 0.0021, 0)</f>
        <v>26.421899999999997</v>
      </c>
      <c r="D94" s="10">
        <f>26.4198 * CHOOSE(CONTROL!$C$9, $D$9, 100%, $F$9) + CHOOSE(CONTROL!$C$27, 0.0021, 0)</f>
        <v>26.421899999999997</v>
      </c>
      <c r="E94" s="10">
        <f>26.2832 * CHOOSE(CONTROL!$C$9, $D$9, 100%, $F$9) + CHOOSE(CONTROL!$C$27, 0.0021, 0)</f>
        <v>26.285299999999999</v>
      </c>
      <c r="F94" s="10">
        <f>26.2832 * CHOOSE(CONTROL!$C$9, $D$9, 100%, $F$9) + CHOOSE(CONTROL!$C$27, 0.0021, 0)</f>
        <v>26.285299999999999</v>
      </c>
      <c r="G94" s="10">
        <f>26.5546 * CHOOSE(CONTROL!$C$9, $D$9, 100%, $F$9) + CHOOSE(CONTROL!$C$27, 0.0021, 0)</f>
        <v>26.556699999999999</v>
      </c>
      <c r="H94" s="10">
        <f>26.4198 * CHOOSE(CONTROL!$C$9, $D$9, 100%, $F$9) + CHOOSE(CONTROL!$C$27, 0.0021, 0)</f>
        <v>26.421899999999997</v>
      </c>
      <c r="I94" s="10">
        <f>26.4198 * CHOOSE(CONTROL!$C$9, $D$9, 100%, $F$9) + CHOOSE(CONTROL!$C$27, 0.0021, 0)</f>
        <v>26.421899999999997</v>
      </c>
      <c r="J94" s="10">
        <f>26.4198 * CHOOSE(CONTROL!$C$9, $D$9, 100%, $F$9) + CHOOSE(CONTROL!$C$27, 0.0021, 0)</f>
        <v>26.421899999999997</v>
      </c>
      <c r="K94" s="10">
        <f>26.4198 * CHOOSE(CONTROL!$C$9, $D$9, 100%, $F$9) + CHOOSE(CONTROL!$C$27, 0.0021, 0)</f>
        <v>26.421899999999997</v>
      </c>
      <c r="L94" s="10"/>
    </row>
    <row r="95" spans="1:12" ht="15" x14ac:dyDescent="0.2">
      <c r="A95" s="16">
        <v>43800</v>
      </c>
      <c r="B95" s="10">
        <f>26.3705 * CHOOSE(CONTROL!$C$9, $D$9, 100%, $F$9) + CHOOSE(CONTROL!$C$27, 0.0021, 0)</f>
        <v>26.372599999999998</v>
      </c>
      <c r="C95" s="10">
        <f>25.9383 * CHOOSE(CONTROL!$C$9, $D$9, 100%, $F$9) + CHOOSE(CONTROL!$C$27, 0.0021, 0)</f>
        <v>25.9404</v>
      </c>
      <c r="D95" s="10">
        <f>25.9383 * CHOOSE(CONTROL!$C$9, $D$9, 100%, $F$9) + CHOOSE(CONTROL!$C$27, 0.0021, 0)</f>
        <v>25.9404</v>
      </c>
      <c r="E95" s="10">
        <f>25.8016 * CHOOSE(CONTROL!$C$9, $D$9, 100%, $F$9) + CHOOSE(CONTROL!$C$27, 0.0021, 0)</f>
        <v>25.803699999999999</v>
      </c>
      <c r="F95" s="10">
        <f>25.8016 * CHOOSE(CONTROL!$C$9, $D$9, 100%, $F$9) + CHOOSE(CONTROL!$C$27, 0.0021, 0)</f>
        <v>25.803699999999999</v>
      </c>
      <c r="G95" s="10">
        <f>26.073 * CHOOSE(CONTROL!$C$9, $D$9, 100%, $F$9) + CHOOSE(CONTROL!$C$27, 0.0021, 0)</f>
        <v>26.075099999999999</v>
      </c>
      <c r="H95" s="10">
        <f>25.9383 * CHOOSE(CONTROL!$C$9, $D$9, 100%, $F$9) + CHOOSE(CONTROL!$C$27, 0.0021, 0)</f>
        <v>25.9404</v>
      </c>
      <c r="I95" s="10">
        <f>25.9383 * CHOOSE(CONTROL!$C$9, $D$9, 100%, $F$9) + CHOOSE(CONTROL!$C$27, 0.0021, 0)</f>
        <v>25.9404</v>
      </c>
      <c r="J95" s="10">
        <f>25.9383 * CHOOSE(CONTROL!$C$9, $D$9, 100%, $F$9) + CHOOSE(CONTROL!$C$27, 0.0021, 0)</f>
        <v>25.9404</v>
      </c>
      <c r="K95" s="10">
        <f>25.9383 * CHOOSE(CONTROL!$C$9, $D$9, 100%, $F$9) + CHOOSE(CONTROL!$C$27, 0.0021, 0)</f>
        <v>25.9404</v>
      </c>
      <c r="L95" s="10"/>
    </row>
    <row r="96" spans="1:12" ht="15" x14ac:dyDescent="0.2">
      <c r="A96" s="16">
        <v>43831</v>
      </c>
      <c r="B96" s="10">
        <f>26.3346 * CHOOSE(CONTROL!$C$9, $D$9, 100%, $F$9) + CHOOSE(CONTROL!$C$27, 0.0021, 0)</f>
        <v>26.336699999999997</v>
      </c>
      <c r="C96" s="10">
        <f>25.9024 * CHOOSE(CONTROL!$C$9, $D$9, 100%, $F$9) + CHOOSE(CONTROL!$C$27, 0.0021, 0)</f>
        <v>25.904499999999999</v>
      </c>
      <c r="D96" s="10">
        <f>25.9024 * CHOOSE(CONTROL!$C$9, $D$9, 100%, $F$9) + CHOOSE(CONTROL!$C$27, 0.0021, 0)</f>
        <v>25.904499999999999</v>
      </c>
      <c r="E96" s="10">
        <f>25.7657 * CHOOSE(CONTROL!$C$9, $D$9, 100%, $F$9) + CHOOSE(CONTROL!$C$27, 0.0021, 0)</f>
        <v>25.767799999999998</v>
      </c>
      <c r="F96" s="10">
        <f>25.7657 * CHOOSE(CONTROL!$C$9, $D$9, 100%, $F$9) + CHOOSE(CONTROL!$C$27, 0.0021, 0)</f>
        <v>25.767799999999998</v>
      </c>
      <c r="G96" s="10">
        <f>26.0371 * CHOOSE(CONTROL!$C$9, $D$9, 100%, $F$9) + CHOOSE(CONTROL!$C$27, 0.0021, 0)</f>
        <v>26.039199999999997</v>
      </c>
      <c r="H96" s="10">
        <f>25.9024 * CHOOSE(CONTROL!$C$9, $D$9, 100%, $F$9) + CHOOSE(CONTROL!$C$27, 0.0021, 0)</f>
        <v>25.904499999999999</v>
      </c>
      <c r="I96" s="10">
        <f>25.9024 * CHOOSE(CONTROL!$C$9, $D$9, 100%, $F$9) + CHOOSE(CONTROL!$C$27, 0.0021, 0)</f>
        <v>25.904499999999999</v>
      </c>
      <c r="J96" s="10">
        <f>25.9024 * CHOOSE(CONTROL!$C$9, $D$9, 100%, $F$9) + CHOOSE(CONTROL!$C$27, 0.0021, 0)</f>
        <v>25.904499999999999</v>
      </c>
      <c r="K96" s="10">
        <f>25.9024 * CHOOSE(CONTROL!$C$9, $D$9, 100%, $F$9) + CHOOSE(CONTROL!$C$27, 0.0021, 0)</f>
        <v>25.904499999999999</v>
      </c>
      <c r="L96" s="10"/>
    </row>
    <row r="97" spans="1:12" ht="15" x14ac:dyDescent="0.2">
      <c r="A97" s="16">
        <v>43862</v>
      </c>
      <c r="B97" s="10">
        <f>25.6546 * CHOOSE(CONTROL!$C$9, $D$9, 100%, $F$9) + CHOOSE(CONTROL!$C$27, 0.0021, 0)</f>
        <v>25.656699999999997</v>
      </c>
      <c r="C97" s="10">
        <f>25.2223 * CHOOSE(CONTROL!$C$9, $D$9, 100%, $F$9) + CHOOSE(CONTROL!$C$27, 0.0021, 0)</f>
        <v>25.224399999999999</v>
      </c>
      <c r="D97" s="10">
        <f>25.2223 * CHOOSE(CONTROL!$C$9, $D$9, 100%, $F$9) + CHOOSE(CONTROL!$C$27, 0.0021, 0)</f>
        <v>25.224399999999999</v>
      </c>
      <c r="E97" s="10">
        <f>25.0856 * CHOOSE(CONTROL!$C$9, $D$9, 100%, $F$9) + CHOOSE(CONTROL!$C$27, 0.0021, 0)</f>
        <v>25.087699999999998</v>
      </c>
      <c r="F97" s="10">
        <f>25.0856 * CHOOSE(CONTROL!$C$9, $D$9, 100%, $F$9) + CHOOSE(CONTROL!$C$27, 0.0021, 0)</f>
        <v>25.087699999999998</v>
      </c>
      <c r="G97" s="10">
        <f>25.357 * CHOOSE(CONTROL!$C$9, $D$9, 100%, $F$9) + CHOOSE(CONTROL!$C$27, 0.0021, 0)</f>
        <v>25.359099999999998</v>
      </c>
      <c r="H97" s="10">
        <f>25.2223 * CHOOSE(CONTROL!$C$9, $D$9, 100%, $F$9) + CHOOSE(CONTROL!$C$27, 0.0021, 0)</f>
        <v>25.224399999999999</v>
      </c>
      <c r="I97" s="10">
        <f>25.2223 * CHOOSE(CONTROL!$C$9, $D$9, 100%, $F$9) + CHOOSE(CONTROL!$C$27, 0.0021, 0)</f>
        <v>25.224399999999999</v>
      </c>
      <c r="J97" s="10">
        <f>25.2223 * CHOOSE(CONTROL!$C$9, $D$9, 100%, $F$9) + CHOOSE(CONTROL!$C$27, 0.0021, 0)</f>
        <v>25.224399999999999</v>
      </c>
      <c r="K97" s="10">
        <f>25.2223 * CHOOSE(CONTROL!$C$9, $D$9, 100%, $F$9) + CHOOSE(CONTROL!$C$27, 0.0021, 0)</f>
        <v>25.224399999999999</v>
      </c>
      <c r="L97" s="10"/>
    </row>
    <row r="98" spans="1:12" ht="15" x14ac:dyDescent="0.2">
      <c r="A98" s="16">
        <v>43891</v>
      </c>
      <c r="B98" s="10">
        <f>25.3738 * CHOOSE(CONTROL!$C$9, $D$9, 100%, $F$9) + CHOOSE(CONTROL!$C$27, 0.0021, 0)</f>
        <v>25.375899999999998</v>
      </c>
      <c r="C98" s="10">
        <f>24.9416 * CHOOSE(CONTROL!$C$9, $D$9, 100%, $F$9) + CHOOSE(CONTROL!$C$27, 0.0021, 0)</f>
        <v>24.9437</v>
      </c>
      <c r="D98" s="10">
        <f>24.9416 * CHOOSE(CONTROL!$C$9, $D$9, 100%, $F$9) + CHOOSE(CONTROL!$C$27, 0.0021, 0)</f>
        <v>24.9437</v>
      </c>
      <c r="E98" s="10">
        <f>24.8049 * CHOOSE(CONTROL!$C$9, $D$9, 100%, $F$9) + CHOOSE(CONTROL!$C$27, 0.0021, 0)</f>
        <v>24.806999999999999</v>
      </c>
      <c r="F98" s="10">
        <f>24.8049 * CHOOSE(CONTROL!$C$9, $D$9, 100%, $F$9) + CHOOSE(CONTROL!$C$27, 0.0021, 0)</f>
        <v>24.806999999999999</v>
      </c>
      <c r="G98" s="10">
        <f>25.0763 * CHOOSE(CONTROL!$C$9, $D$9, 100%, $F$9) + CHOOSE(CONTROL!$C$27, 0.0021, 0)</f>
        <v>25.078399999999998</v>
      </c>
      <c r="H98" s="10">
        <f>24.9416 * CHOOSE(CONTROL!$C$9, $D$9, 100%, $F$9) + CHOOSE(CONTROL!$C$27, 0.0021, 0)</f>
        <v>24.9437</v>
      </c>
      <c r="I98" s="10">
        <f>24.9416 * CHOOSE(CONTROL!$C$9, $D$9, 100%, $F$9) + CHOOSE(CONTROL!$C$27, 0.0021, 0)</f>
        <v>24.9437</v>
      </c>
      <c r="J98" s="10">
        <f>24.9416 * CHOOSE(CONTROL!$C$9, $D$9, 100%, $F$9) + CHOOSE(CONTROL!$C$27, 0.0021, 0)</f>
        <v>24.9437</v>
      </c>
      <c r="K98" s="10">
        <f>24.9416 * CHOOSE(CONTROL!$C$9, $D$9, 100%, $F$9) + CHOOSE(CONTROL!$C$27, 0.0021, 0)</f>
        <v>24.9437</v>
      </c>
      <c r="L98" s="10"/>
    </row>
    <row r="99" spans="1:12" ht="15" x14ac:dyDescent="0.2">
      <c r="A99" s="16">
        <v>43922</v>
      </c>
      <c r="B99" s="10">
        <f>25.0386 * CHOOSE(CONTROL!$C$9, $D$9, 100%, $F$9) + CHOOSE(CONTROL!$C$27, 0.0021, 0)</f>
        <v>25.040699999999998</v>
      </c>
      <c r="C99" s="10">
        <f>24.6064 * CHOOSE(CONTROL!$C$9, $D$9, 100%, $F$9) + CHOOSE(CONTROL!$C$27, 0.0021, 0)</f>
        <v>24.608499999999999</v>
      </c>
      <c r="D99" s="10">
        <f>24.6064 * CHOOSE(CONTROL!$C$9, $D$9, 100%, $F$9) + CHOOSE(CONTROL!$C$27, 0.0021, 0)</f>
        <v>24.608499999999999</v>
      </c>
      <c r="E99" s="10">
        <f>24.4697 * CHOOSE(CONTROL!$C$9, $D$9, 100%, $F$9) + CHOOSE(CONTROL!$C$27, 0.0021, 0)</f>
        <v>24.471799999999998</v>
      </c>
      <c r="F99" s="10">
        <f>24.4697 * CHOOSE(CONTROL!$C$9, $D$9, 100%, $F$9) + CHOOSE(CONTROL!$C$27, 0.0021, 0)</f>
        <v>24.471799999999998</v>
      </c>
      <c r="G99" s="10">
        <f>24.7411 * CHOOSE(CONTROL!$C$9, $D$9, 100%, $F$9) + CHOOSE(CONTROL!$C$27, 0.0021, 0)</f>
        <v>24.743199999999998</v>
      </c>
      <c r="H99" s="10">
        <f>24.6064 * CHOOSE(CONTROL!$C$9, $D$9, 100%, $F$9) + CHOOSE(CONTROL!$C$27, 0.0021, 0)</f>
        <v>24.608499999999999</v>
      </c>
      <c r="I99" s="10">
        <f>24.6064 * CHOOSE(CONTROL!$C$9, $D$9, 100%, $F$9) + CHOOSE(CONTROL!$C$27, 0.0021, 0)</f>
        <v>24.608499999999999</v>
      </c>
      <c r="J99" s="10">
        <f>24.6064 * CHOOSE(CONTROL!$C$9, $D$9, 100%, $F$9) + CHOOSE(CONTROL!$C$27, 0.0021, 0)</f>
        <v>24.608499999999999</v>
      </c>
      <c r="K99" s="10">
        <f>24.6064 * CHOOSE(CONTROL!$C$9, $D$9, 100%, $F$9) + CHOOSE(CONTROL!$C$27, 0.0021, 0)</f>
        <v>24.608499999999999</v>
      </c>
      <c r="L99" s="10"/>
    </row>
    <row r="100" spans="1:12" ht="15" x14ac:dyDescent="0.2">
      <c r="A100" s="16">
        <v>43952</v>
      </c>
      <c r="B100" s="10">
        <f>25.5163 * CHOOSE(CONTROL!$C$9, $D$9, 100%, $F$9) + CHOOSE(CONTROL!$C$27, 0.0021, 0)</f>
        <v>25.5184</v>
      </c>
      <c r="C100" s="10">
        <f>25.0841 * CHOOSE(CONTROL!$C$9, $D$9, 100%, $F$9) + CHOOSE(CONTROL!$C$27, 0.0021, 0)</f>
        <v>25.086199999999998</v>
      </c>
      <c r="D100" s="10">
        <f>25.0841 * CHOOSE(CONTROL!$C$9, $D$9, 100%, $F$9) + CHOOSE(CONTROL!$C$27, 0.0021, 0)</f>
        <v>25.086199999999998</v>
      </c>
      <c r="E100" s="10">
        <f>24.9474 * CHOOSE(CONTROL!$C$9, $D$9, 100%, $F$9) + CHOOSE(CONTROL!$C$27, 0.0021, 0)</f>
        <v>24.949499999999997</v>
      </c>
      <c r="F100" s="10">
        <f>24.9474 * CHOOSE(CONTROL!$C$9, $D$9, 100%, $F$9) + CHOOSE(CONTROL!$C$27, 0.0021, 0)</f>
        <v>24.949499999999997</v>
      </c>
      <c r="G100" s="10">
        <f>25.2188 * CHOOSE(CONTROL!$C$9, $D$9, 100%, $F$9) + CHOOSE(CONTROL!$C$27, 0.0021, 0)</f>
        <v>25.2209</v>
      </c>
      <c r="H100" s="10">
        <f>25.0841 * CHOOSE(CONTROL!$C$9, $D$9, 100%, $F$9) + CHOOSE(CONTROL!$C$27, 0.0021, 0)</f>
        <v>25.086199999999998</v>
      </c>
      <c r="I100" s="10">
        <f>25.0841 * CHOOSE(CONTROL!$C$9, $D$9, 100%, $F$9) + CHOOSE(CONTROL!$C$27, 0.0021, 0)</f>
        <v>25.086199999999998</v>
      </c>
      <c r="J100" s="10">
        <f>25.0841 * CHOOSE(CONTROL!$C$9, $D$9, 100%, $F$9) + CHOOSE(CONTROL!$C$27, 0.0021, 0)</f>
        <v>25.086199999999998</v>
      </c>
      <c r="K100" s="10">
        <f>25.0841 * CHOOSE(CONTROL!$C$9, $D$9, 100%, $F$9) + CHOOSE(CONTROL!$C$27, 0.0021, 0)</f>
        <v>25.086199999999998</v>
      </c>
      <c r="L100" s="10"/>
    </row>
    <row r="101" spans="1:12" ht="15" x14ac:dyDescent="0.2">
      <c r="A101" s="16">
        <v>43983</v>
      </c>
      <c r="B101" s="10">
        <f>25.8024 * CHOOSE(CONTROL!$C$9, $D$9, 100%, $F$9) + CHOOSE(CONTROL!$C$27, 0.0021, 0)</f>
        <v>25.804499999999997</v>
      </c>
      <c r="C101" s="10">
        <f>25.3702 * CHOOSE(CONTROL!$C$9, $D$9, 100%, $F$9) + CHOOSE(CONTROL!$C$27, 0.0021, 0)</f>
        <v>25.372299999999999</v>
      </c>
      <c r="D101" s="10">
        <f>25.3702 * CHOOSE(CONTROL!$C$9, $D$9, 100%, $F$9) + CHOOSE(CONTROL!$C$27, 0.0021, 0)</f>
        <v>25.372299999999999</v>
      </c>
      <c r="E101" s="10">
        <f>25.2335 * CHOOSE(CONTROL!$C$9, $D$9, 100%, $F$9) + CHOOSE(CONTROL!$C$27, 0.0021, 0)</f>
        <v>25.235599999999998</v>
      </c>
      <c r="F101" s="10">
        <f>25.2335 * CHOOSE(CONTROL!$C$9, $D$9, 100%, $F$9) + CHOOSE(CONTROL!$C$27, 0.0021, 0)</f>
        <v>25.235599999999998</v>
      </c>
      <c r="G101" s="10">
        <f>25.5049 * CHOOSE(CONTROL!$C$9, $D$9, 100%, $F$9) + CHOOSE(CONTROL!$C$27, 0.0021, 0)</f>
        <v>25.506999999999998</v>
      </c>
      <c r="H101" s="10">
        <f>25.3702 * CHOOSE(CONTROL!$C$9, $D$9, 100%, $F$9) + CHOOSE(CONTROL!$C$27, 0.0021, 0)</f>
        <v>25.372299999999999</v>
      </c>
      <c r="I101" s="10">
        <f>25.3702 * CHOOSE(CONTROL!$C$9, $D$9, 100%, $F$9) + CHOOSE(CONTROL!$C$27, 0.0021, 0)</f>
        <v>25.372299999999999</v>
      </c>
      <c r="J101" s="10">
        <f>25.3702 * CHOOSE(CONTROL!$C$9, $D$9, 100%, $F$9) + CHOOSE(CONTROL!$C$27, 0.0021, 0)</f>
        <v>25.372299999999999</v>
      </c>
      <c r="K101" s="10">
        <f>25.3702 * CHOOSE(CONTROL!$C$9, $D$9, 100%, $F$9) + CHOOSE(CONTROL!$C$27, 0.0021, 0)</f>
        <v>25.372299999999999</v>
      </c>
      <c r="L101" s="10"/>
    </row>
    <row r="102" spans="1:12" ht="15" x14ac:dyDescent="0.2">
      <c r="A102" s="16">
        <v>44013</v>
      </c>
      <c r="B102" s="10">
        <f>26.2744 * CHOOSE(CONTROL!$C$9, $D$9, 100%, $F$9) + CHOOSE(CONTROL!$C$27, 0.0021, 0)</f>
        <v>26.276499999999999</v>
      </c>
      <c r="C102" s="10">
        <f>25.8422 * CHOOSE(CONTROL!$C$9, $D$9, 100%, $F$9) + CHOOSE(CONTROL!$C$27, 0.0021, 0)</f>
        <v>25.844299999999997</v>
      </c>
      <c r="D102" s="10">
        <f>25.8422 * CHOOSE(CONTROL!$C$9, $D$9, 100%, $F$9) + CHOOSE(CONTROL!$C$27, 0.0021, 0)</f>
        <v>25.844299999999997</v>
      </c>
      <c r="E102" s="10">
        <f>25.7055 * CHOOSE(CONTROL!$C$9, $D$9, 100%, $F$9) + CHOOSE(CONTROL!$C$27, 0.0021, 0)</f>
        <v>25.707599999999999</v>
      </c>
      <c r="F102" s="10">
        <f>25.7055 * CHOOSE(CONTROL!$C$9, $D$9, 100%, $F$9) + CHOOSE(CONTROL!$C$27, 0.0021, 0)</f>
        <v>25.707599999999999</v>
      </c>
      <c r="G102" s="10">
        <f>25.9769 * CHOOSE(CONTROL!$C$9, $D$9, 100%, $F$9) + CHOOSE(CONTROL!$C$27, 0.0021, 0)</f>
        <v>25.978999999999999</v>
      </c>
      <c r="H102" s="10">
        <f>25.8422 * CHOOSE(CONTROL!$C$9, $D$9, 100%, $F$9) + CHOOSE(CONTROL!$C$27, 0.0021, 0)</f>
        <v>25.844299999999997</v>
      </c>
      <c r="I102" s="10">
        <f>25.8422 * CHOOSE(CONTROL!$C$9, $D$9, 100%, $F$9) + CHOOSE(CONTROL!$C$27, 0.0021, 0)</f>
        <v>25.844299999999997</v>
      </c>
      <c r="J102" s="10">
        <f>25.8422 * CHOOSE(CONTROL!$C$9, $D$9, 100%, $F$9) + CHOOSE(CONTROL!$C$27, 0.0021, 0)</f>
        <v>25.844299999999997</v>
      </c>
      <c r="K102" s="10">
        <f>25.8422 * CHOOSE(CONTROL!$C$9, $D$9, 100%, $F$9) + CHOOSE(CONTROL!$C$27, 0.0021, 0)</f>
        <v>25.844299999999997</v>
      </c>
      <c r="L102" s="10"/>
    </row>
    <row r="103" spans="1:12" ht="15" x14ac:dyDescent="0.2">
      <c r="A103" s="16">
        <v>44044</v>
      </c>
      <c r="B103" s="10">
        <f>26.4185 * CHOOSE(CONTROL!$C$9, $D$9, 100%, $F$9) + CHOOSE(CONTROL!$C$27, 0.0021, 0)</f>
        <v>26.4206</v>
      </c>
      <c r="C103" s="10">
        <f>25.9862 * CHOOSE(CONTROL!$C$9, $D$9, 100%, $F$9) + CHOOSE(CONTROL!$C$27, 0.0021, 0)</f>
        <v>25.988299999999999</v>
      </c>
      <c r="D103" s="10">
        <f>25.9862 * CHOOSE(CONTROL!$C$9, $D$9, 100%, $F$9) + CHOOSE(CONTROL!$C$27, 0.0021, 0)</f>
        <v>25.988299999999999</v>
      </c>
      <c r="E103" s="10">
        <f>25.8496 * CHOOSE(CONTROL!$C$9, $D$9, 100%, $F$9) + CHOOSE(CONTROL!$C$27, 0.0021, 0)</f>
        <v>25.851699999999997</v>
      </c>
      <c r="F103" s="10">
        <f>25.8496 * CHOOSE(CONTROL!$C$9, $D$9, 100%, $F$9) + CHOOSE(CONTROL!$C$27, 0.0021, 0)</f>
        <v>25.851699999999997</v>
      </c>
      <c r="G103" s="10">
        <f>26.121 * CHOOSE(CONTROL!$C$9, $D$9, 100%, $F$9) + CHOOSE(CONTROL!$C$27, 0.0021, 0)</f>
        <v>26.123099999999997</v>
      </c>
      <c r="H103" s="10">
        <f>25.9862 * CHOOSE(CONTROL!$C$9, $D$9, 100%, $F$9) + CHOOSE(CONTROL!$C$27, 0.0021, 0)</f>
        <v>25.988299999999999</v>
      </c>
      <c r="I103" s="10">
        <f>25.9862 * CHOOSE(CONTROL!$C$9, $D$9, 100%, $F$9) + CHOOSE(CONTROL!$C$27, 0.0021, 0)</f>
        <v>25.988299999999999</v>
      </c>
      <c r="J103" s="10">
        <f>25.9862 * CHOOSE(CONTROL!$C$9, $D$9, 100%, $F$9) + CHOOSE(CONTROL!$C$27, 0.0021, 0)</f>
        <v>25.988299999999999</v>
      </c>
      <c r="K103" s="10">
        <f>25.9862 * CHOOSE(CONTROL!$C$9, $D$9, 100%, $F$9) + CHOOSE(CONTROL!$C$27, 0.0021, 0)</f>
        <v>25.988299999999999</v>
      </c>
      <c r="L103" s="10"/>
    </row>
    <row r="104" spans="1:12" ht="15" x14ac:dyDescent="0.2">
      <c r="A104" s="16">
        <v>44075</v>
      </c>
      <c r="B104" s="10">
        <f>26.9091 * CHOOSE(CONTROL!$C$9, $D$9, 100%, $F$9) + CHOOSE(CONTROL!$C$27, 0.0021, 0)</f>
        <v>26.911199999999997</v>
      </c>
      <c r="C104" s="10">
        <f>26.4768 * CHOOSE(CONTROL!$C$9, $D$9, 100%, $F$9) + CHOOSE(CONTROL!$C$27, 0.0021, 0)</f>
        <v>26.478899999999999</v>
      </c>
      <c r="D104" s="10">
        <f>26.4768 * CHOOSE(CONTROL!$C$9, $D$9, 100%, $F$9) + CHOOSE(CONTROL!$C$27, 0.0021, 0)</f>
        <v>26.478899999999999</v>
      </c>
      <c r="E104" s="10">
        <f>26.3402 * CHOOSE(CONTROL!$C$9, $D$9, 100%, $F$9) + CHOOSE(CONTROL!$C$27, 0.0021, 0)</f>
        <v>26.342299999999998</v>
      </c>
      <c r="F104" s="10">
        <f>26.3402 * CHOOSE(CONTROL!$C$9, $D$9, 100%, $F$9) + CHOOSE(CONTROL!$C$27, 0.0021, 0)</f>
        <v>26.342299999999998</v>
      </c>
      <c r="G104" s="10">
        <f>26.6116 * CHOOSE(CONTROL!$C$9, $D$9, 100%, $F$9) + CHOOSE(CONTROL!$C$27, 0.0021, 0)</f>
        <v>26.613699999999998</v>
      </c>
      <c r="H104" s="10">
        <f>26.4768 * CHOOSE(CONTROL!$C$9, $D$9, 100%, $F$9) + CHOOSE(CONTROL!$C$27, 0.0021, 0)</f>
        <v>26.478899999999999</v>
      </c>
      <c r="I104" s="10">
        <f>26.4768 * CHOOSE(CONTROL!$C$9, $D$9, 100%, $F$9) + CHOOSE(CONTROL!$C$27, 0.0021, 0)</f>
        <v>26.478899999999999</v>
      </c>
      <c r="J104" s="10">
        <f>26.4768 * CHOOSE(CONTROL!$C$9, $D$9, 100%, $F$9) + CHOOSE(CONTROL!$C$27, 0.0021, 0)</f>
        <v>26.478899999999999</v>
      </c>
      <c r="K104" s="10">
        <f>26.4768 * CHOOSE(CONTROL!$C$9, $D$9, 100%, $F$9) + CHOOSE(CONTROL!$C$27, 0.0021, 0)</f>
        <v>26.478899999999999</v>
      </c>
      <c r="L104" s="10"/>
    </row>
    <row r="105" spans="1:12" ht="15" x14ac:dyDescent="0.2">
      <c r="A105" s="16">
        <v>44105</v>
      </c>
      <c r="B105" s="10">
        <f>27.5301 * CHOOSE(CONTROL!$C$9, $D$9, 100%, $F$9) + CHOOSE(CONTROL!$C$27, 0.0021, 0)</f>
        <v>27.5322</v>
      </c>
      <c r="C105" s="10">
        <f>27.0979 * CHOOSE(CONTROL!$C$9, $D$9, 100%, $F$9) + CHOOSE(CONTROL!$C$27, 0.0021, 0)</f>
        <v>27.099999999999998</v>
      </c>
      <c r="D105" s="10">
        <f>27.0979 * CHOOSE(CONTROL!$C$9, $D$9, 100%, $F$9) + CHOOSE(CONTROL!$C$27, 0.0021, 0)</f>
        <v>27.099999999999998</v>
      </c>
      <c r="E105" s="10">
        <f>26.9612 * CHOOSE(CONTROL!$C$9, $D$9, 100%, $F$9) + CHOOSE(CONTROL!$C$27, 0.0021, 0)</f>
        <v>26.9633</v>
      </c>
      <c r="F105" s="10">
        <f>26.9612 * CHOOSE(CONTROL!$C$9, $D$9, 100%, $F$9) + CHOOSE(CONTROL!$C$27, 0.0021, 0)</f>
        <v>26.9633</v>
      </c>
      <c r="G105" s="10">
        <f>27.2326 * CHOOSE(CONTROL!$C$9, $D$9, 100%, $F$9) + CHOOSE(CONTROL!$C$27, 0.0021, 0)</f>
        <v>27.2347</v>
      </c>
      <c r="H105" s="10">
        <f>27.0979 * CHOOSE(CONTROL!$C$9, $D$9, 100%, $F$9) + CHOOSE(CONTROL!$C$27, 0.0021, 0)</f>
        <v>27.099999999999998</v>
      </c>
      <c r="I105" s="10">
        <f>27.0979 * CHOOSE(CONTROL!$C$9, $D$9, 100%, $F$9) + CHOOSE(CONTROL!$C$27, 0.0021, 0)</f>
        <v>27.099999999999998</v>
      </c>
      <c r="J105" s="10">
        <f>27.0979 * CHOOSE(CONTROL!$C$9, $D$9, 100%, $F$9) + CHOOSE(CONTROL!$C$27, 0.0021, 0)</f>
        <v>27.099999999999998</v>
      </c>
      <c r="K105" s="10">
        <f>27.0979 * CHOOSE(CONTROL!$C$9, $D$9, 100%, $F$9) + CHOOSE(CONTROL!$C$27, 0.0021, 0)</f>
        <v>27.099999999999998</v>
      </c>
      <c r="L105" s="10"/>
    </row>
    <row r="106" spans="1:12" ht="15" x14ac:dyDescent="0.2">
      <c r="A106" s="16">
        <v>44136</v>
      </c>
      <c r="B106" s="10">
        <f>27.5884 * CHOOSE(CONTROL!$C$9, $D$9, 100%, $F$9) + CHOOSE(CONTROL!$C$27, 0.0021, 0)</f>
        <v>27.590499999999999</v>
      </c>
      <c r="C106" s="10">
        <f>27.1562 * CHOOSE(CONTROL!$C$9, $D$9, 100%, $F$9) + CHOOSE(CONTROL!$C$27, 0.0021, 0)</f>
        <v>27.158299999999997</v>
      </c>
      <c r="D106" s="10">
        <f>27.1562 * CHOOSE(CONTROL!$C$9, $D$9, 100%, $F$9) + CHOOSE(CONTROL!$C$27, 0.0021, 0)</f>
        <v>27.158299999999997</v>
      </c>
      <c r="E106" s="10">
        <f>27.0195 * CHOOSE(CONTROL!$C$9, $D$9, 100%, $F$9) + CHOOSE(CONTROL!$C$27, 0.0021, 0)</f>
        <v>27.021599999999999</v>
      </c>
      <c r="F106" s="10">
        <f>27.0195 * CHOOSE(CONTROL!$C$9, $D$9, 100%, $F$9) + CHOOSE(CONTROL!$C$27, 0.0021, 0)</f>
        <v>27.021599999999999</v>
      </c>
      <c r="G106" s="10">
        <f>27.2909 * CHOOSE(CONTROL!$C$9, $D$9, 100%, $F$9) + CHOOSE(CONTROL!$C$27, 0.0021, 0)</f>
        <v>27.292999999999999</v>
      </c>
      <c r="H106" s="10">
        <f>27.1562 * CHOOSE(CONTROL!$C$9, $D$9, 100%, $F$9) + CHOOSE(CONTROL!$C$27, 0.0021, 0)</f>
        <v>27.158299999999997</v>
      </c>
      <c r="I106" s="10">
        <f>27.1562 * CHOOSE(CONTROL!$C$9, $D$9, 100%, $F$9) + CHOOSE(CONTROL!$C$27, 0.0021, 0)</f>
        <v>27.158299999999997</v>
      </c>
      <c r="J106" s="10">
        <f>27.1562 * CHOOSE(CONTROL!$C$9, $D$9, 100%, $F$9) + CHOOSE(CONTROL!$C$27, 0.0021, 0)</f>
        <v>27.158299999999997</v>
      </c>
      <c r="K106" s="10">
        <f>27.1562 * CHOOSE(CONTROL!$C$9, $D$9, 100%, $F$9) + CHOOSE(CONTROL!$C$27, 0.0021, 0)</f>
        <v>27.158299999999997</v>
      </c>
      <c r="L106" s="10"/>
    </row>
    <row r="107" spans="1:12" ht="15" x14ac:dyDescent="0.2">
      <c r="A107" s="16">
        <v>44166</v>
      </c>
      <c r="B107" s="10">
        <f>27.0924 * CHOOSE(CONTROL!$C$9, $D$9, 100%, $F$9) + CHOOSE(CONTROL!$C$27, 0.0021, 0)</f>
        <v>27.0945</v>
      </c>
      <c r="C107" s="10">
        <f>26.6602 * CHOOSE(CONTROL!$C$9, $D$9, 100%, $F$9) + CHOOSE(CONTROL!$C$27, 0.0021, 0)</f>
        <v>26.662299999999998</v>
      </c>
      <c r="D107" s="10">
        <f>26.6602 * CHOOSE(CONTROL!$C$9, $D$9, 100%, $F$9) + CHOOSE(CONTROL!$C$27, 0.0021, 0)</f>
        <v>26.662299999999998</v>
      </c>
      <c r="E107" s="10">
        <f>26.5235 * CHOOSE(CONTROL!$C$9, $D$9, 100%, $F$9) + CHOOSE(CONTROL!$C$27, 0.0021, 0)</f>
        <v>26.525599999999997</v>
      </c>
      <c r="F107" s="10">
        <f>26.5235 * CHOOSE(CONTROL!$C$9, $D$9, 100%, $F$9) + CHOOSE(CONTROL!$C$27, 0.0021, 0)</f>
        <v>26.525599999999997</v>
      </c>
      <c r="G107" s="10">
        <f>26.7949 * CHOOSE(CONTROL!$C$9, $D$9, 100%, $F$9) + CHOOSE(CONTROL!$C$27, 0.0021, 0)</f>
        <v>26.796999999999997</v>
      </c>
      <c r="H107" s="10">
        <f>26.6602 * CHOOSE(CONTROL!$C$9, $D$9, 100%, $F$9) + CHOOSE(CONTROL!$C$27, 0.0021, 0)</f>
        <v>26.662299999999998</v>
      </c>
      <c r="I107" s="10">
        <f>26.6602 * CHOOSE(CONTROL!$C$9, $D$9, 100%, $F$9) + CHOOSE(CONTROL!$C$27, 0.0021, 0)</f>
        <v>26.662299999999998</v>
      </c>
      <c r="J107" s="10">
        <f>26.6602 * CHOOSE(CONTROL!$C$9, $D$9, 100%, $F$9) + CHOOSE(CONTROL!$C$27, 0.0021, 0)</f>
        <v>26.662299999999998</v>
      </c>
      <c r="K107" s="10">
        <f>26.6602 * CHOOSE(CONTROL!$C$9, $D$9, 100%, $F$9) + CHOOSE(CONTROL!$C$27, 0.0021, 0)</f>
        <v>26.662299999999998</v>
      </c>
      <c r="L107" s="10"/>
    </row>
    <row r="108" spans="1:12" ht="15" x14ac:dyDescent="0.2">
      <c r="A108" s="16">
        <v>44197</v>
      </c>
      <c r="B108" s="10">
        <f>27.5537 * CHOOSE(CONTROL!$C$9, $D$9, 100%, $F$9) + CHOOSE(CONTROL!$C$27, 0.0021, 0)</f>
        <v>27.555799999999998</v>
      </c>
      <c r="C108" s="10">
        <f>27.1214 * CHOOSE(CONTROL!$C$9, $D$9, 100%, $F$9) + CHOOSE(CONTROL!$C$27, 0.0021, 0)</f>
        <v>27.1235</v>
      </c>
      <c r="D108" s="10">
        <f>27.1214 * CHOOSE(CONTROL!$C$9, $D$9, 100%, $F$9) + CHOOSE(CONTROL!$C$27, 0.0021, 0)</f>
        <v>27.1235</v>
      </c>
      <c r="E108" s="10">
        <f>26.9847 * CHOOSE(CONTROL!$C$9, $D$9, 100%, $F$9) + CHOOSE(CONTROL!$C$27, 0.0021, 0)</f>
        <v>26.986799999999999</v>
      </c>
      <c r="F108" s="10">
        <f>26.9847 * CHOOSE(CONTROL!$C$9, $D$9, 100%, $F$9) + CHOOSE(CONTROL!$C$27, 0.0021, 0)</f>
        <v>26.986799999999999</v>
      </c>
      <c r="G108" s="10">
        <f>27.2561 * CHOOSE(CONTROL!$C$9, $D$9, 100%, $F$9) + CHOOSE(CONTROL!$C$27, 0.0021, 0)</f>
        <v>27.258199999999999</v>
      </c>
      <c r="H108" s="10">
        <f>27.1214 * CHOOSE(CONTROL!$C$9, $D$9, 100%, $F$9) + CHOOSE(CONTROL!$C$27, 0.0021, 0)</f>
        <v>27.1235</v>
      </c>
      <c r="I108" s="10">
        <f>27.1214 * CHOOSE(CONTROL!$C$9, $D$9, 100%, $F$9) + CHOOSE(CONTROL!$C$27, 0.0021, 0)</f>
        <v>27.1235</v>
      </c>
      <c r="J108" s="10">
        <f>27.1214 * CHOOSE(CONTROL!$C$9, $D$9, 100%, $F$9) + CHOOSE(CONTROL!$C$27, 0.0021, 0)</f>
        <v>27.1235</v>
      </c>
      <c r="K108" s="10">
        <f>27.1214 * CHOOSE(CONTROL!$C$9, $D$9, 100%, $F$9) + CHOOSE(CONTROL!$C$27, 0.0021, 0)</f>
        <v>27.1235</v>
      </c>
      <c r="L108" s="10"/>
    </row>
    <row r="109" spans="1:12" ht="15" x14ac:dyDescent="0.2">
      <c r="A109" s="16">
        <v>44228</v>
      </c>
      <c r="B109" s="10">
        <f>26.8391 * CHOOSE(CONTROL!$C$9, $D$9, 100%, $F$9) + CHOOSE(CONTROL!$C$27, 0.0021, 0)</f>
        <v>26.841199999999997</v>
      </c>
      <c r="C109" s="10">
        <f>26.4069 * CHOOSE(CONTROL!$C$9, $D$9, 100%, $F$9) + CHOOSE(CONTROL!$C$27, 0.0021, 0)</f>
        <v>26.408999999999999</v>
      </c>
      <c r="D109" s="10">
        <f>26.4069 * CHOOSE(CONTROL!$C$9, $D$9, 100%, $F$9) + CHOOSE(CONTROL!$C$27, 0.0021, 0)</f>
        <v>26.408999999999999</v>
      </c>
      <c r="E109" s="10">
        <f>26.2702 * CHOOSE(CONTROL!$C$9, $D$9, 100%, $F$9) + CHOOSE(CONTROL!$C$27, 0.0021, 0)</f>
        <v>26.272299999999998</v>
      </c>
      <c r="F109" s="10">
        <f>26.2702 * CHOOSE(CONTROL!$C$9, $D$9, 100%, $F$9) + CHOOSE(CONTROL!$C$27, 0.0021, 0)</f>
        <v>26.272299999999998</v>
      </c>
      <c r="G109" s="10">
        <f>26.5416 * CHOOSE(CONTROL!$C$9, $D$9, 100%, $F$9) + CHOOSE(CONTROL!$C$27, 0.0021, 0)</f>
        <v>26.543699999999998</v>
      </c>
      <c r="H109" s="10">
        <f>26.4069 * CHOOSE(CONTROL!$C$9, $D$9, 100%, $F$9) + CHOOSE(CONTROL!$C$27, 0.0021, 0)</f>
        <v>26.408999999999999</v>
      </c>
      <c r="I109" s="10">
        <f>26.4069 * CHOOSE(CONTROL!$C$9, $D$9, 100%, $F$9) + CHOOSE(CONTROL!$C$27, 0.0021, 0)</f>
        <v>26.408999999999999</v>
      </c>
      <c r="J109" s="10">
        <f>26.4069 * CHOOSE(CONTROL!$C$9, $D$9, 100%, $F$9) + CHOOSE(CONTROL!$C$27, 0.0021, 0)</f>
        <v>26.408999999999999</v>
      </c>
      <c r="K109" s="10">
        <f>26.4069 * CHOOSE(CONTROL!$C$9, $D$9, 100%, $F$9) + CHOOSE(CONTROL!$C$27, 0.0021, 0)</f>
        <v>26.408999999999999</v>
      </c>
      <c r="L109" s="10"/>
    </row>
    <row r="110" spans="1:12" ht="15" x14ac:dyDescent="0.2">
      <c r="A110" s="16">
        <v>44256</v>
      </c>
      <c r="B110" s="10">
        <f>26.5442 * CHOOSE(CONTROL!$C$9, $D$9, 100%, $F$9) + CHOOSE(CONTROL!$C$27, 0.0021, 0)</f>
        <v>26.546299999999999</v>
      </c>
      <c r="C110" s="10">
        <f>26.1119 * CHOOSE(CONTROL!$C$9, $D$9, 100%, $F$9) + CHOOSE(CONTROL!$C$27, 0.0021, 0)</f>
        <v>26.113999999999997</v>
      </c>
      <c r="D110" s="10">
        <f>26.1119 * CHOOSE(CONTROL!$C$9, $D$9, 100%, $F$9) + CHOOSE(CONTROL!$C$27, 0.0021, 0)</f>
        <v>26.113999999999997</v>
      </c>
      <c r="E110" s="10">
        <f>25.9753 * CHOOSE(CONTROL!$C$9, $D$9, 100%, $F$9) + CHOOSE(CONTROL!$C$27, 0.0021, 0)</f>
        <v>25.977399999999999</v>
      </c>
      <c r="F110" s="10">
        <f>25.9753 * CHOOSE(CONTROL!$C$9, $D$9, 100%, $F$9) + CHOOSE(CONTROL!$C$27, 0.0021, 0)</f>
        <v>25.977399999999999</v>
      </c>
      <c r="G110" s="10">
        <f>26.2466 * CHOOSE(CONTROL!$C$9, $D$9, 100%, $F$9) + CHOOSE(CONTROL!$C$27, 0.0021, 0)</f>
        <v>26.248699999999999</v>
      </c>
      <c r="H110" s="10">
        <f>26.1119 * CHOOSE(CONTROL!$C$9, $D$9, 100%, $F$9) + CHOOSE(CONTROL!$C$27, 0.0021, 0)</f>
        <v>26.113999999999997</v>
      </c>
      <c r="I110" s="10">
        <f>26.1119 * CHOOSE(CONTROL!$C$9, $D$9, 100%, $F$9) + CHOOSE(CONTROL!$C$27, 0.0021, 0)</f>
        <v>26.113999999999997</v>
      </c>
      <c r="J110" s="10">
        <f>26.1119 * CHOOSE(CONTROL!$C$9, $D$9, 100%, $F$9) + CHOOSE(CONTROL!$C$27, 0.0021, 0)</f>
        <v>26.113999999999997</v>
      </c>
      <c r="K110" s="10">
        <f>26.1119 * CHOOSE(CONTROL!$C$9, $D$9, 100%, $F$9) + CHOOSE(CONTROL!$C$27, 0.0021, 0)</f>
        <v>26.113999999999997</v>
      </c>
      <c r="L110" s="10"/>
    </row>
    <row r="111" spans="1:12" ht="15" x14ac:dyDescent="0.2">
      <c r="A111" s="16">
        <v>44287</v>
      </c>
      <c r="B111" s="10">
        <f>26.192 * CHOOSE(CONTROL!$C$9, $D$9, 100%, $F$9) + CHOOSE(CONTROL!$C$27, 0.0021, 0)</f>
        <v>26.194099999999999</v>
      </c>
      <c r="C111" s="10">
        <f>25.7597 * CHOOSE(CONTROL!$C$9, $D$9, 100%, $F$9) + CHOOSE(CONTROL!$C$27, 0.0021, 0)</f>
        <v>25.761799999999997</v>
      </c>
      <c r="D111" s="10">
        <f>25.7597 * CHOOSE(CONTROL!$C$9, $D$9, 100%, $F$9) + CHOOSE(CONTROL!$C$27, 0.0021, 0)</f>
        <v>25.761799999999997</v>
      </c>
      <c r="E111" s="10">
        <f>25.6231 * CHOOSE(CONTROL!$C$9, $D$9, 100%, $F$9) + CHOOSE(CONTROL!$C$27, 0.0021, 0)</f>
        <v>25.6252</v>
      </c>
      <c r="F111" s="10">
        <f>25.6231 * CHOOSE(CONTROL!$C$9, $D$9, 100%, $F$9) + CHOOSE(CONTROL!$C$27, 0.0021, 0)</f>
        <v>25.6252</v>
      </c>
      <c r="G111" s="10">
        <f>25.8945 * CHOOSE(CONTROL!$C$9, $D$9, 100%, $F$9) + CHOOSE(CONTROL!$C$27, 0.0021, 0)</f>
        <v>25.896599999999999</v>
      </c>
      <c r="H111" s="10">
        <f>25.7597 * CHOOSE(CONTROL!$C$9, $D$9, 100%, $F$9) + CHOOSE(CONTROL!$C$27, 0.0021, 0)</f>
        <v>25.761799999999997</v>
      </c>
      <c r="I111" s="10">
        <f>25.7597 * CHOOSE(CONTROL!$C$9, $D$9, 100%, $F$9) + CHOOSE(CONTROL!$C$27, 0.0021, 0)</f>
        <v>25.761799999999997</v>
      </c>
      <c r="J111" s="10">
        <f>25.7597 * CHOOSE(CONTROL!$C$9, $D$9, 100%, $F$9) + CHOOSE(CONTROL!$C$27, 0.0021, 0)</f>
        <v>25.761799999999997</v>
      </c>
      <c r="K111" s="10">
        <f>25.7597 * CHOOSE(CONTROL!$C$9, $D$9, 100%, $F$9) + CHOOSE(CONTROL!$C$27, 0.0021, 0)</f>
        <v>25.761799999999997</v>
      </c>
      <c r="L111" s="10"/>
    </row>
    <row r="112" spans="1:12" ht="15" x14ac:dyDescent="0.2">
      <c r="A112" s="16">
        <v>44317</v>
      </c>
      <c r="B112" s="10">
        <f>26.6939 * CHOOSE(CONTROL!$C$9, $D$9, 100%, $F$9) + CHOOSE(CONTROL!$C$27, 0.0021, 0)</f>
        <v>26.695999999999998</v>
      </c>
      <c r="C112" s="10">
        <f>26.2616 * CHOOSE(CONTROL!$C$9, $D$9, 100%, $F$9) + CHOOSE(CONTROL!$C$27, 0.0021, 0)</f>
        <v>26.2637</v>
      </c>
      <c r="D112" s="10">
        <f>26.2616 * CHOOSE(CONTROL!$C$9, $D$9, 100%, $F$9) + CHOOSE(CONTROL!$C$27, 0.0021, 0)</f>
        <v>26.2637</v>
      </c>
      <c r="E112" s="10">
        <f>26.125 * CHOOSE(CONTROL!$C$9, $D$9, 100%, $F$9) + CHOOSE(CONTROL!$C$27, 0.0021, 0)</f>
        <v>26.127099999999999</v>
      </c>
      <c r="F112" s="10">
        <f>26.125 * CHOOSE(CONTROL!$C$9, $D$9, 100%, $F$9) + CHOOSE(CONTROL!$C$27, 0.0021, 0)</f>
        <v>26.127099999999999</v>
      </c>
      <c r="G112" s="10">
        <f>26.3964 * CHOOSE(CONTROL!$C$9, $D$9, 100%, $F$9) + CHOOSE(CONTROL!$C$27, 0.0021, 0)</f>
        <v>26.398499999999999</v>
      </c>
      <c r="H112" s="10">
        <f>26.2616 * CHOOSE(CONTROL!$C$9, $D$9, 100%, $F$9) + CHOOSE(CONTROL!$C$27, 0.0021, 0)</f>
        <v>26.2637</v>
      </c>
      <c r="I112" s="10">
        <f>26.2616 * CHOOSE(CONTROL!$C$9, $D$9, 100%, $F$9) + CHOOSE(CONTROL!$C$27, 0.0021, 0)</f>
        <v>26.2637</v>
      </c>
      <c r="J112" s="10">
        <f>26.2616 * CHOOSE(CONTROL!$C$9, $D$9, 100%, $F$9) + CHOOSE(CONTROL!$C$27, 0.0021, 0)</f>
        <v>26.2637</v>
      </c>
      <c r="K112" s="10">
        <f>26.2616 * CHOOSE(CONTROL!$C$9, $D$9, 100%, $F$9) + CHOOSE(CONTROL!$C$27, 0.0021, 0)</f>
        <v>26.2637</v>
      </c>
      <c r="L112" s="10"/>
    </row>
    <row r="113" spans="1:12" ht="15" x14ac:dyDescent="0.2">
      <c r="A113" s="16">
        <v>44348</v>
      </c>
      <c r="B113" s="10">
        <f>26.9945 * CHOOSE(CONTROL!$C$9, $D$9, 100%, $F$9) + CHOOSE(CONTROL!$C$27, 0.0021, 0)</f>
        <v>26.996599999999997</v>
      </c>
      <c r="C113" s="10">
        <f>26.5623 * CHOOSE(CONTROL!$C$9, $D$9, 100%, $F$9) + CHOOSE(CONTROL!$C$27, 0.0021, 0)</f>
        <v>26.564399999999999</v>
      </c>
      <c r="D113" s="10">
        <f>26.5623 * CHOOSE(CONTROL!$C$9, $D$9, 100%, $F$9) + CHOOSE(CONTROL!$C$27, 0.0021, 0)</f>
        <v>26.564399999999999</v>
      </c>
      <c r="E113" s="10">
        <f>26.4256 * CHOOSE(CONTROL!$C$9, $D$9, 100%, $F$9) + CHOOSE(CONTROL!$C$27, 0.0021, 0)</f>
        <v>26.427699999999998</v>
      </c>
      <c r="F113" s="10">
        <f>26.4256 * CHOOSE(CONTROL!$C$9, $D$9, 100%, $F$9) + CHOOSE(CONTROL!$C$27, 0.0021, 0)</f>
        <v>26.427699999999998</v>
      </c>
      <c r="G113" s="10">
        <f>26.697 * CHOOSE(CONTROL!$C$9, $D$9, 100%, $F$9) + CHOOSE(CONTROL!$C$27, 0.0021, 0)</f>
        <v>26.699099999999998</v>
      </c>
      <c r="H113" s="10">
        <f>26.5623 * CHOOSE(CONTROL!$C$9, $D$9, 100%, $F$9) + CHOOSE(CONTROL!$C$27, 0.0021, 0)</f>
        <v>26.564399999999999</v>
      </c>
      <c r="I113" s="10">
        <f>26.5623 * CHOOSE(CONTROL!$C$9, $D$9, 100%, $F$9) + CHOOSE(CONTROL!$C$27, 0.0021, 0)</f>
        <v>26.564399999999999</v>
      </c>
      <c r="J113" s="10">
        <f>26.5623 * CHOOSE(CONTROL!$C$9, $D$9, 100%, $F$9) + CHOOSE(CONTROL!$C$27, 0.0021, 0)</f>
        <v>26.564399999999999</v>
      </c>
      <c r="K113" s="10">
        <f>26.5623 * CHOOSE(CONTROL!$C$9, $D$9, 100%, $F$9) + CHOOSE(CONTROL!$C$27, 0.0021, 0)</f>
        <v>26.564399999999999</v>
      </c>
      <c r="L113" s="10"/>
    </row>
    <row r="114" spans="1:12" ht="15" x14ac:dyDescent="0.2">
      <c r="A114" s="16">
        <v>44378</v>
      </c>
      <c r="B114" s="10">
        <f>27.4904 * CHOOSE(CONTROL!$C$9, $D$9, 100%, $F$9) + CHOOSE(CONTROL!$C$27, 0.0021, 0)</f>
        <v>27.4925</v>
      </c>
      <c r="C114" s="10">
        <f>27.0582 * CHOOSE(CONTROL!$C$9, $D$9, 100%, $F$9) + CHOOSE(CONTROL!$C$27, 0.0021, 0)</f>
        <v>27.060299999999998</v>
      </c>
      <c r="D114" s="10">
        <f>27.0582 * CHOOSE(CONTROL!$C$9, $D$9, 100%, $F$9) + CHOOSE(CONTROL!$C$27, 0.0021, 0)</f>
        <v>27.060299999999998</v>
      </c>
      <c r="E114" s="10">
        <f>26.9215 * CHOOSE(CONTROL!$C$9, $D$9, 100%, $F$9) + CHOOSE(CONTROL!$C$27, 0.0021, 0)</f>
        <v>26.9236</v>
      </c>
      <c r="F114" s="10">
        <f>26.9215 * CHOOSE(CONTROL!$C$9, $D$9, 100%, $F$9) + CHOOSE(CONTROL!$C$27, 0.0021, 0)</f>
        <v>26.9236</v>
      </c>
      <c r="G114" s="10">
        <f>27.1929 * CHOOSE(CONTROL!$C$9, $D$9, 100%, $F$9) + CHOOSE(CONTROL!$C$27, 0.0021, 0)</f>
        <v>27.195</v>
      </c>
      <c r="H114" s="10">
        <f>27.0582 * CHOOSE(CONTROL!$C$9, $D$9, 100%, $F$9) + CHOOSE(CONTROL!$C$27, 0.0021, 0)</f>
        <v>27.060299999999998</v>
      </c>
      <c r="I114" s="10">
        <f>27.0582 * CHOOSE(CONTROL!$C$9, $D$9, 100%, $F$9) + CHOOSE(CONTROL!$C$27, 0.0021, 0)</f>
        <v>27.060299999999998</v>
      </c>
      <c r="J114" s="10">
        <f>27.0582 * CHOOSE(CONTROL!$C$9, $D$9, 100%, $F$9) + CHOOSE(CONTROL!$C$27, 0.0021, 0)</f>
        <v>27.060299999999998</v>
      </c>
      <c r="K114" s="10">
        <f>27.0582 * CHOOSE(CONTROL!$C$9, $D$9, 100%, $F$9) + CHOOSE(CONTROL!$C$27, 0.0021, 0)</f>
        <v>27.060299999999998</v>
      </c>
      <c r="L114" s="10"/>
    </row>
    <row r="115" spans="1:12" ht="15" x14ac:dyDescent="0.2">
      <c r="A115" s="16">
        <v>44409</v>
      </c>
      <c r="B115" s="10">
        <f>27.6418 * CHOOSE(CONTROL!$C$9, $D$9, 100%, $F$9) + CHOOSE(CONTROL!$C$27, 0.0021, 0)</f>
        <v>27.643899999999999</v>
      </c>
      <c r="C115" s="10">
        <f>27.2095 * CHOOSE(CONTROL!$C$9, $D$9, 100%, $F$9) + CHOOSE(CONTROL!$C$27, 0.0021, 0)</f>
        <v>27.211599999999997</v>
      </c>
      <c r="D115" s="10">
        <f>27.2095 * CHOOSE(CONTROL!$C$9, $D$9, 100%, $F$9) + CHOOSE(CONTROL!$C$27, 0.0021, 0)</f>
        <v>27.211599999999997</v>
      </c>
      <c r="E115" s="10">
        <f>27.0729 * CHOOSE(CONTROL!$C$9, $D$9, 100%, $F$9) + CHOOSE(CONTROL!$C$27, 0.0021, 0)</f>
        <v>27.074999999999999</v>
      </c>
      <c r="F115" s="10">
        <f>27.0729 * CHOOSE(CONTROL!$C$9, $D$9, 100%, $F$9) + CHOOSE(CONTROL!$C$27, 0.0021, 0)</f>
        <v>27.074999999999999</v>
      </c>
      <c r="G115" s="10">
        <f>27.3443 * CHOOSE(CONTROL!$C$9, $D$9, 100%, $F$9) + CHOOSE(CONTROL!$C$27, 0.0021, 0)</f>
        <v>27.346399999999999</v>
      </c>
      <c r="H115" s="10">
        <f>27.2095 * CHOOSE(CONTROL!$C$9, $D$9, 100%, $F$9) + CHOOSE(CONTROL!$C$27, 0.0021, 0)</f>
        <v>27.211599999999997</v>
      </c>
      <c r="I115" s="10">
        <f>27.2095 * CHOOSE(CONTROL!$C$9, $D$9, 100%, $F$9) + CHOOSE(CONTROL!$C$27, 0.0021, 0)</f>
        <v>27.211599999999997</v>
      </c>
      <c r="J115" s="10">
        <f>27.2095 * CHOOSE(CONTROL!$C$9, $D$9, 100%, $F$9) + CHOOSE(CONTROL!$C$27, 0.0021, 0)</f>
        <v>27.211599999999997</v>
      </c>
      <c r="K115" s="10">
        <f>27.2095 * CHOOSE(CONTROL!$C$9, $D$9, 100%, $F$9) + CHOOSE(CONTROL!$C$27, 0.0021, 0)</f>
        <v>27.211599999999997</v>
      </c>
      <c r="L115" s="10"/>
    </row>
    <row r="116" spans="1:12" ht="15" x14ac:dyDescent="0.2">
      <c r="A116" s="16">
        <v>44440</v>
      </c>
      <c r="B116" s="10">
        <f>28.1573 * CHOOSE(CONTROL!$C$9, $D$9, 100%, $F$9) + CHOOSE(CONTROL!$C$27, 0.0021, 0)</f>
        <v>28.159399999999998</v>
      </c>
      <c r="C116" s="10">
        <f>27.725 * CHOOSE(CONTROL!$C$9, $D$9, 100%, $F$9) + CHOOSE(CONTROL!$C$27, 0.0021, 0)</f>
        <v>27.7271</v>
      </c>
      <c r="D116" s="10">
        <f>27.725 * CHOOSE(CONTROL!$C$9, $D$9, 100%, $F$9) + CHOOSE(CONTROL!$C$27, 0.0021, 0)</f>
        <v>27.7271</v>
      </c>
      <c r="E116" s="10">
        <f>27.5884 * CHOOSE(CONTROL!$C$9, $D$9, 100%, $F$9) + CHOOSE(CONTROL!$C$27, 0.0021, 0)</f>
        <v>27.590499999999999</v>
      </c>
      <c r="F116" s="10">
        <f>27.5884 * CHOOSE(CONTROL!$C$9, $D$9, 100%, $F$9) + CHOOSE(CONTROL!$C$27, 0.0021, 0)</f>
        <v>27.590499999999999</v>
      </c>
      <c r="G116" s="10">
        <f>27.8597 * CHOOSE(CONTROL!$C$9, $D$9, 100%, $F$9) + CHOOSE(CONTROL!$C$27, 0.0021, 0)</f>
        <v>27.861799999999999</v>
      </c>
      <c r="H116" s="10">
        <f>27.725 * CHOOSE(CONTROL!$C$9, $D$9, 100%, $F$9) + CHOOSE(CONTROL!$C$27, 0.0021, 0)</f>
        <v>27.7271</v>
      </c>
      <c r="I116" s="10">
        <f>27.725 * CHOOSE(CONTROL!$C$9, $D$9, 100%, $F$9) + CHOOSE(CONTROL!$C$27, 0.0021, 0)</f>
        <v>27.7271</v>
      </c>
      <c r="J116" s="10">
        <f>27.725 * CHOOSE(CONTROL!$C$9, $D$9, 100%, $F$9) + CHOOSE(CONTROL!$C$27, 0.0021, 0)</f>
        <v>27.7271</v>
      </c>
      <c r="K116" s="10">
        <f>27.725 * CHOOSE(CONTROL!$C$9, $D$9, 100%, $F$9) + CHOOSE(CONTROL!$C$27, 0.0021, 0)</f>
        <v>27.7271</v>
      </c>
      <c r="L116" s="10"/>
    </row>
    <row r="117" spans="1:12" ht="15" x14ac:dyDescent="0.2">
      <c r="A117" s="16">
        <v>44470</v>
      </c>
      <c r="B117" s="10">
        <f>28.8098 * CHOOSE(CONTROL!$C$9, $D$9, 100%, $F$9) + CHOOSE(CONTROL!$C$27, 0.0021, 0)</f>
        <v>28.811899999999998</v>
      </c>
      <c r="C117" s="10">
        <f>28.3775 * CHOOSE(CONTROL!$C$9, $D$9, 100%, $F$9) + CHOOSE(CONTROL!$C$27, 0.0021, 0)</f>
        <v>28.3796</v>
      </c>
      <c r="D117" s="10">
        <f>28.3775 * CHOOSE(CONTROL!$C$9, $D$9, 100%, $F$9) + CHOOSE(CONTROL!$C$27, 0.0021, 0)</f>
        <v>28.3796</v>
      </c>
      <c r="E117" s="10">
        <f>28.2409 * CHOOSE(CONTROL!$C$9, $D$9, 100%, $F$9) + CHOOSE(CONTROL!$C$27, 0.0021, 0)</f>
        <v>28.242999999999999</v>
      </c>
      <c r="F117" s="10">
        <f>28.2409 * CHOOSE(CONTROL!$C$9, $D$9, 100%, $F$9) + CHOOSE(CONTROL!$C$27, 0.0021, 0)</f>
        <v>28.242999999999999</v>
      </c>
      <c r="G117" s="10">
        <f>28.5123 * CHOOSE(CONTROL!$C$9, $D$9, 100%, $F$9) + CHOOSE(CONTROL!$C$27, 0.0021, 0)</f>
        <v>28.514399999999998</v>
      </c>
      <c r="H117" s="10">
        <f>28.3775 * CHOOSE(CONTROL!$C$9, $D$9, 100%, $F$9) + CHOOSE(CONTROL!$C$27, 0.0021, 0)</f>
        <v>28.3796</v>
      </c>
      <c r="I117" s="10">
        <f>28.3775 * CHOOSE(CONTROL!$C$9, $D$9, 100%, $F$9) + CHOOSE(CONTROL!$C$27, 0.0021, 0)</f>
        <v>28.3796</v>
      </c>
      <c r="J117" s="10">
        <f>28.3775 * CHOOSE(CONTROL!$C$9, $D$9, 100%, $F$9) + CHOOSE(CONTROL!$C$27, 0.0021, 0)</f>
        <v>28.3796</v>
      </c>
      <c r="K117" s="10">
        <f>28.3775 * CHOOSE(CONTROL!$C$9, $D$9, 100%, $F$9) + CHOOSE(CONTROL!$C$27, 0.0021, 0)</f>
        <v>28.3796</v>
      </c>
      <c r="L117" s="10"/>
    </row>
    <row r="118" spans="1:12" ht="15" x14ac:dyDescent="0.2">
      <c r="A118" s="16">
        <v>44501</v>
      </c>
      <c r="B118" s="10">
        <f>28.871 * CHOOSE(CONTROL!$C$9, $D$9, 100%, $F$9) + CHOOSE(CONTROL!$C$27, 0.0021, 0)</f>
        <v>28.873099999999997</v>
      </c>
      <c r="C118" s="10">
        <f>28.4388 * CHOOSE(CONTROL!$C$9, $D$9, 100%, $F$9) + CHOOSE(CONTROL!$C$27, 0.0021, 0)</f>
        <v>28.440899999999999</v>
      </c>
      <c r="D118" s="10">
        <f>28.4388 * CHOOSE(CONTROL!$C$9, $D$9, 100%, $F$9) + CHOOSE(CONTROL!$C$27, 0.0021, 0)</f>
        <v>28.440899999999999</v>
      </c>
      <c r="E118" s="10">
        <f>28.3021 * CHOOSE(CONTROL!$C$9, $D$9, 100%, $F$9) + CHOOSE(CONTROL!$C$27, 0.0021, 0)</f>
        <v>28.304199999999998</v>
      </c>
      <c r="F118" s="10">
        <f>28.3021 * CHOOSE(CONTROL!$C$9, $D$9, 100%, $F$9) + CHOOSE(CONTROL!$C$27, 0.0021, 0)</f>
        <v>28.304199999999998</v>
      </c>
      <c r="G118" s="10">
        <f>28.5735 * CHOOSE(CONTROL!$C$9, $D$9, 100%, $F$9) + CHOOSE(CONTROL!$C$27, 0.0021, 0)</f>
        <v>28.575599999999998</v>
      </c>
      <c r="H118" s="10">
        <f>28.4388 * CHOOSE(CONTROL!$C$9, $D$9, 100%, $F$9) + CHOOSE(CONTROL!$C$27, 0.0021, 0)</f>
        <v>28.440899999999999</v>
      </c>
      <c r="I118" s="10">
        <f>28.4388 * CHOOSE(CONTROL!$C$9, $D$9, 100%, $F$9) + CHOOSE(CONTROL!$C$27, 0.0021, 0)</f>
        <v>28.440899999999999</v>
      </c>
      <c r="J118" s="10">
        <f>28.4388 * CHOOSE(CONTROL!$C$9, $D$9, 100%, $F$9) + CHOOSE(CONTROL!$C$27, 0.0021, 0)</f>
        <v>28.440899999999999</v>
      </c>
      <c r="K118" s="10">
        <f>28.4388 * CHOOSE(CONTROL!$C$9, $D$9, 100%, $F$9) + CHOOSE(CONTROL!$C$27, 0.0021, 0)</f>
        <v>28.440899999999999</v>
      </c>
      <c r="L118" s="10"/>
    </row>
    <row r="119" spans="1:12" ht="15" x14ac:dyDescent="0.2">
      <c r="A119" s="16">
        <v>44531</v>
      </c>
      <c r="B119" s="10">
        <f>28.3499 * CHOOSE(CONTROL!$C$9, $D$9, 100%, $F$9) + CHOOSE(CONTROL!$C$27, 0.0021, 0)</f>
        <v>28.352</v>
      </c>
      <c r="C119" s="10">
        <f>27.9176 * CHOOSE(CONTROL!$C$9, $D$9, 100%, $F$9) + CHOOSE(CONTROL!$C$27, 0.0021, 0)</f>
        <v>27.919699999999999</v>
      </c>
      <c r="D119" s="10">
        <f>27.9176 * CHOOSE(CONTROL!$C$9, $D$9, 100%, $F$9) + CHOOSE(CONTROL!$C$27, 0.0021, 0)</f>
        <v>27.919699999999999</v>
      </c>
      <c r="E119" s="10">
        <f>27.781 * CHOOSE(CONTROL!$C$9, $D$9, 100%, $F$9) + CHOOSE(CONTROL!$C$27, 0.0021, 0)</f>
        <v>27.783099999999997</v>
      </c>
      <c r="F119" s="10">
        <f>27.781 * CHOOSE(CONTROL!$C$9, $D$9, 100%, $F$9) + CHOOSE(CONTROL!$C$27, 0.0021, 0)</f>
        <v>27.783099999999997</v>
      </c>
      <c r="G119" s="10">
        <f>28.0524 * CHOOSE(CONTROL!$C$9, $D$9, 100%, $F$9) + CHOOSE(CONTROL!$C$27, 0.0021, 0)</f>
        <v>28.054499999999997</v>
      </c>
      <c r="H119" s="10">
        <f>27.9176 * CHOOSE(CONTROL!$C$9, $D$9, 100%, $F$9) + CHOOSE(CONTROL!$C$27, 0.0021, 0)</f>
        <v>27.919699999999999</v>
      </c>
      <c r="I119" s="10">
        <f>27.9176 * CHOOSE(CONTROL!$C$9, $D$9, 100%, $F$9) + CHOOSE(CONTROL!$C$27, 0.0021, 0)</f>
        <v>27.919699999999999</v>
      </c>
      <c r="J119" s="10">
        <f>27.9176 * CHOOSE(CONTROL!$C$9, $D$9, 100%, $F$9) + CHOOSE(CONTROL!$C$27, 0.0021, 0)</f>
        <v>27.919699999999999</v>
      </c>
      <c r="K119" s="10">
        <f>27.9176 * CHOOSE(CONTROL!$C$9, $D$9, 100%, $F$9) + CHOOSE(CONTROL!$C$27, 0.0021, 0)</f>
        <v>27.919699999999999</v>
      </c>
      <c r="L119" s="10"/>
    </row>
    <row r="120" spans="1:12" ht="15" x14ac:dyDescent="0.2">
      <c r="A120" s="16">
        <v>44562</v>
      </c>
      <c r="B120" s="10">
        <f>28.8492 * CHOOSE(CONTROL!$C$9, $D$9, 100%, $F$9) + CHOOSE(CONTROL!$C$27, 0.0021, 0)</f>
        <v>28.851299999999998</v>
      </c>
      <c r="C120" s="10">
        <f>28.4169 * CHOOSE(CONTROL!$C$9, $D$9, 100%, $F$9) + CHOOSE(CONTROL!$C$27, 0.0021, 0)</f>
        <v>28.418999999999997</v>
      </c>
      <c r="D120" s="10">
        <f>28.4169 * CHOOSE(CONTROL!$C$9, $D$9, 100%, $F$9) + CHOOSE(CONTROL!$C$27, 0.0021, 0)</f>
        <v>28.418999999999997</v>
      </c>
      <c r="E120" s="10">
        <f>28.2803 * CHOOSE(CONTROL!$C$9, $D$9, 100%, $F$9) + CHOOSE(CONTROL!$C$27, 0.0021, 0)</f>
        <v>28.282399999999999</v>
      </c>
      <c r="F120" s="10">
        <f>28.2803 * CHOOSE(CONTROL!$C$9, $D$9, 100%, $F$9) + CHOOSE(CONTROL!$C$27, 0.0021, 0)</f>
        <v>28.282399999999999</v>
      </c>
      <c r="G120" s="10">
        <f>28.5517 * CHOOSE(CONTROL!$C$9, $D$9, 100%, $F$9) + CHOOSE(CONTROL!$C$27, 0.0021, 0)</f>
        <v>28.553799999999999</v>
      </c>
      <c r="H120" s="10">
        <f>28.4169 * CHOOSE(CONTROL!$C$9, $D$9, 100%, $F$9) + CHOOSE(CONTROL!$C$27, 0.0021, 0)</f>
        <v>28.418999999999997</v>
      </c>
      <c r="I120" s="10">
        <f>28.4169 * CHOOSE(CONTROL!$C$9, $D$9, 100%, $F$9) + CHOOSE(CONTROL!$C$27, 0.0021, 0)</f>
        <v>28.418999999999997</v>
      </c>
      <c r="J120" s="10">
        <f>28.4169 * CHOOSE(CONTROL!$C$9, $D$9, 100%, $F$9) + CHOOSE(CONTROL!$C$27, 0.0021, 0)</f>
        <v>28.418999999999997</v>
      </c>
      <c r="K120" s="10">
        <f>28.4169 * CHOOSE(CONTROL!$C$9, $D$9, 100%, $F$9) + CHOOSE(CONTROL!$C$27, 0.0021, 0)</f>
        <v>28.418999999999997</v>
      </c>
      <c r="L120" s="10"/>
    </row>
    <row r="121" spans="1:12" ht="15" x14ac:dyDescent="0.2">
      <c r="A121" s="16">
        <v>44593</v>
      </c>
      <c r="B121" s="10">
        <f>28.098 * CHOOSE(CONTROL!$C$9, $D$9, 100%, $F$9) + CHOOSE(CONTROL!$C$27, 0.0021, 0)</f>
        <v>28.100099999999998</v>
      </c>
      <c r="C121" s="10">
        <f>27.6658 * CHOOSE(CONTROL!$C$9, $D$9, 100%, $F$9) + CHOOSE(CONTROL!$C$27, 0.0021, 0)</f>
        <v>27.667899999999999</v>
      </c>
      <c r="D121" s="10">
        <f>27.6658 * CHOOSE(CONTROL!$C$9, $D$9, 100%, $F$9) + CHOOSE(CONTROL!$C$27, 0.0021, 0)</f>
        <v>27.667899999999999</v>
      </c>
      <c r="E121" s="10">
        <f>27.5291 * CHOOSE(CONTROL!$C$9, $D$9, 100%, $F$9) + CHOOSE(CONTROL!$C$27, 0.0021, 0)</f>
        <v>27.531199999999998</v>
      </c>
      <c r="F121" s="10">
        <f>27.5291 * CHOOSE(CONTROL!$C$9, $D$9, 100%, $F$9) + CHOOSE(CONTROL!$C$27, 0.0021, 0)</f>
        <v>27.531199999999998</v>
      </c>
      <c r="G121" s="10">
        <f>27.8005 * CHOOSE(CONTROL!$C$9, $D$9, 100%, $F$9) + CHOOSE(CONTROL!$C$27, 0.0021, 0)</f>
        <v>27.802599999999998</v>
      </c>
      <c r="H121" s="10">
        <f>27.6658 * CHOOSE(CONTROL!$C$9, $D$9, 100%, $F$9) + CHOOSE(CONTROL!$C$27, 0.0021, 0)</f>
        <v>27.667899999999999</v>
      </c>
      <c r="I121" s="10">
        <f>27.6658 * CHOOSE(CONTROL!$C$9, $D$9, 100%, $F$9) + CHOOSE(CONTROL!$C$27, 0.0021, 0)</f>
        <v>27.667899999999999</v>
      </c>
      <c r="J121" s="10">
        <f>27.6658 * CHOOSE(CONTROL!$C$9, $D$9, 100%, $F$9) + CHOOSE(CONTROL!$C$27, 0.0021, 0)</f>
        <v>27.667899999999999</v>
      </c>
      <c r="K121" s="10">
        <f>27.6658 * CHOOSE(CONTROL!$C$9, $D$9, 100%, $F$9) + CHOOSE(CONTROL!$C$27, 0.0021, 0)</f>
        <v>27.667899999999999</v>
      </c>
      <c r="L121" s="10"/>
    </row>
    <row r="122" spans="1:12" ht="15" x14ac:dyDescent="0.2">
      <c r="A122" s="16">
        <v>44621</v>
      </c>
      <c r="B122" s="10">
        <f>27.7879 * CHOOSE(CONTROL!$C$9, $D$9, 100%, $F$9) + CHOOSE(CONTROL!$C$27, 0.0021, 0)</f>
        <v>27.79</v>
      </c>
      <c r="C122" s="10">
        <f>27.3557 * CHOOSE(CONTROL!$C$9, $D$9, 100%, $F$9) + CHOOSE(CONTROL!$C$27, 0.0021, 0)</f>
        <v>27.357799999999997</v>
      </c>
      <c r="D122" s="10">
        <f>27.3557 * CHOOSE(CONTROL!$C$9, $D$9, 100%, $F$9) + CHOOSE(CONTROL!$C$27, 0.0021, 0)</f>
        <v>27.357799999999997</v>
      </c>
      <c r="E122" s="10">
        <f>27.219 * CHOOSE(CONTROL!$C$9, $D$9, 100%, $F$9) + CHOOSE(CONTROL!$C$27, 0.0021, 0)</f>
        <v>27.2211</v>
      </c>
      <c r="F122" s="10">
        <f>27.219 * CHOOSE(CONTROL!$C$9, $D$9, 100%, $F$9) + CHOOSE(CONTROL!$C$27, 0.0021, 0)</f>
        <v>27.2211</v>
      </c>
      <c r="G122" s="10">
        <f>27.4904 * CHOOSE(CONTROL!$C$9, $D$9, 100%, $F$9) + CHOOSE(CONTROL!$C$27, 0.0021, 0)</f>
        <v>27.4925</v>
      </c>
      <c r="H122" s="10">
        <f>27.3557 * CHOOSE(CONTROL!$C$9, $D$9, 100%, $F$9) + CHOOSE(CONTROL!$C$27, 0.0021, 0)</f>
        <v>27.357799999999997</v>
      </c>
      <c r="I122" s="10">
        <f>27.3557 * CHOOSE(CONTROL!$C$9, $D$9, 100%, $F$9) + CHOOSE(CONTROL!$C$27, 0.0021, 0)</f>
        <v>27.357799999999997</v>
      </c>
      <c r="J122" s="10">
        <f>27.3557 * CHOOSE(CONTROL!$C$9, $D$9, 100%, $F$9) + CHOOSE(CONTROL!$C$27, 0.0021, 0)</f>
        <v>27.357799999999997</v>
      </c>
      <c r="K122" s="10">
        <f>27.3557 * CHOOSE(CONTROL!$C$9, $D$9, 100%, $F$9) + CHOOSE(CONTROL!$C$27, 0.0021, 0)</f>
        <v>27.357799999999997</v>
      </c>
      <c r="L122" s="10"/>
    </row>
    <row r="123" spans="1:12" ht="15" x14ac:dyDescent="0.2">
      <c r="A123" s="16">
        <v>44652</v>
      </c>
      <c r="B123" s="10">
        <f>27.4177 * CHOOSE(CONTROL!$C$9, $D$9, 100%, $F$9) + CHOOSE(CONTROL!$C$27, 0.0021, 0)</f>
        <v>27.419799999999999</v>
      </c>
      <c r="C123" s="10">
        <f>26.9855 * CHOOSE(CONTROL!$C$9, $D$9, 100%, $F$9) + CHOOSE(CONTROL!$C$27, 0.0021, 0)</f>
        <v>26.987599999999997</v>
      </c>
      <c r="D123" s="10">
        <f>26.9855 * CHOOSE(CONTROL!$C$9, $D$9, 100%, $F$9) + CHOOSE(CONTROL!$C$27, 0.0021, 0)</f>
        <v>26.987599999999997</v>
      </c>
      <c r="E123" s="10">
        <f>26.8488 * CHOOSE(CONTROL!$C$9, $D$9, 100%, $F$9) + CHOOSE(CONTROL!$C$27, 0.0021, 0)</f>
        <v>26.850899999999999</v>
      </c>
      <c r="F123" s="10">
        <f>26.8488 * CHOOSE(CONTROL!$C$9, $D$9, 100%, $F$9) + CHOOSE(CONTROL!$C$27, 0.0021, 0)</f>
        <v>26.850899999999999</v>
      </c>
      <c r="G123" s="10">
        <f>27.1202 * CHOOSE(CONTROL!$C$9, $D$9, 100%, $F$9) + CHOOSE(CONTROL!$C$27, 0.0021, 0)</f>
        <v>27.122299999999999</v>
      </c>
      <c r="H123" s="10">
        <f>26.9855 * CHOOSE(CONTROL!$C$9, $D$9, 100%, $F$9) + CHOOSE(CONTROL!$C$27, 0.0021, 0)</f>
        <v>26.987599999999997</v>
      </c>
      <c r="I123" s="10">
        <f>26.9855 * CHOOSE(CONTROL!$C$9, $D$9, 100%, $F$9) + CHOOSE(CONTROL!$C$27, 0.0021, 0)</f>
        <v>26.987599999999997</v>
      </c>
      <c r="J123" s="10">
        <f>26.9855 * CHOOSE(CONTROL!$C$9, $D$9, 100%, $F$9) + CHOOSE(CONTROL!$C$27, 0.0021, 0)</f>
        <v>26.987599999999997</v>
      </c>
      <c r="K123" s="10">
        <f>26.9855 * CHOOSE(CONTROL!$C$9, $D$9, 100%, $F$9) + CHOOSE(CONTROL!$C$27, 0.0021, 0)</f>
        <v>26.987599999999997</v>
      </c>
      <c r="L123" s="10"/>
    </row>
    <row r="124" spans="1:12" ht="15" x14ac:dyDescent="0.2">
      <c r="A124" s="16">
        <v>44682</v>
      </c>
      <c r="B124" s="10">
        <f>27.9453 * CHOOSE(CONTROL!$C$9, $D$9, 100%, $F$9) + CHOOSE(CONTROL!$C$27, 0.0021, 0)</f>
        <v>27.947399999999998</v>
      </c>
      <c r="C124" s="10">
        <f>27.5131 * CHOOSE(CONTROL!$C$9, $D$9, 100%, $F$9) + CHOOSE(CONTROL!$C$27, 0.0021, 0)</f>
        <v>27.5152</v>
      </c>
      <c r="D124" s="10">
        <f>27.5131 * CHOOSE(CONTROL!$C$9, $D$9, 100%, $F$9) + CHOOSE(CONTROL!$C$27, 0.0021, 0)</f>
        <v>27.5152</v>
      </c>
      <c r="E124" s="10">
        <f>27.3764 * CHOOSE(CONTROL!$C$9, $D$9, 100%, $F$9) + CHOOSE(CONTROL!$C$27, 0.0021, 0)</f>
        <v>27.378499999999999</v>
      </c>
      <c r="F124" s="10">
        <f>27.3764 * CHOOSE(CONTROL!$C$9, $D$9, 100%, $F$9) + CHOOSE(CONTROL!$C$27, 0.0021, 0)</f>
        <v>27.378499999999999</v>
      </c>
      <c r="G124" s="10">
        <f>27.6478 * CHOOSE(CONTROL!$C$9, $D$9, 100%, $F$9) + CHOOSE(CONTROL!$C$27, 0.0021, 0)</f>
        <v>27.649899999999999</v>
      </c>
      <c r="H124" s="10">
        <f>27.5131 * CHOOSE(CONTROL!$C$9, $D$9, 100%, $F$9) + CHOOSE(CONTROL!$C$27, 0.0021, 0)</f>
        <v>27.5152</v>
      </c>
      <c r="I124" s="10">
        <f>27.5131 * CHOOSE(CONTROL!$C$9, $D$9, 100%, $F$9) + CHOOSE(CONTROL!$C$27, 0.0021, 0)</f>
        <v>27.5152</v>
      </c>
      <c r="J124" s="10">
        <f>27.5131 * CHOOSE(CONTROL!$C$9, $D$9, 100%, $F$9) + CHOOSE(CONTROL!$C$27, 0.0021, 0)</f>
        <v>27.5152</v>
      </c>
      <c r="K124" s="10">
        <f>27.5131 * CHOOSE(CONTROL!$C$9, $D$9, 100%, $F$9) + CHOOSE(CONTROL!$C$27, 0.0021, 0)</f>
        <v>27.5152</v>
      </c>
      <c r="L124" s="10"/>
    </row>
    <row r="125" spans="1:12" ht="15" x14ac:dyDescent="0.2">
      <c r="A125" s="16">
        <v>44713</v>
      </c>
      <c r="B125" s="10">
        <f>28.2614 * CHOOSE(CONTROL!$C$9, $D$9, 100%, $F$9) + CHOOSE(CONTROL!$C$27, 0.0021, 0)</f>
        <v>28.263499999999997</v>
      </c>
      <c r="C125" s="10">
        <f>27.8291 * CHOOSE(CONTROL!$C$9, $D$9, 100%, $F$9) + CHOOSE(CONTROL!$C$27, 0.0021, 0)</f>
        <v>27.831199999999999</v>
      </c>
      <c r="D125" s="10">
        <f>27.8291 * CHOOSE(CONTROL!$C$9, $D$9, 100%, $F$9) + CHOOSE(CONTROL!$C$27, 0.0021, 0)</f>
        <v>27.831199999999999</v>
      </c>
      <c r="E125" s="10">
        <f>27.6925 * CHOOSE(CONTROL!$C$9, $D$9, 100%, $F$9) + CHOOSE(CONTROL!$C$27, 0.0021, 0)</f>
        <v>27.694599999999998</v>
      </c>
      <c r="F125" s="10">
        <f>27.6925 * CHOOSE(CONTROL!$C$9, $D$9, 100%, $F$9) + CHOOSE(CONTROL!$C$27, 0.0021, 0)</f>
        <v>27.694599999999998</v>
      </c>
      <c r="G125" s="10">
        <f>27.9638 * CHOOSE(CONTROL!$C$9, $D$9, 100%, $F$9) + CHOOSE(CONTROL!$C$27, 0.0021, 0)</f>
        <v>27.965899999999998</v>
      </c>
      <c r="H125" s="10">
        <f>27.8291 * CHOOSE(CONTROL!$C$9, $D$9, 100%, $F$9) + CHOOSE(CONTROL!$C$27, 0.0021, 0)</f>
        <v>27.831199999999999</v>
      </c>
      <c r="I125" s="10">
        <f>27.8291 * CHOOSE(CONTROL!$C$9, $D$9, 100%, $F$9) + CHOOSE(CONTROL!$C$27, 0.0021, 0)</f>
        <v>27.831199999999999</v>
      </c>
      <c r="J125" s="10">
        <f>27.8291 * CHOOSE(CONTROL!$C$9, $D$9, 100%, $F$9) + CHOOSE(CONTROL!$C$27, 0.0021, 0)</f>
        <v>27.831199999999999</v>
      </c>
      <c r="K125" s="10">
        <f>27.8291 * CHOOSE(CONTROL!$C$9, $D$9, 100%, $F$9) + CHOOSE(CONTROL!$C$27, 0.0021, 0)</f>
        <v>27.831199999999999</v>
      </c>
      <c r="L125" s="10"/>
    </row>
    <row r="126" spans="1:12" ht="15" x14ac:dyDescent="0.2">
      <c r="A126" s="16">
        <v>44743</v>
      </c>
      <c r="B126" s="10">
        <f>28.7827 * CHOOSE(CONTROL!$C$9, $D$9, 100%, $F$9) + CHOOSE(CONTROL!$C$27, 0.0021, 0)</f>
        <v>28.784799999999997</v>
      </c>
      <c r="C126" s="10">
        <f>28.3505 * CHOOSE(CONTROL!$C$9, $D$9, 100%, $F$9) + CHOOSE(CONTROL!$C$27, 0.0021, 0)</f>
        <v>28.352599999999999</v>
      </c>
      <c r="D126" s="10">
        <f>28.3505 * CHOOSE(CONTROL!$C$9, $D$9, 100%, $F$9) + CHOOSE(CONTROL!$C$27, 0.0021, 0)</f>
        <v>28.352599999999999</v>
      </c>
      <c r="E126" s="10">
        <f>28.2138 * CHOOSE(CONTROL!$C$9, $D$9, 100%, $F$9) + CHOOSE(CONTROL!$C$27, 0.0021, 0)</f>
        <v>28.215899999999998</v>
      </c>
      <c r="F126" s="10">
        <f>28.2138 * CHOOSE(CONTROL!$C$9, $D$9, 100%, $F$9) + CHOOSE(CONTROL!$C$27, 0.0021, 0)</f>
        <v>28.215899999999998</v>
      </c>
      <c r="G126" s="10">
        <f>28.4852 * CHOOSE(CONTROL!$C$9, $D$9, 100%, $F$9) + CHOOSE(CONTROL!$C$27, 0.0021, 0)</f>
        <v>28.487299999999998</v>
      </c>
      <c r="H126" s="10">
        <f>28.3505 * CHOOSE(CONTROL!$C$9, $D$9, 100%, $F$9) + CHOOSE(CONTROL!$C$27, 0.0021, 0)</f>
        <v>28.352599999999999</v>
      </c>
      <c r="I126" s="10">
        <f>28.3505 * CHOOSE(CONTROL!$C$9, $D$9, 100%, $F$9) + CHOOSE(CONTROL!$C$27, 0.0021, 0)</f>
        <v>28.352599999999999</v>
      </c>
      <c r="J126" s="10">
        <f>28.3505 * CHOOSE(CONTROL!$C$9, $D$9, 100%, $F$9) + CHOOSE(CONTROL!$C$27, 0.0021, 0)</f>
        <v>28.352599999999999</v>
      </c>
      <c r="K126" s="10">
        <f>28.3505 * CHOOSE(CONTROL!$C$9, $D$9, 100%, $F$9) + CHOOSE(CONTROL!$C$27, 0.0021, 0)</f>
        <v>28.352599999999999</v>
      </c>
      <c r="L126" s="10"/>
    </row>
    <row r="127" spans="1:12" ht="15" x14ac:dyDescent="0.2">
      <c r="A127" s="16">
        <v>44774</v>
      </c>
      <c r="B127" s="10">
        <f>28.9419 * CHOOSE(CONTROL!$C$9, $D$9, 100%, $F$9) + CHOOSE(CONTROL!$C$27, 0.0021, 0)</f>
        <v>28.943999999999999</v>
      </c>
      <c r="C127" s="10">
        <f>28.5096 * CHOOSE(CONTROL!$C$9, $D$9, 100%, $F$9) + CHOOSE(CONTROL!$C$27, 0.0021, 0)</f>
        <v>28.511699999999998</v>
      </c>
      <c r="D127" s="10">
        <f>28.5096 * CHOOSE(CONTROL!$C$9, $D$9, 100%, $F$9) + CHOOSE(CONTROL!$C$27, 0.0021, 0)</f>
        <v>28.511699999999998</v>
      </c>
      <c r="E127" s="10">
        <f>28.3729 * CHOOSE(CONTROL!$C$9, $D$9, 100%, $F$9) + CHOOSE(CONTROL!$C$27, 0.0021, 0)</f>
        <v>28.375</v>
      </c>
      <c r="F127" s="10">
        <f>28.3729 * CHOOSE(CONTROL!$C$9, $D$9, 100%, $F$9) + CHOOSE(CONTROL!$C$27, 0.0021, 0)</f>
        <v>28.375</v>
      </c>
      <c r="G127" s="10">
        <f>28.6443 * CHOOSE(CONTROL!$C$9, $D$9, 100%, $F$9) + CHOOSE(CONTROL!$C$27, 0.0021, 0)</f>
        <v>28.6464</v>
      </c>
      <c r="H127" s="10">
        <f>28.5096 * CHOOSE(CONTROL!$C$9, $D$9, 100%, $F$9) + CHOOSE(CONTROL!$C$27, 0.0021, 0)</f>
        <v>28.511699999999998</v>
      </c>
      <c r="I127" s="10">
        <f>28.5096 * CHOOSE(CONTROL!$C$9, $D$9, 100%, $F$9) + CHOOSE(CONTROL!$C$27, 0.0021, 0)</f>
        <v>28.511699999999998</v>
      </c>
      <c r="J127" s="10">
        <f>28.5096 * CHOOSE(CONTROL!$C$9, $D$9, 100%, $F$9) + CHOOSE(CONTROL!$C$27, 0.0021, 0)</f>
        <v>28.511699999999998</v>
      </c>
      <c r="K127" s="10">
        <f>28.5096 * CHOOSE(CONTROL!$C$9, $D$9, 100%, $F$9) + CHOOSE(CONTROL!$C$27, 0.0021, 0)</f>
        <v>28.511699999999998</v>
      </c>
      <c r="L127" s="10"/>
    </row>
    <row r="128" spans="1:12" ht="15" x14ac:dyDescent="0.2">
      <c r="A128" s="16">
        <v>44805</v>
      </c>
      <c r="B128" s="10">
        <f>29.4838 * CHOOSE(CONTROL!$C$9, $D$9, 100%, $F$9) + CHOOSE(CONTROL!$C$27, 0.0021, 0)</f>
        <v>29.485899999999997</v>
      </c>
      <c r="C128" s="10">
        <f>29.0515 * CHOOSE(CONTROL!$C$9, $D$9, 100%, $F$9) + CHOOSE(CONTROL!$C$27, 0.0021, 0)</f>
        <v>29.053599999999999</v>
      </c>
      <c r="D128" s="10">
        <f>29.0515 * CHOOSE(CONTROL!$C$9, $D$9, 100%, $F$9) + CHOOSE(CONTROL!$C$27, 0.0021, 0)</f>
        <v>29.053599999999999</v>
      </c>
      <c r="E128" s="10">
        <f>28.9149 * CHOOSE(CONTROL!$C$9, $D$9, 100%, $F$9) + CHOOSE(CONTROL!$C$27, 0.0021, 0)</f>
        <v>28.916999999999998</v>
      </c>
      <c r="F128" s="10">
        <f>28.9149 * CHOOSE(CONTROL!$C$9, $D$9, 100%, $F$9) + CHOOSE(CONTROL!$C$27, 0.0021, 0)</f>
        <v>28.916999999999998</v>
      </c>
      <c r="G128" s="10">
        <f>29.1862 * CHOOSE(CONTROL!$C$9, $D$9, 100%, $F$9) + CHOOSE(CONTROL!$C$27, 0.0021, 0)</f>
        <v>29.188299999999998</v>
      </c>
      <c r="H128" s="10">
        <f>29.0515 * CHOOSE(CONTROL!$C$9, $D$9, 100%, $F$9) + CHOOSE(CONTROL!$C$27, 0.0021, 0)</f>
        <v>29.053599999999999</v>
      </c>
      <c r="I128" s="10">
        <f>29.0515 * CHOOSE(CONTROL!$C$9, $D$9, 100%, $F$9) + CHOOSE(CONTROL!$C$27, 0.0021, 0)</f>
        <v>29.053599999999999</v>
      </c>
      <c r="J128" s="10">
        <f>29.0515 * CHOOSE(CONTROL!$C$9, $D$9, 100%, $F$9) + CHOOSE(CONTROL!$C$27, 0.0021, 0)</f>
        <v>29.053599999999999</v>
      </c>
      <c r="K128" s="10">
        <f>29.0515 * CHOOSE(CONTROL!$C$9, $D$9, 100%, $F$9) + CHOOSE(CONTROL!$C$27, 0.0021, 0)</f>
        <v>29.053599999999999</v>
      </c>
      <c r="L128" s="10"/>
    </row>
    <row r="129" spans="1:12" ht="15" x14ac:dyDescent="0.2">
      <c r="A129" s="16">
        <v>44835</v>
      </c>
      <c r="B129" s="10">
        <f>30.1697 * CHOOSE(CONTROL!$C$9, $D$9, 100%, $F$9) + CHOOSE(CONTROL!$C$27, 0.0021, 0)</f>
        <v>30.171799999999998</v>
      </c>
      <c r="C129" s="10">
        <f>29.7375 * CHOOSE(CONTROL!$C$9, $D$9, 100%, $F$9) + CHOOSE(CONTROL!$C$27, 0.0021, 0)</f>
        <v>29.739599999999999</v>
      </c>
      <c r="D129" s="10">
        <f>29.7375 * CHOOSE(CONTROL!$C$9, $D$9, 100%, $F$9) + CHOOSE(CONTROL!$C$27, 0.0021, 0)</f>
        <v>29.739599999999999</v>
      </c>
      <c r="E129" s="10">
        <f>29.6008 * CHOOSE(CONTROL!$C$9, $D$9, 100%, $F$9) + CHOOSE(CONTROL!$C$27, 0.0021, 0)</f>
        <v>29.602899999999998</v>
      </c>
      <c r="F129" s="10">
        <f>29.6008 * CHOOSE(CONTROL!$C$9, $D$9, 100%, $F$9) + CHOOSE(CONTROL!$C$27, 0.0021, 0)</f>
        <v>29.602899999999998</v>
      </c>
      <c r="G129" s="10">
        <f>29.8722 * CHOOSE(CONTROL!$C$9, $D$9, 100%, $F$9) + CHOOSE(CONTROL!$C$27, 0.0021, 0)</f>
        <v>29.874299999999998</v>
      </c>
      <c r="H129" s="10">
        <f>29.7375 * CHOOSE(CONTROL!$C$9, $D$9, 100%, $F$9) + CHOOSE(CONTROL!$C$27, 0.0021, 0)</f>
        <v>29.739599999999999</v>
      </c>
      <c r="I129" s="10">
        <f>29.7375 * CHOOSE(CONTROL!$C$9, $D$9, 100%, $F$9) + CHOOSE(CONTROL!$C$27, 0.0021, 0)</f>
        <v>29.739599999999999</v>
      </c>
      <c r="J129" s="10">
        <f>29.7375 * CHOOSE(CONTROL!$C$9, $D$9, 100%, $F$9) + CHOOSE(CONTROL!$C$27, 0.0021, 0)</f>
        <v>29.739599999999999</v>
      </c>
      <c r="K129" s="10">
        <f>29.7375 * CHOOSE(CONTROL!$C$9, $D$9, 100%, $F$9) + CHOOSE(CONTROL!$C$27, 0.0021, 0)</f>
        <v>29.739599999999999</v>
      </c>
      <c r="L129" s="10"/>
    </row>
    <row r="130" spans="1:12" ht="15" x14ac:dyDescent="0.2">
      <c r="A130" s="16">
        <v>44866</v>
      </c>
      <c r="B130" s="10">
        <f>30.2341 * CHOOSE(CONTROL!$C$9, $D$9, 100%, $F$9) + CHOOSE(CONTROL!$C$27, 0.0021, 0)</f>
        <v>30.2362</v>
      </c>
      <c r="C130" s="10">
        <f>29.8019 * CHOOSE(CONTROL!$C$9, $D$9, 100%, $F$9) + CHOOSE(CONTROL!$C$27, 0.0021, 0)</f>
        <v>29.803999999999998</v>
      </c>
      <c r="D130" s="10">
        <f>29.8019 * CHOOSE(CONTROL!$C$9, $D$9, 100%, $F$9) + CHOOSE(CONTROL!$C$27, 0.0021, 0)</f>
        <v>29.803999999999998</v>
      </c>
      <c r="E130" s="10">
        <f>29.6652 * CHOOSE(CONTROL!$C$9, $D$9, 100%, $F$9) + CHOOSE(CONTROL!$C$27, 0.0021, 0)</f>
        <v>29.667299999999997</v>
      </c>
      <c r="F130" s="10">
        <f>29.6652 * CHOOSE(CONTROL!$C$9, $D$9, 100%, $F$9) + CHOOSE(CONTROL!$C$27, 0.0021, 0)</f>
        <v>29.667299999999997</v>
      </c>
      <c r="G130" s="10">
        <f>29.9366 * CHOOSE(CONTROL!$C$9, $D$9, 100%, $F$9) + CHOOSE(CONTROL!$C$27, 0.0021, 0)</f>
        <v>29.938699999999997</v>
      </c>
      <c r="H130" s="10">
        <f>29.8019 * CHOOSE(CONTROL!$C$9, $D$9, 100%, $F$9) + CHOOSE(CONTROL!$C$27, 0.0021, 0)</f>
        <v>29.803999999999998</v>
      </c>
      <c r="I130" s="10">
        <f>29.8019 * CHOOSE(CONTROL!$C$9, $D$9, 100%, $F$9) + CHOOSE(CONTROL!$C$27, 0.0021, 0)</f>
        <v>29.803999999999998</v>
      </c>
      <c r="J130" s="10">
        <f>29.8019 * CHOOSE(CONTROL!$C$9, $D$9, 100%, $F$9) + CHOOSE(CONTROL!$C$27, 0.0021, 0)</f>
        <v>29.803999999999998</v>
      </c>
      <c r="K130" s="10">
        <f>29.8019 * CHOOSE(CONTROL!$C$9, $D$9, 100%, $F$9) + CHOOSE(CONTROL!$C$27, 0.0021, 0)</f>
        <v>29.803999999999998</v>
      </c>
      <c r="L130" s="10"/>
    </row>
    <row r="131" spans="1:12" ht="15" x14ac:dyDescent="0.2">
      <c r="A131" s="16">
        <v>44896</v>
      </c>
      <c r="B131" s="10">
        <f>29.6863 * CHOOSE(CONTROL!$C$9, $D$9, 100%, $F$9) + CHOOSE(CONTROL!$C$27, 0.0021, 0)</f>
        <v>29.688399999999998</v>
      </c>
      <c r="C131" s="10">
        <f>29.254 * CHOOSE(CONTROL!$C$9, $D$9, 100%, $F$9) + CHOOSE(CONTROL!$C$27, 0.0021, 0)</f>
        <v>29.2561</v>
      </c>
      <c r="D131" s="10">
        <f>29.254 * CHOOSE(CONTROL!$C$9, $D$9, 100%, $F$9) + CHOOSE(CONTROL!$C$27, 0.0021, 0)</f>
        <v>29.2561</v>
      </c>
      <c r="E131" s="10">
        <f>29.1174 * CHOOSE(CONTROL!$C$9, $D$9, 100%, $F$9) + CHOOSE(CONTROL!$C$27, 0.0021, 0)</f>
        <v>29.119499999999999</v>
      </c>
      <c r="F131" s="10">
        <f>29.1174 * CHOOSE(CONTROL!$C$9, $D$9, 100%, $F$9) + CHOOSE(CONTROL!$C$27, 0.0021, 0)</f>
        <v>29.119499999999999</v>
      </c>
      <c r="G131" s="10">
        <f>29.3887 * CHOOSE(CONTROL!$C$9, $D$9, 100%, $F$9) + CHOOSE(CONTROL!$C$27, 0.0021, 0)</f>
        <v>29.390799999999999</v>
      </c>
      <c r="H131" s="10">
        <f>29.254 * CHOOSE(CONTROL!$C$9, $D$9, 100%, $F$9) + CHOOSE(CONTROL!$C$27, 0.0021, 0)</f>
        <v>29.2561</v>
      </c>
      <c r="I131" s="10">
        <f>29.254 * CHOOSE(CONTROL!$C$9, $D$9, 100%, $F$9) + CHOOSE(CONTROL!$C$27, 0.0021, 0)</f>
        <v>29.2561</v>
      </c>
      <c r="J131" s="10">
        <f>29.254 * CHOOSE(CONTROL!$C$9, $D$9, 100%, $F$9) + CHOOSE(CONTROL!$C$27, 0.0021, 0)</f>
        <v>29.2561</v>
      </c>
      <c r="K131" s="10">
        <f>29.254 * CHOOSE(CONTROL!$C$9, $D$9, 100%, $F$9) + CHOOSE(CONTROL!$C$27, 0.0021, 0)</f>
        <v>29.2561</v>
      </c>
      <c r="L131" s="10"/>
    </row>
    <row r="132" spans="1:12" ht="15" x14ac:dyDescent="0.2">
      <c r="A132" s="16">
        <v>44927</v>
      </c>
      <c r="B132" s="10">
        <f>30.1009 * CHOOSE(CONTROL!$C$9, $D$9, 100%, $F$9) + CHOOSE(CONTROL!$C$27, 0.0021, 0)</f>
        <v>30.102999999999998</v>
      </c>
      <c r="C132" s="10">
        <f>29.6686 * CHOOSE(CONTROL!$C$9, $D$9, 100%, $F$9) + CHOOSE(CONTROL!$C$27, 0.0021, 0)</f>
        <v>29.6707</v>
      </c>
      <c r="D132" s="10">
        <f>29.6686 * CHOOSE(CONTROL!$C$9, $D$9, 100%, $F$9) + CHOOSE(CONTROL!$C$27, 0.0021, 0)</f>
        <v>29.6707</v>
      </c>
      <c r="E132" s="10">
        <f>29.532 * CHOOSE(CONTROL!$C$9, $D$9, 100%, $F$9) + CHOOSE(CONTROL!$C$27, 0.0021, 0)</f>
        <v>29.534099999999999</v>
      </c>
      <c r="F132" s="10">
        <f>29.532 * CHOOSE(CONTROL!$C$9, $D$9, 100%, $F$9) + CHOOSE(CONTROL!$C$27, 0.0021, 0)</f>
        <v>29.534099999999999</v>
      </c>
      <c r="G132" s="10">
        <f>29.8034 * CHOOSE(CONTROL!$C$9, $D$9, 100%, $F$9) + CHOOSE(CONTROL!$C$27, 0.0021, 0)</f>
        <v>29.805499999999999</v>
      </c>
      <c r="H132" s="10">
        <f>29.6686 * CHOOSE(CONTROL!$C$9, $D$9, 100%, $F$9) + CHOOSE(CONTROL!$C$27, 0.0021, 0)</f>
        <v>29.6707</v>
      </c>
      <c r="I132" s="10">
        <f>29.6686 * CHOOSE(CONTROL!$C$9, $D$9, 100%, $F$9) + CHOOSE(CONTROL!$C$27, 0.0021, 0)</f>
        <v>29.6707</v>
      </c>
      <c r="J132" s="10">
        <f>29.6686 * CHOOSE(CONTROL!$C$9, $D$9, 100%, $F$9) + CHOOSE(CONTROL!$C$27, 0.0021, 0)</f>
        <v>29.6707</v>
      </c>
      <c r="K132" s="10">
        <f>29.6686 * CHOOSE(CONTROL!$C$9, $D$9, 100%, $F$9) + CHOOSE(CONTROL!$C$27, 0.0021, 0)</f>
        <v>29.6707</v>
      </c>
      <c r="L132" s="10"/>
    </row>
    <row r="133" spans="1:12" ht="15" x14ac:dyDescent="0.2">
      <c r="A133" s="16">
        <v>44958</v>
      </c>
      <c r="B133" s="10">
        <f>29.3143 * CHOOSE(CONTROL!$C$9, $D$9, 100%, $F$9) + CHOOSE(CONTROL!$C$27, 0.0021, 0)</f>
        <v>29.316399999999998</v>
      </c>
      <c r="C133" s="10">
        <f>28.8821 * CHOOSE(CONTROL!$C$9, $D$9, 100%, $F$9) + CHOOSE(CONTROL!$C$27, 0.0021, 0)</f>
        <v>28.8842</v>
      </c>
      <c r="D133" s="10">
        <f>28.8821 * CHOOSE(CONTROL!$C$9, $D$9, 100%, $F$9) + CHOOSE(CONTROL!$C$27, 0.0021, 0)</f>
        <v>28.8842</v>
      </c>
      <c r="E133" s="10">
        <f>28.7454 * CHOOSE(CONTROL!$C$9, $D$9, 100%, $F$9) + CHOOSE(CONTROL!$C$27, 0.0021, 0)</f>
        <v>28.747499999999999</v>
      </c>
      <c r="F133" s="10">
        <f>28.7454 * CHOOSE(CONTROL!$C$9, $D$9, 100%, $F$9) + CHOOSE(CONTROL!$C$27, 0.0021, 0)</f>
        <v>28.747499999999999</v>
      </c>
      <c r="G133" s="10">
        <f>29.0168 * CHOOSE(CONTROL!$C$9, $D$9, 100%, $F$9) + CHOOSE(CONTROL!$C$27, 0.0021, 0)</f>
        <v>29.018899999999999</v>
      </c>
      <c r="H133" s="10">
        <f>28.8821 * CHOOSE(CONTROL!$C$9, $D$9, 100%, $F$9) + CHOOSE(CONTROL!$C$27, 0.0021, 0)</f>
        <v>28.8842</v>
      </c>
      <c r="I133" s="10">
        <f>28.8821 * CHOOSE(CONTROL!$C$9, $D$9, 100%, $F$9) + CHOOSE(CONTROL!$C$27, 0.0021, 0)</f>
        <v>28.8842</v>
      </c>
      <c r="J133" s="10">
        <f>28.8821 * CHOOSE(CONTROL!$C$9, $D$9, 100%, $F$9) + CHOOSE(CONTROL!$C$27, 0.0021, 0)</f>
        <v>28.8842</v>
      </c>
      <c r="K133" s="10">
        <f>28.8821 * CHOOSE(CONTROL!$C$9, $D$9, 100%, $F$9) + CHOOSE(CONTROL!$C$27, 0.0021, 0)</f>
        <v>28.8842</v>
      </c>
      <c r="L133" s="10"/>
    </row>
    <row r="134" spans="1:12" ht="15" x14ac:dyDescent="0.2">
      <c r="A134" s="16">
        <v>44986</v>
      </c>
      <c r="B134" s="10">
        <f>28.9896 * CHOOSE(CONTROL!$C$9, $D$9, 100%, $F$9) + CHOOSE(CONTROL!$C$27, 0.0021, 0)</f>
        <v>28.991699999999998</v>
      </c>
      <c r="C134" s="10">
        <f>28.5574 * CHOOSE(CONTROL!$C$9, $D$9, 100%, $F$9) + CHOOSE(CONTROL!$C$27, 0.0021, 0)</f>
        <v>28.5595</v>
      </c>
      <c r="D134" s="10">
        <f>28.5574 * CHOOSE(CONTROL!$C$9, $D$9, 100%, $F$9) + CHOOSE(CONTROL!$C$27, 0.0021, 0)</f>
        <v>28.5595</v>
      </c>
      <c r="E134" s="10">
        <f>28.4207 * CHOOSE(CONTROL!$C$9, $D$9, 100%, $F$9) + CHOOSE(CONTROL!$C$27, 0.0021, 0)</f>
        <v>28.422799999999999</v>
      </c>
      <c r="F134" s="10">
        <f>28.4207 * CHOOSE(CONTROL!$C$9, $D$9, 100%, $F$9) + CHOOSE(CONTROL!$C$27, 0.0021, 0)</f>
        <v>28.422799999999999</v>
      </c>
      <c r="G134" s="10">
        <f>28.6921 * CHOOSE(CONTROL!$C$9, $D$9, 100%, $F$9) + CHOOSE(CONTROL!$C$27, 0.0021, 0)</f>
        <v>28.694199999999999</v>
      </c>
      <c r="H134" s="10">
        <f>28.5574 * CHOOSE(CONTROL!$C$9, $D$9, 100%, $F$9) + CHOOSE(CONTROL!$C$27, 0.0021, 0)</f>
        <v>28.5595</v>
      </c>
      <c r="I134" s="10">
        <f>28.5574 * CHOOSE(CONTROL!$C$9, $D$9, 100%, $F$9) + CHOOSE(CONTROL!$C$27, 0.0021, 0)</f>
        <v>28.5595</v>
      </c>
      <c r="J134" s="10">
        <f>28.5574 * CHOOSE(CONTROL!$C$9, $D$9, 100%, $F$9) + CHOOSE(CONTROL!$C$27, 0.0021, 0)</f>
        <v>28.5595</v>
      </c>
      <c r="K134" s="10">
        <f>28.5574 * CHOOSE(CONTROL!$C$9, $D$9, 100%, $F$9) + CHOOSE(CONTROL!$C$27, 0.0021, 0)</f>
        <v>28.5595</v>
      </c>
      <c r="L134" s="10"/>
    </row>
    <row r="135" spans="1:12" ht="15" x14ac:dyDescent="0.2">
      <c r="A135" s="16">
        <v>45017</v>
      </c>
      <c r="B135" s="10">
        <f>28.6019 * CHOOSE(CONTROL!$C$9, $D$9, 100%, $F$9) + CHOOSE(CONTROL!$C$27, 0.0021, 0)</f>
        <v>28.603999999999999</v>
      </c>
      <c r="C135" s="10">
        <f>28.1697 * CHOOSE(CONTROL!$C$9, $D$9, 100%, $F$9) + CHOOSE(CONTROL!$C$27, 0.0021, 0)</f>
        <v>28.171799999999998</v>
      </c>
      <c r="D135" s="10">
        <f>28.1697 * CHOOSE(CONTROL!$C$9, $D$9, 100%, $F$9) + CHOOSE(CONTROL!$C$27, 0.0021, 0)</f>
        <v>28.171799999999998</v>
      </c>
      <c r="E135" s="10">
        <f>28.033 * CHOOSE(CONTROL!$C$9, $D$9, 100%, $F$9) + CHOOSE(CONTROL!$C$27, 0.0021, 0)</f>
        <v>28.0351</v>
      </c>
      <c r="F135" s="10">
        <f>28.033 * CHOOSE(CONTROL!$C$9, $D$9, 100%, $F$9) + CHOOSE(CONTROL!$C$27, 0.0021, 0)</f>
        <v>28.0351</v>
      </c>
      <c r="G135" s="10">
        <f>28.3044 * CHOOSE(CONTROL!$C$9, $D$9, 100%, $F$9) + CHOOSE(CONTROL!$C$27, 0.0021, 0)</f>
        <v>28.3065</v>
      </c>
      <c r="H135" s="10">
        <f>28.1697 * CHOOSE(CONTROL!$C$9, $D$9, 100%, $F$9) + CHOOSE(CONTROL!$C$27, 0.0021, 0)</f>
        <v>28.171799999999998</v>
      </c>
      <c r="I135" s="10">
        <f>28.1697 * CHOOSE(CONTROL!$C$9, $D$9, 100%, $F$9) + CHOOSE(CONTROL!$C$27, 0.0021, 0)</f>
        <v>28.171799999999998</v>
      </c>
      <c r="J135" s="10">
        <f>28.1697 * CHOOSE(CONTROL!$C$9, $D$9, 100%, $F$9) + CHOOSE(CONTROL!$C$27, 0.0021, 0)</f>
        <v>28.171799999999998</v>
      </c>
      <c r="K135" s="10">
        <f>28.1697 * CHOOSE(CONTROL!$C$9, $D$9, 100%, $F$9) + CHOOSE(CONTROL!$C$27, 0.0021, 0)</f>
        <v>28.171799999999998</v>
      </c>
      <c r="L135" s="10"/>
    </row>
    <row r="136" spans="1:12" ht="15" x14ac:dyDescent="0.2">
      <c r="A136" s="16">
        <v>45047</v>
      </c>
      <c r="B136" s="10">
        <f>29.1544 * CHOOSE(CONTROL!$C$9, $D$9, 100%, $F$9) + CHOOSE(CONTROL!$C$27, 0.0021, 0)</f>
        <v>29.156499999999998</v>
      </c>
      <c r="C136" s="10">
        <f>28.7222 * CHOOSE(CONTROL!$C$9, $D$9, 100%, $F$9) + CHOOSE(CONTROL!$C$27, 0.0021, 0)</f>
        <v>28.724299999999999</v>
      </c>
      <c r="D136" s="10">
        <f>28.7222 * CHOOSE(CONTROL!$C$9, $D$9, 100%, $F$9) + CHOOSE(CONTROL!$C$27, 0.0021, 0)</f>
        <v>28.724299999999999</v>
      </c>
      <c r="E136" s="10">
        <f>28.5855 * CHOOSE(CONTROL!$C$9, $D$9, 100%, $F$9) + CHOOSE(CONTROL!$C$27, 0.0021, 0)</f>
        <v>28.587599999999998</v>
      </c>
      <c r="F136" s="10">
        <f>28.5855 * CHOOSE(CONTROL!$C$9, $D$9, 100%, $F$9) + CHOOSE(CONTROL!$C$27, 0.0021, 0)</f>
        <v>28.587599999999998</v>
      </c>
      <c r="G136" s="10">
        <f>28.8569 * CHOOSE(CONTROL!$C$9, $D$9, 100%, $F$9) + CHOOSE(CONTROL!$C$27, 0.0021, 0)</f>
        <v>28.858999999999998</v>
      </c>
      <c r="H136" s="10">
        <f>28.7222 * CHOOSE(CONTROL!$C$9, $D$9, 100%, $F$9) + CHOOSE(CONTROL!$C$27, 0.0021, 0)</f>
        <v>28.724299999999999</v>
      </c>
      <c r="I136" s="10">
        <f>28.7222 * CHOOSE(CONTROL!$C$9, $D$9, 100%, $F$9) + CHOOSE(CONTROL!$C$27, 0.0021, 0)</f>
        <v>28.724299999999999</v>
      </c>
      <c r="J136" s="10">
        <f>28.7222 * CHOOSE(CONTROL!$C$9, $D$9, 100%, $F$9) + CHOOSE(CONTROL!$C$27, 0.0021, 0)</f>
        <v>28.724299999999999</v>
      </c>
      <c r="K136" s="10">
        <f>28.7222 * CHOOSE(CONTROL!$C$9, $D$9, 100%, $F$9) + CHOOSE(CONTROL!$C$27, 0.0021, 0)</f>
        <v>28.724299999999999</v>
      </c>
      <c r="L136" s="10"/>
    </row>
    <row r="137" spans="1:12" ht="15" x14ac:dyDescent="0.2">
      <c r="A137" s="16">
        <v>45078</v>
      </c>
      <c r="B137" s="10">
        <f>29.4854 * CHOOSE(CONTROL!$C$9, $D$9, 100%, $F$9) + CHOOSE(CONTROL!$C$27, 0.0021, 0)</f>
        <v>29.487499999999997</v>
      </c>
      <c r="C137" s="10">
        <f>29.0531 * CHOOSE(CONTROL!$C$9, $D$9, 100%, $F$9) + CHOOSE(CONTROL!$C$27, 0.0021, 0)</f>
        <v>29.055199999999999</v>
      </c>
      <c r="D137" s="10">
        <f>29.0531 * CHOOSE(CONTROL!$C$9, $D$9, 100%, $F$9) + CHOOSE(CONTROL!$C$27, 0.0021, 0)</f>
        <v>29.055199999999999</v>
      </c>
      <c r="E137" s="10">
        <f>28.9165 * CHOOSE(CONTROL!$C$9, $D$9, 100%, $F$9) + CHOOSE(CONTROL!$C$27, 0.0021, 0)</f>
        <v>28.918599999999998</v>
      </c>
      <c r="F137" s="10">
        <f>28.9165 * CHOOSE(CONTROL!$C$9, $D$9, 100%, $F$9) + CHOOSE(CONTROL!$C$27, 0.0021, 0)</f>
        <v>28.918599999999998</v>
      </c>
      <c r="G137" s="10">
        <f>29.1878 * CHOOSE(CONTROL!$C$9, $D$9, 100%, $F$9) + CHOOSE(CONTROL!$C$27, 0.0021, 0)</f>
        <v>29.189899999999998</v>
      </c>
      <c r="H137" s="10">
        <f>29.0531 * CHOOSE(CONTROL!$C$9, $D$9, 100%, $F$9) + CHOOSE(CONTROL!$C$27, 0.0021, 0)</f>
        <v>29.055199999999999</v>
      </c>
      <c r="I137" s="10">
        <f>29.0531 * CHOOSE(CONTROL!$C$9, $D$9, 100%, $F$9) + CHOOSE(CONTROL!$C$27, 0.0021, 0)</f>
        <v>29.055199999999999</v>
      </c>
      <c r="J137" s="10">
        <f>29.0531 * CHOOSE(CONTROL!$C$9, $D$9, 100%, $F$9) + CHOOSE(CONTROL!$C$27, 0.0021, 0)</f>
        <v>29.055199999999999</v>
      </c>
      <c r="K137" s="10">
        <f>29.0531 * CHOOSE(CONTROL!$C$9, $D$9, 100%, $F$9) + CHOOSE(CONTROL!$C$27, 0.0021, 0)</f>
        <v>29.055199999999999</v>
      </c>
      <c r="L137" s="10"/>
    </row>
    <row r="138" spans="1:12" ht="15" x14ac:dyDescent="0.2">
      <c r="A138" s="16">
        <v>45108</v>
      </c>
      <c r="B138" s="10">
        <f>30.0313 * CHOOSE(CONTROL!$C$9, $D$9, 100%, $F$9) + CHOOSE(CONTROL!$C$27, 0.0021, 0)</f>
        <v>30.0334</v>
      </c>
      <c r="C138" s="10">
        <f>29.599 * CHOOSE(CONTROL!$C$9, $D$9, 100%, $F$9) + CHOOSE(CONTROL!$C$27, 0.0021, 0)</f>
        <v>29.601099999999999</v>
      </c>
      <c r="D138" s="10">
        <f>29.599 * CHOOSE(CONTROL!$C$9, $D$9, 100%, $F$9) + CHOOSE(CONTROL!$C$27, 0.0021, 0)</f>
        <v>29.601099999999999</v>
      </c>
      <c r="E138" s="10">
        <f>29.4624 * CHOOSE(CONTROL!$C$9, $D$9, 100%, $F$9) + CHOOSE(CONTROL!$C$27, 0.0021, 0)</f>
        <v>29.464499999999997</v>
      </c>
      <c r="F138" s="10">
        <f>29.4624 * CHOOSE(CONTROL!$C$9, $D$9, 100%, $F$9) + CHOOSE(CONTROL!$C$27, 0.0021, 0)</f>
        <v>29.464499999999997</v>
      </c>
      <c r="G138" s="10">
        <f>29.7337 * CHOOSE(CONTROL!$C$9, $D$9, 100%, $F$9) + CHOOSE(CONTROL!$C$27, 0.0021, 0)</f>
        <v>29.735799999999998</v>
      </c>
      <c r="H138" s="10">
        <f>29.599 * CHOOSE(CONTROL!$C$9, $D$9, 100%, $F$9) + CHOOSE(CONTROL!$C$27, 0.0021, 0)</f>
        <v>29.601099999999999</v>
      </c>
      <c r="I138" s="10">
        <f>29.599 * CHOOSE(CONTROL!$C$9, $D$9, 100%, $F$9) + CHOOSE(CONTROL!$C$27, 0.0021, 0)</f>
        <v>29.601099999999999</v>
      </c>
      <c r="J138" s="10">
        <f>29.599 * CHOOSE(CONTROL!$C$9, $D$9, 100%, $F$9) + CHOOSE(CONTROL!$C$27, 0.0021, 0)</f>
        <v>29.601099999999999</v>
      </c>
      <c r="K138" s="10">
        <f>29.599 * CHOOSE(CONTROL!$C$9, $D$9, 100%, $F$9) + CHOOSE(CONTROL!$C$27, 0.0021, 0)</f>
        <v>29.601099999999999</v>
      </c>
      <c r="L138" s="10"/>
    </row>
    <row r="139" spans="1:12" ht="15" x14ac:dyDescent="0.2">
      <c r="A139" s="16">
        <v>45139</v>
      </c>
      <c r="B139" s="10">
        <f>30.1979 * CHOOSE(CONTROL!$C$9, $D$9, 100%, $F$9) + CHOOSE(CONTROL!$C$27, 0.0021, 0)</f>
        <v>30.2</v>
      </c>
      <c r="C139" s="10">
        <f>29.7657 * CHOOSE(CONTROL!$C$9, $D$9, 100%, $F$9) + CHOOSE(CONTROL!$C$27, 0.0021, 0)</f>
        <v>29.767799999999998</v>
      </c>
      <c r="D139" s="10">
        <f>29.7657 * CHOOSE(CONTROL!$C$9, $D$9, 100%, $F$9) + CHOOSE(CONTROL!$C$27, 0.0021, 0)</f>
        <v>29.767799999999998</v>
      </c>
      <c r="E139" s="10">
        <f>29.629 * CHOOSE(CONTROL!$C$9, $D$9, 100%, $F$9) + CHOOSE(CONTROL!$C$27, 0.0021, 0)</f>
        <v>29.6311</v>
      </c>
      <c r="F139" s="10">
        <f>29.629 * CHOOSE(CONTROL!$C$9, $D$9, 100%, $F$9) + CHOOSE(CONTROL!$C$27, 0.0021, 0)</f>
        <v>29.6311</v>
      </c>
      <c r="G139" s="10">
        <f>29.9004 * CHOOSE(CONTROL!$C$9, $D$9, 100%, $F$9) + CHOOSE(CONTROL!$C$27, 0.0021, 0)</f>
        <v>29.9025</v>
      </c>
      <c r="H139" s="10">
        <f>29.7657 * CHOOSE(CONTROL!$C$9, $D$9, 100%, $F$9) + CHOOSE(CONTROL!$C$27, 0.0021, 0)</f>
        <v>29.767799999999998</v>
      </c>
      <c r="I139" s="10">
        <f>29.7657 * CHOOSE(CONTROL!$C$9, $D$9, 100%, $F$9) + CHOOSE(CONTROL!$C$27, 0.0021, 0)</f>
        <v>29.767799999999998</v>
      </c>
      <c r="J139" s="10">
        <f>29.7657 * CHOOSE(CONTROL!$C$9, $D$9, 100%, $F$9) + CHOOSE(CONTROL!$C$27, 0.0021, 0)</f>
        <v>29.767799999999998</v>
      </c>
      <c r="K139" s="10">
        <f>29.7657 * CHOOSE(CONTROL!$C$9, $D$9, 100%, $F$9) + CHOOSE(CONTROL!$C$27, 0.0021, 0)</f>
        <v>29.767799999999998</v>
      </c>
      <c r="L139" s="10"/>
    </row>
    <row r="140" spans="1:12" ht="15" x14ac:dyDescent="0.2">
      <c r="A140" s="16">
        <v>45170</v>
      </c>
      <c r="B140" s="10">
        <f>30.7654 * CHOOSE(CONTROL!$C$9, $D$9, 100%, $F$9) + CHOOSE(CONTROL!$C$27, 0.0021, 0)</f>
        <v>30.767499999999998</v>
      </c>
      <c r="C140" s="10">
        <f>30.3331 * CHOOSE(CONTROL!$C$9, $D$9, 100%, $F$9) + CHOOSE(CONTROL!$C$27, 0.0021, 0)</f>
        <v>30.3352</v>
      </c>
      <c r="D140" s="10">
        <f>30.3331 * CHOOSE(CONTROL!$C$9, $D$9, 100%, $F$9) + CHOOSE(CONTROL!$C$27, 0.0021, 0)</f>
        <v>30.3352</v>
      </c>
      <c r="E140" s="10">
        <f>30.1965 * CHOOSE(CONTROL!$C$9, $D$9, 100%, $F$9) + CHOOSE(CONTROL!$C$27, 0.0021, 0)</f>
        <v>30.198599999999999</v>
      </c>
      <c r="F140" s="10">
        <f>30.1965 * CHOOSE(CONTROL!$C$9, $D$9, 100%, $F$9) + CHOOSE(CONTROL!$C$27, 0.0021, 0)</f>
        <v>30.198599999999999</v>
      </c>
      <c r="G140" s="10">
        <f>30.4678 * CHOOSE(CONTROL!$C$9, $D$9, 100%, $F$9) + CHOOSE(CONTROL!$C$27, 0.0021, 0)</f>
        <v>30.469899999999999</v>
      </c>
      <c r="H140" s="10">
        <f>30.3331 * CHOOSE(CONTROL!$C$9, $D$9, 100%, $F$9) + CHOOSE(CONTROL!$C$27, 0.0021, 0)</f>
        <v>30.3352</v>
      </c>
      <c r="I140" s="10">
        <f>30.3331 * CHOOSE(CONTROL!$C$9, $D$9, 100%, $F$9) + CHOOSE(CONTROL!$C$27, 0.0021, 0)</f>
        <v>30.3352</v>
      </c>
      <c r="J140" s="10">
        <f>30.3331 * CHOOSE(CONTROL!$C$9, $D$9, 100%, $F$9) + CHOOSE(CONTROL!$C$27, 0.0021, 0)</f>
        <v>30.3352</v>
      </c>
      <c r="K140" s="10">
        <f>30.3331 * CHOOSE(CONTROL!$C$9, $D$9, 100%, $F$9) + CHOOSE(CONTROL!$C$27, 0.0021, 0)</f>
        <v>30.3352</v>
      </c>
      <c r="L140" s="10"/>
    </row>
    <row r="141" spans="1:12" ht="15" x14ac:dyDescent="0.2">
      <c r="A141" s="16">
        <v>45200</v>
      </c>
      <c r="B141" s="10">
        <f>31.4837 * CHOOSE(CONTROL!$C$9, $D$9, 100%, $F$9) + CHOOSE(CONTROL!$C$27, 0.0021, 0)</f>
        <v>31.485799999999998</v>
      </c>
      <c r="C141" s="10">
        <f>31.0514 * CHOOSE(CONTROL!$C$9, $D$9, 100%, $F$9) + CHOOSE(CONTROL!$C$27, 0.0021, 0)</f>
        <v>31.0535</v>
      </c>
      <c r="D141" s="10">
        <f>31.0514 * CHOOSE(CONTROL!$C$9, $D$9, 100%, $F$9) + CHOOSE(CONTROL!$C$27, 0.0021, 0)</f>
        <v>31.0535</v>
      </c>
      <c r="E141" s="10">
        <f>30.9148 * CHOOSE(CONTROL!$C$9, $D$9, 100%, $F$9) + CHOOSE(CONTROL!$C$27, 0.0021, 0)</f>
        <v>30.916899999999998</v>
      </c>
      <c r="F141" s="10">
        <f>30.9148 * CHOOSE(CONTROL!$C$9, $D$9, 100%, $F$9) + CHOOSE(CONTROL!$C$27, 0.0021, 0)</f>
        <v>30.916899999999998</v>
      </c>
      <c r="G141" s="10">
        <f>31.1861 * CHOOSE(CONTROL!$C$9, $D$9, 100%, $F$9) + CHOOSE(CONTROL!$C$27, 0.0021, 0)</f>
        <v>31.188199999999998</v>
      </c>
      <c r="H141" s="10">
        <f>31.0514 * CHOOSE(CONTROL!$C$9, $D$9, 100%, $F$9) + CHOOSE(CONTROL!$C$27, 0.0021, 0)</f>
        <v>31.0535</v>
      </c>
      <c r="I141" s="10">
        <f>31.0514 * CHOOSE(CONTROL!$C$9, $D$9, 100%, $F$9) + CHOOSE(CONTROL!$C$27, 0.0021, 0)</f>
        <v>31.0535</v>
      </c>
      <c r="J141" s="10">
        <f>31.0514 * CHOOSE(CONTROL!$C$9, $D$9, 100%, $F$9) + CHOOSE(CONTROL!$C$27, 0.0021, 0)</f>
        <v>31.0535</v>
      </c>
      <c r="K141" s="10">
        <f>31.0514 * CHOOSE(CONTROL!$C$9, $D$9, 100%, $F$9) + CHOOSE(CONTROL!$C$27, 0.0021, 0)</f>
        <v>31.0535</v>
      </c>
      <c r="L141" s="10"/>
    </row>
    <row r="142" spans="1:12" ht="15" x14ac:dyDescent="0.2">
      <c r="A142" s="16">
        <v>45231</v>
      </c>
      <c r="B142" s="10">
        <f>31.5511 * CHOOSE(CONTROL!$C$9, $D$9, 100%, $F$9) + CHOOSE(CONTROL!$C$27, 0.0021, 0)</f>
        <v>31.5532</v>
      </c>
      <c r="C142" s="10">
        <f>31.1189 * CHOOSE(CONTROL!$C$9, $D$9, 100%, $F$9) + CHOOSE(CONTROL!$C$27, 0.0021, 0)</f>
        <v>31.120999999999999</v>
      </c>
      <c r="D142" s="10">
        <f>31.1189 * CHOOSE(CONTROL!$C$9, $D$9, 100%, $F$9) + CHOOSE(CONTROL!$C$27, 0.0021, 0)</f>
        <v>31.120999999999999</v>
      </c>
      <c r="E142" s="10">
        <f>30.9822 * CHOOSE(CONTROL!$C$9, $D$9, 100%, $F$9) + CHOOSE(CONTROL!$C$27, 0.0021, 0)</f>
        <v>30.984299999999998</v>
      </c>
      <c r="F142" s="10">
        <f>30.9822 * CHOOSE(CONTROL!$C$9, $D$9, 100%, $F$9) + CHOOSE(CONTROL!$C$27, 0.0021, 0)</f>
        <v>30.984299999999998</v>
      </c>
      <c r="G142" s="10">
        <f>31.2536 * CHOOSE(CONTROL!$C$9, $D$9, 100%, $F$9) + CHOOSE(CONTROL!$C$27, 0.0021, 0)</f>
        <v>31.255699999999997</v>
      </c>
      <c r="H142" s="10">
        <f>31.1189 * CHOOSE(CONTROL!$C$9, $D$9, 100%, $F$9) + CHOOSE(CONTROL!$C$27, 0.0021, 0)</f>
        <v>31.120999999999999</v>
      </c>
      <c r="I142" s="10">
        <f>31.1189 * CHOOSE(CONTROL!$C$9, $D$9, 100%, $F$9) + CHOOSE(CONTROL!$C$27, 0.0021, 0)</f>
        <v>31.120999999999999</v>
      </c>
      <c r="J142" s="10">
        <f>31.1189 * CHOOSE(CONTROL!$C$9, $D$9, 100%, $F$9) + CHOOSE(CONTROL!$C$27, 0.0021, 0)</f>
        <v>31.120999999999999</v>
      </c>
      <c r="K142" s="10">
        <f>31.1189 * CHOOSE(CONTROL!$C$9, $D$9, 100%, $F$9) + CHOOSE(CONTROL!$C$27, 0.0021, 0)</f>
        <v>31.120999999999999</v>
      </c>
      <c r="L142" s="10"/>
    </row>
    <row r="143" spans="1:12" ht="15" x14ac:dyDescent="0.2">
      <c r="A143" s="16">
        <v>45261</v>
      </c>
      <c r="B143" s="10">
        <f>30.9774 * CHOOSE(CONTROL!$C$9, $D$9, 100%, $F$9) + CHOOSE(CONTROL!$C$27, 0.0021, 0)</f>
        <v>30.979499999999998</v>
      </c>
      <c r="C143" s="10">
        <f>30.5452 * CHOOSE(CONTROL!$C$9, $D$9, 100%, $F$9) + CHOOSE(CONTROL!$C$27, 0.0021, 0)</f>
        <v>30.5473</v>
      </c>
      <c r="D143" s="10">
        <f>30.5452 * CHOOSE(CONTROL!$C$9, $D$9, 100%, $F$9) + CHOOSE(CONTROL!$C$27, 0.0021, 0)</f>
        <v>30.5473</v>
      </c>
      <c r="E143" s="10">
        <f>30.4085 * CHOOSE(CONTROL!$C$9, $D$9, 100%, $F$9) + CHOOSE(CONTROL!$C$27, 0.0021, 0)</f>
        <v>30.410599999999999</v>
      </c>
      <c r="F143" s="10">
        <f>30.4085 * CHOOSE(CONTROL!$C$9, $D$9, 100%, $F$9) + CHOOSE(CONTROL!$C$27, 0.0021, 0)</f>
        <v>30.410599999999999</v>
      </c>
      <c r="G143" s="10">
        <f>30.6799 * CHOOSE(CONTROL!$C$9, $D$9, 100%, $F$9) + CHOOSE(CONTROL!$C$27, 0.0021, 0)</f>
        <v>30.681999999999999</v>
      </c>
      <c r="H143" s="10">
        <f>30.5452 * CHOOSE(CONTROL!$C$9, $D$9, 100%, $F$9) + CHOOSE(CONTROL!$C$27, 0.0021, 0)</f>
        <v>30.5473</v>
      </c>
      <c r="I143" s="10">
        <f>30.5452 * CHOOSE(CONTROL!$C$9, $D$9, 100%, $F$9) + CHOOSE(CONTROL!$C$27, 0.0021, 0)</f>
        <v>30.5473</v>
      </c>
      <c r="J143" s="10">
        <f>30.5452 * CHOOSE(CONTROL!$C$9, $D$9, 100%, $F$9) + CHOOSE(CONTROL!$C$27, 0.0021, 0)</f>
        <v>30.5473</v>
      </c>
      <c r="K143" s="10">
        <f>30.5452 * CHOOSE(CONTROL!$C$9, $D$9, 100%, $F$9) + CHOOSE(CONTROL!$C$27, 0.0021, 0)</f>
        <v>30.5473</v>
      </c>
      <c r="L143" s="10"/>
    </row>
    <row r="144" spans="1:12" ht="15" x14ac:dyDescent="0.2">
      <c r="A144" s="16">
        <v>45292</v>
      </c>
      <c r="B144" s="10">
        <f>31.3106 * CHOOSE(CONTROL!$C$9, $D$9, 100%, $F$9) + CHOOSE(CONTROL!$C$27, 0.0021, 0)</f>
        <v>31.3127</v>
      </c>
      <c r="C144" s="10">
        <f>30.8783 * CHOOSE(CONTROL!$C$9, $D$9, 100%, $F$9) + CHOOSE(CONTROL!$C$27, 0.0021, 0)</f>
        <v>30.880399999999998</v>
      </c>
      <c r="D144" s="10">
        <f>30.8783 * CHOOSE(CONTROL!$C$9, $D$9, 100%, $F$9) + CHOOSE(CONTROL!$C$27, 0.0021, 0)</f>
        <v>30.880399999999998</v>
      </c>
      <c r="E144" s="10">
        <f>30.7417 * CHOOSE(CONTROL!$C$9, $D$9, 100%, $F$9) + CHOOSE(CONTROL!$C$27, 0.0021, 0)</f>
        <v>30.7438</v>
      </c>
      <c r="F144" s="10">
        <f>30.7417 * CHOOSE(CONTROL!$C$9, $D$9, 100%, $F$9) + CHOOSE(CONTROL!$C$27, 0.0021, 0)</f>
        <v>30.7438</v>
      </c>
      <c r="G144" s="10">
        <f>31.013 * CHOOSE(CONTROL!$C$9, $D$9, 100%, $F$9) + CHOOSE(CONTROL!$C$27, 0.0021, 0)</f>
        <v>31.0151</v>
      </c>
      <c r="H144" s="10">
        <f>30.8783 * CHOOSE(CONTROL!$C$9, $D$9, 100%, $F$9) + CHOOSE(CONTROL!$C$27, 0.0021, 0)</f>
        <v>30.880399999999998</v>
      </c>
      <c r="I144" s="10">
        <f>30.8783 * CHOOSE(CONTROL!$C$9, $D$9, 100%, $F$9) + CHOOSE(CONTROL!$C$27, 0.0021, 0)</f>
        <v>30.880399999999998</v>
      </c>
      <c r="J144" s="10">
        <f>30.8783 * CHOOSE(CONTROL!$C$9, $D$9, 100%, $F$9) + CHOOSE(CONTROL!$C$27, 0.0021, 0)</f>
        <v>30.880399999999998</v>
      </c>
      <c r="K144" s="10">
        <f>30.8783 * CHOOSE(CONTROL!$C$9, $D$9, 100%, $F$9) + CHOOSE(CONTROL!$C$27, 0.0021, 0)</f>
        <v>30.880399999999998</v>
      </c>
      <c r="L144" s="10"/>
    </row>
    <row r="145" spans="1:12" ht="15" x14ac:dyDescent="0.2">
      <c r="A145" s="16">
        <v>45323</v>
      </c>
      <c r="B145" s="10">
        <f>30.4898 * CHOOSE(CONTROL!$C$9, $D$9, 100%, $F$9) + CHOOSE(CONTROL!$C$27, 0.0021, 0)</f>
        <v>30.491899999999998</v>
      </c>
      <c r="C145" s="10">
        <f>30.0575 * CHOOSE(CONTROL!$C$9, $D$9, 100%, $F$9) + CHOOSE(CONTROL!$C$27, 0.0021, 0)</f>
        <v>30.0596</v>
      </c>
      <c r="D145" s="10">
        <f>30.0575 * CHOOSE(CONTROL!$C$9, $D$9, 100%, $F$9) + CHOOSE(CONTROL!$C$27, 0.0021, 0)</f>
        <v>30.0596</v>
      </c>
      <c r="E145" s="10">
        <f>29.9209 * CHOOSE(CONTROL!$C$9, $D$9, 100%, $F$9) + CHOOSE(CONTROL!$C$27, 0.0021, 0)</f>
        <v>29.922999999999998</v>
      </c>
      <c r="F145" s="10">
        <f>29.9209 * CHOOSE(CONTROL!$C$9, $D$9, 100%, $F$9) + CHOOSE(CONTROL!$C$27, 0.0021, 0)</f>
        <v>29.922999999999998</v>
      </c>
      <c r="G145" s="10">
        <f>30.1922 * CHOOSE(CONTROL!$C$9, $D$9, 100%, $F$9) + CHOOSE(CONTROL!$C$27, 0.0021, 0)</f>
        <v>30.194299999999998</v>
      </c>
      <c r="H145" s="10">
        <f>30.0575 * CHOOSE(CONTROL!$C$9, $D$9, 100%, $F$9) + CHOOSE(CONTROL!$C$27, 0.0021, 0)</f>
        <v>30.0596</v>
      </c>
      <c r="I145" s="10">
        <f>30.0575 * CHOOSE(CONTROL!$C$9, $D$9, 100%, $F$9) + CHOOSE(CONTROL!$C$27, 0.0021, 0)</f>
        <v>30.0596</v>
      </c>
      <c r="J145" s="10">
        <f>30.0575 * CHOOSE(CONTROL!$C$9, $D$9, 100%, $F$9) + CHOOSE(CONTROL!$C$27, 0.0021, 0)</f>
        <v>30.0596</v>
      </c>
      <c r="K145" s="10">
        <f>30.0575 * CHOOSE(CONTROL!$C$9, $D$9, 100%, $F$9) + CHOOSE(CONTROL!$C$27, 0.0021, 0)</f>
        <v>30.0596</v>
      </c>
      <c r="L145" s="10"/>
    </row>
    <row r="146" spans="1:12" ht="15" x14ac:dyDescent="0.2">
      <c r="A146" s="16">
        <v>45352</v>
      </c>
      <c r="B146" s="10">
        <f>30.151 * CHOOSE(CONTROL!$C$9, $D$9, 100%, $F$9) + CHOOSE(CONTROL!$C$27, 0.0021, 0)</f>
        <v>30.153099999999998</v>
      </c>
      <c r="C146" s="10">
        <f>29.7187 * CHOOSE(CONTROL!$C$9, $D$9, 100%, $F$9) + CHOOSE(CONTROL!$C$27, 0.0021, 0)</f>
        <v>29.720799999999997</v>
      </c>
      <c r="D146" s="10">
        <f>29.7187 * CHOOSE(CONTROL!$C$9, $D$9, 100%, $F$9) + CHOOSE(CONTROL!$C$27, 0.0021, 0)</f>
        <v>29.720799999999997</v>
      </c>
      <c r="E146" s="10">
        <f>29.582 * CHOOSE(CONTROL!$C$9, $D$9, 100%, $F$9) + CHOOSE(CONTROL!$C$27, 0.0021, 0)</f>
        <v>29.584099999999999</v>
      </c>
      <c r="F146" s="10">
        <f>29.582 * CHOOSE(CONTROL!$C$9, $D$9, 100%, $F$9) + CHOOSE(CONTROL!$C$27, 0.0021, 0)</f>
        <v>29.584099999999999</v>
      </c>
      <c r="G146" s="10">
        <f>29.8534 * CHOOSE(CONTROL!$C$9, $D$9, 100%, $F$9) + CHOOSE(CONTROL!$C$27, 0.0021, 0)</f>
        <v>29.855499999999999</v>
      </c>
      <c r="H146" s="10">
        <f>29.7187 * CHOOSE(CONTROL!$C$9, $D$9, 100%, $F$9) + CHOOSE(CONTROL!$C$27, 0.0021, 0)</f>
        <v>29.720799999999997</v>
      </c>
      <c r="I146" s="10">
        <f>29.7187 * CHOOSE(CONTROL!$C$9, $D$9, 100%, $F$9) + CHOOSE(CONTROL!$C$27, 0.0021, 0)</f>
        <v>29.720799999999997</v>
      </c>
      <c r="J146" s="10">
        <f>29.7187 * CHOOSE(CONTROL!$C$9, $D$9, 100%, $F$9) + CHOOSE(CONTROL!$C$27, 0.0021, 0)</f>
        <v>29.720799999999997</v>
      </c>
      <c r="K146" s="10">
        <f>29.7187 * CHOOSE(CONTROL!$C$9, $D$9, 100%, $F$9) + CHOOSE(CONTROL!$C$27, 0.0021, 0)</f>
        <v>29.720799999999997</v>
      </c>
      <c r="L146" s="10"/>
    </row>
    <row r="147" spans="1:12" ht="15" x14ac:dyDescent="0.2">
      <c r="A147" s="16">
        <v>45383</v>
      </c>
      <c r="B147" s="10">
        <f>29.7464 * CHOOSE(CONTROL!$C$9, $D$9, 100%, $F$9) + CHOOSE(CONTROL!$C$27, 0.0021, 0)</f>
        <v>29.7485</v>
      </c>
      <c r="C147" s="10">
        <f>29.3141 * CHOOSE(CONTROL!$C$9, $D$9, 100%, $F$9) + CHOOSE(CONTROL!$C$27, 0.0021, 0)</f>
        <v>29.316199999999998</v>
      </c>
      <c r="D147" s="10">
        <f>29.3141 * CHOOSE(CONTROL!$C$9, $D$9, 100%, $F$9) + CHOOSE(CONTROL!$C$27, 0.0021, 0)</f>
        <v>29.316199999999998</v>
      </c>
      <c r="E147" s="10">
        <f>29.1775 * CHOOSE(CONTROL!$C$9, $D$9, 100%, $F$9) + CHOOSE(CONTROL!$C$27, 0.0021, 0)</f>
        <v>29.179599999999997</v>
      </c>
      <c r="F147" s="10">
        <f>29.1775 * CHOOSE(CONTROL!$C$9, $D$9, 100%, $F$9) + CHOOSE(CONTROL!$C$27, 0.0021, 0)</f>
        <v>29.179599999999997</v>
      </c>
      <c r="G147" s="10">
        <f>29.4489 * CHOOSE(CONTROL!$C$9, $D$9, 100%, $F$9) + CHOOSE(CONTROL!$C$27, 0.0021, 0)</f>
        <v>29.450999999999997</v>
      </c>
      <c r="H147" s="10">
        <f>29.3141 * CHOOSE(CONTROL!$C$9, $D$9, 100%, $F$9) + CHOOSE(CONTROL!$C$27, 0.0021, 0)</f>
        <v>29.316199999999998</v>
      </c>
      <c r="I147" s="10">
        <f>29.3141 * CHOOSE(CONTROL!$C$9, $D$9, 100%, $F$9) + CHOOSE(CONTROL!$C$27, 0.0021, 0)</f>
        <v>29.316199999999998</v>
      </c>
      <c r="J147" s="10">
        <f>29.3141 * CHOOSE(CONTROL!$C$9, $D$9, 100%, $F$9) + CHOOSE(CONTROL!$C$27, 0.0021, 0)</f>
        <v>29.316199999999998</v>
      </c>
      <c r="K147" s="10">
        <f>29.3141 * CHOOSE(CONTROL!$C$9, $D$9, 100%, $F$9) + CHOOSE(CONTROL!$C$27, 0.0021, 0)</f>
        <v>29.316199999999998</v>
      </c>
      <c r="L147" s="10"/>
    </row>
    <row r="148" spans="1:12" ht="15" x14ac:dyDescent="0.2">
      <c r="A148" s="16">
        <v>45413</v>
      </c>
      <c r="B148" s="10">
        <f>30.3229 * CHOOSE(CONTROL!$C$9, $D$9, 100%, $F$9) + CHOOSE(CONTROL!$C$27, 0.0021, 0)</f>
        <v>30.324999999999999</v>
      </c>
      <c r="C148" s="10">
        <f>29.8907 * CHOOSE(CONTROL!$C$9, $D$9, 100%, $F$9) + CHOOSE(CONTROL!$C$27, 0.0021, 0)</f>
        <v>29.892799999999998</v>
      </c>
      <c r="D148" s="10">
        <f>29.8907 * CHOOSE(CONTROL!$C$9, $D$9, 100%, $F$9) + CHOOSE(CONTROL!$C$27, 0.0021, 0)</f>
        <v>29.892799999999998</v>
      </c>
      <c r="E148" s="10">
        <f>29.754 * CHOOSE(CONTROL!$C$9, $D$9, 100%, $F$9) + CHOOSE(CONTROL!$C$27, 0.0021, 0)</f>
        <v>29.7561</v>
      </c>
      <c r="F148" s="10">
        <f>29.754 * CHOOSE(CONTROL!$C$9, $D$9, 100%, $F$9) + CHOOSE(CONTROL!$C$27, 0.0021, 0)</f>
        <v>29.7561</v>
      </c>
      <c r="G148" s="10">
        <f>30.0254 * CHOOSE(CONTROL!$C$9, $D$9, 100%, $F$9) + CHOOSE(CONTROL!$C$27, 0.0021, 0)</f>
        <v>30.0275</v>
      </c>
      <c r="H148" s="10">
        <f>29.8907 * CHOOSE(CONTROL!$C$9, $D$9, 100%, $F$9) + CHOOSE(CONTROL!$C$27, 0.0021, 0)</f>
        <v>29.892799999999998</v>
      </c>
      <c r="I148" s="10">
        <f>29.8907 * CHOOSE(CONTROL!$C$9, $D$9, 100%, $F$9) + CHOOSE(CONTROL!$C$27, 0.0021, 0)</f>
        <v>29.892799999999998</v>
      </c>
      <c r="J148" s="10">
        <f>29.8907 * CHOOSE(CONTROL!$C$9, $D$9, 100%, $F$9) + CHOOSE(CONTROL!$C$27, 0.0021, 0)</f>
        <v>29.892799999999998</v>
      </c>
      <c r="K148" s="10">
        <f>29.8907 * CHOOSE(CONTROL!$C$9, $D$9, 100%, $F$9) + CHOOSE(CONTROL!$C$27, 0.0021, 0)</f>
        <v>29.892799999999998</v>
      </c>
      <c r="L148" s="10"/>
    </row>
    <row r="149" spans="1:12" ht="15" x14ac:dyDescent="0.2">
      <c r="A149" s="16">
        <v>45444</v>
      </c>
      <c r="B149" s="10">
        <f>30.6683 * CHOOSE(CONTROL!$C$9, $D$9, 100%, $F$9) + CHOOSE(CONTROL!$C$27, 0.0021, 0)</f>
        <v>30.670399999999997</v>
      </c>
      <c r="C149" s="10">
        <f>30.236 * CHOOSE(CONTROL!$C$9, $D$9, 100%, $F$9) + CHOOSE(CONTROL!$C$27, 0.0021, 0)</f>
        <v>30.238099999999999</v>
      </c>
      <c r="D149" s="10">
        <f>30.236 * CHOOSE(CONTROL!$C$9, $D$9, 100%, $F$9) + CHOOSE(CONTROL!$C$27, 0.0021, 0)</f>
        <v>30.238099999999999</v>
      </c>
      <c r="E149" s="10">
        <f>30.0994 * CHOOSE(CONTROL!$C$9, $D$9, 100%, $F$9) + CHOOSE(CONTROL!$C$27, 0.0021, 0)</f>
        <v>30.101499999999998</v>
      </c>
      <c r="F149" s="10">
        <f>30.0994 * CHOOSE(CONTROL!$C$9, $D$9, 100%, $F$9) + CHOOSE(CONTROL!$C$27, 0.0021, 0)</f>
        <v>30.101499999999998</v>
      </c>
      <c r="G149" s="10">
        <f>30.3707 * CHOOSE(CONTROL!$C$9, $D$9, 100%, $F$9) + CHOOSE(CONTROL!$C$27, 0.0021, 0)</f>
        <v>30.372799999999998</v>
      </c>
      <c r="H149" s="10">
        <f>30.236 * CHOOSE(CONTROL!$C$9, $D$9, 100%, $F$9) + CHOOSE(CONTROL!$C$27, 0.0021, 0)</f>
        <v>30.238099999999999</v>
      </c>
      <c r="I149" s="10">
        <f>30.236 * CHOOSE(CONTROL!$C$9, $D$9, 100%, $F$9) + CHOOSE(CONTROL!$C$27, 0.0021, 0)</f>
        <v>30.238099999999999</v>
      </c>
      <c r="J149" s="10">
        <f>30.236 * CHOOSE(CONTROL!$C$9, $D$9, 100%, $F$9) + CHOOSE(CONTROL!$C$27, 0.0021, 0)</f>
        <v>30.238099999999999</v>
      </c>
      <c r="K149" s="10">
        <f>30.236 * CHOOSE(CONTROL!$C$9, $D$9, 100%, $F$9) + CHOOSE(CONTROL!$C$27, 0.0021, 0)</f>
        <v>30.238099999999999</v>
      </c>
      <c r="L149" s="10"/>
    </row>
    <row r="150" spans="1:12" ht="15" x14ac:dyDescent="0.2">
      <c r="A150" s="16">
        <v>45474</v>
      </c>
      <c r="B150" s="10">
        <f>31.2379 * CHOOSE(CONTROL!$C$9, $D$9, 100%, $F$9) + CHOOSE(CONTROL!$C$27, 0.0021, 0)</f>
        <v>31.24</v>
      </c>
      <c r="C150" s="10">
        <f>30.8057 * CHOOSE(CONTROL!$C$9, $D$9, 100%, $F$9) + CHOOSE(CONTROL!$C$27, 0.0021, 0)</f>
        <v>30.8078</v>
      </c>
      <c r="D150" s="10">
        <f>30.8057 * CHOOSE(CONTROL!$C$9, $D$9, 100%, $F$9) + CHOOSE(CONTROL!$C$27, 0.0021, 0)</f>
        <v>30.8078</v>
      </c>
      <c r="E150" s="10">
        <f>30.669 * CHOOSE(CONTROL!$C$9, $D$9, 100%, $F$9) + CHOOSE(CONTROL!$C$27, 0.0021, 0)</f>
        <v>30.671099999999999</v>
      </c>
      <c r="F150" s="10">
        <f>30.669 * CHOOSE(CONTROL!$C$9, $D$9, 100%, $F$9) + CHOOSE(CONTROL!$C$27, 0.0021, 0)</f>
        <v>30.671099999999999</v>
      </c>
      <c r="G150" s="10">
        <f>30.9404 * CHOOSE(CONTROL!$C$9, $D$9, 100%, $F$9) + CHOOSE(CONTROL!$C$27, 0.0021, 0)</f>
        <v>30.942499999999999</v>
      </c>
      <c r="H150" s="10">
        <f>30.8057 * CHOOSE(CONTROL!$C$9, $D$9, 100%, $F$9) + CHOOSE(CONTROL!$C$27, 0.0021, 0)</f>
        <v>30.8078</v>
      </c>
      <c r="I150" s="10">
        <f>30.8057 * CHOOSE(CONTROL!$C$9, $D$9, 100%, $F$9) + CHOOSE(CONTROL!$C$27, 0.0021, 0)</f>
        <v>30.8078</v>
      </c>
      <c r="J150" s="10">
        <f>30.8057 * CHOOSE(CONTROL!$C$9, $D$9, 100%, $F$9) + CHOOSE(CONTROL!$C$27, 0.0021, 0)</f>
        <v>30.8078</v>
      </c>
      <c r="K150" s="10">
        <f>30.8057 * CHOOSE(CONTROL!$C$9, $D$9, 100%, $F$9) + CHOOSE(CONTROL!$C$27, 0.0021, 0)</f>
        <v>30.8078</v>
      </c>
      <c r="L150" s="10"/>
    </row>
    <row r="151" spans="1:12" ht="15" x14ac:dyDescent="0.2">
      <c r="A151" s="16">
        <v>45505</v>
      </c>
      <c r="B151" s="10">
        <f>31.4118 * CHOOSE(CONTROL!$C$9, $D$9, 100%, $F$9) + CHOOSE(CONTROL!$C$27, 0.0021, 0)</f>
        <v>31.413899999999998</v>
      </c>
      <c r="C151" s="10">
        <f>30.9796 * CHOOSE(CONTROL!$C$9, $D$9, 100%, $F$9) + CHOOSE(CONTROL!$C$27, 0.0021, 0)</f>
        <v>30.9817</v>
      </c>
      <c r="D151" s="10">
        <f>30.9796 * CHOOSE(CONTROL!$C$9, $D$9, 100%, $F$9) + CHOOSE(CONTROL!$C$27, 0.0021, 0)</f>
        <v>30.9817</v>
      </c>
      <c r="E151" s="10">
        <f>30.8429 * CHOOSE(CONTROL!$C$9, $D$9, 100%, $F$9) + CHOOSE(CONTROL!$C$27, 0.0021, 0)</f>
        <v>30.844999999999999</v>
      </c>
      <c r="F151" s="10">
        <f>30.8429 * CHOOSE(CONTROL!$C$9, $D$9, 100%, $F$9) + CHOOSE(CONTROL!$C$27, 0.0021, 0)</f>
        <v>30.844999999999999</v>
      </c>
      <c r="G151" s="10">
        <f>31.1143 * CHOOSE(CONTROL!$C$9, $D$9, 100%, $F$9) + CHOOSE(CONTROL!$C$27, 0.0021, 0)</f>
        <v>31.116399999999999</v>
      </c>
      <c r="H151" s="10">
        <f>30.9796 * CHOOSE(CONTROL!$C$9, $D$9, 100%, $F$9) + CHOOSE(CONTROL!$C$27, 0.0021, 0)</f>
        <v>30.9817</v>
      </c>
      <c r="I151" s="10">
        <f>30.9796 * CHOOSE(CONTROL!$C$9, $D$9, 100%, $F$9) + CHOOSE(CONTROL!$C$27, 0.0021, 0)</f>
        <v>30.9817</v>
      </c>
      <c r="J151" s="10">
        <f>30.9796 * CHOOSE(CONTROL!$C$9, $D$9, 100%, $F$9) + CHOOSE(CONTROL!$C$27, 0.0021, 0)</f>
        <v>30.9817</v>
      </c>
      <c r="K151" s="10">
        <f>30.9796 * CHOOSE(CONTROL!$C$9, $D$9, 100%, $F$9) + CHOOSE(CONTROL!$C$27, 0.0021, 0)</f>
        <v>30.9817</v>
      </c>
      <c r="L151" s="10"/>
    </row>
    <row r="152" spans="1:12" ht="15" x14ac:dyDescent="0.2">
      <c r="A152" s="16">
        <v>45536</v>
      </c>
      <c r="B152" s="10">
        <f>32.004 * CHOOSE(CONTROL!$C$9, $D$9, 100%, $F$9) + CHOOSE(CONTROL!$C$27, 0.0021, 0)</f>
        <v>32.006099999999996</v>
      </c>
      <c r="C152" s="10">
        <f>31.5717 * CHOOSE(CONTROL!$C$9, $D$9, 100%, $F$9) + CHOOSE(CONTROL!$C$27, 0.0021, 0)</f>
        <v>31.573799999999999</v>
      </c>
      <c r="D152" s="10">
        <f>31.5717 * CHOOSE(CONTROL!$C$9, $D$9, 100%, $F$9) + CHOOSE(CONTROL!$C$27, 0.0021, 0)</f>
        <v>31.573799999999999</v>
      </c>
      <c r="E152" s="10">
        <f>31.4351 * CHOOSE(CONTROL!$C$9, $D$9, 100%, $F$9) + CHOOSE(CONTROL!$C$27, 0.0021, 0)</f>
        <v>31.437199999999997</v>
      </c>
      <c r="F152" s="10">
        <f>31.4351 * CHOOSE(CONTROL!$C$9, $D$9, 100%, $F$9) + CHOOSE(CONTROL!$C$27, 0.0021, 0)</f>
        <v>31.437199999999997</v>
      </c>
      <c r="G152" s="10">
        <f>31.7064 * CHOOSE(CONTROL!$C$9, $D$9, 100%, $F$9) + CHOOSE(CONTROL!$C$27, 0.0021, 0)</f>
        <v>31.708499999999997</v>
      </c>
      <c r="H152" s="10">
        <f>31.5717 * CHOOSE(CONTROL!$C$9, $D$9, 100%, $F$9) + CHOOSE(CONTROL!$C$27, 0.0021, 0)</f>
        <v>31.573799999999999</v>
      </c>
      <c r="I152" s="10">
        <f>31.5717 * CHOOSE(CONTROL!$C$9, $D$9, 100%, $F$9) + CHOOSE(CONTROL!$C$27, 0.0021, 0)</f>
        <v>31.573799999999999</v>
      </c>
      <c r="J152" s="10">
        <f>31.5717 * CHOOSE(CONTROL!$C$9, $D$9, 100%, $F$9) + CHOOSE(CONTROL!$C$27, 0.0021, 0)</f>
        <v>31.573799999999999</v>
      </c>
      <c r="K152" s="10">
        <f>31.5717 * CHOOSE(CONTROL!$C$9, $D$9, 100%, $F$9) + CHOOSE(CONTROL!$C$27, 0.0021, 0)</f>
        <v>31.573799999999999</v>
      </c>
      <c r="L152" s="10"/>
    </row>
    <row r="153" spans="1:12" ht="15" x14ac:dyDescent="0.2">
      <c r="A153" s="16">
        <v>45566</v>
      </c>
      <c r="B153" s="10">
        <f>32.7535 * CHOOSE(CONTROL!$C$9, $D$9, 100%, $F$9) + CHOOSE(CONTROL!$C$27, 0.0021, 0)</f>
        <v>32.755600000000001</v>
      </c>
      <c r="C153" s="10">
        <f>32.3213 * CHOOSE(CONTROL!$C$9, $D$9, 100%, $F$9) + CHOOSE(CONTROL!$C$27, 0.0021, 0)</f>
        <v>32.323399999999999</v>
      </c>
      <c r="D153" s="10">
        <f>32.3213 * CHOOSE(CONTROL!$C$9, $D$9, 100%, $F$9) + CHOOSE(CONTROL!$C$27, 0.0021, 0)</f>
        <v>32.323399999999999</v>
      </c>
      <c r="E153" s="10">
        <f>32.1846 * CHOOSE(CONTROL!$C$9, $D$9, 100%, $F$9) + CHOOSE(CONTROL!$C$27, 0.0021, 0)</f>
        <v>32.186700000000002</v>
      </c>
      <c r="F153" s="10">
        <f>32.1846 * CHOOSE(CONTROL!$C$9, $D$9, 100%, $F$9) + CHOOSE(CONTROL!$C$27, 0.0021, 0)</f>
        <v>32.186700000000002</v>
      </c>
      <c r="G153" s="10">
        <f>32.456 * CHOOSE(CONTROL!$C$9, $D$9, 100%, $F$9) + CHOOSE(CONTROL!$C$27, 0.0021, 0)</f>
        <v>32.458100000000002</v>
      </c>
      <c r="H153" s="10">
        <f>32.3213 * CHOOSE(CONTROL!$C$9, $D$9, 100%, $F$9) + CHOOSE(CONTROL!$C$27, 0.0021, 0)</f>
        <v>32.323399999999999</v>
      </c>
      <c r="I153" s="10">
        <f>32.3213 * CHOOSE(CONTROL!$C$9, $D$9, 100%, $F$9) + CHOOSE(CONTROL!$C$27, 0.0021, 0)</f>
        <v>32.323399999999999</v>
      </c>
      <c r="J153" s="10">
        <f>32.3213 * CHOOSE(CONTROL!$C$9, $D$9, 100%, $F$9) + CHOOSE(CONTROL!$C$27, 0.0021, 0)</f>
        <v>32.323399999999999</v>
      </c>
      <c r="K153" s="10">
        <f>32.3213 * CHOOSE(CONTROL!$C$9, $D$9, 100%, $F$9) + CHOOSE(CONTROL!$C$27, 0.0021, 0)</f>
        <v>32.323399999999999</v>
      </c>
      <c r="L153" s="10"/>
    </row>
    <row r="154" spans="1:12" ht="15" x14ac:dyDescent="0.2">
      <c r="A154" s="16">
        <v>45597</v>
      </c>
      <c r="B154" s="10">
        <f>32.8239 * CHOOSE(CONTROL!$C$9, $D$9, 100%, $F$9) + CHOOSE(CONTROL!$C$27, 0.0021, 0)</f>
        <v>32.826000000000001</v>
      </c>
      <c r="C154" s="10">
        <f>32.3916 * CHOOSE(CONTROL!$C$9, $D$9, 100%, $F$9) + CHOOSE(CONTROL!$C$27, 0.0021, 0)</f>
        <v>32.393699999999995</v>
      </c>
      <c r="D154" s="10">
        <f>32.3916 * CHOOSE(CONTROL!$C$9, $D$9, 100%, $F$9) + CHOOSE(CONTROL!$C$27, 0.0021, 0)</f>
        <v>32.393699999999995</v>
      </c>
      <c r="E154" s="10">
        <f>32.255 * CHOOSE(CONTROL!$C$9, $D$9, 100%, $F$9) + CHOOSE(CONTROL!$C$27, 0.0021, 0)</f>
        <v>32.257100000000001</v>
      </c>
      <c r="F154" s="10">
        <f>32.255 * CHOOSE(CONTROL!$C$9, $D$9, 100%, $F$9) + CHOOSE(CONTROL!$C$27, 0.0021, 0)</f>
        <v>32.257100000000001</v>
      </c>
      <c r="G154" s="10">
        <f>32.5263 * CHOOSE(CONTROL!$C$9, $D$9, 100%, $F$9) + CHOOSE(CONTROL!$C$27, 0.0021, 0)</f>
        <v>32.528399999999998</v>
      </c>
      <c r="H154" s="10">
        <f>32.3916 * CHOOSE(CONTROL!$C$9, $D$9, 100%, $F$9) + CHOOSE(CONTROL!$C$27, 0.0021, 0)</f>
        <v>32.393699999999995</v>
      </c>
      <c r="I154" s="10">
        <f>32.3916 * CHOOSE(CONTROL!$C$9, $D$9, 100%, $F$9) + CHOOSE(CONTROL!$C$27, 0.0021, 0)</f>
        <v>32.393699999999995</v>
      </c>
      <c r="J154" s="10">
        <f>32.3916 * CHOOSE(CONTROL!$C$9, $D$9, 100%, $F$9) + CHOOSE(CONTROL!$C$27, 0.0021, 0)</f>
        <v>32.393699999999995</v>
      </c>
      <c r="K154" s="10">
        <f>32.3916 * CHOOSE(CONTROL!$C$9, $D$9, 100%, $F$9) + CHOOSE(CONTROL!$C$27, 0.0021, 0)</f>
        <v>32.393699999999995</v>
      </c>
      <c r="L154" s="10"/>
    </row>
    <row r="155" spans="1:12" ht="15" x14ac:dyDescent="0.2">
      <c r="A155" s="16">
        <v>45627</v>
      </c>
      <c r="B155" s="10">
        <f>32.2252 * CHOOSE(CONTROL!$C$9, $D$9, 100%, $F$9) + CHOOSE(CONTROL!$C$27, 0.0021, 0)</f>
        <v>32.2273</v>
      </c>
      <c r="C155" s="10">
        <f>31.793 * CHOOSE(CONTROL!$C$9, $D$9, 100%, $F$9) + CHOOSE(CONTROL!$C$27, 0.0021, 0)</f>
        <v>31.795099999999998</v>
      </c>
      <c r="D155" s="10">
        <f>31.793 * CHOOSE(CONTROL!$C$9, $D$9, 100%, $F$9) + CHOOSE(CONTROL!$C$27, 0.0021, 0)</f>
        <v>31.795099999999998</v>
      </c>
      <c r="E155" s="10">
        <f>31.6563 * CHOOSE(CONTROL!$C$9, $D$9, 100%, $F$9) + CHOOSE(CONTROL!$C$27, 0.0021, 0)</f>
        <v>31.6584</v>
      </c>
      <c r="F155" s="10">
        <f>31.6563 * CHOOSE(CONTROL!$C$9, $D$9, 100%, $F$9) + CHOOSE(CONTROL!$C$27, 0.0021, 0)</f>
        <v>31.6584</v>
      </c>
      <c r="G155" s="10">
        <f>31.9277 * CHOOSE(CONTROL!$C$9, $D$9, 100%, $F$9) + CHOOSE(CONTROL!$C$27, 0.0021, 0)</f>
        <v>31.9298</v>
      </c>
      <c r="H155" s="10">
        <f>31.793 * CHOOSE(CONTROL!$C$9, $D$9, 100%, $F$9) + CHOOSE(CONTROL!$C$27, 0.0021, 0)</f>
        <v>31.795099999999998</v>
      </c>
      <c r="I155" s="10">
        <f>31.793 * CHOOSE(CONTROL!$C$9, $D$9, 100%, $F$9) + CHOOSE(CONTROL!$C$27, 0.0021, 0)</f>
        <v>31.795099999999998</v>
      </c>
      <c r="J155" s="10">
        <f>31.793 * CHOOSE(CONTROL!$C$9, $D$9, 100%, $F$9) + CHOOSE(CONTROL!$C$27, 0.0021, 0)</f>
        <v>31.795099999999998</v>
      </c>
      <c r="K155" s="10">
        <f>31.793 * CHOOSE(CONTROL!$C$9, $D$9, 100%, $F$9) + CHOOSE(CONTROL!$C$27, 0.0021, 0)</f>
        <v>31.795099999999998</v>
      </c>
      <c r="L155" s="10"/>
    </row>
    <row r="156" spans="1:12" ht="15" x14ac:dyDescent="0.2">
      <c r="A156" s="16">
        <v>45658</v>
      </c>
      <c r="B156" s="10">
        <f>32.4802 * CHOOSE(CONTROL!$C$9, $D$9, 100%, $F$9) + CHOOSE(CONTROL!$C$27, 0.0021, 0)</f>
        <v>32.482300000000002</v>
      </c>
      <c r="C156" s="10">
        <f>32.0479 * CHOOSE(CONTROL!$C$9, $D$9, 100%, $F$9) + CHOOSE(CONTROL!$C$27, 0.0021, 0)</f>
        <v>32.049999999999997</v>
      </c>
      <c r="D156" s="10">
        <f>32.0479 * CHOOSE(CONTROL!$C$9, $D$9, 100%, $F$9) + CHOOSE(CONTROL!$C$27, 0.0021, 0)</f>
        <v>32.049999999999997</v>
      </c>
      <c r="E156" s="10">
        <f>31.9113 * CHOOSE(CONTROL!$C$9, $D$9, 100%, $F$9) + CHOOSE(CONTROL!$C$27, 0.0021, 0)</f>
        <v>31.913399999999999</v>
      </c>
      <c r="F156" s="10">
        <f>31.9113 * CHOOSE(CONTROL!$C$9, $D$9, 100%, $F$9) + CHOOSE(CONTROL!$C$27, 0.0021, 0)</f>
        <v>31.913399999999999</v>
      </c>
      <c r="G156" s="10">
        <f>32.1826 * CHOOSE(CONTROL!$C$9, $D$9, 100%, $F$9) + CHOOSE(CONTROL!$C$27, 0.0021, 0)</f>
        <v>32.184699999999999</v>
      </c>
      <c r="H156" s="10">
        <f>32.0479 * CHOOSE(CONTROL!$C$9, $D$9, 100%, $F$9) + CHOOSE(CONTROL!$C$27, 0.0021, 0)</f>
        <v>32.049999999999997</v>
      </c>
      <c r="I156" s="10">
        <f>32.0479 * CHOOSE(CONTROL!$C$9, $D$9, 100%, $F$9) + CHOOSE(CONTROL!$C$27, 0.0021, 0)</f>
        <v>32.049999999999997</v>
      </c>
      <c r="J156" s="10">
        <f>32.0479 * CHOOSE(CONTROL!$C$9, $D$9, 100%, $F$9) + CHOOSE(CONTROL!$C$27, 0.0021, 0)</f>
        <v>32.049999999999997</v>
      </c>
      <c r="K156" s="10">
        <f>32.0479 * CHOOSE(CONTROL!$C$9, $D$9, 100%, $F$9) + CHOOSE(CONTROL!$C$27, 0.0021, 0)</f>
        <v>32.049999999999997</v>
      </c>
      <c r="L156" s="10"/>
    </row>
    <row r="157" spans="1:12" ht="15" x14ac:dyDescent="0.2">
      <c r="A157" s="16">
        <v>45689</v>
      </c>
      <c r="B157" s="10">
        <f>31.6263 * CHOOSE(CONTROL!$C$9, $D$9, 100%, $F$9) + CHOOSE(CONTROL!$C$27, 0.0021, 0)</f>
        <v>31.628399999999999</v>
      </c>
      <c r="C157" s="10">
        <f>31.1941 * CHOOSE(CONTROL!$C$9, $D$9, 100%, $F$9) + CHOOSE(CONTROL!$C$27, 0.0021, 0)</f>
        <v>31.196199999999997</v>
      </c>
      <c r="D157" s="10">
        <f>31.1941 * CHOOSE(CONTROL!$C$9, $D$9, 100%, $F$9) + CHOOSE(CONTROL!$C$27, 0.0021, 0)</f>
        <v>31.196199999999997</v>
      </c>
      <c r="E157" s="10">
        <f>31.0574 * CHOOSE(CONTROL!$C$9, $D$9, 100%, $F$9) + CHOOSE(CONTROL!$C$27, 0.0021, 0)</f>
        <v>31.0595</v>
      </c>
      <c r="F157" s="10">
        <f>31.0574 * CHOOSE(CONTROL!$C$9, $D$9, 100%, $F$9) + CHOOSE(CONTROL!$C$27, 0.0021, 0)</f>
        <v>31.0595</v>
      </c>
      <c r="G157" s="10">
        <f>31.3288 * CHOOSE(CONTROL!$C$9, $D$9, 100%, $F$9) + CHOOSE(CONTROL!$C$27, 0.0021, 0)</f>
        <v>31.3309</v>
      </c>
      <c r="H157" s="10">
        <f>31.1941 * CHOOSE(CONTROL!$C$9, $D$9, 100%, $F$9) + CHOOSE(CONTROL!$C$27, 0.0021, 0)</f>
        <v>31.196199999999997</v>
      </c>
      <c r="I157" s="10">
        <f>31.1941 * CHOOSE(CONTROL!$C$9, $D$9, 100%, $F$9) + CHOOSE(CONTROL!$C$27, 0.0021, 0)</f>
        <v>31.196199999999997</v>
      </c>
      <c r="J157" s="10">
        <f>31.1941 * CHOOSE(CONTROL!$C$9, $D$9, 100%, $F$9) + CHOOSE(CONTROL!$C$27, 0.0021, 0)</f>
        <v>31.196199999999997</v>
      </c>
      <c r="K157" s="10">
        <f>31.1941 * CHOOSE(CONTROL!$C$9, $D$9, 100%, $F$9) + CHOOSE(CONTROL!$C$27, 0.0021, 0)</f>
        <v>31.196199999999997</v>
      </c>
      <c r="L157" s="10"/>
    </row>
    <row r="158" spans="1:12" ht="15" x14ac:dyDescent="0.2">
      <c r="A158" s="16">
        <v>45717</v>
      </c>
      <c r="B158" s="10">
        <f>31.2738 * CHOOSE(CONTROL!$C$9, $D$9, 100%, $F$9) + CHOOSE(CONTROL!$C$27, 0.0021, 0)</f>
        <v>31.2759</v>
      </c>
      <c r="C158" s="10">
        <f>30.8416 * CHOOSE(CONTROL!$C$9, $D$9, 100%, $F$9) + CHOOSE(CONTROL!$C$27, 0.0021, 0)</f>
        <v>30.843699999999998</v>
      </c>
      <c r="D158" s="10">
        <f>30.8416 * CHOOSE(CONTROL!$C$9, $D$9, 100%, $F$9) + CHOOSE(CONTROL!$C$27, 0.0021, 0)</f>
        <v>30.843699999999998</v>
      </c>
      <c r="E158" s="10">
        <f>30.7049 * CHOOSE(CONTROL!$C$9, $D$9, 100%, $F$9) + CHOOSE(CONTROL!$C$27, 0.0021, 0)</f>
        <v>30.706999999999997</v>
      </c>
      <c r="F158" s="10">
        <f>30.7049 * CHOOSE(CONTROL!$C$9, $D$9, 100%, $F$9) + CHOOSE(CONTROL!$C$27, 0.0021, 0)</f>
        <v>30.706999999999997</v>
      </c>
      <c r="G158" s="10">
        <f>30.9763 * CHOOSE(CONTROL!$C$9, $D$9, 100%, $F$9) + CHOOSE(CONTROL!$C$27, 0.0021, 0)</f>
        <v>30.978399999999997</v>
      </c>
      <c r="H158" s="10">
        <f>30.8416 * CHOOSE(CONTROL!$C$9, $D$9, 100%, $F$9) + CHOOSE(CONTROL!$C$27, 0.0021, 0)</f>
        <v>30.843699999999998</v>
      </c>
      <c r="I158" s="10">
        <f>30.8416 * CHOOSE(CONTROL!$C$9, $D$9, 100%, $F$9) + CHOOSE(CONTROL!$C$27, 0.0021, 0)</f>
        <v>30.843699999999998</v>
      </c>
      <c r="J158" s="10">
        <f>30.8416 * CHOOSE(CONTROL!$C$9, $D$9, 100%, $F$9) + CHOOSE(CONTROL!$C$27, 0.0021, 0)</f>
        <v>30.843699999999998</v>
      </c>
      <c r="K158" s="10">
        <f>30.8416 * CHOOSE(CONTROL!$C$9, $D$9, 100%, $F$9) + CHOOSE(CONTROL!$C$27, 0.0021, 0)</f>
        <v>30.843699999999998</v>
      </c>
      <c r="L158" s="10"/>
    </row>
    <row r="159" spans="1:12" ht="15" x14ac:dyDescent="0.2">
      <c r="A159" s="16">
        <v>45748</v>
      </c>
      <c r="B159" s="10">
        <f>30.853 * CHOOSE(CONTROL!$C$9, $D$9, 100%, $F$9) + CHOOSE(CONTROL!$C$27, 0.0021, 0)</f>
        <v>30.8551</v>
      </c>
      <c r="C159" s="10">
        <f>30.4207 * CHOOSE(CONTROL!$C$9, $D$9, 100%, $F$9) + CHOOSE(CONTROL!$C$27, 0.0021, 0)</f>
        <v>30.422799999999999</v>
      </c>
      <c r="D159" s="10">
        <f>30.4207 * CHOOSE(CONTROL!$C$9, $D$9, 100%, $F$9) + CHOOSE(CONTROL!$C$27, 0.0021, 0)</f>
        <v>30.422799999999999</v>
      </c>
      <c r="E159" s="10">
        <f>30.2841 * CHOOSE(CONTROL!$C$9, $D$9, 100%, $F$9) + CHOOSE(CONTROL!$C$27, 0.0021, 0)</f>
        <v>30.286199999999997</v>
      </c>
      <c r="F159" s="10">
        <f>30.2841 * CHOOSE(CONTROL!$C$9, $D$9, 100%, $F$9) + CHOOSE(CONTROL!$C$27, 0.0021, 0)</f>
        <v>30.286199999999997</v>
      </c>
      <c r="G159" s="10">
        <f>30.5554 * CHOOSE(CONTROL!$C$9, $D$9, 100%, $F$9) + CHOOSE(CONTROL!$C$27, 0.0021, 0)</f>
        <v>30.557499999999997</v>
      </c>
      <c r="H159" s="10">
        <f>30.4207 * CHOOSE(CONTROL!$C$9, $D$9, 100%, $F$9) + CHOOSE(CONTROL!$C$27, 0.0021, 0)</f>
        <v>30.422799999999999</v>
      </c>
      <c r="I159" s="10">
        <f>30.4207 * CHOOSE(CONTROL!$C$9, $D$9, 100%, $F$9) + CHOOSE(CONTROL!$C$27, 0.0021, 0)</f>
        <v>30.422799999999999</v>
      </c>
      <c r="J159" s="10">
        <f>30.4207 * CHOOSE(CONTROL!$C$9, $D$9, 100%, $F$9) + CHOOSE(CONTROL!$C$27, 0.0021, 0)</f>
        <v>30.422799999999999</v>
      </c>
      <c r="K159" s="10">
        <f>30.4207 * CHOOSE(CONTROL!$C$9, $D$9, 100%, $F$9) + CHOOSE(CONTROL!$C$27, 0.0021, 0)</f>
        <v>30.422799999999999</v>
      </c>
      <c r="L159" s="10"/>
    </row>
    <row r="160" spans="1:12" ht="15" x14ac:dyDescent="0.2">
      <c r="A160" s="16">
        <v>45778</v>
      </c>
      <c r="B160" s="10">
        <f>31.4527 * CHOOSE(CONTROL!$C$9, $D$9, 100%, $F$9) + CHOOSE(CONTROL!$C$27, 0.0021, 0)</f>
        <v>31.454799999999999</v>
      </c>
      <c r="C160" s="10">
        <f>31.0205 * CHOOSE(CONTROL!$C$9, $D$9, 100%, $F$9) + CHOOSE(CONTROL!$C$27, 0.0021, 0)</f>
        <v>31.022599999999997</v>
      </c>
      <c r="D160" s="10">
        <f>31.0205 * CHOOSE(CONTROL!$C$9, $D$9, 100%, $F$9) + CHOOSE(CONTROL!$C$27, 0.0021, 0)</f>
        <v>31.022599999999997</v>
      </c>
      <c r="E160" s="10">
        <f>30.8838 * CHOOSE(CONTROL!$C$9, $D$9, 100%, $F$9) + CHOOSE(CONTROL!$C$27, 0.0021, 0)</f>
        <v>30.885899999999999</v>
      </c>
      <c r="F160" s="10">
        <f>30.8838 * CHOOSE(CONTROL!$C$9, $D$9, 100%, $F$9) + CHOOSE(CONTROL!$C$27, 0.0021, 0)</f>
        <v>30.885899999999999</v>
      </c>
      <c r="G160" s="10">
        <f>31.1552 * CHOOSE(CONTROL!$C$9, $D$9, 100%, $F$9) + CHOOSE(CONTROL!$C$27, 0.0021, 0)</f>
        <v>31.157299999999999</v>
      </c>
      <c r="H160" s="10">
        <f>31.0205 * CHOOSE(CONTROL!$C$9, $D$9, 100%, $F$9) + CHOOSE(CONTROL!$C$27, 0.0021, 0)</f>
        <v>31.022599999999997</v>
      </c>
      <c r="I160" s="10">
        <f>31.0205 * CHOOSE(CONTROL!$C$9, $D$9, 100%, $F$9) + CHOOSE(CONTROL!$C$27, 0.0021, 0)</f>
        <v>31.022599999999997</v>
      </c>
      <c r="J160" s="10">
        <f>31.0205 * CHOOSE(CONTROL!$C$9, $D$9, 100%, $F$9) + CHOOSE(CONTROL!$C$27, 0.0021, 0)</f>
        <v>31.022599999999997</v>
      </c>
      <c r="K160" s="10">
        <f>31.0205 * CHOOSE(CONTROL!$C$9, $D$9, 100%, $F$9) + CHOOSE(CONTROL!$C$27, 0.0021, 0)</f>
        <v>31.022599999999997</v>
      </c>
      <c r="L160" s="10"/>
    </row>
    <row r="161" spans="1:12" ht="15" x14ac:dyDescent="0.2">
      <c r="A161" s="16">
        <v>45809</v>
      </c>
      <c r="B161" s="10">
        <f>31.812 * CHOOSE(CONTROL!$C$9, $D$9, 100%, $F$9) + CHOOSE(CONTROL!$C$27, 0.0021, 0)</f>
        <v>31.8141</v>
      </c>
      <c r="C161" s="10">
        <f>31.3797 * CHOOSE(CONTROL!$C$9, $D$9, 100%, $F$9) + CHOOSE(CONTROL!$C$27, 0.0021, 0)</f>
        <v>31.381799999999998</v>
      </c>
      <c r="D161" s="10">
        <f>31.3797 * CHOOSE(CONTROL!$C$9, $D$9, 100%, $F$9) + CHOOSE(CONTROL!$C$27, 0.0021, 0)</f>
        <v>31.381799999999998</v>
      </c>
      <c r="E161" s="10">
        <f>31.2431 * CHOOSE(CONTROL!$C$9, $D$9, 100%, $F$9) + CHOOSE(CONTROL!$C$27, 0.0021, 0)</f>
        <v>31.245199999999997</v>
      </c>
      <c r="F161" s="10">
        <f>31.2431 * CHOOSE(CONTROL!$C$9, $D$9, 100%, $F$9) + CHOOSE(CONTROL!$C$27, 0.0021, 0)</f>
        <v>31.245199999999997</v>
      </c>
      <c r="G161" s="10">
        <f>31.5145 * CHOOSE(CONTROL!$C$9, $D$9, 100%, $F$9) + CHOOSE(CONTROL!$C$27, 0.0021, 0)</f>
        <v>31.5166</v>
      </c>
      <c r="H161" s="10">
        <f>31.3797 * CHOOSE(CONTROL!$C$9, $D$9, 100%, $F$9) + CHOOSE(CONTROL!$C$27, 0.0021, 0)</f>
        <v>31.381799999999998</v>
      </c>
      <c r="I161" s="10">
        <f>31.3797 * CHOOSE(CONTROL!$C$9, $D$9, 100%, $F$9) + CHOOSE(CONTROL!$C$27, 0.0021, 0)</f>
        <v>31.381799999999998</v>
      </c>
      <c r="J161" s="10">
        <f>31.3797 * CHOOSE(CONTROL!$C$9, $D$9, 100%, $F$9) + CHOOSE(CONTROL!$C$27, 0.0021, 0)</f>
        <v>31.381799999999998</v>
      </c>
      <c r="K161" s="10">
        <f>31.3797 * CHOOSE(CONTROL!$C$9, $D$9, 100%, $F$9) + CHOOSE(CONTROL!$C$27, 0.0021, 0)</f>
        <v>31.381799999999998</v>
      </c>
      <c r="L161" s="10"/>
    </row>
    <row r="162" spans="1:12" ht="15" x14ac:dyDescent="0.2">
      <c r="A162" s="16">
        <v>45839</v>
      </c>
      <c r="B162" s="10">
        <f>32.4046 * CHOOSE(CONTROL!$C$9, $D$9, 100%, $F$9) + CHOOSE(CONTROL!$C$27, 0.0021, 0)</f>
        <v>32.406700000000001</v>
      </c>
      <c r="C162" s="10">
        <f>31.9724 * CHOOSE(CONTROL!$C$9, $D$9, 100%, $F$9) + CHOOSE(CONTROL!$C$27, 0.0021, 0)</f>
        <v>31.974499999999999</v>
      </c>
      <c r="D162" s="10">
        <f>31.9724 * CHOOSE(CONTROL!$C$9, $D$9, 100%, $F$9) + CHOOSE(CONTROL!$C$27, 0.0021, 0)</f>
        <v>31.974499999999999</v>
      </c>
      <c r="E162" s="10">
        <f>31.8357 * CHOOSE(CONTROL!$C$9, $D$9, 100%, $F$9) + CHOOSE(CONTROL!$C$27, 0.0021, 0)</f>
        <v>31.837799999999998</v>
      </c>
      <c r="F162" s="10">
        <f>31.8357 * CHOOSE(CONTROL!$C$9, $D$9, 100%, $F$9) + CHOOSE(CONTROL!$C$27, 0.0021, 0)</f>
        <v>31.837799999999998</v>
      </c>
      <c r="G162" s="10">
        <f>32.1071 * CHOOSE(CONTROL!$C$9, $D$9, 100%, $F$9) + CHOOSE(CONTROL!$C$27, 0.0021, 0)</f>
        <v>32.109200000000001</v>
      </c>
      <c r="H162" s="10">
        <f>31.9724 * CHOOSE(CONTROL!$C$9, $D$9, 100%, $F$9) + CHOOSE(CONTROL!$C$27, 0.0021, 0)</f>
        <v>31.974499999999999</v>
      </c>
      <c r="I162" s="10">
        <f>31.9724 * CHOOSE(CONTROL!$C$9, $D$9, 100%, $F$9) + CHOOSE(CONTROL!$C$27, 0.0021, 0)</f>
        <v>31.974499999999999</v>
      </c>
      <c r="J162" s="10">
        <f>31.9724 * CHOOSE(CONTROL!$C$9, $D$9, 100%, $F$9) + CHOOSE(CONTROL!$C$27, 0.0021, 0)</f>
        <v>31.974499999999999</v>
      </c>
      <c r="K162" s="10">
        <f>31.9724 * CHOOSE(CONTROL!$C$9, $D$9, 100%, $F$9) + CHOOSE(CONTROL!$C$27, 0.0021, 0)</f>
        <v>31.974499999999999</v>
      </c>
      <c r="L162" s="10"/>
    </row>
    <row r="163" spans="1:12" ht="15" x14ac:dyDescent="0.2">
      <c r="A163" s="16">
        <v>45870</v>
      </c>
      <c r="B163" s="10">
        <f>32.5855 * CHOOSE(CONTROL!$C$9, $D$9, 100%, $F$9) + CHOOSE(CONTROL!$C$27, 0.0021, 0)</f>
        <v>32.587600000000002</v>
      </c>
      <c r="C163" s="10">
        <f>32.1533 * CHOOSE(CONTROL!$C$9, $D$9, 100%, $F$9) + CHOOSE(CONTROL!$C$27, 0.0021, 0)</f>
        <v>32.1554</v>
      </c>
      <c r="D163" s="10">
        <f>32.1533 * CHOOSE(CONTROL!$C$9, $D$9, 100%, $F$9) + CHOOSE(CONTROL!$C$27, 0.0021, 0)</f>
        <v>32.1554</v>
      </c>
      <c r="E163" s="10">
        <f>32.0166 * CHOOSE(CONTROL!$C$9, $D$9, 100%, $F$9) + CHOOSE(CONTROL!$C$27, 0.0021, 0)</f>
        <v>32.018699999999995</v>
      </c>
      <c r="F163" s="10">
        <f>32.0166 * CHOOSE(CONTROL!$C$9, $D$9, 100%, $F$9) + CHOOSE(CONTROL!$C$27, 0.0021, 0)</f>
        <v>32.018699999999995</v>
      </c>
      <c r="G163" s="10">
        <f>32.288 * CHOOSE(CONTROL!$C$9, $D$9, 100%, $F$9) + CHOOSE(CONTROL!$C$27, 0.0021, 0)</f>
        <v>32.290099999999995</v>
      </c>
      <c r="H163" s="10">
        <f>32.1533 * CHOOSE(CONTROL!$C$9, $D$9, 100%, $F$9) + CHOOSE(CONTROL!$C$27, 0.0021, 0)</f>
        <v>32.1554</v>
      </c>
      <c r="I163" s="10">
        <f>32.1533 * CHOOSE(CONTROL!$C$9, $D$9, 100%, $F$9) + CHOOSE(CONTROL!$C$27, 0.0021, 0)</f>
        <v>32.1554</v>
      </c>
      <c r="J163" s="10">
        <f>32.1533 * CHOOSE(CONTROL!$C$9, $D$9, 100%, $F$9) + CHOOSE(CONTROL!$C$27, 0.0021, 0)</f>
        <v>32.1554</v>
      </c>
      <c r="K163" s="10">
        <f>32.1533 * CHOOSE(CONTROL!$C$9, $D$9, 100%, $F$9) + CHOOSE(CONTROL!$C$27, 0.0021, 0)</f>
        <v>32.1554</v>
      </c>
      <c r="L163" s="10"/>
    </row>
    <row r="164" spans="1:12" ht="15" x14ac:dyDescent="0.2">
      <c r="A164" s="16">
        <v>45901</v>
      </c>
      <c r="B164" s="10">
        <f>33.2015 * CHOOSE(CONTROL!$C$9, $D$9, 100%, $F$9) + CHOOSE(CONTROL!$C$27, 0.0021, 0)</f>
        <v>33.203600000000002</v>
      </c>
      <c r="C164" s="10">
        <f>32.7693 * CHOOSE(CONTROL!$C$9, $D$9, 100%, $F$9) + CHOOSE(CONTROL!$C$27, 0.0021, 0)</f>
        <v>32.7714</v>
      </c>
      <c r="D164" s="10">
        <f>32.7693 * CHOOSE(CONTROL!$C$9, $D$9, 100%, $F$9) + CHOOSE(CONTROL!$C$27, 0.0021, 0)</f>
        <v>32.7714</v>
      </c>
      <c r="E164" s="10">
        <f>32.6326 * CHOOSE(CONTROL!$C$9, $D$9, 100%, $F$9) + CHOOSE(CONTROL!$C$27, 0.0021, 0)</f>
        <v>32.634699999999995</v>
      </c>
      <c r="F164" s="10">
        <f>32.6326 * CHOOSE(CONTROL!$C$9, $D$9, 100%, $F$9) + CHOOSE(CONTROL!$C$27, 0.0021, 0)</f>
        <v>32.634699999999995</v>
      </c>
      <c r="G164" s="10">
        <f>32.904 * CHOOSE(CONTROL!$C$9, $D$9, 100%, $F$9) + CHOOSE(CONTROL!$C$27, 0.0021, 0)</f>
        <v>32.906100000000002</v>
      </c>
      <c r="H164" s="10">
        <f>32.7693 * CHOOSE(CONTROL!$C$9, $D$9, 100%, $F$9) + CHOOSE(CONTROL!$C$27, 0.0021, 0)</f>
        <v>32.7714</v>
      </c>
      <c r="I164" s="10">
        <f>32.7693 * CHOOSE(CONTROL!$C$9, $D$9, 100%, $F$9) + CHOOSE(CONTROL!$C$27, 0.0021, 0)</f>
        <v>32.7714</v>
      </c>
      <c r="J164" s="10">
        <f>32.7693 * CHOOSE(CONTROL!$C$9, $D$9, 100%, $F$9) + CHOOSE(CONTROL!$C$27, 0.0021, 0)</f>
        <v>32.7714</v>
      </c>
      <c r="K164" s="10">
        <f>32.7693 * CHOOSE(CONTROL!$C$9, $D$9, 100%, $F$9) + CHOOSE(CONTROL!$C$27, 0.0021, 0)</f>
        <v>32.7714</v>
      </c>
      <c r="L164" s="10"/>
    </row>
    <row r="165" spans="1:12" ht="15" x14ac:dyDescent="0.2">
      <c r="A165" s="16">
        <v>45931</v>
      </c>
      <c r="B165" s="10">
        <f>33.9813 * CHOOSE(CONTROL!$C$9, $D$9, 100%, $F$9) + CHOOSE(CONTROL!$C$27, 0.0021, 0)</f>
        <v>33.983399999999996</v>
      </c>
      <c r="C165" s="10">
        <f>33.549 * CHOOSE(CONTROL!$C$9, $D$9, 100%, $F$9) + CHOOSE(CONTROL!$C$27, 0.0021, 0)</f>
        <v>33.551099999999998</v>
      </c>
      <c r="D165" s="10">
        <f>33.549 * CHOOSE(CONTROL!$C$9, $D$9, 100%, $F$9) + CHOOSE(CONTROL!$C$27, 0.0021, 0)</f>
        <v>33.551099999999998</v>
      </c>
      <c r="E165" s="10">
        <f>33.4124 * CHOOSE(CONTROL!$C$9, $D$9, 100%, $F$9) + CHOOSE(CONTROL!$C$27, 0.0021, 0)</f>
        <v>33.414499999999997</v>
      </c>
      <c r="F165" s="10">
        <f>33.4124 * CHOOSE(CONTROL!$C$9, $D$9, 100%, $F$9) + CHOOSE(CONTROL!$C$27, 0.0021, 0)</f>
        <v>33.414499999999997</v>
      </c>
      <c r="G165" s="10">
        <f>33.6837 * CHOOSE(CONTROL!$C$9, $D$9, 100%, $F$9) + CHOOSE(CONTROL!$C$27, 0.0021, 0)</f>
        <v>33.6858</v>
      </c>
      <c r="H165" s="10">
        <f>33.549 * CHOOSE(CONTROL!$C$9, $D$9, 100%, $F$9) + CHOOSE(CONTROL!$C$27, 0.0021, 0)</f>
        <v>33.551099999999998</v>
      </c>
      <c r="I165" s="10">
        <f>33.549 * CHOOSE(CONTROL!$C$9, $D$9, 100%, $F$9) + CHOOSE(CONTROL!$C$27, 0.0021, 0)</f>
        <v>33.551099999999998</v>
      </c>
      <c r="J165" s="10">
        <f>33.549 * CHOOSE(CONTROL!$C$9, $D$9, 100%, $F$9) + CHOOSE(CONTROL!$C$27, 0.0021, 0)</f>
        <v>33.551099999999998</v>
      </c>
      <c r="K165" s="10">
        <f>33.549 * CHOOSE(CONTROL!$C$9, $D$9, 100%, $F$9) + CHOOSE(CONTROL!$C$27, 0.0021, 0)</f>
        <v>33.551099999999998</v>
      </c>
      <c r="L165" s="10"/>
    </row>
    <row r="166" spans="1:12" ht="15" x14ac:dyDescent="0.2">
      <c r="A166" s="16">
        <v>45962</v>
      </c>
      <c r="B166" s="10">
        <f>34.0545 * CHOOSE(CONTROL!$C$9, $D$9, 100%, $F$9) + CHOOSE(CONTROL!$C$27, 0.0021, 0)</f>
        <v>34.056599999999996</v>
      </c>
      <c r="C166" s="10">
        <f>33.6222 * CHOOSE(CONTROL!$C$9, $D$9, 100%, $F$9) + CHOOSE(CONTROL!$C$27, 0.0021, 0)</f>
        <v>33.624299999999998</v>
      </c>
      <c r="D166" s="10">
        <f>33.6222 * CHOOSE(CONTROL!$C$9, $D$9, 100%, $F$9) + CHOOSE(CONTROL!$C$27, 0.0021, 0)</f>
        <v>33.624299999999998</v>
      </c>
      <c r="E166" s="10">
        <f>33.4856 * CHOOSE(CONTROL!$C$9, $D$9, 100%, $F$9) + CHOOSE(CONTROL!$C$27, 0.0021, 0)</f>
        <v>33.487699999999997</v>
      </c>
      <c r="F166" s="10">
        <f>33.4856 * CHOOSE(CONTROL!$C$9, $D$9, 100%, $F$9) + CHOOSE(CONTROL!$C$27, 0.0021, 0)</f>
        <v>33.487699999999997</v>
      </c>
      <c r="G166" s="10">
        <f>33.757 * CHOOSE(CONTROL!$C$9, $D$9, 100%, $F$9) + CHOOSE(CONTROL!$C$27, 0.0021, 0)</f>
        <v>33.759099999999997</v>
      </c>
      <c r="H166" s="10">
        <f>33.6222 * CHOOSE(CONTROL!$C$9, $D$9, 100%, $F$9) + CHOOSE(CONTROL!$C$27, 0.0021, 0)</f>
        <v>33.624299999999998</v>
      </c>
      <c r="I166" s="10">
        <f>33.6222 * CHOOSE(CONTROL!$C$9, $D$9, 100%, $F$9) + CHOOSE(CONTROL!$C$27, 0.0021, 0)</f>
        <v>33.624299999999998</v>
      </c>
      <c r="J166" s="10">
        <f>33.6222 * CHOOSE(CONTROL!$C$9, $D$9, 100%, $F$9) + CHOOSE(CONTROL!$C$27, 0.0021, 0)</f>
        <v>33.624299999999998</v>
      </c>
      <c r="K166" s="10">
        <f>33.6222 * CHOOSE(CONTROL!$C$9, $D$9, 100%, $F$9) + CHOOSE(CONTROL!$C$27, 0.0021, 0)</f>
        <v>33.624299999999998</v>
      </c>
      <c r="L166" s="10"/>
    </row>
    <row r="167" spans="1:12" ht="15" x14ac:dyDescent="0.2">
      <c r="A167" s="16">
        <v>45992</v>
      </c>
      <c r="B167" s="10">
        <f>33.4317 * CHOOSE(CONTROL!$C$9, $D$9, 100%, $F$9) + CHOOSE(CONTROL!$C$27, 0.0021, 0)</f>
        <v>33.433799999999998</v>
      </c>
      <c r="C167" s="10">
        <f>32.9995 * CHOOSE(CONTROL!$C$9, $D$9, 100%, $F$9) + CHOOSE(CONTROL!$C$27, 0.0021, 0)</f>
        <v>33.001599999999996</v>
      </c>
      <c r="D167" s="10">
        <f>32.9995 * CHOOSE(CONTROL!$C$9, $D$9, 100%, $F$9) + CHOOSE(CONTROL!$C$27, 0.0021, 0)</f>
        <v>33.001599999999996</v>
      </c>
      <c r="E167" s="10">
        <f>32.8628 * CHOOSE(CONTROL!$C$9, $D$9, 100%, $F$9) + CHOOSE(CONTROL!$C$27, 0.0021, 0)</f>
        <v>32.864899999999999</v>
      </c>
      <c r="F167" s="10">
        <f>32.8628 * CHOOSE(CONTROL!$C$9, $D$9, 100%, $F$9) + CHOOSE(CONTROL!$C$27, 0.0021, 0)</f>
        <v>32.864899999999999</v>
      </c>
      <c r="G167" s="10">
        <f>33.1342 * CHOOSE(CONTROL!$C$9, $D$9, 100%, $F$9) + CHOOSE(CONTROL!$C$27, 0.0021, 0)</f>
        <v>33.136299999999999</v>
      </c>
      <c r="H167" s="10">
        <f>32.9995 * CHOOSE(CONTROL!$C$9, $D$9, 100%, $F$9) + CHOOSE(CONTROL!$C$27, 0.0021, 0)</f>
        <v>33.001599999999996</v>
      </c>
      <c r="I167" s="10">
        <f>32.9995 * CHOOSE(CONTROL!$C$9, $D$9, 100%, $F$9) + CHOOSE(CONTROL!$C$27, 0.0021, 0)</f>
        <v>33.001599999999996</v>
      </c>
      <c r="J167" s="10">
        <f>32.9995 * CHOOSE(CONTROL!$C$9, $D$9, 100%, $F$9) + CHOOSE(CONTROL!$C$27, 0.0021, 0)</f>
        <v>33.001599999999996</v>
      </c>
      <c r="K167" s="10">
        <f>32.9995 * CHOOSE(CONTROL!$C$9, $D$9, 100%, $F$9) + CHOOSE(CONTROL!$C$27, 0.0021, 0)</f>
        <v>33.001599999999996</v>
      </c>
      <c r="L167" s="10"/>
    </row>
    <row r="168" spans="1:12" ht="15" x14ac:dyDescent="0.2">
      <c r="A168" s="16">
        <v>46023</v>
      </c>
      <c r="B168" s="10">
        <f>33.1193 * CHOOSE(CONTROL!$C$9, $D$9, 100%, $F$9) + CHOOSE(CONTROL!$C$27, 0.0021, 0)</f>
        <v>33.121400000000001</v>
      </c>
      <c r="C168" s="10">
        <f>32.6871 * CHOOSE(CONTROL!$C$9, $D$9, 100%, $F$9) + CHOOSE(CONTROL!$C$27, 0.0021, 0)</f>
        <v>32.6892</v>
      </c>
      <c r="D168" s="10">
        <f>32.6871 * CHOOSE(CONTROL!$C$9, $D$9, 100%, $F$9) + CHOOSE(CONTROL!$C$27, 0.0021, 0)</f>
        <v>32.6892</v>
      </c>
      <c r="E168" s="10">
        <f>32.5504 * CHOOSE(CONTROL!$C$9, $D$9, 100%, $F$9) + CHOOSE(CONTROL!$C$27, 0.0021, 0)</f>
        <v>32.552500000000002</v>
      </c>
      <c r="F168" s="10">
        <f>32.5504 * CHOOSE(CONTROL!$C$9, $D$9, 100%, $F$9) + CHOOSE(CONTROL!$C$27, 0.0021, 0)</f>
        <v>32.552500000000002</v>
      </c>
      <c r="G168" s="10">
        <f>32.8218 * CHOOSE(CONTROL!$C$9, $D$9, 100%, $F$9) + CHOOSE(CONTROL!$C$27, 0.0021, 0)</f>
        <v>32.823900000000002</v>
      </c>
      <c r="H168" s="10">
        <f>32.6871 * CHOOSE(CONTROL!$C$9, $D$9, 100%, $F$9) + CHOOSE(CONTROL!$C$27, 0.0021, 0)</f>
        <v>32.6892</v>
      </c>
      <c r="I168" s="10">
        <f>32.6871 * CHOOSE(CONTROL!$C$9, $D$9, 100%, $F$9) + CHOOSE(CONTROL!$C$27, 0.0021, 0)</f>
        <v>32.6892</v>
      </c>
      <c r="J168" s="10">
        <f>32.6871 * CHOOSE(CONTROL!$C$9, $D$9, 100%, $F$9) + CHOOSE(CONTROL!$C$27, 0.0021, 0)</f>
        <v>32.6892</v>
      </c>
      <c r="K168" s="10">
        <f>32.6871 * CHOOSE(CONTROL!$C$9, $D$9, 100%, $F$9) + CHOOSE(CONTROL!$C$27, 0.0021, 0)</f>
        <v>32.6892</v>
      </c>
      <c r="L168" s="10"/>
    </row>
    <row r="169" spans="1:12" ht="15" x14ac:dyDescent="0.2">
      <c r="A169" s="16">
        <v>46054</v>
      </c>
      <c r="B169" s="10">
        <f>32.2474 * CHOOSE(CONTROL!$C$9, $D$9, 100%, $F$9) + CHOOSE(CONTROL!$C$27, 0.0021, 0)</f>
        <v>32.249499999999998</v>
      </c>
      <c r="C169" s="10">
        <f>31.8151 * CHOOSE(CONTROL!$C$9, $D$9, 100%, $F$9) + CHOOSE(CONTROL!$C$27, 0.0021, 0)</f>
        <v>31.8172</v>
      </c>
      <c r="D169" s="10">
        <f>31.8151 * CHOOSE(CONTROL!$C$9, $D$9, 100%, $F$9) + CHOOSE(CONTROL!$C$27, 0.0021, 0)</f>
        <v>31.8172</v>
      </c>
      <c r="E169" s="10">
        <f>31.6785 * CHOOSE(CONTROL!$C$9, $D$9, 100%, $F$9) + CHOOSE(CONTROL!$C$27, 0.0021, 0)</f>
        <v>31.680599999999998</v>
      </c>
      <c r="F169" s="10">
        <f>31.6785 * CHOOSE(CONTROL!$C$9, $D$9, 100%, $F$9) + CHOOSE(CONTROL!$C$27, 0.0021, 0)</f>
        <v>31.680599999999998</v>
      </c>
      <c r="G169" s="10">
        <f>31.9498 * CHOOSE(CONTROL!$C$9, $D$9, 100%, $F$9) + CHOOSE(CONTROL!$C$27, 0.0021, 0)</f>
        <v>31.951899999999998</v>
      </c>
      <c r="H169" s="10">
        <f>31.8151 * CHOOSE(CONTROL!$C$9, $D$9, 100%, $F$9) + CHOOSE(CONTROL!$C$27, 0.0021, 0)</f>
        <v>31.8172</v>
      </c>
      <c r="I169" s="10">
        <f>31.8151 * CHOOSE(CONTROL!$C$9, $D$9, 100%, $F$9) + CHOOSE(CONTROL!$C$27, 0.0021, 0)</f>
        <v>31.8172</v>
      </c>
      <c r="J169" s="10">
        <f>31.8151 * CHOOSE(CONTROL!$C$9, $D$9, 100%, $F$9) + CHOOSE(CONTROL!$C$27, 0.0021, 0)</f>
        <v>31.8172</v>
      </c>
      <c r="K169" s="10">
        <f>31.8151 * CHOOSE(CONTROL!$C$9, $D$9, 100%, $F$9) + CHOOSE(CONTROL!$C$27, 0.0021, 0)</f>
        <v>31.8172</v>
      </c>
      <c r="L169" s="10"/>
    </row>
    <row r="170" spans="1:12" ht="15" x14ac:dyDescent="0.2">
      <c r="A170" s="16">
        <v>46082</v>
      </c>
      <c r="B170" s="10">
        <f>31.8874 * CHOOSE(CONTROL!$C$9, $D$9, 100%, $F$9) + CHOOSE(CONTROL!$C$27, 0.0021, 0)</f>
        <v>31.889499999999998</v>
      </c>
      <c r="C170" s="10">
        <f>31.4552 * CHOOSE(CONTROL!$C$9, $D$9, 100%, $F$9) + CHOOSE(CONTROL!$C$27, 0.0021, 0)</f>
        <v>31.4573</v>
      </c>
      <c r="D170" s="10">
        <f>31.4552 * CHOOSE(CONTROL!$C$9, $D$9, 100%, $F$9) + CHOOSE(CONTROL!$C$27, 0.0021, 0)</f>
        <v>31.4573</v>
      </c>
      <c r="E170" s="10">
        <f>31.3185 * CHOOSE(CONTROL!$C$9, $D$9, 100%, $F$9) + CHOOSE(CONTROL!$C$27, 0.0021, 0)</f>
        <v>31.320599999999999</v>
      </c>
      <c r="F170" s="10">
        <f>31.3185 * CHOOSE(CONTROL!$C$9, $D$9, 100%, $F$9) + CHOOSE(CONTROL!$C$27, 0.0021, 0)</f>
        <v>31.320599999999999</v>
      </c>
      <c r="G170" s="10">
        <f>31.5899 * CHOOSE(CONTROL!$C$9, $D$9, 100%, $F$9) + CHOOSE(CONTROL!$C$27, 0.0021, 0)</f>
        <v>31.591999999999999</v>
      </c>
      <c r="H170" s="10">
        <f>31.4552 * CHOOSE(CONTROL!$C$9, $D$9, 100%, $F$9) + CHOOSE(CONTROL!$C$27, 0.0021, 0)</f>
        <v>31.4573</v>
      </c>
      <c r="I170" s="10">
        <f>31.4552 * CHOOSE(CONTROL!$C$9, $D$9, 100%, $F$9) + CHOOSE(CONTROL!$C$27, 0.0021, 0)</f>
        <v>31.4573</v>
      </c>
      <c r="J170" s="10">
        <f>31.4552 * CHOOSE(CONTROL!$C$9, $D$9, 100%, $F$9) + CHOOSE(CONTROL!$C$27, 0.0021, 0)</f>
        <v>31.4573</v>
      </c>
      <c r="K170" s="10">
        <f>31.4552 * CHOOSE(CONTROL!$C$9, $D$9, 100%, $F$9) + CHOOSE(CONTROL!$C$27, 0.0021, 0)</f>
        <v>31.4573</v>
      </c>
      <c r="L170" s="10"/>
    </row>
    <row r="171" spans="1:12" ht="15" x14ac:dyDescent="0.2">
      <c r="A171" s="16">
        <v>46113</v>
      </c>
      <c r="B171" s="10">
        <f>31.4577 * CHOOSE(CONTROL!$C$9, $D$9, 100%, $F$9) + CHOOSE(CONTROL!$C$27, 0.0021, 0)</f>
        <v>31.459799999999998</v>
      </c>
      <c r="C171" s="10">
        <f>31.0254 * CHOOSE(CONTROL!$C$9, $D$9, 100%, $F$9) + CHOOSE(CONTROL!$C$27, 0.0021, 0)</f>
        <v>31.0275</v>
      </c>
      <c r="D171" s="10">
        <f>31.0254 * CHOOSE(CONTROL!$C$9, $D$9, 100%, $F$9) + CHOOSE(CONTROL!$C$27, 0.0021, 0)</f>
        <v>31.0275</v>
      </c>
      <c r="E171" s="10">
        <f>30.8887 * CHOOSE(CONTROL!$C$9, $D$9, 100%, $F$9) + CHOOSE(CONTROL!$C$27, 0.0021, 0)</f>
        <v>30.890799999999999</v>
      </c>
      <c r="F171" s="10">
        <f>30.8887 * CHOOSE(CONTROL!$C$9, $D$9, 100%, $F$9) + CHOOSE(CONTROL!$C$27, 0.0021, 0)</f>
        <v>30.890799999999999</v>
      </c>
      <c r="G171" s="10">
        <f>31.1601 * CHOOSE(CONTROL!$C$9, $D$9, 100%, $F$9) + CHOOSE(CONTROL!$C$27, 0.0021, 0)</f>
        <v>31.162199999999999</v>
      </c>
      <c r="H171" s="10">
        <f>31.0254 * CHOOSE(CONTROL!$C$9, $D$9, 100%, $F$9) + CHOOSE(CONTROL!$C$27, 0.0021, 0)</f>
        <v>31.0275</v>
      </c>
      <c r="I171" s="10">
        <f>31.0254 * CHOOSE(CONTROL!$C$9, $D$9, 100%, $F$9) + CHOOSE(CONTROL!$C$27, 0.0021, 0)</f>
        <v>31.0275</v>
      </c>
      <c r="J171" s="10">
        <f>31.0254 * CHOOSE(CONTROL!$C$9, $D$9, 100%, $F$9) + CHOOSE(CONTROL!$C$27, 0.0021, 0)</f>
        <v>31.0275</v>
      </c>
      <c r="K171" s="10">
        <f>31.0254 * CHOOSE(CONTROL!$C$9, $D$9, 100%, $F$9) + CHOOSE(CONTROL!$C$27, 0.0021, 0)</f>
        <v>31.0275</v>
      </c>
      <c r="L171" s="10"/>
    </row>
    <row r="172" spans="1:12" ht="15" x14ac:dyDescent="0.2">
      <c r="A172" s="16">
        <v>46143</v>
      </c>
      <c r="B172" s="10">
        <f>32.0701 * CHOOSE(CONTROL!$C$9, $D$9, 100%, $F$9) + CHOOSE(CONTROL!$C$27, 0.0021, 0)</f>
        <v>32.072199999999995</v>
      </c>
      <c r="C172" s="10">
        <f>31.6379 * CHOOSE(CONTROL!$C$9, $D$9, 100%, $F$9) + CHOOSE(CONTROL!$C$27, 0.0021, 0)</f>
        <v>31.639999999999997</v>
      </c>
      <c r="D172" s="10">
        <f>31.6379 * CHOOSE(CONTROL!$C$9, $D$9, 100%, $F$9) + CHOOSE(CONTROL!$C$27, 0.0021, 0)</f>
        <v>31.639999999999997</v>
      </c>
      <c r="E172" s="10">
        <f>31.5012 * CHOOSE(CONTROL!$C$9, $D$9, 100%, $F$9) + CHOOSE(CONTROL!$C$27, 0.0021, 0)</f>
        <v>31.503299999999999</v>
      </c>
      <c r="F172" s="10">
        <f>31.5012 * CHOOSE(CONTROL!$C$9, $D$9, 100%, $F$9) + CHOOSE(CONTROL!$C$27, 0.0021, 0)</f>
        <v>31.503299999999999</v>
      </c>
      <c r="G172" s="10">
        <f>31.7726 * CHOOSE(CONTROL!$C$9, $D$9, 100%, $F$9) + CHOOSE(CONTROL!$C$27, 0.0021, 0)</f>
        <v>31.774699999999999</v>
      </c>
      <c r="H172" s="10">
        <f>31.6379 * CHOOSE(CONTROL!$C$9, $D$9, 100%, $F$9) + CHOOSE(CONTROL!$C$27, 0.0021, 0)</f>
        <v>31.639999999999997</v>
      </c>
      <c r="I172" s="10">
        <f>31.6379 * CHOOSE(CONTROL!$C$9, $D$9, 100%, $F$9) + CHOOSE(CONTROL!$C$27, 0.0021, 0)</f>
        <v>31.639999999999997</v>
      </c>
      <c r="J172" s="10">
        <f>31.6379 * CHOOSE(CONTROL!$C$9, $D$9, 100%, $F$9) + CHOOSE(CONTROL!$C$27, 0.0021, 0)</f>
        <v>31.639999999999997</v>
      </c>
      <c r="K172" s="10">
        <f>31.6379 * CHOOSE(CONTROL!$C$9, $D$9, 100%, $F$9) + CHOOSE(CONTROL!$C$27, 0.0021, 0)</f>
        <v>31.639999999999997</v>
      </c>
      <c r="L172" s="10"/>
    </row>
    <row r="173" spans="1:12" ht="15" x14ac:dyDescent="0.2">
      <c r="A173" s="16">
        <v>46174</v>
      </c>
      <c r="B173" s="10">
        <f>32.437 * CHOOSE(CONTROL!$C$9, $D$9, 100%, $F$9) + CHOOSE(CONTROL!$C$27, 0.0021, 0)</f>
        <v>32.439099999999996</v>
      </c>
      <c r="C173" s="10">
        <f>32.0047 * CHOOSE(CONTROL!$C$9, $D$9, 100%, $F$9) + CHOOSE(CONTROL!$C$27, 0.0021, 0)</f>
        <v>32.006799999999998</v>
      </c>
      <c r="D173" s="10">
        <f>32.0047 * CHOOSE(CONTROL!$C$9, $D$9, 100%, $F$9) + CHOOSE(CONTROL!$C$27, 0.0021, 0)</f>
        <v>32.006799999999998</v>
      </c>
      <c r="E173" s="10">
        <f>31.8681 * CHOOSE(CONTROL!$C$9, $D$9, 100%, $F$9) + CHOOSE(CONTROL!$C$27, 0.0021, 0)</f>
        <v>31.870199999999997</v>
      </c>
      <c r="F173" s="10">
        <f>31.8681 * CHOOSE(CONTROL!$C$9, $D$9, 100%, $F$9) + CHOOSE(CONTROL!$C$27, 0.0021, 0)</f>
        <v>31.870199999999997</v>
      </c>
      <c r="G173" s="10">
        <f>32.1395 * CHOOSE(CONTROL!$C$9, $D$9, 100%, $F$9) + CHOOSE(CONTROL!$C$27, 0.0021, 0)</f>
        <v>32.141599999999997</v>
      </c>
      <c r="H173" s="10">
        <f>32.0047 * CHOOSE(CONTROL!$C$9, $D$9, 100%, $F$9) + CHOOSE(CONTROL!$C$27, 0.0021, 0)</f>
        <v>32.006799999999998</v>
      </c>
      <c r="I173" s="10">
        <f>32.0047 * CHOOSE(CONTROL!$C$9, $D$9, 100%, $F$9) + CHOOSE(CONTROL!$C$27, 0.0021, 0)</f>
        <v>32.006799999999998</v>
      </c>
      <c r="J173" s="10">
        <f>32.0047 * CHOOSE(CONTROL!$C$9, $D$9, 100%, $F$9) + CHOOSE(CONTROL!$C$27, 0.0021, 0)</f>
        <v>32.006799999999998</v>
      </c>
      <c r="K173" s="10">
        <f>32.0047 * CHOOSE(CONTROL!$C$9, $D$9, 100%, $F$9) + CHOOSE(CONTROL!$C$27, 0.0021, 0)</f>
        <v>32.006799999999998</v>
      </c>
      <c r="L173" s="10"/>
    </row>
    <row r="174" spans="1:12" ht="15" x14ac:dyDescent="0.2">
      <c r="A174" s="16">
        <v>46204</v>
      </c>
      <c r="B174" s="10">
        <f>33.0422 * CHOOSE(CONTROL!$C$9, $D$9, 100%, $F$9) + CHOOSE(CONTROL!$C$27, 0.0021, 0)</f>
        <v>33.0443</v>
      </c>
      <c r="C174" s="10">
        <f>32.6099 * CHOOSE(CONTROL!$C$9, $D$9, 100%, $F$9) + CHOOSE(CONTROL!$C$27, 0.0021, 0)</f>
        <v>32.612000000000002</v>
      </c>
      <c r="D174" s="10">
        <f>32.6099 * CHOOSE(CONTROL!$C$9, $D$9, 100%, $F$9) + CHOOSE(CONTROL!$C$27, 0.0021, 0)</f>
        <v>32.612000000000002</v>
      </c>
      <c r="E174" s="10">
        <f>32.4733 * CHOOSE(CONTROL!$C$9, $D$9, 100%, $F$9) + CHOOSE(CONTROL!$C$27, 0.0021, 0)</f>
        <v>32.4754</v>
      </c>
      <c r="F174" s="10">
        <f>32.4733 * CHOOSE(CONTROL!$C$9, $D$9, 100%, $F$9) + CHOOSE(CONTROL!$C$27, 0.0021, 0)</f>
        <v>32.4754</v>
      </c>
      <c r="G174" s="10">
        <f>32.7446 * CHOOSE(CONTROL!$C$9, $D$9, 100%, $F$9) + CHOOSE(CONTROL!$C$27, 0.0021, 0)</f>
        <v>32.746699999999997</v>
      </c>
      <c r="H174" s="10">
        <f>32.6099 * CHOOSE(CONTROL!$C$9, $D$9, 100%, $F$9) + CHOOSE(CONTROL!$C$27, 0.0021, 0)</f>
        <v>32.612000000000002</v>
      </c>
      <c r="I174" s="10">
        <f>32.6099 * CHOOSE(CONTROL!$C$9, $D$9, 100%, $F$9) + CHOOSE(CONTROL!$C$27, 0.0021, 0)</f>
        <v>32.612000000000002</v>
      </c>
      <c r="J174" s="10">
        <f>32.6099 * CHOOSE(CONTROL!$C$9, $D$9, 100%, $F$9) + CHOOSE(CONTROL!$C$27, 0.0021, 0)</f>
        <v>32.612000000000002</v>
      </c>
      <c r="K174" s="10">
        <f>32.6099 * CHOOSE(CONTROL!$C$9, $D$9, 100%, $F$9) + CHOOSE(CONTROL!$C$27, 0.0021, 0)</f>
        <v>32.612000000000002</v>
      </c>
      <c r="L174" s="10"/>
    </row>
    <row r="175" spans="1:12" ht="15" x14ac:dyDescent="0.2">
      <c r="A175" s="16">
        <v>46235</v>
      </c>
      <c r="B175" s="10">
        <f>33.2269 * CHOOSE(CONTROL!$C$9, $D$9, 100%, $F$9) + CHOOSE(CONTROL!$C$27, 0.0021, 0)</f>
        <v>33.228999999999999</v>
      </c>
      <c r="C175" s="10">
        <f>32.7946 * CHOOSE(CONTROL!$C$9, $D$9, 100%, $F$9) + CHOOSE(CONTROL!$C$27, 0.0021, 0)</f>
        <v>32.796700000000001</v>
      </c>
      <c r="D175" s="10">
        <f>32.7946 * CHOOSE(CONTROL!$C$9, $D$9, 100%, $F$9) + CHOOSE(CONTROL!$C$27, 0.0021, 0)</f>
        <v>32.796700000000001</v>
      </c>
      <c r="E175" s="10">
        <f>32.658 * CHOOSE(CONTROL!$C$9, $D$9, 100%, $F$9) + CHOOSE(CONTROL!$C$27, 0.0021, 0)</f>
        <v>32.6601</v>
      </c>
      <c r="F175" s="10">
        <f>32.658 * CHOOSE(CONTROL!$C$9, $D$9, 100%, $F$9) + CHOOSE(CONTROL!$C$27, 0.0021, 0)</f>
        <v>32.6601</v>
      </c>
      <c r="G175" s="10">
        <f>32.9294 * CHOOSE(CONTROL!$C$9, $D$9, 100%, $F$9) + CHOOSE(CONTROL!$C$27, 0.0021, 0)</f>
        <v>32.9315</v>
      </c>
      <c r="H175" s="10">
        <f>32.7946 * CHOOSE(CONTROL!$C$9, $D$9, 100%, $F$9) + CHOOSE(CONTROL!$C$27, 0.0021, 0)</f>
        <v>32.796700000000001</v>
      </c>
      <c r="I175" s="10">
        <f>32.7946 * CHOOSE(CONTROL!$C$9, $D$9, 100%, $F$9) + CHOOSE(CONTROL!$C$27, 0.0021, 0)</f>
        <v>32.796700000000001</v>
      </c>
      <c r="J175" s="10">
        <f>32.7946 * CHOOSE(CONTROL!$C$9, $D$9, 100%, $F$9) + CHOOSE(CONTROL!$C$27, 0.0021, 0)</f>
        <v>32.796700000000001</v>
      </c>
      <c r="K175" s="10">
        <f>32.7946 * CHOOSE(CONTROL!$C$9, $D$9, 100%, $F$9) + CHOOSE(CONTROL!$C$27, 0.0021, 0)</f>
        <v>32.796700000000001</v>
      </c>
      <c r="L175" s="10"/>
    </row>
    <row r="176" spans="1:12" ht="15" x14ac:dyDescent="0.2">
      <c r="A176" s="16">
        <v>46266</v>
      </c>
      <c r="B176" s="10">
        <f>33.8559 * CHOOSE(CONTROL!$C$9, $D$9, 100%, $F$9) + CHOOSE(CONTROL!$C$27, 0.0021, 0)</f>
        <v>33.857999999999997</v>
      </c>
      <c r="C176" s="10">
        <f>33.4237 * CHOOSE(CONTROL!$C$9, $D$9, 100%, $F$9) + CHOOSE(CONTROL!$C$27, 0.0021, 0)</f>
        <v>33.425799999999995</v>
      </c>
      <c r="D176" s="10">
        <f>33.4237 * CHOOSE(CONTROL!$C$9, $D$9, 100%, $F$9) + CHOOSE(CONTROL!$C$27, 0.0021, 0)</f>
        <v>33.425799999999995</v>
      </c>
      <c r="E176" s="10">
        <f>33.287 * CHOOSE(CONTROL!$C$9, $D$9, 100%, $F$9) + CHOOSE(CONTROL!$C$27, 0.0021, 0)</f>
        <v>33.289099999999998</v>
      </c>
      <c r="F176" s="10">
        <f>33.287 * CHOOSE(CONTROL!$C$9, $D$9, 100%, $F$9) + CHOOSE(CONTROL!$C$27, 0.0021, 0)</f>
        <v>33.289099999999998</v>
      </c>
      <c r="G176" s="10">
        <f>33.5584 * CHOOSE(CONTROL!$C$9, $D$9, 100%, $F$9) + CHOOSE(CONTROL!$C$27, 0.0021, 0)</f>
        <v>33.560499999999998</v>
      </c>
      <c r="H176" s="10">
        <f>33.4237 * CHOOSE(CONTROL!$C$9, $D$9, 100%, $F$9) + CHOOSE(CONTROL!$C$27, 0.0021, 0)</f>
        <v>33.425799999999995</v>
      </c>
      <c r="I176" s="10">
        <f>33.4237 * CHOOSE(CONTROL!$C$9, $D$9, 100%, $F$9) + CHOOSE(CONTROL!$C$27, 0.0021, 0)</f>
        <v>33.425799999999995</v>
      </c>
      <c r="J176" s="10">
        <f>33.4237 * CHOOSE(CONTROL!$C$9, $D$9, 100%, $F$9) + CHOOSE(CONTROL!$C$27, 0.0021, 0)</f>
        <v>33.425799999999995</v>
      </c>
      <c r="K176" s="10">
        <f>33.4237 * CHOOSE(CONTROL!$C$9, $D$9, 100%, $F$9) + CHOOSE(CONTROL!$C$27, 0.0021, 0)</f>
        <v>33.425799999999995</v>
      </c>
      <c r="L176" s="10"/>
    </row>
    <row r="177" spans="1:12" ht="15" x14ac:dyDescent="0.2">
      <c r="A177" s="16">
        <v>46296</v>
      </c>
      <c r="B177" s="10">
        <f>34.6522 * CHOOSE(CONTROL!$C$9, $D$9, 100%, $F$9) + CHOOSE(CONTROL!$C$27, 0.0021, 0)</f>
        <v>34.654299999999999</v>
      </c>
      <c r="C177" s="10">
        <f>34.22 * CHOOSE(CONTROL!$C$9, $D$9, 100%, $F$9) + CHOOSE(CONTROL!$C$27, 0.0021, 0)</f>
        <v>34.222099999999998</v>
      </c>
      <c r="D177" s="10">
        <f>34.22 * CHOOSE(CONTROL!$C$9, $D$9, 100%, $F$9) + CHOOSE(CONTROL!$C$27, 0.0021, 0)</f>
        <v>34.222099999999998</v>
      </c>
      <c r="E177" s="10">
        <f>34.0833 * CHOOSE(CONTROL!$C$9, $D$9, 100%, $F$9) + CHOOSE(CONTROL!$C$27, 0.0021, 0)</f>
        <v>34.0854</v>
      </c>
      <c r="F177" s="10">
        <f>34.0833 * CHOOSE(CONTROL!$C$9, $D$9, 100%, $F$9) + CHOOSE(CONTROL!$C$27, 0.0021, 0)</f>
        <v>34.0854</v>
      </c>
      <c r="G177" s="10">
        <f>34.3547 * CHOOSE(CONTROL!$C$9, $D$9, 100%, $F$9) + CHOOSE(CONTROL!$C$27, 0.0021, 0)</f>
        <v>34.3568</v>
      </c>
      <c r="H177" s="10">
        <f>34.22 * CHOOSE(CONTROL!$C$9, $D$9, 100%, $F$9) + CHOOSE(CONTROL!$C$27, 0.0021, 0)</f>
        <v>34.222099999999998</v>
      </c>
      <c r="I177" s="10">
        <f>34.22 * CHOOSE(CONTROL!$C$9, $D$9, 100%, $F$9) + CHOOSE(CONTROL!$C$27, 0.0021, 0)</f>
        <v>34.222099999999998</v>
      </c>
      <c r="J177" s="10">
        <f>34.22 * CHOOSE(CONTROL!$C$9, $D$9, 100%, $F$9) + CHOOSE(CONTROL!$C$27, 0.0021, 0)</f>
        <v>34.222099999999998</v>
      </c>
      <c r="K177" s="10">
        <f>34.22 * CHOOSE(CONTROL!$C$9, $D$9, 100%, $F$9) + CHOOSE(CONTROL!$C$27, 0.0021, 0)</f>
        <v>34.222099999999998</v>
      </c>
      <c r="L177" s="10"/>
    </row>
    <row r="178" spans="1:12" ht="15" x14ac:dyDescent="0.2">
      <c r="A178" s="16">
        <v>46327</v>
      </c>
      <c r="B178" s="10">
        <f>34.727 * CHOOSE(CONTROL!$C$9, $D$9, 100%, $F$9) + CHOOSE(CONTROL!$C$27, 0.0021, 0)</f>
        <v>34.729099999999995</v>
      </c>
      <c r="C178" s="10">
        <f>34.2947 * CHOOSE(CONTROL!$C$9, $D$9, 100%, $F$9) + CHOOSE(CONTROL!$C$27, 0.0021, 0)</f>
        <v>34.296799999999998</v>
      </c>
      <c r="D178" s="10">
        <f>34.2947 * CHOOSE(CONTROL!$C$9, $D$9, 100%, $F$9) + CHOOSE(CONTROL!$C$27, 0.0021, 0)</f>
        <v>34.296799999999998</v>
      </c>
      <c r="E178" s="10">
        <f>34.1581 * CHOOSE(CONTROL!$C$9, $D$9, 100%, $F$9) + CHOOSE(CONTROL!$C$27, 0.0021, 0)</f>
        <v>34.160199999999996</v>
      </c>
      <c r="F178" s="10">
        <f>34.1581 * CHOOSE(CONTROL!$C$9, $D$9, 100%, $F$9) + CHOOSE(CONTROL!$C$27, 0.0021, 0)</f>
        <v>34.160199999999996</v>
      </c>
      <c r="G178" s="10">
        <f>34.4294 * CHOOSE(CONTROL!$C$9, $D$9, 100%, $F$9) + CHOOSE(CONTROL!$C$27, 0.0021, 0)</f>
        <v>34.4315</v>
      </c>
      <c r="H178" s="10">
        <f>34.2947 * CHOOSE(CONTROL!$C$9, $D$9, 100%, $F$9) + CHOOSE(CONTROL!$C$27, 0.0021, 0)</f>
        <v>34.296799999999998</v>
      </c>
      <c r="I178" s="10">
        <f>34.2947 * CHOOSE(CONTROL!$C$9, $D$9, 100%, $F$9) + CHOOSE(CONTROL!$C$27, 0.0021, 0)</f>
        <v>34.296799999999998</v>
      </c>
      <c r="J178" s="10">
        <f>34.2947 * CHOOSE(CONTROL!$C$9, $D$9, 100%, $F$9) + CHOOSE(CONTROL!$C$27, 0.0021, 0)</f>
        <v>34.296799999999998</v>
      </c>
      <c r="K178" s="10">
        <f>34.2947 * CHOOSE(CONTROL!$C$9, $D$9, 100%, $F$9) + CHOOSE(CONTROL!$C$27, 0.0021, 0)</f>
        <v>34.296799999999998</v>
      </c>
      <c r="L178" s="10"/>
    </row>
    <row r="179" spans="1:12" ht="15" x14ac:dyDescent="0.2">
      <c r="A179" s="16">
        <v>46357</v>
      </c>
      <c r="B179" s="10">
        <f>34.091 * CHOOSE(CONTROL!$C$9, $D$9, 100%, $F$9) + CHOOSE(CONTROL!$C$27, 0.0021, 0)</f>
        <v>34.0931</v>
      </c>
      <c r="C179" s="10">
        <f>33.6587 * CHOOSE(CONTROL!$C$9, $D$9, 100%, $F$9) + CHOOSE(CONTROL!$C$27, 0.0021, 0)</f>
        <v>33.660800000000002</v>
      </c>
      <c r="D179" s="10">
        <f>33.6587 * CHOOSE(CONTROL!$C$9, $D$9, 100%, $F$9) + CHOOSE(CONTROL!$C$27, 0.0021, 0)</f>
        <v>33.660800000000002</v>
      </c>
      <c r="E179" s="10">
        <f>33.5221 * CHOOSE(CONTROL!$C$9, $D$9, 100%, $F$9) + CHOOSE(CONTROL!$C$27, 0.0021, 0)</f>
        <v>33.5242</v>
      </c>
      <c r="F179" s="10">
        <f>33.5221 * CHOOSE(CONTROL!$C$9, $D$9, 100%, $F$9) + CHOOSE(CONTROL!$C$27, 0.0021, 0)</f>
        <v>33.5242</v>
      </c>
      <c r="G179" s="10">
        <f>33.7935 * CHOOSE(CONTROL!$C$9, $D$9, 100%, $F$9) + CHOOSE(CONTROL!$C$27, 0.0021, 0)</f>
        <v>33.7956</v>
      </c>
      <c r="H179" s="10">
        <f>33.6587 * CHOOSE(CONTROL!$C$9, $D$9, 100%, $F$9) + CHOOSE(CONTROL!$C$27, 0.0021, 0)</f>
        <v>33.660800000000002</v>
      </c>
      <c r="I179" s="10">
        <f>33.6587 * CHOOSE(CONTROL!$C$9, $D$9, 100%, $F$9) + CHOOSE(CONTROL!$C$27, 0.0021, 0)</f>
        <v>33.660800000000002</v>
      </c>
      <c r="J179" s="10">
        <f>33.6587 * CHOOSE(CONTROL!$C$9, $D$9, 100%, $F$9) + CHOOSE(CONTROL!$C$27, 0.0021, 0)</f>
        <v>33.660800000000002</v>
      </c>
      <c r="K179" s="10">
        <f>33.6587 * CHOOSE(CONTROL!$C$9, $D$9, 100%, $F$9) + CHOOSE(CONTROL!$C$27, 0.0021, 0)</f>
        <v>33.660800000000002</v>
      </c>
      <c r="L179" s="10"/>
    </row>
    <row r="180" spans="1:12" ht="15" x14ac:dyDescent="0.2">
      <c r="A180" s="16">
        <v>46388</v>
      </c>
      <c r="B180" s="10">
        <f>33.7343 * CHOOSE(CONTROL!$C$9, $D$9, 100%, $F$9) + CHOOSE(CONTROL!$C$27, 0.0021, 0)</f>
        <v>33.736399999999996</v>
      </c>
      <c r="C180" s="10">
        <f>33.3021 * CHOOSE(CONTROL!$C$9, $D$9, 100%, $F$9) + CHOOSE(CONTROL!$C$27, 0.0021, 0)</f>
        <v>33.304200000000002</v>
      </c>
      <c r="D180" s="10">
        <f>33.3021 * CHOOSE(CONTROL!$C$9, $D$9, 100%, $F$9) + CHOOSE(CONTROL!$C$27, 0.0021, 0)</f>
        <v>33.304200000000002</v>
      </c>
      <c r="E180" s="10">
        <f>33.1654 * CHOOSE(CONTROL!$C$9, $D$9, 100%, $F$9) + CHOOSE(CONTROL!$C$27, 0.0021, 0)</f>
        <v>33.167499999999997</v>
      </c>
      <c r="F180" s="10">
        <f>33.1654 * CHOOSE(CONTROL!$C$9, $D$9, 100%, $F$9) + CHOOSE(CONTROL!$C$27, 0.0021, 0)</f>
        <v>33.167499999999997</v>
      </c>
      <c r="G180" s="10">
        <f>33.4368 * CHOOSE(CONTROL!$C$9, $D$9, 100%, $F$9) + CHOOSE(CONTROL!$C$27, 0.0021, 0)</f>
        <v>33.438899999999997</v>
      </c>
      <c r="H180" s="10">
        <f>33.3021 * CHOOSE(CONTROL!$C$9, $D$9, 100%, $F$9) + CHOOSE(CONTROL!$C$27, 0.0021, 0)</f>
        <v>33.304200000000002</v>
      </c>
      <c r="I180" s="10">
        <f>33.3021 * CHOOSE(CONTROL!$C$9, $D$9, 100%, $F$9) + CHOOSE(CONTROL!$C$27, 0.0021, 0)</f>
        <v>33.304200000000002</v>
      </c>
      <c r="J180" s="10">
        <f>33.3021 * CHOOSE(CONTROL!$C$9, $D$9, 100%, $F$9) + CHOOSE(CONTROL!$C$27, 0.0021, 0)</f>
        <v>33.304200000000002</v>
      </c>
      <c r="K180" s="10">
        <f>33.3021 * CHOOSE(CONTROL!$C$9, $D$9, 100%, $F$9) + CHOOSE(CONTROL!$C$27, 0.0021, 0)</f>
        <v>33.304200000000002</v>
      </c>
      <c r="L180" s="10"/>
    </row>
    <row r="181" spans="1:12" ht="15" x14ac:dyDescent="0.2">
      <c r="A181" s="16">
        <v>46419</v>
      </c>
      <c r="B181" s="10">
        <f>32.845 * CHOOSE(CONTROL!$C$9, $D$9, 100%, $F$9) + CHOOSE(CONTROL!$C$27, 0.0021, 0)</f>
        <v>32.847099999999998</v>
      </c>
      <c r="C181" s="10">
        <f>32.4127 * CHOOSE(CONTROL!$C$9, $D$9, 100%, $F$9) + CHOOSE(CONTROL!$C$27, 0.0021, 0)</f>
        <v>32.4148</v>
      </c>
      <c r="D181" s="10">
        <f>32.4127 * CHOOSE(CONTROL!$C$9, $D$9, 100%, $F$9) + CHOOSE(CONTROL!$C$27, 0.0021, 0)</f>
        <v>32.4148</v>
      </c>
      <c r="E181" s="10">
        <f>32.2761 * CHOOSE(CONTROL!$C$9, $D$9, 100%, $F$9) + CHOOSE(CONTROL!$C$27, 0.0021, 0)</f>
        <v>32.278199999999998</v>
      </c>
      <c r="F181" s="10">
        <f>32.2761 * CHOOSE(CONTROL!$C$9, $D$9, 100%, $F$9) + CHOOSE(CONTROL!$C$27, 0.0021, 0)</f>
        <v>32.278199999999998</v>
      </c>
      <c r="G181" s="10">
        <f>32.5474 * CHOOSE(CONTROL!$C$9, $D$9, 100%, $F$9) + CHOOSE(CONTROL!$C$27, 0.0021, 0)</f>
        <v>32.549500000000002</v>
      </c>
      <c r="H181" s="10">
        <f>32.4127 * CHOOSE(CONTROL!$C$9, $D$9, 100%, $F$9) + CHOOSE(CONTROL!$C$27, 0.0021, 0)</f>
        <v>32.4148</v>
      </c>
      <c r="I181" s="10">
        <f>32.4127 * CHOOSE(CONTROL!$C$9, $D$9, 100%, $F$9) + CHOOSE(CONTROL!$C$27, 0.0021, 0)</f>
        <v>32.4148</v>
      </c>
      <c r="J181" s="10">
        <f>32.4127 * CHOOSE(CONTROL!$C$9, $D$9, 100%, $F$9) + CHOOSE(CONTROL!$C$27, 0.0021, 0)</f>
        <v>32.4148</v>
      </c>
      <c r="K181" s="10">
        <f>32.4127 * CHOOSE(CONTROL!$C$9, $D$9, 100%, $F$9) + CHOOSE(CONTROL!$C$27, 0.0021, 0)</f>
        <v>32.4148</v>
      </c>
      <c r="L181" s="10"/>
    </row>
    <row r="182" spans="1:12" ht="15" x14ac:dyDescent="0.2">
      <c r="A182" s="16">
        <v>46447</v>
      </c>
      <c r="B182" s="10">
        <f>32.4779 * CHOOSE(CONTROL!$C$9, $D$9, 100%, $F$9) + CHOOSE(CONTROL!$C$27, 0.0021, 0)</f>
        <v>32.479999999999997</v>
      </c>
      <c r="C182" s="10">
        <f>32.0456 * CHOOSE(CONTROL!$C$9, $D$9, 100%, $F$9) + CHOOSE(CONTROL!$C$27, 0.0021, 0)</f>
        <v>32.047699999999999</v>
      </c>
      <c r="D182" s="10">
        <f>32.0456 * CHOOSE(CONTROL!$C$9, $D$9, 100%, $F$9) + CHOOSE(CONTROL!$C$27, 0.0021, 0)</f>
        <v>32.047699999999999</v>
      </c>
      <c r="E182" s="10">
        <f>31.9089 * CHOOSE(CONTROL!$C$9, $D$9, 100%, $F$9) + CHOOSE(CONTROL!$C$27, 0.0021, 0)</f>
        <v>31.910999999999998</v>
      </c>
      <c r="F182" s="10">
        <f>31.9089 * CHOOSE(CONTROL!$C$9, $D$9, 100%, $F$9) + CHOOSE(CONTROL!$C$27, 0.0021, 0)</f>
        <v>31.910999999999998</v>
      </c>
      <c r="G182" s="10">
        <f>32.1803 * CHOOSE(CONTROL!$C$9, $D$9, 100%, $F$9) + CHOOSE(CONTROL!$C$27, 0.0021, 0)</f>
        <v>32.182400000000001</v>
      </c>
      <c r="H182" s="10">
        <f>32.0456 * CHOOSE(CONTROL!$C$9, $D$9, 100%, $F$9) + CHOOSE(CONTROL!$C$27, 0.0021, 0)</f>
        <v>32.047699999999999</v>
      </c>
      <c r="I182" s="10">
        <f>32.0456 * CHOOSE(CONTROL!$C$9, $D$9, 100%, $F$9) + CHOOSE(CONTROL!$C$27, 0.0021, 0)</f>
        <v>32.047699999999999</v>
      </c>
      <c r="J182" s="10">
        <f>32.0456 * CHOOSE(CONTROL!$C$9, $D$9, 100%, $F$9) + CHOOSE(CONTROL!$C$27, 0.0021, 0)</f>
        <v>32.047699999999999</v>
      </c>
      <c r="K182" s="10">
        <f>32.0456 * CHOOSE(CONTROL!$C$9, $D$9, 100%, $F$9) + CHOOSE(CONTROL!$C$27, 0.0021, 0)</f>
        <v>32.047699999999999</v>
      </c>
      <c r="L182" s="10"/>
    </row>
    <row r="183" spans="1:12" ht="15" x14ac:dyDescent="0.2">
      <c r="A183" s="16">
        <v>46478</v>
      </c>
      <c r="B183" s="10">
        <f>32.0395 * CHOOSE(CONTROL!$C$9, $D$9, 100%, $F$9) + CHOOSE(CONTROL!$C$27, 0.0021, 0)</f>
        <v>32.041599999999995</v>
      </c>
      <c r="C183" s="10">
        <f>31.6073 * CHOOSE(CONTROL!$C$9, $D$9, 100%, $F$9) + CHOOSE(CONTROL!$C$27, 0.0021, 0)</f>
        <v>31.609399999999997</v>
      </c>
      <c r="D183" s="10">
        <f>31.6073 * CHOOSE(CONTROL!$C$9, $D$9, 100%, $F$9) + CHOOSE(CONTROL!$C$27, 0.0021, 0)</f>
        <v>31.609399999999997</v>
      </c>
      <c r="E183" s="10">
        <f>31.4706 * CHOOSE(CONTROL!$C$9, $D$9, 100%, $F$9) + CHOOSE(CONTROL!$C$27, 0.0021, 0)</f>
        <v>31.4727</v>
      </c>
      <c r="F183" s="10">
        <f>31.4706 * CHOOSE(CONTROL!$C$9, $D$9, 100%, $F$9) + CHOOSE(CONTROL!$C$27, 0.0021, 0)</f>
        <v>31.4727</v>
      </c>
      <c r="G183" s="10">
        <f>31.742 * CHOOSE(CONTROL!$C$9, $D$9, 100%, $F$9) + CHOOSE(CONTROL!$C$27, 0.0021, 0)</f>
        <v>31.7441</v>
      </c>
      <c r="H183" s="10">
        <f>31.6073 * CHOOSE(CONTROL!$C$9, $D$9, 100%, $F$9) + CHOOSE(CONTROL!$C$27, 0.0021, 0)</f>
        <v>31.609399999999997</v>
      </c>
      <c r="I183" s="10">
        <f>31.6073 * CHOOSE(CONTROL!$C$9, $D$9, 100%, $F$9) + CHOOSE(CONTROL!$C$27, 0.0021, 0)</f>
        <v>31.609399999999997</v>
      </c>
      <c r="J183" s="10">
        <f>31.6073 * CHOOSE(CONTROL!$C$9, $D$9, 100%, $F$9) + CHOOSE(CONTROL!$C$27, 0.0021, 0)</f>
        <v>31.609399999999997</v>
      </c>
      <c r="K183" s="10">
        <f>31.6073 * CHOOSE(CONTROL!$C$9, $D$9, 100%, $F$9) + CHOOSE(CONTROL!$C$27, 0.0021, 0)</f>
        <v>31.609399999999997</v>
      </c>
      <c r="L183" s="10"/>
    </row>
    <row r="184" spans="1:12" ht="15" x14ac:dyDescent="0.2">
      <c r="A184" s="16">
        <v>46508</v>
      </c>
      <c r="B184" s="10">
        <f>32.6642 * CHOOSE(CONTROL!$C$9, $D$9, 100%, $F$9) + CHOOSE(CONTROL!$C$27, 0.0021, 0)</f>
        <v>32.6663</v>
      </c>
      <c r="C184" s="10">
        <f>32.232 * CHOOSE(CONTROL!$C$9, $D$9, 100%, $F$9) + CHOOSE(CONTROL!$C$27, 0.0021, 0)</f>
        <v>32.234099999999998</v>
      </c>
      <c r="D184" s="10">
        <f>32.232 * CHOOSE(CONTROL!$C$9, $D$9, 100%, $F$9) + CHOOSE(CONTROL!$C$27, 0.0021, 0)</f>
        <v>32.234099999999998</v>
      </c>
      <c r="E184" s="10">
        <f>32.0953 * CHOOSE(CONTROL!$C$9, $D$9, 100%, $F$9) + CHOOSE(CONTROL!$C$27, 0.0021, 0)</f>
        <v>32.0974</v>
      </c>
      <c r="F184" s="10">
        <f>32.0953 * CHOOSE(CONTROL!$C$9, $D$9, 100%, $F$9) + CHOOSE(CONTROL!$C$27, 0.0021, 0)</f>
        <v>32.0974</v>
      </c>
      <c r="G184" s="10">
        <f>32.3667 * CHOOSE(CONTROL!$C$9, $D$9, 100%, $F$9) + CHOOSE(CONTROL!$C$27, 0.0021, 0)</f>
        <v>32.3688</v>
      </c>
      <c r="H184" s="10">
        <f>32.232 * CHOOSE(CONTROL!$C$9, $D$9, 100%, $F$9) + CHOOSE(CONTROL!$C$27, 0.0021, 0)</f>
        <v>32.234099999999998</v>
      </c>
      <c r="I184" s="10">
        <f>32.232 * CHOOSE(CONTROL!$C$9, $D$9, 100%, $F$9) + CHOOSE(CONTROL!$C$27, 0.0021, 0)</f>
        <v>32.234099999999998</v>
      </c>
      <c r="J184" s="10">
        <f>32.232 * CHOOSE(CONTROL!$C$9, $D$9, 100%, $F$9) + CHOOSE(CONTROL!$C$27, 0.0021, 0)</f>
        <v>32.234099999999998</v>
      </c>
      <c r="K184" s="10">
        <f>32.232 * CHOOSE(CONTROL!$C$9, $D$9, 100%, $F$9) + CHOOSE(CONTROL!$C$27, 0.0021, 0)</f>
        <v>32.234099999999998</v>
      </c>
      <c r="L184" s="10"/>
    </row>
    <row r="185" spans="1:12" ht="15" x14ac:dyDescent="0.2">
      <c r="A185" s="16">
        <v>46539</v>
      </c>
      <c r="B185" s="10">
        <f>33.0384 * CHOOSE(CONTROL!$C$9, $D$9, 100%, $F$9) + CHOOSE(CONTROL!$C$27, 0.0021, 0)</f>
        <v>33.040500000000002</v>
      </c>
      <c r="C185" s="10">
        <f>32.6061 * CHOOSE(CONTROL!$C$9, $D$9, 100%, $F$9) + CHOOSE(CONTROL!$C$27, 0.0021, 0)</f>
        <v>32.608199999999997</v>
      </c>
      <c r="D185" s="10">
        <f>32.6061 * CHOOSE(CONTROL!$C$9, $D$9, 100%, $F$9) + CHOOSE(CONTROL!$C$27, 0.0021, 0)</f>
        <v>32.608199999999997</v>
      </c>
      <c r="E185" s="10">
        <f>32.4695 * CHOOSE(CONTROL!$C$9, $D$9, 100%, $F$9) + CHOOSE(CONTROL!$C$27, 0.0021, 0)</f>
        <v>32.471599999999995</v>
      </c>
      <c r="F185" s="10">
        <f>32.4695 * CHOOSE(CONTROL!$C$9, $D$9, 100%, $F$9) + CHOOSE(CONTROL!$C$27, 0.0021, 0)</f>
        <v>32.471599999999995</v>
      </c>
      <c r="G185" s="10">
        <f>32.7408 * CHOOSE(CONTROL!$C$9, $D$9, 100%, $F$9) + CHOOSE(CONTROL!$C$27, 0.0021, 0)</f>
        <v>32.742899999999999</v>
      </c>
      <c r="H185" s="10">
        <f>32.6061 * CHOOSE(CONTROL!$C$9, $D$9, 100%, $F$9) + CHOOSE(CONTROL!$C$27, 0.0021, 0)</f>
        <v>32.608199999999997</v>
      </c>
      <c r="I185" s="10">
        <f>32.6061 * CHOOSE(CONTROL!$C$9, $D$9, 100%, $F$9) + CHOOSE(CONTROL!$C$27, 0.0021, 0)</f>
        <v>32.608199999999997</v>
      </c>
      <c r="J185" s="10">
        <f>32.6061 * CHOOSE(CONTROL!$C$9, $D$9, 100%, $F$9) + CHOOSE(CONTROL!$C$27, 0.0021, 0)</f>
        <v>32.608199999999997</v>
      </c>
      <c r="K185" s="10">
        <f>32.6061 * CHOOSE(CONTROL!$C$9, $D$9, 100%, $F$9) + CHOOSE(CONTROL!$C$27, 0.0021, 0)</f>
        <v>32.608199999999997</v>
      </c>
      <c r="L185" s="10"/>
    </row>
    <row r="186" spans="1:12" ht="15" x14ac:dyDescent="0.2">
      <c r="A186" s="16">
        <v>46569</v>
      </c>
      <c r="B186" s="10">
        <f>33.6556 * CHOOSE(CONTROL!$C$9, $D$9, 100%, $F$9) + CHOOSE(CONTROL!$C$27, 0.0021, 0)</f>
        <v>33.657699999999998</v>
      </c>
      <c r="C186" s="10">
        <f>33.2234 * CHOOSE(CONTROL!$C$9, $D$9, 100%, $F$9) + CHOOSE(CONTROL!$C$27, 0.0021, 0)</f>
        <v>33.225499999999997</v>
      </c>
      <c r="D186" s="10">
        <f>33.2234 * CHOOSE(CONTROL!$C$9, $D$9, 100%, $F$9) + CHOOSE(CONTROL!$C$27, 0.0021, 0)</f>
        <v>33.225499999999997</v>
      </c>
      <c r="E186" s="10">
        <f>33.0867 * CHOOSE(CONTROL!$C$9, $D$9, 100%, $F$9) + CHOOSE(CONTROL!$C$27, 0.0021, 0)</f>
        <v>33.088799999999999</v>
      </c>
      <c r="F186" s="10">
        <f>33.0867 * CHOOSE(CONTROL!$C$9, $D$9, 100%, $F$9) + CHOOSE(CONTROL!$C$27, 0.0021, 0)</f>
        <v>33.088799999999999</v>
      </c>
      <c r="G186" s="10">
        <f>33.3581 * CHOOSE(CONTROL!$C$9, $D$9, 100%, $F$9) + CHOOSE(CONTROL!$C$27, 0.0021, 0)</f>
        <v>33.360199999999999</v>
      </c>
      <c r="H186" s="10">
        <f>33.2234 * CHOOSE(CONTROL!$C$9, $D$9, 100%, $F$9) + CHOOSE(CONTROL!$C$27, 0.0021, 0)</f>
        <v>33.225499999999997</v>
      </c>
      <c r="I186" s="10">
        <f>33.2234 * CHOOSE(CONTROL!$C$9, $D$9, 100%, $F$9) + CHOOSE(CONTROL!$C$27, 0.0021, 0)</f>
        <v>33.225499999999997</v>
      </c>
      <c r="J186" s="10">
        <f>33.2234 * CHOOSE(CONTROL!$C$9, $D$9, 100%, $F$9) + CHOOSE(CONTROL!$C$27, 0.0021, 0)</f>
        <v>33.225499999999997</v>
      </c>
      <c r="K186" s="10">
        <f>33.2234 * CHOOSE(CONTROL!$C$9, $D$9, 100%, $F$9) + CHOOSE(CONTROL!$C$27, 0.0021, 0)</f>
        <v>33.225499999999997</v>
      </c>
      <c r="L186" s="10"/>
    </row>
    <row r="187" spans="1:12" ht="15" x14ac:dyDescent="0.2">
      <c r="A187" s="16">
        <v>46600</v>
      </c>
      <c r="B187" s="10">
        <f>33.844 * CHOOSE(CONTROL!$C$9, $D$9, 100%, $F$9) + CHOOSE(CONTROL!$C$27, 0.0021, 0)</f>
        <v>33.8461</v>
      </c>
      <c r="C187" s="10">
        <f>33.4118 * CHOOSE(CONTROL!$C$9, $D$9, 100%, $F$9) + CHOOSE(CONTROL!$C$27, 0.0021, 0)</f>
        <v>33.413899999999998</v>
      </c>
      <c r="D187" s="10">
        <f>33.4118 * CHOOSE(CONTROL!$C$9, $D$9, 100%, $F$9) + CHOOSE(CONTROL!$C$27, 0.0021, 0)</f>
        <v>33.413899999999998</v>
      </c>
      <c r="E187" s="10">
        <f>33.2751 * CHOOSE(CONTROL!$C$9, $D$9, 100%, $F$9) + CHOOSE(CONTROL!$C$27, 0.0021, 0)</f>
        <v>33.277200000000001</v>
      </c>
      <c r="F187" s="10">
        <f>33.2751 * CHOOSE(CONTROL!$C$9, $D$9, 100%, $F$9) + CHOOSE(CONTROL!$C$27, 0.0021, 0)</f>
        <v>33.277200000000001</v>
      </c>
      <c r="G187" s="10">
        <f>33.5465 * CHOOSE(CONTROL!$C$9, $D$9, 100%, $F$9) + CHOOSE(CONTROL!$C$27, 0.0021, 0)</f>
        <v>33.5486</v>
      </c>
      <c r="H187" s="10">
        <f>33.4118 * CHOOSE(CONTROL!$C$9, $D$9, 100%, $F$9) + CHOOSE(CONTROL!$C$27, 0.0021, 0)</f>
        <v>33.413899999999998</v>
      </c>
      <c r="I187" s="10">
        <f>33.4118 * CHOOSE(CONTROL!$C$9, $D$9, 100%, $F$9) + CHOOSE(CONTROL!$C$27, 0.0021, 0)</f>
        <v>33.413899999999998</v>
      </c>
      <c r="J187" s="10">
        <f>33.4118 * CHOOSE(CONTROL!$C$9, $D$9, 100%, $F$9) + CHOOSE(CONTROL!$C$27, 0.0021, 0)</f>
        <v>33.413899999999998</v>
      </c>
      <c r="K187" s="10">
        <f>33.4118 * CHOOSE(CONTROL!$C$9, $D$9, 100%, $F$9) + CHOOSE(CONTROL!$C$27, 0.0021, 0)</f>
        <v>33.413899999999998</v>
      </c>
      <c r="L187" s="10"/>
    </row>
    <row r="188" spans="1:12" ht="15" x14ac:dyDescent="0.2">
      <c r="A188" s="16">
        <v>46631</v>
      </c>
      <c r="B188" s="10">
        <f>34.4856 * CHOOSE(CONTROL!$C$9, $D$9, 100%, $F$9) + CHOOSE(CONTROL!$C$27, 0.0021, 0)</f>
        <v>34.487699999999997</v>
      </c>
      <c r="C188" s="10">
        <f>34.0534 * CHOOSE(CONTROL!$C$9, $D$9, 100%, $F$9) + CHOOSE(CONTROL!$C$27, 0.0021, 0)</f>
        <v>34.055500000000002</v>
      </c>
      <c r="D188" s="10">
        <f>34.0534 * CHOOSE(CONTROL!$C$9, $D$9, 100%, $F$9) + CHOOSE(CONTROL!$C$27, 0.0021, 0)</f>
        <v>34.055500000000002</v>
      </c>
      <c r="E188" s="10">
        <f>33.9167 * CHOOSE(CONTROL!$C$9, $D$9, 100%, $F$9) + CHOOSE(CONTROL!$C$27, 0.0021, 0)</f>
        <v>33.918799999999997</v>
      </c>
      <c r="F188" s="10">
        <f>33.9167 * CHOOSE(CONTROL!$C$9, $D$9, 100%, $F$9) + CHOOSE(CONTROL!$C$27, 0.0021, 0)</f>
        <v>33.918799999999997</v>
      </c>
      <c r="G188" s="10">
        <f>34.1881 * CHOOSE(CONTROL!$C$9, $D$9, 100%, $F$9) + CHOOSE(CONTROL!$C$27, 0.0021, 0)</f>
        <v>34.190199999999997</v>
      </c>
      <c r="H188" s="10">
        <f>34.0534 * CHOOSE(CONTROL!$C$9, $D$9, 100%, $F$9) + CHOOSE(CONTROL!$C$27, 0.0021, 0)</f>
        <v>34.055500000000002</v>
      </c>
      <c r="I188" s="10">
        <f>34.0534 * CHOOSE(CONTROL!$C$9, $D$9, 100%, $F$9) + CHOOSE(CONTROL!$C$27, 0.0021, 0)</f>
        <v>34.055500000000002</v>
      </c>
      <c r="J188" s="10">
        <f>34.0534 * CHOOSE(CONTROL!$C$9, $D$9, 100%, $F$9) + CHOOSE(CONTROL!$C$27, 0.0021, 0)</f>
        <v>34.055500000000002</v>
      </c>
      <c r="K188" s="10">
        <f>34.0534 * CHOOSE(CONTROL!$C$9, $D$9, 100%, $F$9) + CHOOSE(CONTROL!$C$27, 0.0021, 0)</f>
        <v>34.055500000000002</v>
      </c>
      <c r="L188" s="10"/>
    </row>
    <row r="189" spans="1:12" ht="15" x14ac:dyDescent="0.2">
      <c r="A189" s="16">
        <v>46661</v>
      </c>
      <c r="B189" s="10">
        <f>35.2978 * CHOOSE(CONTROL!$C$9, $D$9, 100%, $F$9) + CHOOSE(CONTROL!$C$27, 0.0021, 0)</f>
        <v>35.299900000000001</v>
      </c>
      <c r="C189" s="10">
        <f>34.8655 * CHOOSE(CONTROL!$C$9, $D$9, 100%, $F$9) + CHOOSE(CONTROL!$C$27, 0.0021, 0)</f>
        <v>34.867599999999996</v>
      </c>
      <c r="D189" s="10">
        <f>34.8655 * CHOOSE(CONTROL!$C$9, $D$9, 100%, $F$9) + CHOOSE(CONTROL!$C$27, 0.0021, 0)</f>
        <v>34.867599999999996</v>
      </c>
      <c r="E189" s="10">
        <f>34.7289 * CHOOSE(CONTROL!$C$9, $D$9, 100%, $F$9) + CHOOSE(CONTROL!$C$27, 0.0021, 0)</f>
        <v>34.731000000000002</v>
      </c>
      <c r="F189" s="10">
        <f>34.7289 * CHOOSE(CONTROL!$C$9, $D$9, 100%, $F$9) + CHOOSE(CONTROL!$C$27, 0.0021, 0)</f>
        <v>34.731000000000002</v>
      </c>
      <c r="G189" s="10">
        <f>35.0003 * CHOOSE(CONTROL!$C$9, $D$9, 100%, $F$9) + CHOOSE(CONTROL!$C$27, 0.0021, 0)</f>
        <v>35.002400000000002</v>
      </c>
      <c r="H189" s="10">
        <f>34.8655 * CHOOSE(CONTROL!$C$9, $D$9, 100%, $F$9) + CHOOSE(CONTROL!$C$27, 0.0021, 0)</f>
        <v>34.867599999999996</v>
      </c>
      <c r="I189" s="10">
        <f>34.8655 * CHOOSE(CONTROL!$C$9, $D$9, 100%, $F$9) + CHOOSE(CONTROL!$C$27, 0.0021, 0)</f>
        <v>34.867599999999996</v>
      </c>
      <c r="J189" s="10">
        <f>34.8655 * CHOOSE(CONTROL!$C$9, $D$9, 100%, $F$9) + CHOOSE(CONTROL!$C$27, 0.0021, 0)</f>
        <v>34.867599999999996</v>
      </c>
      <c r="K189" s="10">
        <f>34.8655 * CHOOSE(CONTROL!$C$9, $D$9, 100%, $F$9) + CHOOSE(CONTROL!$C$27, 0.0021, 0)</f>
        <v>34.867599999999996</v>
      </c>
      <c r="L189" s="10"/>
    </row>
    <row r="190" spans="1:12" ht="15" x14ac:dyDescent="0.2">
      <c r="A190" s="16">
        <v>46692</v>
      </c>
      <c r="B190" s="10">
        <f>35.374 * CHOOSE(CONTROL!$C$9, $D$9, 100%, $F$9) + CHOOSE(CONTROL!$C$27, 0.0021, 0)</f>
        <v>35.376100000000001</v>
      </c>
      <c r="C190" s="10">
        <f>34.9418 * CHOOSE(CONTROL!$C$9, $D$9, 100%, $F$9) + CHOOSE(CONTROL!$C$27, 0.0021, 0)</f>
        <v>34.943899999999999</v>
      </c>
      <c r="D190" s="10">
        <f>34.9418 * CHOOSE(CONTROL!$C$9, $D$9, 100%, $F$9) + CHOOSE(CONTROL!$C$27, 0.0021, 0)</f>
        <v>34.943899999999999</v>
      </c>
      <c r="E190" s="10">
        <f>34.8051 * CHOOSE(CONTROL!$C$9, $D$9, 100%, $F$9) + CHOOSE(CONTROL!$C$27, 0.0021, 0)</f>
        <v>34.807200000000002</v>
      </c>
      <c r="F190" s="10">
        <f>34.8051 * CHOOSE(CONTROL!$C$9, $D$9, 100%, $F$9) + CHOOSE(CONTROL!$C$27, 0.0021, 0)</f>
        <v>34.807200000000002</v>
      </c>
      <c r="G190" s="10">
        <f>35.0765 * CHOOSE(CONTROL!$C$9, $D$9, 100%, $F$9) + CHOOSE(CONTROL!$C$27, 0.0021, 0)</f>
        <v>35.078600000000002</v>
      </c>
      <c r="H190" s="10">
        <f>34.9418 * CHOOSE(CONTROL!$C$9, $D$9, 100%, $F$9) + CHOOSE(CONTROL!$C$27, 0.0021, 0)</f>
        <v>34.943899999999999</v>
      </c>
      <c r="I190" s="10">
        <f>34.9418 * CHOOSE(CONTROL!$C$9, $D$9, 100%, $F$9) + CHOOSE(CONTROL!$C$27, 0.0021, 0)</f>
        <v>34.943899999999999</v>
      </c>
      <c r="J190" s="10">
        <f>34.9418 * CHOOSE(CONTROL!$C$9, $D$9, 100%, $F$9) + CHOOSE(CONTROL!$C$27, 0.0021, 0)</f>
        <v>34.943899999999999</v>
      </c>
      <c r="K190" s="10">
        <f>34.9418 * CHOOSE(CONTROL!$C$9, $D$9, 100%, $F$9) + CHOOSE(CONTROL!$C$27, 0.0021, 0)</f>
        <v>34.943899999999999</v>
      </c>
      <c r="L190" s="10"/>
    </row>
    <row r="191" spans="1:12" ht="15" x14ac:dyDescent="0.2">
      <c r="A191" s="16">
        <v>46722</v>
      </c>
      <c r="B191" s="10">
        <f>34.7254 * CHOOSE(CONTROL!$C$9, $D$9, 100%, $F$9) + CHOOSE(CONTROL!$C$27, 0.0021, 0)</f>
        <v>34.727499999999999</v>
      </c>
      <c r="C191" s="10">
        <f>34.2931 * CHOOSE(CONTROL!$C$9, $D$9, 100%, $F$9) + CHOOSE(CONTROL!$C$27, 0.0021, 0)</f>
        <v>34.295200000000001</v>
      </c>
      <c r="D191" s="10">
        <f>34.2931 * CHOOSE(CONTROL!$C$9, $D$9, 100%, $F$9) + CHOOSE(CONTROL!$C$27, 0.0021, 0)</f>
        <v>34.295200000000001</v>
      </c>
      <c r="E191" s="10">
        <f>34.1565 * CHOOSE(CONTROL!$C$9, $D$9, 100%, $F$9) + CHOOSE(CONTROL!$C$27, 0.0021, 0)</f>
        <v>34.1586</v>
      </c>
      <c r="F191" s="10">
        <f>34.1565 * CHOOSE(CONTROL!$C$9, $D$9, 100%, $F$9) + CHOOSE(CONTROL!$C$27, 0.0021, 0)</f>
        <v>34.1586</v>
      </c>
      <c r="G191" s="10">
        <f>34.4278 * CHOOSE(CONTROL!$C$9, $D$9, 100%, $F$9) + CHOOSE(CONTROL!$C$27, 0.0021, 0)</f>
        <v>34.429899999999996</v>
      </c>
      <c r="H191" s="10">
        <f>34.2931 * CHOOSE(CONTROL!$C$9, $D$9, 100%, $F$9) + CHOOSE(CONTROL!$C$27, 0.0021, 0)</f>
        <v>34.295200000000001</v>
      </c>
      <c r="I191" s="10">
        <f>34.2931 * CHOOSE(CONTROL!$C$9, $D$9, 100%, $F$9) + CHOOSE(CONTROL!$C$27, 0.0021, 0)</f>
        <v>34.295200000000001</v>
      </c>
      <c r="J191" s="10">
        <f>34.2931 * CHOOSE(CONTROL!$C$9, $D$9, 100%, $F$9) + CHOOSE(CONTROL!$C$27, 0.0021, 0)</f>
        <v>34.295200000000001</v>
      </c>
      <c r="K191" s="10">
        <f>34.2931 * CHOOSE(CONTROL!$C$9, $D$9, 100%, $F$9) + CHOOSE(CONTROL!$C$27, 0.0021, 0)</f>
        <v>34.295200000000001</v>
      </c>
      <c r="L191" s="10"/>
    </row>
    <row r="192" spans="1:12" ht="15" x14ac:dyDescent="0.2">
      <c r="A192" s="16">
        <v>46753</v>
      </c>
      <c r="B192" s="10">
        <f>34.2996 * CHOOSE(CONTROL!$C$9, $D$9, 100%, $F$9) + CHOOSE(CONTROL!$C$27, 0.0021, 0)</f>
        <v>34.301699999999997</v>
      </c>
      <c r="C192" s="10">
        <f>33.8673 * CHOOSE(CONTROL!$C$9, $D$9, 100%, $F$9) + CHOOSE(CONTROL!$C$27, 0.0021, 0)</f>
        <v>33.869399999999999</v>
      </c>
      <c r="D192" s="10">
        <f>33.8673 * CHOOSE(CONTROL!$C$9, $D$9, 100%, $F$9) + CHOOSE(CONTROL!$C$27, 0.0021, 0)</f>
        <v>33.869399999999999</v>
      </c>
      <c r="E192" s="10">
        <f>33.7307 * CHOOSE(CONTROL!$C$9, $D$9, 100%, $F$9) + CHOOSE(CONTROL!$C$27, 0.0021, 0)</f>
        <v>33.732799999999997</v>
      </c>
      <c r="F192" s="10">
        <f>33.7307 * CHOOSE(CONTROL!$C$9, $D$9, 100%, $F$9) + CHOOSE(CONTROL!$C$27, 0.0021, 0)</f>
        <v>33.732799999999997</v>
      </c>
      <c r="G192" s="10">
        <f>34.0021 * CHOOSE(CONTROL!$C$9, $D$9, 100%, $F$9) + CHOOSE(CONTROL!$C$27, 0.0021, 0)</f>
        <v>34.004199999999997</v>
      </c>
      <c r="H192" s="10">
        <f>33.8673 * CHOOSE(CONTROL!$C$9, $D$9, 100%, $F$9) + CHOOSE(CONTROL!$C$27, 0.0021, 0)</f>
        <v>33.869399999999999</v>
      </c>
      <c r="I192" s="10">
        <f>33.8673 * CHOOSE(CONTROL!$C$9, $D$9, 100%, $F$9) + CHOOSE(CONTROL!$C$27, 0.0021, 0)</f>
        <v>33.869399999999999</v>
      </c>
      <c r="J192" s="10">
        <f>33.8673 * CHOOSE(CONTROL!$C$9, $D$9, 100%, $F$9) + CHOOSE(CONTROL!$C$27, 0.0021, 0)</f>
        <v>33.869399999999999</v>
      </c>
      <c r="K192" s="10">
        <f>33.8673 * CHOOSE(CONTROL!$C$9, $D$9, 100%, $F$9) + CHOOSE(CONTROL!$C$27, 0.0021, 0)</f>
        <v>33.869399999999999</v>
      </c>
      <c r="L192" s="10"/>
    </row>
    <row r="193" spans="1:12" ht="15" x14ac:dyDescent="0.2">
      <c r="A193" s="16">
        <v>46784</v>
      </c>
      <c r="B193" s="10">
        <f>33.3943 * CHOOSE(CONTROL!$C$9, $D$9, 100%, $F$9) + CHOOSE(CONTROL!$C$27, 0.0021, 0)</f>
        <v>33.3964</v>
      </c>
      <c r="C193" s="10">
        <f>32.962 * CHOOSE(CONTROL!$C$9, $D$9, 100%, $F$9) + CHOOSE(CONTROL!$C$27, 0.0021, 0)</f>
        <v>32.964100000000002</v>
      </c>
      <c r="D193" s="10">
        <f>32.962 * CHOOSE(CONTROL!$C$9, $D$9, 100%, $F$9) + CHOOSE(CONTROL!$C$27, 0.0021, 0)</f>
        <v>32.964100000000002</v>
      </c>
      <c r="E193" s="10">
        <f>32.8253 * CHOOSE(CONTROL!$C$9, $D$9, 100%, $F$9) + CHOOSE(CONTROL!$C$27, 0.0021, 0)</f>
        <v>32.827399999999997</v>
      </c>
      <c r="F193" s="10">
        <f>32.8253 * CHOOSE(CONTROL!$C$9, $D$9, 100%, $F$9) + CHOOSE(CONTROL!$C$27, 0.0021, 0)</f>
        <v>32.827399999999997</v>
      </c>
      <c r="G193" s="10">
        <f>33.0967 * CHOOSE(CONTROL!$C$9, $D$9, 100%, $F$9) + CHOOSE(CONTROL!$C$27, 0.0021, 0)</f>
        <v>33.098799999999997</v>
      </c>
      <c r="H193" s="10">
        <f>32.962 * CHOOSE(CONTROL!$C$9, $D$9, 100%, $F$9) + CHOOSE(CONTROL!$C$27, 0.0021, 0)</f>
        <v>32.964100000000002</v>
      </c>
      <c r="I193" s="10">
        <f>32.962 * CHOOSE(CONTROL!$C$9, $D$9, 100%, $F$9) + CHOOSE(CONTROL!$C$27, 0.0021, 0)</f>
        <v>32.964100000000002</v>
      </c>
      <c r="J193" s="10">
        <f>32.962 * CHOOSE(CONTROL!$C$9, $D$9, 100%, $F$9) + CHOOSE(CONTROL!$C$27, 0.0021, 0)</f>
        <v>32.964100000000002</v>
      </c>
      <c r="K193" s="10">
        <f>32.962 * CHOOSE(CONTROL!$C$9, $D$9, 100%, $F$9) + CHOOSE(CONTROL!$C$27, 0.0021, 0)</f>
        <v>32.964100000000002</v>
      </c>
      <c r="L193" s="10"/>
    </row>
    <row r="194" spans="1:12" ht="15" x14ac:dyDescent="0.2">
      <c r="A194" s="16">
        <v>46813</v>
      </c>
      <c r="B194" s="10">
        <f>33.0205 * CHOOSE(CONTROL!$C$9, $D$9, 100%, $F$9) + CHOOSE(CONTROL!$C$27, 0.0021, 0)</f>
        <v>33.022599999999997</v>
      </c>
      <c r="C194" s="10">
        <f>32.5883 * CHOOSE(CONTROL!$C$9, $D$9, 100%, $F$9) + CHOOSE(CONTROL!$C$27, 0.0021, 0)</f>
        <v>32.590399999999995</v>
      </c>
      <c r="D194" s="10">
        <f>32.5883 * CHOOSE(CONTROL!$C$9, $D$9, 100%, $F$9) + CHOOSE(CONTROL!$C$27, 0.0021, 0)</f>
        <v>32.590399999999995</v>
      </c>
      <c r="E194" s="10">
        <f>32.4516 * CHOOSE(CONTROL!$C$9, $D$9, 100%, $F$9) + CHOOSE(CONTROL!$C$27, 0.0021, 0)</f>
        <v>32.453699999999998</v>
      </c>
      <c r="F194" s="10">
        <f>32.4516 * CHOOSE(CONTROL!$C$9, $D$9, 100%, $F$9) + CHOOSE(CONTROL!$C$27, 0.0021, 0)</f>
        <v>32.453699999999998</v>
      </c>
      <c r="G194" s="10">
        <f>32.723 * CHOOSE(CONTROL!$C$9, $D$9, 100%, $F$9) + CHOOSE(CONTROL!$C$27, 0.0021, 0)</f>
        <v>32.725099999999998</v>
      </c>
      <c r="H194" s="10">
        <f>32.5883 * CHOOSE(CONTROL!$C$9, $D$9, 100%, $F$9) + CHOOSE(CONTROL!$C$27, 0.0021, 0)</f>
        <v>32.590399999999995</v>
      </c>
      <c r="I194" s="10">
        <f>32.5883 * CHOOSE(CONTROL!$C$9, $D$9, 100%, $F$9) + CHOOSE(CONTROL!$C$27, 0.0021, 0)</f>
        <v>32.590399999999995</v>
      </c>
      <c r="J194" s="10">
        <f>32.5883 * CHOOSE(CONTROL!$C$9, $D$9, 100%, $F$9) + CHOOSE(CONTROL!$C$27, 0.0021, 0)</f>
        <v>32.590399999999995</v>
      </c>
      <c r="K194" s="10">
        <f>32.5883 * CHOOSE(CONTROL!$C$9, $D$9, 100%, $F$9) + CHOOSE(CONTROL!$C$27, 0.0021, 0)</f>
        <v>32.590399999999995</v>
      </c>
      <c r="L194" s="10"/>
    </row>
    <row r="195" spans="1:12" ht="15" x14ac:dyDescent="0.2">
      <c r="A195" s="16">
        <v>46844</v>
      </c>
      <c r="B195" s="10">
        <f>32.5743 * CHOOSE(CONTROL!$C$9, $D$9, 100%, $F$9) + CHOOSE(CONTROL!$C$27, 0.0021, 0)</f>
        <v>32.5764</v>
      </c>
      <c r="C195" s="10">
        <f>32.1421 * CHOOSE(CONTROL!$C$9, $D$9, 100%, $F$9) + CHOOSE(CONTROL!$C$27, 0.0021, 0)</f>
        <v>32.144199999999998</v>
      </c>
      <c r="D195" s="10">
        <f>32.1421 * CHOOSE(CONTROL!$C$9, $D$9, 100%, $F$9) + CHOOSE(CONTROL!$C$27, 0.0021, 0)</f>
        <v>32.144199999999998</v>
      </c>
      <c r="E195" s="10">
        <f>32.0054 * CHOOSE(CONTROL!$C$9, $D$9, 100%, $F$9) + CHOOSE(CONTROL!$C$27, 0.0021, 0)</f>
        <v>32.0075</v>
      </c>
      <c r="F195" s="10">
        <f>32.0054 * CHOOSE(CONTROL!$C$9, $D$9, 100%, $F$9) + CHOOSE(CONTROL!$C$27, 0.0021, 0)</f>
        <v>32.0075</v>
      </c>
      <c r="G195" s="10">
        <f>32.2768 * CHOOSE(CONTROL!$C$9, $D$9, 100%, $F$9) + CHOOSE(CONTROL!$C$27, 0.0021, 0)</f>
        <v>32.2789</v>
      </c>
      <c r="H195" s="10">
        <f>32.1421 * CHOOSE(CONTROL!$C$9, $D$9, 100%, $F$9) + CHOOSE(CONTROL!$C$27, 0.0021, 0)</f>
        <v>32.144199999999998</v>
      </c>
      <c r="I195" s="10">
        <f>32.1421 * CHOOSE(CONTROL!$C$9, $D$9, 100%, $F$9) + CHOOSE(CONTROL!$C$27, 0.0021, 0)</f>
        <v>32.144199999999998</v>
      </c>
      <c r="J195" s="10">
        <f>32.1421 * CHOOSE(CONTROL!$C$9, $D$9, 100%, $F$9) + CHOOSE(CONTROL!$C$27, 0.0021, 0)</f>
        <v>32.144199999999998</v>
      </c>
      <c r="K195" s="10">
        <f>32.1421 * CHOOSE(CONTROL!$C$9, $D$9, 100%, $F$9) + CHOOSE(CONTROL!$C$27, 0.0021, 0)</f>
        <v>32.144199999999998</v>
      </c>
      <c r="L195" s="10"/>
    </row>
    <row r="196" spans="1:12" ht="15" x14ac:dyDescent="0.2">
      <c r="A196" s="16">
        <v>46874</v>
      </c>
      <c r="B196" s="10">
        <f>33.2102 * CHOOSE(CONTROL!$C$9, $D$9, 100%, $F$9) + CHOOSE(CONTROL!$C$27, 0.0021, 0)</f>
        <v>33.212299999999999</v>
      </c>
      <c r="C196" s="10">
        <f>32.778 * CHOOSE(CONTROL!$C$9, $D$9, 100%, $F$9) + CHOOSE(CONTROL!$C$27, 0.0021, 0)</f>
        <v>32.780099999999997</v>
      </c>
      <c r="D196" s="10">
        <f>32.778 * CHOOSE(CONTROL!$C$9, $D$9, 100%, $F$9) + CHOOSE(CONTROL!$C$27, 0.0021, 0)</f>
        <v>32.780099999999997</v>
      </c>
      <c r="E196" s="10">
        <f>32.6413 * CHOOSE(CONTROL!$C$9, $D$9, 100%, $F$9) + CHOOSE(CONTROL!$C$27, 0.0021, 0)</f>
        <v>32.6434</v>
      </c>
      <c r="F196" s="10">
        <f>32.6413 * CHOOSE(CONTROL!$C$9, $D$9, 100%, $F$9) + CHOOSE(CONTROL!$C$27, 0.0021, 0)</f>
        <v>32.6434</v>
      </c>
      <c r="G196" s="10">
        <f>32.9127 * CHOOSE(CONTROL!$C$9, $D$9, 100%, $F$9) + CHOOSE(CONTROL!$C$27, 0.0021, 0)</f>
        <v>32.9148</v>
      </c>
      <c r="H196" s="10">
        <f>32.778 * CHOOSE(CONTROL!$C$9, $D$9, 100%, $F$9) + CHOOSE(CONTROL!$C$27, 0.0021, 0)</f>
        <v>32.780099999999997</v>
      </c>
      <c r="I196" s="10">
        <f>32.778 * CHOOSE(CONTROL!$C$9, $D$9, 100%, $F$9) + CHOOSE(CONTROL!$C$27, 0.0021, 0)</f>
        <v>32.780099999999997</v>
      </c>
      <c r="J196" s="10">
        <f>32.778 * CHOOSE(CONTROL!$C$9, $D$9, 100%, $F$9) + CHOOSE(CONTROL!$C$27, 0.0021, 0)</f>
        <v>32.780099999999997</v>
      </c>
      <c r="K196" s="10">
        <f>32.778 * CHOOSE(CONTROL!$C$9, $D$9, 100%, $F$9) + CHOOSE(CONTROL!$C$27, 0.0021, 0)</f>
        <v>32.780099999999997</v>
      </c>
      <c r="L196" s="10"/>
    </row>
    <row r="197" spans="1:12" ht="15" x14ac:dyDescent="0.2">
      <c r="A197" s="16">
        <v>46905</v>
      </c>
      <c r="B197" s="10">
        <f>33.5911 * CHOOSE(CONTROL!$C$9, $D$9, 100%, $F$9) + CHOOSE(CONTROL!$C$27, 0.0021, 0)</f>
        <v>33.593199999999996</v>
      </c>
      <c r="C197" s="10">
        <f>33.1589 * CHOOSE(CONTROL!$C$9, $D$9, 100%, $F$9) + CHOOSE(CONTROL!$C$27, 0.0021, 0)</f>
        <v>33.161000000000001</v>
      </c>
      <c r="D197" s="10">
        <f>33.1589 * CHOOSE(CONTROL!$C$9, $D$9, 100%, $F$9) + CHOOSE(CONTROL!$C$27, 0.0021, 0)</f>
        <v>33.161000000000001</v>
      </c>
      <c r="E197" s="10">
        <f>33.0222 * CHOOSE(CONTROL!$C$9, $D$9, 100%, $F$9) + CHOOSE(CONTROL!$C$27, 0.0021, 0)</f>
        <v>33.024299999999997</v>
      </c>
      <c r="F197" s="10">
        <f>33.0222 * CHOOSE(CONTROL!$C$9, $D$9, 100%, $F$9) + CHOOSE(CONTROL!$C$27, 0.0021, 0)</f>
        <v>33.024299999999997</v>
      </c>
      <c r="G197" s="10">
        <f>33.2936 * CHOOSE(CONTROL!$C$9, $D$9, 100%, $F$9) + CHOOSE(CONTROL!$C$27, 0.0021, 0)</f>
        <v>33.295699999999997</v>
      </c>
      <c r="H197" s="10">
        <f>33.1589 * CHOOSE(CONTROL!$C$9, $D$9, 100%, $F$9) + CHOOSE(CONTROL!$C$27, 0.0021, 0)</f>
        <v>33.161000000000001</v>
      </c>
      <c r="I197" s="10">
        <f>33.1589 * CHOOSE(CONTROL!$C$9, $D$9, 100%, $F$9) + CHOOSE(CONTROL!$C$27, 0.0021, 0)</f>
        <v>33.161000000000001</v>
      </c>
      <c r="J197" s="10">
        <f>33.1589 * CHOOSE(CONTROL!$C$9, $D$9, 100%, $F$9) + CHOOSE(CONTROL!$C$27, 0.0021, 0)</f>
        <v>33.161000000000001</v>
      </c>
      <c r="K197" s="10">
        <f>33.1589 * CHOOSE(CONTROL!$C$9, $D$9, 100%, $F$9) + CHOOSE(CONTROL!$C$27, 0.0021, 0)</f>
        <v>33.161000000000001</v>
      </c>
      <c r="L197" s="10"/>
    </row>
    <row r="198" spans="1:12" ht="15" x14ac:dyDescent="0.2">
      <c r="A198" s="16">
        <v>46935</v>
      </c>
      <c r="B198" s="10">
        <f>34.2195 * CHOOSE(CONTROL!$C$9, $D$9, 100%, $F$9) + CHOOSE(CONTROL!$C$27, 0.0021, 0)</f>
        <v>34.221599999999995</v>
      </c>
      <c r="C198" s="10">
        <f>33.7872 * CHOOSE(CONTROL!$C$9, $D$9, 100%, $F$9) + CHOOSE(CONTROL!$C$27, 0.0021, 0)</f>
        <v>33.789299999999997</v>
      </c>
      <c r="D198" s="10">
        <f>33.7872 * CHOOSE(CONTROL!$C$9, $D$9, 100%, $F$9) + CHOOSE(CONTROL!$C$27, 0.0021, 0)</f>
        <v>33.789299999999997</v>
      </c>
      <c r="E198" s="10">
        <f>33.6506 * CHOOSE(CONTROL!$C$9, $D$9, 100%, $F$9) + CHOOSE(CONTROL!$C$27, 0.0021, 0)</f>
        <v>33.652699999999996</v>
      </c>
      <c r="F198" s="10">
        <f>33.6506 * CHOOSE(CONTROL!$C$9, $D$9, 100%, $F$9) + CHOOSE(CONTROL!$C$27, 0.0021, 0)</f>
        <v>33.652699999999996</v>
      </c>
      <c r="G198" s="10">
        <f>33.9219 * CHOOSE(CONTROL!$C$9, $D$9, 100%, $F$9) + CHOOSE(CONTROL!$C$27, 0.0021, 0)</f>
        <v>33.923999999999999</v>
      </c>
      <c r="H198" s="10">
        <f>33.7872 * CHOOSE(CONTROL!$C$9, $D$9, 100%, $F$9) + CHOOSE(CONTROL!$C$27, 0.0021, 0)</f>
        <v>33.789299999999997</v>
      </c>
      <c r="I198" s="10">
        <f>33.7872 * CHOOSE(CONTROL!$C$9, $D$9, 100%, $F$9) + CHOOSE(CONTROL!$C$27, 0.0021, 0)</f>
        <v>33.789299999999997</v>
      </c>
      <c r="J198" s="10">
        <f>33.7872 * CHOOSE(CONTROL!$C$9, $D$9, 100%, $F$9) + CHOOSE(CONTROL!$C$27, 0.0021, 0)</f>
        <v>33.789299999999997</v>
      </c>
      <c r="K198" s="10">
        <f>33.7872 * CHOOSE(CONTROL!$C$9, $D$9, 100%, $F$9) + CHOOSE(CONTROL!$C$27, 0.0021, 0)</f>
        <v>33.789299999999997</v>
      </c>
      <c r="L198" s="10"/>
    </row>
    <row r="199" spans="1:12" ht="15" x14ac:dyDescent="0.2">
      <c r="A199" s="16">
        <v>46966</v>
      </c>
      <c r="B199" s="10">
        <f>34.4113 * CHOOSE(CONTROL!$C$9, $D$9, 100%, $F$9) + CHOOSE(CONTROL!$C$27, 0.0021, 0)</f>
        <v>34.413399999999996</v>
      </c>
      <c r="C199" s="10">
        <f>33.979 * CHOOSE(CONTROL!$C$9, $D$9, 100%, $F$9) + CHOOSE(CONTROL!$C$27, 0.0021, 0)</f>
        <v>33.981099999999998</v>
      </c>
      <c r="D199" s="10">
        <f>33.979 * CHOOSE(CONTROL!$C$9, $D$9, 100%, $F$9) + CHOOSE(CONTROL!$C$27, 0.0021, 0)</f>
        <v>33.981099999999998</v>
      </c>
      <c r="E199" s="10">
        <f>33.8424 * CHOOSE(CONTROL!$C$9, $D$9, 100%, $F$9) + CHOOSE(CONTROL!$C$27, 0.0021, 0)</f>
        <v>33.844499999999996</v>
      </c>
      <c r="F199" s="10">
        <f>33.8424 * CHOOSE(CONTROL!$C$9, $D$9, 100%, $F$9) + CHOOSE(CONTROL!$C$27, 0.0021, 0)</f>
        <v>33.844499999999996</v>
      </c>
      <c r="G199" s="10">
        <f>34.1137 * CHOOSE(CONTROL!$C$9, $D$9, 100%, $F$9) + CHOOSE(CONTROL!$C$27, 0.0021, 0)</f>
        <v>34.1158</v>
      </c>
      <c r="H199" s="10">
        <f>33.979 * CHOOSE(CONTROL!$C$9, $D$9, 100%, $F$9) + CHOOSE(CONTROL!$C$27, 0.0021, 0)</f>
        <v>33.981099999999998</v>
      </c>
      <c r="I199" s="10">
        <f>33.979 * CHOOSE(CONTROL!$C$9, $D$9, 100%, $F$9) + CHOOSE(CONTROL!$C$27, 0.0021, 0)</f>
        <v>33.981099999999998</v>
      </c>
      <c r="J199" s="10">
        <f>33.979 * CHOOSE(CONTROL!$C$9, $D$9, 100%, $F$9) + CHOOSE(CONTROL!$C$27, 0.0021, 0)</f>
        <v>33.981099999999998</v>
      </c>
      <c r="K199" s="10">
        <f>33.979 * CHOOSE(CONTROL!$C$9, $D$9, 100%, $F$9) + CHOOSE(CONTROL!$C$27, 0.0021, 0)</f>
        <v>33.981099999999998</v>
      </c>
      <c r="L199" s="10"/>
    </row>
    <row r="200" spans="1:12" ht="15" x14ac:dyDescent="0.2">
      <c r="A200" s="16">
        <v>46997</v>
      </c>
      <c r="B200" s="10">
        <f>35.0644 * CHOOSE(CONTROL!$C$9, $D$9, 100%, $F$9) + CHOOSE(CONTROL!$C$27, 0.0021, 0)</f>
        <v>35.066499999999998</v>
      </c>
      <c r="C200" s="10">
        <f>34.6322 * CHOOSE(CONTROL!$C$9, $D$9, 100%, $F$9) + CHOOSE(CONTROL!$C$27, 0.0021, 0)</f>
        <v>34.634299999999996</v>
      </c>
      <c r="D200" s="10">
        <f>34.6322 * CHOOSE(CONTROL!$C$9, $D$9, 100%, $F$9) + CHOOSE(CONTROL!$C$27, 0.0021, 0)</f>
        <v>34.634299999999996</v>
      </c>
      <c r="E200" s="10">
        <f>34.4955 * CHOOSE(CONTROL!$C$9, $D$9, 100%, $F$9) + CHOOSE(CONTROL!$C$27, 0.0021, 0)</f>
        <v>34.497599999999998</v>
      </c>
      <c r="F200" s="10">
        <f>34.4955 * CHOOSE(CONTROL!$C$9, $D$9, 100%, $F$9) + CHOOSE(CONTROL!$C$27, 0.0021, 0)</f>
        <v>34.497599999999998</v>
      </c>
      <c r="G200" s="10">
        <f>34.7669 * CHOOSE(CONTROL!$C$9, $D$9, 100%, $F$9) + CHOOSE(CONTROL!$C$27, 0.0021, 0)</f>
        <v>34.768999999999998</v>
      </c>
      <c r="H200" s="10">
        <f>34.6322 * CHOOSE(CONTROL!$C$9, $D$9, 100%, $F$9) + CHOOSE(CONTROL!$C$27, 0.0021, 0)</f>
        <v>34.634299999999996</v>
      </c>
      <c r="I200" s="10">
        <f>34.6322 * CHOOSE(CONTROL!$C$9, $D$9, 100%, $F$9) + CHOOSE(CONTROL!$C$27, 0.0021, 0)</f>
        <v>34.634299999999996</v>
      </c>
      <c r="J200" s="10">
        <f>34.6322 * CHOOSE(CONTROL!$C$9, $D$9, 100%, $F$9) + CHOOSE(CONTROL!$C$27, 0.0021, 0)</f>
        <v>34.634299999999996</v>
      </c>
      <c r="K200" s="10">
        <f>34.6322 * CHOOSE(CONTROL!$C$9, $D$9, 100%, $F$9) + CHOOSE(CONTROL!$C$27, 0.0021, 0)</f>
        <v>34.634299999999996</v>
      </c>
      <c r="L200" s="10"/>
    </row>
    <row r="201" spans="1:12" ht="15" x14ac:dyDescent="0.2">
      <c r="A201" s="16">
        <v>47027</v>
      </c>
      <c r="B201" s="10">
        <f>35.8912 * CHOOSE(CONTROL!$C$9, $D$9, 100%, $F$9) + CHOOSE(CONTROL!$C$27, 0.0021, 0)</f>
        <v>35.893299999999996</v>
      </c>
      <c r="C201" s="10">
        <f>35.4589 * CHOOSE(CONTROL!$C$9, $D$9, 100%, $F$9) + CHOOSE(CONTROL!$C$27, 0.0021, 0)</f>
        <v>35.460999999999999</v>
      </c>
      <c r="D201" s="10">
        <f>35.4589 * CHOOSE(CONTROL!$C$9, $D$9, 100%, $F$9) + CHOOSE(CONTROL!$C$27, 0.0021, 0)</f>
        <v>35.460999999999999</v>
      </c>
      <c r="E201" s="10">
        <f>35.3223 * CHOOSE(CONTROL!$C$9, $D$9, 100%, $F$9) + CHOOSE(CONTROL!$C$27, 0.0021, 0)</f>
        <v>35.324399999999997</v>
      </c>
      <c r="F201" s="10">
        <f>35.3223 * CHOOSE(CONTROL!$C$9, $D$9, 100%, $F$9) + CHOOSE(CONTROL!$C$27, 0.0021, 0)</f>
        <v>35.324399999999997</v>
      </c>
      <c r="G201" s="10">
        <f>35.5936 * CHOOSE(CONTROL!$C$9, $D$9, 100%, $F$9) + CHOOSE(CONTROL!$C$27, 0.0021, 0)</f>
        <v>35.595700000000001</v>
      </c>
      <c r="H201" s="10">
        <f>35.4589 * CHOOSE(CONTROL!$C$9, $D$9, 100%, $F$9) + CHOOSE(CONTROL!$C$27, 0.0021, 0)</f>
        <v>35.460999999999999</v>
      </c>
      <c r="I201" s="10">
        <f>35.4589 * CHOOSE(CONTROL!$C$9, $D$9, 100%, $F$9) + CHOOSE(CONTROL!$C$27, 0.0021, 0)</f>
        <v>35.460999999999999</v>
      </c>
      <c r="J201" s="10">
        <f>35.4589 * CHOOSE(CONTROL!$C$9, $D$9, 100%, $F$9) + CHOOSE(CONTROL!$C$27, 0.0021, 0)</f>
        <v>35.460999999999999</v>
      </c>
      <c r="K201" s="10">
        <f>35.4589 * CHOOSE(CONTROL!$C$9, $D$9, 100%, $F$9) + CHOOSE(CONTROL!$C$27, 0.0021, 0)</f>
        <v>35.460999999999999</v>
      </c>
      <c r="L201" s="10"/>
    </row>
    <row r="202" spans="1:12" ht="15" x14ac:dyDescent="0.2">
      <c r="A202" s="16">
        <v>47058</v>
      </c>
      <c r="B202" s="10">
        <f>35.9688 * CHOOSE(CONTROL!$C$9, $D$9, 100%, $F$9) + CHOOSE(CONTROL!$C$27, 0.0021, 0)</f>
        <v>35.9709</v>
      </c>
      <c r="C202" s="10">
        <f>35.5365 * CHOOSE(CONTROL!$C$9, $D$9, 100%, $F$9) + CHOOSE(CONTROL!$C$27, 0.0021, 0)</f>
        <v>35.538599999999995</v>
      </c>
      <c r="D202" s="10">
        <f>35.5365 * CHOOSE(CONTROL!$C$9, $D$9, 100%, $F$9) + CHOOSE(CONTROL!$C$27, 0.0021, 0)</f>
        <v>35.538599999999995</v>
      </c>
      <c r="E202" s="10">
        <f>35.3999 * CHOOSE(CONTROL!$C$9, $D$9, 100%, $F$9) + CHOOSE(CONTROL!$C$27, 0.0021, 0)</f>
        <v>35.402000000000001</v>
      </c>
      <c r="F202" s="10">
        <f>35.3999 * CHOOSE(CONTROL!$C$9, $D$9, 100%, $F$9) + CHOOSE(CONTROL!$C$27, 0.0021, 0)</f>
        <v>35.402000000000001</v>
      </c>
      <c r="G202" s="10">
        <f>35.6712 * CHOOSE(CONTROL!$C$9, $D$9, 100%, $F$9) + CHOOSE(CONTROL!$C$27, 0.0021, 0)</f>
        <v>35.673299999999998</v>
      </c>
      <c r="H202" s="10">
        <f>35.5365 * CHOOSE(CONTROL!$C$9, $D$9, 100%, $F$9) + CHOOSE(CONTROL!$C$27, 0.0021, 0)</f>
        <v>35.538599999999995</v>
      </c>
      <c r="I202" s="10">
        <f>35.5365 * CHOOSE(CONTROL!$C$9, $D$9, 100%, $F$9) + CHOOSE(CONTROL!$C$27, 0.0021, 0)</f>
        <v>35.538599999999995</v>
      </c>
      <c r="J202" s="10">
        <f>35.5365 * CHOOSE(CONTROL!$C$9, $D$9, 100%, $F$9) + CHOOSE(CONTROL!$C$27, 0.0021, 0)</f>
        <v>35.538599999999995</v>
      </c>
      <c r="K202" s="10">
        <f>35.5365 * CHOOSE(CONTROL!$C$9, $D$9, 100%, $F$9) + CHOOSE(CONTROL!$C$27, 0.0021, 0)</f>
        <v>35.538599999999995</v>
      </c>
      <c r="L202" s="10"/>
    </row>
    <row r="203" spans="1:12" ht="15" x14ac:dyDescent="0.2">
      <c r="A203" s="16">
        <v>47088</v>
      </c>
      <c r="B203" s="10">
        <f>35.3085 * CHOOSE(CONTROL!$C$9, $D$9, 100%, $F$9) + CHOOSE(CONTROL!$C$27, 0.0021, 0)</f>
        <v>35.310600000000001</v>
      </c>
      <c r="C203" s="10">
        <f>34.8762 * CHOOSE(CONTROL!$C$9, $D$9, 100%, $F$9) + CHOOSE(CONTROL!$C$27, 0.0021, 0)</f>
        <v>34.878299999999996</v>
      </c>
      <c r="D203" s="10">
        <f>34.8762 * CHOOSE(CONTROL!$C$9, $D$9, 100%, $F$9) + CHOOSE(CONTROL!$C$27, 0.0021, 0)</f>
        <v>34.878299999999996</v>
      </c>
      <c r="E203" s="10">
        <f>34.7396 * CHOOSE(CONTROL!$C$9, $D$9, 100%, $F$9) + CHOOSE(CONTROL!$C$27, 0.0021, 0)</f>
        <v>34.741700000000002</v>
      </c>
      <c r="F203" s="10">
        <f>34.7396 * CHOOSE(CONTROL!$C$9, $D$9, 100%, $F$9) + CHOOSE(CONTROL!$C$27, 0.0021, 0)</f>
        <v>34.741700000000002</v>
      </c>
      <c r="G203" s="10">
        <f>35.0109 * CHOOSE(CONTROL!$C$9, $D$9, 100%, $F$9) + CHOOSE(CONTROL!$C$27, 0.0021, 0)</f>
        <v>35.012999999999998</v>
      </c>
      <c r="H203" s="10">
        <f>34.8762 * CHOOSE(CONTROL!$C$9, $D$9, 100%, $F$9) + CHOOSE(CONTROL!$C$27, 0.0021, 0)</f>
        <v>34.878299999999996</v>
      </c>
      <c r="I203" s="10">
        <f>34.8762 * CHOOSE(CONTROL!$C$9, $D$9, 100%, $F$9) + CHOOSE(CONTROL!$C$27, 0.0021, 0)</f>
        <v>34.878299999999996</v>
      </c>
      <c r="J203" s="10">
        <f>34.8762 * CHOOSE(CONTROL!$C$9, $D$9, 100%, $F$9) + CHOOSE(CONTROL!$C$27, 0.0021, 0)</f>
        <v>34.878299999999996</v>
      </c>
      <c r="K203" s="10">
        <f>34.8762 * CHOOSE(CONTROL!$C$9, $D$9, 100%, $F$9) + CHOOSE(CONTROL!$C$27, 0.0021, 0)</f>
        <v>34.878299999999996</v>
      </c>
      <c r="L203" s="10"/>
    </row>
    <row r="204" spans="1:12" ht="15" x14ac:dyDescent="0.2">
      <c r="A204" s="16">
        <v>47119</v>
      </c>
      <c r="B204" s="10">
        <f>34.8927 * CHOOSE(CONTROL!$C$9, $D$9, 100%, $F$9) + CHOOSE(CONTROL!$C$27, 0.0021, 0)</f>
        <v>34.894799999999996</v>
      </c>
      <c r="C204" s="10">
        <f>34.4604 * CHOOSE(CONTROL!$C$9, $D$9, 100%, $F$9) + CHOOSE(CONTROL!$C$27, 0.0021, 0)</f>
        <v>34.462499999999999</v>
      </c>
      <c r="D204" s="10">
        <f>34.4604 * CHOOSE(CONTROL!$C$9, $D$9, 100%, $F$9) + CHOOSE(CONTROL!$C$27, 0.0021, 0)</f>
        <v>34.462499999999999</v>
      </c>
      <c r="E204" s="10">
        <f>34.3238 * CHOOSE(CONTROL!$C$9, $D$9, 100%, $F$9) + CHOOSE(CONTROL!$C$27, 0.0021, 0)</f>
        <v>34.325899999999997</v>
      </c>
      <c r="F204" s="10">
        <f>34.3238 * CHOOSE(CONTROL!$C$9, $D$9, 100%, $F$9) + CHOOSE(CONTROL!$C$27, 0.0021, 0)</f>
        <v>34.325899999999997</v>
      </c>
      <c r="G204" s="10">
        <f>34.5951 * CHOOSE(CONTROL!$C$9, $D$9, 100%, $F$9) + CHOOSE(CONTROL!$C$27, 0.0021, 0)</f>
        <v>34.597200000000001</v>
      </c>
      <c r="H204" s="10">
        <f>34.4604 * CHOOSE(CONTROL!$C$9, $D$9, 100%, $F$9) + CHOOSE(CONTROL!$C$27, 0.0021, 0)</f>
        <v>34.462499999999999</v>
      </c>
      <c r="I204" s="10">
        <f>34.4604 * CHOOSE(CONTROL!$C$9, $D$9, 100%, $F$9) + CHOOSE(CONTROL!$C$27, 0.0021, 0)</f>
        <v>34.462499999999999</v>
      </c>
      <c r="J204" s="10">
        <f>34.4604 * CHOOSE(CONTROL!$C$9, $D$9, 100%, $F$9) + CHOOSE(CONTROL!$C$27, 0.0021, 0)</f>
        <v>34.462499999999999</v>
      </c>
      <c r="K204" s="10">
        <f>34.4604 * CHOOSE(CONTROL!$C$9, $D$9, 100%, $F$9) + CHOOSE(CONTROL!$C$27, 0.0021, 0)</f>
        <v>34.462499999999999</v>
      </c>
      <c r="L204" s="10"/>
    </row>
    <row r="205" spans="1:12" ht="15" x14ac:dyDescent="0.2">
      <c r="A205" s="16">
        <v>47150</v>
      </c>
      <c r="B205" s="10">
        <f>33.9705 * CHOOSE(CONTROL!$C$9, $D$9, 100%, $F$9) + CHOOSE(CONTROL!$C$27, 0.0021, 0)</f>
        <v>33.9726</v>
      </c>
      <c r="C205" s="10">
        <f>33.5383 * CHOOSE(CONTROL!$C$9, $D$9, 100%, $F$9) + CHOOSE(CONTROL!$C$27, 0.0021, 0)</f>
        <v>33.540399999999998</v>
      </c>
      <c r="D205" s="10">
        <f>33.5383 * CHOOSE(CONTROL!$C$9, $D$9, 100%, $F$9) + CHOOSE(CONTROL!$C$27, 0.0021, 0)</f>
        <v>33.540399999999998</v>
      </c>
      <c r="E205" s="10">
        <f>33.4016 * CHOOSE(CONTROL!$C$9, $D$9, 100%, $F$9) + CHOOSE(CONTROL!$C$27, 0.0021, 0)</f>
        <v>33.403700000000001</v>
      </c>
      <c r="F205" s="10">
        <f>33.4016 * CHOOSE(CONTROL!$C$9, $D$9, 100%, $F$9) + CHOOSE(CONTROL!$C$27, 0.0021, 0)</f>
        <v>33.403700000000001</v>
      </c>
      <c r="G205" s="10">
        <f>33.673 * CHOOSE(CONTROL!$C$9, $D$9, 100%, $F$9) + CHOOSE(CONTROL!$C$27, 0.0021, 0)</f>
        <v>33.6751</v>
      </c>
      <c r="H205" s="10">
        <f>33.5383 * CHOOSE(CONTROL!$C$9, $D$9, 100%, $F$9) + CHOOSE(CONTROL!$C$27, 0.0021, 0)</f>
        <v>33.540399999999998</v>
      </c>
      <c r="I205" s="10">
        <f>33.5383 * CHOOSE(CONTROL!$C$9, $D$9, 100%, $F$9) + CHOOSE(CONTROL!$C$27, 0.0021, 0)</f>
        <v>33.540399999999998</v>
      </c>
      <c r="J205" s="10">
        <f>33.5383 * CHOOSE(CONTROL!$C$9, $D$9, 100%, $F$9) + CHOOSE(CONTROL!$C$27, 0.0021, 0)</f>
        <v>33.540399999999998</v>
      </c>
      <c r="K205" s="10">
        <f>33.5383 * CHOOSE(CONTROL!$C$9, $D$9, 100%, $F$9) + CHOOSE(CONTROL!$C$27, 0.0021, 0)</f>
        <v>33.540399999999998</v>
      </c>
      <c r="L205" s="10"/>
    </row>
    <row r="206" spans="1:12" ht="15" x14ac:dyDescent="0.2">
      <c r="A206" s="16">
        <v>47178</v>
      </c>
      <c r="B206" s="10">
        <f>33.5899 * CHOOSE(CONTROL!$C$9, $D$9, 100%, $F$9) + CHOOSE(CONTROL!$C$27, 0.0021, 0)</f>
        <v>33.591999999999999</v>
      </c>
      <c r="C206" s="10">
        <f>33.1577 * CHOOSE(CONTROL!$C$9, $D$9, 100%, $F$9) + CHOOSE(CONTROL!$C$27, 0.0021, 0)</f>
        <v>33.159799999999997</v>
      </c>
      <c r="D206" s="10">
        <f>33.1577 * CHOOSE(CONTROL!$C$9, $D$9, 100%, $F$9) + CHOOSE(CONTROL!$C$27, 0.0021, 0)</f>
        <v>33.159799999999997</v>
      </c>
      <c r="E206" s="10">
        <f>33.021 * CHOOSE(CONTROL!$C$9, $D$9, 100%, $F$9) + CHOOSE(CONTROL!$C$27, 0.0021, 0)</f>
        <v>33.023099999999999</v>
      </c>
      <c r="F206" s="10">
        <f>33.021 * CHOOSE(CONTROL!$C$9, $D$9, 100%, $F$9) + CHOOSE(CONTROL!$C$27, 0.0021, 0)</f>
        <v>33.023099999999999</v>
      </c>
      <c r="G206" s="10">
        <f>33.2924 * CHOOSE(CONTROL!$C$9, $D$9, 100%, $F$9) + CHOOSE(CONTROL!$C$27, 0.0021, 0)</f>
        <v>33.294499999999999</v>
      </c>
      <c r="H206" s="10">
        <f>33.1577 * CHOOSE(CONTROL!$C$9, $D$9, 100%, $F$9) + CHOOSE(CONTROL!$C$27, 0.0021, 0)</f>
        <v>33.159799999999997</v>
      </c>
      <c r="I206" s="10">
        <f>33.1577 * CHOOSE(CONTROL!$C$9, $D$9, 100%, $F$9) + CHOOSE(CONTROL!$C$27, 0.0021, 0)</f>
        <v>33.159799999999997</v>
      </c>
      <c r="J206" s="10">
        <f>33.1577 * CHOOSE(CONTROL!$C$9, $D$9, 100%, $F$9) + CHOOSE(CONTROL!$C$27, 0.0021, 0)</f>
        <v>33.159799999999997</v>
      </c>
      <c r="K206" s="10">
        <f>33.1577 * CHOOSE(CONTROL!$C$9, $D$9, 100%, $F$9) + CHOOSE(CONTROL!$C$27, 0.0021, 0)</f>
        <v>33.159799999999997</v>
      </c>
      <c r="L206" s="10"/>
    </row>
    <row r="207" spans="1:12" ht="15" x14ac:dyDescent="0.2">
      <c r="A207" s="16">
        <v>47209</v>
      </c>
      <c r="B207" s="10">
        <f>33.1354 * CHOOSE(CONTROL!$C$9, $D$9, 100%, $F$9) + CHOOSE(CONTROL!$C$27, 0.0021, 0)</f>
        <v>33.137499999999996</v>
      </c>
      <c r="C207" s="10">
        <f>32.7032 * CHOOSE(CONTROL!$C$9, $D$9, 100%, $F$9) + CHOOSE(CONTROL!$C$27, 0.0021, 0)</f>
        <v>32.705300000000001</v>
      </c>
      <c r="D207" s="10">
        <f>32.7032 * CHOOSE(CONTROL!$C$9, $D$9, 100%, $F$9) + CHOOSE(CONTROL!$C$27, 0.0021, 0)</f>
        <v>32.705300000000001</v>
      </c>
      <c r="E207" s="10">
        <f>32.5665 * CHOOSE(CONTROL!$C$9, $D$9, 100%, $F$9) + CHOOSE(CONTROL!$C$27, 0.0021, 0)</f>
        <v>32.568599999999996</v>
      </c>
      <c r="F207" s="10">
        <f>32.5665 * CHOOSE(CONTROL!$C$9, $D$9, 100%, $F$9) + CHOOSE(CONTROL!$C$27, 0.0021, 0)</f>
        <v>32.568599999999996</v>
      </c>
      <c r="G207" s="10">
        <f>32.8379 * CHOOSE(CONTROL!$C$9, $D$9, 100%, $F$9) + CHOOSE(CONTROL!$C$27, 0.0021, 0)</f>
        <v>32.839999999999996</v>
      </c>
      <c r="H207" s="10">
        <f>32.7032 * CHOOSE(CONTROL!$C$9, $D$9, 100%, $F$9) + CHOOSE(CONTROL!$C$27, 0.0021, 0)</f>
        <v>32.705300000000001</v>
      </c>
      <c r="I207" s="10">
        <f>32.7032 * CHOOSE(CONTROL!$C$9, $D$9, 100%, $F$9) + CHOOSE(CONTROL!$C$27, 0.0021, 0)</f>
        <v>32.705300000000001</v>
      </c>
      <c r="J207" s="10">
        <f>32.7032 * CHOOSE(CONTROL!$C$9, $D$9, 100%, $F$9) + CHOOSE(CONTROL!$C$27, 0.0021, 0)</f>
        <v>32.705300000000001</v>
      </c>
      <c r="K207" s="10">
        <f>32.7032 * CHOOSE(CONTROL!$C$9, $D$9, 100%, $F$9) + CHOOSE(CONTROL!$C$27, 0.0021, 0)</f>
        <v>32.705300000000001</v>
      </c>
      <c r="L207" s="10"/>
    </row>
    <row r="208" spans="1:12" ht="15" x14ac:dyDescent="0.2">
      <c r="A208" s="16">
        <v>47239</v>
      </c>
      <c r="B208" s="10">
        <f>33.7831 * CHOOSE(CONTROL!$C$9, $D$9, 100%, $F$9) + CHOOSE(CONTROL!$C$27, 0.0021, 0)</f>
        <v>33.785199999999996</v>
      </c>
      <c r="C208" s="10">
        <f>33.3509 * CHOOSE(CONTROL!$C$9, $D$9, 100%, $F$9) + CHOOSE(CONTROL!$C$27, 0.0021, 0)</f>
        <v>33.353000000000002</v>
      </c>
      <c r="D208" s="10">
        <f>33.3509 * CHOOSE(CONTROL!$C$9, $D$9, 100%, $F$9) + CHOOSE(CONTROL!$C$27, 0.0021, 0)</f>
        <v>33.353000000000002</v>
      </c>
      <c r="E208" s="10">
        <f>33.2142 * CHOOSE(CONTROL!$C$9, $D$9, 100%, $F$9) + CHOOSE(CONTROL!$C$27, 0.0021, 0)</f>
        <v>33.216299999999997</v>
      </c>
      <c r="F208" s="10">
        <f>33.2142 * CHOOSE(CONTROL!$C$9, $D$9, 100%, $F$9) + CHOOSE(CONTROL!$C$27, 0.0021, 0)</f>
        <v>33.216299999999997</v>
      </c>
      <c r="G208" s="10">
        <f>33.4856 * CHOOSE(CONTROL!$C$9, $D$9, 100%, $F$9) + CHOOSE(CONTROL!$C$27, 0.0021, 0)</f>
        <v>33.487699999999997</v>
      </c>
      <c r="H208" s="10">
        <f>33.3509 * CHOOSE(CONTROL!$C$9, $D$9, 100%, $F$9) + CHOOSE(CONTROL!$C$27, 0.0021, 0)</f>
        <v>33.353000000000002</v>
      </c>
      <c r="I208" s="10">
        <f>33.3509 * CHOOSE(CONTROL!$C$9, $D$9, 100%, $F$9) + CHOOSE(CONTROL!$C$27, 0.0021, 0)</f>
        <v>33.353000000000002</v>
      </c>
      <c r="J208" s="10">
        <f>33.3509 * CHOOSE(CONTROL!$C$9, $D$9, 100%, $F$9) + CHOOSE(CONTROL!$C$27, 0.0021, 0)</f>
        <v>33.353000000000002</v>
      </c>
      <c r="K208" s="10">
        <f>33.3509 * CHOOSE(CONTROL!$C$9, $D$9, 100%, $F$9) + CHOOSE(CONTROL!$C$27, 0.0021, 0)</f>
        <v>33.353000000000002</v>
      </c>
      <c r="L208" s="10"/>
    </row>
    <row r="209" spans="1:12" ht="15" x14ac:dyDescent="0.2">
      <c r="A209" s="16">
        <v>47270</v>
      </c>
      <c r="B209" s="10">
        <f>34.1711 * CHOOSE(CONTROL!$C$9, $D$9, 100%, $F$9) + CHOOSE(CONTROL!$C$27, 0.0021, 0)</f>
        <v>34.173200000000001</v>
      </c>
      <c r="C209" s="10">
        <f>33.7388 * CHOOSE(CONTROL!$C$9, $D$9, 100%, $F$9) + CHOOSE(CONTROL!$C$27, 0.0021, 0)</f>
        <v>33.740899999999996</v>
      </c>
      <c r="D209" s="10">
        <f>33.7388 * CHOOSE(CONTROL!$C$9, $D$9, 100%, $F$9) + CHOOSE(CONTROL!$C$27, 0.0021, 0)</f>
        <v>33.740899999999996</v>
      </c>
      <c r="E209" s="10">
        <f>33.6022 * CHOOSE(CONTROL!$C$9, $D$9, 100%, $F$9) + CHOOSE(CONTROL!$C$27, 0.0021, 0)</f>
        <v>33.604300000000002</v>
      </c>
      <c r="F209" s="10">
        <f>33.6022 * CHOOSE(CONTROL!$C$9, $D$9, 100%, $F$9) + CHOOSE(CONTROL!$C$27, 0.0021, 0)</f>
        <v>33.604300000000002</v>
      </c>
      <c r="G209" s="10">
        <f>33.8735 * CHOOSE(CONTROL!$C$9, $D$9, 100%, $F$9) + CHOOSE(CONTROL!$C$27, 0.0021, 0)</f>
        <v>33.875599999999999</v>
      </c>
      <c r="H209" s="10">
        <f>33.7388 * CHOOSE(CONTROL!$C$9, $D$9, 100%, $F$9) + CHOOSE(CONTROL!$C$27, 0.0021, 0)</f>
        <v>33.740899999999996</v>
      </c>
      <c r="I209" s="10">
        <f>33.7388 * CHOOSE(CONTROL!$C$9, $D$9, 100%, $F$9) + CHOOSE(CONTROL!$C$27, 0.0021, 0)</f>
        <v>33.740899999999996</v>
      </c>
      <c r="J209" s="10">
        <f>33.7388 * CHOOSE(CONTROL!$C$9, $D$9, 100%, $F$9) + CHOOSE(CONTROL!$C$27, 0.0021, 0)</f>
        <v>33.740899999999996</v>
      </c>
      <c r="K209" s="10">
        <f>33.7388 * CHOOSE(CONTROL!$C$9, $D$9, 100%, $F$9) + CHOOSE(CONTROL!$C$27, 0.0021, 0)</f>
        <v>33.740899999999996</v>
      </c>
      <c r="L209" s="10"/>
    </row>
    <row r="210" spans="1:12" ht="15" x14ac:dyDescent="0.2">
      <c r="A210" s="16">
        <v>47300</v>
      </c>
      <c r="B210" s="10">
        <f>34.8111 * CHOOSE(CONTROL!$C$9, $D$9, 100%, $F$9) + CHOOSE(CONTROL!$C$27, 0.0021, 0)</f>
        <v>34.813200000000002</v>
      </c>
      <c r="C210" s="10">
        <f>34.3788 * CHOOSE(CONTROL!$C$9, $D$9, 100%, $F$9) + CHOOSE(CONTROL!$C$27, 0.0021, 0)</f>
        <v>34.380899999999997</v>
      </c>
      <c r="D210" s="10">
        <f>34.3788 * CHOOSE(CONTROL!$C$9, $D$9, 100%, $F$9) + CHOOSE(CONTROL!$C$27, 0.0021, 0)</f>
        <v>34.380899999999997</v>
      </c>
      <c r="E210" s="10">
        <f>34.2422 * CHOOSE(CONTROL!$C$9, $D$9, 100%, $F$9) + CHOOSE(CONTROL!$C$27, 0.0021, 0)</f>
        <v>34.244299999999996</v>
      </c>
      <c r="F210" s="10">
        <f>34.2422 * CHOOSE(CONTROL!$C$9, $D$9, 100%, $F$9) + CHOOSE(CONTROL!$C$27, 0.0021, 0)</f>
        <v>34.244299999999996</v>
      </c>
      <c r="G210" s="10">
        <f>34.5135 * CHOOSE(CONTROL!$C$9, $D$9, 100%, $F$9) + CHOOSE(CONTROL!$C$27, 0.0021, 0)</f>
        <v>34.515599999999999</v>
      </c>
      <c r="H210" s="10">
        <f>34.3788 * CHOOSE(CONTROL!$C$9, $D$9, 100%, $F$9) + CHOOSE(CONTROL!$C$27, 0.0021, 0)</f>
        <v>34.380899999999997</v>
      </c>
      <c r="I210" s="10">
        <f>34.3788 * CHOOSE(CONTROL!$C$9, $D$9, 100%, $F$9) + CHOOSE(CONTROL!$C$27, 0.0021, 0)</f>
        <v>34.380899999999997</v>
      </c>
      <c r="J210" s="10">
        <f>34.3788 * CHOOSE(CONTROL!$C$9, $D$9, 100%, $F$9) + CHOOSE(CONTROL!$C$27, 0.0021, 0)</f>
        <v>34.380899999999997</v>
      </c>
      <c r="K210" s="10">
        <f>34.3788 * CHOOSE(CONTROL!$C$9, $D$9, 100%, $F$9) + CHOOSE(CONTROL!$C$27, 0.0021, 0)</f>
        <v>34.380899999999997</v>
      </c>
      <c r="L210" s="10"/>
    </row>
    <row r="211" spans="1:12" ht="15" x14ac:dyDescent="0.2">
      <c r="A211" s="16">
        <v>47331</v>
      </c>
      <c r="B211" s="10">
        <f>35.0064 * CHOOSE(CONTROL!$C$9, $D$9, 100%, $F$9) + CHOOSE(CONTROL!$C$27, 0.0021, 0)</f>
        <v>35.008499999999998</v>
      </c>
      <c r="C211" s="10">
        <f>34.5742 * CHOOSE(CONTROL!$C$9, $D$9, 100%, $F$9) + CHOOSE(CONTROL!$C$27, 0.0021, 0)</f>
        <v>34.576299999999996</v>
      </c>
      <c r="D211" s="10">
        <f>34.5742 * CHOOSE(CONTROL!$C$9, $D$9, 100%, $F$9) + CHOOSE(CONTROL!$C$27, 0.0021, 0)</f>
        <v>34.576299999999996</v>
      </c>
      <c r="E211" s="10">
        <f>34.4375 * CHOOSE(CONTROL!$C$9, $D$9, 100%, $F$9) + CHOOSE(CONTROL!$C$27, 0.0021, 0)</f>
        <v>34.439599999999999</v>
      </c>
      <c r="F211" s="10">
        <f>34.4375 * CHOOSE(CONTROL!$C$9, $D$9, 100%, $F$9) + CHOOSE(CONTROL!$C$27, 0.0021, 0)</f>
        <v>34.439599999999999</v>
      </c>
      <c r="G211" s="10">
        <f>34.7089 * CHOOSE(CONTROL!$C$9, $D$9, 100%, $F$9) + CHOOSE(CONTROL!$C$27, 0.0021, 0)</f>
        <v>34.710999999999999</v>
      </c>
      <c r="H211" s="10">
        <f>34.5742 * CHOOSE(CONTROL!$C$9, $D$9, 100%, $F$9) + CHOOSE(CONTROL!$C$27, 0.0021, 0)</f>
        <v>34.576299999999996</v>
      </c>
      <c r="I211" s="10">
        <f>34.5742 * CHOOSE(CONTROL!$C$9, $D$9, 100%, $F$9) + CHOOSE(CONTROL!$C$27, 0.0021, 0)</f>
        <v>34.576299999999996</v>
      </c>
      <c r="J211" s="10">
        <f>34.5742 * CHOOSE(CONTROL!$C$9, $D$9, 100%, $F$9) + CHOOSE(CONTROL!$C$27, 0.0021, 0)</f>
        <v>34.576299999999996</v>
      </c>
      <c r="K211" s="10">
        <f>34.5742 * CHOOSE(CONTROL!$C$9, $D$9, 100%, $F$9) + CHOOSE(CONTROL!$C$27, 0.0021, 0)</f>
        <v>34.576299999999996</v>
      </c>
      <c r="L211" s="10"/>
    </row>
    <row r="212" spans="1:12" ht="15" x14ac:dyDescent="0.2">
      <c r="A212" s="16">
        <v>47362</v>
      </c>
      <c r="B212" s="10">
        <f>35.6716 * CHOOSE(CONTROL!$C$9, $D$9, 100%, $F$9) + CHOOSE(CONTROL!$C$27, 0.0021, 0)</f>
        <v>35.673699999999997</v>
      </c>
      <c r="C212" s="10">
        <f>35.2394 * CHOOSE(CONTROL!$C$9, $D$9, 100%, $F$9) + CHOOSE(CONTROL!$C$27, 0.0021, 0)</f>
        <v>35.241500000000002</v>
      </c>
      <c r="D212" s="10">
        <f>35.2394 * CHOOSE(CONTROL!$C$9, $D$9, 100%, $F$9) + CHOOSE(CONTROL!$C$27, 0.0021, 0)</f>
        <v>35.241500000000002</v>
      </c>
      <c r="E212" s="10">
        <f>35.1027 * CHOOSE(CONTROL!$C$9, $D$9, 100%, $F$9) + CHOOSE(CONTROL!$C$27, 0.0021, 0)</f>
        <v>35.104799999999997</v>
      </c>
      <c r="F212" s="10">
        <f>35.1027 * CHOOSE(CONTROL!$C$9, $D$9, 100%, $F$9) + CHOOSE(CONTROL!$C$27, 0.0021, 0)</f>
        <v>35.104799999999997</v>
      </c>
      <c r="G212" s="10">
        <f>35.3741 * CHOOSE(CONTROL!$C$9, $D$9, 100%, $F$9) + CHOOSE(CONTROL!$C$27, 0.0021, 0)</f>
        <v>35.376199999999997</v>
      </c>
      <c r="H212" s="10">
        <f>35.2394 * CHOOSE(CONTROL!$C$9, $D$9, 100%, $F$9) + CHOOSE(CONTROL!$C$27, 0.0021, 0)</f>
        <v>35.241500000000002</v>
      </c>
      <c r="I212" s="10">
        <f>35.2394 * CHOOSE(CONTROL!$C$9, $D$9, 100%, $F$9) + CHOOSE(CONTROL!$C$27, 0.0021, 0)</f>
        <v>35.241500000000002</v>
      </c>
      <c r="J212" s="10">
        <f>35.2394 * CHOOSE(CONTROL!$C$9, $D$9, 100%, $F$9) + CHOOSE(CONTROL!$C$27, 0.0021, 0)</f>
        <v>35.241500000000002</v>
      </c>
      <c r="K212" s="10">
        <f>35.2394 * CHOOSE(CONTROL!$C$9, $D$9, 100%, $F$9) + CHOOSE(CONTROL!$C$27, 0.0021, 0)</f>
        <v>35.241500000000002</v>
      </c>
      <c r="L212" s="10"/>
    </row>
    <row r="213" spans="1:12" ht="15" x14ac:dyDescent="0.2">
      <c r="A213" s="16">
        <v>47392</v>
      </c>
      <c r="B213" s="10">
        <f>36.5137 * CHOOSE(CONTROL!$C$9, $D$9, 100%, $F$9) + CHOOSE(CONTROL!$C$27, 0.0021, 0)</f>
        <v>36.515799999999999</v>
      </c>
      <c r="C213" s="10">
        <f>36.0815 * CHOOSE(CONTROL!$C$9, $D$9, 100%, $F$9) + CHOOSE(CONTROL!$C$27, 0.0021, 0)</f>
        <v>36.083599999999997</v>
      </c>
      <c r="D213" s="10">
        <f>36.0815 * CHOOSE(CONTROL!$C$9, $D$9, 100%, $F$9) + CHOOSE(CONTROL!$C$27, 0.0021, 0)</f>
        <v>36.083599999999997</v>
      </c>
      <c r="E213" s="10">
        <f>35.9448 * CHOOSE(CONTROL!$C$9, $D$9, 100%, $F$9) + CHOOSE(CONTROL!$C$27, 0.0021, 0)</f>
        <v>35.946899999999999</v>
      </c>
      <c r="F213" s="10">
        <f>35.9448 * CHOOSE(CONTROL!$C$9, $D$9, 100%, $F$9) + CHOOSE(CONTROL!$C$27, 0.0021, 0)</f>
        <v>35.946899999999999</v>
      </c>
      <c r="G213" s="10">
        <f>36.2162 * CHOOSE(CONTROL!$C$9, $D$9, 100%, $F$9) + CHOOSE(CONTROL!$C$27, 0.0021, 0)</f>
        <v>36.218299999999999</v>
      </c>
      <c r="H213" s="10">
        <f>36.0815 * CHOOSE(CONTROL!$C$9, $D$9, 100%, $F$9) + CHOOSE(CONTROL!$C$27, 0.0021, 0)</f>
        <v>36.083599999999997</v>
      </c>
      <c r="I213" s="10">
        <f>36.0815 * CHOOSE(CONTROL!$C$9, $D$9, 100%, $F$9) + CHOOSE(CONTROL!$C$27, 0.0021, 0)</f>
        <v>36.083599999999997</v>
      </c>
      <c r="J213" s="10">
        <f>36.0815 * CHOOSE(CONTROL!$C$9, $D$9, 100%, $F$9) + CHOOSE(CONTROL!$C$27, 0.0021, 0)</f>
        <v>36.083599999999997</v>
      </c>
      <c r="K213" s="10">
        <f>36.0815 * CHOOSE(CONTROL!$C$9, $D$9, 100%, $F$9) + CHOOSE(CONTROL!$C$27, 0.0021, 0)</f>
        <v>36.083599999999997</v>
      </c>
      <c r="L213" s="10"/>
    </row>
    <row r="214" spans="1:12" ht="15" x14ac:dyDescent="0.2">
      <c r="A214" s="16">
        <v>47423</v>
      </c>
      <c r="B214" s="10">
        <f>36.5928 * CHOOSE(CONTROL!$C$9, $D$9, 100%, $F$9) + CHOOSE(CONTROL!$C$27, 0.0021, 0)</f>
        <v>36.594899999999996</v>
      </c>
      <c r="C214" s="10">
        <f>36.1605 * CHOOSE(CONTROL!$C$9, $D$9, 100%, $F$9) + CHOOSE(CONTROL!$C$27, 0.0021, 0)</f>
        <v>36.162599999999998</v>
      </c>
      <c r="D214" s="10">
        <f>36.1605 * CHOOSE(CONTROL!$C$9, $D$9, 100%, $F$9) + CHOOSE(CONTROL!$C$27, 0.0021, 0)</f>
        <v>36.162599999999998</v>
      </c>
      <c r="E214" s="10">
        <f>36.0239 * CHOOSE(CONTROL!$C$9, $D$9, 100%, $F$9) + CHOOSE(CONTROL!$C$27, 0.0021, 0)</f>
        <v>36.025999999999996</v>
      </c>
      <c r="F214" s="10">
        <f>36.0239 * CHOOSE(CONTROL!$C$9, $D$9, 100%, $F$9) + CHOOSE(CONTROL!$C$27, 0.0021, 0)</f>
        <v>36.025999999999996</v>
      </c>
      <c r="G214" s="10">
        <f>36.2952 * CHOOSE(CONTROL!$C$9, $D$9, 100%, $F$9) + CHOOSE(CONTROL!$C$27, 0.0021, 0)</f>
        <v>36.2973</v>
      </c>
      <c r="H214" s="10">
        <f>36.1605 * CHOOSE(CONTROL!$C$9, $D$9, 100%, $F$9) + CHOOSE(CONTROL!$C$27, 0.0021, 0)</f>
        <v>36.162599999999998</v>
      </c>
      <c r="I214" s="10">
        <f>36.1605 * CHOOSE(CONTROL!$C$9, $D$9, 100%, $F$9) + CHOOSE(CONTROL!$C$27, 0.0021, 0)</f>
        <v>36.162599999999998</v>
      </c>
      <c r="J214" s="10">
        <f>36.1605 * CHOOSE(CONTROL!$C$9, $D$9, 100%, $F$9) + CHOOSE(CONTROL!$C$27, 0.0021, 0)</f>
        <v>36.162599999999998</v>
      </c>
      <c r="K214" s="10">
        <f>36.1605 * CHOOSE(CONTROL!$C$9, $D$9, 100%, $F$9) + CHOOSE(CONTROL!$C$27, 0.0021, 0)</f>
        <v>36.162599999999998</v>
      </c>
      <c r="L214" s="10"/>
    </row>
    <row r="215" spans="1:12" ht="15" x14ac:dyDescent="0.2">
      <c r="A215" s="16">
        <v>47453</v>
      </c>
      <c r="B215" s="10">
        <f>35.9202 * CHOOSE(CONTROL!$C$9, $D$9, 100%, $F$9) + CHOOSE(CONTROL!$C$27, 0.0021, 0)</f>
        <v>35.9223</v>
      </c>
      <c r="C215" s="10">
        <f>35.488 * CHOOSE(CONTROL!$C$9, $D$9, 100%, $F$9) + CHOOSE(CONTROL!$C$27, 0.0021, 0)</f>
        <v>35.490099999999998</v>
      </c>
      <c r="D215" s="10">
        <f>35.488 * CHOOSE(CONTROL!$C$9, $D$9, 100%, $F$9) + CHOOSE(CONTROL!$C$27, 0.0021, 0)</f>
        <v>35.490099999999998</v>
      </c>
      <c r="E215" s="10">
        <f>35.3513 * CHOOSE(CONTROL!$C$9, $D$9, 100%, $F$9) + CHOOSE(CONTROL!$C$27, 0.0021, 0)</f>
        <v>35.353400000000001</v>
      </c>
      <c r="F215" s="10">
        <f>35.3513 * CHOOSE(CONTROL!$C$9, $D$9, 100%, $F$9) + CHOOSE(CONTROL!$C$27, 0.0021, 0)</f>
        <v>35.353400000000001</v>
      </c>
      <c r="G215" s="10">
        <f>35.6227 * CHOOSE(CONTROL!$C$9, $D$9, 100%, $F$9) + CHOOSE(CONTROL!$C$27, 0.0021, 0)</f>
        <v>35.6248</v>
      </c>
      <c r="H215" s="10">
        <f>35.488 * CHOOSE(CONTROL!$C$9, $D$9, 100%, $F$9) + CHOOSE(CONTROL!$C$27, 0.0021, 0)</f>
        <v>35.490099999999998</v>
      </c>
      <c r="I215" s="10">
        <f>35.488 * CHOOSE(CONTROL!$C$9, $D$9, 100%, $F$9) + CHOOSE(CONTROL!$C$27, 0.0021, 0)</f>
        <v>35.490099999999998</v>
      </c>
      <c r="J215" s="10">
        <f>35.488 * CHOOSE(CONTROL!$C$9, $D$9, 100%, $F$9) + CHOOSE(CONTROL!$C$27, 0.0021, 0)</f>
        <v>35.490099999999998</v>
      </c>
      <c r="K215" s="10">
        <f>35.488 * CHOOSE(CONTROL!$C$9, $D$9, 100%, $F$9) + CHOOSE(CONTROL!$C$27, 0.0021, 0)</f>
        <v>35.490099999999998</v>
      </c>
      <c r="L215" s="10"/>
    </row>
    <row r="216" spans="1:12" ht="15" x14ac:dyDescent="0.2">
      <c r="A216" s="16">
        <v>47484</v>
      </c>
      <c r="B216" s="10">
        <f>35.4794 * CHOOSE(CONTROL!$C$9, $D$9, 100%, $F$9) + CHOOSE(CONTROL!$C$27, 0.0021, 0)</f>
        <v>35.481499999999997</v>
      </c>
      <c r="C216" s="10">
        <f>35.0471 * CHOOSE(CONTROL!$C$9, $D$9, 100%, $F$9) + CHOOSE(CONTROL!$C$27, 0.0021, 0)</f>
        <v>35.049199999999999</v>
      </c>
      <c r="D216" s="10">
        <f>35.0471 * CHOOSE(CONTROL!$C$9, $D$9, 100%, $F$9) + CHOOSE(CONTROL!$C$27, 0.0021, 0)</f>
        <v>35.049199999999999</v>
      </c>
      <c r="E216" s="10">
        <f>34.9105 * CHOOSE(CONTROL!$C$9, $D$9, 100%, $F$9) + CHOOSE(CONTROL!$C$27, 0.0021, 0)</f>
        <v>34.912599999999998</v>
      </c>
      <c r="F216" s="10">
        <f>34.9105 * CHOOSE(CONTROL!$C$9, $D$9, 100%, $F$9) + CHOOSE(CONTROL!$C$27, 0.0021, 0)</f>
        <v>34.912599999999998</v>
      </c>
      <c r="G216" s="10">
        <f>35.1818 * CHOOSE(CONTROL!$C$9, $D$9, 100%, $F$9) + CHOOSE(CONTROL!$C$27, 0.0021, 0)</f>
        <v>35.183900000000001</v>
      </c>
      <c r="H216" s="10">
        <f>35.0471 * CHOOSE(CONTROL!$C$9, $D$9, 100%, $F$9) + CHOOSE(CONTROL!$C$27, 0.0021, 0)</f>
        <v>35.049199999999999</v>
      </c>
      <c r="I216" s="10">
        <f>35.0471 * CHOOSE(CONTROL!$C$9, $D$9, 100%, $F$9) + CHOOSE(CONTROL!$C$27, 0.0021, 0)</f>
        <v>35.049199999999999</v>
      </c>
      <c r="J216" s="10">
        <f>35.0471 * CHOOSE(CONTROL!$C$9, $D$9, 100%, $F$9) + CHOOSE(CONTROL!$C$27, 0.0021, 0)</f>
        <v>35.049199999999999</v>
      </c>
      <c r="K216" s="10">
        <f>35.0471 * CHOOSE(CONTROL!$C$9, $D$9, 100%, $F$9) + CHOOSE(CONTROL!$C$27, 0.0021, 0)</f>
        <v>35.049199999999999</v>
      </c>
      <c r="L216" s="10"/>
    </row>
    <row r="217" spans="1:12" ht="15" x14ac:dyDescent="0.2">
      <c r="A217" s="16">
        <v>47515</v>
      </c>
      <c r="B217" s="10">
        <f>34.5407 * CHOOSE(CONTROL!$C$9, $D$9, 100%, $F$9) + CHOOSE(CONTROL!$C$27, 0.0021, 0)</f>
        <v>34.5428</v>
      </c>
      <c r="C217" s="10">
        <f>34.1084 * CHOOSE(CONTROL!$C$9, $D$9, 100%, $F$9) + CHOOSE(CONTROL!$C$27, 0.0021, 0)</f>
        <v>34.110500000000002</v>
      </c>
      <c r="D217" s="10">
        <f>34.1084 * CHOOSE(CONTROL!$C$9, $D$9, 100%, $F$9) + CHOOSE(CONTROL!$C$27, 0.0021, 0)</f>
        <v>34.110500000000002</v>
      </c>
      <c r="E217" s="10">
        <f>33.9718 * CHOOSE(CONTROL!$C$9, $D$9, 100%, $F$9) + CHOOSE(CONTROL!$C$27, 0.0021, 0)</f>
        <v>33.9739</v>
      </c>
      <c r="F217" s="10">
        <f>33.9718 * CHOOSE(CONTROL!$C$9, $D$9, 100%, $F$9) + CHOOSE(CONTROL!$C$27, 0.0021, 0)</f>
        <v>33.9739</v>
      </c>
      <c r="G217" s="10">
        <f>34.2431 * CHOOSE(CONTROL!$C$9, $D$9, 100%, $F$9) + CHOOSE(CONTROL!$C$27, 0.0021, 0)</f>
        <v>34.245199999999997</v>
      </c>
      <c r="H217" s="10">
        <f>34.1084 * CHOOSE(CONTROL!$C$9, $D$9, 100%, $F$9) + CHOOSE(CONTROL!$C$27, 0.0021, 0)</f>
        <v>34.110500000000002</v>
      </c>
      <c r="I217" s="10">
        <f>34.1084 * CHOOSE(CONTROL!$C$9, $D$9, 100%, $F$9) + CHOOSE(CONTROL!$C$27, 0.0021, 0)</f>
        <v>34.110500000000002</v>
      </c>
      <c r="J217" s="10">
        <f>34.1084 * CHOOSE(CONTROL!$C$9, $D$9, 100%, $F$9) + CHOOSE(CONTROL!$C$27, 0.0021, 0)</f>
        <v>34.110500000000002</v>
      </c>
      <c r="K217" s="10">
        <f>34.1084 * CHOOSE(CONTROL!$C$9, $D$9, 100%, $F$9) + CHOOSE(CONTROL!$C$27, 0.0021, 0)</f>
        <v>34.110500000000002</v>
      </c>
      <c r="L217" s="10"/>
    </row>
    <row r="218" spans="1:12" ht="15" x14ac:dyDescent="0.2">
      <c r="A218" s="16">
        <v>47543</v>
      </c>
      <c r="B218" s="10">
        <f>34.1532 * CHOOSE(CONTROL!$C$9, $D$9, 100%, $F$9) + CHOOSE(CONTROL!$C$27, 0.0021, 0)</f>
        <v>34.155299999999997</v>
      </c>
      <c r="C218" s="10">
        <f>33.7209 * CHOOSE(CONTROL!$C$9, $D$9, 100%, $F$9) + CHOOSE(CONTROL!$C$27, 0.0021, 0)</f>
        <v>33.722999999999999</v>
      </c>
      <c r="D218" s="10">
        <f>33.7209 * CHOOSE(CONTROL!$C$9, $D$9, 100%, $F$9) + CHOOSE(CONTROL!$C$27, 0.0021, 0)</f>
        <v>33.722999999999999</v>
      </c>
      <c r="E218" s="10">
        <f>33.5843 * CHOOSE(CONTROL!$C$9, $D$9, 100%, $F$9) + CHOOSE(CONTROL!$C$27, 0.0021, 0)</f>
        <v>33.586399999999998</v>
      </c>
      <c r="F218" s="10">
        <f>33.5843 * CHOOSE(CONTROL!$C$9, $D$9, 100%, $F$9) + CHOOSE(CONTROL!$C$27, 0.0021, 0)</f>
        <v>33.586399999999998</v>
      </c>
      <c r="G218" s="10">
        <f>33.8556 * CHOOSE(CONTROL!$C$9, $D$9, 100%, $F$9) + CHOOSE(CONTROL!$C$27, 0.0021, 0)</f>
        <v>33.857700000000001</v>
      </c>
      <c r="H218" s="10">
        <f>33.7209 * CHOOSE(CONTROL!$C$9, $D$9, 100%, $F$9) + CHOOSE(CONTROL!$C$27, 0.0021, 0)</f>
        <v>33.722999999999999</v>
      </c>
      <c r="I218" s="10">
        <f>33.7209 * CHOOSE(CONTROL!$C$9, $D$9, 100%, $F$9) + CHOOSE(CONTROL!$C$27, 0.0021, 0)</f>
        <v>33.722999999999999</v>
      </c>
      <c r="J218" s="10">
        <f>33.7209 * CHOOSE(CONTROL!$C$9, $D$9, 100%, $F$9) + CHOOSE(CONTROL!$C$27, 0.0021, 0)</f>
        <v>33.722999999999999</v>
      </c>
      <c r="K218" s="10">
        <f>33.7209 * CHOOSE(CONTROL!$C$9, $D$9, 100%, $F$9) + CHOOSE(CONTROL!$C$27, 0.0021, 0)</f>
        <v>33.722999999999999</v>
      </c>
      <c r="L218" s="10"/>
    </row>
    <row r="219" spans="1:12" ht="15" x14ac:dyDescent="0.2">
      <c r="A219" s="16">
        <v>47574</v>
      </c>
      <c r="B219" s="10">
        <f>33.6905 * CHOOSE(CONTROL!$C$9, $D$9, 100%, $F$9) + CHOOSE(CONTROL!$C$27, 0.0021, 0)</f>
        <v>33.692599999999999</v>
      </c>
      <c r="C219" s="10">
        <f>33.2582 * CHOOSE(CONTROL!$C$9, $D$9, 100%, $F$9) + CHOOSE(CONTROL!$C$27, 0.0021, 0)</f>
        <v>33.260300000000001</v>
      </c>
      <c r="D219" s="10">
        <f>33.2582 * CHOOSE(CONTROL!$C$9, $D$9, 100%, $F$9) + CHOOSE(CONTROL!$C$27, 0.0021, 0)</f>
        <v>33.260300000000001</v>
      </c>
      <c r="E219" s="10">
        <f>33.1216 * CHOOSE(CONTROL!$C$9, $D$9, 100%, $F$9) + CHOOSE(CONTROL!$C$27, 0.0021, 0)</f>
        <v>33.123699999999999</v>
      </c>
      <c r="F219" s="10">
        <f>33.1216 * CHOOSE(CONTROL!$C$9, $D$9, 100%, $F$9) + CHOOSE(CONTROL!$C$27, 0.0021, 0)</f>
        <v>33.123699999999999</v>
      </c>
      <c r="G219" s="10">
        <f>33.393 * CHOOSE(CONTROL!$C$9, $D$9, 100%, $F$9) + CHOOSE(CONTROL!$C$27, 0.0021, 0)</f>
        <v>33.395099999999999</v>
      </c>
      <c r="H219" s="10">
        <f>33.2582 * CHOOSE(CONTROL!$C$9, $D$9, 100%, $F$9) + CHOOSE(CONTROL!$C$27, 0.0021, 0)</f>
        <v>33.260300000000001</v>
      </c>
      <c r="I219" s="10">
        <f>33.2582 * CHOOSE(CONTROL!$C$9, $D$9, 100%, $F$9) + CHOOSE(CONTROL!$C$27, 0.0021, 0)</f>
        <v>33.260300000000001</v>
      </c>
      <c r="J219" s="10">
        <f>33.2582 * CHOOSE(CONTROL!$C$9, $D$9, 100%, $F$9) + CHOOSE(CONTROL!$C$27, 0.0021, 0)</f>
        <v>33.260300000000001</v>
      </c>
      <c r="K219" s="10">
        <f>33.2582 * CHOOSE(CONTROL!$C$9, $D$9, 100%, $F$9) + CHOOSE(CONTROL!$C$27, 0.0021, 0)</f>
        <v>33.260300000000001</v>
      </c>
      <c r="L219" s="10"/>
    </row>
    <row r="220" spans="1:12" ht="15" x14ac:dyDescent="0.2">
      <c r="A220" s="16">
        <v>47604</v>
      </c>
      <c r="B220" s="10">
        <f>34.3499 * CHOOSE(CONTROL!$C$9, $D$9, 100%, $F$9) + CHOOSE(CONTROL!$C$27, 0.0021, 0)</f>
        <v>34.351999999999997</v>
      </c>
      <c r="C220" s="10">
        <f>33.9176 * CHOOSE(CONTROL!$C$9, $D$9, 100%, $F$9) + CHOOSE(CONTROL!$C$27, 0.0021, 0)</f>
        <v>33.919699999999999</v>
      </c>
      <c r="D220" s="10">
        <f>33.9176 * CHOOSE(CONTROL!$C$9, $D$9, 100%, $F$9) + CHOOSE(CONTROL!$C$27, 0.0021, 0)</f>
        <v>33.919699999999999</v>
      </c>
      <c r="E220" s="10">
        <f>33.781 * CHOOSE(CONTROL!$C$9, $D$9, 100%, $F$9) + CHOOSE(CONTROL!$C$27, 0.0021, 0)</f>
        <v>33.783099999999997</v>
      </c>
      <c r="F220" s="10">
        <f>33.781 * CHOOSE(CONTROL!$C$9, $D$9, 100%, $F$9) + CHOOSE(CONTROL!$C$27, 0.0021, 0)</f>
        <v>33.783099999999997</v>
      </c>
      <c r="G220" s="10">
        <f>34.0523 * CHOOSE(CONTROL!$C$9, $D$9, 100%, $F$9) + CHOOSE(CONTROL!$C$27, 0.0021, 0)</f>
        <v>34.054400000000001</v>
      </c>
      <c r="H220" s="10">
        <f>33.9176 * CHOOSE(CONTROL!$C$9, $D$9, 100%, $F$9) + CHOOSE(CONTROL!$C$27, 0.0021, 0)</f>
        <v>33.919699999999999</v>
      </c>
      <c r="I220" s="10">
        <f>33.9176 * CHOOSE(CONTROL!$C$9, $D$9, 100%, $F$9) + CHOOSE(CONTROL!$C$27, 0.0021, 0)</f>
        <v>33.919699999999999</v>
      </c>
      <c r="J220" s="10">
        <f>33.9176 * CHOOSE(CONTROL!$C$9, $D$9, 100%, $F$9) + CHOOSE(CONTROL!$C$27, 0.0021, 0)</f>
        <v>33.919699999999999</v>
      </c>
      <c r="K220" s="10">
        <f>33.9176 * CHOOSE(CONTROL!$C$9, $D$9, 100%, $F$9) + CHOOSE(CONTROL!$C$27, 0.0021, 0)</f>
        <v>33.919699999999999</v>
      </c>
      <c r="L220" s="10"/>
    </row>
    <row r="221" spans="1:12" ht="15" x14ac:dyDescent="0.2">
      <c r="A221" s="16">
        <v>47635</v>
      </c>
      <c r="B221" s="10">
        <f>34.7448 * CHOOSE(CONTROL!$C$9, $D$9, 100%, $F$9) + CHOOSE(CONTROL!$C$27, 0.0021, 0)</f>
        <v>34.746899999999997</v>
      </c>
      <c r="C221" s="10">
        <f>34.3126 * CHOOSE(CONTROL!$C$9, $D$9, 100%, $F$9) + CHOOSE(CONTROL!$C$27, 0.0021, 0)</f>
        <v>34.314700000000002</v>
      </c>
      <c r="D221" s="10">
        <f>34.3126 * CHOOSE(CONTROL!$C$9, $D$9, 100%, $F$9) + CHOOSE(CONTROL!$C$27, 0.0021, 0)</f>
        <v>34.314700000000002</v>
      </c>
      <c r="E221" s="10">
        <f>34.1759 * CHOOSE(CONTROL!$C$9, $D$9, 100%, $F$9) + CHOOSE(CONTROL!$C$27, 0.0021, 0)</f>
        <v>34.177999999999997</v>
      </c>
      <c r="F221" s="10">
        <f>34.1759 * CHOOSE(CONTROL!$C$9, $D$9, 100%, $F$9) + CHOOSE(CONTROL!$C$27, 0.0021, 0)</f>
        <v>34.177999999999997</v>
      </c>
      <c r="G221" s="10">
        <f>34.4473 * CHOOSE(CONTROL!$C$9, $D$9, 100%, $F$9) + CHOOSE(CONTROL!$C$27, 0.0021, 0)</f>
        <v>34.449399999999997</v>
      </c>
      <c r="H221" s="10">
        <f>34.3126 * CHOOSE(CONTROL!$C$9, $D$9, 100%, $F$9) + CHOOSE(CONTROL!$C$27, 0.0021, 0)</f>
        <v>34.314700000000002</v>
      </c>
      <c r="I221" s="10">
        <f>34.3126 * CHOOSE(CONTROL!$C$9, $D$9, 100%, $F$9) + CHOOSE(CONTROL!$C$27, 0.0021, 0)</f>
        <v>34.314700000000002</v>
      </c>
      <c r="J221" s="10">
        <f>34.3126 * CHOOSE(CONTROL!$C$9, $D$9, 100%, $F$9) + CHOOSE(CONTROL!$C$27, 0.0021, 0)</f>
        <v>34.314700000000002</v>
      </c>
      <c r="K221" s="10">
        <f>34.3126 * CHOOSE(CONTROL!$C$9, $D$9, 100%, $F$9) + CHOOSE(CONTROL!$C$27, 0.0021, 0)</f>
        <v>34.314700000000002</v>
      </c>
      <c r="L221" s="10"/>
    </row>
    <row r="222" spans="1:12" ht="15" x14ac:dyDescent="0.2">
      <c r="A222" s="16">
        <v>47665</v>
      </c>
      <c r="B222" s="10">
        <f>35.3963 * CHOOSE(CONTROL!$C$9, $D$9, 100%, $F$9) + CHOOSE(CONTROL!$C$27, 0.0021, 0)</f>
        <v>35.398399999999995</v>
      </c>
      <c r="C222" s="10">
        <f>34.9641 * CHOOSE(CONTROL!$C$9, $D$9, 100%, $F$9) + CHOOSE(CONTROL!$C$27, 0.0021, 0)</f>
        <v>34.966200000000001</v>
      </c>
      <c r="D222" s="10">
        <f>34.9641 * CHOOSE(CONTROL!$C$9, $D$9, 100%, $F$9) + CHOOSE(CONTROL!$C$27, 0.0021, 0)</f>
        <v>34.966200000000001</v>
      </c>
      <c r="E222" s="10">
        <f>34.8274 * CHOOSE(CONTROL!$C$9, $D$9, 100%, $F$9) + CHOOSE(CONTROL!$C$27, 0.0021, 0)</f>
        <v>34.829499999999996</v>
      </c>
      <c r="F222" s="10">
        <f>34.8274 * CHOOSE(CONTROL!$C$9, $D$9, 100%, $F$9) + CHOOSE(CONTROL!$C$27, 0.0021, 0)</f>
        <v>34.829499999999996</v>
      </c>
      <c r="G222" s="10">
        <f>35.0988 * CHOOSE(CONTROL!$C$9, $D$9, 100%, $F$9) + CHOOSE(CONTROL!$C$27, 0.0021, 0)</f>
        <v>35.100899999999996</v>
      </c>
      <c r="H222" s="10">
        <f>34.9641 * CHOOSE(CONTROL!$C$9, $D$9, 100%, $F$9) + CHOOSE(CONTROL!$C$27, 0.0021, 0)</f>
        <v>34.966200000000001</v>
      </c>
      <c r="I222" s="10">
        <f>34.9641 * CHOOSE(CONTROL!$C$9, $D$9, 100%, $F$9) + CHOOSE(CONTROL!$C$27, 0.0021, 0)</f>
        <v>34.966200000000001</v>
      </c>
      <c r="J222" s="10">
        <f>34.9641 * CHOOSE(CONTROL!$C$9, $D$9, 100%, $F$9) + CHOOSE(CONTROL!$C$27, 0.0021, 0)</f>
        <v>34.966200000000001</v>
      </c>
      <c r="K222" s="10">
        <f>34.9641 * CHOOSE(CONTROL!$C$9, $D$9, 100%, $F$9) + CHOOSE(CONTROL!$C$27, 0.0021, 0)</f>
        <v>34.966200000000001</v>
      </c>
      <c r="L222" s="10"/>
    </row>
    <row r="223" spans="1:12" ht="15" x14ac:dyDescent="0.2">
      <c r="A223" s="16">
        <v>47696</v>
      </c>
      <c r="B223" s="10">
        <f>35.5952 * CHOOSE(CONTROL!$C$9, $D$9, 100%, $F$9) + CHOOSE(CONTROL!$C$27, 0.0021, 0)</f>
        <v>35.597299999999997</v>
      </c>
      <c r="C223" s="10">
        <f>35.1629 * CHOOSE(CONTROL!$C$9, $D$9, 100%, $F$9) + CHOOSE(CONTROL!$C$27, 0.0021, 0)</f>
        <v>35.164999999999999</v>
      </c>
      <c r="D223" s="10">
        <f>35.1629 * CHOOSE(CONTROL!$C$9, $D$9, 100%, $F$9) + CHOOSE(CONTROL!$C$27, 0.0021, 0)</f>
        <v>35.164999999999999</v>
      </c>
      <c r="E223" s="10">
        <f>35.0263 * CHOOSE(CONTROL!$C$9, $D$9, 100%, $F$9) + CHOOSE(CONTROL!$C$27, 0.0021, 0)</f>
        <v>35.028399999999998</v>
      </c>
      <c r="F223" s="10">
        <f>35.0263 * CHOOSE(CONTROL!$C$9, $D$9, 100%, $F$9) + CHOOSE(CONTROL!$C$27, 0.0021, 0)</f>
        <v>35.028399999999998</v>
      </c>
      <c r="G223" s="10">
        <f>35.2976 * CHOOSE(CONTROL!$C$9, $D$9, 100%, $F$9) + CHOOSE(CONTROL!$C$27, 0.0021, 0)</f>
        <v>35.299700000000001</v>
      </c>
      <c r="H223" s="10">
        <f>35.1629 * CHOOSE(CONTROL!$C$9, $D$9, 100%, $F$9) + CHOOSE(CONTROL!$C$27, 0.0021, 0)</f>
        <v>35.164999999999999</v>
      </c>
      <c r="I223" s="10">
        <f>35.1629 * CHOOSE(CONTROL!$C$9, $D$9, 100%, $F$9) + CHOOSE(CONTROL!$C$27, 0.0021, 0)</f>
        <v>35.164999999999999</v>
      </c>
      <c r="J223" s="10">
        <f>35.1629 * CHOOSE(CONTROL!$C$9, $D$9, 100%, $F$9) + CHOOSE(CONTROL!$C$27, 0.0021, 0)</f>
        <v>35.164999999999999</v>
      </c>
      <c r="K223" s="10">
        <f>35.1629 * CHOOSE(CONTROL!$C$9, $D$9, 100%, $F$9) + CHOOSE(CONTROL!$C$27, 0.0021, 0)</f>
        <v>35.164999999999999</v>
      </c>
      <c r="L223" s="10"/>
    </row>
    <row r="224" spans="1:12" ht="15" x14ac:dyDescent="0.2">
      <c r="A224" s="16">
        <v>47727</v>
      </c>
      <c r="B224" s="10">
        <f>36.2724 * CHOOSE(CONTROL!$C$9, $D$9, 100%, $F$9) + CHOOSE(CONTROL!$C$27, 0.0021, 0)</f>
        <v>36.274499999999996</v>
      </c>
      <c r="C224" s="10">
        <f>35.8401 * CHOOSE(CONTROL!$C$9, $D$9, 100%, $F$9) + CHOOSE(CONTROL!$C$27, 0.0021, 0)</f>
        <v>35.842199999999998</v>
      </c>
      <c r="D224" s="10">
        <f>35.8401 * CHOOSE(CONTROL!$C$9, $D$9, 100%, $F$9) + CHOOSE(CONTROL!$C$27, 0.0021, 0)</f>
        <v>35.842199999999998</v>
      </c>
      <c r="E224" s="10">
        <f>35.7035 * CHOOSE(CONTROL!$C$9, $D$9, 100%, $F$9) + CHOOSE(CONTROL!$C$27, 0.0021, 0)</f>
        <v>35.705599999999997</v>
      </c>
      <c r="F224" s="10">
        <f>35.7035 * CHOOSE(CONTROL!$C$9, $D$9, 100%, $F$9) + CHOOSE(CONTROL!$C$27, 0.0021, 0)</f>
        <v>35.705599999999997</v>
      </c>
      <c r="G224" s="10">
        <f>35.9749 * CHOOSE(CONTROL!$C$9, $D$9, 100%, $F$9) + CHOOSE(CONTROL!$C$27, 0.0021, 0)</f>
        <v>35.976999999999997</v>
      </c>
      <c r="H224" s="10">
        <f>35.8401 * CHOOSE(CONTROL!$C$9, $D$9, 100%, $F$9) + CHOOSE(CONTROL!$C$27, 0.0021, 0)</f>
        <v>35.842199999999998</v>
      </c>
      <c r="I224" s="10">
        <f>35.8401 * CHOOSE(CONTROL!$C$9, $D$9, 100%, $F$9) + CHOOSE(CONTROL!$C$27, 0.0021, 0)</f>
        <v>35.842199999999998</v>
      </c>
      <c r="J224" s="10">
        <f>35.8401 * CHOOSE(CONTROL!$C$9, $D$9, 100%, $F$9) + CHOOSE(CONTROL!$C$27, 0.0021, 0)</f>
        <v>35.842199999999998</v>
      </c>
      <c r="K224" s="10">
        <f>35.8401 * CHOOSE(CONTROL!$C$9, $D$9, 100%, $F$9) + CHOOSE(CONTROL!$C$27, 0.0021, 0)</f>
        <v>35.842199999999998</v>
      </c>
      <c r="L224" s="10"/>
    </row>
    <row r="225" spans="1:12" ht="15" x14ac:dyDescent="0.2">
      <c r="A225" s="16">
        <v>47757</v>
      </c>
      <c r="B225" s="10">
        <f>37.1296 * CHOOSE(CONTROL!$C$9, $D$9, 100%, $F$9) + CHOOSE(CONTROL!$C$27, 0.0021, 0)</f>
        <v>37.131700000000002</v>
      </c>
      <c r="C225" s="10">
        <f>36.6974 * CHOOSE(CONTROL!$C$9, $D$9, 100%, $F$9) + CHOOSE(CONTROL!$C$27, 0.0021, 0)</f>
        <v>36.6995</v>
      </c>
      <c r="D225" s="10">
        <f>36.6974 * CHOOSE(CONTROL!$C$9, $D$9, 100%, $F$9) + CHOOSE(CONTROL!$C$27, 0.0021, 0)</f>
        <v>36.6995</v>
      </c>
      <c r="E225" s="10">
        <f>36.5607 * CHOOSE(CONTROL!$C$9, $D$9, 100%, $F$9) + CHOOSE(CONTROL!$C$27, 0.0021, 0)</f>
        <v>36.562799999999996</v>
      </c>
      <c r="F225" s="10">
        <f>36.5607 * CHOOSE(CONTROL!$C$9, $D$9, 100%, $F$9) + CHOOSE(CONTROL!$C$27, 0.0021, 0)</f>
        <v>36.562799999999996</v>
      </c>
      <c r="G225" s="10">
        <f>36.8321 * CHOOSE(CONTROL!$C$9, $D$9, 100%, $F$9) + CHOOSE(CONTROL!$C$27, 0.0021, 0)</f>
        <v>36.834199999999996</v>
      </c>
      <c r="H225" s="10">
        <f>36.6974 * CHOOSE(CONTROL!$C$9, $D$9, 100%, $F$9) + CHOOSE(CONTROL!$C$27, 0.0021, 0)</f>
        <v>36.6995</v>
      </c>
      <c r="I225" s="10">
        <f>36.6974 * CHOOSE(CONTROL!$C$9, $D$9, 100%, $F$9) + CHOOSE(CONTROL!$C$27, 0.0021, 0)</f>
        <v>36.6995</v>
      </c>
      <c r="J225" s="10">
        <f>36.6974 * CHOOSE(CONTROL!$C$9, $D$9, 100%, $F$9) + CHOOSE(CONTROL!$C$27, 0.0021, 0)</f>
        <v>36.6995</v>
      </c>
      <c r="K225" s="10">
        <f>36.6974 * CHOOSE(CONTROL!$C$9, $D$9, 100%, $F$9) + CHOOSE(CONTROL!$C$27, 0.0021, 0)</f>
        <v>36.6995</v>
      </c>
      <c r="L225" s="10"/>
    </row>
    <row r="226" spans="1:12" ht="15" x14ac:dyDescent="0.2">
      <c r="A226" s="16">
        <v>47788</v>
      </c>
      <c r="B226" s="10">
        <f>37.2101 * CHOOSE(CONTROL!$C$9, $D$9, 100%, $F$9) + CHOOSE(CONTROL!$C$27, 0.0021, 0)</f>
        <v>37.212199999999996</v>
      </c>
      <c r="C226" s="10">
        <f>36.7778 * CHOOSE(CONTROL!$C$9, $D$9, 100%, $F$9) + CHOOSE(CONTROL!$C$27, 0.0021, 0)</f>
        <v>36.779899999999998</v>
      </c>
      <c r="D226" s="10">
        <f>36.7778 * CHOOSE(CONTROL!$C$9, $D$9, 100%, $F$9) + CHOOSE(CONTROL!$C$27, 0.0021, 0)</f>
        <v>36.779899999999998</v>
      </c>
      <c r="E226" s="10">
        <f>36.6412 * CHOOSE(CONTROL!$C$9, $D$9, 100%, $F$9) + CHOOSE(CONTROL!$C$27, 0.0021, 0)</f>
        <v>36.643299999999996</v>
      </c>
      <c r="F226" s="10">
        <f>36.6412 * CHOOSE(CONTROL!$C$9, $D$9, 100%, $F$9) + CHOOSE(CONTROL!$C$27, 0.0021, 0)</f>
        <v>36.643299999999996</v>
      </c>
      <c r="G226" s="10">
        <f>36.9126 * CHOOSE(CONTROL!$C$9, $D$9, 100%, $F$9) + CHOOSE(CONTROL!$C$27, 0.0021, 0)</f>
        <v>36.914699999999996</v>
      </c>
      <c r="H226" s="10">
        <f>36.7778 * CHOOSE(CONTROL!$C$9, $D$9, 100%, $F$9) + CHOOSE(CONTROL!$C$27, 0.0021, 0)</f>
        <v>36.779899999999998</v>
      </c>
      <c r="I226" s="10">
        <f>36.7778 * CHOOSE(CONTROL!$C$9, $D$9, 100%, $F$9) + CHOOSE(CONTROL!$C$27, 0.0021, 0)</f>
        <v>36.779899999999998</v>
      </c>
      <c r="J226" s="10">
        <f>36.7778 * CHOOSE(CONTROL!$C$9, $D$9, 100%, $F$9) + CHOOSE(CONTROL!$C$27, 0.0021, 0)</f>
        <v>36.779899999999998</v>
      </c>
      <c r="K226" s="10">
        <f>36.7778 * CHOOSE(CONTROL!$C$9, $D$9, 100%, $F$9) + CHOOSE(CONTROL!$C$27, 0.0021, 0)</f>
        <v>36.779899999999998</v>
      </c>
      <c r="L226" s="10"/>
    </row>
    <row r="227" spans="1:12" ht="15" x14ac:dyDescent="0.2">
      <c r="A227" s="16">
        <v>47818</v>
      </c>
      <c r="B227" s="10">
        <f>36.5254 * CHOOSE(CONTROL!$C$9, $D$9, 100%, $F$9) + CHOOSE(CONTROL!$C$27, 0.0021, 0)</f>
        <v>36.527499999999996</v>
      </c>
      <c r="C227" s="10">
        <f>36.0932 * CHOOSE(CONTROL!$C$9, $D$9, 100%, $F$9) + CHOOSE(CONTROL!$C$27, 0.0021, 0)</f>
        <v>36.095300000000002</v>
      </c>
      <c r="D227" s="10">
        <f>36.0932 * CHOOSE(CONTROL!$C$9, $D$9, 100%, $F$9) + CHOOSE(CONTROL!$C$27, 0.0021, 0)</f>
        <v>36.095300000000002</v>
      </c>
      <c r="E227" s="10">
        <f>35.9565 * CHOOSE(CONTROL!$C$9, $D$9, 100%, $F$9) + CHOOSE(CONTROL!$C$27, 0.0021, 0)</f>
        <v>35.958599999999997</v>
      </c>
      <c r="F227" s="10">
        <f>35.9565 * CHOOSE(CONTROL!$C$9, $D$9, 100%, $F$9) + CHOOSE(CONTROL!$C$27, 0.0021, 0)</f>
        <v>35.958599999999997</v>
      </c>
      <c r="G227" s="10">
        <f>36.2279 * CHOOSE(CONTROL!$C$9, $D$9, 100%, $F$9) + CHOOSE(CONTROL!$C$27, 0.0021, 0)</f>
        <v>36.229999999999997</v>
      </c>
      <c r="H227" s="10">
        <f>36.0932 * CHOOSE(CONTROL!$C$9, $D$9, 100%, $F$9) + CHOOSE(CONTROL!$C$27, 0.0021, 0)</f>
        <v>36.095300000000002</v>
      </c>
      <c r="I227" s="10">
        <f>36.0932 * CHOOSE(CONTROL!$C$9, $D$9, 100%, $F$9) + CHOOSE(CONTROL!$C$27, 0.0021, 0)</f>
        <v>36.095300000000002</v>
      </c>
      <c r="J227" s="10">
        <f>36.0932 * CHOOSE(CONTROL!$C$9, $D$9, 100%, $F$9) + CHOOSE(CONTROL!$C$27, 0.0021, 0)</f>
        <v>36.095300000000002</v>
      </c>
      <c r="K227" s="10">
        <f>36.0932 * CHOOSE(CONTROL!$C$9, $D$9, 100%, $F$9) + CHOOSE(CONTROL!$C$27, 0.0021, 0)</f>
        <v>36.095300000000002</v>
      </c>
      <c r="L227" s="10"/>
    </row>
    <row r="228" spans="1:12" ht="15" x14ac:dyDescent="0.2">
      <c r="A228" s="16">
        <v>47849</v>
      </c>
      <c r="B228" s="10">
        <f>36.0769 * CHOOSE(CONTROL!$C$9, $D$9, 100%, $F$9) + CHOOSE(CONTROL!$C$27, 0.0021, 0)</f>
        <v>36.079000000000001</v>
      </c>
      <c r="C228" s="10">
        <f>35.6447 * CHOOSE(CONTROL!$C$9, $D$9, 100%, $F$9) + CHOOSE(CONTROL!$C$27, 0.0021, 0)</f>
        <v>35.646799999999999</v>
      </c>
      <c r="D228" s="10">
        <f>35.6447 * CHOOSE(CONTROL!$C$9, $D$9, 100%, $F$9) + CHOOSE(CONTROL!$C$27, 0.0021, 0)</f>
        <v>35.646799999999999</v>
      </c>
      <c r="E228" s="10">
        <f>35.508 * CHOOSE(CONTROL!$C$9, $D$9, 100%, $F$9) + CHOOSE(CONTROL!$C$27, 0.0021, 0)</f>
        <v>35.510100000000001</v>
      </c>
      <c r="F228" s="10">
        <f>35.508 * CHOOSE(CONTROL!$C$9, $D$9, 100%, $F$9) + CHOOSE(CONTROL!$C$27, 0.0021, 0)</f>
        <v>35.510100000000001</v>
      </c>
      <c r="G228" s="10">
        <f>35.7794 * CHOOSE(CONTROL!$C$9, $D$9, 100%, $F$9) + CHOOSE(CONTROL!$C$27, 0.0021, 0)</f>
        <v>35.781500000000001</v>
      </c>
      <c r="H228" s="10">
        <f>35.6447 * CHOOSE(CONTROL!$C$9, $D$9, 100%, $F$9) + CHOOSE(CONTROL!$C$27, 0.0021, 0)</f>
        <v>35.646799999999999</v>
      </c>
      <c r="I228" s="10">
        <f>35.6447 * CHOOSE(CONTROL!$C$9, $D$9, 100%, $F$9) + CHOOSE(CONTROL!$C$27, 0.0021, 0)</f>
        <v>35.646799999999999</v>
      </c>
      <c r="J228" s="10">
        <f>35.6447 * CHOOSE(CONTROL!$C$9, $D$9, 100%, $F$9) + CHOOSE(CONTROL!$C$27, 0.0021, 0)</f>
        <v>35.646799999999999</v>
      </c>
      <c r="K228" s="10">
        <f>35.6447 * CHOOSE(CONTROL!$C$9, $D$9, 100%, $F$9) + CHOOSE(CONTROL!$C$27, 0.0021, 0)</f>
        <v>35.646799999999999</v>
      </c>
      <c r="L228" s="10"/>
    </row>
    <row r="229" spans="1:12" ht="15" x14ac:dyDescent="0.2">
      <c r="A229" s="16">
        <v>47880</v>
      </c>
      <c r="B229" s="10">
        <f>35.1213 * CHOOSE(CONTROL!$C$9, $D$9, 100%, $F$9) + CHOOSE(CONTROL!$C$27, 0.0021, 0)</f>
        <v>35.123399999999997</v>
      </c>
      <c r="C229" s="10">
        <f>34.689 * CHOOSE(CONTROL!$C$9, $D$9, 100%, $F$9) + CHOOSE(CONTROL!$C$27, 0.0021, 0)</f>
        <v>34.691099999999999</v>
      </c>
      <c r="D229" s="10">
        <f>34.689 * CHOOSE(CONTROL!$C$9, $D$9, 100%, $F$9) + CHOOSE(CONTROL!$C$27, 0.0021, 0)</f>
        <v>34.691099999999999</v>
      </c>
      <c r="E229" s="10">
        <f>34.5524 * CHOOSE(CONTROL!$C$9, $D$9, 100%, $F$9) + CHOOSE(CONTROL!$C$27, 0.0021, 0)</f>
        <v>34.554499999999997</v>
      </c>
      <c r="F229" s="10">
        <f>34.5524 * CHOOSE(CONTROL!$C$9, $D$9, 100%, $F$9) + CHOOSE(CONTROL!$C$27, 0.0021, 0)</f>
        <v>34.554499999999997</v>
      </c>
      <c r="G229" s="10">
        <f>34.8238 * CHOOSE(CONTROL!$C$9, $D$9, 100%, $F$9) + CHOOSE(CONTROL!$C$27, 0.0021, 0)</f>
        <v>34.825899999999997</v>
      </c>
      <c r="H229" s="10">
        <f>34.689 * CHOOSE(CONTROL!$C$9, $D$9, 100%, $F$9) + CHOOSE(CONTROL!$C$27, 0.0021, 0)</f>
        <v>34.691099999999999</v>
      </c>
      <c r="I229" s="10">
        <f>34.689 * CHOOSE(CONTROL!$C$9, $D$9, 100%, $F$9) + CHOOSE(CONTROL!$C$27, 0.0021, 0)</f>
        <v>34.691099999999999</v>
      </c>
      <c r="J229" s="10">
        <f>34.689 * CHOOSE(CONTROL!$C$9, $D$9, 100%, $F$9) + CHOOSE(CONTROL!$C$27, 0.0021, 0)</f>
        <v>34.691099999999999</v>
      </c>
      <c r="K229" s="10">
        <f>34.689 * CHOOSE(CONTROL!$C$9, $D$9, 100%, $F$9) + CHOOSE(CONTROL!$C$27, 0.0021, 0)</f>
        <v>34.691099999999999</v>
      </c>
      <c r="L229" s="10"/>
    </row>
    <row r="230" spans="1:12" ht="15" x14ac:dyDescent="0.2">
      <c r="A230" s="16">
        <v>47908</v>
      </c>
      <c r="B230" s="10">
        <f>34.7268 * CHOOSE(CONTROL!$C$9, $D$9, 100%, $F$9) + CHOOSE(CONTROL!$C$27, 0.0021, 0)</f>
        <v>34.728899999999996</v>
      </c>
      <c r="C230" s="10">
        <f>34.2946 * CHOOSE(CONTROL!$C$9, $D$9, 100%, $F$9) + CHOOSE(CONTROL!$C$27, 0.0021, 0)</f>
        <v>34.296700000000001</v>
      </c>
      <c r="D230" s="10">
        <f>34.2946 * CHOOSE(CONTROL!$C$9, $D$9, 100%, $F$9) + CHOOSE(CONTROL!$C$27, 0.0021, 0)</f>
        <v>34.296700000000001</v>
      </c>
      <c r="E230" s="10">
        <f>34.1579 * CHOOSE(CONTROL!$C$9, $D$9, 100%, $F$9) + CHOOSE(CONTROL!$C$27, 0.0021, 0)</f>
        <v>34.159999999999997</v>
      </c>
      <c r="F230" s="10">
        <f>34.1579 * CHOOSE(CONTROL!$C$9, $D$9, 100%, $F$9) + CHOOSE(CONTROL!$C$27, 0.0021, 0)</f>
        <v>34.159999999999997</v>
      </c>
      <c r="G230" s="10">
        <f>34.4293 * CHOOSE(CONTROL!$C$9, $D$9, 100%, $F$9) + CHOOSE(CONTROL!$C$27, 0.0021, 0)</f>
        <v>34.431399999999996</v>
      </c>
      <c r="H230" s="10">
        <f>34.2946 * CHOOSE(CONTROL!$C$9, $D$9, 100%, $F$9) + CHOOSE(CONTROL!$C$27, 0.0021, 0)</f>
        <v>34.296700000000001</v>
      </c>
      <c r="I230" s="10">
        <f>34.2946 * CHOOSE(CONTROL!$C$9, $D$9, 100%, $F$9) + CHOOSE(CONTROL!$C$27, 0.0021, 0)</f>
        <v>34.296700000000001</v>
      </c>
      <c r="J230" s="10">
        <f>34.2946 * CHOOSE(CONTROL!$C$9, $D$9, 100%, $F$9) + CHOOSE(CONTROL!$C$27, 0.0021, 0)</f>
        <v>34.296700000000001</v>
      </c>
      <c r="K230" s="10">
        <f>34.2946 * CHOOSE(CONTROL!$C$9, $D$9, 100%, $F$9) + CHOOSE(CONTROL!$C$27, 0.0021, 0)</f>
        <v>34.296700000000001</v>
      </c>
      <c r="L230" s="10"/>
    </row>
    <row r="231" spans="1:12" ht="15" x14ac:dyDescent="0.2">
      <c r="A231" s="16">
        <v>47939</v>
      </c>
      <c r="B231" s="10">
        <f>34.2558 * CHOOSE(CONTROL!$C$9, $D$9, 100%, $F$9) + CHOOSE(CONTROL!$C$27, 0.0021, 0)</f>
        <v>34.257899999999999</v>
      </c>
      <c r="C231" s="10">
        <f>33.8236 * CHOOSE(CONTROL!$C$9, $D$9, 100%, $F$9) + CHOOSE(CONTROL!$C$27, 0.0021, 0)</f>
        <v>33.825699999999998</v>
      </c>
      <c r="D231" s="10">
        <f>33.8236 * CHOOSE(CONTROL!$C$9, $D$9, 100%, $F$9) + CHOOSE(CONTROL!$C$27, 0.0021, 0)</f>
        <v>33.825699999999998</v>
      </c>
      <c r="E231" s="10">
        <f>33.6869 * CHOOSE(CONTROL!$C$9, $D$9, 100%, $F$9) + CHOOSE(CONTROL!$C$27, 0.0021, 0)</f>
        <v>33.689</v>
      </c>
      <c r="F231" s="10">
        <f>33.6869 * CHOOSE(CONTROL!$C$9, $D$9, 100%, $F$9) + CHOOSE(CONTROL!$C$27, 0.0021, 0)</f>
        <v>33.689</v>
      </c>
      <c r="G231" s="10">
        <f>33.9583 * CHOOSE(CONTROL!$C$9, $D$9, 100%, $F$9) + CHOOSE(CONTROL!$C$27, 0.0021, 0)</f>
        <v>33.9604</v>
      </c>
      <c r="H231" s="10">
        <f>33.8236 * CHOOSE(CONTROL!$C$9, $D$9, 100%, $F$9) + CHOOSE(CONTROL!$C$27, 0.0021, 0)</f>
        <v>33.825699999999998</v>
      </c>
      <c r="I231" s="10">
        <f>33.8236 * CHOOSE(CONTROL!$C$9, $D$9, 100%, $F$9) + CHOOSE(CONTROL!$C$27, 0.0021, 0)</f>
        <v>33.825699999999998</v>
      </c>
      <c r="J231" s="10">
        <f>33.8236 * CHOOSE(CONTROL!$C$9, $D$9, 100%, $F$9) + CHOOSE(CONTROL!$C$27, 0.0021, 0)</f>
        <v>33.825699999999998</v>
      </c>
      <c r="K231" s="10">
        <f>33.8236 * CHOOSE(CONTROL!$C$9, $D$9, 100%, $F$9) + CHOOSE(CONTROL!$C$27, 0.0021, 0)</f>
        <v>33.825699999999998</v>
      </c>
      <c r="L231" s="10"/>
    </row>
    <row r="232" spans="1:12" ht="15" x14ac:dyDescent="0.2">
      <c r="A232" s="16">
        <v>47969</v>
      </c>
      <c r="B232" s="10">
        <f>34.9271 * CHOOSE(CONTROL!$C$9, $D$9, 100%, $F$9) + CHOOSE(CONTROL!$C$27, 0.0021, 0)</f>
        <v>34.929200000000002</v>
      </c>
      <c r="C232" s="10">
        <f>34.4948 * CHOOSE(CONTROL!$C$9, $D$9, 100%, $F$9) + CHOOSE(CONTROL!$C$27, 0.0021, 0)</f>
        <v>34.496899999999997</v>
      </c>
      <c r="D232" s="10">
        <f>34.4948 * CHOOSE(CONTROL!$C$9, $D$9, 100%, $F$9) + CHOOSE(CONTROL!$C$27, 0.0021, 0)</f>
        <v>34.496899999999997</v>
      </c>
      <c r="E232" s="10">
        <f>34.3582 * CHOOSE(CONTROL!$C$9, $D$9, 100%, $F$9) + CHOOSE(CONTROL!$C$27, 0.0021, 0)</f>
        <v>34.360299999999995</v>
      </c>
      <c r="F232" s="10">
        <f>34.3582 * CHOOSE(CONTROL!$C$9, $D$9, 100%, $F$9) + CHOOSE(CONTROL!$C$27, 0.0021, 0)</f>
        <v>34.360299999999995</v>
      </c>
      <c r="G232" s="10">
        <f>34.6295 * CHOOSE(CONTROL!$C$9, $D$9, 100%, $F$9) + CHOOSE(CONTROL!$C$27, 0.0021, 0)</f>
        <v>34.631599999999999</v>
      </c>
      <c r="H232" s="10">
        <f>34.4948 * CHOOSE(CONTROL!$C$9, $D$9, 100%, $F$9) + CHOOSE(CONTROL!$C$27, 0.0021, 0)</f>
        <v>34.496899999999997</v>
      </c>
      <c r="I232" s="10">
        <f>34.4948 * CHOOSE(CONTROL!$C$9, $D$9, 100%, $F$9) + CHOOSE(CONTROL!$C$27, 0.0021, 0)</f>
        <v>34.496899999999997</v>
      </c>
      <c r="J232" s="10">
        <f>34.4948 * CHOOSE(CONTROL!$C$9, $D$9, 100%, $F$9) + CHOOSE(CONTROL!$C$27, 0.0021, 0)</f>
        <v>34.496899999999997</v>
      </c>
      <c r="K232" s="10">
        <f>34.4948 * CHOOSE(CONTROL!$C$9, $D$9, 100%, $F$9) + CHOOSE(CONTROL!$C$27, 0.0021, 0)</f>
        <v>34.496899999999997</v>
      </c>
      <c r="L232" s="10"/>
    </row>
    <row r="233" spans="1:12" ht="15" x14ac:dyDescent="0.2">
      <c r="A233" s="16">
        <v>48000</v>
      </c>
      <c r="B233" s="10">
        <f>35.3291 * CHOOSE(CONTROL!$C$9, $D$9, 100%, $F$9) + CHOOSE(CONTROL!$C$27, 0.0021, 0)</f>
        <v>35.331199999999995</v>
      </c>
      <c r="C233" s="10">
        <f>34.8969 * CHOOSE(CONTROL!$C$9, $D$9, 100%, $F$9) + CHOOSE(CONTROL!$C$27, 0.0021, 0)</f>
        <v>34.899000000000001</v>
      </c>
      <c r="D233" s="10">
        <f>34.8969 * CHOOSE(CONTROL!$C$9, $D$9, 100%, $F$9) + CHOOSE(CONTROL!$C$27, 0.0021, 0)</f>
        <v>34.899000000000001</v>
      </c>
      <c r="E233" s="10">
        <f>34.7602 * CHOOSE(CONTROL!$C$9, $D$9, 100%, $F$9) + CHOOSE(CONTROL!$C$27, 0.0021, 0)</f>
        <v>34.762299999999996</v>
      </c>
      <c r="F233" s="10">
        <f>34.7602 * CHOOSE(CONTROL!$C$9, $D$9, 100%, $F$9) + CHOOSE(CONTROL!$C$27, 0.0021, 0)</f>
        <v>34.762299999999996</v>
      </c>
      <c r="G233" s="10">
        <f>35.0316 * CHOOSE(CONTROL!$C$9, $D$9, 100%, $F$9) + CHOOSE(CONTROL!$C$27, 0.0021, 0)</f>
        <v>35.033699999999996</v>
      </c>
      <c r="H233" s="10">
        <f>34.8969 * CHOOSE(CONTROL!$C$9, $D$9, 100%, $F$9) + CHOOSE(CONTROL!$C$27, 0.0021, 0)</f>
        <v>34.899000000000001</v>
      </c>
      <c r="I233" s="10">
        <f>34.8969 * CHOOSE(CONTROL!$C$9, $D$9, 100%, $F$9) + CHOOSE(CONTROL!$C$27, 0.0021, 0)</f>
        <v>34.899000000000001</v>
      </c>
      <c r="J233" s="10">
        <f>34.8969 * CHOOSE(CONTROL!$C$9, $D$9, 100%, $F$9) + CHOOSE(CONTROL!$C$27, 0.0021, 0)</f>
        <v>34.899000000000001</v>
      </c>
      <c r="K233" s="10">
        <f>34.8969 * CHOOSE(CONTROL!$C$9, $D$9, 100%, $F$9) + CHOOSE(CONTROL!$C$27, 0.0021, 0)</f>
        <v>34.899000000000001</v>
      </c>
      <c r="L233" s="10"/>
    </row>
    <row r="234" spans="1:12" ht="15" x14ac:dyDescent="0.2">
      <c r="A234" s="16">
        <v>48030</v>
      </c>
      <c r="B234" s="10">
        <f>35.9923 * CHOOSE(CONTROL!$C$9, $D$9, 100%, $F$9) + CHOOSE(CONTROL!$C$27, 0.0021, 0)</f>
        <v>35.994399999999999</v>
      </c>
      <c r="C234" s="10">
        <f>35.5601 * CHOOSE(CONTROL!$C$9, $D$9, 100%, $F$9) + CHOOSE(CONTROL!$C$27, 0.0021, 0)</f>
        <v>35.562199999999997</v>
      </c>
      <c r="D234" s="10">
        <f>35.5601 * CHOOSE(CONTROL!$C$9, $D$9, 100%, $F$9) + CHOOSE(CONTROL!$C$27, 0.0021, 0)</f>
        <v>35.562199999999997</v>
      </c>
      <c r="E234" s="10">
        <f>35.4234 * CHOOSE(CONTROL!$C$9, $D$9, 100%, $F$9) + CHOOSE(CONTROL!$C$27, 0.0021, 0)</f>
        <v>35.4255</v>
      </c>
      <c r="F234" s="10">
        <f>35.4234 * CHOOSE(CONTROL!$C$9, $D$9, 100%, $F$9) + CHOOSE(CONTROL!$C$27, 0.0021, 0)</f>
        <v>35.4255</v>
      </c>
      <c r="G234" s="10">
        <f>35.6948 * CHOOSE(CONTROL!$C$9, $D$9, 100%, $F$9) + CHOOSE(CONTROL!$C$27, 0.0021, 0)</f>
        <v>35.696899999999999</v>
      </c>
      <c r="H234" s="10">
        <f>35.5601 * CHOOSE(CONTROL!$C$9, $D$9, 100%, $F$9) + CHOOSE(CONTROL!$C$27, 0.0021, 0)</f>
        <v>35.562199999999997</v>
      </c>
      <c r="I234" s="10">
        <f>35.5601 * CHOOSE(CONTROL!$C$9, $D$9, 100%, $F$9) + CHOOSE(CONTROL!$C$27, 0.0021, 0)</f>
        <v>35.562199999999997</v>
      </c>
      <c r="J234" s="10">
        <f>35.5601 * CHOOSE(CONTROL!$C$9, $D$9, 100%, $F$9) + CHOOSE(CONTROL!$C$27, 0.0021, 0)</f>
        <v>35.562199999999997</v>
      </c>
      <c r="K234" s="10">
        <f>35.5601 * CHOOSE(CONTROL!$C$9, $D$9, 100%, $F$9) + CHOOSE(CONTROL!$C$27, 0.0021, 0)</f>
        <v>35.562199999999997</v>
      </c>
      <c r="L234" s="10"/>
    </row>
    <row r="235" spans="1:12" ht="15" x14ac:dyDescent="0.2">
      <c r="A235" s="16">
        <v>48061</v>
      </c>
      <c r="B235" s="10">
        <f>36.1948 * CHOOSE(CONTROL!$C$9, $D$9, 100%, $F$9) + CHOOSE(CONTROL!$C$27, 0.0021, 0)</f>
        <v>36.196899999999999</v>
      </c>
      <c r="C235" s="10">
        <f>35.7625 * CHOOSE(CONTROL!$C$9, $D$9, 100%, $F$9) + CHOOSE(CONTROL!$C$27, 0.0021, 0)</f>
        <v>35.764600000000002</v>
      </c>
      <c r="D235" s="10">
        <f>35.7625 * CHOOSE(CONTROL!$C$9, $D$9, 100%, $F$9) + CHOOSE(CONTROL!$C$27, 0.0021, 0)</f>
        <v>35.764600000000002</v>
      </c>
      <c r="E235" s="10">
        <f>35.6259 * CHOOSE(CONTROL!$C$9, $D$9, 100%, $F$9) + CHOOSE(CONTROL!$C$27, 0.0021, 0)</f>
        <v>35.628</v>
      </c>
      <c r="F235" s="10">
        <f>35.6259 * CHOOSE(CONTROL!$C$9, $D$9, 100%, $F$9) + CHOOSE(CONTROL!$C$27, 0.0021, 0)</f>
        <v>35.628</v>
      </c>
      <c r="G235" s="10">
        <f>35.8973 * CHOOSE(CONTROL!$C$9, $D$9, 100%, $F$9) + CHOOSE(CONTROL!$C$27, 0.0021, 0)</f>
        <v>35.8994</v>
      </c>
      <c r="H235" s="10">
        <f>35.7625 * CHOOSE(CONTROL!$C$9, $D$9, 100%, $F$9) + CHOOSE(CONTROL!$C$27, 0.0021, 0)</f>
        <v>35.764600000000002</v>
      </c>
      <c r="I235" s="10">
        <f>35.7625 * CHOOSE(CONTROL!$C$9, $D$9, 100%, $F$9) + CHOOSE(CONTROL!$C$27, 0.0021, 0)</f>
        <v>35.764600000000002</v>
      </c>
      <c r="J235" s="10">
        <f>35.7625 * CHOOSE(CONTROL!$C$9, $D$9, 100%, $F$9) + CHOOSE(CONTROL!$C$27, 0.0021, 0)</f>
        <v>35.764600000000002</v>
      </c>
      <c r="K235" s="10">
        <f>35.7625 * CHOOSE(CONTROL!$C$9, $D$9, 100%, $F$9) + CHOOSE(CONTROL!$C$27, 0.0021, 0)</f>
        <v>35.764600000000002</v>
      </c>
      <c r="L235" s="10"/>
    </row>
    <row r="236" spans="1:12" ht="15" x14ac:dyDescent="0.2">
      <c r="A236" s="16">
        <v>48092</v>
      </c>
      <c r="B236" s="10">
        <f>36.8842 * CHOOSE(CONTROL!$C$9, $D$9, 100%, $F$9) + CHOOSE(CONTROL!$C$27, 0.0021, 0)</f>
        <v>36.886299999999999</v>
      </c>
      <c r="C236" s="10">
        <f>36.4519 * CHOOSE(CONTROL!$C$9, $D$9, 100%, $F$9) + CHOOSE(CONTROL!$C$27, 0.0021, 0)</f>
        <v>36.454000000000001</v>
      </c>
      <c r="D236" s="10">
        <f>36.4519 * CHOOSE(CONTROL!$C$9, $D$9, 100%, $F$9) + CHOOSE(CONTROL!$C$27, 0.0021, 0)</f>
        <v>36.454000000000001</v>
      </c>
      <c r="E236" s="10">
        <f>36.3153 * CHOOSE(CONTROL!$C$9, $D$9, 100%, $F$9) + CHOOSE(CONTROL!$C$27, 0.0021, 0)</f>
        <v>36.317399999999999</v>
      </c>
      <c r="F236" s="10">
        <f>36.3153 * CHOOSE(CONTROL!$C$9, $D$9, 100%, $F$9) + CHOOSE(CONTROL!$C$27, 0.0021, 0)</f>
        <v>36.317399999999999</v>
      </c>
      <c r="G236" s="10">
        <f>36.5867 * CHOOSE(CONTROL!$C$9, $D$9, 100%, $F$9) + CHOOSE(CONTROL!$C$27, 0.0021, 0)</f>
        <v>36.588799999999999</v>
      </c>
      <c r="H236" s="10">
        <f>36.4519 * CHOOSE(CONTROL!$C$9, $D$9, 100%, $F$9) + CHOOSE(CONTROL!$C$27, 0.0021, 0)</f>
        <v>36.454000000000001</v>
      </c>
      <c r="I236" s="10">
        <f>36.4519 * CHOOSE(CONTROL!$C$9, $D$9, 100%, $F$9) + CHOOSE(CONTROL!$C$27, 0.0021, 0)</f>
        <v>36.454000000000001</v>
      </c>
      <c r="J236" s="10">
        <f>36.4519 * CHOOSE(CONTROL!$C$9, $D$9, 100%, $F$9) + CHOOSE(CONTROL!$C$27, 0.0021, 0)</f>
        <v>36.454000000000001</v>
      </c>
      <c r="K236" s="10">
        <f>36.4519 * CHOOSE(CONTROL!$C$9, $D$9, 100%, $F$9) + CHOOSE(CONTROL!$C$27, 0.0021, 0)</f>
        <v>36.454000000000001</v>
      </c>
      <c r="L236" s="10"/>
    </row>
    <row r="237" spans="1:12" ht="15" x14ac:dyDescent="0.2">
      <c r="A237" s="16">
        <v>48122</v>
      </c>
      <c r="B237" s="10">
        <f>37.7569 * CHOOSE(CONTROL!$C$9, $D$9, 100%, $F$9) + CHOOSE(CONTROL!$C$27, 0.0021, 0)</f>
        <v>37.759</v>
      </c>
      <c r="C237" s="10">
        <f>37.3246 * CHOOSE(CONTROL!$C$9, $D$9, 100%, $F$9) + CHOOSE(CONTROL!$C$27, 0.0021, 0)</f>
        <v>37.326699999999995</v>
      </c>
      <c r="D237" s="10">
        <f>37.3246 * CHOOSE(CONTROL!$C$9, $D$9, 100%, $F$9) + CHOOSE(CONTROL!$C$27, 0.0021, 0)</f>
        <v>37.326699999999995</v>
      </c>
      <c r="E237" s="10">
        <f>37.1879 * CHOOSE(CONTROL!$C$9, $D$9, 100%, $F$9) + CHOOSE(CONTROL!$C$27, 0.0021, 0)</f>
        <v>37.19</v>
      </c>
      <c r="F237" s="10">
        <f>37.1879 * CHOOSE(CONTROL!$C$9, $D$9, 100%, $F$9) + CHOOSE(CONTROL!$C$27, 0.0021, 0)</f>
        <v>37.19</v>
      </c>
      <c r="G237" s="10">
        <f>37.4593 * CHOOSE(CONTROL!$C$9, $D$9, 100%, $F$9) + CHOOSE(CONTROL!$C$27, 0.0021, 0)</f>
        <v>37.461399999999998</v>
      </c>
      <c r="H237" s="10">
        <f>37.3246 * CHOOSE(CONTROL!$C$9, $D$9, 100%, $F$9) + CHOOSE(CONTROL!$C$27, 0.0021, 0)</f>
        <v>37.326699999999995</v>
      </c>
      <c r="I237" s="10">
        <f>37.3246 * CHOOSE(CONTROL!$C$9, $D$9, 100%, $F$9) + CHOOSE(CONTROL!$C$27, 0.0021, 0)</f>
        <v>37.326699999999995</v>
      </c>
      <c r="J237" s="10">
        <f>37.3246 * CHOOSE(CONTROL!$C$9, $D$9, 100%, $F$9) + CHOOSE(CONTROL!$C$27, 0.0021, 0)</f>
        <v>37.326699999999995</v>
      </c>
      <c r="K237" s="10">
        <f>37.3246 * CHOOSE(CONTROL!$C$9, $D$9, 100%, $F$9) + CHOOSE(CONTROL!$C$27, 0.0021, 0)</f>
        <v>37.326699999999995</v>
      </c>
      <c r="L237" s="10"/>
    </row>
    <row r="238" spans="1:12" ht="15" x14ac:dyDescent="0.2">
      <c r="A238" s="16">
        <v>48153</v>
      </c>
      <c r="B238" s="10">
        <f>37.8388 * CHOOSE(CONTROL!$C$9, $D$9, 100%, $F$9) + CHOOSE(CONTROL!$C$27, 0.0021, 0)</f>
        <v>37.840899999999998</v>
      </c>
      <c r="C238" s="10">
        <f>37.4065 * CHOOSE(CONTROL!$C$9, $D$9, 100%, $F$9) + CHOOSE(CONTROL!$C$27, 0.0021, 0)</f>
        <v>37.4086</v>
      </c>
      <c r="D238" s="10">
        <f>37.4065 * CHOOSE(CONTROL!$C$9, $D$9, 100%, $F$9) + CHOOSE(CONTROL!$C$27, 0.0021, 0)</f>
        <v>37.4086</v>
      </c>
      <c r="E238" s="10">
        <f>37.2699 * CHOOSE(CONTROL!$C$9, $D$9, 100%, $F$9) + CHOOSE(CONTROL!$C$27, 0.0021, 0)</f>
        <v>37.271999999999998</v>
      </c>
      <c r="F238" s="10">
        <f>37.2699 * CHOOSE(CONTROL!$C$9, $D$9, 100%, $F$9) + CHOOSE(CONTROL!$C$27, 0.0021, 0)</f>
        <v>37.271999999999998</v>
      </c>
      <c r="G238" s="10">
        <f>37.5412 * CHOOSE(CONTROL!$C$9, $D$9, 100%, $F$9) + CHOOSE(CONTROL!$C$27, 0.0021, 0)</f>
        <v>37.543300000000002</v>
      </c>
      <c r="H238" s="10">
        <f>37.4065 * CHOOSE(CONTROL!$C$9, $D$9, 100%, $F$9) + CHOOSE(CONTROL!$C$27, 0.0021, 0)</f>
        <v>37.4086</v>
      </c>
      <c r="I238" s="10">
        <f>37.4065 * CHOOSE(CONTROL!$C$9, $D$9, 100%, $F$9) + CHOOSE(CONTROL!$C$27, 0.0021, 0)</f>
        <v>37.4086</v>
      </c>
      <c r="J238" s="10">
        <f>37.4065 * CHOOSE(CONTROL!$C$9, $D$9, 100%, $F$9) + CHOOSE(CONTROL!$C$27, 0.0021, 0)</f>
        <v>37.4086</v>
      </c>
      <c r="K238" s="10">
        <f>37.4065 * CHOOSE(CONTROL!$C$9, $D$9, 100%, $F$9) + CHOOSE(CONTROL!$C$27, 0.0021, 0)</f>
        <v>37.4086</v>
      </c>
      <c r="L238" s="10"/>
    </row>
    <row r="239" spans="1:12" ht="15" x14ac:dyDescent="0.2">
      <c r="A239" s="16">
        <v>48183</v>
      </c>
      <c r="B239" s="10">
        <f>37.1418 * CHOOSE(CONTROL!$C$9, $D$9, 100%, $F$9) + CHOOSE(CONTROL!$C$27, 0.0021, 0)</f>
        <v>37.143900000000002</v>
      </c>
      <c r="C239" s="10">
        <f>36.7095 * CHOOSE(CONTROL!$C$9, $D$9, 100%, $F$9) + CHOOSE(CONTROL!$C$27, 0.0021, 0)</f>
        <v>36.711599999999997</v>
      </c>
      <c r="D239" s="10">
        <f>36.7095 * CHOOSE(CONTROL!$C$9, $D$9, 100%, $F$9) + CHOOSE(CONTROL!$C$27, 0.0021, 0)</f>
        <v>36.711599999999997</v>
      </c>
      <c r="E239" s="10">
        <f>36.5729 * CHOOSE(CONTROL!$C$9, $D$9, 100%, $F$9) + CHOOSE(CONTROL!$C$27, 0.0021, 0)</f>
        <v>36.574999999999996</v>
      </c>
      <c r="F239" s="10">
        <f>36.5729 * CHOOSE(CONTROL!$C$9, $D$9, 100%, $F$9) + CHOOSE(CONTROL!$C$27, 0.0021, 0)</f>
        <v>36.574999999999996</v>
      </c>
      <c r="G239" s="10">
        <f>36.8443 * CHOOSE(CONTROL!$C$9, $D$9, 100%, $F$9) + CHOOSE(CONTROL!$C$27, 0.0021, 0)</f>
        <v>36.846399999999996</v>
      </c>
      <c r="H239" s="10">
        <f>36.7095 * CHOOSE(CONTROL!$C$9, $D$9, 100%, $F$9) + CHOOSE(CONTROL!$C$27, 0.0021, 0)</f>
        <v>36.711599999999997</v>
      </c>
      <c r="I239" s="10">
        <f>36.7095 * CHOOSE(CONTROL!$C$9, $D$9, 100%, $F$9) + CHOOSE(CONTROL!$C$27, 0.0021, 0)</f>
        <v>36.711599999999997</v>
      </c>
      <c r="J239" s="10">
        <f>36.7095 * CHOOSE(CONTROL!$C$9, $D$9, 100%, $F$9) + CHOOSE(CONTROL!$C$27, 0.0021, 0)</f>
        <v>36.711599999999997</v>
      </c>
      <c r="K239" s="10">
        <f>36.7095 * CHOOSE(CONTROL!$C$9, $D$9, 100%, $F$9) + CHOOSE(CONTROL!$C$27, 0.0021, 0)</f>
        <v>36.711599999999997</v>
      </c>
      <c r="L239" s="10"/>
    </row>
    <row r="240" spans="1:12" ht="15" x14ac:dyDescent="0.2">
      <c r="A240" s="16">
        <v>48214</v>
      </c>
      <c r="B240" s="10">
        <f>36.6852 * CHOOSE(CONTROL!$C$9, $D$9, 100%, $F$9) + CHOOSE(CONTROL!$C$27, 0.0021, 0)</f>
        <v>36.6873</v>
      </c>
      <c r="C240" s="10">
        <f>36.2529 * CHOOSE(CONTROL!$C$9, $D$9, 100%, $F$9) + CHOOSE(CONTROL!$C$27, 0.0021, 0)</f>
        <v>36.254999999999995</v>
      </c>
      <c r="D240" s="10">
        <f>36.2529 * CHOOSE(CONTROL!$C$9, $D$9, 100%, $F$9) + CHOOSE(CONTROL!$C$27, 0.0021, 0)</f>
        <v>36.254999999999995</v>
      </c>
      <c r="E240" s="10">
        <f>36.1163 * CHOOSE(CONTROL!$C$9, $D$9, 100%, $F$9) + CHOOSE(CONTROL!$C$27, 0.0021, 0)</f>
        <v>36.118400000000001</v>
      </c>
      <c r="F240" s="10">
        <f>36.1163 * CHOOSE(CONTROL!$C$9, $D$9, 100%, $F$9) + CHOOSE(CONTROL!$C$27, 0.0021, 0)</f>
        <v>36.118400000000001</v>
      </c>
      <c r="G240" s="10">
        <f>36.3877 * CHOOSE(CONTROL!$C$9, $D$9, 100%, $F$9) + CHOOSE(CONTROL!$C$27, 0.0021, 0)</f>
        <v>36.389800000000001</v>
      </c>
      <c r="H240" s="10">
        <f>36.2529 * CHOOSE(CONTROL!$C$9, $D$9, 100%, $F$9) + CHOOSE(CONTROL!$C$27, 0.0021, 0)</f>
        <v>36.254999999999995</v>
      </c>
      <c r="I240" s="10">
        <f>36.2529 * CHOOSE(CONTROL!$C$9, $D$9, 100%, $F$9) + CHOOSE(CONTROL!$C$27, 0.0021, 0)</f>
        <v>36.254999999999995</v>
      </c>
      <c r="J240" s="10">
        <f>36.2529 * CHOOSE(CONTROL!$C$9, $D$9, 100%, $F$9) + CHOOSE(CONTROL!$C$27, 0.0021, 0)</f>
        <v>36.254999999999995</v>
      </c>
      <c r="K240" s="10">
        <f>36.2529 * CHOOSE(CONTROL!$C$9, $D$9, 100%, $F$9) + CHOOSE(CONTROL!$C$27, 0.0021, 0)</f>
        <v>36.254999999999995</v>
      </c>
      <c r="L240" s="10"/>
    </row>
    <row r="241" spans="1:12" ht="15" x14ac:dyDescent="0.2">
      <c r="A241" s="16">
        <v>48245</v>
      </c>
      <c r="B241" s="10">
        <f>35.7124 * CHOOSE(CONTROL!$C$9, $D$9, 100%, $F$9) + CHOOSE(CONTROL!$C$27, 0.0021, 0)</f>
        <v>35.714500000000001</v>
      </c>
      <c r="C241" s="10">
        <f>35.2801 * CHOOSE(CONTROL!$C$9, $D$9, 100%, $F$9) + CHOOSE(CONTROL!$C$27, 0.0021, 0)</f>
        <v>35.282199999999996</v>
      </c>
      <c r="D241" s="10">
        <f>35.2801 * CHOOSE(CONTROL!$C$9, $D$9, 100%, $F$9) + CHOOSE(CONTROL!$C$27, 0.0021, 0)</f>
        <v>35.282199999999996</v>
      </c>
      <c r="E241" s="10">
        <f>35.1435 * CHOOSE(CONTROL!$C$9, $D$9, 100%, $F$9) + CHOOSE(CONTROL!$C$27, 0.0021, 0)</f>
        <v>35.145600000000002</v>
      </c>
      <c r="F241" s="10">
        <f>35.1435 * CHOOSE(CONTROL!$C$9, $D$9, 100%, $F$9) + CHOOSE(CONTROL!$C$27, 0.0021, 0)</f>
        <v>35.145600000000002</v>
      </c>
      <c r="G241" s="10">
        <f>35.4148 * CHOOSE(CONTROL!$C$9, $D$9, 100%, $F$9) + CHOOSE(CONTROL!$C$27, 0.0021, 0)</f>
        <v>35.416899999999998</v>
      </c>
      <c r="H241" s="10">
        <f>35.2801 * CHOOSE(CONTROL!$C$9, $D$9, 100%, $F$9) + CHOOSE(CONTROL!$C$27, 0.0021, 0)</f>
        <v>35.282199999999996</v>
      </c>
      <c r="I241" s="10">
        <f>35.2801 * CHOOSE(CONTROL!$C$9, $D$9, 100%, $F$9) + CHOOSE(CONTROL!$C$27, 0.0021, 0)</f>
        <v>35.282199999999996</v>
      </c>
      <c r="J241" s="10">
        <f>35.2801 * CHOOSE(CONTROL!$C$9, $D$9, 100%, $F$9) + CHOOSE(CONTROL!$C$27, 0.0021, 0)</f>
        <v>35.282199999999996</v>
      </c>
      <c r="K241" s="10">
        <f>35.2801 * CHOOSE(CONTROL!$C$9, $D$9, 100%, $F$9) + CHOOSE(CONTROL!$C$27, 0.0021, 0)</f>
        <v>35.282199999999996</v>
      </c>
      <c r="L241" s="10"/>
    </row>
    <row r="242" spans="1:12" ht="15" x14ac:dyDescent="0.2">
      <c r="A242" s="16">
        <v>48274</v>
      </c>
      <c r="B242" s="10">
        <f>35.3108 * CHOOSE(CONTROL!$C$9, $D$9, 100%, $F$9) + CHOOSE(CONTROL!$C$27, 0.0021, 0)</f>
        <v>35.312899999999999</v>
      </c>
      <c r="C242" s="10">
        <f>34.8786 * CHOOSE(CONTROL!$C$9, $D$9, 100%, $F$9) + CHOOSE(CONTROL!$C$27, 0.0021, 0)</f>
        <v>34.880699999999997</v>
      </c>
      <c r="D242" s="10">
        <f>34.8786 * CHOOSE(CONTROL!$C$9, $D$9, 100%, $F$9) + CHOOSE(CONTROL!$C$27, 0.0021, 0)</f>
        <v>34.880699999999997</v>
      </c>
      <c r="E242" s="10">
        <f>34.7419 * CHOOSE(CONTROL!$C$9, $D$9, 100%, $F$9) + CHOOSE(CONTROL!$C$27, 0.0021, 0)</f>
        <v>34.744</v>
      </c>
      <c r="F242" s="10">
        <f>34.7419 * CHOOSE(CONTROL!$C$9, $D$9, 100%, $F$9) + CHOOSE(CONTROL!$C$27, 0.0021, 0)</f>
        <v>34.744</v>
      </c>
      <c r="G242" s="10">
        <f>35.0133 * CHOOSE(CONTROL!$C$9, $D$9, 100%, $F$9) + CHOOSE(CONTROL!$C$27, 0.0021, 0)</f>
        <v>35.0154</v>
      </c>
      <c r="H242" s="10">
        <f>34.8786 * CHOOSE(CONTROL!$C$9, $D$9, 100%, $F$9) + CHOOSE(CONTROL!$C$27, 0.0021, 0)</f>
        <v>34.880699999999997</v>
      </c>
      <c r="I242" s="10">
        <f>34.8786 * CHOOSE(CONTROL!$C$9, $D$9, 100%, $F$9) + CHOOSE(CONTROL!$C$27, 0.0021, 0)</f>
        <v>34.880699999999997</v>
      </c>
      <c r="J242" s="10">
        <f>34.8786 * CHOOSE(CONTROL!$C$9, $D$9, 100%, $F$9) + CHOOSE(CONTROL!$C$27, 0.0021, 0)</f>
        <v>34.880699999999997</v>
      </c>
      <c r="K242" s="10">
        <f>34.8786 * CHOOSE(CONTROL!$C$9, $D$9, 100%, $F$9) + CHOOSE(CONTROL!$C$27, 0.0021, 0)</f>
        <v>34.880699999999997</v>
      </c>
      <c r="L242" s="10"/>
    </row>
    <row r="243" spans="1:12" ht="15" x14ac:dyDescent="0.2">
      <c r="A243" s="16">
        <v>48305</v>
      </c>
      <c r="B243" s="10">
        <f>34.8313 * CHOOSE(CONTROL!$C$9, $D$9, 100%, $F$9) + CHOOSE(CONTROL!$C$27, 0.0021, 0)</f>
        <v>34.833399999999997</v>
      </c>
      <c r="C243" s="10">
        <f>34.3991 * CHOOSE(CONTROL!$C$9, $D$9, 100%, $F$9) + CHOOSE(CONTROL!$C$27, 0.0021, 0)</f>
        <v>34.401199999999996</v>
      </c>
      <c r="D243" s="10">
        <f>34.3991 * CHOOSE(CONTROL!$C$9, $D$9, 100%, $F$9) + CHOOSE(CONTROL!$C$27, 0.0021, 0)</f>
        <v>34.401199999999996</v>
      </c>
      <c r="E243" s="10">
        <f>34.2624 * CHOOSE(CONTROL!$C$9, $D$9, 100%, $F$9) + CHOOSE(CONTROL!$C$27, 0.0021, 0)</f>
        <v>34.264499999999998</v>
      </c>
      <c r="F243" s="10">
        <f>34.2624 * CHOOSE(CONTROL!$C$9, $D$9, 100%, $F$9) + CHOOSE(CONTROL!$C$27, 0.0021, 0)</f>
        <v>34.264499999999998</v>
      </c>
      <c r="G243" s="10">
        <f>34.5338 * CHOOSE(CONTROL!$C$9, $D$9, 100%, $F$9) + CHOOSE(CONTROL!$C$27, 0.0021, 0)</f>
        <v>34.535899999999998</v>
      </c>
      <c r="H243" s="10">
        <f>34.3991 * CHOOSE(CONTROL!$C$9, $D$9, 100%, $F$9) + CHOOSE(CONTROL!$C$27, 0.0021, 0)</f>
        <v>34.401199999999996</v>
      </c>
      <c r="I243" s="10">
        <f>34.3991 * CHOOSE(CONTROL!$C$9, $D$9, 100%, $F$9) + CHOOSE(CONTROL!$C$27, 0.0021, 0)</f>
        <v>34.401199999999996</v>
      </c>
      <c r="J243" s="10">
        <f>34.3991 * CHOOSE(CONTROL!$C$9, $D$9, 100%, $F$9) + CHOOSE(CONTROL!$C$27, 0.0021, 0)</f>
        <v>34.401199999999996</v>
      </c>
      <c r="K243" s="10">
        <f>34.3991 * CHOOSE(CONTROL!$C$9, $D$9, 100%, $F$9) + CHOOSE(CONTROL!$C$27, 0.0021, 0)</f>
        <v>34.401199999999996</v>
      </c>
      <c r="L243" s="10"/>
    </row>
    <row r="244" spans="1:12" ht="15" x14ac:dyDescent="0.2">
      <c r="A244" s="16">
        <v>48335</v>
      </c>
      <c r="B244" s="10">
        <f>35.5146 * CHOOSE(CONTROL!$C$9, $D$9, 100%, $F$9) + CHOOSE(CONTROL!$C$27, 0.0021, 0)</f>
        <v>35.5167</v>
      </c>
      <c r="C244" s="10">
        <f>35.0824 * CHOOSE(CONTROL!$C$9, $D$9, 100%, $F$9) + CHOOSE(CONTROL!$C$27, 0.0021, 0)</f>
        <v>35.084499999999998</v>
      </c>
      <c r="D244" s="10">
        <f>35.0824 * CHOOSE(CONTROL!$C$9, $D$9, 100%, $F$9) + CHOOSE(CONTROL!$C$27, 0.0021, 0)</f>
        <v>35.084499999999998</v>
      </c>
      <c r="E244" s="10">
        <f>34.9457 * CHOOSE(CONTROL!$C$9, $D$9, 100%, $F$9) + CHOOSE(CONTROL!$C$27, 0.0021, 0)</f>
        <v>34.947800000000001</v>
      </c>
      <c r="F244" s="10">
        <f>34.9457 * CHOOSE(CONTROL!$C$9, $D$9, 100%, $F$9) + CHOOSE(CONTROL!$C$27, 0.0021, 0)</f>
        <v>34.947800000000001</v>
      </c>
      <c r="G244" s="10">
        <f>35.2171 * CHOOSE(CONTROL!$C$9, $D$9, 100%, $F$9) + CHOOSE(CONTROL!$C$27, 0.0021, 0)</f>
        <v>35.219200000000001</v>
      </c>
      <c r="H244" s="10">
        <f>35.0824 * CHOOSE(CONTROL!$C$9, $D$9, 100%, $F$9) + CHOOSE(CONTROL!$C$27, 0.0021, 0)</f>
        <v>35.084499999999998</v>
      </c>
      <c r="I244" s="10">
        <f>35.0824 * CHOOSE(CONTROL!$C$9, $D$9, 100%, $F$9) + CHOOSE(CONTROL!$C$27, 0.0021, 0)</f>
        <v>35.084499999999998</v>
      </c>
      <c r="J244" s="10">
        <f>35.0824 * CHOOSE(CONTROL!$C$9, $D$9, 100%, $F$9) + CHOOSE(CONTROL!$C$27, 0.0021, 0)</f>
        <v>35.084499999999998</v>
      </c>
      <c r="K244" s="10">
        <f>35.0824 * CHOOSE(CONTROL!$C$9, $D$9, 100%, $F$9) + CHOOSE(CONTROL!$C$27, 0.0021, 0)</f>
        <v>35.084499999999998</v>
      </c>
      <c r="L244" s="10"/>
    </row>
    <row r="245" spans="1:12" ht="15" x14ac:dyDescent="0.2">
      <c r="A245" s="16">
        <v>48366</v>
      </c>
      <c r="B245" s="10">
        <f>35.9239 * CHOOSE(CONTROL!$C$9, $D$9, 100%, $F$9) + CHOOSE(CONTROL!$C$27, 0.0021, 0)</f>
        <v>35.926000000000002</v>
      </c>
      <c r="C245" s="10">
        <f>35.4917 * CHOOSE(CONTROL!$C$9, $D$9, 100%, $F$9) + CHOOSE(CONTROL!$C$27, 0.0021, 0)</f>
        <v>35.4938</v>
      </c>
      <c r="D245" s="10">
        <f>35.4917 * CHOOSE(CONTROL!$C$9, $D$9, 100%, $F$9) + CHOOSE(CONTROL!$C$27, 0.0021, 0)</f>
        <v>35.4938</v>
      </c>
      <c r="E245" s="10">
        <f>35.355 * CHOOSE(CONTROL!$C$9, $D$9, 100%, $F$9) + CHOOSE(CONTROL!$C$27, 0.0021, 0)</f>
        <v>35.357099999999996</v>
      </c>
      <c r="F245" s="10">
        <f>35.355 * CHOOSE(CONTROL!$C$9, $D$9, 100%, $F$9) + CHOOSE(CONTROL!$C$27, 0.0021, 0)</f>
        <v>35.357099999999996</v>
      </c>
      <c r="G245" s="10">
        <f>35.6264 * CHOOSE(CONTROL!$C$9, $D$9, 100%, $F$9) + CHOOSE(CONTROL!$C$27, 0.0021, 0)</f>
        <v>35.628499999999995</v>
      </c>
      <c r="H245" s="10">
        <f>35.4917 * CHOOSE(CONTROL!$C$9, $D$9, 100%, $F$9) + CHOOSE(CONTROL!$C$27, 0.0021, 0)</f>
        <v>35.4938</v>
      </c>
      <c r="I245" s="10">
        <f>35.4917 * CHOOSE(CONTROL!$C$9, $D$9, 100%, $F$9) + CHOOSE(CONTROL!$C$27, 0.0021, 0)</f>
        <v>35.4938</v>
      </c>
      <c r="J245" s="10">
        <f>35.4917 * CHOOSE(CONTROL!$C$9, $D$9, 100%, $F$9) + CHOOSE(CONTROL!$C$27, 0.0021, 0)</f>
        <v>35.4938</v>
      </c>
      <c r="K245" s="10">
        <f>35.4917 * CHOOSE(CONTROL!$C$9, $D$9, 100%, $F$9) + CHOOSE(CONTROL!$C$27, 0.0021, 0)</f>
        <v>35.4938</v>
      </c>
      <c r="L245" s="10"/>
    </row>
    <row r="246" spans="1:12" ht="15" x14ac:dyDescent="0.2">
      <c r="A246" s="16">
        <v>48396</v>
      </c>
      <c r="B246" s="10">
        <f>36.5991 * CHOOSE(CONTROL!$C$9, $D$9, 100%, $F$9) + CHOOSE(CONTROL!$C$27, 0.0021, 0)</f>
        <v>36.601199999999999</v>
      </c>
      <c r="C246" s="10">
        <f>36.1669 * CHOOSE(CONTROL!$C$9, $D$9, 100%, $F$9) + CHOOSE(CONTROL!$C$27, 0.0021, 0)</f>
        <v>36.168999999999997</v>
      </c>
      <c r="D246" s="10">
        <f>36.1669 * CHOOSE(CONTROL!$C$9, $D$9, 100%, $F$9) + CHOOSE(CONTROL!$C$27, 0.0021, 0)</f>
        <v>36.168999999999997</v>
      </c>
      <c r="E246" s="10">
        <f>36.0302 * CHOOSE(CONTROL!$C$9, $D$9, 100%, $F$9) + CHOOSE(CONTROL!$C$27, 0.0021, 0)</f>
        <v>36.032299999999999</v>
      </c>
      <c r="F246" s="10">
        <f>36.0302 * CHOOSE(CONTROL!$C$9, $D$9, 100%, $F$9) + CHOOSE(CONTROL!$C$27, 0.0021, 0)</f>
        <v>36.032299999999999</v>
      </c>
      <c r="G246" s="10">
        <f>36.3016 * CHOOSE(CONTROL!$C$9, $D$9, 100%, $F$9) + CHOOSE(CONTROL!$C$27, 0.0021, 0)</f>
        <v>36.303699999999999</v>
      </c>
      <c r="H246" s="10">
        <f>36.1669 * CHOOSE(CONTROL!$C$9, $D$9, 100%, $F$9) + CHOOSE(CONTROL!$C$27, 0.0021, 0)</f>
        <v>36.168999999999997</v>
      </c>
      <c r="I246" s="10">
        <f>36.1669 * CHOOSE(CONTROL!$C$9, $D$9, 100%, $F$9) + CHOOSE(CONTROL!$C$27, 0.0021, 0)</f>
        <v>36.168999999999997</v>
      </c>
      <c r="J246" s="10">
        <f>36.1669 * CHOOSE(CONTROL!$C$9, $D$9, 100%, $F$9) + CHOOSE(CONTROL!$C$27, 0.0021, 0)</f>
        <v>36.168999999999997</v>
      </c>
      <c r="K246" s="10">
        <f>36.1669 * CHOOSE(CONTROL!$C$9, $D$9, 100%, $F$9) + CHOOSE(CONTROL!$C$27, 0.0021, 0)</f>
        <v>36.168999999999997</v>
      </c>
      <c r="L246" s="10"/>
    </row>
    <row r="247" spans="1:12" ht="15" x14ac:dyDescent="0.2">
      <c r="A247" s="16">
        <v>48427</v>
      </c>
      <c r="B247" s="10">
        <f>36.8052 * CHOOSE(CONTROL!$C$9, $D$9, 100%, $F$9) + CHOOSE(CONTROL!$C$27, 0.0021, 0)</f>
        <v>36.807299999999998</v>
      </c>
      <c r="C247" s="10">
        <f>36.3729 * CHOOSE(CONTROL!$C$9, $D$9, 100%, $F$9) + CHOOSE(CONTROL!$C$27, 0.0021, 0)</f>
        <v>36.375</v>
      </c>
      <c r="D247" s="10">
        <f>36.3729 * CHOOSE(CONTROL!$C$9, $D$9, 100%, $F$9) + CHOOSE(CONTROL!$C$27, 0.0021, 0)</f>
        <v>36.375</v>
      </c>
      <c r="E247" s="10">
        <f>36.2363 * CHOOSE(CONTROL!$C$9, $D$9, 100%, $F$9) + CHOOSE(CONTROL!$C$27, 0.0021, 0)</f>
        <v>36.238399999999999</v>
      </c>
      <c r="F247" s="10">
        <f>36.2363 * CHOOSE(CONTROL!$C$9, $D$9, 100%, $F$9) + CHOOSE(CONTROL!$C$27, 0.0021, 0)</f>
        <v>36.238399999999999</v>
      </c>
      <c r="G247" s="10">
        <f>36.5077 * CHOOSE(CONTROL!$C$9, $D$9, 100%, $F$9) + CHOOSE(CONTROL!$C$27, 0.0021, 0)</f>
        <v>36.509799999999998</v>
      </c>
      <c r="H247" s="10">
        <f>36.3729 * CHOOSE(CONTROL!$C$9, $D$9, 100%, $F$9) + CHOOSE(CONTROL!$C$27, 0.0021, 0)</f>
        <v>36.375</v>
      </c>
      <c r="I247" s="10">
        <f>36.3729 * CHOOSE(CONTROL!$C$9, $D$9, 100%, $F$9) + CHOOSE(CONTROL!$C$27, 0.0021, 0)</f>
        <v>36.375</v>
      </c>
      <c r="J247" s="10">
        <f>36.3729 * CHOOSE(CONTROL!$C$9, $D$9, 100%, $F$9) + CHOOSE(CONTROL!$C$27, 0.0021, 0)</f>
        <v>36.375</v>
      </c>
      <c r="K247" s="10">
        <f>36.3729 * CHOOSE(CONTROL!$C$9, $D$9, 100%, $F$9) + CHOOSE(CONTROL!$C$27, 0.0021, 0)</f>
        <v>36.375</v>
      </c>
      <c r="L247" s="10"/>
    </row>
    <row r="248" spans="1:12" ht="15" x14ac:dyDescent="0.2">
      <c r="A248" s="16">
        <v>48458</v>
      </c>
      <c r="B248" s="10">
        <f>37.507 * CHOOSE(CONTROL!$C$9, $D$9, 100%, $F$9) + CHOOSE(CONTROL!$C$27, 0.0021, 0)</f>
        <v>37.509099999999997</v>
      </c>
      <c r="C248" s="10">
        <f>37.0748 * CHOOSE(CONTROL!$C$9, $D$9, 100%, $F$9) + CHOOSE(CONTROL!$C$27, 0.0021, 0)</f>
        <v>37.076900000000002</v>
      </c>
      <c r="D248" s="10">
        <f>37.0748 * CHOOSE(CONTROL!$C$9, $D$9, 100%, $F$9) + CHOOSE(CONTROL!$C$27, 0.0021, 0)</f>
        <v>37.076900000000002</v>
      </c>
      <c r="E248" s="10">
        <f>36.9381 * CHOOSE(CONTROL!$C$9, $D$9, 100%, $F$9) + CHOOSE(CONTROL!$C$27, 0.0021, 0)</f>
        <v>36.940199999999997</v>
      </c>
      <c r="F248" s="10">
        <f>36.9381 * CHOOSE(CONTROL!$C$9, $D$9, 100%, $F$9) + CHOOSE(CONTROL!$C$27, 0.0021, 0)</f>
        <v>36.940199999999997</v>
      </c>
      <c r="G248" s="10">
        <f>37.2095 * CHOOSE(CONTROL!$C$9, $D$9, 100%, $F$9) + CHOOSE(CONTROL!$C$27, 0.0021, 0)</f>
        <v>37.211599999999997</v>
      </c>
      <c r="H248" s="10">
        <f>37.0748 * CHOOSE(CONTROL!$C$9, $D$9, 100%, $F$9) + CHOOSE(CONTROL!$C$27, 0.0021, 0)</f>
        <v>37.076900000000002</v>
      </c>
      <c r="I248" s="10">
        <f>37.0748 * CHOOSE(CONTROL!$C$9, $D$9, 100%, $F$9) + CHOOSE(CONTROL!$C$27, 0.0021, 0)</f>
        <v>37.076900000000002</v>
      </c>
      <c r="J248" s="10">
        <f>37.0748 * CHOOSE(CONTROL!$C$9, $D$9, 100%, $F$9) + CHOOSE(CONTROL!$C$27, 0.0021, 0)</f>
        <v>37.076900000000002</v>
      </c>
      <c r="K248" s="10">
        <f>37.0748 * CHOOSE(CONTROL!$C$9, $D$9, 100%, $F$9) + CHOOSE(CONTROL!$C$27, 0.0021, 0)</f>
        <v>37.076900000000002</v>
      </c>
      <c r="L248" s="10"/>
    </row>
    <row r="249" spans="1:12" ht="15" x14ac:dyDescent="0.2">
      <c r="A249" s="16">
        <v>48488</v>
      </c>
      <c r="B249" s="10">
        <f>38.3954 * CHOOSE(CONTROL!$C$9, $D$9, 100%, $F$9) + CHOOSE(CONTROL!$C$27, 0.0021, 0)</f>
        <v>38.397500000000001</v>
      </c>
      <c r="C249" s="10">
        <f>37.9631 * CHOOSE(CONTROL!$C$9, $D$9, 100%, $F$9) + CHOOSE(CONTROL!$C$27, 0.0021, 0)</f>
        <v>37.965199999999996</v>
      </c>
      <c r="D249" s="10">
        <f>37.9631 * CHOOSE(CONTROL!$C$9, $D$9, 100%, $F$9) + CHOOSE(CONTROL!$C$27, 0.0021, 0)</f>
        <v>37.965199999999996</v>
      </c>
      <c r="E249" s="10">
        <f>37.8265 * CHOOSE(CONTROL!$C$9, $D$9, 100%, $F$9) + CHOOSE(CONTROL!$C$27, 0.0021, 0)</f>
        <v>37.828600000000002</v>
      </c>
      <c r="F249" s="10">
        <f>37.8265 * CHOOSE(CONTROL!$C$9, $D$9, 100%, $F$9) + CHOOSE(CONTROL!$C$27, 0.0021, 0)</f>
        <v>37.828600000000002</v>
      </c>
      <c r="G249" s="10">
        <f>38.0979 * CHOOSE(CONTROL!$C$9, $D$9, 100%, $F$9) + CHOOSE(CONTROL!$C$27, 0.0021, 0)</f>
        <v>38.1</v>
      </c>
      <c r="H249" s="10">
        <f>37.9631 * CHOOSE(CONTROL!$C$9, $D$9, 100%, $F$9) + CHOOSE(CONTROL!$C$27, 0.0021, 0)</f>
        <v>37.965199999999996</v>
      </c>
      <c r="I249" s="10">
        <f>37.9631 * CHOOSE(CONTROL!$C$9, $D$9, 100%, $F$9) + CHOOSE(CONTROL!$C$27, 0.0021, 0)</f>
        <v>37.965199999999996</v>
      </c>
      <c r="J249" s="10">
        <f>37.9631 * CHOOSE(CONTROL!$C$9, $D$9, 100%, $F$9) + CHOOSE(CONTROL!$C$27, 0.0021, 0)</f>
        <v>37.965199999999996</v>
      </c>
      <c r="K249" s="10">
        <f>37.9631 * CHOOSE(CONTROL!$C$9, $D$9, 100%, $F$9) + CHOOSE(CONTROL!$C$27, 0.0021, 0)</f>
        <v>37.965199999999996</v>
      </c>
      <c r="L249" s="10"/>
    </row>
    <row r="250" spans="1:12" ht="15" x14ac:dyDescent="0.2">
      <c r="A250" s="16">
        <v>48519</v>
      </c>
      <c r="B250" s="10">
        <f>38.4788 * CHOOSE(CONTROL!$C$9, $D$9, 100%, $F$9) + CHOOSE(CONTROL!$C$27, 0.0021, 0)</f>
        <v>38.480899999999998</v>
      </c>
      <c r="C250" s="10">
        <f>38.0465 * CHOOSE(CONTROL!$C$9, $D$9, 100%, $F$9) + CHOOSE(CONTROL!$C$27, 0.0021, 0)</f>
        <v>38.0486</v>
      </c>
      <c r="D250" s="10">
        <f>38.0465 * CHOOSE(CONTROL!$C$9, $D$9, 100%, $F$9) + CHOOSE(CONTROL!$C$27, 0.0021, 0)</f>
        <v>38.0486</v>
      </c>
      <c r="E250" s="10">
        <f>37.9099 * CHOOSE(CONTROL!$C$9, $D$9, 100%, $F$9) + CHOOSE(CONTROL!$C$27, 0.0021, 0)</f>
        <v>37.911999999999999</v>
      </c>
      <c r="F250" s="10">
        <f>37.9099 * CHOOSE(CONTROL!$C$9, $D$9, 100%, $F$9) + CHOOSE(CONTROL!$C$27, 0.0021, 0)</f>
        <v>37.911999999999999</v>
      </c>
      <c r="G250" s="10">
        <f>38.1813 * CHOOSE(CONTROL!$C$9, $D$9, 100%, $F$9) + CHOOSE(CONTROL!$C$27, 0.0021, 0)</f>
        <v>38.183399999999999</v>
      </c>
      <c r="H250" s="10">
        <f>38.0465 * CHOOSE(CONTROL!$C$9, $D$9, 100%, $F$9) + CHOOSE(CONTROL!$C$27, 0.0021, 0)</f>
        <v>38.0486</v>
      </c>
      <c r="I250" s="10">
        <f>38.0465 * CHOOSE(CONTROL!$C$9, $D$9, 100%, $F$9) + CHOOSE(CONTROL!$C$27, 0.0021, 0)</f>
        <v>38.0486</v>
      </c>
      <c r="J250" s="10">
        <f>38.0465 * CHOOSE(CONTROL!$C$9, $D$9, 100%, $F$9) + CHOOSE(CONTROL!$C$27, 0.0021, 0)</f>
        <v>38.0486</v>
      </c>
      <c r="K250" s="10">
        <f>38.0465 * CHOOSE(CONTROL!$C$9, $D$9, 100%, $F$9) + CHOOSE(CONTROL!$C$27, 0.0021, 0)</f>
        <v>38.0486</v>
      </c>
      <c r="L250" s="10"/>
    </row>
    <row r="251" spans="1:12" ht="15" x14ac:dyDescent="0.2">
      <c r="A251" s="16">
        <v>48549</v>
      </c>
      <c r="B251" s="10">
        <f>37.7693 * CHOOSE(CONTROL!$C$9, $D$9, 100%, $F$9) + CHOOSE(CONTROL!$C$27, 0.0021, 0)</f>
        <v>37.7714</v>
      </c>
      <c r="C251" s="10">
        <f>37.337 * CHOOSE(CONTROL!$C$9, $D$9, 100%, $F$9) + CHOOSE(CONTROL!$C$27, 0.0021, 0)</f>
        <v>37.339100000000002</v>
      </c>
      <c r="D251" s="10">
        <f>37.337 * CHOOSE(CONTROL!$C$9, $D$9, 100%, $F$9) + CHOOSE(CONTROL!$C$27, 0.0021, 0)</f>
        <v>37.339100000000002</v>
      </c>
      <c r="E251" s="10">
        <f>37.2003 * CHOOSE(CONTROL!$C$9, $D$9, 100%, $F$9) + CHOOSE(CONTROL!$C$27, 0.0021, 0)</f>
        <v>37.202399999999997</v>
      </c>
      <c r="F251" s="10">
        <f>37.2003 * CHOOSE(CONTROL!$C$9, $D$9, 100%, $F$9) + CHOOSE(CONTROL!$C$27, 0.0021, 0)</f>
        <v>37.202399999999997</v>
      </c>
      <c r="G251" s="10">
        <f>37.4717 * CHOOSE(CONTROL!$C$9, $D$9, 100%, $F$9) + CHOOSE(CONTROL!$C$27, 0.0021, 0)</f>
        <v>37.473799999999997</v>
      </c>
      <c r="H251" s="10">
        <f>37.337 * CHOOSE(CONTROL!$C$9, $D$9, 100%, $F$9) + CHOOSE(CONTROL!$C$27, 0.0021, 0)</f>
        <v>37.339100000000002</v>
      </c>
      <c r="I251" s="10">
        <f>37.337 * CHOOSE(CONTROL!$C$9, $D$9, 100%, $F$9) + CHOOSE(CONTROL!$C$27, 0.0021, 0)</f>
        <v>37.339100000000002</v>
      </c>
      <c r="J251" s="10">
        <f>37.337 * CHOOSE(CONTROL!$C$9, $D$9, 100%, $F$9) + CHOOSE(CONTROL!$C$27, 0.0021, 0)</f>
        <v>37.339100000000002</v>
      </c>
      <c r="K251" s="10">
        <f>37.337 * CHOOSE(CONTROL!$C$9, $D$9, 100%, $F$9) + CHOOSE(CONTROL!$C$27, 0.0021, 0)</f>
        <v>37.339100000000002</v>
      </c>
      <c r="L251" s="10"/>
    </row>
    <row r="252" spans="1:12" ht="15" x14ac:dyDescent="0.2">
      <c r="A252" s="16">
        <v>48580</v>
      </c>
      <c r="B252" s="10">
        <f>37.3044 * CHOOSE(CONTROL!$C$9, $D$9, 100%, $F$9) + CHOOSE(CONTROL!$C$27, 0.0021, 0)</f>
        <v>37.3065</v>
      </c>
      <c r="C252" s="10">
        <f>36.8722 * CHOOSE(CONTROL!$C$9, $D$9, 100%, $F$9) + CHOOSE(CONTROL!$C$27, 0.0021, 0)</f>
        <v>36.874299999999998</v>
      </c>
      <c r="D252" s="10">
        <f>36.8722 * CHOOSE(CONTROL!$C$9, $D$9, 100%, $F$9) + CHOOSE(CONTROL!$C$27, 0.0021, 0)</f>
        <v>36.874299999999998</v>
      </c>
      <c r="E252" s="10">
        <f>36.7355 * CHOOSE(CONTROL!$C$9, $D$9, 100%, $F$9) + CHOOSE(CONTROL!$C$27, 0.0021, 0)</f>
        <v>36.7376</v>
      </c>
      <c r="F252" s="10">
        <f>36.7355 * CHOOSE(CONTROL!$C$9, $D$9, 100%, $F$9) + CHOOSE(CONTROL!$C$27, 0.0021, 0)</f>
        <v>36.7376</v>
      </c>
      <c r="G252" s="10">
        <f>37.0069 * CHOOSE(CONTROL!$C$9, $D$9, 100%, $F$9) + CHOOSE(CONTROL!$C$27, 0.0021, 0)</f>
        <v>37.009</v>
      </c>
      <c r="H252" s="10">
        <f>36.8722 * CHOOSE(CONTROL!$C$9, $D$9, 100%, $F$9) + CHOOSE(CONTROL!$C$27, 0.0021, 0)</f>
        <v>36.874299999999998</v>
      </c>
      <c r="I252" s="10">
        <f>36.8722 * CHOOSE(CONTROL!$C$9, $D$9, 100%, $F$9) + CHOOSE(CONTROL!$C$27, 0.0021, 0)</f>
        <v>36.874299999999998</v>
      </c>
      <c r="J252" s="10">
        <f>36.8722 * CHOOSE(CONTROL!$C$9, $D$9, 100%, $F$9) + CHOOSE(CONTROL!$C$27, 0.0021, 0)</f>
        <v>36.874299999999998</v>
      </c>
      <c r="K252" s="10">
        <f>36.8722 * CHOOSE(CONTROL!$C$9, $D$9, 100%, $F$9) + CHOOSE(CONTROL!$C$27, 0.0021, 0)</f>
        <v>36.874299999999998</v>
      </c>
      <c r="L252" s="10"/>
    </row>
    <row r="253" spans="1:12" ht="15" x14ac:dyDescent="0.2">
      <c r="A253" s="16">
        <v>48611</v>
      </c>
      <c r="B253" s="10">
        <f>36.3141 * CHOOSE(CONTROL!$C$9, $D$9, 100%, $F$9) + CHOOSE(CONTROL!$C$27, 0.0021, 0)</f>
        <v>36.316200000000002</v>
      </c>
      <c r="C253" s="10">
        <f>35.8818 * CHOOSE(CONTROL!$C$9, $D$9, 100%, $F$9) + CHOOSE(CONTROL!$C$27, 0.0021, 0)</f>
        <v>35.883899999999997</v>
      </c>
      <c r="D253" s="10">
        <f>35.8818 * CHOOSE(CONTROL!$C$9, $D$9, 100%, $F$9) + CHOOSE(CONTROL!$C$27, 0.0021, 0)</f>
        <v>35.883899999999997</v>
      </c>
      <c r="E253" s="10">
        <f>35.7452 * CHOOSE(CONTROL!$C$9, $D$9, 100%, $F$9) + CHOOSE(CONTROL!$C$27, 0.0021, 0)</f>
        <v>35.747299999999996</v>
      </c>
      <c r="F253" s="10">
        <f>35.7452 * CHOOSE(CONTROL!$C$9, $D$9, 100%, $F$9) + CHOOSE(CONTROL!$C$27, 0.0021, 0)</f>
        <v>35.747299999999996</v>
      </c>
      <c r="G253" s="10">
        <f>36.0166 * CHOOSE(CONTROL!$C$9, $D$9, 100%, $F$9) + CHOOSE(CONTROL!$C$27, 0.0021, 0)</f>
        <v>36.018699999999995</v>
      </c>
      <c r="H253" s="10">
        <f>35.8818 * CHOOSE(CONTROL!$C$9, $D$9, 100%, $F$9) + CHOOSE(CONTROL!$C$27, 0.0021, 0)</f>
        <v>35.883899999999997</v>
      </c>
      <c r="I253" s="10">
        <f>35.8818 * CHOOSE(CONTROL!$C$9, $D$9, 100%, $F$9) + CHOOSE(CONTROL!$C$27, 0.0021, 0)</f>
        <v>35.883899999999997</v>
      </c>
      <c r="J253" s="10">
        <f>35.8818 * CHOOSE(CONTROL!$C$9, $D$9, 100%, $F$9) + CHOOSE(CONTROL!$C$27, 0.0021, 0)</f>
        <v>35.883899999999997</v>
      </c>
      <c r="K253" s="10">
        <f>35.8818 * CHOOSE(CONTROL!$C$9, $D$9, 100%, $F$9) + CHOOSE(CONTROL!$C$27, 0.0021, 0)</f>
        <v>35.883899999999997</v>
      </c>
      <c r="L253" s="10"/>
    </row>
    <row r="254" spans="1:12" ht="15" x14ac:dyDescent="0.2">
      <c r="A254" s="16">
        <v>48639</v>
      </c>
      <c r="B254" s="10">
        <f>35.9053 * CHOOSE(CONTROL!$C$9, $D$9, 100%, $F$9) + CHOOSE(CONTROL!$C$27, 0.0021, 0)</f>
        <v>35.907399999999996</v>
      </c>
      <c r="C254" s="10">
        <f>35.473 * CHOOSE(CONTROL!$C$9, $D$9, 100%, $F$9) + CHOOSE(CONTROL!$C$27, 0.0021, 0)</f>
        <v>35.475099999999998</v>
      </c>
      <c r="D254" s="10">
        <f>35.473 * CHOOSE(CONTROL!$C$9, $D$9, 100%, $F$9) + CHOOSE(CONTROL!$C$27, 0.0021, 0)</f>
        <v>35.475099999999998</v>
      </c>
      <c r="E254" s="10">
        <f>35.3364 * CHOOSE(CONTROL!$C$9, $D$9, 100%, $F$9) + CHOOSE(CONTROL!$C$27, 0.0021, 0)</f>
        <v>35.338499999999996</v>
      </c>
      <c r="F254" s="10">
        <f>35.3364 * CHOOSE(CONTROL!$C$9, $D$9, 100%, $F$9) + CHOOSE(CONTROL!$C$27, 0.0021, 0)</f>
        <v>35.338499999999996</v>
      </c>
      <c r="G254" s="10">
        <f>35.6078 * CHOOSE(CONTROL!$C$9, $D$9, 100%, $F$9) + CHOOSE(CONTROL!$C$27, 0.0021, 0)</f>
        <v>35.609899999999996</v>
      </c>
      <c r="H254" s="10">
        <f>35.473 * CHOOSE(CONTROL!$C$9, $D$9, 100%, $F$9) + CHOOSE(CONTROL!$C$27, 0.0021, 0)</f>
        <v>35.475099999999998</v>
      </c>
      <c r="I254" s="10">
        <f>35.473 * CHOOSE(CONTROL!$C$9, $D$9, 100%, $F$9) + CHOOSE(CONTROL!$C$27, 0.0021, 0)</f>
        <v>35.475099999999998</v>
      </c>
      <c r="J254" s="10">
        <f>35.473 * CHOOSE(CONTROL!$C$9, $D$9, 100%, $F$9) + CHOOSE(CONTROL!$C$27, 0.0021, 0)</f>
        <v>35.475099999999998</v>
      </c>
      <c r="K254" s="10">
        <f>35.473 * CHOOSE(CONTROL!$C$9, $D$9, 100%, $F$9) + CHOOSE(CONTROL!$C$27, 0.0021, 0)</f>
        <v>35.475099999999998</v>
      </c>
      <c r="L254" s="10"/>
    </row>
    <row r="255" spans="1:12" ht="15" x14ac:dyDescent="0.2">
      <c r="A255" s="16">
        <v>48670</v>
      </c>
      <c r="B255" s="10">
        <f>35.4172 * CHOOSE(CONTROL!$C$9, $D$9, 100%, $F$9) + CHOOSE(CONTROL!$C$27, 0.0021, 0)</f>
        <v>35.4193</v>
      </c>
      <c r="C255" s="10">
        <f>34.9849 * CHOOSE(CONTROL!$C$9, $D$9, 100%, $F$9) + CHOOSE(CONTROL!$C$27, 0.0021, 0)</f>
        <v>34.987000000000002</v>
      </c>
      <c r="D255" s="10">
        <f>34.9849 * CHOOSE(CONTROL!$C$9, $D$9, 100%, $F$9) + CHOOSE(CONTROL!$C$27, 0.0021, 0)</f>
        <v>34.987000000000002</v>
      </c>
      <c r="E255" s="10">
        <f>34.8483 * CHOOSE(CONTROL!$C$9, $D$9, 100%, $F$9) + CHOOSE(CONTROL!$C$27, 0.0021, 0)</f>
        <v>34.8504</v>
      </c>
      <c r="F255" s="10">
        <f>34.8483 * CHOOSE(CONTROL!$C$9, $D$9, 100%, $F$9) + CHOOSE(CONTROL!$C$27, 0.0021, 0)</f>
        <v>34.8504</v>
      </c>
      <c r="G255" s="10">
        <f>35.1196 * CHOOSE(CONTROL!$C$9, $D$9, 100%, $F$9) + CHOOSE(CONTROL!$C$27, 0.0021, 0)</f>
        <v>35.121699999999997</v>
      </c>
      <c r="H255" s="10">
        <f>34.9849 * CHOOSE(CONTROL!$C$9, $D$9, 100%, $F$9) + CHOOSE(CONTROL!$C$27, 0.0021, 0)</f>
        <v>34.987000000000002</v>
      </c>
      <c r="I255" s="10">
        <f>34.9849 * CHOOSE(CONTROL!$C$9, $D$9, 100%, $F$9) + CHOOSE(CONTROL!$C$27, 0.0021, 0)</f>
        <v>34.987000000000002</v>
      </c>
      <c r="J255" s="10">
        <f>34.9849 * CHOOSE(CONTROL!$C$9, $D$9, 100%, $F$9) + CHOOSE(CONTROL!$C$27, 0.0021, 0)</f>
        <v>34.987000000000002</v>
      </c>
      <c r="K255" s="10">
        <f>34.9849 * CHOOSE(CONTROL!$C$9, $D$9, 100%, $F$9) + CHOOSE(CONTROL!$C$27, 0.0021, 0)</f>
        <v>34.987000000000002</v>
      </c>
      <c r="L255" s="10"/>
    </row>
    <row r="256" spans="1:12" ht="15" x14ac:dyDescent="0.2">
      <c r="A256" s="16">
        <v>48700</v>
      </c>
      <c r="B256" s="10">
        <f>36.1128 * CHOOSE(CONTROL!$C$9, $D$9, 100%, $F$9) + CHOOSE(CONTROL!$C$27, 0.0021, 0)</f>
        <v>36.114899999999999</v>
      </c>
      <c r="C256" s="10">
        <f>35.6806 * CHOOSE(CONTROL!$C$9, $D$9, 100%, $F$9) + CHOOSE(CONTROL!$C$27, 0.0021, 0)</f>
        <v>35.682699999999997</v>
      </c>
      <c r="D256" s="10">
        <f>35.6806 * CHOOSE(CONTROL!$C$9, $D$9, 100%, $F$9) + CHOOSE(CONTROL!$C$27, 0.0021, 0)</f>
        <v>35.682699999999997</v>
      </c>
      <c r="E256" s="10">
        <f>35.5439 * CHOOSE(CONTROL!$C$9, $D$9, 100%, $F$9) + CHOOSE(CONTROL!$C$27, 0.0021, 0)</f>
        <v>35.545999999999999</v>
      </c>
      <c r="F256" s="10">
        <f>35.5439 * CHOOSE(CONTROL!$C$9, $D$9, 100%, $F$9) + CHOOSE(CONTROL!$C$27, 0.0021, 0)</f>
        <v>35.545999999999999</v>
      </c>
      <c r="G256" s="10">
        <f>35.8153 * CHOOSE(CONTROL!$C$9, $D$9, 100%, $F$9) + CHOOSE(CONTROL!$C$27, 0.0021, 0)</f>
        <v>35.817399999999999</v>
      </c>
      <c r="H256" s="10">
        <f>35.6806 * CHOOSE(CONTROL!$C$9, $D$9, 100%, $F$9) + CHOOSE(CONTROL!$C$27, 0.0021, 0)</f>
        <v>35.682699999999997</v>
      </c>
      <c r="I256" s="10">
        <f>35.6806 * CHOOSE(CONTROL!$C$9, $D$9, 100%, $F$9) + CHOOSE(CONTROL!$C$27, 0.0021, 0)</f>
        <v>35.682699999999997</v>
      </c>
      <c r="J256" s="10">
        <f>35.6806 * CHOOSE(CONTROL!$C$9, $D$9, 100%, $F$9) + CHOOSE(CONTROL!$C$27, 0.0021, 0)</f>
        <v>35.682699999999997</v>
      </c>
      <c r="K256" s="10">
        <f>35.6806 * CHOOSE(CONTROL!$C$9, $D$9, 100%, $F$9) + CHOOSE(CONTROL!$C$27, 0.0021, 0)</f>
        <v>35.682699999999997</v>
      </c>
      <c r="L256" s="10"/>
    </row>
    <row r="257" spans="1:12" ht="15" x14ac:dyDescent="0.2">
      <c r="A257" s="16">
        <v>48731</v>
      </c>
      <c r="B257" s="10">
        <f>36.5295 * CHOOSE(CONTROL!$C$9, $D$9, 100%, $F$9) + CHOOSE(CONTROL!$C$27, 0.0021, 0)</f>
        <v>36.531599999999997</v>
      </c>
      <c r="C257" s="10">
        <f>36.0972 * CHOOSE(CONTROL!$C$9, $D$9, 100%, $F$9) + CHOOSE(CONTROL!$C$27, 0.0021, 0)</f>
        <v>36.099299999999999</v>
      </c>
      <c r="D257" s="10">
        <f>36.0972 * CHOOSE(CONTROL!$C$9, $D$9, 100%, $F$9) + CHOOSE(CONTROL!$C$27, 0.0021, 0)</f>
        <v>36.099299999999999</v>
      </c>
      <c r="E257" s="10">
        <f>35.9606 * CHOOSE(CONTROL!$C$9, $D$9, 100%, $F$9) + CHOOSE(CONTROL!$C$27, 0.0021, 0)</f>
        <v>35.962699999999998</v>
      </c>
      <c r="F257" s="10">
        <f>35.9606 * CHOOSE(CONTROL!$C$9, $D$9, 100%, $F$9) + CHOOSE(CONTROL!$C$27, 0.0021, 0)</f>
        <v>35.962699999999998</v>
      </c>
      <c r="G257" s="10">
        <f>36.2319 * CHOOSE(CONTROL!$C$9, $D$9, 100%, $F$9) + CHOOSE(CONTROL!$C$27, 0.0021, 0)</f>
        <v>36.234000000000002</v>
      </c>
      <c r="H257" s="10">
        <f>36.0972 * CHOOSE(CONTROL!$C$9, $D$9, 100%, $F$9) + CHOOSE(CONTROL!$C$27, 0.0021, 0)</f>
        <v>36.099299999999999</v>
      </c>
      <c r="I257" s="10">
        <f>36.0972 * CHOOSE(CONTROL!$C$9, $D$9, 100%, $F$9) + CHOOSE(CONTROL!$C$27, 0.0021, 0)</f>
        <v>36.099299999999999</v>
      </c>
      <c r="J257" s="10">
        <f>36.0972 * CHOOSE(CONTROL!$C$9, $D$9, 100%, $F$9) + CHOOSE(CONTROL!$C$27, 0.0021, 0)</f>
        <v>36.099299999999999</v>
      </c>
      <c r="K257" s="10">
        <f>36.0972 * CHOOSE(CONTROL!$C$9, $D$9, 100%, $F$9) + CHOOSE(CONTROL!$C$27, 0.0021, 0)</f>
        <v>36.099299999999999</v>
      </c>
      <c r="L257" s="10"/>
    </row>
    <row r="258" spans="1:12" ht="15" x14ac:dyDescent="0.2">
      <c r="A258" s="16">
        <v>48761</v>
      </c>
      <c r="B258" s="10">
        <f>37.2168 * CHOOSE(CONTROL!$C$9, $D$9, 100%, $F$9) + CHOOSE(CONTROL!$C$27, 0.0021, 0)</f>
        <v>37.218899999999998</v>
      </c>
      <c r="C258" s="10">
        <f>36.7845 * CHOOSE(CONTROL!$C$9, $D$9, 100%, $F$9) + CHOOSE(CONTROL!$C$27, 0.0021, 0)</f>
        <v>36.7866</v>
      </c>
      <c r="D258" s="10">
        <f>36.7845 * CHOOSE(CONTROL!$C$9, $D$9, 100%, $F$9) + CHOOSE(CONTROL!$C$27, 0.0021, 0)</f>
        <v>36.7866</v>
      </c>
      <c r="E258" s="10">
        <f>36.6479 * CHOOSE(CONTROL!$C$9, $D$9, 100%, $F$9) + CHOOSE(CONTROL!$C$27, 0.0021, 0)</f>
        <v>36.65</v>
      </c>
      <c r="F258" s="10">
        <f>36.6479 * CHOOSE(CONTROL!$C$9, $D$9, 100%, $F$9) + CHOOSE(CONTROL!$C$27, 0.0021, 0)</f>
        <v>36.65</v>
      </c>
      <c r="G258" s="10">
        <f>36.9193 * CHOOSE(CONTROL!$C$9, $D$9, 100%, $F$9) + CHOOSE(CONTROL!$C$27, 0.0021, 0)</f>
        <v>36.921399999999998</v>
      </c>
      <c r="H258" s="10">
        <f>36.7845 * CHOOSE(CONTROL!$C$9, $D$9, 100%, $F$9) + CHOOSE(CONTROL!$C$27, 0.0021, 0)</f>
        <v>36.7866</v>
      </c>
      <c r="I258" s="10">
        <f>36.7845 * CHOOSE(CONTROL!$C$9, $D$9, 100%, $F$9) + CHOOSE(CONTROL!$C$27, 0.0021, 0)</f>
        <v>36.7866</v>
      </c>
      <c r="J258" s="10">
        <f>36.7845 * CHOOSE(CONTROL!$C$9, $D$9, 100%, $F$9) + CHOOSE(CONTROL!$C$27, 0.0021, 0)</f>
        <v>36.7866</v>
      </c>
      <c r="K258" s="10">
        <f>36.7845 * CHOOSE(CONTROL!$C$9, $D$9, 100%, $F$9) + CHOOSE(CONTROL!$C$27, 0.0021, 0)</f>
        <v>36.7866</v>
      </c>
      <c r="L258" s="10"/>
    </row>
    <row r="259" spans="1:12" ht="15" x14ac:dyDescent="0.2">
      <c r="A259" s="16">
        <v>48792</v>
      </c>
      <c r="B259" s="10">
        <f>37.4266 * CHOOSE(CONTROL!$C$9, $D$9, 100%, $F$9) + CHOOSE(CONTROL!$C$27, 0.0021, 0)</f>
        <v>37.428699999999999</v>
      </c>
      <c r="C259" s="10">
        <f>36.9943 * CHOOSE(CONTROL!$C$9, $D$9, 100%, $F$9) + CHOOSE(CONTROL!$C$27, 0.0021, 0)</f>
        <v>36.996400000000001</v>
      </c>
      <c r="D259" s="10">
        <f>36.9943 * CHOOSE(CONTROL!$C$9, $D$9, 100%, $F$9) + CHOOSE(CONTROL!$C$27, 0.0021, 0)</f>
        <v>36.996400000000001</v>
      </c>
      <c r="E259" s="10">
        <f>36.8577 * CHOOSE(CONTROL!$C$9, $D$9, 100%, $F$9) + CHOOSE(CONTROL!$C$27, 0.0021, 0)</f>
        <v>36.8598</v>
      </c>
      <c r="F259" s="10">
        <f>36.8577 * CHOOSE(CONTROL!$C$9, $D$9, 100%, $F$9) + CHOOSE(CONTROL!$C$27, 0.0021, 0)</f>
        <v>36.8598</v>
      </c>
      <c r="G259" s="10">
        <f>37.1291 * CHOOSE(CONTROL!$C$9, $D$9, 100%, $F$9) + CHOOSE(CONTROL!$C$27, 0.0021, 0)</f>
        <v>37.1312</v>
      </c>
      <c r="H259" s="10">
        <f>36.9943 * CHOOSE(CONTROL!$C$9, $D$9, 100%, $F$9) + CHOOSE(CONTROL!$C$27, 0.0021, 0)</f>
        <v>36.996400000000001</v>
      </c>
      <c r="I259" s="10">
        <f>36.9943 * CHOOSE(CONTROL!$C$9, $D$9, 100%, $F$9) + CHOOSE(CONTROL!$C$27, 0.0021, 0)</f>
        <v>36.996400000000001</v>
      </c>
      <c r="J259" s="10">
        <f>36.9943 * CHOOSE(CONTROL!$C$9, $D$9, 100%, $F$9) + CHOOSE(CONTROL!$C$27, 0.0021, 0)</f>
        <v>36.996400000000001</v>
      </c>
      <c r="K259" s="10">
        <f>36.9943 * CHOOSE(CONTROL!$C$9, $D$9, 100%, $F$9) + CHOOSE(CONTROL!$C$27, 0.0021, 0)</f>
        <v>36.996400000000001</v>
      </c>
      <c r="L259" s="10"/>
    </row>
    <row r="260" spans="1:12" ht="15" x14ac:dyDescent="0.2">
      <c r="A260" s="16">
        <v>48823</v>
      </c>
      <c r="B260" s="10">
        <f>38.141 * CHOOSE(CONTROL!$C$9, $D$9, 100%, $F$9) + CHOOSE(CONTROL!$C$27, 0.0021, 0)</f>
        <v>38.143099999999997</v>
      </c>
      <c r="C260" s="10">
        <f>37.7088 * CHOOSE(CONTROL!$C$9, $D$9, 100%, $F$9) + CHOOSE(CONTROL!$C$27, 0.0021, 0)</f>
        <v>37.710899999999995</v>
      </c>
      <c r="D260" s="10">
        <f>37.7088 * CHOOSE(CONTROL!$C$9, $D$9, 100%, $F$9) + CHOOSE(CONTROL!$C$27, 0.0021, 0)</f>
        <v>37.710899999999995</v>
      </c>
      <c r="E260" s="10">
        <f>37.5721 * CHOOSE(CONTROL!$C$9, $D$9, 100%, $F$9) + CHOOSE(CONTROL!$C$27, 0.0021, 0)</f>
        <v>37.574199999999998</v>
      </c>
      <c r="F260" s="10">
        <f>37.5721 * CHOOSE(CONTROL!$C$9, $D$9, 100%, $F$9) + CHOOSE(CONTROL!$C$27, 0.0021, 0)</f>
        <v>37.574199999999998</v>
      </c>
      <c r="G260" s="10">
        <f>37.8435 * CHOOSE(CONTROL!$C$9, $D$9, 100%, $F$9) + CHOOSE(CONTROL!$C$27, 0.0021, 0)</f>
        <v>37.845599999999997</v>
      </c>
      <c r="H260" s="10">
        <f>37.7088 * CHOOSE(CONTROL!$C$9, $D$9, 100%, $F$9) + CHOOSE(CONTROL!$C$27, 0.0021, 0)</f>
        <v>37.710899999999995</v>
      </c>
      <c r="I260" s="10">
        <f>37.7088 * CHOOSE(CONTROL!$C$9, $D$9, 100%, $F$9) + CHOOSE(CONTROL!$C$27, 0.0021, 0)</f>
        <v>37.710899999999995</v>
      </c>
      <c r="J260" s="10">
        <f>37.7088 * CHOOSE(CONTROL!$C$9, $D$9, 100%, $F$9) + CHOOSE(CONTROL!$C$27, 0.0021, 0)</f>
        <v>37.710899999999995</v>
      </c>
      <c r="K260" s="10">
        <f>37.7088 * CHOOSE(CONTROL!$C$9, $D$9, 100%, $F$9) + CHOOSE(CONTROL!$C$27, 0.0021, 0)</f>
        <v>37.710899999999995</v>
      </c>
      <c r="L260" s="10"/>
    </row>
    <row r="261" spans="1:12" ht="15" x14ac:dyDescent="0.2">
      <c r="A261" s="16">
        <v>48853</v>
      </c>
      <c r="B261" s="10">
        <f>39.0454 * CHOOSE(CONTROL!$C$9, $D$9, 100%, $F$9) + CHOOSE(CONTROL!$C$27, 0.0021, 0)</f>
        <v>39.047499999999999</v>
      </c>
      <c r="C261" s="10">
        <f>38.6132 * CHOOSE(CONTROL!$C$9, $D$9, 100%, $F$9) + CHOOSE(CONTROL!$C$27, 0.0021, 0)</f>
        <v>38.615299999999998</v>
      </c>
      <c r="D261" s="10">
        <f>38.6132 * CHOOSE(CONTROL!$C$9, $D$9, 100%, $F$9) + CHOOSE(CONTROL!$C$27, 0.0021, 0)</f>
        <v>38.615299999999998</v>
      </c>
      <c r="E261" s="10">
        <f>38.4765 * CHOOSE(CONTROL!$C$9, $D$9, 100%, $F$9) + CHOOSE(CONTROL!$C$27, 0.0021, 0)</f>
        <v>38.4786</v>
      </c>
      <c r="F261" s="10">
        <f>38.4765 * CHOOSE(CONTROL!$C$9, $D$9, 100%, $F$9) + CHOOSE(CONTROL!$C$27, 0.0021, 0)</f>
        <v>38.4786</v>
      </c>
      <c r="G261" s="10">
        <f>38.7479 * CHOOSE(CONTROL!$C$9, $D$9, 100%, $F$9) + CHOOSE(CONTROL!$C$27, 0.0021, 0)</f>
        <v>38.75</v>
      </c>
      <c r="H261" s="10">
        <f>38.6132 * CHOOSE(CONTROL!$C$9, $D$9, 100%, $F$9) + CHOOSE(CONTROL!$C$27, 0.0021, 0)</f>
        <v>38.615299999999998</v>
      </c>
      <c r="I261" s="10">
        <f>38.6132 * CHOOSE(CONTROL!$C$9, $D$9, 100%, $F$9) + CHOOSE(CONTROL!$C$27, 0.0021, 0)</f>
        <v>38.615299999999998</v>
      </c>
      <c r="J261" s="10">
        <f>38.6132 * CHOOSE(CONTROL!$C$9, $D$9, 100%, $F$9) + CHOOSE(CONTROL!$C$27, 0.0021, 0)</f>
        <v>38.615299999999998</v>
      </c>
      <c r="K261" s="10">
        <f>38.6132 * CHOOSE(CONTROL!$C$9, $D$9, 100%, $F$9) + CHOOSE(CONTROL!$C$27, 0.0021, 0)</f>
        <v>38.615299999999998</v>
      </c>
      <c r="L261" s="10"/>
    </row>
    <row r="262" spans="1:12" ht="15" x14ac:dyDescent="0.2">
      <c r="A262" s="16">
        <v>48884</v>
      </c>
      <c r="B262" s="10">
        <f>39.1303 * CHOOSE(CONTROL!$C$9, $D$9, 100%, $F$9) + CHOOSE(CONTROL!$C$27, 0.0021, 0)</f>
        <v>39.132399999999997</v>
      </c>
      <c r="C262" s="10">
        <f>38.6981 * CHOOSE(CONTROL!$C$9, $D$9, 100%, $F$9) + CHOOSE(CONTROL!$C$27, 0.0021, 0)</f>
        <v>38.700199999999995</v>
      </c>
      <c r="D262" s="10">
        <f>38.6981 * CHOOSE(CONTROL!$C$9, $D$9, 100%, $F$9) + CHOOSE(CONTROL!$C$27, 0.0021, 0)</f>
        <v>38.700199999999995</v>
      </c>
      <c r="E262" s="10">
        <f>38.5614 * CHOOSE(CONTROL!$C$9, $D$9, 100%, $F$9) + CHOOSE(CONTROL!$C$27, 0.0021, 0)</f>
        <v>38.563499999999998</v>
      </c>
      <c r="F262" s="10">
        <f>38.5614 * CHOOSE(CONTROL!$C$9, $D$9, 100%, $F$9) + CHOOSE(CONTROL!$C$27, 0.0021, 0)</f>
        <v>38.563499999999998</v>
      </c>
      <c r="G262" s="10">
        <f>38.8328 * CHOOSE(CONTROL!$C$9, $D$9, 100%, $F$9) + CHOOSE(CONTROL!$C$27, 0.0021, 0)</f>
        <v>38.834899999999998</v>
      </c>
      <c r="H262" s="10">
        <f>38.6981 * CHOOSE(CONTROL!$C$9, $D$9, 100%, $F$9) + CHOOSE(CONTROL!$C$27, 0.0021, 0)</f>
        <v>38.700199999999995</v>
      </c>
      <c r="I262" s="10">
        <f>38.6981 * CHOOSE(CONTROL!$C$9, $D$9, 100%, $F$9) + CHOOSE(CONTROL!$C$27, 0.0021, 0)</f>
        <v>38.700199999999995</v>
      </c>
      <c r="J262" s="10">
        <f>38.6981 * CHOOSE(CONTROL!$C$9, $D$9, 100%, $F$9) + CHOOSE(CONTROL!$C$27, 0.0021, 0)</f>
        <v>38.700199999999995</v>
      </c>
      <c r="K262" s="10">
        <f>38.6981 * CHOOSE(CONTROL!$C$9, $D$9, 100%, $F$9) + CHOOSE(CONTROL!$C$27, 0.0021, 0)</f>
        <v>38.700199999999995</v>
      </c>
      <c r="L262" s="10"/>
    </row>
    <row r="263" spans="1:12" ht="15" x14ac:dyDescent="0.2">
      <c r="A263" s="16">
        <v>48914</v>
      </c>
      <c r="B263" s="10">
        <f>38.408 * CHOOSE(CONTROL!$C$9, $D$9, 100%, $F$9) + CHOOSE(CONTROL!$C$27, 0.0021, 0)</f>
        <v>38.4101</v>
      </c>
      <c r="C263" s="10">
        <f>37.9758 * CHOOSE(CONTROL!$C$9, $D$9, 100%, $F$9) + CHOOSE(CONTROL!$C$27, 0.0021, 0)</f>
        <v>37.977899999999998</v>
      </c>
      <c r="D263" s="10">
        <f>37.9758 * CHOOSE(CONTROL!$C$9, $D$9, 100%, $F$9) + CHOOSE(CONTROL!$C$27, 0.0021, 0)</f>
        <v>37.977899999999998</v>
      </c>
      <c r="E263" s="10">
        <f>37.8391 * CHOOSE(CONTROL!$C$9, $D$9, 100%, $F$9) + CHOOSE(CONTROL!$C$27, 0.0021, 0)</f>
        <v>37.841200000000001</v>
      </c>
      <c r="F263" s="10">
        <f>37.8391 * CHOOSE(CONTROL!$C$9, $D$9, 100%, $F$9) + CHOOSE(CONTROL!$C$27, 0.0021, 0)</f>
        <v>37.841200000000001</v>
      </c>
      <c r="G263" s="10">
        <f>38.1105 * CHOOSE(CONTROL!$C$9, $D$9, 100%, $F$9) + CHOOSE(CONTROL!$C$27, 0.0021, 0)</f>
        <v>38.1126</v>
      </c>
      <c r="H263" s="10">
        <f>37.9758 * CHOOSE(CONTROL!$C$9, $D$9, 100%, $F$9) + CHOOSE(CONTROL!$C$27, 0.0021, 0)</f>
        <v>37.977899999999998</v>
      </c>
      <c r="I263" s="10">
        <f>37.9758 * CHOOSE(CONTROL!$C$9, $D$9, 100%, $F$9) + CHOOSE(CONTROL!$C$27, 0.0021, 0)</f>
        <v>37.977899999999998</v>
      </c>
      <c r="J263" s="10">
        <f>37.9758 * CHOOSE(CONTROL!$C$9, $D$9, 100%, $F$9) + CHOOSE(CONTROL!$C$27, 0.0021, 0)</f>
        <v>37.977899999999998</v>
      </c>
      <c r="K263" s="10">
        <f>37.9758 * CHOOSE(CONTROL!$C$9, $D$9, 100%, $F$9) + CHOOSE(CONTROL!$C$27, 0.0021, 0)</f>
        <v>37.977899999999998</v>
      </c>
      <c r="L263" s="10"/>
    </row>
    <row r="264" spans="1:12" ht="15" x14ac:dyDescent="0.2">
      <c r="A264" s="16">
        <v>48945</v>
      </c>
      <c r="B264" s="10">
        <f>37.9348 * CHOOSE(CONTROL!$C$9, $D$9, 100%, $F$9) + CHOOSE(CONTROL!$C$27, 0.0021, 0)</f>
        <v>37.936900000000001</v>
      </c>
      <c r="C264" s="10">
        <f>37.5026 * CHOOSE(CONTROL!$C$9, $D$9, 100%, $F$9) + CHOOSE(CONTROL!$C$27, 0.0021, 0)</f>
        <v>37.5047</v>
      </c>
      <c r="D264" s="10">
        <f>37.5026 * CHOOSE(CONTROL!$C$9, $D$9, 100%, $F$9) + CHOOSE(CONTROL!$C$27, 0.0021, 0)</f>
        <v>37.5047</v>
      </c>
      <c r="E264" s="10">
        <f>37.3659 * CHOOSE(CONTROL!$C$9, $D$9, 100%, $F$9) + CHOOSE(CONTROL!$C$27, 0.0021, 0)</f>
        <v>37.368000000000002</v>
      </c>
      <c r="F264" s="10">
        <f>37.3659 * CHOOSE(CONTROL!$C$9, $D$9, 100%, $F$9) + CHOOSE(CONTROL!$C$27, 0.0021, 0)</f>
        <v>37.368000000000002</v>
      </c>
      <c r="G264" s="10">
        <f>37.6373 * CHOOSE(CONTROL!$C$9, $D$9, 100%, $F$9) + CHOOSE(CONTROL!$C$27, 0.0021, 0)</f>
        <v>37.639400000000002</v>
      </c>
      <c r="H264" s="10">
        <f>37.5026 * CHOOSE(CONTROL!$C$9, $D$9, 100%, $F$9) + CHOOSE(CONTROL!$C$27, 0.0021, 0)</f>
        <v>37.5047</v>
      </c>
      <c r="I264" s="10">
        <f>37.5026 * CHOOSE(CONTROL!$C$9, $D$9, 100%, $F$9) + CHOOSE(CONTROL!$C$27, 0.0021, 0)</f>
        <v>37.5047</v>
      </c>
      <c r="J264" s="10">
        <f>37.5026 * CHOOSE(CONTROL!$C$9, $D$9, 100%, $F$9) + CHOOSE(CONTROL!$C$27, 0.0021, 0)</f>
        <v>37.5047</v>
      </c>
      <c r="K264" s="10">
        <f>37.5026 * CHOOSE(CONTROL!$C$9, $D$9, 100%, $F$9) + CHOOSE(CONTROL!$C$27, 0.0021, 0)</f>
        <v>37.5047</v>
      </c>
      <c r="L264" s="10"/>
    </row>
    <row r="265" spans="1:12" ht="15" x14ac:dyDescent="0.2">
      <c r="A265" s="16">
        <v>48976</v>
      </c>
      <c r="B265" s="10">
        <f>36.9267 * CHOOSE(CONTROL!$C$9, $D$9, 100%, $F$9) + CHOOSE(CONTROL!$C$27, 0.0021, 0)</f>
        <v>36.928799999999995</v>
      </c>
      <c r="C265" s="10">
        <f>36.4944 * CHOOSE(CONTROL!$C$9, $D$9, 100%, $F$9) + CHOOSE(CONTROL!$C$27, 0.0021, 0)</f>
        <v>36.496499999999997</v>
      </c>
      <c r="D265" s="10">
        <f>36.4944 * CHOOSE(CONTROL!$C$9, $D$9, 100%, $F$9) + CHOOSE(CONTROL!$C$27, 0.0021, 0)</f>
        <v>36.496499999999997</v>
      </c>
      <c r="E265" s="10">
        <f>36.3577 * CHOOSE(CONTROL!$C$9, $D$9, 100%, $F$9) + CHOOSE(CONTROL!$C$27, 0.0021, 0)</f>
        <v>36.3598</v>
      </c>
      <c r="F265" s="10">
        <f>36.3577 * CHOOSE(CONTROL!$C$9, $D$9, 100%, $F$9) + CHOOSE(CONTROL!$C$27, 0.0021, 0)</f>
        <v>36.3598</v>
      </c>
      <c r="G265" s="10">
        <f>36.6291 * CHOOSE(CONTROL!$C$9, $D$9, 100%, $F$9) + CHOOSE(CONTROL!$C$27, 0.0021, 0)</f>
        <v>36.6312</v>
      </c>
      <c r="H265" s="10">
        <f>36.4944 * CHOOSE(CONTROL!$C$9, $D$9, 100%, $F$9) + CHOOSE(CONTROL!$C$27, 0.0021, 0)</f>
        <v>36.496499999999997</v>
      </c>
      <c r="I265" s="10">
        <f>36.4944 * CHOOSE(CONTROL!$C$9, $D$9, 100%, $F$9) + CHOOSE(CONTROL!$C$27, 0.0021, 0)</f>
        <v>36.496499999999997</v>
      </c>
      <c r="J265" s="10">
        <f>36.4944 * CHOOSE(CONTROL!$C$9, $D$9, 100%, $F$9) + CHOOSE(CONTROL!$C$27, 0.0021, 0)</f>
        <v>36.496499999999997</v>
      </c>
      <c r="K265" s="10">
        <f>36.4944 * CHOOSE(CONTROL!$C$9, $D$9, 100%, $F$9) + CHOOSE(CONTROL!$C$27, 0.0021, 0)</f>
        <v>36.496499999999997</v>
      </c>
      <c r="L265" s="10"/>
    </row>
    <row r="266" spans="1:12" ht="15" x14ac:dyDescent="0.2">
      <c r="A266" s="16">
        <v>49004</v>
      </c>
      <c r="B266" s="10">
        <f>36.5105 * CHOOSE(CONTROL!$C$9, $D$9, 100%, $F$9) + CHOOSE(CONTROL!$C$27, 0.0021, 0)</f>
        <v>36.512599999999999</v>
      </c>
      <c r="C266" s="10">
        <f>36.0782 * CHOOSE(CONTROL!$C$9, $D$9, 100%, $F$9) + CHOOSE(CONTROL!$C$27, 0.0021, 0)</f>
        <v>36.080300000000001</v>
      </c>
      <c r="D266" s="10">
        <f>36.0782 * CHOOSE(CONTROL!$C$9, $D$9, 100%, $F$9) + CHOOSE(CONTROL!$C$27, 0.0021, 0)</f>
        <v>36.080300000000001</v>
      </c>
      <c r="E266" s="10">
        <f>35.9416 * CHOOSE(CONTROL!$C$9, $D$9, 100%, $F$9) + CHOOSE(CONTROL!$C$27, 0.0021, 0)</f>
        <v>35.9437</v>
      </c>
      <c r="F266" s="10">
        <f>35.9416 * CHOOSE(CONTROL!$C$9, $D$9, 100%, $F$9) + CHOOSE(CONTROL!$C$27, 0.0021, 0)</f>
        <v>35.9437</v>
      </c>
      <c r="G266" s="10">
        <f>36.213 * CHOOSE(CONTROL!$C$9, $D$9, 100%, $F$9) + CHOOSE(CONTROL!$C$27, 0.0021, 0)</f>
        <v>36.2151</v>
      </c>
      <c r="H266" s="10">
        <f>36.0782 * CHOOSE(CONTROL!$C$9, $D$9, 100%, $F$9) + CHOOSE(CONTROL!$C$27, 0.0021, 0)</f>
        <v>36.080300000000001</v>
      </c>
      <c r="I266" s="10">
        <f>36.0782 * CHOOSE(CONTROL!$C$9, $D$9, 100%, $F$9) + CHOOSE(CONTROL!$C$27, 0.0021, 0)</f>
        <v>36.080300000000001</v>
      </c>
      <c r="J266" s="10">
        <f>36.0782 * CHOOSE(CONTROL!$C$9, $D$9, 100%, $F$9) + CHOOSE(CONTROL!$C$27, 0.0021, 0)</f>
        <v>36.080300000000001</v>
      </c>
      <c r="K266" s="10">
        <f>36.0782 * CHOOSE(CONTROL!$C$9, $D$9, 100%, $F$9) + CHOOSE(CONTROL!$C$27, 0.0021, 0)</f>
        <v>36.080300000000001</v>
      </c>
      <c r="L266" s="10"/>
    </row>
    <row r="267" spans="1:12" ht="15" x14ac:dyDescent="0.2">
      <c r="A267" s="16">
        <v>49035</v>
      </c>
      <c r="B267" s="10">
        <f>36.0136 * CHOOSE(CONTROL!$C$9, $D$9, 100%, $F$9) + CHOOSE(CONTROL!$C$27, 0.0021, 0)</f>
        <v>36.015699999999995</v>
      </c>
      <c r="C267" s="10">
        <f>35.5813 * CHOOSE(CONTROL!$C$9, $D$9, 100%, $F$9) + CHOOSE(CONTROL!$C$27, 0.0021, 0)</f>
        <v>35.583399999999997</v>
      </c>
      <c r="D267" s="10">
        <f>35.5813 * CHOOSE(CONTROL!$C$9, $D$9, 100%, $F$9) + CHOOSE(CONTROL!$C$27, 0.0021, 0)</f>
        <v>35.583399999999997</v>
      </c>
      <c r="E267" s="10">
        <f>35.4447 * CHOOSE(CONTROL!$C$9, $D$9, 100%, $F$9) + CHOOSE(CONTROL!$C$27, 0.0021, 0)</f>
        <v>35.446799999999996</v>
      </c>
      <c r="F267" s="10">
        <f>35.4447 * CHOOSE(CONTROL!$C$9, $D$9, 100%, $F$9) + CHOOSE(CONTROL!$C$27, 0.0021, 0)</f>
        <v>35.446799999999996</v>
      </c>
      <c r="G267" s="10">
        <f>35.716 * CHOOSE(CONTROL!$C$9, $D$9, 100%, $F$9) + CHOOSE(CONTROL!$C$27, 0.0021, 0)</f>
        <v>35.7181</v>
      </c>
      <c r="H267" s="10">
        <f>35.5813 * CHOOSE(CONTROL!$C$9, $D$9, 100%, $F$9) + CHOOSE(CONTROL!$C$27, 0.0021, 0)</f>
        <v>35.583399999999997</v>
      </c>
      <c r="I267" s="10">
        <f>35.5813 * CHOOSE(CONTROL!$C$9, $D$9, 100%, $F$9) + CHOOSE(CONTROL!$C$27, 0.0021, 0)</f>
        <v>35.583399999999997</v>
      </c>
      <c r="J267" s="10">
        <f>35.5813 * CHOOSE(CONTROL!$C$9, $D$9, 100%, $F$9) + CHOOSE(CONTROL!$C$27, 0.0021, 0)</f>
        <v>35.583399999999997</v>
      </c>
      <c r="K267" s="10">
        <f>35.5813 * CHOOSE(CONTROL!$C$9, $D$9, 100%, $F$9) + CHOOSE(CONTROL!$C$27, 0.0021, 0)</f>
        <v>35.583399999999997</v>
      </c>
      <c r="L267" s="10"/>
    </row>
    <row r="268" spans="1:12" ht="15" x14ac:dyDescent="0.2">
      <c r="A268" s="16">
        <v>49065</v>
      </c>
      <c r="B268" s="10">
        <f>36.7217 * CHOOSE(CONTROL!$C$9, $D$9, 100%, $F$9) + CHOOSE(CONTROL!$C$27, 0.0021, 0)</f>
        <v>36.723799999999997</v>
      </c>
      <c r="C268" s="10">
        <f>36.2895 * CHOOSE(CONTROL!$C$9, $D$9, 100%, $F$9) + CHOOSE(CONTROL!$C$27, 0.0021, 0)</f>
        <v>36.291599999999995</v>
      </c>
      <c r="D268" s="10">
        <f>36.2895 * CHOOSE(CONTROL!$C$9, $D$9, 100%, $F$9) + CHOOSE(CONTROL!$C$27, 0.0021, 0)</f>
        <v>36.291599999999995</v>
      </c>
      <c r="E268" s="10">
        <f>36.1528 * CHOOSE(CONTROL!$C$9, $D$9, 100%, $F$9) + CHOOSE(CONTROL!$C$27, 0.0021, 0)</f>
        <v>36.154899999999998</v>
      </c>
      <c r="F268" s="10">
        <f>36.1528 * CHOOSE(CONTROL!$C$9, $D$9, 100%, $F$9) + CHOOSE(CONTROL!$C$27, 0.0021, 0)</f>
        <v>36.154899999999998</v>
      </c>
      <c r="G268" s="10">
        <f>36.4242 * CHOOSE(CONTROL!$C$9, $D$9, 100%, $F$9) + CHOOSE(CONTROL!$C$27, 0.0021, 0)</f>
        <v>36.426299999999998</v>
      </c>
      <c r="H268" s="10">
        <f>36.2895 * CHOOSE(CONTROL!$C$9, $D$9, 100%, $F$9) + CHOOSE(CONTROL!$C$27, 0.0021, 0)</f>
        <v>36.291599999999995</v>
      </c>
      <c r="I268" s="10">
        <f>36.2895 * CHOOSE(CONTROL!$C$9, $D$9, 100%, $F$9) + CHOOSE(CONTROL!$C$27, 0.0021, 0)</f>
        <v>36.291599999999995</v>
      </c>
      <c r="J268" s="10">
        <f>36.2895 * CHOOSE(CONTROL!$C$9, $D$9, 100%, $F$9) + CHOOSE(CONTROL!$C$27, 0.0021, 0)</f>
        <v>36.291599999999995</v>
      </c>
      <c r="K268" s="10">
        <f>36.2895 * CHOOSE(CONTROL!$C$9, $D$9, 100%, $F$9) + CHOOSE(CONTROL!$C$27, 0.0021, 0)</f>
        <v>36.291599999999995</v>
      </c>
      <c r="L268" s="10"/>
    </row>
    <row r="269" spans="1:12" ht="15" x14ac:dyDescent="0.2">
      <c r="A269" s="16">
        <v>49096</v>
      </c>
      <c r="B269" s="10">
        <f>37.1459 * CHOOSE(CONTROL!$C$9, $D$9, 100%, $F$9) + CHOOSE(CONTROL!$C$27, 0.0021, 0)</f>
        <v>37.147999999999996</v>
      </c>
      <c r="C269" s="10">
        <f>36.7136 * CHOOSE(CONTROL!$C$9, $D$9, 100%, $F$9) + CHOOSE(CONTROL!$C$27, 0.0021, 0)</f>
        <v>36.715699999999998</v>
      </c>
      <c r="D269" s="10">
        <f>36.7136 * CHOOSE(CONTROL!$C$9, $D$9, 100%, $F$9) + CHOOSE(CONTROL!$C$27, 0.0021, 0)</f>
        <v>36.715699999999998</v>
      </c>
      <c r="E269" s="10">
        <f>36.577 * CHOOSE(CONTROL!$C$9, $D$9, 100%, $F$9) + CHOOSE(CONTROL!$C$27, 0.0021, 0)</f>
        <v>36.579099999999997</v>
      </c>
      <c r="F269" s="10">
        <f>36.577 * CHOOSE(CONTROL!$C$9, $D$9, 100%, $F$9) + CHOOSE(CONTROL!$C$27, 0.0021, 0)</f>
        <v>36.579099999999997</v>
      </c>
      <c r="G269" s="10">
        <f>36.8484 * CHOOSE(CONTROL!$C$9, $D$9, 100%, $F$9) + CHOOSE(CONTROL!$C$27, 0.0021, 0)</f>
        <v>36.850499999999997</v>
      </c>
      <c r="H269" s="10">
        <f>36.7136 * CHOOSE(CONTROL!$C$9, $D$9, 100%, $F$9) + CHOOSE(CONTROL!$C$27, 0.0021, 0)</f>
        <v>36.715699999999998</v>
      </c>
      <c r="I269" s="10">
        <f>36.7136 * CHOOSE(CONTROL!$C$9, $D$9, 100%, $F$9) + CHOOSE(CONTROL!$C$27, 0.0021, 0)</f>
        <v>36.715699999999998</v>
      </c>
      <c r="J269" s="10">
        <f>36.7136 * CHOOSE(CONTROL!$C$9, $D$9, 100%, $F$9) + CHOOSE(CONTROL!$C$27, 0.0021, 0)</f>
        <v>36.715699999999998</v>
      </c>
      <c r="K269" s="10">
        <f>36.7136 * CHOOSE(CONTROL!$C$9, $D$9, 100%, $F$9) + CHOOSE(CONTROL!$C$27, 0.0021, 0)</f>
        <v>36.715699999999998</v>
      </c>
      <c r="L269" s="10"/>
    </row>
    <row r="270" spans="1:12" ht="15" x14ac:dyDescent="0.2">
      <c r="A270" s="16">
        <v>49126</v>
      </c>
      <c r="B270" s="10">
        <f>37.8456 * CHOOSE(CONTROL!$C$9, $D$9, 100%, $F$9) + CHOOSE(CONTROL!$C$27, 0.0021, 0)</f>
        <v>37.847699999999996</v>
      </c>
      <c r="C270" s="10">
        <f>37.4134 * CHOOSE(CONTROL!$C$9, $D$9, 100%, $F$9) + CHOOSE(CONTROL!$C$27, 0.0021, 0)</f>
        <v>37.415500000000002</v>
      </c>
      <c r="D270" s="10">
        <f>37.4134 * CHOOSE(CONTROL!$C$9, $D$9, 100%, $F$9) + CHOOSE(CONTROL!$C$27, 0.0021, 0)</f>
        <v>37.415500000000002</v>
      </c>
      <c r="E270" s="10">
        <f>37.2767 * CHOOSE(CONTROL!$C$9, $D$9, 100%, $F$9) + CHOOSE(CONTROL!$C$27, 0.0021, 0)</f>
        <v>37.278799999999997</v>
      </c>
      <c r="F270" s="10">
        <f>37.2767 * CHOOSE(CONTROL!$C$9, $D$9, 100%, $F$9) + CHOOSE(CONTROL!$C$27, 0.0021, 0)</f>
        <v>37.278799999999997</v>
      </c>
      <c r="G270" s="10">
        <f>37.5481 * CHOOSE(CONTROL!$C$9, $D$9, 100%, $F$9) + CHOOSE(CONTROL!$C$27, 0.0021, 0)</f>
        <v>37.550199999999997</v>
      </c>
      <c r="H270" s="10">
        <f>37.4134 * CHOOSE(CONTROL!$C$9, $D$9, 100%, $F$9) + CHOOSE(CONTROL!$C$27, 0.0021, 0)</f>
        <v>37.415500000000002</v>
      </c>
      <c r="I270" s="10">
        <f>37.4134 * CHOOSE(CONTROL!$C$9, $D$9, 100%, $F$9) + CHOOSE(CONTROL!$C$27, 0.0021, 0)</f>
        <v>37.415500000000002</v>
      </c>
      <c r="J270" s="10">
        <f>37.4134 * CHOOSE(CONTROL!$C$9, $D$9, 100%, $F$9) + CHOOSE(CONTROL!$C$27, 0.0021, 0)</f>
        <v>37.415500000000002</v>
      </c>
      <c r="K270" s="10">
        <f>37.4134 * CHOOSE(CONTROL!$C$9, $D$9, 100%, $F$9) + CHOOSE(CONTROL!$C$27, 0.0021, 0)</f>
        <v>37.415500000000002</v>
      </c>
      <c r="L270" s="10"/>
    </row>
    <row r="271" spans="1:12" ht="15" x14ac:dyDescent="0.2">
      <c r="A271" s="16">
        <v>49157</v>
      </c>
      <c r="B271" s="10">
        <f>38.0592 * CHOOSE(CONTROL!$C$9, $D$9, 100%, $F$9) + CHOOSE(CONTROL!$C$27, 0.0021, 0)</f>
        <v>38.061299999999996</v>
      </c>
      <c r="C271" s="10">
        <f>37.6269 * CHOOSE(CONTROL!$C$9, $D$9, 100%, $F$9) + CHOOSE(CONTROL!$C$27, 0.0021, 0)</f>
        <v>37.628999999999998</v>
      </c>
      <c r="D271" s="10">
        <f>37.6269 * CHOOSE(CONTROL!$C$9, $D$9, 100%, $F$9) + CHOOSE(CONTROL!$C$27, 0.0021, 0)</f>
        <v>37.628999999999998</v>
      </c>
      <c r="E271" s="10">
        <f>37.4903 * CHOOSE(CONTROL!$C$9, $D$9, 100%, $F$9) + CHOOSE(CONTROL!$C$27, 0.0021, 0)</f>
        <v>37.492399999999996</v>
      </c>
      <c r="F271" s="10">
        <f>37.4903 * CHOOSE(CONTROL!$C$9, $D$9, 100%, $F$9) + CHOOSE(CONTROL!$C$27, 0.0021, 0)</f>
        <v>37.492399999999996</v>
      </c>
      <c r="G271" s="10">
        <f>37.7616 * CHOOSE(CONTROL!$C$9, $D$9, 100%, $F$9) + CHOOSE(CONTROL!$C$27, 0.0021, 0)</f>
        <v>37.7637</v>
      </c>
      <c r="H271" s="10">
        <f>37.6269 * CHOOSE(CONTROL!$C$9, $D$9, 100%, $F$9) + CHOOSE(CONTROL!$C$27, 0.0021, 0)</f>
        <v>37.628999999999998</v>
      </c>
      <c r="I271" s="10">
        <f>37.6269 * CHOOSE(CONTROL!$C$9, $D$9, 100%, $F$9) + CHOOSE(CONTROL!$C$27, 0.0021, 0)</f>
        <v>37.628999999999998</v>
      </c>
      <c r="J271" s="10">
        <f>37.6269 * CHOOSE(CONTROL!$C$9, $D$9, 100%, $F$9) + CHOOSE(CONTROL!$C$27, 0.0021, 0)</f>
        <v>37.628999999999998</v>
      </c>
      <c r="K271" s="10">
        <f>37.6269 * CHOOSE(CONTROL!$C$9, $D$9, 100%, $F$9) + CHOOSE(CONTROL!$C$27, 0.0021, 0)</f>
        <v>37.628999999999998</v>
      </c>
      <c r="L271" s="10"/>
    </row>
    <row r="272" spans="1:12" ht="15" x14ac:dyDescent="0.2">
      <c r="A272" s="16">
        <v>49188</v>
      </c>
      <c r="B272" s="10">
        <f>38.7865 * CHOOSE(CONTROL!$C$9, $D$9, 100%, $F$9) + CHOOSE(CONTROL!$C$27, 0.0021, 0)</f>
        <v>38.788599999999995</v>
      </c>
      <c r="C272" s="10">
        <f>38.3542 * CHOOSE(CONTROL!$C$9, $D$9, 100%, $F$9) + CHOOSE(CONTROL!$C$27, 0.0021, 0)</f>
        <v>38.356299999999997</v>
      </c>
      <c r="D272" s="10">
        <f>38.3542 * CHOOSE(CONTROL!$C$9, $D$9, 100%, $F$9) + CHOOSE(CONTROL!$C$27, 0.0021, 0)</f>
        <v>38.356299999999997</v>
      </c>
      <c r="E272" s="10">
        <f>38.2176 * CHOOSE(CONTROL!$C$9, $D$9, 100%, $F$9) + CHOOSE(CONTROL!$C$27, 0.0021, 0)</f>
        <v>38.219699999999996</v>
      </c>
      <c r="F272" s="10">
        <f>38.2176 * CHOOSE(CONTROL!$C$9, $D$9, 100%, $F$9) + CHOOSE(CONTROL!$C$27, 0.0021, 0)</f>
        <v>38.219699999999996</v>
      </c>
      <c r="G272" s="10">
        <f>38.489 * CHOOSE(CONTROL!$C$9, $D$9, 100%, $F$9) + CHOOSE(CONTROL!$C$27, 0.0021, 0)</f>
        <v>38.491099999999996</v>
      </c>
      <c r="H272" s="10">
        <f>38.3542 * CHOOSE(CONTROL!$C$9, $D$9, 100%, $F$9) + CHOOSE(CONTROL!$C$27, 0.0021, 0)</f>
        <v>38.356299999999997</v>
      </c>
      <c r="I272" s="10">
        <f>38.3542 * CHOOSE(CONTROL!$C$9, $D$9, 100%, $F$9) + CHOOSE(CONTROL!$C$27, 0.0021, 0)</f>
        <v>38.356299999999997</v>
      </c>
      <c r="J272" s="10">
        <f>38.3542 * CHOOSE(CONTROL!$C$9, $D$9, 100%, $F$9) + CHOOSE(CONTROL!$C$27, 0.0021, 0)</f>
        <v>38.356299999999997</v>
      </c>
      <c r="K272" s="10">
        <f>38.3542 * CHOOSE(CONTROL!$C$9, $D$9, 100%, $F$9) + CHOOSE(CONTROL!$C$27, 0.0021, 0)</f>
        <v>38.356299999999997</v>
      </c>
      <c r="L272" s="10"/>
    </row>
    <row r="273" spans="1:12" ht="15" x14ac:dyDescent="0.2">
      <c r="A273" s="16">
        <v>49218</v>
      </c>
      <c r="B273" s="10">
        <f>39.7071 * CHOOSE(CONTROL!$C$9, $D$9, 100%, $F$9) + CHOOSE(CONTROL!$C$27, 0.0021, 0)</f>
        <v>39.709199999999996</v>
      </c>
      <c r="C273" s="10">
        <f>39.2749 * CHOOSE(CONTROL!$C$9, $D$9, 100%, $F$9) + CHOOSE(CONTROL!$C$27, 0.0021, 0)</f>
        <v>39.277000000000001</v>
      </c>
      <c r="D273" s="10">
        <f>39.2749 * CHOOSE(CONTROL!$C$9, $D$9, 100%, $F$9) + CHOOSE(CONTROL!$C$27, 0.0021, 0)</f>
        <v>39.277000000000001</v>
      </c>
      <c r="E273" s="10">
        <f>39.1382 * CHOOSE(CONTROL!$C$9, $D$9, 100%, $F$9) + CHOOSE(CONTROL!$C$27, 0.0021, 0)</f>
        <v>39.140299999999996</v>
      </c>
      <c r="F273" s="10">
        <f>39.1382 * CHOOSE(CONTROL!$C$9, $D$9, 100%, $F$9) + CHOOSE(CONTROL!$C$27, 0.0021, 0)</f>
        <v>39.140299999999996</v>
      </c>
      <c r="G273" s="10">
        <f>39.4096 * CHOOSE(CONTROL!$C$9, $D$9, 100%, $F$9) + CHOOSE(CONTROL!$C$27, 0.0021, 0)</f>
        <v>39.411699999999996</v>
      </c>
      <c r="H273" s="10">
        <f>39.2749 * CHOOSE(CONTROL!$C$9, $D$9, 100%, $F$9) + CHOOSE(CONTROL!$C$27, 0.0021, 0)</f>
        <v>39.277000000000001</v>
      </c>
      <c r="I273" s="10">
        <f>39.2749 * CHOOSE(CONTROL!$C$9, $D$9, 100%, $F$9) + CHOOSE(CONTROL!$C$27, 0.0021, 0)</f>
        <v>39.277000000000001</v>
      </c>
      <c r="J273" s="10">
        <f>39.2749 * CHOOSE(CONTROL!$C$9, $D$9, 100%, $F$9) + CHOOSE(CONTROL!$C$27, 0.0021, 0)</f>
        <v>39.277000000000001</v>
      </c>
      <c r="K273" s="10">
        <f>39.2749 * CHOOSE(CONTROL!$C$9, $D$9, 100%, $F$9) + CHOOSE(CONTROL!$C$27, 0.0021, 0)</f>
        <v>39.277000000000001</v>
      </c>
      <c r="L273" s="10"/>
    </row>
    <row r="274" spans="1:12" ht="15" x14ac:dyDescent="0.2">
      <c r="A274" s="16">
        <v>49249</v>
      </c>
      <c r="B274" s="10">
        <f>39.7936 * CHOOSE(CONTROL!$C$9, $D$9, 100%, $F$9) + CHOOSE(CONTROL!$C$27, 0.0021, 0)</f>
        <v>39.795699999999997</v>
      </c>
      <c r="C274" s="10">
        <f>39.3613 * CHOOSE(CONTROL!$C$9, $D$9, 100%, $F$9) + CHOOSE(CONTROL!$C$27, 0.0021, 0)</f>
        <v>39.363399999999999</v>
      </c>
      <c r="D274" s="10">
        <f>39.3613 * CHOOSE(CONTROL!$C$9, $D$9, 100%, $F$9) + CHOOSE(CONTROL!$C$27, 0.0021, 0)</f>
        <v>39.363399999999999</v>
      </c>
      <c r="E274" s="10">
        <f>39.2247 * CHOOSE(CONTROL!$C$9, $D$9, 100%, $F$9) + CHOOSE(CONTROL!$C$27, 0.0021, 0)</f>
        <v>39.226799999999997</v>
      </c>
      <c r="F274" s="10">
        <f>39.2247 * CHOOSE(CONTROL!$C$9, $D$9, 100%, $F$9) + CHOOSE(CONTROL!$C$27, 0.0021, 0)</f>
        <v>39.226799999999997</v>
      </c>
      <c r="G274" s="10">
        <f>39.496 * CHOOSE(CONTROL!$C$9, $D$9, 100%, $F$9) + CHOOSE(CONTROL!$C$27, 0.0021, 0)</f>
        <v>39.498100000000001</v>
      </c>
      <c r="H274" s="10">
        <f>39.3613 * CHOOSE(CONTROL!$C$9, $D$9, 100%, $F$9) + CHOOSE(CONTROL!$C$27, 0.0021, 0)</f>
        <v>39.363399999999999</v>
      </c>
      <c r="I274" s="10">
        <f>39.3613 * CHOOSE(CONTROL!$C$9, $D$9, 100%, $F$9) + CHOOSE(CONTROL!$C$27, 0.0021, 0)</f>
        <v>39.363399999999999</v>
      </c>
      <c r="J274" s="10">
        <f>39.3613 * CHOOSE(CONTROL!$C$9, $D$9, 100%, $F$9) + CHOOSE(CONTROL!$C$27, 0.0021, 0)</f>
        <v>39.363399999999999</v>
      </c>
      <c r="K274" s="10">
        <f>39.3613 * CHOOSE(CONTROL!$C$9, $D$9, 100%, $F$9) + CHOOSE(CONTROL!$C$27, 0.0021, 0)</f>
        <v>39.363399999999999</v>
      </c>
      <c r="L274" s="10"/>
    </row>
    <row r="275" spans="1:12" ht="15" x14ac:dyDescent="0.2">
      <c r="A275" s="16">
        <v>49279</v>
      </c>
      <c r="B275" s="10">
        <f>39.0583 * CHOOSE(CONTROL!$C$9, $D$9, 100%, $F$9) + CHOOSE(CONTROL!$C$27, 0.0021, 0)</f>
        <v>39.060400000000001</v>
      </c>
      <c r="C275" s="10">
        <f>38.626 * CHOOSE(CONTROL!$C$9, $D$9, 100%, $F$9) + CHOOSE(CONTROL!$C$27, 0.0021, 0)</f>
        <v>38.628099999999996</v>
      </c>
      <c r="D275" s="10">
        <f>38.626 * CHOOSE(CONTROL!$C$9, $D$9, 100%, $F$9) + CHOOSE(CONTROL!$C$27, 0.0021, 0)</f>
        <v>38.628099999999996</v>
      </c>
      <c r="E275" s="10">
        <f>38.4894 * CHOOSE(CONTROL!$C$9, $D$9, 100%, $F$9) + CHOOSE(CONTROL!$C$27, 0.0021, 0)</f>
        <v>38.491500000000002</v>
      </c>
      <c r="F275" s="10">
        <f>38.4894 * CHOOSE(CONTROL!$C$9, $D$9, 100%, $F$9) + CHOOSE(CONTROL!$C$27, 0.0021, 0)</f>
        <v>38.491500000000002</v>
      </c>
      <c r="G275" s="10">
        <f>38.7607 * CHOOSE(CONTROL!$C$9, $D$9, 100%, $F$9) + CHOOSE(CONTROL!$C$27, 0.0021, 0)</f>
        <v>38.762799999999999</v>
      </c>
      <c r="H275" s="10">
        <f>38.626 * CHOOSE(CONTROL!$C$9, $D$9, 100%, $F$9) + CHOOSE(CONTROL!$C$27, 0.0021, 0)</f>
        <v>38.628099999999996</v>
      </c>
      <c r="I275" s="10">
        <f>38.626 * CHOOSE(CONTROL!$C$9, $D$9, 100%, $F$9) + CHOOSE(CONTROL!$C$27, 0.0021, 0)</f>
        <v>38.628099999999996</v>
      </c>
      <c r="J275" s="10">
        <f>38.626 * CHOOSE(CONTROL!$C$9, $D$9, 100%, $F$9) + CHOOSE(CONTROL!$C$27, 0.0021, 0)</f>
        <v>38.628099999999996</v>
      </c>
      <c r="K275" s="10">
        <f>38.626 * CHOOSE(CONTROL!$C$9, $D$9, 100%, $F$9) + CHOOSE(CONTROL!$C$27, 0.0021, 0)</f>
        <v>38.628099999999996</v>
      </c>
      <c r="L275" s="10"/>
    </row>
    <row r="276" spans="1:12" ht="15" x14ac:dyDescent="0.2">
      <c r="A276" s="16">
        <v>49310</v>
      </c>
      <c r="B276" s="10">
        <f>38.5766 * CHOOSE(CONTROL!$C$9, $D$9, 100%, $F$9) + CHOOSE(CONTROL!$C$27, 0.0021, 0)</f>
        <v>38.578699999999998</v>
      </c>
      <c r="C276" s="10">
        <f>38.1443 * CHOOSE(CONTROL!$C$9, $D$9, 100%, $F$9) + CHOOSE(CONTROL!$C$27, 0.0021, 0)</f>
        <v>38.1464</v>
      </c>
      <c r="D276" s="10">
        <f>38.1443 * CHOOSE(CONTROL!$C$9, $D$9, 100%, $F$9) + CHOOSE(CONTROL!$C$27, 0.0021, 0)</f>
        <v>38.1464</v>
      </c>
      <c r="E276" s="10">
        <f>38.0076 * CHOOSE(CONTROL!$C$9, $D$9, 100%, $F$9) + CHOOSE(CONTROL!$C$27, 0.0021, 0)</f>
        <v>38.009699999999995</v>
      </c>
      <c r="F276" s="10">
        <f>38.0076 * CHOOSE(CONTROL!$C$9, $D$9, 100%, $F$9) + CHOOSE(CONTROL!$C$27, 0.0021, 0)</f>
        <v>38.009699999999995</v>
      </c>
      <c r="G276" s="10">
        <f>38.279 * CHOOSE(CONTROL!$C$9, $D$9, 100%, $F$9) + CHOOSE(CONTROL!$C$27, 0.0021, 0)</f>
        <v>38.281100000000002</v>
      </c>
      <c r="H276" s="10">
        <f>38.1443 * CHOOSE(CONTROL!$C$9, $D$9, 100%, $F$9) + CHOOSE(CONTROL!$C$27, 0.0021, 0)</f>
        <v>38.1464</v>
      </c>
      <c r="I276" s="10">
        <f>38.1443 * CHOOSE(CONTROL!$C$9, $D$9, 100%, $F$9) + CHOOSE(CONTROL!$C$27, 0.0021, 0)</f>
        <v>38.1464</v>
      </c>
      <c r="J276" s="10">
        <f>38.1443 * CHOOSE(CONTROL!$C$9, $D$9, 100%, $F$9) + CHOOSE(CONTROL!$C$27, 0.0021, 0)</f>
        <v>38.1464</v>
      </c>
      <c r="K276" s="10">
        <f>38.1443 * CHOOSE(CONTROL!$C$9, $D$9, 100%, $F$9) + CHOOSE(CONTROL!$C$27, 0.0021, 0)</f>
        <v>38.1464</v>
      </c>
      <c r="L276" s="10"/>
    </row>
    <row r="277" spans="1:12" ht="15" x14ac:dyDescent="0.2">
      <c r="A277" s="16">
        <v>49341</v>
      </c>
      <c r="B277" s="10">
        <f>37.5502 * CHOOSE(CONTROL!$C$9, $D$9, 100%, $F$9) + CHOOSE(CONTROL!$C$27, 0.0021, 0)</f>
        <v>37.552299999999995</v>
      </c>
      <c r="C277" s="10">
        <f>37.118 * CHOOSE(CONTROL!$C$9, $D$9, 100%, $F$9) + CHOOSE(CONTROL!$C$27, 0.0021, 0)</f>
        <v>37.120100000000001</v>
      </c>
      <c r="D277" s="10">
        <f>37.118 * CHOOSE(CONTROL!$C$9, $D$9, 100%, $F$9) + CHOOSE(CONTROL!$C$27, 0.0021, 0)</f>
        <v>37.120100000000001</v>
      </c>
      <c r="E277" s="10">
        <f>36.9813 * CHOOSE(CONTROL!$C$9, $D$9, 100%, $F$9) + CHOOSE(CONTROL!$C$27, 0.0021, 0)</f>
        <v>36.983399999999996</v>
      </c>
      <c r="F277" s="10">
        <f>36.9813 * CHOOSE(CONTROL!$C$9, $D$9, 100%, $F$9) + CHOOSE(CONTROL!$C$27, 0.0021, 0)</f>
        <v>36.983399999999996</v>
      </c>
      <c r="G277" s="10">
        <f>37.2527 * CHOOSE(CONTROL!$C$9, $D$9, 100%, $F$9) + CHOOSE(CONTROL!$C$27, 0.0021, 0)</f>
        <v>37.254799999999996</v>
      </c>
      <c r="H277" s="10">
        <f>37.118 * CHOOSE(CONTROL!$C$9, $D$9, 100%, $F$9) + CHOOSE(CONTROL!$C$27, 0.0021, 0)</f>
        <v>37.120100000000001</v>
      </c>
      <c r="I277" s="10">
        <f>37.118 * CHOOSE(CONTROL!$C$9, $D$9, 100%, $F$9) + CHOOSE(CONTROL!$C$27, 0.0021, 0)</f>
        <v>37.120100000000001</v>
      </c>
      <c r="J277" s="10">
        <f>37.118 * CHOOSE(CONTROL!$C$9, $D$9, 100%, $F$9) + CHOOSE(CONTROL!$C$27, 0.0021, 0)</f>
        <v>37.120100000000001</v>
      </c>
      <c r="K277" s="10">
        <f>37.118 * CHOOSE(CONTROL!$C$9, $D$9, 100%, $F$9) + CHOOSE(CONTROL!$C$27, 0.0021, 0)</f>
        <v>37.120100000000001</v>
      </c>
      <c r="L277" s="10"/>
    </row>
    <row r="278" spans="1:12" ht="15" x14ac:dyDescent="0.2">
      <c r="A278" s="16">
        <v>49369</v>
      </c>
      <c r="B278" s="10">
        <f>37.1266 * CHOOSE(CONTROL!$C$9, $D$9, 100%, $F$9) + CHOOSE(CONTROL!$C$27, 0.0021, 0)</f>
        <v>37.128700000000002</v>
      </c>
      <c r="C278" s="10">
        <f>36.6943 * CHOOSE(CONTROL!$C$9, $D$9, 100%, $F$9) + CHOOSE(CONTROL!$C$27, 0.0021, 0)</f>
        <v>36.696399999999997</v>
      </c>
      <c r="D278" s="10">
        <f>36.6943 * CHOOSE(CONTROL!$C$9, $D$9, 100%, $F$9) + CHOOSE(CONTROL!$C$27, 0.0021, 0)</f>
        <v>36.696399999999997</v>
      </c>
      <c r="E278" s="10">
        <f>36.5577 * CHOOSE(CONTROL!$C$9, $D$9, 100%, $F$9) + CHOOSE(CONTROL!$C$27, 0.0021, 0)</f>
        <v>36.559799999999996</v>
      </c>
      <c r="F278" s="10">
        <f>36.5577 * CHOOSE(CONTROL!$C$9, $D$9, 100%, $F$9) + CHOOSE(CONTROL!$C$27, 0.0021, 0)</f>
        <v>36.559799999999996</v>
      </c>
      <c r="G278" s="10">
        <f>36.829 * CHOOSE(CONTROL!$C$9, $D$9, 100%, $F$9) + CHOOSE(CONTROL!$C$27, 0.0021, 0)</f>
        <v>36.831099999999999</v>
      </c>
      <c r="H278" s="10">
        <f>36.6943 * CHOOSE(CONTROL!$C$9, $D$9, 100%, $F$9) + CHOOSE(CONTROL!$C$27, 0.0021, 0)</f>
        <v>36.696399999999997</v>
      </c>
      <c r="I278" s="10">
        <f>36.6943 * CHOOSE(CONTROL!$C$9, $D$9, 100%, $F$9) + CHOOSE(CONTROL!$C$27, 0.0021, 0)</f>
        <v>36.696399999999997</v>
      </c>
      <c r="J278" s="10">
        <f>36.6943 * CHOOSE(CONTROL!$C$9, $D$9, 100%, $F$9) + CHOOSE(CONTROL!$C$27, 0.0021, 0)</f>
        <v>36.696399999999997</v>
      </c>
      <c r="K278" s="10">
        <f>36.6943 * CHOOSE(CONTROL!$C$9, $D$9, 100%, $F$9) + CHOOSE(CONTROL!$C$27, 0.0021, 0)</f>
        <v>36.696399999999997</v>
      </c>
      <c r="L278" s="10"/>
    </row>
    <row r="279" spans="1:12" ht="15" x14ac:dyDescent="0.2">
      <c r="A279" s="16">
        <v>49400</v>
      </c>
      <c r="B279" s="10">
        <f>36.6207 * CHOOSE(CONTROL!$C$9, $D$9, 100%, $F$9) + CHOOSE(CONTROL!$C$27, 0.0021, 0)</f>
        <v>36.622799999999998</v>
      </c>
      <c r="C279" s="10">
        <f>36.1885 * CHOOSE(CONTROL!$C$9, $D$9, 100%, $F$9) + CHOOSE(CONTROL!$C$27, 0.0021, 0)</f>
        <v>36.190599999999996</v>
      </c>
      <c r="D279" s="10">
        <f>36.1885 * CHOOSE(CONTROL!$C$9, $D$9, 100%, $F$9) + CHOOSE(CONTROL!$C$27, 0.0021, 0)</f>
        <v>36.190599999999996</v>
      </c>
      <c r="E279" s="10">
        <f>36.0518 * CHOOSE(CONTROL!$C$9, $D$9, 100%, $F$9) + CHOOSE(CONTROL!$C$27, 0.0021, 0)</f>
        <v>36.053899999999999</v>
      </c>
      <c r="F279" s="10">
        <f>36.0518 * CHOOSE(CONTROL!$C$9, $D$9, 100%, $F$9) + CHOOSE(CONTROL!$C$27, 0.0021, 0)</f>
        <v>36.053899999999999</v>
      </c>
      <c r="G279" s="10">
        <f>36.3232 * CHOOSE(CONTROL!$C$9, $D$9, 100%, $F$9) + CHOOSE(CONTROL!$C$27, 0.0021, 0)</f>
        <v>36.325299999999999</v>
      </c>
      <c r="H279" s="10">
        <f>36.1885 * CHOOSE(CONTROL!$C$9, $D$9, 100%, $F$9) + CHOOSE(CONTROL!$C$27, 0.0021, 0)</f>
        <v>36.190599999999996</v>
      </c>
      <c r="I279" s="10">
        <f>36.1885 * CHOOSE(CONTROL!$C$9, $D$9, 100%, $F$9) + CHOOSE(CONTROL!$C$27, 0.0021, 0)</f>
        <v>36.190599999999996</v>
      </c>
      <c r="J279" s="10">
        <f>36.1885 * CHOOSE(CONTROL!$C$9, $D$9, 100%, $F$9) + CHOOSE(CONTROL!$C$27, 0.0021, 0)</f>
        <v>36.190599999999996</v>
      </c>
      <c r="K279" s="10">
        <f>36.1885 * CHOOSE(CONTROL!$C$9, $D$9, 100%, $F$9) + CHOOSE(CONTROL!$C$27, 0.0021, 0)</f>
        <v>36.190599999999996</v>
      </c>
      <c r="L279" s="10"/>
    </row>
    <row r="280" spans="1:12" ht="15" x14ac:dyDescent="0.2">
      <c r="A280" s="16">
        <v>49430</v>
      </c>
      <c r="B280" s="10">
        <f>37.3416 * CHOOSE(CONTROL!$C$9, $D$9, 100%, $F$9) + CHOOSE(CONTROL!$C$27, 0.0021, 0)</f>
        <v>37.343699999999998</v>
      </c>
      <c r="C280" s="10">
        <f>36.9094 * CHOOSE(CONTROL!$C$9, $D$9, 100%, $F$9) + CHOOSE(CONTROL!$C$27, 0.0021, 0)</f>
        <v>36.911499999999997</v>
      </c>
      <c r="D280" s="10">
        <f>36.9094 * CHOOSE(CONTROL!$C$9, $D$9, 100%, $F$9) + CHOOSE(CONTROL!$C$27, 0.0021, 0)</f>
        <v>36.911499999999997</v>
      </c>
      <c r="E280" s="10">
        <f>36.7727 * CHOOSE(CONTROL!$C$9, $D$9, 100%, $F$9) + CHOOSE(CONTROL!$C$27, 0.0021, 0)</f>
        <v>36.774799999999999</v>
      </c>
      <c r="F280" s="10">
        <f>36.7727 * CHOOSE(CONTROL!$C$9, $D$9, 100%, $F$9) + CHOOSE(CONTROL!$C$27, 0.0021, 0)</f>
        <v>36.774799999999999</v>
      </c>
      <c r="G280" s="10">
        <f>37.0441 * CHOOSE(CONTROL!$C$9, $D$9, 100%, $F$9) + CHOOSE(CONTROL!$C$27, 0.0021, 0)</f>
        <v>37.046199999999999</v>
      </c>
      <c r="H280" s="10">
        <f>36.9094 * CHOOSE(CONTROL!$C$9, $D$9, 100%, $F$9) + CHOOSE(CONTROL!$C$27, 0.0021, 0)</f>
        <v>36.911499999999997</v>
      </c>
      <c r="I280" s="10">
        <f>36.9094 * CHOOSE(CONTROL!$C$9, $D$9, 100%, $F$9) + CHOOSE(CONTROL!$C$27, 0.0021, 0)</f>
        <v>36.911499999999997</v>
      </c>
      <c r="J280" s="10">
        <f>36.9094 * CHOOSE(CONTROL!$C$9, $D$9, 100%, $F$9) + CHOOSE(CONTROL!$C$27, 0.0021, 0)</f>
        <v>36.911499999999997</v>
      </c>
      <c r="K280" s="10">
        <f>36.9094 * CHOOSE(CONTROL!$C$9, $D$9, 100%, $F$9) + CHOOSE(CONTROL!$C$27, 0.0021, 0)</f>
        <v>36.911499999999997</v>
      </c>
      <c r="L280" s="10"/>
    </row>
    <row r="281" spans="1:12" ht="15" x14ac:dyDescent="0.2">
      <c r="A281" s="15">
        <v>49461</v>
      </c>
      <c r="B281" s="10">
        <f>37.7734 * CHOOSE(CONTROL!$C$9, $D$9, 100%, $F$9) + CHOOSE(CONTROL!$C$27, 0.0021, 0)</f>
        <v>37.775500000000001</v>
      </c>
      <c r="C281" s="10">
        <f>37.3412 * CHOOSE(CONTROL!$C$9, $D$9, 100%, $F$9) + CHOOSE(CONTROL!$C$27, 0.0021, 0)</f>
        <v>37.343299999999999</v>
      </c>
      <c r="D281" s="10">
        <f>37.3412 * CHOOSE(CONTROL!$C$9, $D$9, 100%, $F$9) + CHOOSE(CONTROL!$C$27, 0.0021, 0)</f>
        <v>37.343299999999999</v>
      </c>
      <c r="E281" s="10">
        <f>37.2045 * CHOOSE(CONTROL!$C$9, $D$9, 100%, $F$9) + CHOOSE(CONTROL!$C$27, 0.0021, 0)</f>
        <v>37.206600000000002</v>
      </c>
      <c r="F281" s="10">
        <f>37.2045 * CHOOSE(CONTROL!$C$9, $D$9, 100%, $F$9) + CHOOSE(CONTROL!$C$27, 0.0021, 0)</f>
        <v>37.206600000000002</v>
      </c>
      <c r="G281" s="10">
        <f>37.4759 * CHOOSE(CONTROL!$C$9, $D$9, 100%, $F$9) + CHOOSE(CONTROL!$C$27, 0.0021, 0)</f>
        <v>37.478000000000002</v>
      </c>
      <c r="H281" s="10">
        <f>37.3412 * CHOOSE(CONTROL!$C$9, $D$9, 100%, $F$9) + CHOOSE(CONTROL!$C$27, 0.0021, 0)</f>
        <v>37.343299999999999</v>
      </c>
      <c r="I281" s="10">
        <f>37.3412 * CHOOSE(CONTROL!$C$9, $D$9, 100%, $F$9) + CHOOSE(CONTROL!$C$27, 0.0021, 0)</f>
        <v>37.343299999999999</v>
      </c>
      <c r="J281" s="10">
        <f>37.3412 * CHOOSE(CONTROL!$C$9, $D$9, 100%, $F$9) + CHOOSE(CONTROL!$C$27, 0.0021, 0)</f>
        <v>37.343299999999999</v>
      </c>
      <c r="K281" s="10">
        <f>37.3412 * CHOOSE(CONTROL!$C$9, $D$9, 100%, $F$9) + CHOOSE(CONTROL!$C$27, 0.0021, 0)</f>
        <v>37.343299999999999</v>
      </c>
      <c r="L281" s="10"/>
    </row>
    <row r="282" spans="1:12" ht="15" x14ac:dyDescent="0.2">
      <c r="A282" s="15">
        <v>49491</v>
      </c>
      <c r="B282" s="10">
        <f>38.4857 * CHOOSE(CONTROL!$C$9, $D$9, 100%, $F$9) + CHOOSE(CONTROL!$C$27, 0.0021, 0)</f>
        <v>38.4878</v>
      </c>
      <c r="C282" s="10">
        <f>38.0535 * CHOOSE(CONTROL!$C$9, $D$9, 100%, $F$9) + CHOOSE(CONTROL!$C$27, 0.0021, 0)</f>
        <v>38.055599999999998</v>
      </c>
      <c r="D282" s="10">
        <f>38.0535 * CHOOSE(CONTROL!$C$9, $D$9, 100%, $F$9) + CHOOSE(CONTROL!$C$27, 0.0021, 0)</f>
        <v>38.055599999999998</v>
      </c>
      <c r="E282" s="10">
        <f>37.9168 * CHOOSE(CONTROL!$C$9, $D$9, 100%, $F$9) + CHOOSE(CONTROL!$C$27, 0.0021, 0)</f>
        <v>37.918900000000001</v>
      </c>
      <c r="F282" s="10">
        <f>37.9168 * CHOOSE(CONTROL!$C$9, $D$9, 100%, $F$9) + CHOOSE(CONTROL!$C$27, 0.0021, 0)</f>
        <v>37.918900000000001</v>
      </c>
      <c r="G282" s="10">
        <f>38.1882 * CHOOSE(CONTROL!$C$9, $D$9, 100%, $F$9) + CHOOSE(CONTROL!$C$27, 0.0021, 0)</f>
        <v>38.190300000000001</v>
      </c>
      <c r="H282" s="10">
        <f>38.0535 * CHOOSE(CONTROL!$C$9, $D$9, 100%, $F$9) + CHOOSE(CONTROL!$C$27, 0.0021, 0)</f>
        <v>38.055599999999998</v>
      </c>
      <c r="I282" s="10">
        <f>38.0535 * CHOOSE(CONTROL!$C$9, $D$9, 100%, $F$9) + CHOOSE(CONTROL!$C$27, 0.0021, 0)</f>
        <v>38.055599999999998</v>
      </c>
      <c r="J282" s="10">
        <f>38.0535 * CHOOSE(CONTROL!$C$9, $D$9, 100%, $F$9) + CHOOSE(CONTROL!$C$27, 0.0021, 0)</f>
        <v>38.055599999999998</v>
      </c>
      <c r="K282" s="10">
        <f>38.0535 * CHOOSE(CONTROL!$C$9, $D$9, 100%, $F$9) + CHOOSE(CONTROL!$C$27, 0.0021, 0)</f>
        <v>38.055599999999998</v>
      </c>
      <c r="L282" s="10"/>
    </row>
    <row r="283" spans="1:12" ht="15" x14ac:dyDescent="0.2">
      <c r="A283" s="15">
        <v>49522</v>
      </c>
      <c r="B283" s="10">
        <f>38.7031 * CHOOSE(CONTROL!$C$9, $D$9, 100%, $F$9) + CHOOSE(CONTROL!$C$27, 0.0021, 0)</f>
        <v>38.705199999999998</v>
      </c>
      <c r="C283" s="10">
        <f>38.2709 * CHOOSE(CONTROL!$C$9, $D$9, 100%, $F$9) + CHOOSE(CONTROL!$C$27, 0.0021, 0)</f>
        <v>38.272999999999996</v>
      </c>
      <c r="D283" s="10">
        <f>38.2709 * CHOOSE(CONTROL!$C$9, $D$9, 100%, $F$9) + CHOOSE(CONTROL!$C$27, 0.0021, 0)</f>
        <v>38.272999999999996</v>
      </c>
      <c r="E283" s="10">
        <f>38.1342 * CHOOSE(CONTROL!$C$9, $D$9, 100%, $F$9) + CHOOSE(CONTROL!$C$27, 0.0021, 0)</f>
        <v>38.136299999999999</v>
      </c>
      <c r="F283" s="10">
        <f>38.1342 * CHOOSE(CONTROL!$C$9, $D$9, 100%, $F$9) + CHOOSE(CONTROL!$C$27, 0.0021, 0)</f>
        <v>38.136299999999999</v>
      </c>
      <c r="G283" s="10">
        <f>38.4056 * CHOOSE(CONTROL!$C$9, $D$9, 100%, $F$9) + CHOOSE(CONTROL!$C$27, 0.0021, 0)</f>
        <v>38.407699999999998</v>
      </c>
      <c r="H283" s="10">
        <f>38.2709 * CHOOSE(CONTROL!$C$9, $D$9, 100%, $F$9) + CHOOSE(CONTROL!$C$27, 0.0021, 0)</f>
        <v>38.272999999999996</v>
      </c>
      <c r="I283" s="10">
        <f>38.2709 * CHOOSE(CONTROL!$C$9, $D$9, 100%, $F$9) + CHOOSE(CONTROL!$C$27, 0.0021, 0)</f>
        <v>38.272999999999996</v>
      </c>
      <c r="J283" s="10">
        <f>38.2709 * CHOOSE(CONTROL!$C$9, $D$9, 100%, $F$9) + CHOOSE(CONTROL!$C$27, 0.0021, 0)</f>
        <v>38.272999999999996</v>
      </c>
      <c r="K283" s="10">
        <f>38.2709 * CHOOSE(CONTROL!$C$9, $D$9, 100%, $F$9) + CHOOSE(CONTROL!$C$27, 0.0021, 0)</f>
        <v>38.272999999999996</v>
      </c>
      <c r="L283" s="10"/>
    </row>
    <row r="284" spans="1:12" ht="15" x14ac:dyDescent="0.2">
      <c r="A284" s="15">
        <v>49553</v>
      </c>
      <c r="B284" s="10">
        <f>39.4436 * CHOOSE(CONTROL!$C$9, $D$9, 100%, $F$9) + CHOOSE(CONTROL!$C$27, 0.0021, 0)</f>
        <v>39.445700000000002</v>
      </c>
      <c r="C284" s="10">
        <f>39.0113 * CHOOSE(CONTROL!$C$9, $D$9, 100%, $F$9) + CHOOSE(CONTROL!$C$27, 0.0021, 0)</f>
        <v>39.013399999999997</v>
      </c>
      <c r="D284" s="10">
        <f>39.0113 * CHOOSE(CONTROL!$C$9, $D$9, 100%, $F$9) + CHOOSE(CONTROL!$C$27, 0.0021, 0)</f>
        <v>39.013399999999997</v>
      </c>
      <c r="E284" s="10">
        <f>38.8747 * CHOOSE(CONTROL!$C$9, $D$9, 100%, $F$9) + CHOOSE(CONTROL!$C$27, 0.0021, 0)</f>
        <v>38.876799999999996</v>
      </c>
      <c r="F284" s="10">
        <f>38.8747 * CHOOSE(CONTROL!$C$9, $D$9, 100%, $F$9) + CHOOSE(CONTROL!$C$27, 0.0021, 0)</f>
        <v>38.876799999999996</v>
      </c>
      <c r="G284" s="10">
        <f>39.146 * CHOOSE(CONTROL!$C$9, $D$9, 100%, $F$9) + CHOOSE(CONTROL!$C$27, 0.0021, 0)</f>
        <v>39.148099999999999</v>
      </c>
      <c r="H284" s="10">
        <f>39.0113 * CHOOSE(CONTROL!$C$9, $D$9, 100%, $F$9) + CHOOSE(CONTROL!$C$27, 0.0021, 0)</f>
        <v>39.013399999999997</v>
      </c>
      <c r="I284" s="10">
        <f>39.0113 * CHOOSE(CONTROL!$C$9, $D$9, 100%, $F$9) + CHOOSE(CONTROL!$C$27, 0.0021, 0)</f>
        <v>39.013399999999997</v>
      </c>
      <c r="J284" s="10">
        <f>39.0113 * CHOOSE(CONTROL!$C$9, $D$9, 100%, $F$9) + CHOOSE(CONTROL!$C$27, 0.0021, 0)</f>
        <v>39.013399999999997</v>
      </c>
      <c r="K284" s="10">
        <f>39.0113 * CHOOSE(CONTROL!$C$9, $D$9, 100%, $F$9) + CHOOSE(CONTROL!$C$27, 0.0021, 0)</f>
        <v>39.013399999999997</v>
      </c>
      <c r="L284" s="10"/>
    </row>
    <row r="285" spans="1:12" ht="15" x14ac:dyDescent="0.2">
      <c r="A285" s="15">
        <v>49583</v>
      </c>
      <c r="B285" s="10">
        <f>40.3808 * CHOOSE(CONTROL!$C$9, $D$9, 100%, $F$9) + CHOOSE(CONTROL!$C$27, 0.0021, 0)</f>
        <v>40.382899999999999</v>
      </c>
      <c r="C285" s="10">
        <f>39.9485 * CHOOSE(CONTROL!$C$9, $D$9, 100%, $F$9) + CHOOSE(CONTROL!$C$27, 0.0021, 0)</f>
        <v>39.950600000000001</v>
      </c>
      <c r="D285" s="10">
        <f>39.9485 * CHOOSE(CONTROL!$C$9, $D$9, 100%, $F$9) + CHOOSE(CONTROL!$C$27, 0.0021, 0)</f>
        <v>39.950600000000001</v>
      </c>
      <c r="E285" s="10">
        <f>39.8119 * CHOOSE(CONTROL!$C$9, $D$9, 100%, $F$9) + CHOOSE(CONTROL!$C$27, 0.0021, 0)</f>
        <v>39.814</v>
      </c>
      <c r="F285" s="10">
        <f>39.8119 * CHOOSE(CONTROL!$C$9, $D$9, 100%, $F$9) + CHOOSE(CONTROL!$C$27, 0.0021, 0)</f>
        <v>39.814</v>
      </c>
      <c r="G285" s="10">
        <f>40.0833 * CHOOSE(CONTROL!$C$9, $D$9, 100%, $F$9) + CHOOSE(CONTROL!$C$27, 0.0021, 0)</f>
        <v>40.0854</v>
      </c>
      <c r="H285" s="10">
        <f>39.9485 * CHOOSE(CONTROL!$C$9, $D$9, 100%, $F$9) + CHOOSE(CONTROL!$C$27, 0.0021, 0)</f>
        <v>39.950600000000001</v>
      </c>
      <c r="I285" s="10">
        <f>39.9485 * CHOOSE(CONTROL!$C$9, $D$9, 100%, $F$9) + CHOOSE(CONTROL!$C$27, 0.0021, 0)</f>
        <v>39.950600000000001</v>
      </c>
      <c r="J285" s="10">
        <f>39.9485 * CHOOSE(CONTROL!$C$9, $D$9, 100%, $F$9) + CHOOSE(CONTROL!$C$27, 0.0021, 0)</f>
        <v>39.950600000000001</v>
      </c>
      <c r="K285" s="10">
        <f>39.9485 * CHOOSE(CONTROL!$C$9, $D$9, 100%, $F$9) + CHOOSE(CONTROL!$C$27, 0.0021, 0)</f>
        <v>39.950600000000001</v>
      </c>
      <c r="L285" s="10"/>
    </row>
    <row r="286" spans="1:12" ht="15" x14ac:dyDescent="0.2">
      <c r="A286" s="15">
        <v>49614</v>
      </c>
      <c r="B286" s="10">
        <f>40.4688 * CHOOSE(CONTROL!$C$9, $D$9, 100%, $F$9) + CHOOSE(CONTROL!$C$27, 0.0021, 0)</f>
        <v>40.4709</v>
      </c>
      <c r="C286" s="10">
        <f>40.0365 * CHOOSE(CONTROL!$C$9, $D$9, 100%, $F$9) + CHOOSE(CONTROL!$C$27, 0.0021, 0)</f>
        <v>40.038599999999995</v>
      </c>
      <c r="D286" s="10">
        <f>40.0365 * CHOOSE(CONTROL!$C$9, $D$9, 100%, $F$9) + CHOOSE(CONTROL!$C$27, 0.0021, 0)</f>
        <v>40.038599999999995</v>
      </c>
      <c r="E286" s="10">
        <f>39.8999 * CHOOSE(CONTROL!$C$9, $D$9, 100%, $F$9) + CHOOSE(CONTROL!$C$27, 0.0021, 0)</f>
        <v>39.902000000000001</v>
      </c>
      <c r="F286" s="10">
        <f>39.8999 * CHOOSE(CONTROL!$C$9, $D$9, 100%, $F$9) + CHOOSE(CONTROL!$C$27, 0.0021, 0)</f>
        <v>39.902000000000001</v>
      </c>
      <c r="G286" s="10">
        <f>40.1713 * CHOOSE(CONTROL!$C$9, $D$9, 100%, $F$9) + CHOOSE(CONTROL!$C$27, 0.0021, 0)</f>
        <v>40.173400000000001</v>
      </c>
      <c r="H286" s="10">
        <f>40.0365 * CHOOSE(CONTROL!$C$9, $D$9, 100%, $F$9) + CHOOSE(CONTROL!$C$27, 0.0021, 0)</f>
        <v>40.038599999999995</v>
      </c>
      <c r="I286" s="10">
        <f>40.0365 * CHOOSE(CONTROL!$C$9, $D$9, 100%, $F$9) + CHOOSE(CONTROL!$C$27, 0.0021, 0)</f>
        <v>40.038599999999995</v>
      </c>
      <c r="J286" s="10">
        <f>40.0365 * CHOOSE(CONTROL!$C$9, $D$9, 100%, $F$9) + CHOOSE(CONTROL!$C$27, 0.0021, 0)</f>
        <v>40.038599999999995</v>
      </c>
      <c r="K286" s="10">
        <f>40.0365 * CHOOSE(CONTROL!$C$9, $D$9, 100%, $F$9) + CHOOSE(CONTROL!$C$27, 0.0021, 0)</f>
        <v>40.038599999999995</v>
      </c>
      <c r="L286" s="10"/>
    </row>
    <row r="287" spans="1:12" ht="15" x14ac:dyDescent="0.2">
      <c r="A287" s="15">
        <v>49644</v>
      </c>
      <c r="B287" s="10">
        <f>39.7202 * CHOOSE(CONTROL!$C$9, $D$9, 100%, $F$9) + CHOOSE(CONTROL!$C$27, 0.0021, 0)</f>
        <v>39.722299999999997</v>
      </c>
      <c r="C287" s="10">
        <f>39.288 * CHOOSE(CONTROL!$C$9, $D$9, 100%, $F$9) + CHOOSE(CONTROL!$C$27, 0.0021, 0)</f>
        <v>39.290099999999995</v>
      </c>
      <c r="D287" s="10">
        <f>39.288 * CHOOSE(CONTROL!$C$9, $D$9, 100%, $F$9) + CHOOSE(CONTROL!$C$27, 0.0021, 0)</f>
        <v>39.290099999999995</v>
      </c>
      <c r="E287" s="10">
        <f>39.1513 * CHOOSE(CONTROL!$C$9, $D$9, 100%, $F$9) + CHOOSE(CONTROL!$C$27, 0.0021, 0)</f>
        <v>39.153399999999998</v>
      </c>
      <c r="F287" s="10">
        <f>39.1513 * CHOOSE(CONTROL!$C$9, $D$9, 100%, $F$9) + CHOOSE(CONTROL!$C$27, 0.0021, 0)</f>
        <v>39.153399999999998</v>
      </c>
      <c r="G287" s="10">
        <f>39.4227 * CHOOSE(CONTROL!$C$9, $D$9, 100%, $F$9) + CHOOSE(CONTROL!$C$27, 0.0021, 0)</f>
        <v>39.424799999999998</v>
      </c>
      <c r="H287" s="10">
        <f>39.288 * CHOOSE(CONTROL!$C$9, $D$9, 100%, $F$9) + CHOOSE(CONTROL!$C$27, 0.0021, 0)</f>
        <v>39.290099999999995</v>
      </c>
      <c r="I287" s="10">
        <f>39.288 * CHOOSE(CONTROL!$C$9, $D$9, 100%, $F$9) + CHOOSE(CONTROL!$C$27, 0.0021, 0)</f>
        <v>39.290099999999995</v>
      </c>
      <c r="J287" s="10">
        <f>39.288 * CHOOSE(CONTROL!$C$9, $D$9, 100%, $F$9) + CHOOSE(CONTROL!$C$27, 0.0021, 0)</f>
        <v>39.290099999999995</v>
      </c>
      <c r="K287" s="10">
        <f>39.288 * CHOOSE(CONTROL!$C$9, $D$9, 100%, $F$9) + CHOOSE(CONTROL!$C$27, 0.0021, 0)</f>
        <v>39.290099999999995</v>
      </c>
      <c r="L287" s="10"/>
    </row>
    <row r="288" spans="1:12" ht="15" x14ac:dyDescent="0.2">
      <c r="A288" s="15">
        <v>49675</v>
      </c>
      <c r="B288" s="10">
        <f>39.2298 * CHOOSE(CONTROL!$C$9, $D$9, 100%, $F$9) + CHOOSE(CONTROL!$C$27, 0.0021, 0)</f>
        <v>39.231899999999996</v>
      </c>
      <c r="C288" s="10">
        <f>38.7976 * CHOOSE(CONTROL!$C$9, $D$9, 100%, $F$9) + CHOOSE(CONTROL!$C$27, 0.0021, 0)</f>
        <v>38.799700000000001</v>
      </c>
      <c r="D288" s="10">
        <f>38.7976 * CHOOSE(CONTROL!$C$9, $D$9, 100%, $F$9) + CHOOSE(CONTROL!$C$27, 0.0021, 0)</f>
        <v>38.799700000000001</v>
      </c>
      <c r="E288" s="10">
        <f>38.6609 * CHOOSE(CONTROL!$C$9, $D$9, 100%, $F$9) + CHOOSE(CONTROL!$C$27, 0.0021, 0)</f>
        <v>38.662999999999997</v>
      </c>
      <c r="F288" s="10">
        <f>38.6609 * CHOOSE(CONTROL!$C$9, $D$9, 100%, $F$9) + CHOOSE(CONTROL!$C$27, 0.0021, 0)</f>
        <v>38.662999999999997</v>
      </c>
      <c r="G288" s="10">
        <f>38.9323 * CHOOSE(CONTROL!$C$9, $D$9, 100%, $F$9) + CHOOSE(CONTROL!$C$27, 0.0021, 0)</f>
        <v>38.934399999999997</v>
      </c>
      <c r="H288" s="10">
        <f>38.7976 * CHOOSE(CONTROL!$C$9, $D$9, 100%, $F$9) + CHOOSE(CONTROL!$C$27, 0.0021, 0)</f>
        <v>38.799700000000001</v>
      </c>
      <c r="I288" s="10">
        <f>38.7976 * CHOOSE(CONTROL!$C$9, $D$9, 100%, $F$9) + CHOOSE(CONTROL!$C$27, 0.0021, 0)</f>
        <v>38.799700000000001</v>
      </c>
      <c r="J288" s="10">
        <f>38.7976 * CHOOSE(CONTROL!$C$9, $D$9, 100%, $F$9) + CHOOSE(CONTROL!$C$27, 0.0021, 0)</f>
        <v>38.799700000000001</v>
      </c>
      <c r="K288" s="10">
        <f>38.7976 * CHOOSE(CONTROL!$C$9, $D$9, 100%, $F$9) + CHOOSE(CONTROL!$C$27, 0.0021, 0)</f>
        <v>38.799700000000001</v>
      </c>
      <c r="L288" s="10"/>
    </row>
    <row r="289" spans="1:12" ht="15" x14ac:dyDescent="0.2">
      <c r="A289" s="15">
        <v>49706</v>
      </c>
      <c r="B289" s="10">
        <f>38.185 * CHOOSE(CONTROL!$C$9, $D$9, 100%, $F$9) + CHOOSE(CONTROL!$C$27, 0.0021, 0)</f>
        <v>38.187100000000001</v>
      </c>
      <c r="C289" s="10">
        <f>37.7528 * CHOOSE(CONTROL!$C$9, $D$9, 100%, $F$9) + CHOOSE(CONTROL!$C$27, 0.0021, 0)</f>
        <v>37.754899999999999</v>
      </c>
      <c r="D289" s="10">
        <f>37.7528 * CHOOSE(CONTROL!$C$9, $D$9, 100%, $F$9) + CHOOSE(CONTROL!$C$27, 0.0021, 0)</f>
        <v>37.754899999999999</v>
      </c>
      <c r="E289" s="10">
        <f>37.6161 * CHOOSE(CONTROL!$C$9, $D$9, 100%, $F$9) + CHOOSE(CONTROL!$C$27, 0.0021, 0)</f>
        <v>37.618200000000002</v>
      </c>
      <c r="F289" s="10">
        <f>37.6161 * CHOOSE(CONTROL!$C$9, $D$9, 100%, $F$9) + CHOOSE(CONTROL!$C$27, 0.0021, 0)</f>
        <v>37.618200000000002</v>
      </c>
      <c r="G289" s="10">
        <f>37.8875 * CHOOSE(CONTROL!$C$9, $D$9, 100%, $F$9) + CHOOSE(CONTROL!$C$27, 0.0021, 0)</f>
        <v>37.889600000000002</v>
      </c>
      <c r="H289" s="10">
        <f>37.7528 * CHOOSE(CONTROL!$C$9, $D$9, 100%, $F$9) + CHOOSE(CONTROL!$C$27, 0.0021, 0)</f>
        <v>37.754899999999999</v>
      </c>
      <c r="I289" s="10">
        <f>37.7528 * CHOOSE(CONTROL!$C$9, $D$9, 100%, $F$9) + CHOOSE(CONTROL!$C$27, 0.0021, 0)</f>
        <v>37.754899999999999</v>
      </c>
      <c r="J289" s="10">
        <f>37.7528 * CHOOSE(CONTROL!$C$9, $D$9, 100%, $F$9) + CHOOSE(CONTROL!$C$27, 0.0021, 0)</f>
        <v>37.754899999999999</v>
      </c>
      <c r="K289" s="10">
        <f>37.7528 * CHOOSE(CONTROL!$C$9, $D$9, 100%, $F$9) + CHOOSE(CONTROL!$C$27, 0.0021, 0)</f>
        <v>37.754899999999999</v>
      </c>
      <c r="L289" s="10"/>
    </row>
    <row r="290" spans="1:12" ht="15" x14ac:dyDescent="0.2">
      <c r="A290" s="15">
        <v>49735</v>
      </c>
      <c r="B290" s="10">
        <f>37.7538 * CHOOSE(CONTROL!$C$9, $D$9, 100%, $F$9) + CHOOSE(CONTROL!$C$27, 0.0021, 0)</f>
        <v>37.755899999999997</v>
      </c>
      <c r="C290" s="10">
        <f>37.3215 * CHOOSE(CONTROL!$C$9, $D$9, 100%, $F$9) + CHOOSE(CONTROL!$C$27, 0.0021, 0)</f>
        <v>37.323599999999999</v>
      </c>
      <c r="D290" s="10">
        <f>37.3215 * CHOOSE(CONTROL!$C$9, $D$9, 100%, $F$9) + CHOOSE(CONTROL!$C$27, 0.0021, 0)</f>
        <v>37.323599999999999</v>
      </c>
      <c r="E290" s="10">
        <f>37.1849 * CHOOSE(CONTROL!$C$9, $D$9, 100%, $F$9) + CHOOSE(CONTROL!$C$27, 0.0021, 0)</f>
        <v>37.186999999999998</v>
      </c>
      <c r="F290" s="10">
        <f>37.1849 * CHOOSE(CONTROL!$C$9, $D$9, 100%, $F$9) + CHOOSE(CONTROL!$C$27, 0.0021, 0)</f>
        <v>37.186999999999998</v>
      </c>
      <c r="G290" s="10">
        <f>37.4562 * CHOOSE(CONTROL!$C$9, $D$9, 100%, $F$9) + CHOOSE(CONTROL!$C$27, 0.0021, 0)</f>
        <v>37.458300000000001</v>
      </c>
      <c r="H290" s="10">
        <f>37.3215 * CHOOSE(CONTROL!$C$9, $D$9, 100%, $F$9) + CHOOSE(CONTROL!$C$27, 0.0021, 0)</f>
        <v>37.323599999999999</v>
      </c>
      <c r="I290" s="10">
        <f>37.3215 * CHOOSE(CONTROL!$C$9, $D$9, 100%, $F$9) + CHOOSE(CONTROL!$C$27, 0.0021, 0)</f>
        <v>37.323599999999999</v>
      </c>
      <c r="J290" s="10">
        <f>37.3215 * CHOOSE(CONTROL!$C$9, $D$9, 100%, $F$9) + CHOOSE(CONTROL!$C$27, 0.0021, 0)</f>
        <v>37.323599999999999</v>
      </c>
      <c r="K290" s="10">
        <f>37.3215 * CHOOSE(CONTROL!$C$9, $D$9, 100%, $F$9) + CHOOSE(CONTROL!$C$27, 0.0021, 0)</f>
        <v>37.323599999999999</v>
      </c>
      <c r="L290" s="10"/>
    </row>
    <row r="291" spans="1:12" ht="15" x14ac:dyDescent="0.2">
      <c r="A291" s="15">
        <v>49766</v>
      </c>
      <c r="B291" s="10">
        <f>37.2388 * CHOOSE(CONTROL!$C$9, $D$9, 100%, $F$9) + CHOOSE(CONTROL!$C$27, 0.0021, 0)</f>
        <v>37.240899999999996</v>
      </c>
      <c r="C291" s="10">
        <f>36.8065 * CHOOSE(CONTROL!$C$9, $D$9, 100%, $F$9) + CHOOSE(CONTROL!$C$27, 0.0021, 0)</f>
        <v>36.808599999999998</v>
      </c>
      <c r="D291" s="10">
        <f>36.8065 * CHOOSE(CONTROL!$C$9, $D$9, 100%, $F$9) + CHOOSE(CONTROL!$C$27, 0.0021, 0)</f>
        <v>36.808599999999998</v>
      </c>
      <c r="E291" s="10">
        <f>36.6699 * CHOOSE(CONTROL!$C$9, $D$9, 100%, $F$9) + CHOOSE(CONTROL!$C$27, 0.0021, 0)</f>
        <v>36.671999999999997</v>
      </c>
      <c r="F291" s="10">
        <f>36.6699 * CHOOSE(CONTROL!$C$9, $D$9, 100%, $F$9) + CHOOSE(CONTROL!$C$27, 0.0021, 0)</f>
        <v>36.671999999999997</v>
      </c>
      <c r="G291" s="10">
        <f>36.9413 * CHOOSE(CONTROL!$C$9, $D$9, 100%, $F$9) + CHOOSE(CONTROL!$C$27, 0.0021, 0)</f>
        <v>36.943399999999997</v>
      </c>
      <c r="H291" s="10">
        <f>36.8065 * CHOOSE(CONTROL!$C$9, $D$9, 100%, $F$9) + CHOOSE(CONTROL!$C$27, 0.0021, 0)</f>
        <v>36.808599999999998</v>
      </c>
      <c r="I291" s="10">
        <f>36.8065 * CHOOSE(CONTROL!$C$9, $D$9, 100%, $F$9) + CHOOSE(CONTROL!$C$27, 0.0021, 0)</f>
        <v>36.808599999999998</v>
      </c>
      <c r="J291" s="10">
        <f>36.8065 * CHOOSE(CONTROL!$C$9, $D$9, 100%, $F$9) + CHOOSE(CONTROL!$C$27, 0.0021, 0)</f>
        <v>36.808599999999998</v>
      </c>
      <c r="K291" s="10">
        <f>36.8065 * CHOOSE(CONTROL!$C$9, $D$9, 100%, $F$9) + CHOOSE(CONTROL!$C$27, 0.0021, 0)</f>
        <v>36.808599999999998</v>
      </c>
      <c r="L291" s="10"/>
    </row>
    <row r="292" spans="1:12" ht="15" x14ac:dyDescent="0.2">
      <c r="A292" s="15">
        <v>49796</v>
      </c>
      <c r="B292" s="10">
        <f>37.9727 * CHOOSE(CONTROL!$C$9, $D$9, 100%, $F$9) + CHOOSE(CONTROL!$C$27, 0.0021, 0)</f>
        <v>37.974800000000002</v>
      </c>
      <c r="C292" s="10">
        <f>37.5404 * CHOOSE(CONTROL!$C$9, $D$9, 100%, $F$9) + CHOOSE(CONTROL!$C$27, 0.0021, 0)</f>
        <v>37.542499999999997</v>
      </c>
      <c r="D292" s="10">
        <f>37.5404 * CHOOSE(CONTROL!$C$9, $D$9, 100%, $F$9) + CHOOSE(CONTROL!$C$27, 0.0021, 0)</f>
        <v>37.542499999999997</v>
      </c>
      <c r="E292" s="10">
        <f>37.4038 * CHOOSE(CONTROL!$C$9, $D$9, 100%, $F$9) + CHOOSE(CONTROL!$C$27, 0.0021, 0)</f>
        <v>37.405899999999995</v>
      </c>
      <c r="F292" s="10">
        <f>37.4038 * CHOOSE(CONTROL!$C$9, $D$9, 100%, $F$9) + CHOOSE(CONTROL!$C$27, 0.0021, 0)</f>
        <v>37.405899999999995</v>
      </c>
      <c r="G292" s="10">
        <f>37.6752 * CHOOSE(CONTROL!$C$9, $D$9, 100%, $F$9) + CHOOSE(CONTROL!$C$27, 0.0021, 0)</f>
        <v>37.677299999999995</v>
      </c>
      <c r="H292" s="10">
        <f>37.5404 * CHOOSE(CONTROL!$C$9, $D$9, 100%, $F$9) + CHOOSE(CONTROL!$C$27, 0.0021, 0)</f>
        <v>37.542499999999997</v>
      </c>
      <c r="I292" s="10">
        <f>37.5404 * CHOOSE(CONTROL!$C$9, $D$9, 100%, $F$9) + CHOOSE(CONTROL!$C$27, 0.0021, 0)</f>
        <v>37.542499999999997</v>
      </c>
      <c r="J292" s="10">
        <f>37.5404 * CHOOSE(CONTROL!$C$9, $D$9, 100%, $F$9) + CHOOSE(CONTROL!$C$27, 0.0021, 0)</f>
        <v>37.542499999999997</v>
      </c>
      <c r="K292" s="10">
        <f>37.5404 * CHOOSE(CONTROL!$C$9, $D$9, 100%, $F$9) + CHOOSE(CONTROL!$C$27, 0.0021, 0)</f>
        <v>37.542499999999997</v>
      </c>
      <c r="L292" s="10"/>
    </row>
    <row r="293" spans="1:12" ht="15" x14ac:dyDescent="0.2">
      <c r="A293" s="15">
        <v>49827</v>
      </c>
      <c r="B293" s="10">
        <f>38.4123 * CHOOSE(CONTROL!$C$9, $D$9, 100%, $F$9) + CHOOSE(CONTROL!$C$27, 0.0021, 0)</f>
        <v>38.414400000000001</v>
      </c>
      <c r="C293" s="10">
        <f>37.98 * CHOOSE(CONTROL!$C$9, $D$9, 100%, $F$9) + CHOOSE(CONTROL!$C$27, 0.0021, 0)</f>
        <v>37.982099999999996</v>
      </c>
      <c r="D293" s="10">
        <f>37.98 * CHOOSE(CONTROL!$C$9, $D$9, 100%, $F$9) + CHOOSE(CONTROL!$C$27, 0.0021, 0)</f>
        <v>37.982099999999996</v>
      </c>
      <c r="E293" s="10">
        <f>37.8434 * CHOOSE(CONTROL!$C$9, $D$9, 100%, $F$9) + CHOOSE(CONTROL!$C$27, 0.0021, 0)</f>
        <v>37.845500000000001</v>
      </c>
      <c r="F293" s="10">
        <f>37.8434 * CHOOSE(CONTROL!$C$9, $D$9, 100%, $F$9) + CHOOSE(CONTROL!$C$27, 0.0021, 0)</f>
        <v>37.845500000000001</v>
      </c>
      <c r="G293" s="10">
        <f>38.1147 * CHOOSE(CONTROL!$C$9, $D$9, 100%, $F$9) + CHOOSE(CONTROL!$C$27, 0.0021, 0)</f>
        <v>38.116799999999998</v>
      </c>
      <c r="H293" s="10">
        <f>37.98 * CHOOSE(CONTROL!$C$9, $D$9, 100%, $F$9) + CHOOSE(CONTROL!$C$27, 0.0021, 0)</f>
        <v>37.982099999999996</v>
      </c>
      <c r="I293" s="10">
        <f>37.98 * CHOOSE(CONTROL!$C$9, $D$9, 100%, $F$9) + CHOOSE(CONTROL!$C$27, 0.0021, 0)</f>
        <v>37.982099999999996</v>
      </c>
      <c r="J293" s="10">
        <f>37.98 * CHOOSE(CONTROL!$C$9, $D$9, 100%, $F$9) + CHOOSE(CONTROL!$C$27, 0.0021, 0)</f>
        <v>37.982099999999996</v>
      </c>
      <c r="K293" s="10">
        <f>37.98 * CHOOSE(CONTROL!$C$9, $D$9, 100%, $F$9) + CHOOSE(CONTROL!$C$27, 0.0021, 0)</f>
        <v>37.982099999999996</v>
      </c>
      <c r="L293" s="10"/>
    </row>
    <row r="294" spans="1:12" ht="15" x14ac:dyDescent="0.2">
      <c r="A294" s="15">
        <v>49857</v>
      </c>
      <c r="B294" s="10">
        <f>39.1374 * CHOOSE(CONTROL!$C$9, $D$9, 100%, $F$9) + CHOOSE(CONTROL!$C$27, 0.0021, 0)</f>
        <v>39.139499999999998</v>
      </c>
      <c r="C294" s="10">
        <f>38.7051 * CHOOSE(CONTROL!$C$9, $D$9, 100%, $F$9) + CHOOSE(CONTROL!$C$27, 0.0021, 0)</f>
        <v>38.7072</v>
      </c>
      <c r="D294" s="10">
        <f>38.7051 * CHOOSE(CONTROL!$C$9, $D$9, 100%, $F$9) + CHOOSE(CONTROL!$C$27, 0.0021, 0)</f>
        <v>38.7072</v>
      </c>
      <c r="E294" s="10">
        <f>38.5685 * CHOOSE(CONTROL!$C$9, $D$9, 100%, $F$9) + CHOOSE(CONTROL!$C$27, 0.0021, 0)</f>
        <v>38.570599999999999</v>
      </c>
      <c r="F294" s="10">
        <f>38.5685 * CHOOSE(CONTROL!$C$9, $D$9, 100%, $F$9) + CHOOSE(CONTROL!$C$27, 0.0021, 0)</f>
        <v>38.570599999999999</v>
      </c>
      <c r="G294" s="10">
        <f>38.8399 * CHOOSE(CONTROL!$C$9, $D$9, 100%, $F$9) + CHOOSE(CONTROL!$C$27, 0.0021, 0)</f>
        <v>38.841999999999999</v>
      </c>
      <c r="H294" s="10">
        <f>38.7051 * CHOOSE(CONTROL!$C$9, $D$9, 100%, $F$9) + CHOOSE(CONTROL!$C$27, 0.0021, 0)</f>
        <v>38.7072</v>
      </c>
      <c r="I294" s="10">
        <f>38.7051 * CHOOSE(CONTROL!$C$9, $D$9, 100%, $F$9) + CHOOSE(CONTROL!$C$27, 0.0021, 0)</f>
        <v>38.7072</v>
      </c>
      <c r="J294" s="10">
        <f>38.7051 * CHOOSE(CONTROL!$C$9, $D$9, 100%, $F$9) + CHOOSE(CONTROL!$C$27, 0.0021, 0)</f>
        <v>38.7072</v>
      </c>
      <c r="K294" s="10">
        <f>38.7051 * CHOOSE(CONTROL!$C$9, $D$9, 100%, $F$9) + CHOOSE(CONTROL!$C$27, 0.0021, 0)</f>
        <v>38.7072</v>
      </c>
      <c r="L294" s="10"/>
    </row>
    <row r="295" spans="1:12" ht="15" x14ac:dyDescent="0.2">
      <c r="A295" s="15">
        <v>49888</v>
      </c>
      <c r="B295" s="10">
        <f>39.3587 * CHOOSE(CONTROL!$C$9, $D$9, 100%, $F$9) + CHOOSE(CONTROL!$C$27, 0.0021, 0)</f>
        <v>39.360799999999998</v>
      </c>
      <c r="C295" s="10">
        <f>38.9265 * CHOOSE(CONTROL!$C$9, $D$9, 100%, $F$9) + CHOOSE(CONTROL!$C$27, 0.0021, 0)</f>
        <v>38.928599999999996</v>
      </c>
      <c r="D295" s="10">
        <f>38.9265 * CHOOSE(CONTROL!$C$9, $D$9, 100%, $F$9) + CHOOSE(CONTROL!$C$27, 0.0021, 0)</f>
        <v>38.928599999999996</v>
      </c>
      <c r="E295" s="10">
        <f>38.7898 * CHOOSE(CONTROL!$C$9, $D$9, 100%, $F$9) + CHOOSE(CONTROL!$C$27, 0.0021, 0)</f>
        <v>38.791899999999998</v>
      </c>
      <c r="F295" s="10">
        <f>38.7898 * CHOOSE(CONTROL!$C$9, $D$9, 100%, $F$9) + CHOOSE(CONTROL!$C$27, 0.0021, 0)</f>
        <v>38.791899999999998</v>
      </c>
      <c r="G295" s="10">
        <f>39.0612 * CHOOSE(CONTROL!$C$9, $D$9, 100%, $F$9) + CHOOSE(CONTROL!$C$27, 0.0021, 0)</f>
        <v>39.063299999999998</v>
      </c>
      <c r="H295" s="10">
        <f>38.9265 * CHOOSE(CONTROL!$C$9, $D$9, 100%, $F$9) + CHOOSE(CONTROL!$C$27, 0.0021, 0)</f>
        <v>38.928599999999996</v>
      </c>
      <c r="I295" s="10">
        <f>38.9265 * CHOOSE(CONTROL!$C$9, $D$9, 100%, $F$9) + CHOOSE(CONTROL!$C$27, 0.0021, 0)</f>
        <v>38.928599999999996</v>
      </c>
      <c r="J295" s="10">
        <f>38.9265 * CHOOSE(CONTROL!$C$9, $D$9, 100%, $F$9) + CHOOSE(CONTROL!$C$27, 0.0021, 0)</f>
        <v>38.928599999999996</v>
      </c>
      <c r="K295" s="10">
        <f>38.9265 * CHOOSE(CONTROL!$C$9, $D$9, 100%, $F$9) + CHOOSE(CONTROL!$C$27, 0.0021, 0)</f>
        <v>38.928599999999996</v>
      </c>
      <c r="L295" s="10"/>
    </row>
    <row r="296" spans="1:12" ht="15" x14ac:dyDescent="0.2">
      <c r="A296" s="15">
        <v>49919</v>
      </c>
      <c r="B296" s="10">
        <f>40.1125 * CHOOSE(CONTROL!$C$9, $D$9, 100%, $F$9) + CHOOSE(CONTROL!$C$27, 0.0021, 0)</f>
        <v>40.114599999999996</v>
      </c>
      <c r="C296" s="10">
        <f>39.6802 * CHOOSE(CONTROL!$C$9, $D$9, 100%, $F$9) + CHOOSE(CONTROL!$C$27, 0.0021, 0)</f>
        <v>39.682299999999998</v>
      </c>
      <c r="D296" s="10">
        <f>39.6802 * CHOOSE(CONTROL!$C$9, $D$9, 100%, $F$9) + CHOOSE(CONTROL!$C$27, 0.0021, 0)</f>
        <v>39.682299999999998</v>
      </c>
      <c r="E296" s="10">
        <f>39.5436 * CHOOSE(CONTROL!$C$9, $D$9, 100%, $F$9) + CHOOSE(CONTROL!$C$27, 0.0021, 0)</f>
        <v>39.545699999999997</v>
      </c>
      <c r="F296" s="10">
        <f>39.5436 * CHOOSE(CONTROL!$C$9, $D$9, 100%, $F$9) + CHOOSE(CONTROL!$C$27, 0.0021, 0)</f>
        <v>39.545699999999997</v>
      </c>
      <c r="G296" s="10">
        <f>39.8149 * CHOOSE(CONTROL!$C$9, $D$9, 100%, $F$9) + CHOOSE(CONTROL!$C$27, 0.0021, 0)</f>
        <v>39.817</v>
      </c>
      <c r="H296" s="10">
        <f>39.6802 * CHOOSE(CONTROL!$C$9, $D$9, 100%, $F$9) + CHOOSE(CONTROL!$C$27, 0.0021, 0)</f>
        <v>39.682299999999998</v>
      </c>
      <c r="I296" s="10">
        <f>39.6802 * CHOOSE(CONTROL!$C$9, $D$9, 100%, $F$9) + CHOOSE(CONTROL!$C$27, 0.0021, 0)</f>
        <v>39.682299999999998</v>
      </c>
      <c r="J296" s="10">
        <f>39.6802 * CHOOSE(CONTROL!$C$9, $D$9, 100%, $F$9) + CHOOSE(CONTROL!$C$27, 0.0021, 0)</f>
        <v>39.682299999999998</v>
      </c>
      <c r="K296" s="10">
        <f>39.6802 * CHOOSE(CONTROL!$C$9, $D$9, 100%, $F$9) + CHOOSE(CONTROL!$C$27, 0.0021, 0)</f>
        <v>39.682299999999998</v>
      </c>
      <c r="L296" s="10"/>
    </row>
    <row r="297" spans="1:12" ht="15" x14ac:dyDescent="0.2">
      <c r="A297" s="15">
        <v>49949</v>
      </c>
      <c r="B297" s="10">
        <f>41.0666 * CHOOSE(CONTROL!$C$9, $D$9, 100%, $F$9) + CHOOSE(CONTROL!$C$27, 0.0021, 0)</f>
        <v>41.0687</v>
      </c>
      <c r="C297" s="10">
        <f>40.6343 * CHOOSE(CONTROL!$C$9, $D$9, 100%, $F$9) + CHOOSE(CONTROL!$C$27, 0.0021, 0)</f>
        <v>40.636400000000002</v>
      </c>
      <c r="D297" s="10">
        <f>40.6343 * CHOOSE(CONTROL!$C$9, $D$9, 100%, $F$9) + CHOOSE(CONTROL!$C$27, 0.0021, 0)</f>
        <v>40.636400000000002</v>
      </c>
      <c r="E297" s="10">
        <f>40.4977 * CHOOSE(CONTROL!$C$9, $D$9, 100%, $F$9) + CHOOSE(CONTROL!$C$27, 0.0021, 0)</f>
        <v>40.4998</v>
      </c>
      <c r="F297" s="10">
        <f>40.4977 * CHOOSE(CONTROL!$C$9, $D$9, 100%, $F$9) + CHOOSE(CONTROL!$C$27, 0.0021, 0)</f>
        <v>40.4998</v>
      </c>
      <c r="G297" s="10">
        <f>40.769 * CHOOSE(CONTROL!$C$9, $D$9, 100%, $F$9) + CHOOSE(CONTROL!$C$27, 0.0021, 0)</f>
        <v>40.771099999999997</v>
      </c>
      <c r="H297" s="10">
        <f>40.6343 * CHOOSE(CONTROL!$C$9, $D$9, 100%, $F$9) + CHOOSE(CONTROL!$C$27, 0.0021, 0)</f>
        <v>40.636400000000002</v>
      </c>
      <c r="I297" s="10">
        <f>40.6343 * CHOOSE(CONTROL!$C$9, $D$9, 100%, $F$9) + CHOOSE(CONTROL!$C$27, 0.0021, 0)</f>
        <v>40.636400000000002</v>
      </c>
      <c r="J297" s="10">
        <f>40.6343 * CHOOSE(CONTROL!$C$9, $D$9, 100%, $F$9) + CHOOSE(CONTROL!$C$27, 0.0021, 0)</f>
        <v>40.636400000000002</v>
      </c>
      <c r="K297" s="10">
        <f>40.6343 * CHOOSE(CONTROL!$C$9, $D$9, 100%, $F$9) + CHOOSE(CONTROL!$C$27, 0.0021, 0)</f>
        <v>40.636400000000002</v>
      </c>
      <c r="L297" s="10"/>
    </row>
    <row r="298" spans="1:12" ht="15" x14ac:dyDescent="0.2">
      <c r="A298" s="15">
        <v>49980</v>
      </c>
      <c r="B298" s="10">
        <f>41.1561 * CHOOSE(CONTROL!$C$9, $D$9, 100%, $F$9) + CHOOSE(CONTROL!$C$27, 0.0021, 0)</f>
        <v>41.158200000000001</v>
      </c>
      <c r="C298" s="10">
        <f>40.7239 * CHOOSE(CONTROL!$C$9, $D$9, 100%, $F$9) + CHOOSE(CONTROL!$C$27, 0.0021, 0)</f>
        <v>40.725999999999999</v>
      </c>
      <c r="D298" s="10">
        <f>40.7239 * CHOOSE(CONTROL!$C$9, $D$9, 100%, $F$9) + CHOOSE(CONTROL!$C$27, 0.0021, 0)</f>
        <v>40.725999999999999</v>
      </c>
      <c r="E298" s="10">
        <f>40.5872 * CHOOSE(CONTROL!$C$9, $D$9, 100%, $F$9) + CHOOSE(CONTROL!$C$27, 0.0021, 0)</f>
        <v>40.589300000000001</v>
      </c>
      <c r="F298" s="10">
        <f>40.5872 * CHOOSE(CONTROL!$C$9, $D$9, 100%, $F$9) + CHOOSE(CONTROL!$C$27, 0.0021, 0)</f>
        <v>40.589300000000001</v>
      </c>
      <c r="G298" s="10">
        <f>40.8586 * CHOOSE(CONTROL!$C$9, $D$9, 100%, $F$9) + CHOOSE(CONTROL!$C$27, 0.0021, 0)</f>
        <v>40.860700000000001</v>
      </c>
      <c r="H298" s="10">
        <f>40.7239 * CHOOSE(CONTROL!$C$9, $D$9, 100%, $F$9) + CHOOSE(CONTROL!$C$27, 0.0021, 0)</f>
        <v>40.725999999999999</v>
      </c>
      <c r="I298" s="10">
        <f>40.7239 * CHOOSE(CONTROL!$C$9, $D$9, 100%, $F$9) + CHOOSE(CONTROL!$C$27, 0.0021, 0)</f>
        <v>40.725999999999999</v>
      </c>
      <c r="J298" s="10">
        <f>40.7239 * CHOOSE(CONTROL!$C$9, $D$9, 100%, $F$9) + CHOOSE(CONTROL!$C$27, 0.0021, 0)</f>
        <v>40.725999999999999</v>
      </c>
      <c r="K298" s="10">
        <f>40.7239 * CHOOSE(CONTROL!$C$9, $D$9, 100%, $F$9) + CHOOSE(CONTROL!$C$27, 0.0021, 0)</f>
        <v>40.725999999999999</v>
      </c>
      <c r="L298" s="10"/>
    </row>
    <row r="299" spans="1:12" ht="15" x14ac:dyDescent="0.2">
      <c r="A299" s="15">
        <v>50010</v>
      </c>
      <c r="B299" s="10">
        <f>40.3941 * CHOOSE(CONTROL!$C$9, $D$9, 100%, $F$9) + CHOOSE(CONTROL!$C$27, 0.0021, 0)</f>
        <v>40.3962</v>
      </c>
      <c r="C299" s="10">
        <f>39.9619 * CHOOSE(CONTROL!$C$9, $D$9, 100%, $F$9) + CHOOSE(CONTROL!$C$27, 0.0021, 0)</f>
        <v>39.963999999999999</v>
      </c>
      <c r="D299" s="10">
        <f>39.9619 * CHOOSE(CONTROL!$C$9, $D$9, 100%, $F$9) + CHOOSE(CONTROL!$C$27, 0.0021, 0)</f>
        <v>39.963999999999999</v>
      </c>
      <c r="E299" s="10">
        <f>39.8252 * CHOOSE(CONTROL!$C$9, $D$9, 100%, $F$9) + CHOOSE(CONTROL!$C$27, 0.0021, 0)</f>
        <v>39.827300000000001</v>
      </c>
      <c r="F299" s="10">
        <f>39.8252 * CHOOSE(CONTROL!$C$9, $D$9, 100%, $F$9) + CHOOSE(CONTROL!$C$27, 0.0021, 0)</f>
        <v>39.827300000000001</v>
      </c>
      <c r="G299" s="10">
        <f>40.0966 * CHOOSE(CONTROL!$C$9, $D$9, 100%, $F$9) + CHOOSE(CONTROL!$C$27, 0.0021, 0)</f>
        <v>40.098700000000001</v>
      </c>
      <c r="H299" s="10">
        <f>39.9619 * CHOOSE(CONTROL!$C$9, $D$9, 100%, $F$9) + CHOOSE(CONTROL!$C$27, 0.0021, 0)</f>
        <v>39.963999999999999</v>
      </c>
      <c r="I299" s="10">
        <f>39.9619 * CHOOSE(CONTROL!$C$9, $D$9, 100%, $F$9) + CHOOSE(CONTROL!$C$27, 0.0021, 0)</f>
        <v>39.963999999999999</v>
      </c>
      <c r="J299" s="10">
        <f>39.9619 * CHOOSE(CONTROL!$C$9, $D$9, 100%, $F$9) + CHOOSE(CONTROL!$C$27, 0.0021, 0)</f>
        <v>39.963999999999999</v>
      </c>
      <c r="K299" s="10">
        <f>39.9619 * CHOOSE(CONTROL!$C$9, $D$9, 100%, $F$9) + CHOOSE(CONTROL!$C$27, 0.0021, 0)</f>
        <v>39.963999999999999</v>
      </c>
      <c r="L299" s="10"/>
    </row>
    <row r="300" spans="1:12" ht="15" x14ac:dyDescent="0.2">
      <c r="A300" s="15">
        <v>50041</v>
      </c>
      <c r="B300" s="10">
        <f>39.8949 * CHOOSE(CONTROL!$C$9, $D$9, 100%, $F$9) + CHOOSE(CONTROL!$C$27, 0.0021, 0)</f>
        <v>39.896999999999998</v>
      </c>
      <c r="C300" s="10">
        <f>39.4626 * CHOOSE(CONTROL!$C$9, $D$9, 100%, $F$9) + CHOOSE(CONTROL!$C$27, 0.0021, 0)</f>
        <v>39.464700000000001</v>
      </c>
      <c r="D300" s="10">
        <f>39.4626 * CHOOSE(CONTROL!$C$9, $D$9, 100%, $F$9) + CHOOSE(CONTROL!$C$27, 0.0021, 0)</f>
        <v>39.464700000000001</v>
      </c>
      <c r="E300" s="10">
        <f>39.326 * CHOOSE(CONTROL!$C$9, $D$9, 100%, $F$9) + CHOOSE(CONTROL!$C$27, 0.0021, 0)</f>
        <v>39.328099999999999</v>
      </c>
      <c r="F300" s="10">
        <f>39.326 * CHOOSE(CONTROL!$C$9, $D$9, 100%, $F$9) + CHOOSE(CONTROL!$C$27, 0.0021, 0)</f>
        <v>39.328099999999999</v>
      </c>
      <c r="G300" s="10">
        <f>39.5974 * CHOOSE(CONTROL!$C$9, $D$9, 100%, $F$9) + CHOOSE(CONTROL!$C$27, 0.0021, 0)</f>
        <v>39.599499999999999</v>
      </c>
      <c r="H300" s="10">
        <f>39.4626 * CHOOSE(CONTROL!$C$9, $D$9, 100%, $F$9) + CHOOSE(CONTROL!$C$27, 0.0021, 0)</f>
        <v>39.464700000000001</v>
      </c>
      <c r="I300" s="10">
        <f>39.4626 * CHOOSE(CONTROL!$C$9, $D$9, 100%, $F$9) + CHOOSE(CONTROL!$C$27, 0.0021, 0)</f>
        <v>39.464700000000001</v>
      </c>
      <c r="J300" s="10">
        <f>39.4626 * CHOOSE(CONTROL!$C$9, $D$9, 100%, $F$9) + CHOOSE(CONTROL!$C$27, 0.0021, 0)</f>
        <v>39.464700000000001</v>
      </c>
      <c r="K300" s="10">
        <f>39.4626 * CHOOSE(CONTROL!$C$9, $D$9, 100%, $F$9) + CHOOSE(CONTROL!$C$27, 0.0021, 0)</f>
        <v>39.464700000000001</v>
      </c>
      <c r="L300" s="10"/>
    </row>
    <row r="301" spans="1:12" ht="15" x14ac:dyDescent="0.2">
      <c r="A301" s="15">
        <v>50072</v>
      </c>
      <c r="B301" s="10">
        <f>38.8313 * CHOOSE(CONTROL!$C$9, $D$9, 100%, $F$9) + CHOOSE(CONTROL!$C$27, 0.0021, 0)</f>
        <v>38.833399999999997</v>
      </c>
      <c r="C301" s="10">
        <f>38.399 * CHOOSE(CONTROL!$C$9, $D$9, 100%, $F$9) + CHOOSE(CONTROL!$C$27, 0.0021, 0)</f>
        <v>38.4011</v>
      </c>
      <c r="D301" s="10">
        <f>38.399 * CHOOSE(CONTROL!$C$9, $D$9, 100%, $F$9) + CHOOSE(CONTROL!$C$27, 0.0021, 0)</f>
        <v>38.4011</v>
      </c>
      <c r="E301" s="10">
        <f>38.2624 * CHOOSE(CONTROL!$C$9, $D$9, 100%, $F$9) + CHOOSE(CONTROL!$C$27, 0.0021, 0)</f>
        <v>38.264499999999998</v>
      </c>
      <c r="F301" s="10">
        <f>38.2624 * CHOOSE(CONTROL!$C$9, $D$9, 100%, $F$9) + CHOOSE(CONTROL!$C$27, 0.0021, 0)</f>
        <v>38.264499999999998</v>
      </c>
      <c r="G301" s="10">
        <f>38.5338 * CHOOSE(CONTROL!$C$9, $D$9, 100%, $F$9) + CHOOSE(CONTROL!$C$27, 0.0021, 0)</f>
        <v>38.535899999999998</v>
      </c>
      <c r="H301" s="10">
        <f>38.399 * CHOOSE(CONTROL!$C$9, $D$9, 100%, $F$9) + CHOOSE(CONTROL!$C$27, 0.0021, 0)</f>
        <v>38.4011</v>
      </c>
      <c r="I301" s="10">
        <f>38.399 * CHOOSE(CONTROL!$C$9, $D$9, 100%, $F$9) + CHOOSE(CONTROL!$C$27, 0.0021, 0)</f>
        <v>38.4011</v>
      </c>
      <c r="J301" s="10">
        <f>38.399 * CHOOSE(CONTROL!$C$9, $D$9, 100%, $F$9) + CHOOSE(CONTROL!$C$27, 0.0021, 0)</f>
        <v>38.4011</v>
      </c>
      <c r="K301" s="10">
        <f>38.399 * CHOOSE(CONTROL!$C$9, $D$9, 100%, $F$9) + CHOOSE(CONTROL!$C$27, 0.0021, 0)</f>
        <v>38.4011</v>
      </c>
      <c r="L301" s="10"/>
    </row>
    <row r="302" spans="1:12" ht="15" x14ac:dyDescent="0.2">
      <c r="A302" s="15">
        <v>50100</v>
      </c>
      <c r="B302" s="10">
        <f>38.3922 * CHOOSE(CONTROL!$C$9, $D$9, 100%, $F$9) + CHOOSE(CONTROL!$C$27, 0.0021, 0)</f>
        <v>38.394300000000001</v>
      </c>
      <c r="C302" s="10">
        <f>37.96 * CHOOSE(CONTROL!$C$9, $D$9, 100%, $F$9) + CHOOSE(CONTROL!$C$27, 0.0021, 0)</f>
        <v>37.9621</v>
      </c>
      <c r="D302" s="10">
        <f>37.96 * CHOOSE(CONTROL!$C$9, $D$9, 100%, $F$9) + CHOOSE(CONTROL!$C$27, 0.0021, 0)</f>
        <v>37.9621</v>
      </c>
      <c r="E302" s="10">
        <f>37.8233 * CHOOSE(CONTROL!$C$9, $D$9, 100%, $F$9) + CHOOSE(CONTROL!$C$27, 0.0021, 0)</f>
        <v>37.825400000000002</v>
      </c>
      <c r="F302" s="10">
        <f>37.8233 * CHOOSE(CONTROL!$C$9, $D$9, 100%, $F$9) + CHOOSE(CONTROL!$C$27, 0.0021, 0)</f>
        <v>37.825400000000002</v>
      </c>
      <c r="G302" s="10">
        <f>38.0947 * CHOOSE(CONTROL!$C$9, $D$9, 100%, $F$9) + CHOOSE(CONTROL!$C$27, 0.0021, 0)</f>
        <v>38.096800000000002</v>
      </c>
      <c r="H302" s="10">
        <f>37.96 * CHOOSE(CONTROL!$C$9, $D$9, 100%, $F$9) + CHOOSE(CONTROL!$C$27, 0.0021, 0)</f>
        <v>37.9621</v>
      </c>
      <c r="I302" s="10">
        <f>37.96 * CHOOSE(CONTROL!$C$9, $D$9, 100%, $F$9) + CHOOSE(CONTROL!$C$27, 0.0021, 0)</f>
        <v>37.9621</v>
      </c>
      <c r="J302" s="10">
        <f>37.96 * CHOOSE(CONTROL!$C$9, $D$9, 100%, $F$9) + CHOOSE(CONTROL!$C$27, 0.0021, 0)</f>
        <v>37.9621</v>
      </c>
      <c r="K302" s="10">
        <f>37.96 * CHOOSE(CONTROL!$C$9, $D$9, 100%, $F$9) + CHOOSE(CONTROL!$C$27, 0.0021, 0)</f>
        <v>37.9621</v>
      </c>
      <c r="L302" s="10"/>
    </row>
    <row r="303" spans="1:12" ht="15" x14ac:dyDescent="0.2">
      <c r="A303" s="15">
        <v>50131</v>
      </c>
      <c r="B303" s="10">
        <f>37.868 * CHOOSE(CONTROL!$C$9, $D$9, 100%, $F$9) + CHOOSE(CONTROL!$C$27, 0.0021, 0)</f>
        <v>37.870100000000001</v>
      </c>
      <c r="C303" s="10">
        <f>37.4358 * CHOOSE(CONTROL!$C$9, $D$9, 100%, $F$9) + CHOOSE(CONTROL!$C$27, 0.0021, 0)</f>
        <v>37.437899999999999</v>
      </c>
      <c r="D303" s="10">
        <f>37.4358 * CHOOSE(CONTROL!$C$9, $D$9, 100%, $F$9) + CHOOSE(CONTROL!$C$27, 0.0021, 0)</f>
        <v>37.437899999999999</v>
      </c>
      <c r="E303" s="10">
        <f>37.2991 * CHOOSE(CONTROL!$C$9, $D$9, 100%, $F$9) + CHOOSE(CONTROL!$C$27, 0.0021, 0)</f>
        <v>37.301200000000001</v>
      </c>
      <c r="F303" s="10">
        <f>37.2991 * CHOOSE(CONTROL!$C$9, $D$9, 100%, $F$9) + CHOOSE(CONTROL!$C$27, 0.0021, 0)</f>
        <v>37.301200000000001</v>
      </c>
      <c r="G303" s="10">
        <f>37.5705 * CHOOSE(CONTROL!$C$9, $D$9, 100%, $F$9) + CHOOSE(CONTROL!$C$27, 0.0021, 0)</f>
        <v>37.572600000000001</v>
      </c>
      <c r="H303" s="10">
        <f>37.4358 * CHOOSE(CONTROL!$C$9, $D$9, 100%, $F$9) + CHOOSE(CONTROL!$C$27, 0.0021, 0)</f>
        <v>37.437899999999999</v>
      </c>
      <c r="I303" s="10">
        <f>37.4358 * CHOOSE(CONTROL!$C$9, $D$9, 100%, $F$9) + CHOOSE(CONTROL!$C$27, 0.0021, 0)</f>
        <v>37.437899999999999</v>
      </c>
      <c r="J303" s="10">
        <f>37.4358 * CHOOSE(CONTROL!$C$9, $D$9, 100%, $F$9) + CHOOSE(CONTROL!$C$27, 0.0021, 0)</f>
        <v>37.437899999999999</v>
      </c>
      <c r="K303" s="10">
        <f>37.4358 * CHOOSE(CONTROL!$C$9, $D$9, 100%, $F$9) + CHOOSE(CONTROL!$C$27, 0.0021, 0)</f>
        <v>37.437899999999999</v>
      </c>
      <c r="L303" s="10"/>
    </row>
    <row r="304" spans="1:12" ht="15" x14ac:dyDescent="0.2">
      <c r="A304" s="15">
        <v>50161</v>
      </c>
      <c r="B304" s="10">
        <f>38.6151 * CHOOSE(CONTROL!$C$9, $D$9, 100%, $F$9) + CHOOSE(CONTROL!$C$27, 0.0021, 0)</f>
        <v>38.617199999999997</v>
      </c>
      <c r="C304" s="10">
        <f>38.1829 * CHOOSE(CONTROL!$C$9, $D$9, 100%, $F$9) + CHOOSE(CONTROL!$C$27, 0.0021, 0)</f>
        <v>38.184999999999995</v>
      </c>
      <c r="D304" s="10">
        <f>38.1829 * CHOOSE(CONTROL!$C$9, $D$9, 100%, $F$9) + CHOOSE(CONTROL!$C$27, 0.0021, 0)</f>
        <v>38.184999999999995</v>
      </c>
      <c r="E304" s="10">
        <f>38.0462 * CHOOSE(CONTROL!$C$9, $D$9, 100%, $F$9) + CHOOSE(CONTROL!$C$27, 0.0021, 0)</f>
        <v>38.048299999999998</v>
      </c>
      <c r="F304" s="10">
        <f>38.0462 * CHOOSE(CONTROL!$C$9, $D$9, 100%, $F$9) + CHOOSE(CONTROL!$C$27, 0.0021, 0)</f>
        <v>38.048299999999998</v>
      </c>
      <c r="G304" s="10">
        <f>38.3176 * CHOOSE(CONTROL!$C$9, $D$9, 100%, $F$9) + CHOOSE(CONTROL!$C$27, 0.0021, 0)</f>
        <v>38.319699999999997</v>
      </c>
      <c r="H304" s="10">
        <f>38.1829 * CHOOSE(CONTROL!$C$9, $D$9, 100%, $F$9) + CHOOSE(CONTROL!$C$27, 0.0021, 0)</f>
        <v>38.184999999999995</v>
      </c>
      <c r="I304" s="10">
        <f>38.1829 * CHOOSE(CONTROL!$C$9, $D$9, 100%, $F$9) + CHOOSE(CONTROL!$C$27, 0.0021, 0)</f>
        <v>38.184999999999995</v>
      </c>
      <c r="J304" s="10">
        <f>38.1829 * CHOOSE(CONTROL!$C$9, $D$9, 100%, $F$9) + CHOOSE(CONTROL!$C$27, 0.0021, 0)</f>
        <v>38.184999999999995</v>
      </c>
      <c r="K304" s="10">
        <f>38.1829 * CHOOSE(CONTROL!$C$9, $D$9, 100%, $F$9) + CHOOSE(CONTROL!$C$27, 0.0021, 0)</f>
        <v>38.184999999999995</v>
      </c>
      <c r="L304" s="10"/>
    </row>
    <row r="305" spans="1:12" ht="15" x14ac:dyDescent="0.2">
      <c r="A305" s="15">
        <v>50192</v>
      </c>
      <c r="B305" s="10">
        <f>39.0626 * CHOOSE(CONTROL!$C$9, $D$9, 100%, $F$9) + CHOOSE(CONTROL!$C$27, 0.0021, 0)</f>
        <v>39.064700000000002</v>
      </c>
      <c r="C305" s="10">
        <f>38.6303 * CHOOSE(CONTROL!$C$9, $D$9, 100%, $F$9) + CHOOSE(CONTROL!$C$27, 0.0021, 0)</f>
        <v>38.632399999999997</v>
      </c>
      <c r="D305" s="10">
        <f>38.6303 * CHOOSE(CONTROL!$C$9, $D$9, 100%, $F$9) + CHOOSE(CONTROL!$C$27, 0.0021, 0)</f>
        <v>38.632399999999997</v>
      </c>
      <c r="E305" s="10">
        <f>38.4937 * CHOOSE(CONTROL!$C$9, $D$9, 100%, $F$9) + CHOOSE(CONTROL!$C$27, 0.0021, 0)</f>
        <v>38.495799999999996</v>
      </c>
      <c r="F305" s="10">
        <f>38.4937 * CHOOSE(CONTROL!$C$9, $D$9, 100%, $F$9) + CHOOSE(CONTROL!$C$27, 0.0021, 0)</f>
        <v>38.495799999999996</v>
      </c>
      <c r="G305" s="10">
        <f>38.7651 * CHOOSE(CONTROL!$C$9, $D$9, 100%, $F$9) + CHOOSE(CONTROL!$C$27, 0.0021, 0)</f>
        <v>38.767199999999995</v>
      </c>
      <c r="H305" s="10">
        <f>38.6303 * CHOOSE(CONTROL!$C$9, $D$9, 100%, $F$9) + CHOOSE(CONTROL!$C$27, 0.0021, 0)</f>
        <v>38.632399999999997</v>
      </c>
      <c r="I305" s="10">
        <f>38.6303 * CHOOSE(CONTROL!$C$9, $D$9, 100%, $F$9) + CHOOSE(CONTROL!$C$27, 0.0021, 0)</f>
        <v>38.632399999999997</v>
      </c>
      <c r="J305" s="10">
        <f>38.6303 * CHOOSE(CONTROL!$C$9, $D$9, 100%, $F$9) + CHOOSE(CONTROL!$C$27, 0.0021, 0)</f>
        <v>38.632399999999997</v>
      </c>
      <c r="K305" s="10">
        <f>38.6303 * CHOOSE(CONTROL!$C$9, $D$9, 100%, $F$9) + CHOOSE(CONTROL!$C$27, 0.0021, 0)</f>
        <v>38.632399999999997</v>
      </c>
      <c r="L305" s="10"/>
    </row>
    <row r="306" spans="1:12" ht="15" x14ac:dyDescent="0.2">
      <c r="A306" s="15">
        <v>50222</v>
      </c>
      <c r="B306" s="10">
        <f>39.8008 * CHOOSE(CONTROL!$C$9, $D$9, 100%, $F$9) + CHOOSE(CONTROL!$C$27, 0.0021, 0)</f>
        <v>39.802900000000001</v>
      </c>
      <c r="C306" s="10">
        <f>39.3685 * CHOOSE(CONTROL!$C$9, $D$9, 100%, $F$9) + CHOOSE(CONTROL!$C$27, 0.0021, 0)</f>
        <v>39.370599999999996</v>
      </c>
      <c r="D306" s="10">
        <f>39.3685 * CHOOSE(CONTROL!$C$9, $D$9, 100%, $F$9) + CHOOSE(CONTROL!$C$27, 0.0021, 0)</f>
        <v>39.370599999999996</v>
      </c>
      <c r="E306" s="10">
        <f>39.2319 * CHOOSE(CONTROL!$C$9, $D$9, 100%, $F$9) + CHOOSE(CONTROL!$C$27, 0.0021, 0)</f>
        <v>39.234000000000002</v>
      </c>
      <c r="F306" s="10">
        <f>39.2319 * CHOOSE(CONTROL!$C$9, $D$9, 100%, $F$9) + CHOOSE(CONTROL!$C$27, 0.0021, 0)</f>
        <v>39.234000000000002</v>
      </c>
      <c r="G306" s="10">
        <f>39.5032 * CHOOSE(CONTROL!$C$9, $D$9, 100%, $F$9) + CHOOSE(CONTROL!$C$27, 0.0021, 0)</f>
        <v>39.505299999999998</v>
      </c>
      <c r="H306" s="10">
        <f>39.3685 * CHOOSE(CONTROL!$C$9, $D$9, 100%, $F$9) + CHOOSE(CONTROL!$C$27, 0.0021, 0)</f>
        <v>39.370599999999996</v>
      </c>
      <c r="I306" s="10">
        <f>39.3685 * CHOOSE(CONTROL!$C$9, $D$9, 100%, $F$9) + CHOOSE(CONTROL!$C$27, 0.0021, 0)</f>
        <v>39.370599999999996</v>
      </c>
      <c r="J306" s="10">
        <f>39.3685 * CHOOSE(CONTROL!$C$9, $D$9, 100%, $F$9) + CHOOSE(CONTROL!$C$27, 0.0021, 0)</f>
        <v>39.370599999999996</v>
      </c>
      <c r="K306" s="10">
        <f>39.3685 * CHOOSE(CONTROL!$C$9, $D$9, 100%, $F$9) + CHOOSE(CONTROL!$C$27, 0.0021, 0)</f>
        <v>39.370599999999996</v>
      </c>
      <c r="L306" s="10"/>
    </row>
    <row r="307" spans="1:12" ht="15" x14ac:dyDescent="0.2">
      <c r="A307" s="15">
        <v>50253</v>
      </c>
      <c r="B307" s="10">
        <f>40.0261 * CHOOSE(CONTROL!$C$9, $D$9, 100%, $F$9) + CHOOSE(CONTROL!$C$27, 0.0021, 0)</f>
        <v>40.028199999999998</v>
      </c>
      <c r="C307" s="10">
        <f>39.5938 * CHOOSE(CONTROL!$C$9, $D$9, 100%, $F$9) + CHOOSE(CONTROL!$C$27, 0.0021, 0)</f>
        <v>39.5959</v>
      </c>
      <c r="D307" s="10">
        <f>39.5938 * CHOOSE(CONTROL!$C$9, $D$9, 100%, $F$9) + CHOOSE(CONTROL!$C$27, 0.0021, 0)</f>
        <v>39.5959</v>
      </c>
      <c r="E307" s="10">
        <f>39.4572 * CHOOSE(CONTROL!$C$9, $D$9, 100%, $F$9) + CHOOSE(CONTROL!$C$27, 0.0021, 0)</f>
        <v>39.459299999999999</v>
      </c>
      <c r="F307" s="10">
        <f>39.4572 * CHOOSE(CONTROL!$C$9, $D$9, 100%, $F$9) + CHOOSE(CONTROL!$C$27, 0.0021, 0)</f>
        <v>39.459299999999999</v>
      </c>
      <c r="G307" s="10">
        <f>39.7286 * CHOOSE(CONTROL!$C$9, $D$9, 100%, $F$9) + CHOOSE(CONTROL!$C$27, 0.0021, 0)</f>
        <v>39.730699999999999</v>
      </c>
      <c r="H307" s="10">
        <f>39.5938 * CHOOSE(CONTROL!$C$9, $D$9, 100%, $F$9) + CHOOSE(CONTROL!$C$27, 0.0021, 0)</f>
        <v>39.5959</v>
      </c>
      <c r="I307" s="10">
        <f>39.5938 * CHOOSE(CONTROL!$C$9, $D$9, 100%, $F$9) + CHOOSE(CONTROL!$C$27, 0.0021, 0)</f>
        <v>39.5959</v>
      </c>
      <c r="J307" s="10">
        <f>39.5938 * CHOOSE(CONTROL!$C$9, $D$9, 100%, $F$9) + CHOOSE(CONTROL!$C$27, 0.0021, 0)</f>
        <v>39.5959</v>
      </c>
      <c r="K307" s="10">
        <f>39.5938 * CHOOSE(CONTROL!$C$9, $D$9, 100%, $F$9) + CHOOSE(CONTROL!$C$27, 0.0021, 0)</f>
        <v>39.5959</v>
      </c>
      <c r="L307" s="10"/>
    </row>
    <row r="308" spans="1:12" ht="15" x14ac:dyDescent="0.2">
      <c r="A308" s="15">
        <v>50284</v>
      </c>
      <c r="B308" s="10">
        <f>40.7934 * CHOOSE(CONTROL!$C$9, $D$9, 100%, $F$9) + CHOOSE(CONTROL!$C$27, 0.0021, 0)</f>
        <v>40.795499999999997</v>
      </c>
      <c r="C308" s="10">
        <f>40.3612 * CHOOSE(CONTROL!$C$9, $D$9, 100%, $F$9) + CHOOSE(CONTROL!$C$27, 0.0021, 0)</f>
        <v>40.363299999999995</v>
      </c>
      <c r="D308" s="10">
        <f>40.3612 * CHOOSE(CONTROL!$C$9, $D$9, 100%, $F$9) + CHOOSE(CONTROL!$C$27, 0.0021, 0)</f>
        <v>40.363299999999995</v>
      </c>
      <c r="E308" s="10">
        <f>40.2245 * CHOOSE(CONTROL!$C$9, $D$9, 100%, $F$9) + CHOOSE(CONTROL!$C$27, 0.0021, 0)</f>
        <v>40.226599999999998</v>
      </c>
      <c r="F308" s="10">
        <f>40.2245 * CHOOSE(CONTROL!$C$9, $D$9, 100%, $F$9) + CHOOSE(CONTROL!$C$27, 0.0021, 0)</f>
        <v>40.226599999999998</v>
      </c>
      <c r="G308" s="10">
        <f>40.4959 * CHOOSE(CONTROL!$C$9, $D$9, 100%, $F$9) + CHOOSE(CONTROL!$C$27, 0.0021, 0)</f>
        <v>40.497999999999998</v>
      </c>
      <c r="H308" s="10">
        <f>40.3612 * CHOOSE(CONTROL!$C$9, $D$9, 100%, $F$9) + CHOOSE(CONTROL!$C$27, 0.0021, 0)</f>
        <v>40.363299999999995</v>
      </c>
      <c r="I308" s="10">
        <f>40.3612 * CHOOSE(CONTROL!$C$9, $D$9, 100%, $F$9) + CHOOSE(CONTROL!$C$27, 0.0021, 0)</f>
        <v>40.363299999999995</v>
      </c>
      <c r="J308" s="10">
        <f>40.3612 * CHOOSE(CONTROL!$C$9, $D$9, 100%, $F$9) + CHOOSE(CONTROL!$C$27, 0.0021, 0)</f>
        <v>40.363299999999995</v>
      </c>
      <c r="K308" s="10">
        <f>40.3612 * CHOOSE(CONTROL!$C$9, $D$9, 100%, $F$9) + CHOOSE(CONTROL!$C$27, 0.0021, 0)</f>
        <v>40.363299999999995</v>
      </c>
      <c r="L308" s="10"/>
    </row>
    <row r="309" spans="1:12" ht="15" x14ac:dyDescent="0.2">
      <c r="A309" s="15">
        <v>50314</v>
      </c>
      <c r="B309" s="10">
        <f>41.7647 * CHOOSE(CONTROL!$C$9, $D$9, 100%, $F$9) + CHOOSE(CONTROL!$C$27, 0.0021, 0)</f>
        <v>41.766799999999996</v>
      </c>
      <c r="C309" s="10">
        <f>41.3324 * CHOOSE(CONTROL!$C$9, $D$9, 100%, $F$9) + CHOOSE(CONTROL!$C$27, 0.0021, 0)</f>
        <v>41.334499999999998</v>
      </c>
      <c r="D309" s="10">
        <f>41.3324 * CHOOSE(CONTROL!$C$9, $D$9, 100%, $F$9) + CHOOSE(CONTROL!$C$27, 0.0021, 0)</f>
        <v>41.334499999999998</v>
      </c>
      <c r="E309" s="10">
        <f>41.1958 * CHOOSE(CONTROL!$C$9, $D$9, 100%, $F$9) + CHOOSE(CONTROL!$C$27, 0.0021, 0)</f>
        <v>41.197899999999997</v>
      </c>
      <c r="F309" s="10">
        <f>41.1958 * CHOOSE(CONTROL!$C$9, $D$9, 100%, $F$9) + CHOOSE(CONTROL!$C$27, 0.0021, 0)</f>
        <v>41.197899999999997</v>
      </c>
      <c r="G309" s="10">
        <f>41.4672 * CHOOSE(CONTROL!$C$9, $D$9, 100%, $F$9) + CHOOSE(CONTROL!$C$27, 0.0021, 0)</f>
        <v>41.469299999999997</v>
      </c>
      <c r="H309" s="10">
        <f>41.3324 * CHOOSE(CONTROL!$C$9, $D$9, 100%, $F$9) + CHOOSE(CONTROL!$C$27, 0.0021, 0)</f>
        <v>41.334499999999998</v>
      </c>
      <c r="I309" s="10">
        <f>41.3324 * CHOOSE(CONTROL!$C$9, $D$9, 100%, $F$9) + CHOOSE(CONTROL!$C$27, 0.0021, 0)</f>
        <v>41.334499999999998</v>
      </c>
      <c r="J309" s="10">
        <f>41.3324 * CHOOSE(CONTROL!$C$9, $D$9, 100%, $F$9) + CHOOSE(CONTROL!$C$27, 0.0021, 0)</f>
        <v>41.334499999999998</v>
      </c>
      <c r="K309" s="10">
        <f>41.3324 * CHOOSE(CONTROL!$C$9, $D$9, 100%, $F$9) + CHOOSE(CONTROL!$C$27, 0.0021, 0)</f>
        <v>41.334499999999998</v>
      </c>
      <c r="L309" s="10"/>
    </row>
    <row r="310" spans="1:12" ht="15" x14ac:dyDescent="0.2">
      <c r="A310" s="15">
        <v>50345</v>
      </c>
      <c r="B310" s="10">
        <f>41.8559 * CHOOSE(CONTROL!$C$9, $D$9, 100%, $F$9) + CHOOSE(CONTROL!$C$27, 0.0021, 0)</f>
        <v>41.857999999999997</v>
      </c>
      <c r="C310" s="10">
        <f>41.4236 * CHOOSE(CONTROL!$C$9, $D$9, 100%, $F$9) + CHOOSE(CONTROL!$C$27, 0.0021, 0)</f>
        <v>41.425699999999999</v>
      </c>
      <c r="D310" s="10">
        <f>41.4236 * CHOOSE(CONTROL!$C$9, $D$9, 100%, $F$9) + CHOOSE(CONTROL!$C$27, 0.0021, 0)</f>
        <v>41.425699999999999</v>
      </c>
      <c r="E310" s="10">
        <f>41.287 * CHOOSE(CONTROL!$C$9, $D$9, 100%, $F$9) + CHOOSE(CONTROL!$C$27, 0.0021, 0)</f>
        <v>41.289099999999998</v>
      </c>
      <c r="F310" s="10">
        <f>41.287 * CHOOSE(CONTROL!$C$9, $D$9, 100%, $F$9) + CHOOSE(CONTROL!$C$27, 0.0021, 0)</f>
        <v>41.289099999999998</v>
      </c>
      <c r="G310" s="10">
        <f>41.5583 * CHOOSE(CONTROL!$C$9, $D$9, 100%, $F$9) + CHOOSE(CONTROL!$C$27, 0.0021, 0)</f>
        <v>41.560400000000001</v>
      </c>
      <c r="H310" s="10">
        <f>41.4236 * CHOOSE(CONTROL!$C$9, $D$9, 100%, $F$9) + CHOOSE(CONTROL!$C$27, 0.0021, 0)</f>
        <v>41.425699999999999</v>
      </c>
      <c r="I310" s="10">
        <f>41.4236 * CHOOSE(CONTROL!$C$9, $D$9, 100%, $F$9) + CHOOSE(CONTROL!$C$27, 0.0021, 0)</f>
        <v>41.425699999999999</v>
      </c>
      <c r="J310" s="10">
        <f>41.4236 * CHOOSE(CONTROL!$C$9, $D$9, 100%, $F$9) + CHOOSE(CONTROL!$C$27, 0.0021, 0)</f>
        <v>41.425699999999999</v>
      </c>
      <c r="K310" s="10">
        <f>41.4236 * CHOOSE(CONTROL!$C$9, $D$9, 100%, $F$9) + CHOOSE(CONTROL!$C$27, 0.0021, 0)</f>
        <v>41.425699999999999</v>
      </c>
      <c r="L310" s="10"/>
    </row>
    <row r="311" spans="1:12" ht="15" x14ac:dyDescent="0.2">
      <c r="A311" s="15">
        <v>50375</v>
      </c>
      <c r="B311" s="10">
        <f>41.0801 * CHOOSE(CONTROL!$C$9, $D$9, 100%, $F$9) + CHOOSE(CONTROL!$C$27, 0.0021, 0)</f>
        <v>41.0822</v>
      </c>
      <c r="C311" s="10">
        <f>40.6479 * CHOOSE(CONTROL!$C$9, $D$9, 100%, $F$9) + CHOOSE(CONTROL!$C$27, 0.0021, 0)</f>
        <v>40.65</v>
      </c>
      <c r="D311" s="10">
        <f>40.6479 * CHOOSE(CONTROL!$C$9, $D$9, 100%, $F$9) + CHOOSE(CONTROL!$C$27, 0.0021, 0)</f>
        <v>40.65</v>
      </c>
      <c r="E311" s="10">
        <f>40.5112 * CHOOSE(CONTROL!$C$9, $D$9, 100%, $F$9) + CHOOSE(CONTROL!$C$27, 0.0021, 0)</f>
        <v>40.513300000000001</v>
      </c>
      <c r="F311" s="10">
        <f>40.5112 * CHOOSE(CONTROL!$C$9, $D$9, 100%, $F$9) + CHOOSE(CONTROL!$C$27, 0.0021, 0)</f>
        <v>40.513300000000001</v>
      </c>
      <c r="G311" s="10">
        <f>40.7826 * CHOOSE(CONTROL!$C$9, $D$9, 100%, $F$9) + CHOOSE(CONTROL!$C$27, 0.0021, 0)</f>
        <v>40.784700000000001</v>
      </c>
      <c r="H311" s="10">
        <f>40.6479 * CHOOSE(CONTROL!$C$9, $D$9, 100%, $F$9) + CHOOSE(CONTROL!$C$27, 0.0021, 0)</f>
        <v>40.65</v>
      </c>
      <c r="I311" s="10">
        <f>40.6479 * CHOOSE(CONTROL!$C$9, $D$9, 100%, $F$9) + CHOOSE(CONTROL!$C$27, 0.0021, 0)</f>
        <v>40.65</v>
      </c>
      <c r="J311" s="10">
        <f>40.6479 * CHOOSE(CONTROL!$C$9, $D$9, 100%, $F$9) + CHOOSE(CONTROL!$C$27, 0.0021, 0)</f>
        <v>40.65</v>
      </c>
      <c r="K311" s="10">
        <f>40.6479 * CHOOSE(CONTROL!$C$9, $D$9, 100%, $F$9) + CHOOSE(CONTROL!$C$27, 0.0021, 0)</f>
        <v>40.65</v>
      </c>
      <c r="L311" s="10"/>
    </row>
    <row r="312" spans="1:12" ht="15.75" x14ac:dyDescent="0.25">
      <c r="A312" s="14">
        <v>50436</v>
      </c>
      <c r="B312" s="10">
        <f>40.5719 * CHOOSE(CONTROL!$C$9, $D$9, 100%, $F$9) + CHOOSE(CONTROL!$C$27, 0.0021, 0)</f>
        <v>40.573999999999998</v>
      </c>
      <c r="C312" s="10">
        <f>40.1397 * CHOOSE(CONTROL!$C$9, $D$9, 100%, $F$9) + CHOOSE(CONTROL!$C$27, 0.0021, 0)</f>
        <v>40.141799999999996</v>
      </c>
      <c r="D312" s="10">
        <f>40.1397 * CHOOSE(CONTROL!$C$9, $D$9, 100%, $F$9) + CHOOSE(CONTROL!$C$27, 0.0021, 0)</f>
        <v>40.141799999999996</v>
      </c>
      <c r="E312" s="10">
        <f>40.003 * CHOOSE(CONTROL!$C$9, $D$9, 100%, $F$9) + CHOOSE(CONTROL!$C$27, 0.0021, 0)</f>
        <v>40.005099999999999</v>
      </c>
      <c r="F312" s="10">
        <f>40.003 * CHOOSE(CONTROL!$C$9, $D$9, 100%, $F$9) + CHOOSE(CONTROL!$C$27, 0.0021, 0)</f>
        <v>40.005099999999999</v>
      </c>
      <c r="G312" s="10">
        <f>40.2744 * CHOOSE(CONTROL!$C$9, $D$9, 100%, $F$9) + CHOOSE(CONTROL!$C$27, 0.0021, 0)</f>
        <v>40.276499999999999</v>
      </c>
      <c r="H312" s="10">
        <f>40.1397 * CHOOSE(CONTROL!$C$9, $D$9, 100%, $F$9) + CHOOSE(CONTROL!$C$27, 0.0021, 0)</f>
        <v>40.141799999999996</v>
      </c>
      <c r="I312" s="10">
        <f>40.1397 * CHOOSE(CONTROL!$C$9, $D$9, 100%, $F$9) + CHOOSE(CONTROL!$C$27, 0.0021, 0)</f>
        <v>40.141799999999996</v>
      </c>
      <c r="J312" s="10">
        <f>40.1397 * CHOOSE(CONTROL!$C$9, $D$9, 100%, $F$9) + CHOOSE(CONTROL!$C$27, 0.0021, 0)</f>
        <v>40.141799999999996</v>
      </c>
      <c r="K312" s="10">
        <f>40.1397 * CHOOSE(CONTROL!$C$9, $D$9, 100%, $F$9) + CHOOSE(CONTROL!$C$27, 0.0021, 0)</f>
        <v>40.141799999999996</v>
      </c>
      <c r="L312" s="10"/>
    </row>
    <row r="313" spans="1:12" ht="15.75" x14ac:dyDescent="0.25">
      <c r="A313" s="14">
        <v>50464</v>
      </c>
      <c r="B313" s="10">
        <f>39.4892 * CHOOSE(CONTROL!$C$9, $D$9, 100%, $F$9) + CHOOSE(CONTROL!$C$27, 0.0021, 0)</f>
        <v>39.491299999999995</v>
      </c>
      <c r="C313" s="10">
        <f>39.0569 * CHOOSE(CONTROL!$C$9, $D$9, 100%, $F$9) + CHOOSE(CONTROL!$C$27, 0.0021, 0)</f>
        <v>39.058999999999997</v>
      </c>
      <c r="D313" s="10">
        <f>39.0569 * CHOOSE(CONTROL!$C$9, $D$9, 100%, $F$9) + CHOOSE(CONTROL!$C$27, 0.0021, 0)</f>
        <v>39.058999999999997</v>
      </c>
      <c r="E313" s="10">
        <f>38.9203 * CHOOSE(CONTROL!$C$9, $D$9, 100%, $F$9) + CHOOSE(CONTROL!$C$27, 0.0021, 0)</f>
        <v>38.922399999999996</v>
      </c>
      <c r="F313" s="10">
        <f>38.9203 * CHOOSE(CONTROL!$C$9, $D$9, 100%, $F$9) + CHOOSE(CONTROL!$C$27, 0.0021, 0)</f>
        <v>38.922399999999996</v>
      </c>
      <c r="G313" s="10">
        <f>39.1916 * CHOOSE(CONTROL!$C$9, $D$9, 100%, $F$9) + CHOOSE(CONTROL!$C$27, 0.0021, 0)</f>
        <v>39.1937</v>
      </c>
      <c r="H313" s="10">
        <f>39.0569 * CHOOSE(CONTROL!$C$9, $D$9, 100%, $F$9) + CHOOSE(CONTROL!$C$27, 0.0021, 0)</f>
        <v>39.058999999999997</v>
      </c>
      <c r="I313" s="10">
        <f>39.0569 * CHOOSE(CONTROL!$C$9, $D$9, 100%, $F$9) + CHOOSE(CONTROL!$C$27, 0.0021, 0)</f>
        <v>39.058999999999997</v>
      </c>
      <c r="J313" s="10">
        <f>39.0569 * CHOOSE(CONTROL!$C$9, $D$9, 100%, $F$9) + CHOOSE(CONTROL!$C$27, 0.0021, 0)</f>
        <v>39.058999999999997</v>
      </c>
      <c r="K313" s="10">
        <f>39.0569 * CHOOSE(CONTROL!$C$9, $D$9, 100%, $F$9) + CHOOSE(CONTROL!$C$27, 0.0021, 0)</f>
        <v>39.058999999999997</v>
      </c>
      <c r="L313" s="10"/>
    </row>
    <row r="314" spans="1:12" ht="15.75" x14ac:dyDescent="0.25">
      <c r="A314" s="14">
        <v>50495</v>
      </c>
      <c r="B314" s="10">
        <f>39.0422 * CHOOSE(CONTROL!$C$9, $D$9, 100%, $F$9) + CHOOSE(CONTROL!$C$27, 0.0021, 0)</f>
        <v>39.0443</v>
      </c>
      <c r="C314" s="10">
        <f>38.61 * CHOOSE(CONTROL!$C$9, $D$9, 100%, $F$9) + CHOOSE(CONTROL!$C$27, 0.0021, 0)</f>
        <v>38.612099999999998</v>
      </c>
      <c r="D314" s="10">
        <f>38.61 * CHOOSE(CONTROL!$C$9, $D$9, 100%, $F$9) + CHOOSE(CONTROL!$C$27, 0.0021, 0)</f>
        <v>38.612099999999998</v>
      </c>
      <c r="E314" s="10">
        <f>38.4733 * CHOOSE(CONTROL!$C$9, $D$9, 100%, $F$9) + CHOOSE(CONTROL!$C$27, 0.0021, 0)</f>
        <v>38.4754</v>
      </c>
      <c r="F314" s="10">
        <f>38.4733 * CHOOSE(CONTROL!$C$9, $D$9, 100%, $F$9) + CHOOSE(CONTROL!$C$27, 0.0021, 0)</f>
        <v>38.4754</v>
      </c>
      <c r="G314" s="10">
        <f>38.7447 * CHOOSE(CONTROL!$C$9, $D$9, 100%, $F$9) + CHOOSE(CONTROL!$C$27, 0.0021, 0)</f>
        <v>38.7468</v>
      </c>
      <c r="H314" s="10">
        <f>38.61 * CHOOSE(CONTROL!$C$9, $D$9, 100%, $F$9) + CHOOSE(CONTROL!$C$27, 0.0021, 0)</f>
        <v>38.612099999999998</v>
      </c>
      <c r="I314" s="10">
        <f>38.61 * CHOOSE(CONTROL!$C$9, $D$9, 100%, $F$9) + CHOOSE(CONTROL!$C$27, 0.0021, 0)</f>
        <v>38.612099999999998</v>
      </c>
      <c r="J314" s="10">
        <f>38.61 * CHOOSE(CONTROL!$C$9, $D$9, 100%, $F$9) + CHOOSE(CONTROL!$C$27, 0.0021, 0)</f>
        <v>38.612099999999998</v>
      </c>
      <c r="K314" s="10">
        <f>38.61 * CHOOSE(CONTROL!$C$9, $D$9, 100%, $F$9) + CHOOSE(CONTROL!$C$27, 0.0021, 0)</f>
        <v>38.612099999999998</v>
      </c>
      <c r="L314" s="10"/>
    </row>
    <row r="315" spans="1:12" ht="15.75" x14ac:dyDescent="0.25">
      <c r="A315" s="14">
        <v>50525</v>
      </c>
      <c r="B315" s="10">
        <f>38.5085 * CHOOSE(CONTROL!$C$9, $D$9, 100%, $F$9) + CHOOSE(CONTROL!$C$27, 0.0021, 0)</f>
        <v>38.510599999999997</v>
      </c>
      <c r="C315" s="10">
        <f>38.0763 * CHOOSE(CONTROL!$C$9, $D$9, 100%, $F$9) + CHOOSE(CONTROL!$C$27, 0.0021, 0)</f>
        <v>38.078400000000002</v>
      </c>
      <c r="D315" s="10">
        <f>38.0763 * CHOOSE(CONTROL!$C$9, $D$9, 100%, $F$9) + CHOOSE(CONTROL!$C$27, 0.0021, 0)</f>
        <v>38.078400000000002</v>
      </c>
      <c r="E315" s="10">
        <f>37.9396 * CHOOSE(CONTROL!$C$9, $D$9, 100%, $F$9) + CHOOSE(CONTROL!$C$27, 0.0021, 0)</f>
        <v>37.941699999999997</v>
      </c>
      <c r="F315" s="10">
        <f>37.9396 * CHOOSE(CONTROL!$C$9, $D$9, 100%, $F$9) + CHOOSE(CONTROL!$C$27, 0.0021, 0)</f>
        <v>37.941699999999997</v>
      </c>
      <c r="G315" s="10">
        <f>38.211 * CHOOSE(CONTROL!$C$9, $D$9, 100%, $F$9) + CHOOSE(CONTROL!$C$27, 0.0021, 0)</f>
        <v>38.213099999999997</v>
      </c>
      <c r="H315" s="10">
        <f>38.0763 * CHOOSE(CONTROL!$C$9, $D$9, 100%, $F$9) + CHOOSE(CONTROL!$C$27, 0.0021, 0)</f>
        <v>38.078400000000002</v>
      </c>
      <c r="I315" s="10">
        <f>38.0763 * CHOOSE(CONTROL!$C$9, $D$9, 100%, $F$9) + CHOOSE(CONTROL!$C$27, 0.0021, 0)</f>
        <v>38.078400000000002</v>
      </c>
      <c r="J315" s="10">
        <f>38.0763 * CHOOSE(CONTROL!$C$9, $D$9, 100%, $F$9) + CHOOSE(CONTROL!$C$27, 0.0021, 0)</f>
        <v>38.078400000000002</v>
      </c>
      <c r="K315" s="10">
        <f>38.0763 * CHOOSE(CONTROL!$C$9, $D$9, 100%, $F$9) + CHOOSE(CONTROL!$C$27, 0.0021, 0)</f>
        <v>38.078400000000002</v>
      </c>
      <c r="L315" s="10"/>
    </row>
    <row r="316" spans="1:12" ht="15.75" x14ac:dyDescent="0.25">
      <c r="A316" s="14">
        <v>50556</v>
      </c>
      <c r="B316" s="10">
        <f>39.2691 * CHOOSE(CONTROL!$C$9, $D$9, 100%, $F$9) + CHOOSE(CONTROL!$C$27, 0.0021, 0)</f>
        <v>39.2712</v>
      </c>
      <c r="C316" s="10">
        <f>38.8368 * CHOOSE(CONTROL!$C$9, $D$9, 100%, $F$9) + CHOOSE(CONTROL!$C$27, 0.0021, 0)</f>
        <v>38.838899999999995</v>
      </c>
      <c r="D316" s="10">
        <f>38.8368 * CHOOSE(CONTROL!$C$9, $D$9, 100%, $F$9) + CHOOSE(CONTROL!$C$27, 0.0021, 0)</f>
        <v>38.838899999999995</v>
      </c>
      <c r="E316" s="10">
        <f>38.7002 * CHOOSE(CONTROL!$C$9, $D$9, 100%, $F$9) + CHOOSE(CONTROL!$C$27, 0.0021, 0)</f>
        <v>38.702300000000001</v>
      </c>
      <c r="F316" s="10">
        <f>38.7002 * CHOOSE(CONTROL!$C$9, $D$9, 100%, $F$9) + CHOOSE(CONTROL!$C$27, 0.0021, 0)</f>
        <v>38.702300000000001</v>
      </c>
      <c r="G316" s="10">
        <f>38.9716 * CHOOSE(CONTROL!$C$9, $D$9, 100%, $F$9) + CHOOSE(CONTROL!$C$27, 0.0021, 0)</f>
        <v>38.973700000000001</v>
      </c>
      <c r="H316" s="10">
        <f>38.8368 * CHOOSE(CONTROL!$C$9, $D$9, 100%, $F$9) + CHOOSE(CONTROL!$C$27, 0.0021, 0)</f>
        <v>38.838899999999995</v>
      </c>
      <c r="I316" s="10">
        <f>38.8368 * CHOOSE(CONTROL!$C$9, $D$9, 100%, $F$9) + CHOOSE(CONTROL!$C$27, 0.0021, 0)</f>
        <v>38.838899999999995</v>
      </c>
      <c r="J316" s="10">
        <f>38.8368 * CHOOSE(CONTROL!$C$9, $D$9, 100%, $F$9) + CHOOSE(CONTROL!$C$27, 0.0021, 0)</f>
        <v>38.838899999999995</v>
      </c>
      <c r="K316" s="10">
        <f>38.8368 * CHOOSE(CONTROL!$C$9, $D$9, 100%, $F$9) + CHOOSE(CONTROL!$C$27, 0.0021, 0)</f>
        <v>38.838899999999995</v>
      </c>
      <c r="L316" s="10"/>
    </row>
    <row r="317" spans="1:12" ht="15.75" x14ac:dyDescent="0.25">
      <c r="A317" s="14">
        <v>50586</v>
      </c>
      <c r="B317" s="10">
        <f>39.7246 * CHOOSE(CONTROL!$C$9, $D$9, 100%, $F$9) + CHOOSE(CONTROL!$C$27, 0.0021, 0)</f>
        <v>39.726700000000001</v>
      </c>
      <c r="C317" s="10">
        <f>39.2924 * CHOOSE(CONTROL!$C$9, $D$9, 100%, $F$9) + CHOOSE(CONTROL!$C$27, 0.0021, 0)</f>
        <v>39.294499999999999</v>
      </c>
      <c r="D317" s="10">
        <f>39.2924 * CHOOSE(CONTROL!$C$9, $D$9, 100%, $F$9) + CHOOSE(CONTROL!$C$27, 0.0021, 0)</f>
        <v>39.294499999999999</v>
      </c>
      <c r="E317" s="10">
        <f>39.1557 * CHOOSE(CONTROL!$C$9, $D$9, 100%, $F$9) + CHOOSE(CONTROL!$C$27, 0.0021, 0)</f>
        <v>39.157800000000002</v>
      </c>
      <c r="F317" s="10">
        <f>39.1557 * CHOOSE(CONTROL!$C$9, $D$9, 100%, $F$9) + CHOOSE(CONTROL!$C$27, 0.0021, 0)</f>
        <v>39.157800000000002</v>
      </c>
      <c r="G317" s="10">
        <f>39.4271 * CHOOSE(CONTROL!$C$9, $D$9, 100%, $F$9) + CHOOSE(CONTROL!$C$27, 0.0021, 0)</f>
        <v>39.429200000000002</v>
      </c>
      <c r="H317" s="10">
        <f>39.2924 * CHOOSE(CONTROL!$C$9, $D$9, 100%, $F$9) + CHOOSE(CONTROL!$C$27, 0.0021, 0)</f>
        <v>39.294499999999999</v>
      </c>
      <c r="I317" s="10">
        <f>39.2924 * CHOOSE(CONTROL!$C$9, $D$9, 100%, $F$9) + CHOOSE(CONTROL!$C$27, 0.0021, 0)</f>
        <v>39.294499999999999</v>
      </c>
      <c r="J317" s="10">
        <f>39.2924 * CHOOSE(CONTROL!$C$9, $D$9, 100%, $F$9) + CHOOSE(CONTROL!$C$27, 0.0021, 0)</f>
        <v>39.294499999999999</v>
      </c>
      <c r="K317" s="10">
        <f>39.2924 * CHOOSE(CONTROL!$C$9, $D$9, 100%, $F$9) + CHOOSE(CONTROL!$C$27, 0.0021, 0)</f>
        <v>39.294499999999999</v>
      </c>
      <c r="L317" s="10"/>
    </row>
    <row r="318" spans="1:12" ht="15.75" x14ac:dyDescent="0.25">
      <c r="A318" s="14">
        <v>50617</v>
      </c>
      <c r="B318" s="10">
        <f>40.4761 * CHOOSE(CONTROL!$C$9, $D$9, 100%, $F$9) + CHOOSE(CONTROL!$C$27, 0.0021, 0)</f>
        <v>40.478200000000001</v>
      </c>
      <c r="C318" s="10">
        <f>40.0439 * CHOOSE(CONTROL!$C$9, $D$9, 100%, $F$9) + CHOOSE(CONTROL!$C$27, 0.0021, 0)</f>
        <v>40.045999999999999</v>
      </c>
      <c r="D318" s="10">
        <f>40.0439 * CHOOSE(CONTROL!$C$9, $D$9, 100%, $F$9) + CHOOSE(CONTROL!$C$27, 0.0021, 0)</f>
        <v>40.045999999999999</v>
      </c>
      <c r="E318" s="10">
        <f>39.9072 * CHOOSE(CONTROL!$C$9, $D$9, 100%, $F$9) + CHOOSE(CONTROL!$C$27, 0.0021, 0)</f>
        <v>39.909300000000002</v>
      </c>
      <c r="F318" s="10">
        <f>39.9072 * CHOOSE(CONTROL!$C$9, $D$9, 100%, $F$9) + CHOOSE(CONTROL!$C$27, 0.0021, 0)</f>
        <v>39.909300000000002</v>
      </c>
      <c r="G318" s="10">
        <f>40.1786 * CHOOSE(CONTROL!$C$9, $D$9, 100%, $F$9) + CHOOSE(CONTROL!$C$27, 0.0021, 0)</f>
        <v>40.180700000000002</v>
      </c>
      <c r="H318" s="10">
        <f>40.0439 * CHOOSE(CONTROL!$C$9, $D$9, 100%, $F$9) + CHOOSE(CONTROL!$C$27, 0.0021, 0)</f>
        <v>40.045999999999999</v>
      </c>
      <c r="I318" s="10">
        <f>40.0439 * CHOOSE(CONTROL!$C$9, $D$9, 100%, $F$9) + CHOOSE(CONTROL!$C$27, 0.0021, 0)</f>
        <v>40.045999999999999</v>
      </c>
      <c r="J318" s="10">
        <f>40.0439 * CHOOSE(CONTROL!$C$9, $D$9, 100%, $F$9) + CHOOSE(CONTROL!$C$27, 0.0021, 0)</f>
        <v>40.045999999999999</v>
      </c>
      <c r="K318" s="10">
        <f>40.0439 * CHOOSE(CONTROL!$C$9, $D$9, 100%, $F$9) + CHOOSE(CONTROL!$C$27, 0.0021, 0)</f>
        <v>40.045999999999999</v>
      </c>
      <c r="L318" s="10"/>
    </row>
    <row r="319" spans="1:12" ht="15.75" x14ac:dyDescent="0.25">
      <c r="A319" s="14">
        <v>50648</v>
      </c>
      <c r="B319" s="10">
        <f>40.7055 * CHOOSE(CONTROL!$C$9, $D$9, 100%, $F$9) + CHOOSE(CONTROL!$C$27, 0.0021, 0)</f>
        <v>40.707599999999999</v>
      </c>
      <c r="C319" s="10">
        <f>40.2732 * CHOOSE(CONTROL!$C$9, $D$9, 100%, $F$9) + CHOOSE(CONTROL!$C$27, 0.0021, 0)</f>
        <v>40.275300000000001</v>
      </c>
      <c r="D319" s="10">
        <f>40.2732 * CHOOSE(CONTROL!$C$9, $D$9, 100%, $F$9) + CHOOSE(CONTROL!$C$27, 0.0021, 0)</f>
        <v>40.275300000000001</v>
      </c>
      <c r="E319" s="10">
        <f>40.1366 * CHOOSE(CONTROL!$C$9, $D$9, 100%, $F$9) + CHOOSE(CONTROL!$C$27, 0.0021, 0)</f>
        <v>40.1387</v>
      </c>
      <c r="F319" s="10">
        <f>40.1366 * CHOOSE(CONTROL!$C$9, $D$9, 100%, $F$9) + CHOOSE(CONTROL!$C$27, 0.0021, 0)</f>
        <v>40.1387</v>
      </c>
      <c r="G319" s="10">
        <f>40.408 * CHOOSE(CONTROL!$C$9, $D$9, 100%, $F$9) + CHOOSE(CONTROL!$C$27, 0.0021, 0)</f>
        <v>40.4101</v>
      </c>
      <c r="H319" s="10">
        <f>40.2732 * CHOOSE(CONTROL!$C$9, $D$9, 100%, $F$9) + CHOOSE(CONTROL!$C$27, 0.0021, 0)</f>
        <v>40.275300000000001</v>
      </c>
      <c r="I319" s="10">
        <f>40.2732 * CHOOSE(CONTROL!$C$9, $D$9, 100%, $F$9) + CHOOSE(CONTROL!$C$27, 0.0021, 0)</f>
        <v>40.275300000000001</v>
      </c>
      <c r="J319" s="10">
        <f>40.2732 * CHOOSE(CONTROL!$C$9, $D$9, 100%, $F$9) + CHOOSE(CONTROL!$C$27, 0.0021, 0)</f>
        <v>40.275300000000001</v>
      </c>
      <c r="K319" s="10">
        <f>40.2732 * CHOOSE(CONTROL!$C$9, $D$9, 100%, $F$9) + CHOOSE(CONTROL!$C$27, 0.0021, 0)</f>
        <v>40.275300000000001</v>
      </c>
      <c r="L319" s="10"/>
    </row>
    <row r="320" spans="1:12" ht="15.75" x14ac:dyDescent="0.25">
      <c r="A320" s="14">
        <v>50678</v>
      </c>
      <c r="B320" s="10">
        <f>41.4866 * CHOOSE(CONTROL!$C$9, $D$9, 100%, $F$9) + CHOOSE(CONTROL!$C$27, 0.0021, 0)</f>
        <v>41.488700000000001</v>
      </c>
      <c r="C320" s="10">
        <f>41.0544 * CHOOSE(CONTROL!$C$9, $D$9, 100%, $F$9) + CHOOSE(CONTROL!$C$27, 0.0021, 0)</f>
        <v>41.0565</v>
      </c>
      <c r="D320" s="10">
        <f>41.0544 * CHOOSE(CONTROL!$C$9, $D$9, 100%, $F$9) + CHOOSE(CONTROL!$C$27, 0.0021, 0)</f>
        <v>41.0565</v>
      </c>
      <c r="E320" s="10">
        <f>40.9177 * CHOOSE(CONTROL!$C$9, $D$9, 100%, $F$9) + CHOOSE(CONTROL!$C$27, 0.0021, 0)</f>
        <v>40.919800000000002</v>
      </c>
      <c r="F320" s="10">
        <f>40.9177 * CHOOSE(CONTROL!$C$9, $D$9, 100%, $F$9) + CHOOSE(CONTROL!$C$27, 0.0021, 0)</f>
        <v>40.919800000000002</v>
      </c>
      <c r="G320" s="10">
        <f>41.1891 * CHOOSE(CONTROL!$C$9, $D$9, 100%, $F$9) + CHOOSE(CONTROL!$C$27, 0.0021, 0)</f>
        <v>41.191200000000002</v>
      </c>
      <c r="H320" s="10">
        <f>41.0544 * CHOOSE(CONTROL!$C$9, $D$9, 100%, $F$9) + CHOOSE(CONTROL!$C$27, 0.0021, 0)</f>
        <v>41.0565</v>
      </c>
      <c r="I320" s="10">
        <f>41.0544 * CHOOSE(CONTROL!$C$9, $D$9, 100%, $F$9) + CHOOSE(CONTROL!$C$27, 0.0021, 0)</f>
        <v>41.0565</v>
      </c>
      <c r="J320" s="10">
        <f>41.0544 * CHOOSE(CONTROL!$C$9, $D$9, 100%, $F$9) + CHOOSE(CONTROL!$C$27, 0.0021, 0)</f>
        <v>41.0565</v>
      </c>
      <c r="K320" s="10">
        <f>41.0544 * CHOOSE(CONTROL!$C$9, $D$9, 100%, $F$9) + CHOOSE(CONTROL!$C$27, 0.0021, 0)</f>
        <v>41.0565</v>
      </c>
      <c r="L320" s="10"/>
    </row>
    <row r="321" spans="1:12" ht="15.75" x14ac:dyDescent="0.25">
      <c r="A321" s="14">
        <v>50709</v>
      </c>
      <c r="B321" s="10">
        <f>42.4754 * CHOOSE(CONTROL!$C$9, $D$9, 100%, $F$9) + CHOOSE(CONTROL!$C$27, 0.0021, 0)</f>
        <v>42.477499999999999</v>
      </c>
      <c r="C321" s="10">
        <f>42.0431 * CHOOSE(CONTROL!$C$9, $D$9, 100%, $F$9) + CHOOSE(CONTROL!$C$27, 0.0021, 0)</f>
        <v>42.045200000000001</v>
      </c>
      <c r="D321" s="10">
        <f>42.0431 * CHOOSE(CONTROL!$C$9, $D$9, 100%, $F$9) + CHOOSE(CONTROL!$C$27, 0.0021, 0)</f>
        <v>42.045200000000001</v>
      </c>
      <c r="E321" s="10">
        <f>41.9065 * CHOOSE(CONTROL!$C$9, $D$9, 100%, $F$9) + CHOOSE(CONTROL!$C$27, 0.0021, 0)</f>
        <v>41.9086</v>
      </c>
      <c r="F321" s="10">
        <f>41.9065 * CHOOSE(CONTROL!$C$9, $D$9, 100%, $F$9) + CHOOSE(CONTROL!$C$27, 0.0021, 0)</f>
        <v>41.9086</v>
      </c>
      <c r="G321" s="10">
        <f>42.1779 * CHOOSE(CONTROL!$C$9, $D$9, 100%, $F$9) + CHOOSE(CONTROL!$C$27, 0.0021, 0)</f>
        <v>42.18</v>
      </c>
      <c r="H321" s="10">
        <f>42.0431 * CHOOSE(CONTROL!$C$9, $D$9, 100%, $F$9) + CHOOSE(CONTROL!$C$27, 0.0021, 0)</f>
        <v>42.045200000000001</v>
      </c>
      <c r="I321" s="10">
        <f>42.0431 * CHOOSE(CONTROL!$C$9, $D$9, 100%, $F$9) + CHOOSE(CONTROL!$C$27, 0.0021, 0)</f>
        <v>42.045200000000001</v>
      </c>
      <c r="J321" s="10">
        <f>42.0431 * CHOOSE(CONTROL!$C$9, $D$9, 100%, $F$9) + CHOOSE(CONTROL!$C$27, 0.0021, 0)</f>
        <v>42.045200000000001</v>
      </c>
      <c r="K321" s="10">
        <f>42.0431 * CHOOSE(CONTROL!$C$9, $D$9, 100%, $F$9) + CHOOSE(CONTROL!$C$27, 0.0021, 0)</f>
        <v>42.045200000000001</v>
      </c>
      <c r="L321" s="10"/>
    </row>
    <row r="322" spans="1:12" ht="15.75" x14ac:dyDescent="0.25">
      <c r="A322" s="14">
        <v>50739</v>
      </c>
      <c r="B322" s="10">
        <f>42.5682 * CHOOSE(CONTROL!$C$9, $D$9, 100%, $F$9) + CHOOSE(CONTROL!$C$27, 0.0021, 0)</f>
        <v>42.570299999999996</v>
      </c>
      <c r="C322" s="10">
        <f>42.136 * CHOOSE(CONTROL!$C$9, $D$9, 100%, $F$9) + CHOOSE(CONTROL!$C$27, 0.0021, 0)</f>
        <v>42.138100000000001</v>
      </c>
      <c r="D322" s="10">
        <f>42.136 * CHOOSE(CONTROL!$C$9, $D$9, 100%, $F$9) + CHOOSE(CONTROL!$C$27, 0.0021, 0)</f>
        <v>42.138100000000001</v>
      </c>
      <c r="E322" s="10">
        <f>41.9993 * CHOOSE(CONTROL!$C$9, $D$9, 100%, $F$9) + CHOOSE(CONTROL!$C$27, 0.0021, 0)</f>
        <v>42.001399999999997</v>
      </c>
      <c r="F322" s="10">
        <f>41.9993 * CHOOSE(CONTROL!$C$9, $D$9, 100%, $F$9) + CHOOSE(CONTROL!$C$27, 0.0021, 0)</f>
        <v>42.001399999999997</v>
      </c>
      <c r="G322" s="10">
        <f>42.2707 * CHOOSE(CONTROL!$C$9, $D$9, 100%, $F$9) + CHOOSE(CONTROL!$C$27, 0.0021, 0)</f>
        <v>42.272799999999997</v>
      </c>
      <c r="H322" s="10">
        <f>42.136 * CHOOSE(CONTROL!$C$9, $D$9, 100%, $F$9) + CHOOSE(CONTROL!$C$27, 0.0021, 0)</f>
        <v>42.138100000000001</v>
      </c>
      <c r="I322" s="10">
        <f>42.136 * CHOOSE(CONTROL!$C$9, $D$9, 100%, $F$9) + CHOOSE(CONTROL!$C$27, 0.0021, 0)</f>
        <v>42.138100000000001</v>
      </c>
      <c r="J322" s="10">
        <f>42.136 * CHOOSE(CONTROL!$C$9, $D$9, 100%, $F$9) + CHOOSE(CONTROL!$C$27, 0.0021, 0)</f>
        <v>42.138100000000001</v>
      </c>
      <c r="K322" s="10">
        <f>42.136 * CHOOSE(CONTROL!$C$9, $D$9, 100%, $F$9) + CHOOSE(CONTROL!$C$27, 0.0021, 0)</f>
        <v>42.138100000000001</v>
      </c>
      <c r="L322" s="10"/>
    </row>
    <row r="323" spans="1:12" ht="15.75" x14ac:dyDescent="0.25">
      <c r="A323" s="14">
        <v>50770</v>
      </c>
      <c r="B323" s="10">
        <f>41.7785 * CHOOSE(CONTROL!$C$9, $D$9, 100%, $F$9) + CHOOSE(CONTROL!$C$27, 0.0021, 0)</f>
        <v>41.7806</v>
      </c>
      <c r="C323" s="10">
        <f>41.3462 * CHOOSE(CONTROL!$C$9, $D$9, 100%, $F$9) + CHOOSE(CONTROL!$C$27, 0.0021, 0)</f>
        <v>41.348300000000002</v>
      </c>
      <c r="D323" s="10">
        <f>41.3462 * CHOOSE(CONTROL!$C$9, $D$9, 100%, $F$9) + CHOOSE(CONTROL!$C$27, 0.0021, 0)</f>
        <v>41.348300000000002</v>
      </c>
      <c r="E323" s="10">
        <f>41.2096 * CHOOSE(CONTROL!$C$9, $D$9, 100%, $F$9) + CHOOSE(CONTROL!$C$27, 0.0021, 0)</f>
        <v>41.2117</v>
      </c>
      <c r="F323" s="10">
        <f>41.2096 * CHOOSE(CONTROL!$C$9, $D$9, 100%, $F$9) + CHOOSE(CONTROL!$C$27, 0.0021, 0)</f>
        <v>41.2117</v>
      </c>
      <c r="G323" s="10">
        <f>41.481 * CHOOSE(CONTROL!$C$9, $D$9, 100%, $F$9) + CHOOSE(CONTROL!$C$27, 0.0021, 0)</f>
        <v>41.4831</v>
      </c>
      <c r="H323" s="10">
        <f>41.3462 * CHOOSE(CONTROL!$C$9, $D$9, 100%, $F$9) + CHOOSE(CONTROL!$C$27, 0.0021, 0)</f>
        <v>41.348300000000002</v>
      </c>
      <c r="I323" s="10">
        <f>41.3462 * CHOOSE(CONTROL!$C$9, $D$9, 100%, $F$9) + CHOOSE(CONTROL!$C$27, 0.0021, 0)</f>
        <v>41.348300000000002</v>
      </c>
      <c r="J323" s="10">
        <f>41.3462 * CHOOSE(CONTROL!$C$9, $D$9, 100%, $F$9) + CHOOSE(CONTROL!$C$27, 0.0021, 0)</f>
        <v>41.348300000000002</v>
      </c>
      <c r="K323" s="10">
        <f>41.3462 * CHOOSE(CONTROL!$C$9, $D$9, 100%, $F$9) + CHOOSE(CONTROL!$C$27, 0.0021, 0)</f>
        <v>41.348300000000002</v>
      </c>
      <c r="L323" s="10"/>
    </row>
    <row r="324" spans="1:12" ht="15.75" x14ac:dyDescent="0.25">
      <c r="A324" s="14">
        <v>50801</v>
      </c>
      <c r="B324" s="10">
        <f>41.2611 * CHOOSE(CONTROL!$C$9, $D$9, 100%, $F$9) + CHOOSE(CONTROL!$C$27, 0.0021, 0)</f>
        <v>41.263199999999998</v>
      </c>
      <c r="C324" s="10">
        <f>40.8289 * CHOOSE(CONTROL!$C$9, $D$9, 100%, $F$9) + CHOOSE(CONTROL!$C$27, 0.0021, 0)</f>
        <v>40.830999999999996</v>
      </c>
      <c r="D324" s="10">
        <f>40.8289 * CHOOSE(CONTROL!$C$9, $D$9, 100%, $F$9) + CHOOSE(CONTROL!$C$27, 0.0021, 0)</f>
        <v>40.830999999999996</v>
      </c>
      <c r="E324" s="10">
        <f>40.6922 * CHOOSE(CONTROL!$C$9, $D$9, 100%, $F$9) + CHOOSE(CONTROL!$C$27, 0.0021, 0)</f>
        <v>40.694299999999998</v>
      </c>
      <c r="F324" s="10">
        <f>40.6922 * CHOOSE(CONTROL!$C$9, $D$9, 100%, $F$9) + CHOOSE(CONTROL!$C$27, 0.0021, 0)</f>
        <v>40.694299999999998</v>
      </c>
      <c r="G324" s="10">
        <f>40.9636 * CHOOSE(CONTROL!$C$9, $D$9, 100%, $F$9) + CHOOSE(CONTROL!$C$27, 0.0021, 0)</f>
        <v>40.965699999999998</v>
      </c>
      <c r="H324" s="10">
        <f>40.8289 * CHOOSE(CONTROL!$C$9, $D$9, 100%, $F$9) + CHOOSE(CONTROL!$C$27, 0.0021, 0)</f>
        <v>40.830999999999996</v>
      </c>
      <c r="I324" s="10">
        <f>40.8289 * CHOOSE(CONTROL!$C$9, $D$9, 100%, $F$9) + CHOOSE(CONTROL!$C$27, 0.0021, 0)</f>
        <v>40.830999999999996</v>
      </c>
      <c r="J324" s="10">
        <f>40.8289 * CHOOSE(CONTROL!$C$9, $D$9, 100%, $F$9) + CHOOSE(CONTROL!$C$27, 0.0021, 0)</f>
        <v>40.830999999999996</v>
      </c>
      <c r="K324" s="10">
        <f>40.8289 * CHOOSE(CONTROL!$C$9, $D$9, 100%, $F$9) + CHOOSE(CONTROL!$C$27, 0.0021, 0)</f>
        <v>40.830999999999996</v>
      </c>
      <c r="L324" s="10"/>
    </row>
    <row r="325" spans="1:12" ht="15.75" x14ac:dyDescent="0.25">
      <c r="A325" s="14">
        <v>50829</v>
      </c>
      <c r="B325" s="10">
        <f>40.1589 * CHOOSE(CONTROL!$C$9, $D$9, 100%, $F$9) + CHOOSE(CONTROL!$C$27, 0.0021, 0)</f>
        <v>40.161000000000001</v>
      </c>
      <c r="C325" s="10">
        <f>39.7266 * CHOOSE(CONTROL!$C$9, $D$9, 100%, $F$9) + CHOOSE(CONTROL!$C$27, 0.0021, 0)</f>
        <v>39.728699999999996</v>
      </c>
      <c r="D325" s="10">
        <f>39.7266 * CHOOSE(CONTROL!$C$9, $D$9, 100%, $F$9) + CHOOSE(CONTROL!$C$27, 0.0021, 0)</f>
        <v>39.728699999999996</v>
      </c>
      <c r="E325" s="10">
        <f>39.59 * CHOOSE(CONTROL!$C$9, $D$9, 100%, $F$9) + CHOOSE(CONTROL!$C$27, 0.0021, 0)</f>
        <v>39.592100000000002</v>
      </c>
      <c r="F325" s="10">
        <f>39.59 * CHOOSE(CONTROL!$C$9, $D$9, 100%, $F$9) + CHOOSE(CONTROL!$C$27, 0.0021, 0)</f>
        <v>39.592100000000002</v>
      </c>
      <c r="G325" s="10">
        <f>39.8614 * CHOOSE(CONTROL!$C$9, $D$9, 100%, $F$9) + CHOOSE(CONTROL!$C$27, 0.0021, 0)</f>
        <v>39.863500000000002</v>
      </c>
      <c r="H325" s="10">
        <f>39.7266 * CHOOSE(CONTROL!$C$9, $D$9, 100%, $F$9) + CHOOSE(CONTROL!$C$27, 0.0021, 0)</f>
        <v>39.728699999999996</v>
      </c>
      <c r="I325" s="10">
        <f>39.7266 * CHOOSE(CONTROL!$C$9, $D$9, 100%, $F$9) + CHOOSE(CONTROL!$C$27, 0.0021, 0)</f>
        <v>39.728699999999996</v>
      </c>
      <c r="J325" s="10">
        <f>39.7266 * CHOOSE(CONTROL!$C$9, $D$9, 100%, $F$9) + CHOOSE(CONTROL!$C$27, 0.0021, 0)</f>
        <v>39.728699999999996</v>
      </c>
      <c r="K325" s="10">
        <f>39.7266 * CHOOSE(CONTROL!$C$9, $D$9, 100%, $F$9) + CHOOSE(CONTROL!$C$27, 0.0021, 0)</f>
        <v>39.728699999999996</v>
      </c>
      <c r="L325" s="10"/>
    </row>
    <row r="326" spans="1:12" ht="15.75" x14ac:dyDescent="0.25">
      <c r="A326" s="14">
        <v>50860</v>
      </c>
      <c r="B326" s="10">
        <f>39.7039 * CHOOSE(CONTROL!$C$9, $D$9, 100%, $F$9) + CHOOSE(CONTROL!$C$27, 0.0021, 0)</f>
        <v>39.705999999999996</v>
      </c>
      <c r="C326" s="10">
        <f>39.2716 * CHOOSE(CONTROL!$C$9, $D$9, 100%, $F$9) + CHOOSE(CONTROL!$C$27, 0.0021, 0)</f>
        <v>39.273699999999998</v>
      </c>
      <c r="D326" s="10">
        <f>39.2716 * CHOOSE(CONTROL!$C$9, $D$9, 100%, $F$9) + CHOOSE(CONTROL!$C$27, 0.0021, 0)</f>
        <v>39.273699999999998</v>
      </c>
      <c r="E326" s="10">
        <f>39.135 * CHOOSE(CONTROL!$C$9, $D$9, 100%, $F$9) + CHOOSE(CONTROL!$C$27, 0.0021, 0)</f>
        <v>39.137099999999997</v>
      </c>
      <c r="F326" s="10">
        <f>39.135 * CHOOSE(CONTROL!$C$9, $D$9, 100%, $F$9) + CHOOSE(CONTROL!$C$27, 0.0021, 0)</f>
        <v>39.137099999999997</v>
      </c>
      <c r="G326" s="10">
        <f>39.4064 * CHOOSE(CONTROL!$C$9, $D$9, 100%, $F$9) + CHOOSE(CONTROL!$C$27, 0.0021, 0)</f>
        <v>39.408499999999997</v>
      </c>
      <c r="H326" s="10">
        <f>39.2716 * CHOOSE(CONTROL!$C$9, $D$9, 100%, $F$9) + CHOOSE(CONTROL!$C$27, 0.0021, 0)</f>
        <v>39.273699999999998</v>
      </c>
      <c r="I326" s="10">
        <f>39.2716 * CHOOSE(CONTROL!$C$9, $D$9, 100%, $F$9) + CHOOSE(CONTROL!$C$27, 0.0021, 0)</f>
        <v>39.273699999999998</v>
      </c>
      <c r="J326" s="10">
        <f>39.2716 * CHOOSE(CONTROL!$C$9, $D$9, 100%, $F$9) + CHOOSE(CONTROL!$C$27, 0.0021, 0)</f>
        <v>39.273699999999998</v>
      </c>
      <c r="K326" s="10">
        <f>39.2716 * CHOOSE(CONTROL!$C$9, $D$9, 100%, $F$9) + CHOOSE(CONTROL!$C$27, 0.0021, 0)</f>
        <v>39.273699999999998</v>
      </c>
      <c r="L326" s="10"/>
    </row>
    <row r="327" spans="1:12" ht="15.75" x14ac:dyDescent="0.25">
      <c r="A327" s="14">
        <v>50890</v>
      </c>
      <c r="B327" s="10">
        <f>39.1606 * CHOOSE(CONTROL!$C$9, $D$9, 100%, $F$9) + CHOOSE(CONTROL!$C$27, 0.0021, 0)</f>
        <v>39.162700000000001</v>
      </c>
      <c r="C327" s="10">
        <f>38.7284 * CHOOSE(CONTROL!$C$9, $D$9, 100%, $F$9) + CHOOSE(CONTROL!$C$27, 0.0021, 0)</f>
        <v>38.730499999999999</v>
      </c>
      <c r="D327" s="10">
        <f>38.7284 * CHOOSE(CONTROL!$C$9, $D$9, 100%, $F$9) + CHOOSE(CONTROL!$C$27, 0.0021, 0)</f>
        <v>38.730499999999999</v>
      </c>
      <c r="E327" s="10">
        <f>38.5917 * CHOOSE(CONTROL!$C$9, $D$9, 100%, $F$9) + CHOOSE(CONTROL!$C$27, 0.0021, 0)</f>
        <v>38.593800000000002</v>
      </c>
      <c r="F327" s="10">
        <f>38.5917 * CHOOSE(CONTROL!$C$9, $D$9, 100%, $F$9) + CHOOSE(CONTROL!$C$27, 0.0021, 0)</f>
        <v>38.593800000000002</v>
      </c>
      <c r="G327" s="10">
        <f>38.8631 * CHOOSE(CONTROL!$C$9, $D$9, 100%, $F$9) + CHOOSE(CONTROL!$C$27, 0.0021, 0)</f>
        <v>38.865200000000002</v>
      </c>
      <c r="H327" s="10">
        <f>38.7284 * CHOOSE(CONTROL!$C$9, $D$9, 100%, $F$9) + CHOOSE(CONTROL!$C$27, 0.0021, 0)</f>
        <v>38.730499999999999</v>
      </c>
      <c r="I327" s="10">
        <f>38.7284 * CHOOSE(CONTROL!$C$9, $D$9, 100%, $F$9) + CHOOSE(CONTROL!$C$27, 0.0021, 0)</f>
        <v>38.730499999999999</v>
      </c>
      <c r="J327" s="10">
        <f>38.7284 * CHOOSE(CONTROL!$C$9, $D$9, 100%, $F$9) + CHOOSE(CONTROL!$C$27, 0.0021, 0)</f>
        <v>38.730499999999999</v>
      </c>
      <c r="K327" s="10">
        <f>38.7284 * CHOOSE(CONTROL!$C$9, $D$9, 100%, $F$9) + CHOOSE(CONTROL!$C$27, 0.0021, 0)</f>
        <v>38.730499999999999</v>
      </c>
      <c r="L327" s="10"/>
    </row>
    <row r="328" spans="1:12" ht="15.75" x14ac:dyDescent="0.25">
      <c r="A328" s="14">
        <v>50921</v>
      </c>
      <c r="B328" s="10">
        <f>39.9348 * CHOOSE(CONTROL!$C$9, $D$9, 100%, $F$9) + CHOOSE(CONTROL!$C$27, 0.0021, 0)</f>
        <v>39.936900000000001</v>
      </c>
      <c r="C328" s="10">
        <f>39.5026 * CHOOSE(CONTROL!$C$9, $D$9, 100%, $F$9) + CHOOSE(CONTROL!$C$27, 0.0021, 0)</f>
        <v>39.5047</v>
      </c>
      <c r="D328" s="10">
        <f>39.5026 * CHOOSE(CONTROL!$C$9, $D$9, 100%, $F$9) + CHOOSE(CONTROL!$C$27, 0.0021, 0)</f>
        <v>39.5047</v>
      </c>
      <c r="E328" s="10">
        <f>39.3659 * CHOOSE(CONTROL!$C$9, $D$9, 100%, $F$9) + CHOOSE(CONTROL!$C$27, 0.0021, 0)</f>
        <v>39.368000000000002</v>
      </c>
      <c r="F328" s="10">
        <f>39.3659 * CHOOSE(CONTROL!$C$9, $D$9, 100%, $F$9) + CHOOSE(CONTROL!$C$27, 0.0021, 0)</f>
        <v>39.368000000000002</v>
      </c>
      <c r="G328" s="10">
        <f>39.6373 * CHOOSE(CONTROL!$C$9, $D$9, 100%, $F$9) + CHOOSE(CONTROL!$C$27, 0.0021, 0)</f>
        <v>39.639400000000002</v>
      </c>
      <c r="H328" s="10">
        <f>39.5026 * CHOOSE(CONTROL!$C$9, $D$9, 100%, $F$9) + CHOOSE(CONTROL!$C$27, 0.0021, 0)</f>
        <v>39.5047</v>
      </c>
      <c r="I328" s="10">
        <f>39.5026 * CHOOSE(CONTROL!$C$9, $D$9, 100%, $F$9) + CHOOSE(CONTROL!$C$27, 0.0021, 0)</f>
        <v>39.5047</v>
      </c>
      <c r="J328" s="10">
        <f>39.5026 * CHOOSE(CONTROL!$C$9, $D$9, 100%, $F$9) + CHOOSE(CONTROL!$C$27, 0.0021, 0)</f>
        <v>39.5047</v>
      </c>
      <c r="K328" s="10">
        <f>39.5026 * CHOOSE(CONTROL!$C$9, $D$9, 100%, $F$9) + CHOOSE(CONTROL!$C$27, 0.0021, 0)</f>
        <v>39.5047</v>
      </c>
      <c r="L328" s="10"/>
    </row>
    <row r="329" spans="1:12" ht="15.75" x14ac:dyDescent="0.25">
      <c r="A329" s="14">
        <v>50951</v>
      </c>
      <c r="B329" s="10">
        <f>40.3986 * CHOOSE(CONTROL!$C$9, $D$9, 100%, $F$9) + CHOOSE(CONTROL!$C$27, 0.0021, 0)</f>
        <v>40.400700000000001</v>
      </c>
      <c r="C329" s="10">
        <f>39.9663 * CHOOSE(CONTROL!$C$9, $D$9, 100%, $F$9) + CHOOSE(CONTROL!$C$27, 0.0021, 0)</f>
        <v>39.968399999999995</v>
      </c>
      <c r="D329" s="10">
        <f>39.9663 * CHOOSE(CONTROL!$C$9, $D$9, 100%, $F$9) + CHOOSE(CONTROL!$C$27, 0.0021, 0)</f>
        <v>39.968399999999995</v>
      </c>
      <c r="E329" s="10">
        <f>39.8297 * CHOOSE(CONTROL!$C$9, $D$9, 100%, $F$9) + CHOOSE(CONTROL!$C$27, 0.0021, 0)</f>
        <v>39.831800000000001</v>
      </c>
      <c r="F329" s="10">
        <f>39.8297 * CHOOSE(CONTROL!$C$9, $D$9, 100%, $F$9) + CHOOSE(CONTROL!$C$27, 0.0021, 0)</f>
        <v>39.831800000000001</v>
      </c>
      <c r="G329" s="10">
        <f>40.1011 * CHOOSE(CONTROL!$C$9, $D$9, 100%, $F$9) + CHOOSE(CONTROL!$C$27, 0.0021, 0)</f>
        <v>40.103200000000001</v>
      </c>
      <c r="H329" s="10">
        <f>39.9663 * CHOOSE(CONTROL!$C$9, $D$9, 100%, $F$9) + CHOOSE(CONTROL!$C$27, 0.0021, 0)</f>
        <v>39.968399999999995</v>
      </c>
      <c r="I329" s="10">
        <f>39.9663 * CHOOSE(CONTROL!$C$9, $D$9, 100%, $F$9) + CHOOSE(CONTROL!$C$27, 0.0021, 0)</f>
        <v>39.968399999999995</v>
      </c>
      <c r="J329" s="10">
        <f>39.9663 * CHOOSE(CONTROL!$C$9, $D$9, 100%, $F$9) + CHOOSE(CONTROL!$C$27, 0.0021, 0)</f>
        <v>39.968399999999995</v>
      </c>
      <c r="K329" s="10">
        <f>39.9663 * CHOOSE(CONTROL!$C$9, $D$9, 100%, $F$9) + CHOOSE(CONTROL!$C$27, 0.0021, 0)</f>
        <v>39.968399999999995</v>
      </c>
      <c r="L329" s="10"/>
    </row>
    <row r="330" spans="1:12" ht="15.75" x14ac:dyDescent="0.25">
      <c r="A330" s="14">
        <v>50982</v>
      </c>
      <c r="B330" s="10">
        <f>41.1636 * CHOOSE(CONTROL!$C$9, $D$9, 100%, $F$9) + CHOOSE(CONTROL!$C$27, 0.0021, 0)</f>
        <v>41.165700000000001</v>
      </c>
      <c r="C330" s="10">
        <f>40.7314 * CHOOSE(CONTROL!$C$9, $D$9, 100%, $F$9) + CHOOSE(CONTROL!$C$27, 0.0021, 0)</f>
        <v>40.733499999999999</v>
      </c>
      <c r="D330" s="10">
        <f>40.7314 * CHOOSE(CONTROL!$C$9, $D$9, 100%, $F$9) + CHOOSE(CONTROL!$C$27, 0.0021, 0)</f>
        <v>40.733499999999999</v>
      </c>
      <c r="E330" s="10">
        <f>40.5947 * CHOOSE(CONTROL!$C$9, $D$9, 100%, $F$9) + CHOOSE(CONTROL!$C$27, 0.0021, 0)</f>
        <v>40.596800000000002</v>
      </c>
      <c r="F330" s="10">
        <f>40.5947 * CHOOSE(CONTROL!$C$9, $D$9, 100%, $F$9) + CHOOSE(CONTROL!$C$27, 0.0021, 0)</f>
        <v>40.596800000000002</v>
      </c>
      <c r="G330" s="10">
        <f>40.8661 * CHOOSE(CONTROL!$C$9, $D$9, 100%, $F$9) + CHOOSE(CONTROL!$C$27, 0.0021, 0)</f>
        <v>40.868200000000002</v>
      </c>
      <c r="H330" s="10">
        <f>40.7314 * CHOOSE(CONTROL!$C$9, $D$9, 100%, $F$9) + CHOOSE(CONTROL!$C$27, 0.0021, 0)</f>
        <v>40.733499999999999</v>
      </c>
      <c r="I330" s="10">
        <f>40.7314 * CHOOSE(CONTROL!$C$9, $D$9, 100%, $F$9) + CHOOSE(CONTROL!$C$27, 0.0021, 0)</f>
        <v>40.733499999999999</v>
      </c>
      <c r="J330" s="10">
        <f>40.7314 * CHOOSE(CONTROL!$C$9, $D$9, 100%, $F$9) + CHOOSE(CONTROL!$C$27, 0.0021, 0)</f>
        <v>40.733499999999999</v>
      </c>
      <c r="K330" s="10">
        <f>40.7314 * CHOOSE(CONTROL!$C$9, $D$9, 100%, $F$9) + CHOOSE(CONTROL!$C$27, 0.0021, 0)</f>
        <v>40.733499999999999</v>
      </c>
      <c r="L330" s="10"/>
    </row>
    <row r="331" spans="1:12" ht="15.75" x14ac:dyDescent="0.25">
      <c r="A331" s="14">
        <v>51013</v>
      </c>
      <c r="B331" s="10">
        <f>41.3971 * CHOOSE(CONTROL!$C$9, $D$9, 100%, $F$9) + CHOOSE(CONTROL!$C$27, 0.0021, 0)</f>
        <v>41.3992</v>
      </c>
      <c r="C331" s="10">
        <f>40.9649 * CHOOSE(CONTROL!$C$9, $D$9, 100%, $F$9) + CHOOSE(CONTROL!$C$27, 0.0021, 0)</f>
        <v>40.966999999999999</v>
      </c>
      <c r="D331" s="10">
        <f>40.9649 * CHOOSE(CONTROL!$C$9, $D$9, 100%, $F$9) + CHOOSE(CONTROL!$C$27, 0.0021, 0)</f>
        <v>40.966999999999999</v>
      </c>
      <c r="E331" s="10">
        <f>40.8282 * CHOOSE(CONTROL!$C$9, $D$9, 100%, $F$9) + CHOOSE(CONTROL!$C$27, 0.0021, 0)</f>
        <v>40.830300000000001</v>
      </c>
      <c r="F331" s="10">
        <f>40.8282 * CHOOSE(CONTROL!$C$9, $D$9, 100%, $F$9) + CHOOSE(CONTROL!$C$27, 0.0021, 0)</f>
        <v>40.830300000000001</v>
      </c>
      <c r="G331" s="10">
        <f>41.0996 * CHOOSE(CONTROL!$C$9, $D$9, 100%, $F$9) + CHOOSE(CONTROL!$C$27, 0.0021, 0)</f>
        <v>41.101700000000001</v>
      </c>
      <c r="H331" s="10">
        <f>40.9649 * CHOOSE(CONTROL!$C$9, $D$9, 100%, $F$9) + CHOOSE(CONTROL!$C$27, 0.0021, 0)</f>
        <v>40.966999999999999</v>
      </c>
      <c r="I331" s="10">
        <f>40.9649 * CHOOSE(CONTROL!$C$9, $D$9, 100%, $F$9) + CHOOSE(CONTROL!$C$27, 0.0021, 0)</f>
        <v>40.966999999999999</v>
      </c>
      <c r="J331" s="10">
        <f>40.9649 * CHOOSE(CONTROL!$C$9, $D$9, 100%, $F$9) + CHOOSE(CONTROL!$C$27, 0.0021, 0)</f>
        <v>40.966999999999999</v>
      </c>
      <c r="K331" s="10">
        <f>40.9649 * CHOOSE(CONTROL!$C$9, $D$9, 100%, $F$9) + CHOOSE(CONTROL!$C$27, 0.0021, 0)</f>
        <v>40.966999999999999</v>
      </c>
      <c r="L331" s="10"/>
    </row>
    <row r="332" spans="1:12" ht="15.75" x14ac:dyDescent="0.25">
      <c r="A332" s="14">
        <v>51043</v>
      </c>
      <c r="B332" s="10">
        <f>42.1923 * CHOOSE(CONTROL!$C$9, $D$9, 100%, $F$9) + CHOOSE(CONTROL!$C$27, 0.0021, 0)</f>
        <v>42.194400000000002</v>
      </c>
      <c r="C332" s="10">
        <f>41.7601 * CHOOSE(CONTROL!$C$9, $D$9, 100%, $F$9) + CHOOSE(CONTROL!$C$27, 0.0021, 0)</f>
        <v>41.7622</v>
      </c>
      <c r="D332" s="10">
        <f>41.7601 * CHOOSE(CONTROL!$C$9, $D$9, 100%, $F$9) + CHOOSE(CONTROL!$C$27, 0.0021, 0)</f>
        <v>41.7622</v>
      </c>
      <c r="E332" s="10">
        <f>41.6234 * CHOOSE(CONTROL!$C$9, $D$9, 100%, $F$9) + CHOOSE(CONTROL!$C$27, 0.0021, 0)</f>
        <v>41.625499999999995</v>
      </c>
      <c r="F332" s="10">
        <f>41.6234 * CHOOSE(CONTROL!$C$9, $D$9, 100%, $F$9) + CHOOSE(CONTROL!$C$27, 0.0021, 0)</f>
        <v>41.625499999999995</v>
      </c>
      <c r="G332" s="10">
        <f>41.8948 * CHOOSE(CONTROL!$C$9, $D$9, 100%, $F$9) + CHOOSE(CONTROL!$C$27, 0.0021, 0)</f>
        <v>41.896899999999995</v>
      </c>
      <c r="H332" s="10">
        <f>41.7601 * CHOOSE(CONTROL!$C$9, $D$9, 100%, $F$9) + CHOOSE(CONTROL!$C$27, 0.0021, 0)</f>
        <v>41.7622</v>
      </c>
      <c r="I332" s="10">
        <f>41.7601 * CHOOSE(CONTROL!$C$9, $D$9, 100%, $F$9) + CHOOSE(CONTROL!$C$27, 0.0021, 0)</f>
        <v>41.7622</v>
      </c>
      <c r="J332" s="10">
        <f>41.7601 * CHOOSE(CONTROL!$C$9, $D$9, 100%, $F$9) + CHOOSE(CONTROL!$C$27, 0.0021, 0)</f>
        <v>41.7622</v>
      </c>
      <c r="K332" s="10">
        <f>41.7601 * CHOOSE(CONTROL!$C$9, $D$9, 100%, $F$9) + CHOOSE(CONTROL!$C$27, 0.0021, 0)</f>
        <v>41.7622</v>
      </c>
      <c r="L332" s="10"/>
    </row>
    <row r="333" spans="1:12" ht="15.75" x14ac:dyDescent="0.25">
      <c r="A333" s="14">
        <v>51074</v>
      </c>
      <c r="B333" s="10">
        <f>43.1989 * CHOOSE(CONTROL!$C$9, $D$9, 100%, $F$9) + CHOOSE(CONTROL!$C$27, 0.0021, 0)</f>
        <v>43.201000000000001</v>
      </c>
      <c r="C333" s="10">
        <f>42.7666 * CHOOSE(CONTROL!$C$9, $D$9, 100%, $F$9) + CHOOSE(CONTROL!$C$27, 0.0021, 0)</f>
        <v>42.768699999999995</v>
      </c>
      <c r="D333" s="10">
        <f>42.7666 * CHOOSE(CONTROL!$C$9, $D$9, 100%, $F$9) + CHOOSE(CONTROL!$C$27, 0.0021, 0)</f>
        <v>42.768699999999995</v>
      </c>
      <c r="E333" s="10">
        <f>42.63 * CHOOSE(CONTROL!$C$9, $D$9, 100%, $F$9) + CHOOSE(CONTROL!$C$27, 0.0021, 0)</f>
        <v>42.632100000000001</v>
      </c>
      <c r="F333" s="10">
        <f>42.63 * CHOOSE(CONTROL!$C$9, $D$9, 100%, $F$9) + CHOOSE(CONTROL!$C$27, 0.0021, 0)</f>
        <v>42.632100000000001</v>
      </c>
      <c r="G333" s="10">
        <f>42.9013 * CHOOSE(CONTROL!$C$9, $D$9, 100%, $F$9) + CHOOSE(CONTROL!$C$27, 0.0021, 0)</f>
        <v>42.903399999999998</v>
      </c>
      <c r="H333" s="10">
        <f>42.7666 * CHOOSE(CONTROL!$C$9, $D$9, 100%, $F$9) + CHOOSE(CONTROL!$C$27, 0.0021, 0)</f>
        <v>42.768699999999995</v>
      </c>
      <c r="I333" s="10">
        <f>42.7666 * CHOOSE(CONTROL!$C$9, $D$9, 100%, $F$9) + CHOOSE(CONTROL!$C$27, 0.0021, 0)</f>
        <v>42.768699999999995</v>
      </c>
      <c r="J333" s="10">
        <f>42.7666 * CHOOSE(CONTROL!$C$9, $D$9, 100%, $F$9) + CHOOSE(CONTROL!$C$27, 0.0021, 0)</f>
        <v>42.768699999999995</v>
      </c>
      <c r="K333" s="10">
        <f>42.7666 * CHOOSE(CONTROL!$C$9, $D$9, 100%, $F$9) + CHOOSE(CONTROL!$C$27, 0.0021, 0)</f>
        <v>42.768699999999995</v>
      </c>
      <c r="L333" s="10"/>
    </row>
    <row r="334" spans="1:12" ht="15.75" x14ac:dyDescent="0.25">
      <c r="A334" s="14">
        <v>51104</v>
      </c>
      <c r="B334" s="10">
        <f>43.2934 * CHOOSE(CONTROL!$C$9, $D$9, 100%, $F$9) + CHOOSE(CONTROL!$C$27, 0.0021, 0)</f>
        <v>43.295499999999997</v>
      </c>
      <c r="C334" s="10">
        <f>42.8611 * CHOOSE(CONTROL!$C$9, $D$9, 100%, $F$9) + CHOOSE(CONTROL!$C$27, 0.0021, 0)</f>
        <v>42.863199999999999</v>
      </c>
      <c r="D334" s="10">
        <f>42.8611 * CHOOSE(CONTROL!$C$9, $D$9, 100%, $F$9) + CHOOSE(CONTROL!$C$27, 0.0021, 0)</f>
        <v>42.863199999999999</v>
      </c>
      <c r="E334" s="10">
        <f>42.7245 * CHOOSE(CONTROL!$C$9, $D$9, 100%, $F$9) + CHOOSE(CONTROL!$C$27, 0.0021, 0)</f>
        <v>42.726599999999998</v>
      </c>
      <c r="F334" s="10">
        <f>42.7245 * CHOOSE(CONTROL!$C$9, $D$9, 100%, $F$9) + CHOOSE(CONTROL!$C$27, 0.0021, 0)</f>
        <v>42.726599999999998</v>
      </c>
      <c r="G334" s="10">
        <f>42.9958 * CHOOSE(CONTROL!$C$9, $D$9, 100%, $F$9) + CHOOSE(CONTROL!$C$27, 0.0021, 0)</f>
        <v>42.997900000000001</v>
      </c>
      <c r="H334" s="10">
        <f>42.8611 * CHOOSE(CONTROL!$C$9, $D$9, 100%, $F$9) + CHOOSE(CONTROL!$C$27, 0.0021, 0)</f>
        <v>42.863199999999999</v>
      </c>
      <c r="I334" s="10">
        <f>42.8611 * CHOOSE(CONTROL!$C$9, $D$9, 100%, $F$9) + CHOOSE(CONTROL!$C$27, 0.0021, 0)</f>
        <v>42.863199999999999</v>
      </c>
      <c r="J334" s="10">
        <f>42.8611 * CHOOSE(CONTROL!$C$9, $D$9, 100%, $F$9) + CHOOSE(CONTROL!$C$27, 0.0021, 0)</f>
        <v>42.863199999999999</v>
      </c>
      <c r="K334" s="10">
        <f>42.8611 * CHOOSE(CONTROL!$C$9, $D$9, 100%, $F$9) + CHOOSE(CONTROL!$C$27, 0.0021, 0)</f>
        <v>42.863199999999999</v>
      </c>
      <c r="L334" s="10"/>
    </row>
    <row r="335" spans="1:12" ht="15.75" x14ac:dyDescent="0.25">
      <c r="A335" s="14">
        <v>51135</v>
      </c>
      <c r="B335" s="10">
        <f>42.4894 * CHOOSE(CONTROL!$C$9, $D$9, 100%, $F$9) + CHOOSE(CONTROL!$C$27, 0.0021, 0)</f>
        <v>42.491500000000002</v>
      </c>
      <c r="C335" s="10">
        <f>42.0572 * CHOOSE(CONTROL!$C$9, $D$9, 100%, $F$9) + CHOOSE(CONTROL!$C$27, 0.0021, 0)</f>
        <v>42.0593</v>
      </c>
      <c r="D335" s="10">
        <f>42.0572 * CHOOSE(CONTROL!$C$9, $D$9, 100%, $F$9) + CHOOSE(CONTROL!$C$27, 0.0021, 0)</f>
        <v>42.0593</v>
      </c>
      <c r="E335" s="10">
        <f>41.9205 * CHOOSE(CONTROL!$C$9, $D$9, 100%, $F$9) + CHOOSE(CONTROL!$C$27, 0.0021, 0)</f>
        <v>41.922599999999996</v>
      </c>
      <c r="F335" s="10">
        <f>41.9205 * CHOOSE(CONTROL!$C$9, $D$9, 100%, $F$9) + CHOOSE(CONTROL!$C$27, 0.0021, 0)</f>
        <v>41.922599999999996</v>
      </c>
      <c r="G335" s="10">
        <f>42.1919 * CHOOSE(CONTROL!$C$9, $D$9, 100%, $F$9) + CHOOSE(CONTROL!$C$27, 0.0021, 0)</f>
        <v>42.193999999999996</v>
      </c>
      <c r="H335" s="10">
        <f>42.0572 * CHOOSE(CONTROL!$C$9, $D$9, 100%, $F$9) + CHOOSE(CONTROL!$C$27, 0.0021, 0)</f>
        <v>42.0593</v>
      </c>
      <c r="I335" s="10">
        <f>42.0572 * CHOOSE(CONTROL!$C$9, $D$9, 100%, $F$9) + CHOOSE(CONTROL!$C$27, 0.0021, 0)</f>
        <v>42.0593</v>
      </c>
      <c r="J335" s="10">
        <f>42.0572 * CHOOSE(CONTROL!$C$9, $D$9, 100%, $F$9) + CHOOSE(CONTROL!$C$27, 0.0021, 0)</f>
        <v>42.0593</v>
      </c>
      <c r="K335" s="10">
        <f>42.0572 * CHOOSE(CONTROL!$C$9, $D$9, 100%, $F$9) + CHOOSE(CONTROL!$C$27, 0.0021, 0)</f>
        <v>42.0593</v>
      </c>
      <c r="L335" s="10"/>
    </row>
    <row r="336" spans="1:12" ht="15.75" x14ac:dyDescent="0.25">
      <c r="A336" s="14">
        <v>51166</v>
      </c>
      <c r="B336" s="10">
        <f>41.9628 * CHOOSE(CONTROL!$C$9, $D$9, 100%, $F$9) + CHOOSE(CONTROL!$C$27, 0.0021, 0)</f>
        <v>41.9649</v>
      </c>
      <c r="C336" s="10">
        <f>41.5305 * CHOOSE(CONTROL!$C$9, $D$9, 100%, $F$9) + CHOOSE(CONTROL!$C$27, 0.0021, 0)</f>
        <v>41.532600000000002</v>
      </c>
      <c r="D336" s="10">
        <f>41.5305 * CHOOSE(CONTROL!$C$9, $D$9, 100%, $F$9) + CHOOSE(CONTROL!$C$27, 0.0021, 0)</f>
        <v>41.532600000000002</v>
      </c>
      <c r="E336" s="10">
        <f>41.3939 * CHOOSE(CONTROL!$C$9, $D$9, 100%, $F$9) + CHOOSE(CONTROL!$C$27, 0.0021, 0)</f>
        <v>41.396000000000001</v>
      </c>
      <c r="F336" s="10">
        <f>41.3939 * CHOOSE(CONTROL!$C$9, $D$9, 100%, $F$9) + CHOOSE(CONTROL!$C$27, 0.0021, 0)</f>
        <v>41.396000000000001</v>
      </c>
      <c r="G336" s="10">
        <f>41.6652 * CHOOSE(CONTROL!$C$9, $D$9, 100%, $F$9) + CHOOSE(CONTROL!$C$27, 0.0021, 0)</f>
        <v>41.667299999999997</v>
      </c>
      <c r="H336" s="10">
        <f>41.5305 * CHOOSE(CONTROL!$C$9, $D$9, 100%, $F$9) + CHOOSE(CONTROL!$C$27, 0.0021, 0)</f>
        <v>41.532600000000002</v>
      </c>
      <c r="I336" s="10">
        <f>41.5305 * CHOOSE(CONTROL!$C$9, $D$9, 100%, $F$9) + CHOOSE(CONTROL!$C$27, 0.0021, 0)</f>
        <v>41.532600000000002</v>
      </c>
      <c r="J336" s="10">
        <f>41.5305 * CHOOSE(CONTROL!$C$9, $D$9, 100%, $F$9) + CHOOSE(CONTROL!$C$27, 0.0021, 0)</f>
        <v>41.532600000000002</v>
      </c>
      <c r="K336" s="10">
        <f>41.5305 * CHOOSE(CONTROL!$C$9, $D$9, 100%, $F$9) + CHOOSE(CONTROL!$C$27, 0.0021, 0)</f>
        <v>41.532600000000002</v>
      </c>
      <c r="L336" s="10"/>
    </row>
    <row r="337" spans="1:12" ht="15.75" x14ac:dyDescent="0.25">
      <c r="A337" s="14">
        <v>51194</v>
      </c>
      <c r="B337" s="10">
        <f>40.8407 * CHOOSE(CONTROL!$C$9, $D$9, 100%, $F$9) + CHOOSE(CONTROL!$C$27, 0.0021, 0)</f>
        <v>40.842799999999997</v>
      </c>
      <c r="C337" s="10">
        <f>40.4084 * CHOOSE(CONTROL!$C$9, $D$9, 100%, $F$9) + CHOOSE(CONTROL!$C$27, 0.0021, 0)</f>
        <v>40.410499999999999</v>
      </c>
      <c r="D337" s="10">
        <f>40.4084 * CHOOSE(CONTROL!$C$9, $D$9, 100%, $F$9) + CHOOSE(CONTROL!$C$27, 0.0021, 0)</f>
        <v>40.410499999999999</v>
      </c>
      <c r="E337" s="10">
        <f>40.2718 * CHOOSE(CONTROL!$C$9, $D$9, 100%, $F$9) + CHOOSE(CONTROL!$C$27, 0.0021, 0)</f>
        <v>40.273899999999998</v>
      </c>
      <c r="F337" s="10">
        <f>40.2718 * CHOOSE(CONTROL!$C$9, $D$9, 100%, $F$9) + CHOOSE(CONTROL!$C$27, 0.0021, 0)</f>
        <v>40.273899999999998</v>
      </c>
      <c r="G337" s="10">
        <f>40.5431 * CHOOSE(CONTROL!$C$9, $D$9, 100%, $F$9) + CHOOSE(CONTROL!$C$27, 0.0021, 0)</f>
        <v>40.545200000000001</v>
      </c>
      <c r="H337" s="10">
        <f>40.4084 * CHOOSE(CONTROL!$C$9, $D$9, 100%, $F$9) + CHOOSE(CONTROL!$C$27, 0.0021, 0)</f>
        <v>40.410499999999999</v>
      </c>
      <c r="I337" s="10">
        <f>40.4084 * CHOOSE(CONTROL!$C$9, $D$9, 100%, $F$9) + CHOOSE(CONTROL!$C$27, 0.0021, 0)</f>
        <v>40.410499999999999</v>
      </c>
      <c r="J337" s="10">
        <f>40.4084 * CHOOSE(CONTROL!$C$9, $D$9, 100%, $F$9) + CHOOSE(CONTROL!$C$27, 0.0021, 0)</f>
        <v>40.410499999999999</v>
      </c>
      <c r="K337" s="10">
        <f>40.4084 * CHOOSE(CONTROL!$C$9, $D$9, 100%, $F$9) + CHOOSE(CONTROL!$C$27, 0.0021, 0)</f>
        <v>40.410499999999999</v>
      </c>
      <c r="L337" s="10"/>
    </row>
    <row r="338" spans="1:12" ht="15.75" x14ac:dyDescent="0.25">
      <c r="A338" s="14">
        <v>51226</v>
      </c>
      <c r="B338" s="10">
        <f>40.3775 * CHOOSE(CONTROL!$C$9, $D$9, 100%, $F$9) + CHOOSE(CONTROL!$C$27, 0.0021, 0)</f>
        <v>40.379599999999996</v>
      </c>
      <c r="C338" s="10">
        <f>39.9452 * CHOOSE(CONTROL!$C$9, $D$9, 100%, $F$9) + CHOOSE(CONTROL!$C$27, 0.0021, 0)</f>
        <v>39.947299999999998</v>
      </c>
      <c r="D338" s="10">
        <f>39.9452 * CHOOSE(CONTROL!$C$9, $D$9, 100%, $F$9) + CHOOSE(CONTROL!$C$27, 0.0021, 0)</f>
        <v>39.947299999999998</v>
      </c>
      <c r="E338" s="10">
        <f>39.8086 * CHOOSE(CONTROL!$C$9, $D$9, 100%, $F$9) + CHOOSE(CONTROL!$C$27, 0.0021, 0)</f>
        <v>39.810699999999997</v>
      </c>
      <c r="F338" s="10">
        <f>39.8086 * CHOOSE(CONTROL!$C$9, $D$9, 100%, $F$9) + CHOOSE(CONTROL!$C$27, 0.0021, 0)</f>
        <v>39.810699999999997</v>
      </c>
      <c r="G338" s="10">
        <f>40.0799 * CHOOSE(CONTROL!$C$9, $D$9, 100%, $F$9) + CHOOSE(CONTROL!$C$27, 0.0021, 0)</f>
        <v>40.082000000000001</v>
      </c>
      <c r="H338" s="10">
        <f>39.9452 * CHOOSE(CONTROL!$C$9, $D$9, 100%, $F$9) + CHOOSE(CONTROL!$C$27, 0.0021, 0)</f>
        <v>39.947299999999998</v>
      </c>
      <c r="I338" s="10">
        <f>39.9452 * CHOOSE(CONTROL!$C$9, $D$9, 100%, $F$9) + CHOOSE(CONTROL!$C$27, 0.0021, 0)</f>
        <v>39.947299999999998</v>
      </c>
      <c r="J338" s="10">
        <f>39.9452 * CHOOSE(CONTROL!$C$9, $D$9, 100%, $F$9) + CHOOSE(CONTROL!$C$27, 0.0021, 0)</f>
        <v>39.947299999999998</v>
      </c>
      <c r="K338" s="10">
        <f>39.9452 * CHOOSE(CONTROL!$C$9, $D$9, 100%, $F$9) + CHOOSE(CONTROL!$C$27, 0.0021, 0)</f>
        <v>39.947299999999998</v>
      </c>
      <c r="L338" s="10"/>
    </row>
    <row r="339" spans="1:12" ht="15.75" x14ac:dyDescent="0.25">
      <c r="A339" s="14">
        <v>51256</v>
      </c>
      <c r="B339" s="10">
        <f>39.8244 * CHOOSE(CONTROL!$C$9, $D$9, 100%, $F$9) + CHOOSE(CONTROL!$C$27, 0.0021, 0)</f>
        <v>39.826499999999996</v>
      </c>
      <c r="C339" s="10">
        <f>39.3922 * CHOOSE(CONTROL!$C$9, $D$9, 100%, $F$9) + CHOOSE(CONTROL!$C$27, 0.0021, 0)</f>
        <v>39.394300000000001</v>
      </c>
      <c r="D339" s="10">
        <f>39.3922 * CHOOSE(CONTROL!$C$9, $D$9, 100%, $F$9) + CHOOSE(CONTROL!$C$27, 0.0021, 0)</f>
        <v>39.394300000000001</v>
      </c>
      <c r="E339" s="10">
        <f>39.2555 * CHOOSE(CONTROL!$C$9, $D$9, 100%, $F$9) + CHOOSE(CONTROL!$C$27, 0.0021, 0)</f>
        <v>39.257599999999996</v>
      </c>
      <c r="F339" s="10">
        <f>39.2555 * CHOOSE(CONTROL!$C$9, $D$9, 100%, $F$9) + CHOOSE(CONTROL!$C$27, 0.0021, 0)</f>
        <v>39.257599999999996</v>
      </c>
      <c r="G339" s="10">
        <f>39.5269 * CHOOSE(CONTROL!$C$9, $D$9, 100%, $F$9) + CHOOSE(CONTROL!$C$27, 0.0021, 0)</f>
        <v>39.528999999999996</v>
      </c>
      <c r="H339" s="10">
        <f>39.3922 * CHOOSE(CONTROL!$C$9, $D$9, 100%, $F$9) + CHOOSE(CONTROL!$C$27, 0.0021, 0)</f>
        <v>39.394300000000001</v>
      </c>
      <c r="I339" s="10">
        <f>39.3922 * CHOOSE(CONTROL!$C$9, $D$9, 100%, $F$9) + CHOOSE(CONTROL!$C$27, 0.0021, 0)</f>
        <v>39.394300000000001</v>
      </c>
      <c r="J339" s="10">
        <f>39.3922 * CHOOSE(CONTROL!$C$9, $D$9, 100%, $F$9) + CHOOSE(CONTROL!$C$27, 0.0021, 0)</f>
        <v>39.394300000000001</v>
      </c>
      <c r="K339" s="10">
        <f>39.3922 * CHOOSE(CONTROL!$C$9, $D$9, 100%, $F$9) + CHOOSE(CONTROL!$C$27, 0.0021, 0)</f>
        <v>39.394300000000001</v>
      </c>
      <c r="L339" s="10"/>
    </row>
    <row r="340" spans="1:12" ht="15.75" x14ac:dyDescent="0.25">
      <c r="A340" s="14">
        <v>51287</v>
      </c>
      <c r="B340" s="10">
        <f>40.6126 * CHOOSE(CONTROL!$C$9, $D$9, 100%, $F$9) + CHOOSE(CONTROL!$C$27, 0.0021, 0)</f>
        <v>40.614699999999999</v>
      </c>
      <c r="C340" s="10">
        <f>40.1803 * CHOOSE(CONTROL!$C$9, $D$9, 100%, $F$9) + CHOOSE(CONTROL!$C$27, 0.0021, 0)</f>
        <v>40.182400000000001</v>
      </c>
      <c r="D340" s="10">
        <f>40.1803 * CHOOSE(CONTROL!$C$9, $D$9, 100%, $F$9) + CHOOSE(CONTROL!$C$27, 0.0021, 0)</f>
        <v>40.182400000000001</v>
      </c>
      <c r="E340" s="10">
        <f>40.0437 * CHOOSE(CONTROL!$C$9, $D$9, 100%, $F$9) + CHOOSE(CONTROL!$C$27, 0.0021, 0)</f>
        <v>40.0458</v>
      </c>
      <c r="F340" s="10">
        <f>40.0437 * CHOOSE(CONTROL!$C$9, $D$9, 100%, $F$9) + CHOOSE(CONTROL!$C$27, 0.0021, 0)</f>
        <v>40.0458</v>
      </c>
      <c r="G340" s="10">
        <f>40.3151 * CHOOSE(CONTROL!$C$9, $D$9, 100%, $F$9) + CHOOSE(CONTROL!$C$27, 0.0021, 0)</f>
        <v>40.3172</v>
      </c>
      <c r="H340" s="10">
        <f>40.1803 * CHOOSE(CONTROL!$C$9, $D$9, 100%, $F$9) + CHOOSE(CONTROL!$C$27, 0.0021, 0)</f>
        <v>40.182400000000001</v>
      </c>
      <c r="I340" s="10">
        <f>40.1803 * CHOOSE(CONTROL!$C$9, $D$9, 100%, $F$9) + CHOOSE(CONTROL!$C$27, 0.0021, 0)</f>
        <v>40.182400000000001</v>
      </c>
      <c r="J340" s="10">
        <f>40.1803 * CHOOSE(CONTROL!$C$9, $D$9, 100%, $F$9) + CHOOSE(CONTROL!$C$27, 0.0021, 0)</f>
        <v>40.182400000000001</v>
      </c>
      <c r="K340" s="10">
        <f>40.1803 * CHOOSE(CONTROL!$C$9, $D$9, 100%, $F$9) + CHOOSE(CONTROL!$C$27, 0.0021, 0)</f>
        <v>40.182400000000001</v>
      </c>
      <c r="L340" s="10"/>
    </row>
    <row r="341" spans="1:12" ht="15.75" x14ac:dyDescent="0.25">
      <c r="A341" s="14">
        <v>51317</v>
      </c>
      <c r="B341" s="10">
        <f>41.0847 * CHOOSE(CONTROL!$C$9, $D$9, 100%, $F$9) + CHOOSE(CONTROL!$C$27, 0.0021, 0)</f>
        <v>41.086799999999997</v>
      </c>
      <c r="C341" s="10">
        <f>40.6524 * CHOOSE(CONTROL!$C$9, $D$9, 100%, $F$9) + CHOOSE(CONTROL!$C$27, 0.0021, 0)</f>
        <v>40.654499999999999</v>
      </c>
      <c r="D341" s="10">
        <f>40.6524 * CHOOSE(CONTROL!$C$9, $D$9, 100%, $F$9) + CHOOSE(CONTROL!$C$27, 0.0021, 0)</f>
        <v>40.654499999999999</v>
      </c>
      <c r="E341" s="10">
        <f>40.5158 * CHOOSE(CONTROL!$C$9, $D$9, 100%, $F$9) + CHOOSE(CONTROL!$C$27, 0.0021, 0)</f>
        <v>40.517899999999997</v>
      </c>
      <c r="F341" s="10">
        <f>40.5158 * CHOOSE(CONTROL!$C$9, $D$9, 100%, $F$9) + CHOOSE(CONTROL!$C$27, 0.0021, 0)</f>
        <v>40.517899999999997</v>
      </c>
      <c r="G341" s="10">
        <f>40.7872 * CHOOSE(CONTROL!$C$9, $D$9, 100%, $F$9) + CHOOSE(CONTROL!$C$27, 0.0021, 0)</f>
        <v>40.789299999999997</v>
      </c>
      <c r="H341" s="10">
        <f>40.6524 * CHOOSE(CONTROL!$C$9, $D$9, 100%, $F$9) + CHOOSE(CONTROL!$C$27, 0.0021, 0)</f>
        <v>40.654499999999999</v>
      </c>
      <c r="I341" s="10">
        <f>40.6524 * CHOOSE(CONTROL!$C$9, $D$9, 100%, $F$9) + CHOOSE(CONTROL!$C$27, 0.0021, 0)</f>
        <v>40.654499999999999</v>
      </c>
      <c r="J341" s="10">
        <f>40.6524 * CHOOSE(CONTROL!$C$9, $D$9, 100%, $F$9) + CHOOSE(CONTROL!$C$27, 0.0021, 0)</f>
        <v>40.654499999999999</v>
      </c>
      <c r="K341" s="10">
        <f>40.6524 * CHOOSE(CONTROL!$C$9, $D$9, 100%, $F$9) + CHOOSE(CONTROL!$C$27, 0.0021, 0)</f>
        <v>40.654499999999999</v>
      </c>
      <c r="L341" s="10"/>
    </row>
    <row r="342" spans="1:12" ht="15.75" x14ac:dyDescent="0.25">
      <c r="A342" s="14">
        <v>51348</v>
      </c>
      <c r="B342" s="10">
        <f>41.8635 * CHOOSE(CONTROL!$C$9, $D$9, 100%, $F$9) + CHOOSE(CONTROL!$C$27, 0.0021, 0)</f>
        <v>41.865600000000001</v>
      </c>
      <c r="C342" s="10">
        <f>41.4312 * CHOOSE(CONTROL!$C$9, $D$9, 100%, $F$9) + CHOOSE(CONTROL!$C$27, 0.0021, 0)</f>
        <v>41.433299999999996</v>
      </c>
      <c r="D342" s="10">
        <f>41.4312 * CHOOSE(CONTROL!$C$9, $D$9, 100%, $F$9) + CHOOSE(CONTROL!$C$27, 0.0021, 0)</f>
        <v>41.433299999999996</v>
      </c>
      <c r="E342" s="10">
        <f>41.2946 * CHOOSE(CONTROL!$C$9, $D$9, 100%, $F$9) + CHOOSE(CONTROL!$C$27, 0.0021, 0)</f>
        <v>41.296700000000001</v>
      </c>
      <c r="F342" s="10">
        <f>41.2946 * CHOOSE(CONTROL!$C$9, $D$9, 100%, $F$9) + CHOOSE(CONTROL!$C$27, 0.0021, 0)</f>
        <v>41.296700000000001</v>
      </c>
      <c r="G342" s="10">
        <f>41.5659 * CHOOSE(CONTROL!$C$9, $D$9, 100%, $F$9) + CHOOSE(CONTROL!$C$27, 0.0021, 0)</f>
        <v>41.567999999999998</v>
      </c>
      <c r="H342" s="10">
        <f>41.4312 * CHOOSE(CONTROL!$C$9, $D$9, 100%, $F$9) + CHOOSE(CONTROL!$C$27, 0.0021, 0)</f>
        <v>41.433299999999996</v>
      </c>
      <c r="I342" s="10">
        <f>41.4312 * CHOOSE(CONTROL!$C$9, $D$9, 100%, $F$9) + CHOOSE(CONTROL!$C$27, 0.0021, 0)</f>
        <v>41.433299999999996</v>
      </c>
      <c r="J342" s="10">
        <f>41.4312 * CHOOSE(CONTROL!$C$9, $D$9, 100%, $F$9) + CHOOSE(CONTROL!$C$27, 0.0021, 0)</f>
        <v>41.433299999999996</v>
      </c>
      <c r="K342" s="10">
        <f>41.4312 * CHOOSE(CONTROL!$C$9, $D$9, 100%, $F$9) + CHOOSE(CONTROL!$C$27, 0.0021, 0)</f>
        <v>41.433299999999996</v>
      </c>
      <c r="L342" s="10"/>
    </row>
    <row r="343" spans="1:12" ht="15.75" x14ac:dyDescent="0.25">
      <c r="A343" s="14">
        <v>51379</v>
      </c>
      <c r="B343" s="10">
        <f>42.1012 * CHOOSE(CONTROL!$C$9, $D$9, 100%, $F$9) + CHOOSE(CONTROL!$C$27, 0.0021, 0)</f>
        <v>42.103299999999997</v>
      </c>
      <c r="C343" s="10">
        <f>41.6689 * CHOOSE(CONTROL!$C$9, $D$9, 100%, $F$9) + CHOOSE(CONTROL!$C$27, 0.0021, 0)</f>
        <v>41.670999999999999</v>
      </c>
      <c r="D343" s="10">
        <f>41.6689 * CHOOSE(CONTROL!$C$9, $D$9, 100%, $F$9) + CHOOSE(CONTROL!$C$27, 0.0021, 0)</f>
        <v>41.670999999999999</v>
      </c>
      <c r="E343" s="10">
        <f>41.5323 * CHOOSE(CONTROL!$C$9, $D$9, 100%, $F$9) + CHOOSE(CONTROL!$C$27, 0.0021, 0)</f>
        <v>41.534399999999998</v>
      </c>
      <c r="F343" s="10">
        <f>41.5323 * CHOOSE(CONTROL!$C$9, $D$9, 100%, $F$9) + CHOOSE(CONTROL!$C$27, 0.0021, 0)</f>
        <v>41.534399999999998</v>
      </c>
      <c r="G343" s="10">
        <f>41.8036 * CHOOSE(CONTROL!$C$9, $D$9, 100%, $F$9) + CHOOSE(CONTROL!$C$27, 0.0021, 0)</f>
        <v>41.805700000000002</v>
      </c>
      <c r="H343" s="10">
        <f>41.6689 * CHOOSE(CONTROL!$C$9, $D$9, 100%, $F$9) + CHOOSE(CONTROL!$C$27, 0.0021, 0)</f>
        <v>41.670999999999999</v>
      </c>
      <c r="I343" s="10">
        <f>41.6689 * CHOOSE(CONTROL!$C$9, $D$9, 100%, $F$9) + CHOOSE(CONTROL!$C$27, 0.0021, 0)</f>
        <v>41.670999999999999</v>
      </c>
      <c r="J343" s="10">
        <f>41.6689 * CHOOSE(CONTROL!$C$9, $D$9, 100%, $F$9) + CHOOSE(CONTROL!$C$27, 0.0021, 0)</f>
        <v>41.670999999999999</v>
      </c>
      <c r="K343" s="10">
        <f>41.6689 * CHOOSE(CONTROL!$C$9, $D$9, 100%, $F$9) + CHOOSE(CONTROL!$C$27, 0.0021, 0)</f>
        <v>41.670999999999999</v>
      </c>
      <c r="L343" s="10"/>
    </row>
    <row r="344" spans="1:12" ht="15.75" x14ac:dyDescent="0.25">
      <c r="A344" s="14">
        <v>51409</v>
      </c>
      <c r="B344" s="10">
        <f>42.9107 * CHOOSE(CONTROL!$C$9, $D$9, 100%, $F$9) + CHOOSE(CONTROL!$C$27, 0.0021, 0)</f>
        <v>42.912799999999997</v>
      </c>
      <c r="C344" s="10">
        <f>42.4784 * CHOOSE(CONTROL!$C$9, $D$9, 100%, $F$9) + CHOOSE(CONTROL!$C$27, 0.0021, 0)</f>
        <v>42.480499999999999</v>
      </c>
      <c r="D344" s="10">
        <f>42.4784 * CHOOSE(CONTROL!$C$9, $D$9, 100%, $F$9) + CHOOSE(CONTROL!$C$27, 0.0021, 0)</f>
        <v>42.480499999999999</v>
      </c>
      <c r="E344" s="10">
        <f>42.3418 * CHOOSE(CONTROL!$C$9, $D$9, 100%, $F$9) + CHOOSE(CONTROL!$C$27, 0.0021, 0)</f>
        <v>42.343899999999998</v>
      </c>
      <c r="F344" s="10">
        <f>42.3418 * CHOOSE(CONTROL!$C$9, $D$9, 100%, $F$9) + CHOOSE(CONTROL!$C$27, 0.0021, 0)</f>
        <v>42.343899999999998</v>
      </c>
      <c r="G344" s="10">
        <f>42.6132 * CHOOSE(CONTROL!$C$9, $D$9, 100%, $F$9) + CHOOSE(CONTROL!$C$27, 0.0021, 0)</f>
        <v>42.615299999999998</v>
      </c>
      <c r="H344" s="10">
        <f>42.4784 * CHOOSE(CONTROL!$C$9, $D$9, 100%, $F$9) + CHOOSE(CONTROL!$C$27, 0.0021, 0)</f>
        <v>42.480499999999999</v>
      </c>
      <c r="I344" s="10">
        <f>42.4784 * CHOOSE(CONTROL!$C$9, $D$9, 100%, $F$9) + CHOOSE(CONTROL!$C$27, 0.0021, 0)</f>
        <v>42.480499999999999</v>
      </c>
      <c r="J344" s="10">
        <f>42.4784 * CHOOSE(CONTROL!$C$9, $D$9, 100%, $F$9) + CHOOSE(CONTROL!$C$27, 0.0021, 0)</f>
        <v>42.480499999999999</v>
      </c>
      <c r="K344" s="10">
        <f>42.4784 * CHOOSE(CONTROL!$C$9, $D$9, 100%, $F$9) + CHOOSE(CONTROL!$C$27, 0.0021, 0)</f>
        <v>42.480499999999999</v>
      </c>
      <c r="L344" s="10"/>
    </row>
    <row r="345" spans="1:12" ht="15.75" x14ac:dyDescent="0.25">
      <c r="A345" s="14">
        <v>51440</v>
      </c>
      <c r="B345" s="10">
        <f>43.9354 * CHOOSE(CONTROL!$C$9, $D$9, 100%, $F$9) + CHOOSE(CONTROL!$C$27, 0.0021, 0)</f>
        <v>43.9375</v>
      </c>
      <c r="C345" s="10">
        <f>43.5031 * CHOOSE(CONTROL!$C$9, $D$9, 100%, $F$9) + CHOOSE(CONTROL!$C$27, 0.0021, 0)</f>
        <v>43.505200000000002</v>
      </c>
      <c r="D345" s="10">
        <f>43.5031 * CHOOSE(CONTROL!$C$9, $D$9, 100%, $F$9) + CHOOSE(CONTROL!$C$27, 0.0021, 0)</f>
        <v>43.505200000000002</v>
      </c>
      <c r="E345" s="10">
        <f>43.3665 * CHOOSE(CONTROL!$C$9, $D$9, 100%, $F$9) + CHOOSE(CONTROL!$C$27, 0.0021, 0)</f>
        <v>43.368600000000001</v>
      </c>
      <c r="F345" s="10">
        <f>43.3665 * CHOOSE(CONTROL!$C$9, $D$9, 100%, $F$9) + CHOOSE(CONTROL!$C$27, 0.0021, 0)</f>
        <v>43.368600000000001</v>
      </c>
      <c r="G345" s="10">
        <f>43.6379 * CHOOSE(CONTROL!$C$9, $D$9, 100%, $F$9) + CHOOSE(CONTROL!$C$27, 0.0021, 0)</f>
        <v>43.64</v>
      </c>
      <c r="H345" s="10">
        <f>43.5031 * CHOOSE(CONTROL!$C$9, $D$9, 100%, $F$9) + CHOOSE(CONTROL!$C$27, 0.0021, 0)</f>
        <v>43.505200000000002</v>
      </c>
      <c r="I345" s="10">
        <f>43.5031 * CHOOSE(CONTROL!$C$9, $D$9, 100%, $F$9) + CHOOSE(CONTROL!$C$27, 0.0021, 0)</f>
        <v>43.505200000000002</v>
      </c>
      <c r="J345" s="10">
        <f>43.5031 * CHOOSE(CONTROL!$C$9, $D$9, 100%, $F$9) + CHOOSE(CONTROL!$C$27, 0.0021, 0)</f>
        <v>43.505200000000002</v>
      </c>
      <c r="K345" s="10">
        <f>43.5031 * CHOOSE(CONTROL!$C$9, $D$9, 100%, $F$9) + CHOOSE(CONTROL!$C$27, 0.0021, 0)</f>
        <v>43.505200000000002</v>
      </c>
      <c r="L345" s="10"/>
    </row>
    <row r="346" spans="1:12" ht="15.75" x14ac:dyDescent="0.25">
      <c r="A346" s="14">
        <v>51470</v>
      </c>
      <c r="B346" s="10">
        <f>44.0316 * CHOOSE(CONTROL!$C$9, $D$9, 100%, $F$9) + CHOOSE(CONTROL!$C$27, 0.0021, 0)</f>
        <v>44.033699999999996</v>
      </c>
      <c r="C346" s="10">
        <f>43.5993 * CHOOSE(CONTROL!$C$9, $D$9, 100%, $F$9) + CHOOSE(CONTROL!$C$27, 0.0021, 0)</f>
        <v>43.601399999999998</v>
      </c>
      <c r="D346" s="10">
        <f>43.5993 * CHOOSE(CONTROL!$C$9, $D$9, 100%, $F$9) + CHOOSE(CONTROL!$C$27, 0.0021, 0)</f>
        <v>43.601399999999998</v>
      </c>
      <c r="E346" s="10">
        <f>43.4627 * CHOOSE(CONTROL!$C$9, $D$9, 100%, $F$9) + CHOOSE(CONTROL!$C$27, 0.0021, 0)</f>
        <v>43.464799999999997</v>
      </c>
      <c r="F346" s="10">
        <f>43.4627 * CHOOSE(CONTROL!$C$9, $D$9, 100%, $F$9) + CHOOSE(CONTROL!$C$27, 0.0021, 0)</f>
        <v>43.464799999999997</v>
      </c>
      <c r="G346" s="10">
        <f>43.7341 * CHOOSE(CONTROL!$C$9, $D$9, 100%, $F$9) + CHOOSE(CONTROL!$C$27, 0.0021, 0)</f>
        <v>43.736199999999997</v>
      </c>
      <c r="H346" s="10">
        <f>43.5993 * CHOOSE(CONTROL!$C$9, $D$9, 100%, $F$9) + CHOOSE(CONTROL!$C$27, 0.0021, 0)</f>
        <v>43.601399999999998</v>
      </c>
      <c r="I346" s="10">
        <f>43.5993 * CHOOSE(CONTROL!$C$9, $D$9, 100%, $F$9) + CHOOSE(CONTROL!$C$27, 0.0021, 0)</f>
        <v>43.601399999999998</v>
      </c>
      <c r="J346" s="10">
        <f>43.5993 * CHOOSE(CONTROL!$C$9, $D$9, 100%, $F$9) + CHOOSE(CONTROL!$C$27, 0.0021, 0)</f>
        <v>43.601399999999998</v>
      </c>
      <c r="K346" s="10">
        <f>43.5993 * CHOOSE(CONTROL!$C$9, $D$9, 100%, $F$9) + CHOOSE(CONTROL!$C$27, 0.0021, 0)</f>
        <v>43.601399999999998</v>
      </c>
      <c r="L346" s="10"/>
    </row>
    <row r="347" spans="1:12" ht="15.75" x14ac:dyDescent="0.25">
      <c r="A347" s="14">
        <v>51501</v>
      </c>
      <c r="B347" s="10">
        <f>43.2132 * CHOOSE(CONTROL!$C$9, $D$9, 100%, $F$9) + CHOOSE(CONTROL!$C$27, 0.0021, 0)</f>
        <v>43.215299999999999</v>
      </c>
      <c r="C347" s="10">
        <f>42.7809 * CHOOSE(CONTROL!$C$9, $D$9, 100%, $F$9) + CHOOSE(CONTROL!$C$27, 0.0021, 0)</f>
        <v>42.783000000000001</v>
      </c>
      <c r="D347" s="10">
        <f>42.7809 * CHOOSE(CONTROL!$C$9, $D$9, 100%, $F$9) + CHOOSE(CONTROL!$C$27, 0.0021, 0)</f>
        <v>42.783000000000001</v>
      </c>
      <c r="E347" s="10">
        <f>42.6443 * CHOOSE(CONTROL!$C$9, $D$9, 100%, $F$9) + CHOOSE(CONTROL!$C$27, 0.0021, 0)</f>
        <v>42.6464</v>
      </c>
      <c r="F347" s="10">
        <f>42.6443 * CHOOSE(CONTROL!$C$9, $D$9, 100%, $F$9) + CHOOSE(CONTROL!$C$27, 0.0021, 0)</f>
        <v>42.6464</v>
      </c>
      <c r="G347" s="10">
        <f>42.9157 * CHOOSE(CONTROL!$C$9, $D$9, 100%, $F$9) + CHOOSE(CONTROL!$C$27, 0.0021, 0)</f>
        <v>42.9178</v>
      </c>
      <c r="H347" s="10">
        <f>42.7809 * CHOOSE(CONTROL!$C$9, $D$9, 100%, $F$9) + CHOOSE(CONTROL!$C$27, 0.0021, 0)</f>
        <v>42.783000000000001</v>
      </c>
      <c r="I347" s="10">
        <f>42.7809 * CHOOSE(CONTROL!$C$9, $D$9, 100%, $F$9) + CHOOSE(CONTROL!$C$27, 0.0021, 0)</f>
        <v>42.783000000000001</v>
      </c>
      <c r="J347" s="10">
        <f>42.7809 * CHOOSE(CONTROL!$C$9, $D$9, 100%, $F$9) + CHOOSE(CONTROL!$C$27, 0.0021, 0)</f>
        <v>42.783000000000001</v>
      </c>
      <c r="K347" s="10">
        <f>42.7809 * CHOOSE(CONTROL!$C$9, $D$9, 100%, $F$9) + CHOOSE(CONTROL!$C$27, 0.0021, 0)</f>
        <v>42.783000000000001</v>
      </c>
      <c r="L347" s="10"/>
    </row>
    <row r="348" spans="1:12" ht="15.75" x14ac:dyDescent="0.25">
      <c r="A348" s="14">
        <v>51532</v>
      </c>
      <c r="B348" s="10">
        <f>42.677 * CHOOSE(CONTROL!$C$9, $D$9, 100%, $F$9) + CHOOSE(CONTROL!$C$27, 0.0021, 0)</f>
        <v>42.679099999999998</v>
      </c>
      <c r="C348" s="10">
        <f>42.2448 * CHOOSE(CONTROL!$C$9, $D$9, 100%, $F$9) + CHOOSE(CONTROL!$C$27, 0.0021, 0)</f>
        <v>42.246899999999997</v>
      </c>
      <c r="D348" s="10">
        <f>42.2448 * CHOOSE(CONTROL!$C$9, $D$9, 100%, $F$9) + CHOOSE(CONTROL!$C$27, 0.0021, 0)</f>
        <v>42.246899999999997</v>
      </c>
      <c r="E348" s="10">
        <f>42.1081 * CHOOSE(CONTROL!$C$9, $D$9, 100%, $F$9) + CHOOSE(CONTROL!$C$27, 0.0021, 0)</f>
        <v>42.110199999999999</v>
      </c>
      <c r="F348" s="10">
        <f>42.1081 * CHOOSE(CONTROL!$C$9, $D$9, 100%, $F$9) + CHOOSE(CONTROL!$C$27, 0.0021, 0)</f>
        <v>42.110199999999999</v>
      </c>
      <c r="G348" s="10">
        <f>42.3795 * CHOOSE(CONTROL!$C$9, $D$9, 100%, $F$9) + CHOOSE(CONTROL!$C$27, 0.0021, 0)</f>
        <v>42.381599999999999</v>
      </c>
      <c r="H348" s="10">
        <f>42.2448 * CHOOSE(CONTROL!$C$9, $D$9, 100%, $F$9) + CHOOSE(CONTROL!$C$27, 0.0021, 0)</f>
        <v>42.246899999999997</v>
      </c>
      <c r="I348" s="10">
        <f>42.2448 * CHOOSE(CONTROL!$C$9, $D$9, 100%, $F$9) + CHOOSE(CONTROL!$C$27, 0.0021, 0)</f>
        <v>42.246899999999997</v>
      </c>
      <c r="J348" s="10">
        <f>42.2448 * CHOOSE(CONTROL!$C$9, $D$9, 100%, $F$9) + CHOOSE(CONTROL!$C$27, 0.0021, 0)</f>
        <v>42.246899999999997</v>
      </c>
      <c r="K348" s="10">
        <f>42.2448 * CHOOSE(CONTROL!$C$9, $D$9, 100%, $F$9) + CHOOSE(CONTROL!$C$27, 0.0021, 0)</f>
        <v>42.246899999999997</v>
      </c>
      <c r="L348" s="10"/>
    </row>
    <row r="349" spans="1:12" ht="15.75" x14ac:dyDescent="0.25">
      <c r="A349" s="14">
        <v>51560</v>
      </c>
      <c r="B349" s="10">
        <f>41.5347 * CHOOSE(CONTROL!$C$9, $D$9, 100%, $F$9) + CHOOSE(CONTROL!$C$27, 0.0021, 0)</f>
        <v>41.536799999999999</v>
      </c>
      <c r="C349" s="10">
        <f>41.1025 * CHOOSE(CONTROL!$C$9, $D$9, 100%, $F$9) + CHOOSE(CONTROL!$C$27, 0.0021, 0)</f>
        <v>41.104599999999998</v>
      </c>
      <c r="D349" s="10">
        <f>41.1025 * CHOOSE(CONTROL!$C$9, $D$9, 100%, $F$9) + CHOOSE(CONTROL!$C$27, 0.0021, 0)</f>
        <v>41.104599999999998</v>
      </c>
      <c r="E349" s="10">
        <f>40.9658 * CHOOSE(CONTROL!$C$9, $D$9, 100%, $F$9) + CHOOSE(CONTROL!$C$27, 0.0021, 0)</f>
        <v>40.9679</v>
      </c>
      <c r="F349" s="10">
        <f>40.9658 * CHOOSE(CONTROL!$C$9, $D$9, 100%, $F$9) + CHOOSE(CONTROL!$C$27, 0.0021, 0)</f>
        <v>40.9679</v>
      </c>
      <c r="G349" s="10">
        <f>41.2372 * CHOOSE(CONTROL!$C$9, $D$9, 100%, $F$9) + CHOOSE(CONTROL!$C$27, 0.0021, 0)</f>
        <v>41.2393</v>
      </c>
      <c r="H349" s="10">
        <f>41.1025 * CHOOSE(CONTROL!$C$9, $D$9, 100%, $F$9) + CHOOSE(CONTROL!$C$27, 0.0021, 0)</f>
        <v>41.104599999999998</v>
      </c>
      <c r="I349" s="10">
        <f>41.1025 * CHOOSE(CONTROL!$C$9, $D$9, 100%, $F$9) + CHOOSE(CONTROL!$C$27, 0.0021, 0)</f>
        <v>41.104599999999998</v>
      </c>
      <c r="J349" s="10">
        <f>41.1025 * CHOOSE(CONTROL!$C$9, $D$9, 100%, $F$9) + CHOOSE(CONTROL!$C$27, 0.0021, 0)</f>
        <v>41.104599999999998</v>
      </c>
      <c r="K349" s="10">
        <f>41.1025 * CHOOSE(CONTROL!$C$9, $D$9, 100%, $F$9) + CHOOSE(CONTROL!$C$27, 0.0021, 0)</f>
        <v>41.104599999999998</v>
      </c>
      <c r="L349" s="10"/>
    </row>
    <row r="350" spans="1:12" ht="15.75" x14ac:dyDescent="0.25">
      <c r="A350" s="14">
        <v>51591</v>
      </c>
      <c r="B350" s="10">
        <f>41.0632 * CHOOSE(CONTROL!$C$9, $D$9, 100%, $F$9) + CHOOSE(CONTROL!$C$27, 0.0021, 0)</f>
        <v>41.065300000000001</v>
      </c>
      <c r="C350" s="10">
        <f>40.6309 * CHOOSE(CONTROL!$C$9, $D$9, 100%, $F$9) + CHOOSE(CONTROL!$C$27, 0.0021, 0)</f>
        <v>40.632999999999996</v>
      </c>
      <c r="D350" s="10">
        <f>40.6309 * CHOOSE(CONTROL!$C$9, $D$9, 100%, $F$9) + CHOOSE(CONTROL!$C$27, 0.0021, 0)</f>
        <v>40.632999999999996</v>
      </c>
      <c r="E350" s="10">
        <f>40.4943 * CHOOSE(CONTROL!$C$9, $D$9, 100%, $F$9) + CHOOSE(CONTROL!$C$27, 0.0021, 0)</f>
        <v>40.496400000000001</v>
      </c>
      <c r="F350" s="10">
        <f>40.4943 * CHOOSE(CONTROL!$C$9, $D$9, 100%, $F$9) + CHOOSE(CONTROL!$C$27, 0.0021, 0)</f>
        <v>40.496400000000001</v>
      </c>
      <c r="G350" s="10">
        <f>40.7657 * CHOOSE(CONTROL!$C$9, $D$9, 100%, $F$9) + CHOOSE(CONTROL!$C$27, 0.0021, 0)</f>
        <v>40.767800000000001</v>
      </c>
      <c r="H350" s="10">
        <f>40.6309 * CHOOSE(CONTROL!$C$9, $D$9, 100%, $F$9) + CHOOSE(CONTROL!$C$27, 0.0021, 0)</f>
        <v>40.632999999999996</v>
      </c>
      <c r="I350" s="10">
        <f>40.6309 * CHOOSE(CONTROL!$C$9, $D$9, 100%, $F$9) + CHOOSE(CONTROL!$C$27, 0.0021, 0)</f>
        <v>40.632999999999996</v>
      </c>
      <c r="J350" s="10">
        <f>40.6309 * CHOOSE(CONTROL!$C$9, $D$9, 100%, $F$9) + CHOOSE(CONTROL!$C$27, 0.0021, 0)</f>
        <v>40.632999999999996</v>
      </c>
      <c r="K350" s="10">
        <f>40.6309 * CHOOSE(CONTROL!$C$9, $D$9, 100%, $F$9) + CHOOSE(CONTROL!$C$27, 0.0021, 0)</f>
        <v>40.632999999999996</v>
      </c>
      <c r="L350" s="10"/>
    </row>
    <row r="351" spans="1:12" ht="15.75" x14ac:dyDescent="0.25">
      <c r="A351" s="14">
        <v>51621</v>
      </c>
      <c r="B351" s="10">
        <f>40.5002 * CHOOSE(CONTROL!$C$9, $D$9, 100%, $F$9) + CHOOSE(CONTROL!$C$27, 0.0021, 0)</f>
        <v>40.502299999999998</v>
      </c>
      <c r="C351" s="10">
        <f>40.0679 * CHOOSE(CONTROL!$C$9, $D$9, 100%, $F$9) + CHOOSE(CONTROL!$C$27, 0.0021, 0)</f>
        <v>40.07</v>
      </c>
      <c r="D351" s="10">
        <f>40.0679 * CHOOSE(CONTROL!$C$9, $D$9, 100%, $F$9) + CHOOSE(CONTROL!$C$27, 0.0021, 0)</f>
        <v>40.07</v>
      </c>
      <c r="E351" s="10">
        <f>39.9313 * CHOOSE(CONTROL!$C$9, $D$9, 100%, $F$9) + CHOOSE(CONTROL!$C$27, 0.0021, 0)</f>
        <v>39.933399999999999</v>
      </c>
      <c r="F351" s="10">
        <f>39.9313 * CHOOSE(CONTROL!$C$9, $D$9, 100%, $F$9) + CHOOSE(CONTROL!$C$27, 0.0021, 0)</f>
        <v>39.933399999999999</v>
      </c>
      <c r="G351" s="10">
        <f>40.2026 * CHOOSE(CONTROL!$C$9, $D$9, 100%, $F$9) + CHOOSE(CONTROL!$C$27, 0.0021, 0)</f>
        <v>40.204699999999995</v>
      </c>
      <c r="H351" s="10">
        <f>40.0679 * CHOOSE(CONTROL!$C$9, $D$9, 100%, $F$9) + CHOOSE(CONTROL!$C$27, 0.0021, 0)</f>
        <v>40.07</v>
      </c>
      <c r="I351" s="10">
        <f>40.0679 * CHOOSE(CONTROL!$C$9, $D$9, 100%, $F$9) + CHOOSE(CONTROL!$C$27, 0.0021, 0)</f>
        <v>40.07</v>
      </c>
      <c r="J351" s="10">
        <f>40.0679 * CHOOSE(CONTROL!$C$9, $D$9, 100%, $F$9) + CHOOSE(CONTROL!$C$27, 0.0021, 0)</f>
        <v>40.07</v>
      </c>
      <c r="K351" s="10">
        <f>40.0679 * CHOOSE(CONTROL!$C$9, $D$9, 100%, $F$9) + CHOOSE(CONTROL!$C$27, 0.0021, 0)</f>
        <v>40.07</v>
      </c>
      <c r="L351" s="10"/>
    </row>
    <row r="352" spans="1:12" ht="15.75" x14ac:dyDescent="0.25">
      <c r="A352" s="14">
        <v>51652</v>
      </c>
      <c r="B352" s="10">
        <f>41.3025 * CHOOSE(CONTROL!$C$9, $D$9, 100%, $F$9) + CHOOSE(CONTROL!$C$27, 0.0021, 0)</f>
        <v>41.304600000000001</v>
      </c>
      <c r="C352" s="10">
        <f>40.8703 * CHOOSE(CONTROL!$C$9, $D$9, 100%, $F$9) + CHOOSE(CONTROL!$C$27, 0.0021, 0)</f>
        <v>40.872399999999999</v>
      </c>
      <c r="D352" s="10">
        <f>40.8703 * CHOOSE(CONTROL!$C$9, $D$9, 100%, $F$9) + CHOOSE(CONTROL!$C$27, 0.0021, 0)</f>
        <v>40.872399999999999</v>
      </c>
      <c r="E352" s="10">
        <f>40.7336 * CHOOSE(CONTROL!$C$9, $D$9, 100%, $F$9) + CHOOSE(CONTROL!$C$27, 0.0021, 0)</f>
        <v>40.735700000000001</v>
      </c>
      <c r="F352" s="10">
        <f>40.7336 * CHOOSE(CONTROL!$C$9, $D$9, 100%, $F$9) + CHOOSE(CONTROL!$C$27, 0.0021, 0)</f>
        <v>40.735700000000001</v>
      </c>
      <c r="G352" s="10">
        <f>41.005 * CHOOSE(CONTROL!$C$9, $D$9, 100%, $F$9) + CHOOSE(CONTROL!$C$27, 0.0021, 0)</f>
        <v>41.007100000000001</v>
      </c>
      <c r="H352" s="10">
        <f>40.8703 * CHOOSE(CONTROL!$C$9, $D$9, 100%, $F$9) + CHOOSE(CONTROL!$C$27, 0.0021, 0)</f>
        <v>40.872399999999999</v>
      </c>
      <c r="I352" s="10">
        <f>40.8703 * CHOOSE(CONTROL!$C$9, $D$9, 100%, $F$9) + CHOOSE(CONTROL!$C$27, 0.0021, 0)</f>
        <v>40.872399999999999</v>
      </c>
      <c r="J352" s="10">
        <f>40.8703 * CHOOSE(CONTROL!$C$9, $D$9, 100%, $F$9) + CHOOSE(CONTROL!$C$27, 0.0021, 0)</f>
        <v>40.872399999999999</v>
      </c>
      <c r="K352" s="10">
        <f>40.8703 * CHOOSE(CONTROL!$C$9, $D$9, 100%, $F$9) + CHOOSE(CONTROL!$C$27, 0.0021, 0)</f>
        <v>40.872399999999999</v>
      </c>
      <c r="L352" s="10"/>
    </row>
    <row r="353" spans="1:12" ht="15.75" x14ac:dyDescent="0.25">
      <c r="A353" s="14">
        <v>51682</v>
      </c>
      <c r="B353" s="10">
        <f>41.7831 * CHOOSE(CONTROL!$C$9, $D$9, 100%, $F$9) + CHOOSE(CONTROL!$C$27, 0.0021, 0)</f>
        <v>41.785199999999996</v>
      </c>
      <c r="C353" s="10">
        <f>41.3509 * CHOOSE(CONTROL!$C$9, $D$9, 100%, $F$9) + CHOOSE(CONTROL!$C$27, 0.0021, 0)</f>
        <v>41.353000000000002</v>
      </c>
      <c r="D353" s="10">
        <f>41.3509 * CHOOSE(CONTROL!$C$9, $D$9, 100%, $F$9) + CHOOSE(CONTROL!$C$27, 0.0021, 0)</f>
        <v>41.353000000000002</v>
      </c>
      <c r="E353" s="10">
        <f>41.2142 * CHOOSE(CONTROL!$C$9, $D$9, 100%, $F$9) + CHOOSE(CONTROL!$C$27, 0.0021, 0)</f>
        <v>41.216299999999997</v>
      </c>
      <c r="F353" s="10">
        <f>41.2142 * CHOOSE(CONTROL!$C$9, $D$9, 100%, $F$9) + CHOOSE(CONTROL!$C$27, 0.0021, 0)</f>
        <v>41.216299999999997</v>
      </c>
      <c r="G353" s="10">
        <f>41.4856 * CHOOSE(CONTROL!$C$9, $D$9, 100%, $F$9) + CHOOSE(CONTROL!$C$27, 0.0021, 0)</f>
        <v>41.487699999999997</v>
      </c>
      <c r="H353" s="10">
        <f>41.3509 * CHOOSE(CONTROL!$C$9, $D$9, 100%, $F$9) + CHOOSE(CONTROL!$C$27, 0.0021, 0)</f>
        <v>41.353000000000002</v>
      </c>
      <c r="I353" s="10">
        <f>41.3509 * CHOOSE(CONTROL!$C$9, $D$9, 100%, $F$9) + CHOOSE(CONTROL!$C$27, 0.0021, 0)</f>
        <v>41.353000000000002</v>
      </c>
      <c r="J353" s="10">
        <f>41.3509 * CHOOSE(CONTROL!$C$9, $D$9, 100%, $F$9) + CHOOSE(CONTROL!$C$27, 0.0021, 0)</f>
        <v>41.353000000000002</v>
      </c>
      <c r="K353" s="10">
        <f>41.3509 * CHOOSE(CONTROL!$C$9, $D$9, 100%, $F$9) + CHOOSE(CONTROL!$C$27, 0.0021, 0)</f>
        <v>41.353000000000002</v>
      </c>
      <c r="L353" s="10"/>
    </row>
    <row r="354" spans="1:12" ht="15.75" x14ac:dyDescent="0.25">
      <c r="A354" s="14">
        <v>51713</v>
      </c>
      <c r="B354" s="10">
        <f>42.5759 * CHOOSE(CONTROL!$C$9, $D$9, 100%, $F$9) + CHOOSE(CONTROL!$C$27, 0.0021, 0)</f>
        <v>42.577999999999996</v>
      </c>
      <c r="C354" s="10">
        <f>42.1437 * CHOOSE(CONTROL!$C$9, $D$9, 100%, $F$9) + CHOOSE(CONTROL!$C$27, 0.0021, 0)</f>
        <v>42.145800000000001</v>
      </c>
      <c r="D354" s="10">
        <f>42.1437 * CHOOSE(CONTROL!$C$9, $D$9, 100%, $F$9) + CHOOSE(CONTROL!$C$27, 0.0021, 0)</f>
        <v>42.145800000000001</v>
      </c>
      <c r="E354" s="10">
        <f>42.007 * CHOOSE(CONTROL!$C$9, $D$9, 100%, $F$9) + CHOOSE(CONTROL!$C$27, 0.0021, 0)</f>
        <v>42.009099999999997</v>
      </c>
      <c r="F354" s="10">
        <f>42.007 * CHOOSE(CONTROL!$C$9, $D$9, 100%, $F$9) + CHOOSE(CONTROL!$C$27, 0.0021, 0)</f>
        <v>42.009099999999997</v>
      </c>
      <c r="G354" s="10">
        <f>42.2784 * CHOOSE(CONTROL!$C$9, $D$9, 100%, $F$9) + CHOOSE(CONTROL!$C$27, 0.0021, 0)</f>
        <v>42.280499999999996</v>
      </c>
      <c r="H354" s="10">
        <f>42.1437 * CHOOSE(CONTROL!$C$9, $D$9, 100%, $F$9) + CHOOSE(CONTROL!$C$27, 0.0021, 0)</f>
        <v>42.145800000000001</v>
      </c>
      <c r="I354" s="10">
        <f>42.1437 * CHOOSE(CONTROL!$C$9, $D$9, 100%, $F$9) + CHOOSE(CONTROL!$C$27, 0.0021, 0)</f>
        <v>42.145800000000001</v>
      </c>
      <c r="J354" s="10">
        <f>42.1437 * CHOOSE(CONTROL!$C$9, $D$9, 100%, $F$9) + CHOOSE(CONTROL!$C$27, 0.0021, 0)</f>
        <v>42.145800000000001</v>
      </c>
      <c r="K354" s="10">
        <f>42.1437 * CHOOSE(CONTROL!$C$9, $D$9, 100%, $F$9) + CHOOSE(CONTROL!$C$27, 0.0021, 0)</f>
        <v>42.145800000000001</v>
      </c>
      <c r="L354" s="10"/>
    </row>
    <row r="355" spans="1:12" ht="15.75" x14ac:dyDescent="0.25">
      <c r="A355" s="14">
        <v>51744</v>
      </c>
      <c r="B355" s="10">
        <f>42.8179 * CHOOSE(CONTROL!$C$9, $D$9, 100%, $F$9) + CHOOSE(CONTROL!$C$27, 0.0021, 0)</f>
        <v>42.82</v>
      </c>
      <c r="C355" s="10">
        <f>42.3857 * CHOOSE(CONTROL!$C$9, $D$9, 100%, $F$9) + CHOOSE(CONTROL!$C$27, 0.0021, 0)</f>
        <v>42.387799999999999</v>
      </c>
      <c r="D355" s="10">
        <f>42.3857 * CHOOSE(CONTROL!$C$9, $D$9, 100%, $F$9) + CHOOSE(CONTROL!$C$27, 0.0021, 0)</f>
        <v>42.387799999999999</v>
      </c>
      <c r="E355" s="10">
        <f>42.249 * CHOOSE(CONTROL!$C$9, $D$9, 100%, $F$9) + CHOOSE(CONTROL!$C$27, 0.0021, 0)</f>
        <v>42.251100000000001</v>
      </c>
      <c r="F355" s="10">
        <f>42.249 * CHOOSE(CONTROL!$C$9, $D$9, 100%, $F$9) + CHOOSE(CONTROL!$C$27, 0.0021, 0)</f>
        <v>42.251100000000001</v>
      </c>
      <c r="G355" s="10">
        <f>42.5204 * CHOOSE(CONTROL!$C$9, $D$9, 100%, $F$9) + CHOOSE(CONTROL!$C$27, 0.0021, 0)</f>
        <v>42.522500000000001</v>
      </c>
      <c r="H355" s="10">
        <f>42.3857 * CHOOSE(CONTROL!$C$9, $D$9, 100%, $F$9) + CHOOSE(CONTROL!$C$27, 0.0021, 0)</f>
        <v>42.387799999999999</v>
      </c>
      <c r="I355" s="10">
        <f>42.3857 * CHOOSE(CONTROL!$C$9, $D$9, 100%, $F$9) + CHOOSE(CONTROL!$C$27, 0.0021, 0)</f>
        <v>42.387799999999999</v>
      </c>
      <c r="J355" s="10">
        <f>42.3857 * CHOOSE(CONTROL!$C$9, $D$9, 100%, $F$9) + CHOOSE(CONTROL!$C$27, 0.0021, 0)</f>
        <v>42.387799999999999</v>
      </c>
      <c r="K355" s="10">
        <f>42.3857 * CHOOSE(CONTROL!$C$9, $D$9, 100%, $F$9) + CHOOSE(CONTROL!$C$27, 0.0021, 0)</f>
        <v>42.387799999999999</v>
      </c>
      <c r="L355" s="10"/>
    </row>
    <row r="356" spans="1:12" ht="15.75" x14ac:dyDescent="0.25">
      <c r="A356" s="14">
        <v>51774</v>
      </c>
      <c r="B356" s="10">
        <f>43.642 * CHOOSE(CONTROL!$C$9, $D$9, 100%, $F$9) + CHOOSE(CONTROL!$C$27, 0.0021, 0)</f>
        <v>43.644100000000002</v>
      </c>
      <c r="C356" s="10">
        <f>43.2098 * CHOOSE(CONTROL!$C$9, $D$9, 100%, $F$9) + CHOOSE(CONTROL!$C$27, 0.0021, 0)</f>
        <v>43.2119</v>
      </c>
      <c r="D356" s="10">
        <f>43.2098 * CHOOSE(CONTROL!$C$9, $D$9, 100%, $F$9) + CHOOSE(CONTROL!$C$27, 0.0021, 0)</f>
        <v>43.2119</v>
      </c>
      <c r="E356" s="10">
        <f>43.0731 * CHOOSE(CONTROL!$C$9, $D$9, 100%, $F$9) + CHOOSE(CONTROL!$C$27, 0.0021, 0)</f>
        <v>43.075199999999995</v>
      </c>
      <c r="F356" s="10">
        <f>43.0731 * CHOOSE(CONTROL!$C$9, $D$9, 100%, $F$9) + CHOOSE(CONTROL!$C$27, 0.0021, 0)</f>
        <v>43.075199999999995</v>
      </c>
      <c r="G356" s="10">
        <f>43.3445 * CHOOSE(CONTROL!$C$9, $D$9, 100%, $F$9) + CHOOSE(CONTROL!$C$27, 0.0021, 0)</f>
        <v>43.346599999999995</v>
      </c>
      <c r="H356" s="10">
        <f>43.2098 * CHOOSE(CONTROL!$C$9, $D$9, 100%, $F$9) + CHOOSE(CONTROL!$C$27, 0.0021, 0)</f>
        <v>43.2119</v>
      </c>
      <c r="I356" s="10">
        <f>43.2098 * CHOOSE(CONTROL!$C$9, $D$9, 100%, $F$9) + CHOOSE(CONTROL!$C$27, 0.0021, 0)</f>
        <v>43.2119</v>
      </c>
      <c r="J356" s="10">
        <f>43.2098 * CHOOSE(CONTROL!$C$9, $D$9, 100%, $F$9) + CHOOSE(CONTROL!$C$27, 0.0021, 0)</f>
        <v>43.2119</v>
      </c>
      <c r="K356" s="10">
        <f>43.2098 * CHOOSE(CONTROL!$C$9, $D$9, 100%, $F$9) + CHOOSE(CONTROL!$C$27, 0.0021, 0)</f>
        <v>43.2119</v>
      </c>
      <c r="L356" s="10"/>
    </row>
    <row r="357" spans="1:12" ht="15.75" x14ac:dyDescent="0.25">
      <c r="A357" s="14">
        <v>51805</v>
      </c>
      <c r="B357" s="10">
        <f>44.6852 * CHOOSE(CONTROL!$C$9, $D$9, 100%, $F$9) + CHOOSE(CONTROL!$C$27, 0.0021, 0)</f>
        <v>44.6873</v>
      </c>
      <c r="C357" s="10">
        <f>44.2529 * CHOOSE(CONTROL!$C$9, $D$9, 100%, $F$9) + CHOOSE(CONTROL!$C$27, 0.0021, 0)</f>
        <v>44.254999999999995</v>
      </c>
      <c r="D357" s="10">
        <f>44.2529 * CHOOSE(CONTROL!$C$9, $D$9, 100%, $F$9) + CHOOSE(CONTROL!$C$27, 0.0021, 0)</f>
        <v>44.254999999999995</v>
      </c>
      <c r="E357" s="10">
        <f>44.1163 * CHOOSE(CONTROL!$C$9, $D$9, 100%, $F$9) + CHOOSE(CONTROL!$C$27, 0.0021, 0)</f>
        <v>44.118400000000001</v>
      </c>
      <c r="F357" s="10">
        <f>44.1163 * CHOOSE(CONTROL!$C$9, $D$9, 100%, $F$9) + CHOOSE(CONTROL!$C$27, 0.0021, 0)</f>
        <v>44.118400000000001</v>
      </c>
      <c r="G357" s="10">
        <f>44.3876 * CHOOSE(CONTROL!$C$9, $D$9, 100%, $F$9) + CHOOSE(CONTROL!$C$27, 0.0021, 0)</f>
        <v>44.389699999999998</v>
      </c>
      <c r="H357" s="10">
        <f>44.2529 * CHOOSE(CONTROL!$C$9, $D$9, 100%, $F$9) + CHOOSE(CONTROL!$C$27, 0.0021, 0)</f>
        <v>44.254999999999995</v>
      </c>
      <c r="I357" s="10">
        <f>44.2529 * CHOOSE(CONTROL!$C$9, $D$9, 100%, $F$9) + CHOOSE(CONTROL!$C$27, 0.0021, 0)</f>
        <v>44.254999999999995</v>
      </c>
      <c r="J357" s="10">
        <f>44.2529 * CHOOSE(CONTROL!$C$9, $D$9, 100%, $F$9) + CHOOSE(CONTROL!$C$27, 0.0021, 0)</f>
        <v>44.254999999999995</v>
      </c>
      <c r="K357" s="10">
        <f>44.2529 * CHOOSE(CONTROL!$C$9, $D$9, 100%, $F$9) + CHOOSE(CONTROL!$C$27, 0.0021, 0)</f>
        <v>44.254999999999995</v>
      </c>
      <c r="L357" s="10"/>
    </row>
    <row r="358" spans="1:12" ht="15.75" x14ac:dyDescent="0.25">
      <c r="A358" s="14">
        <v>51835</v>
      </c>
      <c r="B358" s="10">
        <f>44.7831 * CHOOSE(CONTROL!$C$9, $D$9, 100%, $F$9) + CHOOSE(CONTROL!$C$27, 0.0021, 0)</f>
        <v>44.785199999999996</v>
      </c>
      <c r="C358" s="10">
        <f>44.3509 * CHOOSE(CONTROL!$C$9, $D$9, 100%, $F$9) + CHOOSE(CONTROL!$C$27, 0.0021, 0)</f>
        <v>44.353000000000002</v>
      </c>
      <c r="D358" s="10">
        <f>44.3509 * CHOOSE(CONTROL!$C$9, $D$9, 100%, $F$9) + CHOOSE(CONTROL!$C$27, 0.0021, 0)</f>
        <v>44.353000000000002</v>
      </c>
      <c r="E358" s="10">
        <f>44.2142 * CHOOSE(CONTROL!$C$9, $D$9, 100%, $F$9) + CHOOSE(CONTROL!$C$27, 0.0021, 0)</f>
        <v>44.216299999999997</v>
      </c>
      <c r="F358" s="10">
        <f>44.2142 * CHOOSE(CONTROL!$C$9, $D$9, 100%, $F$9) + CHOOSE(CONTROL!$C$27, 0.0021, 0)</f>
        <v>44.216299999999997</v>
      </c>
      <c r="G358" s="10">
        <f>44.4856 * CHOOSE(CONTROL!$C$9, $D$9, 100%, $F$9) + CHOOSE(CONTROL!$C$27, 0.0021, 0)</f>
        <v>44.487699999999997</v>
      </c>
      <c r="H358" s="10">
        <f>44.3509 * CHOOSE(CONTROL!$C$9, $D$9, 100%, $F$9) + CHOOSE(CONTROL!$C$27, 0.0021, 0)</f>
        <v>44.353000000000002</v>
      </c>
      <c r="I358" s="10">
        <f>44.3509 * CHOOSE(CONTROL!$C$9, $D$9, 100%, $F$9) + CHOOSE(CONTROL!$C$27, 0.0021, 0)</f>
        <v>44.353000000000002</v>
      </c>
      <c r="J358" s="10">
        <f>44.3509 * CHOOSE(CONTROL!$C$9, $D$9, 100%, $F$9) + CHOOSE(CONTROL!$C$27, 0.0021, 0)</f>
        <v>44.353000000000002</v>
      </c>
      <c r="K358" s="10">
        <f>44.3509 * CHOOSE(CONTROL!$C$9, $D$9, 100%, $F$9) + CHOOSE(CONTROL!$C$27, 0.0021, 0)</f>
        <v>44.353000000000002</v>
      </c>
      <c r="L358" s="10"/>
    </row>
    <row r="359" spans="1:12" ht="15.75" x14ac:dyDescent="0.25">
      <c r="A359" s="14">
        <v>51866</v>
      </c>
      <c r="B359" s="10">
        <f>43.95 * CHOOSE(CONTROL!$C$9, $D$9, 100%, $F$9) + CHOOSE(CONTROL!$C$27, 0.0021, 0)</f>
        <v>43.952100000000002</v>
      </c>
      <c r="C359" s="10">
        <f>43.5177 * CHOOSE(CONTROL!$C$9, $D$9, 100%, $F$9) + CHOOSE(CONTROL!$C$27, 0.0021, 0)</f>
        <v>43.519799999999996</v>
      </c>
      <c r="D359" s="10">
        <f>43.5177 * CHOOSE(CONTROL!$C$9, $D$9, 100%, $F$9) + CHOOSE(CONTROL!$C$27, 0.0021, 0)</f>
        <v>43.519799999999996</v>
      </c>
      <c r="E359" s="10">
        <f>43.381 * CHOOSE(CONTROL!$C$9, $D$9, 100%, $F$9) + CHOOSE(CONTROL!$C$27, 0.0021, 0)</f>
        <v>43.383099999999999</v>
      </c>
      <c r="F359" s="10">
        <f>43.381 * CHOOSE(CONTROL!$C$9, $D$9, 100%, $F$9) + CHOOSE(CONTROL!$C$27, 0.0021, 0)</f>
        <v>43.383099999999999</v>
      </c>
      <c r="G359" s="10">
        <f>43.6524 * CHOOSE(CONTROL!$C$9, $D$9, 100%, $F$9) + CHOOSE(CONTROL!$C$27, 0.0021, 0)</f>
        <v>43.654499999999999</v>
      </c>
      <c r="H359" s="10">
        <f>43.5177 * CHOOSE(CONTROL!$C$9, $D$9, 100%, $F$9) + CHOOSE(CONTROL!$C$27, 0.0021, 0)</f>
        <v>43.519799999999996</v>
      </c>
      <c r="I359" s="10">
        <f>43.5177 * CHOOSE(CONTROL!$C$9, $D$9, 100%, $F$9) + CHOOSE(CONTROL!$C$27, 0.0021, 0)</f>
        <v>43.519799999999996</v>
      </c>
      <c r="J359" s="10">
        <f>43.5177 * CHOOSE(CONTROL!$C$9, $D$9, 100%, $F$9) + CHOOSE(CONTROL!$C$27, 0.0021, 0)</f>
        <v>43.519799999999996</v>
      </c>
      <c r="K359" s="10">
        <f>43.5177 * CHOOSE(CONTROL!$C$9, $D$9, 100%, $F$9) + CHOOSE(CONTROL!$C$27, 0.0021, 0)</f>
        <v>43.519799999999996</v>
      </c>
      <c r="L359" s="10"/>
    </row>
    <row r="360" spans="1:12" ht="15.75" x14ac:dyDescent="0.25">
      <c r="A360" s="14">
        <v>51897</v>
      </c>
      <c r="B360" s="10">
        <f>43.4041 * CHOOSE(CONTROL!$C$9, $D$9, 100%, $F$9) + CHOOSE(CONTROL!$C$27, 0.0021, 0)</f>
        <v>43.406199999999998</v>
      </c>
      <c r="C360" s="10">
        <f>42.9719 * CHOOSE(CONTROL!$C$9, $D$9, 100%, $F$9) + CHOOSE(CONTROL!$C$27, 0.0021, 0)</f>
        <v>42.973999999999997</v>
      </c>
      <c r="D360" s="10">
        <f>42.9719 * CHOOSE(CONTROL!$C$9, $D$9, 100%, $F$9) + CHOOSE(CONTROL!$C$27, 0.0021, 0)</f>
        <v>42.973999999999997</v>
      </c>
      <c r="E360" s="10">
        <f>42.8352 * CHOOSE(CONTROL!$C$9, $D$9, 100%, $F$9) + CHOOSE(CONTROL!$C$27, 0.0021, 0)</f>
        <v>42.837299999999999</v>
      </c>
      <c r="F360" s="10">
        <f>42.8352 * CHOOSE(CONTROL!$C$9, $D$9, 100%, $F$9) + CHOOSE(CONTROL!$C$27, 0.0021, 0)</f>
        <v>42.837299999999999</v>
      </c>
      <c r="G360" s="10">
        <f>43.1066 * CHOOSE(CONTROL!$C$9, $D$9, 100%, $F$9) + CHOOSE(CONTROL!$C$27, 0.0021, 0)</f>
        <v>43.108699999999999</v>
      </c>
      <c r="H360" s="10">
        <f>42.9719 * CHOOSE(CONTROL!$C$9, $D$9, 100%, $F$9) + CHOOSE(CONTROL!$C$27, 0.0021, 0)</f>
        <v>42.973999999999997</v>
      </c>
      <c r="I360" s="10">
        <f>42.9719 * CHOOSE(CONTROL!$C$9, $D$9, 100%, $F$9) + CHOOSE(CONTROL!$C$27, 0.0021, 0)</f>
        <v>42.973999999999997</v>
      </c>
      <c r="J360" s="10">
        <f>42.9719 * CHOOSE(CONTROL!$C$9, $D$9, 100%, $F$9) + CHOOSE(CONTROL!$C$27, 0.0021, 0)</f>
        <v>42.973999999999997</v>
      </c>
      <c r="K360" s="10">
        <f>42.9719 * CHOOSE(CONTROL!$C$9, $D$9, 100%, $F$9) + CHOOSE(CONTROL!$C$27, 0.0021, 0)</f>
        <v>42.973999999999997</v>
      </c>
      <c r="L360" s="10"/>
    </row>
    <row r="361" spans="1:12" ht="15.75" x14ac:dyDescent="0.25">
      <c r="A361" s="14">
        <v>51925</v>
      </c>
      <c r="B361" s="10">
        <f>42.2413 * CHOOSE(CONTROL!$C$9, $D$9, 100%, $F$9) + CHOOSE(CONTROL!$C$27, 0.0021, 0)</f>
        <v>42.243400000000001</v>
      </c>
      <c r="C361" s="10">
        <f>41.809 * CHOOSE(CONTROL!$C$9, $D$9, 100%, $F$9) + CHOOSE(CONTROL!$C$27, 0.0021, 0)</f>
        <v>41.811099999999996</v>
      </c>
      <c r="D361" s="10">
        <f>41.809 * CHOOSE(CONTROL!$C$9, $D$9, 100%, $F$9) + CHOOSE(CONTROL!$C$27, 0.0021, 0)</f>
        <v>41.811099999999996</v>
      </c>
      <c r="E361" s="10">
        <f>41.6724 * CHOOSE(CONTROL!$C$9, $D$9, 100%, $F$9) + CHOOSE(CONTROL!$C$27, 0.0021, 0)</f>
        <v>41.674500000000002</v>
      </c>
      <c r="F361" s="10">
        <f>41.6724 * CHOOSE(CONTROL!$C$9, $D$9, 100%, $F$9) + CHOOSE(CONTROL!$C$27, 0.0021, 0)</f>
        <v>41.674500000000002</v>
      </c>
      <c r="G361" s="10">
        <f>41.9438 * CHOOSE(CONTROL!$C$9, $D$9, 100%, $F$9) + CHOOSE(CONTROL!$C$27, 0.0021, 0)</f>
        <v>41.945900000000002</v>
      </c>
      <c r="H361" s="10">
        <f>41.809 * CHOOSE(CONTROL!$C$9, $D$9, 100%, $F$9) + CHOOSE(CONTROL!$C$27, 0.0021, 0)</f>
        <v>41.811099999999996</v>
      </c>
      <c r="I361" s="10">
        <f>41.809 * CHOOSE(CONTROL!$C$9, $D$9, 100%, $F$9) + CHOOSE(CONTROL!$C$27, 0.0021, 0)</f>
        <v>41.811099999999996</v>
      </c>
      <c r="J361" s="10">
        <f>41.809 * CHOOSE(CONTROL!$C$9, $D$9, 100%, $F$9) + CHOOSE(CONTROL!$C$27, 0.0021, 0)</f>
        <v>41.811099999999996</v>
      </c>
      <c r="K361" s="10">
        <f>41.809 * CHOOSE(CONTROL!$C$9, $D$9, 100%, $F$9) + CHOOSE(CONTROL!$C$27, 0.0021, 0)</f>
        <v>41.811099999999996</v>
      </c>
      <c r="L361" s="10"/>
    </row>
    <row r="362" spans="1:12" ht="15.75" x14ac:dyDescent="0.25">
      <c r="A362" s="14">
        <v>51956</v>
      </c>
      <c r="B362" s="10">
        <f>41.7613 * CHOOSE(CONTROL!$C$9, $D$9, 100%, $F$9) + CHOOSE(CONTROL!$C$27, 0.0021, 0)</f>
        <v>41.763399999999997</v>
      </c>
      <c r="C362" s="10">
        <f>41.329 * CHOOSE(CONTROL!$C$9, $D$9, 100%, $F$9) + CHOOSE(CONTROL!$C$27, 0.0021, 0)</f>
        <v>41.331099999999999</v>
      </c>
      <c r="D362" s="10">
        <f>41.329 * CHOOSE(CONTROL!$C$9, $D$9, 100%, $F$9) + CHOOSE(CONTROL!$C$27, 0.0021, 0)</f>
        <v>41.331099999999999</v>
      </c>
      <c r="E362" s="10">
        <f>41.1923 * CHOOSE(CONTROL!$C$9, $D$9, 100%, $F$9) + CHOOSE(CONTROL!$C$27, 0.0021, 0)</f>
        <v>41.194400000000002</v>
      </c>
      <c r="F362" s="10">
        <f>41.1923 * CHOOSE(CONTROL!$C$9, $D$9, 100%, $F$9) + CHOOSE(CONTROL!$C$27, 0.0021, 0)</f>
        <v>41.194400000000002</v>
      </c>
      <c r="G362" s="10">
        <f>41.4637 * CHOOSE(CONTROL!$C$9, $D$9, 100%, $F$9) + CHOOSE(CONTROL!$C$27, 0.0021, 0)</f>
        <v>41.465800000000002</v>
      </c>
      <c r="H362" s="10">
        <f>41.329 * CHOOSE(CONTROL!$C$9, $D$9, 100%, $F$9) + CHOOSE(CONTROL!$C$27, 0.0021, 0)</f>
        <v>41.331099999999999</v>
      </c>
      <c r="I362" s="10">
        <f>41.329 * CHOOSE(CONTROL!$C$9, $D$9, 100%, $F$9) + CHOOSE(CONTROL!$C$27, 0.0021, 0)</f>
        <v>41.331099999999999</v>
      </c>
      <c r="J362" s="10">
        <f>41.329 * CHOOSE(CONTROL!$C$9, $D$9, 100%, $F$9) + CHOOSE(CONTROL!$C$27, 0.0021, 0)</f>
        <v>41.331099999999999</v>
      </c>
      <c r="K362" s="10">
        <f>41.329 * CHOOSE(CONTROL!$C$9, $D$9, 100%, $F$9) + CHOOSE(CONTROL!$C$27, 0.0021, 0)</f>
        <v>41.331099999999999</v>
      </c>
      <c r="L362" s="10"/>
    </row>
    <row r="363" spans="1:12" ht="15.75" x14ac:dyDescent="0.25">
      <c r="A363" s="14">
        <v>51986</v>
      </c>
      <c r="B363" s="10">
        <f>41.1881 * CHOOSE(CONTROL!$C$9, $D$9, 100%, $F$9) + CHOOSE(CONTROL!$C$27, 0.0021, 0)</f>
        <v>41.190199999999997</v>
      </c>
      <c r="C363" s="10">
        <f>40.7558 * CHOOSE(CONTROL!$C$9, $D$9, 100%, $F$9) + CHOOSE(CONTROL!$C$27, 0.0021, 0)</f>
        <v>40.757899999999999</v>
      </c>
      <c r="D363" s="10">
        <f>40.7558 * CHOOSE(CONTROL!$C$9, $D$9, 100%, $F$9) + CHOOSE(CONTROL!$C$27, 0.0021, 0)</f>
        <v>40.757899999999999</v>
      </c>
      <c r="E363" s="10">
        <f>40.6192 * CHOOSE(CONTROL!$C$9, $D$9, 100%, $F$9) + CHOOSE(CONTROL!$C$27, 0.0021, 0)</f>
        <v>40.621299999999998</v>
      </c>
      <c r="F363" s="10">
        <f>40.6192 * CHOOSE(CONTROL!$C$9, $D$9, 100%, $F$9) + CHOOSE(CONTROL!$C$27, 0.0021, 0)</f>
        <v>40.621299999999998</v>
      </c>
      <c r="G363" s="10">
        <f>40.8906 * CHOOSE(CONTROL!$C$9, $D$9, 100%, $F$9) + CHOOSE(CONTROL!$C$27, 0.0021, 0)</f>
        <v>40.892699999999998</v>
      </c>
      <c r="H363" s="10">
        <f>40.7558 * CHOOSE(CONTROL!$C$9, $D$9, 100%, $F$9) + CHOOSE(CONTROL!$C$27, 0.0021, 0)</f>
        <v>40.757899999999999</v>
      </c>
      <c r="I363" s="10">
        <f>40.7558 * CHOOSE(CONTROL!$C$9, $D$9, 100%, $F$9) + CHOOSE(CONTROL!$C$27, 0.0021, 0)</f>
        <v>40.757899999999999</v>
      </c>
      <c r="J363" s="10">
        <f>40.7558 * CHOOSE(CONTROL!$C$9, $D$9, 100%, $F$9) + CHOOSE(CONTROL!$C$27, 0.0021, 0)</f>
        <v>40.757899999999999</v>
      </c>
      <c r="K363" s="10">
        <f>40.7558 * CHOOSE(CONTROL!$C$9, $D$9, 100%, $F$9) + CHOOSE(CONTROL!$C$27, 0.0021, 0)</f>
        <v>40.757899999999999</v>
      </c>
      <c r="L363" s="10"/>
    </row>
    <row r="364" spans="1:12" ht="15.75" x14ac:dyDescent="0.25">
      <c r="A364" s="14">
        <v>52017</v>
      </c>
      <c r="B364" s="10">
        <f>42.0049 * CHOOSE(CONTROL!$C$9, $D$9, 100%, $F$9) + CHOOSE(CONTROL!$C$27, 0.0021, 0)</f>
        <v>42.006999999999998</v>
      </c>
      <c r="C364" s="10">
        <f>41.5727 * CHOOSE(CONTROL!$C$9, $D$9, 100%, $F$9) + CHOOSE(CONTROL!$C$27, 0.0021, 0)</f>
        <v>41.574799999999996</v>
      </c>
      <c r="D364" s="10">
        <f>41.5727 * CHOOSE(CONTROL!$C$9, $D$9, 100%, $F$9) + CHOOSE(CONTROL!$C$27, 0.0021, 0)</f>
        <v>41.574799999999996</v>
      </c>
      <c r="E364" s="10">
        <f>41.436 * CHOOSE(CONTROL!$C$9, $D$9, 100%, $F$9) + CHOOSE(CONTROL!$C$27, 0.0021, 0)</f>
        <v>41.438099999999999</v>
      </c>
      <c r="F364" s="10">
        <f>41.436 * CHOOSE(CONTROL!$C$9, $D$9, 100%, $F$9) + CHOOSE(CONTROL!$C$27, 0.0021, 0)</f>
        <v>41.438099999999999</v>
      </c>
      <c r="G364" s="10">
        <f>41.7074 * CHOOSE(CONTROL!$C$9, $D$9, 100%, $F$9) + CHOOSE(CONTROL!$C$27, 0.0021, 0)</f>
        <v>41.709499999999998</v>
      </c>
      <c r="H364" s="10">
        <f>41.5727 * CHOOSE(CONTROL!$C$9, $D$9, 100%, $F$9) + CHOOSE(CONTROL!$C$27, 0.0021, 0)</f>
        <v>41.574799999999996</v>
      </c>
      <c r="I364" s="10">
        <f>41.5727 * CHOOSE(CONTROL!$C$9, $D$9, 100%, $F$9) + CHOOSE(CONTROL!$C$27, 0.0021, 0)</f>
        <v>41.574799999999996</v>
      </c>
      <c r="J364" s="10">
        <f>41.5727 * CHOOSE(CONTROL!$C$9, $D$9, 100%, $F$9) + CHOOSE(CONTROL!$C$27, 0.0021, 0)</f>
        <v>41.574799999999996</v>
      </c>
      <c r="K364" s="10">
        <f>41.5727 * CHOOSE(CONTROL!$C$9, $D$9, 100%, $F$9) + CHOOSE(CONTROL!$C$27, 0.0021, 0)</f>
        <v>41.574799999999996</v>
      </c>
      <c r="L364" s="10"/>
    </row>
    <row r="365" spans="1:12" ht="15.75" x14ac:dyDescent="0.25">
      <c r="A365" s="14">
        <v>52047</v>
      </c>
      <c r="B365" s="10">
        <f>42.4942 * CHOOSE(CONTROL!$C$9, $D$9, 100%, $F$9) + CHOOSE(CONTROL!$C$27, 0.0021, 0)</f>
        <v>42.496299999999998</v>
      </c>
      <c r="C365" s="10">
        <f>42.0619 * CHOOSE(CONTROL!$C$9, $D$9, 100%, $F$9) + CHOOSE(CONTROL!$C$27, 0.0021, 0)</f>
        <v>42.064</v>
      </c>
      <c r="D365" s="10">
        <f>42.0619 * CHOOSE(CONTROL!$C$9, $D$9, 100%, $F$9) + CHOOSE(CONTROL!$C$27, 0.0021, 0)</f>
        <v>42.064</v>
      </c>
      <c r="E365" s="10">
        <f>41.9253 * CHOOSE(CONTROL!$C$9, $D$9, 100%, $F$9) + CHOOSE(CONTROL!$C$27, 0.0021, 0)</f>
        <v>41.927399999999999</v>
      </c>
      <c r="F365" s="10">
        <f>41.9253 * CHOOSE(CONTROL!$C$9, $D$9, 100%, $F$9) + CHOOSE(CONTROL!$C$27, 0.0021, 0)</f>
        <v>41.927399999999999</v>
      </c>
      <c r="G365" s="10">
        <f>42.1966 * CHOOSE(CONTROL!$C$9, $D$9, 100%, $F$9) + CHOOSE(CONTROL!$C$27, 0.0021, 0)</f>
        <v>42.198699999999995</v>
      </c>
      <c r="H365" s="10">
        <f>42.0619 * CHOOSE(CONTROL!$C$9, $D$9, 100%, $F$9) + CHOOSE(CONTROL!$C$27, 0.0021, 0)</f>
        <v>42.064</v>
      </c>
      <c r="I365" s="10">
        <f>42.0619 * CHOOSE(CONTROL!$C$9, $D$9, 100%, $F$9) + CHOOSE(CONTROL!$C$27, 0.0021, 0)</f>
        <v>42.064</v>
      </c>
      <c r="J365" s="10">
        <f>42.0619 * CHOOSE(CONTROL!$C$9, $D$9, 100%, $F$9) + CHOOSE(CONTROL!$C$27, 0.0021, 0)</f>
        <v>42.064</v>
      </c>
      <c r="K365" s="10">
        <f>42.0619 * CHOOSE(CONTROL!$C$9, $D$9, 100%, $F$9) + CHOOSE(CONTROL!$C$27, 0.0021, 0)</f>
        <v>42.064</v>
      </c>
      <c r="L365" s="10"/>
    </row>
    <row r="366" spans="1:12" ht="15.75" x14ac:dyDescent="0.25">
      <c r="A366" s="14">
        <v>52078</v>
      </c>
      <c r="B366" s="10">
        <f>43.3012 * CHOOSE(CONTROL!$C$9, $D$9, 100%, $F$9) + CHOOSE(CONTROL!$C$27, 0.0021, 0)</f>
        <v>43.3033</v>
      </c>
      <c r="C366" s="10">
        <f>42.869 * CHOOSE(CONTROL!$C$9, $D$9, 100%, $F$9) + CHOOSE(CONTROL!$C$27, 0.0021, 0)</f>
        <v>42.871099999999998</v>
      </c>
      <c r="D366" s="10">
        <f>42.869 * CHOOSE(CONTROL!$C$9, $D$9, 100%, $F$9) + CHOOSE(CONTROL!$C$27, 0.0021, 0)</f>
        <v>42.871099999999998</v>
      </c>
      <c r="E366" s="10">
        <f>42.7323 * CHOOSE(CONTROL!$C$9, $D$9, 100%, $F$9) + CHOOSE(CONTROL!$C$27, 0.0021, 0)</f>
        <v>42.734400000000001</v>
      </c>
      <c r="F366" s="10">
        <f>42.7323 * CHOOSE(CONTROL!$C$9, $D$9, 100%, $F$9) + CHOOSE(CONTROL!$C$27, 0.0021, 0)</f>
        <v>42.734400000000001</v>
      </c>
      <c r="G366" s="10">
        <f>43.0037 * CHOOSE(CONTROL!$C$9, $D$9, 100%, $F$9) + CHOOSE(CONTROL!$C$27, 0.0021, 0)</f>
        <v>43.005800000000001</v>
      </c>
      <c r="H366" s="10">
        <f>42.869 * CHOOSE(CONTROL!$C$9, $D$9, 100%, $F$9) + CHOOSE(CONTROL!$C$27, 0.0021, 0)</f>
        <v>42.871099999999998</v>
      </c>
      <c r="I366" s="10">
        <f>42.869 * CHOOSE(CONTROL!$C$9, $D$9, 100%, $F$9) + CHOOSE(CONTROL!$C$27, 0.0021, 0)</f>
        <v>42.871099999999998</v>
      </c>
      <c r="J366" s="10">
        <f>42.869 * CHOOSE(CONTROL!$C$9, $D$9, 100%, $F$9) + CHOOSE(CONTROL!$C$27, 0.0021, 0)</f>
        <v>42.871099999999998</v>
      </c>
      <c r="K366" s="10">
        <f>42.869 * CHOOSE(CONTROL!$C$9, $D$9, 100%, $F$9) + CHOOSE(CONTROL!$C$27, 0.0021, 0)</f>
        <v>42.871099999999998</v>
      </c>
      <c r="L366" s="10"/>
    </row>
    <row r="367" spans="1:12" ht="15.75" x14ac:dyDescent="0.25">
      <c r="A367" s="14">
        <v>52109</v>
      </c>
      <c r="B367" s="10">
        <f>43.5476 * CHOOSE(CONTROL!$C$9, $D$9, 100%, $F$9) + CHOOSE(CONTROL!$C$27, 0.0021, 0)</f>
        <v>43.549700000000001</v>
      </c>
      <c r="C367" s="10">
        <f>43.1153 * CHOOSE(CONTROL!$C$9, $D$9, 100%, $F$9) + CHOOSE(CONTROL!$C$27, 0.0021, 0)</f>
        <v>43.117399999999996</v>
      </c>
      <c r="D367" s="10">
        <f>43.1153 * CHOOSE(CONTROL!$C$9, $D$9, 100%, $F$9) + CHOOSE(CONTROL!$C$27, 0.0021, 0)</f>
        <v>43.117399999999996</v>
      </c>
      <c r="E367" s="10">
        <f>42.9787 * CHOOSE(CONTROL!$C$9, $D$9, 100%, $F$9) + CHOOSE(CONTROL!$C$27, 0.0021, 0)</f>
        <v>42.980800000000002</v>
      </c>
      <c r="F367" s="10">
        <f>42.9787 * CHOOSE(CONTROL!$C$9, $D$9, 100%, $F$9) + CHOOSE(CONTROL!$C$27, 0.0021, 0)</f>
        <v>42.980800000000002</v>
      </c>
      <c r="G367" s="10">
        <f>43.2501 * CHOOSE(CONTROL!$C$9, $D$9, 100%, $F$9) + CHOOSE(CONTROL!$C$27, 0.0021, 0)</f>
        <v>43.252200000000002</v>
      </c>
      <c r="H367" s="10">
        <f>43.1153 * CHOOSE(CONTROL!$C$9, $D$9, 100%, $F$9) + CHOOSE(CONTROL!$C$27, 0.0021, 0)</f>
        <v>43.117399999999996</v>
      </c>
      <c r="I367" s="10">
        <f>43.1153 * CHOOSE(CONTROL!$C$9, $D$9, 100%, $F$9) + CHOOSE(CONTROL!$C$27, 0.0021, 0)</f>
        <v>43.117399999999996</v>
      </c>
      <c r="J367" s="10">
        <f>43.1153 * CHOOSE(CONTROL!$C$9, $D$9, 100%, $F$9) + CHOOSE(CONTROL!$C$27, 0.0021, 0)</f>
        <v>43.117399999999996</v>
      </c>
      <c r="K367" s="10">
        <f>43.1153 * CHOOSE(CONTROL!$C$9, $D$9, 100%, $F$9) + CHOOSE(CONTROL!$C$27, 0.0021, 0)</f>
        <v>43.117399999999996</v>
      </c>
      <c r="L367" s="10"/>
    </row>
    <row r="368" spans="1:12" ht="15.75" x14ac:dyDescent="0.25">
      <c r="A368" s="14">
        <v>52139</v>
      </c>
      <c r="B368" s="10">
        <f>44.3865 * CHOOSE(CONTROL!$C$9, $D$9, 100%, $F$9) + CHOOSE(CONTROL!$C$27, 0.0021, 0)</f>
        <v>44.388599999999997</v>
      </c>
      <c r="C368" s="10">
        <f>43.9543 * CHOOSE(CONTROL!$C$9, $D$9, 100%, $F$9) + CHOOSE(CONTROL!$C$27, 0.0021, 0)</f>
        <v>43.956400000000002</v>
      </c>
      <c r="D368" s="10">
        <f>43.9543 * CHOOSE(CONTROL!$C$9, $D$9, 100%, $F$9) + CHOOSE(CONTROL!$C$27, 0.0021, 0)</f>
        <v>43.956400000000002</v>
      </c>
      <c r="E368" s="10">
        <f>43.8176 * CHOOSE(CONTROL!$C$9, $D$9, 100%, $F$9) + CHOOSE(CONTROL!$C$27, 0.0021, 0)</f>
        <v>43.819699999999997</v>
      </c>
      <c r="F368" s="10">
        <f>43.8176 * CHOOSE(CONTROL!$C$9, $D$9, 100%, $F$9) + CHOOSE(CONTROL!$C$27, 0.0021, 0)</f>
        <v>43.819699999999997</v>
      </c>
      <c r="G368" s="10">
        <f>44.089 * CHOOSE(CONTROL!$C$9, $D$9, 100%, $F$9) + CHOOSE(CONTROL!$C$27, 0.0021, 0)</f>
        <v>44.091099999999997</v>
      </c>
      <c r="H368" s="10">
        <f>43.9543 * CHOOSE(CONTROL!$C$9, $D$9, 100%, $F$9) + CHOOSE(CONTROL!$C$27, 0.0021, 0)</f>
        <v>43.956400000000002</v>
      </c>
      <c r="I368" s="10">
        <f>43.9543 * CHOOSE(CONTROL!$C$9, $D$9, 100%, $F$9) + CHOOSE(CONTROL!$C$27, 0.0021, 0)</f>
        <v>43.956400000000002</v>
      </c>
      <c r="J368" s="10">
        <f>43.9543 * CHOOSE(CONTROL!$C$9, $D$9, 100%, $F$9) + CHOOSE(CONTROL!$C$27, 0.0021, 0)</f>
        <v>43.956400000000002</v>
      </c>
      <c r="K368" s="10">
        <f>43.9543 * CHOOSE(CONTROL!$C$9, $D$9, 100%, $F$9) + CHOOSE(CONTROL!$C$27, 0.0021, 0)</f>
        <v>43.956400000000002</v>
      </c>
      <c r="L368" s="10"/>
    </row>
    <row r="369" spans="1:12" ht="15.75" x14ac:dyDescent="0.25">
      <c r="A369" s="14">
        <v>52170</v>
      </c>
      <c r="B369" s="10">
        <f>45.4484 * CHOOSE(CONTROL!$C$9, $D$9, 100%, $F$9) + CHOOSE(CONTROL!$C$27, 0.0021, 0)</f>
        <v>45.450499999999998</v>
      </c>
      <c r="C369" s="10">
        <f>45.0162 * CHOOSE(CONTROL!$C$9, $D$9, 100%, $F$9) + CHOOSE(CONTROL!$C$27, 0.0021, 0)</f>
        <v>45.018299999999996</v>
      </c>
      <c r="D369" s="10">
        <f>45.0162 * CHOOSE(CONTROL!$C$9, $D$9, 100%, $F$9) + CHOOSE(CONTROL!$C$27, 0.0021, 0)</f>
        <v>45.018299999999996</v>
      </c>
      <c r="E369" s="10">
        <f>44.8795 * CHOOSE(CONTROL!$C$9, $D$9, 100%, $F$9) + CHOOSE(CONTROL!$C$27, 0.0021, 0)</f>
        <v>44.881599999999999</v>
      </c>
      <c r="F369" s="10">
        <f>44.8795 * CHOOSE(CONTROL!$C$9, $D$9, 100%, $F$9) + CHOOSE(CONTROL!$C$27, 0.0021, 0)</f>
        <v>44.881599999999999</v>
      </c>
      <c r="G369" s="10">
        <f>45.1509 * CHOOSE(CONTROL!$C$9, $D$9, 100%, $F$9) + CHOOSE(CONTROL!$C$27, 0.0021, 0)</f>
        <v>45.152999999999999</v>
      </c>
      <c r="H369" s="10">
        <f>45.0162 * CHOOSE(CONTROL!$C$9, $D$9, 100%, $F$9) + CHOOSE(CONTROL!$C$27, 0.0021, 0)</f>
        <v>45.018299999999996</v>
      </c>
      <c r="I369" s="10">
        <f>45.0162 * CHOOSE(CONTROL!$C$9, $D$9, 100%, $F$9) + CHOOSE(CONTROL!$C$27, 0.0021, 0)</f>
        <v>45.018299999999996</v>
      </c>
      <c r="J369" s="10">
        <f>45.0162 * CHOOSE(CONTROL!$C$9, $D$9, 100%, $F$9) + CHOOSE(CONTROL!$C$27, 0.0021, 0)</f>
        <v>45.018299999999996</v>
      </c>
      <c r="K369" s="10">
        <f>45.0162 * CHOOSE(CONTROL!$C$9, $D$9, 100%, $F$9) + CHOOSE(CONTROL!$C$27, 0.0021, 0)</f>
        <v>45.018299999999996</v>
      </c>
      <c r="L369" s="10"/>
    </row>
    <row r="370" spans="1:12" ht="15.75" x14ac:dyDescent="0.25">
      <c r="A370" s="14">
        <v>52200</v>
      </c>
      <c r="B370" s="10">
        <f>45.5481 * CHOOSE(CONTROL!$C$9, $D$9, 100%, $F$9) + CHOOSE(CONTROL!$C$27, 0.0021, 0)</f>
        <v>45.550199999999997</v>
      </c>
      <c r="C370" s="10">
        <f>45.1159 * CHOOSE(CONTROL!$C$9, $D$9, 100%, $F$9) + CHOOSE(CONTROL!$C$27, 0.0021, 0)</f>
        <v>45.118000000000002</v>
      </c>
      <c r="D370" s="10">
        <f>45.1159 * CHOOSE(CONTROL!$C$9, $D$9, 100%, $F$9) + CHOOSE(CONTROL!$C$27, 0.0021, 0)</f>
        <v>45.118000000000002</v>
      </c>
      <c r="E370" s="10">
        <f>44.9792 * CHOOSE(CONTROL!$C$9, $D$9, 100%, $F$9) + CHOOSE(CONTROL!$C$27, 0.0021, 0)</f>
        <v>44.981299999999997</v>
      </c>
      <c r="F370" s="10">
        <f>44.9792 * CHOOSE(CONTROL!$C$9, $D$9, 100%, $F$9) + CHOOSE(CONTROL!$C$27, 0.0021, 0)</f>
        <v>44.981299999999997</v>
      </c>
      <c r="G370" s="10">
        <f>45.2506 * CHOOSE(CONTROL!$C$9, $D$9, 100%, $F$9) + CHOOSE(CONTROL!$C$27, 0.0021, 0)</f>
        <v>45.252699999999997</v>
      </c>
      <c r="H370" s="10">
        <f>45.1159 * CHOOSE(CONTROL!$C$9, $D$9, 100%, $F$9) + CHOOSE(CONTROL!$C$27, 0.0021, 0)</f>
        <v>45.118000000000002</v>
      </c>
      <c r="I370" s="10">
        <f>45.1159 * CHOOSE(CONTROL!$C$9, $D$9, 100%, $F$9) + CHOOSE(CONTROL!$C$27, 0.0021, 0)</f>
        <v>45.118000000000002</v>
      </c>
      <c r="J370" s="10">
        <f>45.1159 * CHOOSE(CONTROL!$C$9, $D$9, 100%, $F$9) + CHOOSE(CONTROL!$C$27, 0.0021, 0)</f>
        <v>45.118000000000002</v>
      </c>
      <c r="K370" s="10">
        <f>45.1159 * CHOOSE(CONTROL!$C$9, $D$9, 100%, $F$9) + CHOOSE(CONTROL!$C$27, 0.0021, 0)</f>
        <v>45.118000000000002</v>
      </c>
      <c r="L370" s="10"/>
    </row>
    <row r="371" spans="1:12" ht="15.75" x14ac:dyDescent="0.25">
      <c r="A371" s="14">
        <v>52231</v>
      </c>
      <c r="B371" s="10">
        <f>44.7 * CHOOSE(CONTROL!$C$9, $D$9, 100%, $F$9) + CHOOSE(CONTROL!$C$27, 0.0021, 0)</f>
        <v>44.702100000000002</v>
      </c>
      <c r="C371" s="10">
        <f>44.2677 * CHOOSE(CONTROL!$C$9, $D$9, 100%, $F$9) + CHOOSE(CONTROL!$C$27, 0.0021, 0)</f>
        <v>44.269799999999996</v>
      </c>
      <c r="D371" s="10">
        <f>44.2677 * CHOOSE(CONTROL!$C$9, $D$9, 100%, $F$9) + CHOOSE(CONTROL!$C$27, 0.0021, 0)</f>
        <v>44.269799999999996</v>
      </c>
      <c r="E371" s="10">
        <f>44.1311 * CHOOSE(CONTROL!$C$9, $D$9, 100%, $F$9) + CHOOSE(CONTROL!$C$27, 0.0021, 0)</f>
        <v>44.133200000000002</v>
      </c>
      <c r="F371" s="10">
        <f>44.1311 * CHOOSE(CONTROL!$C$9, $D$9, 100%, $F$9) + CHOOSE(CONTROL!$C$27, 0.0021, 0)</f>
        <v>44.133200000000002</v>
      </c>
      <c r="G371" s="10">
        <f>44.4025 * CHOOSE(CONTROL!$C$9, $D$9, 100%, $F$9) + CHOOSE(CONTROL!$C$27, 0.0021, 0)</f>
        <v>44.404600000000002</v>
      </c>
      <c r="H371" s="10">
        <f>44.2677 * CHOOSE(CONTROL!$C$9, $D$9, 100%, $F$9) + CHOOSE(CONTROL!$C$27, 0.0021, 0)</f>
        <v>44.269799999999996</v>
      </c>
      <c r="I371" s="10">
        <f>44.2677 * CHOOSE(CONTROL!$C$9, $D$9, 100%, $F$9) + CHOOSE(CONTROL!$C$27, 0.0021, 0)</f>
        <v>44.269799999999996</v>
      </c>
      <c r="J371" s="10">
        <f>44.2677 * CHOOSE(CONTROL!$C$9, $D$9, 100%, $F$9) + CHOOSE(CONTROL!$C$27, 0.0021, 0)</f>
        <v>44.269799999999996</v>
      </c>
      <c r="K371" s="10">
        <f>44.2677 * CHOOSE(CONTROL!$C$9, $D$9, 100%, $F$9) + CHOOSE(CONTROL!$C$27, 0.0021, 0)</f>
        <v>44.269799999999996</v>
      </c>
      <c r="L371" s="10"/>
    </row>
    <row r="372" spans="1:12" ht="15.75" x14ac:dyDescent="0.25">
      <c r="A372" s="14">
        <v>52262</v>
      </c>
      <c r="B372" s="10">
        <f>44.1444 * CHOOSE(CONTROL!$C$9, $D$9, 100%, $F$9) + CHOOSE(CONTROL!$C$27, 0.0021, 0)</f>
        <v>44.146499999999996</v>
      </c>
      <c r="C372" s="10">
        <f>43.7121 * CHOOSE(CONTROL!$C$9, $D$9, 100%, $F$9) + CHOOSE(CONTROL!$C$27, 0.0021, 0)</f>
        <v>43.714199999999998</v>
      </c>
      <c r="D372" s="10">
        <f>43.7121 * CHOOSE(CONTROL!$C$9, $D$9, 100%, $F$9) + CHOOSE(CONTROL!$C$27, 0.0021, 0)</f>
        <v>43.714199999999998</v>
      </c>
      <c r="E372" s="10">
        <f>43.5755 * CHOOSE(CONTROL!$C$9, $D$9, 100%, $F$9) + CHOOSE(CONTROL!$C$27, 0.0021, 0)</f>
        <v>43.577599999999997</v>
      </c>
      <c r="F372" s="10">
        <f>43.5755 * CHOOSE(CONTROL!$C$9, $D$9, 100%, $F$9) + CHOOSE(CONTROL!$C$27, 0.0021, 0)</f>
        <v>43.577599999999997</v>
      </c>
      <c r="G372" s="10">
        <f>43.8468 * CHOOSE(CONTROL!$C$9, $D$9, 100%, $F$9) + CHOOSE(CONTROL!$C$27, 0.0021, 0)</f>
        <v>43.8489</v>
      </c>
      <c r="H372" s="10">
        <f>43.7121 * CHOOSE(CONTROL!$C$9, $D$9, 100%, $F$9) + CHOOSE(CONTROL!$C$27, 0.0021, 0)</f>
        <v>43.714199999999998</v>
      </c>
      <c r="I372" s="10">
        <f>43.7121 * CHOOSE(CONTROL!$C$9, $D$9, 100%, $F$9) + CHOOSE(CONTROL!$C$27, 0.0021, 0)</f>
        <v>43.714199999999998</v>
      </c>
      <c r="J372" s="10">
        <f>43.7121 * CHOOSE(CONTROL!$C$9, $D$9, 100%, $F$9) + CHOOSE(CONTROL!$C$27, 0.0021, 0)</f>
        <v>43.714199999999998</v>
      </c>
      <c r="K372" s="10">
        <f>43.7121 * CHOOSE(CONTROL!$C$9, $D$9, 100%, $F$9) + CHOOSE(CONTROL!$C$27, 0.0021, 0)</f>
        <v>43.714199999999998</v>
      </c>
      <c r="L372" s="10"/>
    </row>
    <row r="373" spans="1:12" ht="15.75" x14ac:dyDescent="0.25">
      <c r="A373" s="14">
        <v>52290</v>
      </c>
      <c r="B373" s="10">
        <f>42.9606 * CHOOSE(CONTROL!$C$9, $D$9, 100%, $F$9) + CHOOSE(CONTROL!$C$27, 0.0021, 0)</f>
        <v>42.962699999999998</v>
      </c>
      <c r="C373" s="10">
        <f>42.5283 * CHOOSE(CONTROL!$C$9, $D$9, 100%, $F$9) + CHOOSE(CONTROL!$C$27, 0.0021, 0)</f>
        <v>42.5304</v>
      </c>
      <c r="D373" s="10">
        <f>42.5283 * CHOOSE(CONTROL!$C$9, $D$9, 100%, $F$9) + CHOOSE(CONTROL!$C$27, 0.0021, 0)</f>
        <v>42.5304</v>
      </c>
      <c r="E373" s="10">
        <f>42.3916 * CHOOSE(CONTROL!$C$9, $D$9, 100%, $F$9) + CHOOSE(CONTROL!$C$27, 0.0021, 0)</f>
        <v>42.393699999999995</v>
      </c>
      <c r="F373" s="10">
        <f>42.3916 * CHOOSE(CONTROL!$C$9, $D$9, 100%, $F$9) + CHOOSE(CONTROL!$C$27, 0.0021, 0)</f>
        <v>42.393699999999995</v>
      </c>
      <c r="G373" s="10">
        <f>42.663 * CHOOSE(CONTROL!$C$9, $D$9, 100%, $F$9) + CHOOSE(CONTROL!$C$27, 0.0021, 0)</f>
        <v>42.665099999999995</v>
      </c>
      <c r="H373" s="10">
        <f>42.5283 * CHOOSE(CONTROL!$C$9, $D$9, 100%, $F$9) + CHOOSE(CONTROL!$C$27, 0.0021, 0)</f>
        <v>42.5304</v>
      </c>
      <c r="I373" s="10">
        <f>42.5283 * CHOOSE(CONTROL!$C$9, $D$9, 100%, $F$9) + CHOOSE(CONTROL!$C$27, 0.0021, 0)</f>
        <v>42.5304</v>
      </c>
      <c r="J373" s="10">
        <f>42.5283 * CHOOSE(CONTROL!$C$9, $D$9, 100%, $F$9) + CHOOSE(CONTROL!$C$27, 0.0021, 0)</f>
        <v>42.5304</v>
      </c>
      <c r="K373" s="10">
        <f>42.5283 * CHOOSE(CONTROL!$C$9, $D$9, 100%, $F$9) + CHOOSE(CONTROL!$C$27, 0.0021, 0)</f>
        <v>42.5304</v>
      </c>
      <c r="L373" s="10"/>
    </row>
    <row r="374" spans="1:12" ht="15.75" x14ac:dyDescent="0.25">
      <c r="A374" s="14">
        <v>52321</v>
      </c>
      <c r="B374" s="10">
        <f>42.4719 * CHOOSE(CONTROL!$C$9, $D$9, 100%, $F$9) + CHOOSE(CONTROL!$C$27, 0.0021, 0)</f>
        <v>42.473999999999997</v>
      </c>
      <c r="C374" s="10">
        <f>42.0396 * CHOOSE(CONTROL!$C$9, $D$9, 100%, $F$9) + CHOOSE(CONTROL!$C$27, 0.0021, 0)</f>
        <v>42.041699999999999</v>
      </c>
      <c r="D374" s="10">
        <f>42.0396 * CHOOSE(CONTROL!$C$9, $D$9, 100%, $F$9) + CHOOSE(CONTROL!$C$27, 0.0021, 0)</f>
        <v>42.041699999999999</v>
      </c>
      <c r="E374" s="10">
        <f>41.903 * CHOOSE(CONTROL!$C$9, $D$9, 100%, $F$9) + CHOOSE(CONTROL!$C$27, 0.0021, 0)</f>
        <v>41.905099999999997</v>
      </c>
      <c r="F374" s="10">
        <f>41.903 * CHOOSE(CONTROL!$C$9, $D$9, 100%, $F$9) + CHOOSE(CONTROL!$C$27, 0.0021, 0)</f>
        <v>41.905099999999997</v>
      </c>
      <c r="G374" s="10">
        <f>42.1744 * CHOOSE(CONTROL!$C$9, $D$9, 100%, $F$9) + CHOOSE(CONTROL!$C$27, 0.0021, 0)</f>
        <v>42.176499999999997</v>
      </c>
      <c r="H374" s="10">
        <f>42.0396 * CHOOSE(CONTROL!$C$9, $D$9, 100%, $F$9) + CHOOSE(CONTROL!$C$27, 0.0021, 0)</f>
        <v>42.041699999999999</v>
      </c>
      <c r="I374" s="10">
        <f>42.0396 * CHOOSE(CONTROL!$C$9, $D$9, 100%, $F$9) + CHOOSE(CONTROL!$C$27, 0.0021, 0)</f>
        <v>42.041699999999999</v>
      </c>
      <c r="J374" s="10">
        <f>42.0396 * CHOOSE(CONTROL!$C$9, $D$9, 100%, $F$9) + CHOOSE(CONTROL!$C$27, 0.0021, 0)</f>
        <v>42.041699999999999</v>
      </c>
      <c r="K374" s="10">
        <f>42.0396 * CHOOSE(CONTROL!$C$9, $D$9, 100%, $F$9) + CHOOSE(CONTROL!$C$27, 0.0021, 0)</f>
        <v>42.041699999999999</v>
      </c>
      <c r="L374" s="10"/>
    </row>
    <row r="375" spans="1:12" ht="15.75" x14ac:dyDescent="0.25">
      <c r="A375" s="14">
        <v>52351</v>
      </c>
      <c r="B375" s="10">
        <f>41.8884 * CHOOSE(CONTROL!$C$9, $D$9, 100%, $F$9) + CHOOSE(CONTROL!$C$27, 0.0021, 0)</f>
        <v>41.890499999999996</v>
      </c>
      <c r="C375" s="10">
        <f>41.4562 * CHOOSE(CONTROL!$C$9, $D$9, 100%, $F$9) + CHOOSE(CONTROL!$C$27, 0.0021, 0)</f>
        <v>41.458300000000001</v>
      </c>
      <c r="D375" s="10">
        <f>41.4562 * CHOOSE(CONTROL!$C$9, $D$9, 100%, $F$9) + CHOOSE(CONTROL!$C$27, 0.0021, 0)</f>
        <v>41.458300000000001</v>
      </c>
      <c r="E375" s="10">
        <f>41.3195 * CHOOSE(CONTROL!$C$9, $D$9, 100%, $F$9) + CHOOSE(CONTROL!$C$27, 0.0021, 0)</f>
        <v>41.321599999999997</v>
      </c>
      <c r="F375" s="10">
        <f>41.3195 * CHOOSE(CONTROL!$C$9, $D$9, 100%, $F$9) + CHOOSE(CONTROL!$C$27, 0.0021, 0)</f>
        <v>41.321599999999997</v>
      </c>
      <c r="G375" s="10">
        <f>41.5909 * CHOOSE(CONTROL!$C$9, $D$9, 100%, $F$9) + CHOOSE(CONTROL!$C$27, 0.0021, 0)</f>
        <v>41.592999999999996</v>
      </c>
      <c r="H375" s="10">
        <f>41.4562 * CHOOSE(CONTROL!$C$9, $D$9, 100%, $F$9) + CHOOSE(CONTROL!$C$27, 0.0021, 0)</f>
        <v>41.458300000000001</v>
      </c>
      <c r="I375" s="10">
        <f>41.4562 * CHOOSE(CONTROL!$C$9, $D$9, 100%, $F$9) + CHOOSE(CONTROL!$C$27, 0.0021, 0)</f>
        <v>41.458300000000001</v>
      </c>
      <c r="J375" s="10">
        <f>41.4562 * CHOOSE(CONTROL!$C$9, $D$9, 100%, $F$9) + CHOOSE(CONTROL!$C$27, 0.0021, 0)</f>
        <v>41.458300000000001</v>
      </c>
      <c r="K375" s="10">
        <f>41.4562 * CHOOSE(CONTROL!$C$9, $D$9, 100%, $F$9) + CHOOSE(CONTROL!$C$27, 0.0021, 0)</f>
        <v>41.458300000000001</v>
      </c>
      <c r="L375" s="10"/>
    </row>
    <row r="376" spans="1:12" ht="15.75" x14ac:dyDescent="0.25">
      <c r="A376" s="14">
        <v>52382</v>
      </c>
      <c r="B376" s="10">
        <f>42.7199 * CHOOSE(CONTROL!$C$9, $D$9, 100%, $F$9) + CHOOSE(CONTROL!$C$27, 0.0021, 0)</f>
        <v>42.722000000000001</v>
      </c>
      <c r="C376" s="10">
        <f>42.2877 * CHOOSE(CONTROL!$C$9, $D$9, 100%, $F$9) + CHOOSE(CONTROL!$C$27, 0.0021, 0)</f>
        <v>42.2898</v>
      </c>
      <c r="D376" s="10">
        <f>42.2877 * CHOOSE(CONTROL!$C$9, $D$9, 100%, $F$9) + CHOOSE(CONTROL!$C$27, 0.0021, 0)</f>
        <v>42.2898</v>
      </c>
      <c r="E376" s="10">
        <f>42.151 * CHOOSE(CONTROL!$C$9, $D$9, 100%, $F$9) + CHOOSE(CONTROL!$C$27, 0.0021, 0)</f>
        <v>42.153100000000002</v>
      </c>
      <c r="F376" s="10">
        <f>42.151 * CHOOSE(CONTROL!$C$9, $D$9, 100%, $F$9) + CHOOSE(CONTROL!$C$27, 0.0021, 0)</f>
        <v>42.153100000000002</v>
      </c>
      <c r="G376" s="10">
        <f>42.4224 * CHOOSE(CONTROL!$C$9, $D$9, 100%, $F$9) + CHOOSE(CONTROL!$C$27, 0.0021, 0)</f>
        <v>42.424500000000002</v>
      </c>
      <c r="H376" s="10">
        <f>42.2877 * CHOOSE(CONTROL!$C$9, $D$9, 100%, $F$9) + CHOOSE(CONTROL!$C$27, 0.0021, 0)</f>
        <v>42.2898</v>
      </c>
      <c r="I376" s="10">
        <f>42.2877 * CHOOSE(CONTROL!$C$9, $D$9, 100%, $F$9) + CHOOSE(CONTROL!$C$27, 0.0021, 0)</f>
        <v>42.2898</v>
      </c>
      <c r="J376" s="10">
        <f>42.2877 * CHOOSE(CONTROL!$C$9, $D$9, 100%, $F$9) + CHOOSE(CONTROL!$C$27, 0.0021, 0)</f>
        <v>42.2898</v>
      </c>
      <c r="K376" s="10">
        <f>42.2877 * CHOOSE(CONTROL!$C$9, $D$9, 100%, $F$9) + CHOOSE(CONTROL!$C$27, 0.0021, 0)</f>
        <v>42.2898</v>
      </c>
      <c r="L376" s="10"/>
    </row>
    <row r="377" spans="1:12" ht="15.75" x14ac:dyDescent="0.25">
      <c r="A377" s="14">
        <v>52412</v>
      </c>
      <c r="B377" s="10">
        <f>43.218 * CHOOSE(CONTROL!$C$9, $D$9, 100%, $F$9) + CHOOSE(CONTROL!$C$27, 0.0021, 0)</f>
        <v>43.220100000000002</v>
      </c>
      <c r="C377" s="10">
        <f>42.7857 * CHOOSE(CONTROL!$C$9, $D$9, 100%, $F$9) + CHOOSE(CONTROL!$C$27, 0.0021, 0)</f>
        <v>42.787799999999997</v>
      </c>
      <c r="D377" s="10">
        <f>42.7857 * CHOOSE(CONTROL!$C$9, $D$9, 100%, $F$9) + CHOOSE(CONTROL!$C$27, 0.0021, 0)</f>
        <v>42.787799999999997</v>
      </c>
      <c r="E377" s="10">
        <f>42.6491 * CHOOSE(CONTROL!$C$9, $D$9, 100%, $F$9) + CHOOSE(CONTROL!$C$27, 0.0021, 0)</f>
        <v>42.651199999999996</v>
      </c>
      <c r="F377" s="10">
        <f>42.6491 * CHOOSE(CONTROL!$C$9, $D$9, 100%, $F$9) + CHOOSE(CONTROL!$C$27, 0.0021, 0)</f>
        <v>42.651199999999996</v>
      </c>
      <c r="G377" s="10">
        <f>42.9205 * CHOOSE(CONTROL!$C$9, $D$9, 100%, $F$9) + CHOOSE(CONTROL!$C$27, 0.0021, 0)</f>
        <v>42.922599999999996</v>
      </c>
      <c r="H377" s="10">
        <f>42.7857 * CHOOSE(CONTROL!$C$9, $D$9, 100%, $F$9) + CHOOSE(CONTROL!$C$27, 0.0021, 0)</f>
        <v>42.787799999999997</v>
      </c>
      <c r="I377" s="10">
        <f>42.7857 * CHOOSE(CONTROL!$C$9, $D$9, 100%, $F$9) + CHOOSE(CONTROL!$C$27, 0.0021, 0)</f>
        <v>42.787799999999997</v>
      </c>
      <c r="J377" s="10">
        <f>42.7857 * CHOOSE(CONTROL!$C$9, $D$9, 100%, $F$9) + CHOOSE(CONTROL!$C$27, 0.0021, 0)</f>
        <v>42.787799999999997</v>
      </c>
      <c r="K377" s="10">
        <f>42.7857 * CHOOSE(CONTROL!$C$9, $D$9, 100%, $F$9) + CHOOSE(CONTROL!$C$27, 0.0021, 0)</f>
        <v>42.787799999999997</v>
      </c>
      <c r="L377" s="10"/>
    </row>
    <row r="378" spans="1:12" ht="15.75" x14ac:dyDescent="0.25">
      <c r="A378" s="14">
        <v>52443</v>
      </c>
      <c r="B378" s="10">
        <f>44.0396 * CHOOSE(CONTROL!$C$9, $D$9, 100%, $F$9) + CHOOSE(CONTROL!$C$27, 0.0021, 0)</f>
        <v>44.041699999999999</v>
      </c>
      <c r="C378" s="10">
        <f>43.6074 * CHOOSE(CONTROL!$C$9, $D$9, 100%, $F$9) + CHOOSE(CONTROL!$C$27, 0.0021, 0)</f>
        <v>43.609499999999997</v>
      </c>
      <c r="D378" s="10">
        <f>43.6074 * CHOOSE(CONTROL!$C$9, $D$9, 100%, $F$9) + CHOOSE(CONTROL!$C$27, 0.0021, 0)</f>
        <v>43.609499999999997</v>
      </c>
      <c r="E378" s="10">
        <f>43.4707 * CHOOSE(CONTROL!$C$9, $D$9, 100%, $F$9) + CHOOSE(CONTROL!$C$27, 0.0021, 0)</f>
        <v>43.472799999999999</v>
      </c>
      <c r="F378" s="10">
        <f>43.4707 * CHOOSE(CONTROL!$C$9, $D$9, 100%, $F$9) + CHOOSE(CONTROL!$C$27, 0.0021, 0)</f>
        <v>43.472799999999999</v>
      </c>
      <c r="G378" s="10">
        <f>43.7421 * CHOOSE(CONTROL!$C$9, $D$9, 100%, $F$9) + CHOOSE(CONTROL!$C$27, 0.0021, 0)</f>
        <v>43.744199999999999</v>
      </c>
      <c r="H378" s="10">
        <f>43.6074 * CHOOSE(CONTROL!$C$9, $D$9, 100%, $F$9) + CHOOSE(CONTROL!$C$27, 0.0021, 0)</f>
        <v>43.609499999999997</v>
      </c>
      <c r="I378" s="10">
        <f>43.6074 * CHOOSE(CONTROL!$C$9, $D$9, 100%, $F$9) + CHOOSE(CONTROL!$C$27, 0.0021, 0)</f>
        <v>43.609499999999997</v>
      </c>
      <c r="J378" s="10">
        <f>43.6074 * CHOOSE(CONTROL!$C$9, $D$9, 100%, $F$9) + CHOOSE(CONTROL!$C$27, 0.0021, 0)</f>
        <v>43.609499999999997</v>
      </c>
      <c r="K378" s="10">
        <f>43.6074 * CHOOSE(CONTROL!$C$9, $D$9, 100%, $F$9) + CHOOSE(CONTROL!$C$27, 0.0021, 0)</f>
        <v>43.609499999999997</v>
      </c>
      <c r="L378" s="10"/>
    </row>
    <row r="379" spans="1:12" ht="15.75" x14ac:dyDescent="0.25">
      <c r="A379" s="14">
        <v>52474</v>
      </c>
      <c r="B379" s="10">
        <f>44.2904 * CHOOSE(CONTROL!$C$9, $D$9, 100%, $F$9) + CHOOSE(CONTROL!$C$27, 0.0021, 0)</f>
        <v>44.292499999999997</v>
      </c>
      <c r="C379" s="10">
        <f>43.8581 * CHOOSE(CONTROL!$C$9, $D$9, 100%, $F$9) + CHOOSE(CONTROL!$C$27, 0.0021, 0)</f>
        <v>43.860199999999999</v>
      </c>
      <c r="D379" s="10">
        <f>43.8581 * CHOOSE(CONTROL!$C$9, $D$9, 100%, $F$9) + CHOOSE(CONTROL!$C$27, 0.0021, 0)</f>
        <v>43.860199999999999</v>
      </c>
      <c r="E379" s="10">
        <f>43.7215 * CHOOSE(CONTROL!$C$9, $D$9, 100%, $F$9) + CHOOSE(CONTROL!$C$27, 0.0021, 0)</f>
        <v>43.723599999999998</v>
      </c>
      <c r="F379" s="10">
        <f>43.7215 * CHOOSE(CONTROL!$C$9, $D$9, 100%, $F$9) + CHOOSE(CONTROL!$C$27, 0.0021, 0)</f>
        <v>43.723599999999998</v>
      </c>
      <c r="G379" s="10">
        <f>43.9929 * CHOOSE(CONTROL!$C$9, $D$9, 100%, $F$9) + CHOOSE(CONTROL!$C$27, 0.0021, 0)</f>
        <v>43.994999999999997</v>
      </c>
      <c r="H379" s="10">
        <f>43.8581 * CHOOSE(CONTROL!$C$9, $D$9, 100%, $F$9) + CHOOSE(CONTROL!$C$27, 0.0021, 0)</f>
        <v>43.860199999999999</v>
      </c>
      <c r="I379" s="10">
        <f>43.8581 * CHOOSE(CONTROL!$C$9, $D$9, 100%, $F$9) + CHOOSE(CONTROL!$C$27, 0.0021, 0)</f>
        <v>43.860199999999999</v>
      </c>
      <c r="J379" s="10">
        <f>43.8581 * CHOOSE(CONTROL!$C$9, $D$9, 100%, $F$9) + CHOOSE(CONTROL!$C$27, 0.0021, 0)</f>
        <v>43.860199999999999</v>
      </c>
      <c r="K379" s="10">
        <f>43.8581 * CHOOSE(CONTROL!$C$9, $D$9, 100%, $F$9) + CHOOSE(CONTROL!$C$27, 0.0021, 0)</f>
        <v>43.860199999999999</v>
      </c>
      <c r="L379" s="10"/>
    </row>
    <row r="380" spans="1:12" ht="15.75" x14ac:dyDescent="0.25">
      <c r="A380" s="14">
        <v>52504</v>
      </c>
      <c r="B380" s="10">
        <f>45.1444 * CHOOSE(CONTROL!$C$9, $D$9, 100%, $F$9) + CHOOSE(CONTROL!$C$27, 0.0021, 0)</f>
        <v>45.146499999999996</v>
      </c>
      <c r="C380" s="10">
        <f>44.7122 * CHOOSE(CONTROL!$C$9, $D$9, 100%, $F$9) + CHOOSE(CONTROL!$C$27, 0.0021, 0)</f>
        <v>44.714300000000001</v>
      </c>
      <c r="D380" s="10">
        <f>44.7122 * CHOOSE(CONTROL!$C$9, $D$9, 100%, $F$9) + CHOOSE(CONTROL!$C$27, 0.0021, 0)</f>
        <v>44.714300000000001</v>
      </c>
      <c r="E380" s="10">
        <f>44.5755 * CHOOSE(CONTROL!$C$9, $D$9, 100%, $F$9) + CHOOSE(CONTROL!$C$27, 0.0021, 0)</f>
        <v>44.577599999999997</v>
      </c>
      <c r="F380" s="10">
        <f>44.5755 * CHOOSE(CONTROL!$C$9, $D$9, 100%, $F$9) + CHOOSE(CONTROL!$C$27, 0.0021, 0)</f>
        <v>44.577599999999997</v>
      </c>
      <c r="G380" s="10">
        <f>44.8469 * CHOOSE(CONTROL!$C$9, $D$9, 100%, $F$9) + CHOOSE(CONTROL!$C$27, 0.0021, 0)</f>
        <v>44.848999999999997</v>
      </c>
      <c r="H380" s="10">
        <f>44.7122 * CHOOSE(CONTROL!$C$9, $D$9, 100%, $F$9) + CHOOSE(CONTROL!$C$27, 0.0021, 0)</f>
        <v>44.714300000000001</v>
      </c>
      <c r="I380" s="10">
        <f>44.7122 * CHOOSE(CONTROL!$C$9, $D$9, 100%, $F$9) + CHOOSE(CONTROL!$C$27, 0.0021, 0)</f>
        <v>44.714300000000001</v>
      </c>
      <c r="J380" s="10">
        <f>44.7122 * CHOOSE(CONTROL!$C$9, $D$9, 100%, $F$9) + CHOOSE(CONTROL!$C$27, 0.0021, 0)</f>
        <v>44.714300000000001</v>
      </c>
      <c r="K380" s="10">
        <f>44.7122 * CHOOSE(CONTROL!$C$9, $D$9, 100%, $F$9) + CHOOSE(CONTROL!$C$27, 0.0021, 0)</f>
        <v>44.714300000000001</v>
      </c>
      <c r="L380" s="10"/>
    </row>
    <row r="381" spans="1:12" ht="15.75" x14ac:dyDescent="0.25">
      <c r="A381" s="14">
        <v>52535</v>
      </c>
      <c r="B381" s="10">
        <f>46.2255 * CHOOSE(CONTROL!$C$9, $D$9, 100%, $F$9) + CHOOSE(CONTROL!$C$27, 0.0021, 0)</f>
        <v>46.227599999999995</v>
      </c>
      <c r="C381" s="10">
        <f>45.7932 * CHOOSE(CONTROL!$C$9, $D$9, 100%, $F$9) + CHOOSE(CONTROL!$C$27, 0.0021, 0)</f>
        <v>45.795299999999997</v>
      </c>
      <c r="D381" s="10">
        <f>45.7932 * CHOOSE(CONTROL!$C$9, $D$9, 100%, $F$9) + CHOOSE(CONTROL!$C$27, 0.0021, 0)</f>
        <v>45.795299999999997</v>
      </c>
      <c r="E381" s="10">
        <f>45.6566 * CHOOSE(CONTROL!$C$9, $D$9, 100%, $F$9) + CHOOSE(CONTROL!$C$27, 0.0021, 0)</f>
        <v>45.658699999999996</v>
      </c>
      <c r="F381" s="10">
        <f>45.6566 * CHOOSE(CONTROL!$C$9, $D$9, 100%, $F$9) + CHOOSE(CONTROL!$C$27, 0.0021, 0)</f>
        <v>45.658699999999996</v>
      </c>
      <c r="G381" s="10">
        <f>45.9279 * CHOOSE(CONTROL!$C$9, $D$9, 100%, $F$9) + CHOOSE(CONTROL!$C$27, 0.0021, 0)</f>
        <v>45.93</v>
      </c>
      <c r="H381" s="10">
        <f>45.7932 * CHOOSE(CONTROL!$C$9, $D$9, 100%, $F$9) + CHOOSE(CONTROL!$C$27, 0.0021, 0)</f>
        <v>45.795299999999997</v>
      </c>
      <c r="I381" s="10">
        <f>45.7932 * CHOOSE(CONTROL!$C$9, $D$9, 100%, $F$9) + CHOOSE(CONTROL!$C$27, 0.0021, 0)</f>
        <v>45.795299999999997</v>
      </c>
      <c r="J381" s="10">
        <f>45.7932 * CHOOSE(CONTROL!$C$9, $D$9, 100%, $F$9) + CHOOSE(CONTROL!$C$27, 0.0021, 0)</f>
        <v>45.795299999999997</v>
      </c>
      <c r="K381" s="10">
        <f>45.7932 * CHOOSE(CONTROL!$C$9, $D$9, 100%, $F$9) + CHOOSE(CONTROL!$C$27, 0.0021, 0)</f>
        <v>45.795299999999997</v>
      </c>
      <c r="L381" s="10"/>
    </row>
    <row r="382" spans="1:12" ht="15.75" x14ac:dyDescent="0.25">
      <c r="A382" s="14">
        <v>52565</v>
      </c>
      <c r="B382" s="10">
        <f>46.3269 * CHOOSE(CONTROL!$C$9, $D$9, 100%, $F$9) + CHOOSE(CONTROL!$C$27, 0.0021, 0)</f>
        <v>46.329000000000001</v>
      </c>
      <c r="C382" s="10">
        <f>45.8947 * CHOOSE(CONTROL!$C$9, $D$9, 100%, $F$9) + CHOOSE(CONTROL!$C$27, 0.0021, 0)</f>
        <v>45.896799999999999</v>
      </c>
      <c r="D382" s="10">
        <f>45.8947 * CHOOSE(CONTROL!$C$9, $D$9, 100%, $F$9) + CHOOSE(CONTROL!$C$27, 0.0021, 0)</f>
        <v>45.896799999999999</v>
      </c>
      <c r="E382" s="10">
        <f>45.758 * CHOOSE(CONTROL!$C$9, $D$9, 100%, $F$9) + CHOOSE(CONTROL!$C$27, 0.0021, 0)</f>
        <v>45.760100000000001</v>
      </c>
      <c r="F382" s="10">
        <f>45.758 * CHOOSE(CONTROL!$C$9, $D$9, 100%, $F$9) + CHOOSE(CONTROL!$C$27, 0.0021, 0)</f>
        <v>45.760100000000001</v>
      </c>
      <c r="G382" s="10">
        <f>46.0294 * CHOOSE(CONTROL!$C$9, $D$9, 100%, $F$9) + CHOOSE(CONTROL!$C$27, 0.0021, 0)</f>
        <v>46.031500000000001</v>
      </c>
      <c r="H382" s="10">
        <f>45.8947 * CHOOSE(CONTROL!$C$9, $D$9, 100%, $F$9) + CHOOSE(CONTROL!$C$27, 0.0021, 0)</f>
        <v>45.896799999999999</v>
      </c>
      <c r="I382" s="10">
        <f>45.8947 * CHOOSE(CONTROL!$C$9, $D$9, 100%, $F$9) + CHOOSE(CONTROL!$C$27, 0.0021, 0)</f>
        <v>45.896799999999999</v>
      </c>
      <c r="J382" s="10">
        <f>45.8947 * CHOOSE(CONTROL!$C$9, $D$9, 100%, $F$9) + CHOOSE(CONTROL!$C$27, 0.0021, 0)</f>
        <v>45.896799999999999</v>
      </c>
      <c r="K382" s="10">
        <f>45.8947 * CHOOSE(CONTROL!$C$9, $D$9, 100%, $F$9) + CHOOSE(CONTROL!$C$27, 0.0021, 0)</f>
        <v>45.896799999999999</v>
      </c>
      <c r="L382" s="10"/>
    </row>
    <row r="383" spans="1:12" ht="15.75" x14ac:dyDescent="0.25">
      <c r="A383" s="14">
        <v>52596</v>
      </c>
      <c r="B383" s="10">
        <f>45.4635 * CHOOSE(CONTROL!$C$9, $D$9, 100%, $F$9) + CHOOSE(CONTROL!$C$27, 0.0021, 0)</f>
        <v>45.465600000000002</v>
      </c>
      <c r="C383" s="10">
        <f>45.0313 * CHOOSE(CONTROL!$C$9, $D$9, 100%, $F$9) + CHOOSE(CONTROL!$C$27, 0.0021, 0)</f>
        <v>45.0334</v>
      </c>
      <c r="D383" s="10">
        <f>45.0313 * CHOOSE(CONTROL!$C$9, $D$9, 100%, $F$9) + CHOOSE(CONTROL!$C$27, 0.0021, 0)</f>
        <v>45.0334</v>
      </c>
      <c r="E383" s="10">
        <f>44.8946 * CHOOSE(CONTROL!$C$9, $D$9, 100%, $F$9) + CHOOSE(CONTROL!$C$27, 0.0021, 0)</f>
        <v>44.896699999999996</v>
      </c>
      <c r="F383" s="10">
        <f>44.8946 * CHOOSE(CONTROL!$C$9, $D$9, 100%, $F$9) + CHOOSE(CONTROL!$C$27, 0.0021, 0)</f>
        <v>44.896699999999996</v>
      </c>
      <c r="G383" s="10">
        <f>45.166 * CHOOSE(CONTROL!$C$9, $D$9, 100%, $F$9) + CHOOSE(CONTROL!$C$27, 0.0021, 0)</f>
        <v>45.168099999999995</v>
      </c>
      <c r="H383" s="10">
        <f>45.0313 * CHOOSE(CONTROL!$C$9, $D$9, 100%, $F$9) + CHOOSE(CONTROL!$C$27, 0.0021, 0)</f>
        <v>45.0334</v>
      </c>
      <c r="I383" s="10">
        <f>45.0313 * CHOOSE(CONTROL!$C$9, $D$9, 100%, $F$9) + CHOOSE(CONTROL!$C$27, 0.0021, 0)</f>
        <v>45.0334</v>
      </c>
      <c r="J383" s="10">
        <f>45.0313 * CHOOSE(CONTROL!$C$9, $D$9, 100%, $F$9) + CHOOSE(CONTROL!$C$27, 0.0021, 0)</f>
        <v>45.0334</v>
      </c>
      <c r="K383" s="10">
        <f>45.0313 * CHOOSE(CONTROL!$C$9, $D$9, 100%, $F$9) + CHOOSE(CONTROL!$C$27, 0.0021, 0)</f>
        <v>45.0334</v>
      </c>
      <c r="L383" s="10"/>
    </row>
    <row r="384" spans="1:12" ht="15.75" x14ac:dyDescent="0.25">
      <c r="A384" s="14">
        <v>52627</v>
      </c>
      <c r="B384" s="10">
        <f>44.8979 * CHOOSE(CONTROL!$C$9, $D$9, 100%, $F$9) + CHOOSE(CONTROL!$C$27, 0.0021, 0)</f>
        <v>44.9</v>
      </c>
      <c r="C384" s="10">
        <f>44.4656 * CHOOSE(CONTROL!$C$9, $D$9, 100%, $F$9) + CHOOSE(CONTROL!$C$27, 0.0021, 0)</f>
        <v>44.467700000000001</v>
      </c>
      <c r="D384" s="10">
        <f>44.4656 * CHOOSE(CONTROL!$C$9, $D$9, 100%, $F$9) + CHOOSE(CONTROL!$C$27, 0.0021, 0)</f>
        <v>44.467700000000001</v>
      </c>
      <c r="E384" s="10">
        <f>44.329 * CHOOSE(CONTROL!$C$9, $D$9, 100%, $F$9) + CHOOSE(CONTROL!$C$27, 0.0021, 0)</f>
        <v>44.331099999999999</v>
      </c>
      <c r="F384" s="10">
        <f>44.329 * CHOOSE(CONTROL!$C$9, $D$9, 100%, $F$9) + CHOOSE(CONTROL!$C$27, 0.0021, 0)</f>
        <v>44.331099999999999</v>
      </c>
      <c r="G384" s="10">
        <f>44.6004 * CHOOSE(CONTROL!$C$9, $D$9, 100%, $F$9) + CHOOSE(CONTROL!$C$27, 0.0021, 0)</f>
        <v>44.602499999999999</v>
      </c>
      <c r="H384" s="10">
        <f>44.4656 * CHOOSE(CONTROL!$C$9, $D$9, 100%, $F$9) + CHOOSE(CONTROL!$C$27, 0.0021, 0)</f>
        <v>44.467700000000001</v>
      </c>
      <c r="I384" s="10">
        <f>44.4656 * CHOOSE(CONTROL!$C$9, $D$9, 100%, $F$9) + CHOOSE(CONTROL!$C$27, 0.0021, 0)</f>
        <v>44.467700000000001</v>
      </c>
      <c r="J384" s="10">
        <f>44.4656 * CHOOSE(CONTROL!$C$9, $D$9, 100%, $F$9) + CHOOSE(CONTROL!$C$27, 0.0021, 0)</f>
        <v>44.467700000000001</v>
      </c>
      <c r="K384" s="10">
        <f>44.4656 * CHOOSE(CONTROL!$C$9, $D$9, 100%, $F$9) + CHOOSE(CONTROL!$C$27, 0.0021, 0)</f>
        <v>44.467700000000001</v>
      </c>
      <c r="L384" s="10"/>
    </row>
    <row r="385" spans="1:12" ht="15.75" x14ac:dyDescent="0.25">
      <c r="A385" s="14">
        <v>52655</v>
      </c>
      <c r="B385" s="10">
        <f>43.6928 * CHOOSE(CONTROL!$C$9, $D$9, 100%, $F$9) + CHOOSE(CONTROL!$C$27, 0.0021, 0)</f>
        <v>43.694899999999997</v>
      </c>
      <c r="C385" s="10">
        <f>43.2605 * CHOOSE(CONTROL!$C$9, $D$9, 100%, $F$9) + CHOOSE(CONTROL!$C$27, 0.0021, 0)</f>
        <v>43.262599999999999</v>
      </c>
      <c r="D385" s="10">
        <f>43.2605 * CHOOSE(CONTROL!$C$9, $D$9, 100%, $F$9) + CHOOSE(CONTROL!$C$27, 0.0021, 0)</f>
        <v>43.262599999999999</v>
      </c>
      <c r="E385" s="10">
        <f>43.1239 * CHOOSE(CONTROL!$C$9, $D$9, 100%, $F$9) + CHOOSE(CONTROL!$C$27, 0.0021, 0)</f>
        <v>43.125999999999998</v>
      </c>
      <c r="F385" s="10">
        <f>43.1239 * CHOOSE(CONTROL!$C$9, $D$9, 100%, $F$9) + CHOOSE(CONTROL!$C$27, 0.0021, 0)</f>
        <v>43.125999999999998</v>
      </c>
      <c r="G385" s="10">
        <f>43.3952 * CHOOSE(CONTROL!$C$9, $D$9, 100%, $F$9) + CHOOSE(CONTROL!$C$27, 0.0021, 0)</f>
        <v>43.397300000000001</v>
      </c>
      <c r="H385" s="10">
        <f>43.2605 * CHOOSE(CONTROL!$C$9, $D$9, 100%, $F$9) + CHOOSE(CONTROL!$C$27, 0.0021, 0)</f>
        <v>43.262599999999999</v>
      </c>
      <c r="I385" s="10">
        <f>43.2605 * CHOOSE(CONTROL!$C$9, $D$9, 100%, $F$9) + CHOOSE(CONTROL!$C$27, 0.0021, 0)</f>
        <v>43.262599999999999</v>
      </c>
      <c r="J385" s="10">
        <f>43.2605 * CHOOSE(CONTROL!$C$9, $D$9, 100%, $F$9) + CHOOSE(CONTROL!$C$27, 0.0021, 0)</f>
        <v>43.262599999999999</v>
      </c>
      <c r="K385" s="10">
        <f>43.2605 * CHOOSE(CONTROL!$C$9, $D$9, 100%, $F$9) + CHOOSE(CONTROL!$C$27, 0.0021, 0)</f>
        <v>43.262599999999999</v>
      </c>
      <c r="L385" s="10"/>
    </row>
    <row r="386" spans="1:12" ht="15.75" x14ac:dyDescent="0.25">
      <c r="A386" s="14">
        <v>52687</v>
      </c>
      <c r="B386" s="10">
        <f>43.1953 * CHOOSE(CONTROL!$C$9, $D$9, 100%, $F$9) + CHOOSE(CONTROL!$C$27, 0.0021, 0)</f>
        <v>43.197400000000002</v>
      </c>
      <c r="C386" s="10">
        <f>42.7631 * CHOOSE(CONTROL!$C$9, $D$9, 100%, $F$9) + CHOOSE(CONTROL!$C$27, 0.0021, 0)</f>
        <v>42.7652</v>
      </c>
      <c r="D386" s="10">
        <f>42.7631 * CHOOSE(CONTROL!$C$9, $D$9, 100%, $F$9) + CHOOSE(CONTROL!$C$27, 0.0021, 0)</f>
        <v>42.7652</v>
      </c>
      <c r="E386" s="10">
        <f>42.6264 * CHOOSE(CONTROL!$C$9, $D$9, 100%, $F$9) + CHOOSE(CONTROL!$C$27, 0.0021, 0)</f>
        <v>42.628499999999995</v>
      </c>
      <c r="F386" s="10">
        <f>42.6264 * CHOOSE(CONTROL!$C$9, $D$9, 100%, $F$9) + CHOOSE(CONTROL!$C$27, 0.0021, 0)</f>
        <v>42.628499999999995</v>
      </c>
      <c r="G386" s="10">
        <f>42.8978 * CHOOSE(CONTROL!$C$9, $D$9, 100%, $F$9) + CHOOSE(CONTROL!$C$27, 0.0021, 0)</f>
        <v>42.899899999999995</v>
      </c>
      <c r="H386" s="10">
        <f>42.7631 * CHOOSE(CONTROL!$C$9, $D$9, 100%, $F$9) + CHOOSE(CONTROL!$C$27, 0.0021, 0)</f>
        <v>42.7652</v>
      </c>
      <c r="I386" s="10">
        <f>42.7631 * CHOOSE(CONTROL!$C$9, $D$9, 100%, $F$9) + CHOOSE(CONTROL!$C$27, 0.0021, 0)</f>
        <v>42.7652</v>
      </c>
      <c r="J386" s="10">
        <f>42.7631 * CHOOSE(CONTROL!$C$9, $D$9, 100%, $F$9) + CHOOSE(CONTROL!$C$27, 0.0021, 0)</f>
        <v>42.7652</v>
      </c>
      <c r="K386" s="10">
        <f>42.7631 * CHOOSE(CONTROL!$C$9, $D$9, 100%, $F$9) + CHOOSE(CONTROL!$C$27, 0.0021, 0)</f>
        <v>42.7652</v>
      </c>
      <c r="L386" s="10"/>
    </row>
    <row r="387" spans="1:12" ht="15.75" x14ac:dyDescent="0.25">
      <c r="A387" s="14">
        <v>52717</v>
      </c>
      <c r="B387" s="10">
        <f>42.6013 * CHOOSE(CONTROL!$C$9, $D$9, 100%, $F$9) + CHOOSE(CONTROL!$C$27, 0.0021, 0)</f>
        <v>42.603400000000001</v>
      </c>
      <c r="C387" s="10">
        <f>42.1691 * CHOOSE(CONTROL!$C$9, $D$9, 100%, $F$9) + CHOOSE(CONTROL!$C$27, 0.0021, 0)</f>
        <v>42.171199999999999</v>
      </c>
      <c r="D387" s="10">
        <f>42.1691 * CHOOSE(CONTROL!$C$9, $D$9, 100%, $F$9) + CHOOSE(CONTROL!$C$27, 0.0021, 0)</f>
        <v>42.171199999999999</v>
      </c>
      <c r="E387" s="10">
        <f>42.0324 * CHOOSE(CONTROL!$C$9, $D$9, 100%, $F$9) + CHOOSE(CONTROL!$C$27, 0.0021, 0)</f>
        <v>42.034500000000001</v>
      </c>
      <c r="F387" s="10">
        <f>42.0324 * CHOOSE(CONTROL!$C$9, $D$9, 100%, $F$9) + CHOOSE(CONTROL!$C$27, 0.0021, 0)</f>
        <v>42.034500000000001</v>
      </c>
      <c r="G387" s="10">
        <f>42.3038 * CHOOSE(CONTROL!$C$9, $D$9, 100%, $F$9) + CHOOSE(CONTROL!$C$27, 0.0021, 0)</f>
        <v>42.305900000000001</v>
      </c>
      <c r="H387" s="10">
        <f>42.1691 * CHOOSE(CONTROL!$C$9, $D$9, 100%, $F$9) + CHOOSE(CONTROL!$C$27, 0.0021, 0)</f>
        <v>42.171199999999999</v>
      </c>
      <c r="I387" s="10">
        <f>42.1691 * CHOOSE(CONTROL!$C$9, $D$9, 100%, $F$9) + CHOOSE(CONTROL!$C$27, 0.0021, 0)</f>
        <v>42.171199999999999</v>
      </c>
      <c r="J387" s="10">
        <f>42.1691 * CHOOSE(CONTROL!$C$9, $D$9, 100%, $F$9) + CHOOSE(CONTROL!$C$27, 0.0021, 0)</f>
        <v>42.171199999999999</v>
      </c>
      <c r="K387" s="10">
        <f>42.1691 * CHOOSE(CONTROL!$C$9, $D$9, 100%, $F$9) + CHOOSE(CONTROL!$C$27, 0.0021, 0)</f>
        <v>42.171199999999999</v>
      </c>
      <c r="L387" s="10"/>
    </row>
    <row r="388" spans="1:12" ht="15.75" x14ac:dyDescent="0.25">
      <c r="A388" s="14">
        <v>52748</v>
      </c>
      <c r="B388" s="10">
        <f>43.4478 * CHOOSE(CONTROL!$C$9, $D$9, 100%, $F$9) + CHOOSE(CONTROL!$C$27, 0.0021, 0)</f>
        <v>43.4499</v>
      </c>
      <c r="C388" s="10">
        <f>43.0156 * CHOOSE(CONTROL!$C$9, $D$9, 100%, $F$9) + CHOOSE(CONTROL!$C$27, 0.0021, 0)</f>
        <v>43.017699999999998</v>
      </c>
      <c r="D388" s="10">
        <f>43.0156 * CHOOSE(CONTROL!$C$9, $D$9, 100%, $F$9) + CHOOSE(CONTROL!$C$27, 0.0021, 0)</f>
        <v>43.017699999999998</v>
      </c>
      <c r="E388" s="10">
        <f>42.8789 * CHOOSE(CONTROL!$C$9, $D$9, 100%, $F$9) + CHOOSE(CONTROL!$C$27, 0.0021, 0)</f>
        <v>42.881</v>
      </c>
      <c r="F388" s="10">
        <f>42.8789 * CHOOSE(CONTROL!$C$9, $D$9, 100%, $F$9) + CHOOSE(CONTROL!$C$27, 0.0021, 0)</f>
        <v>42.881</v>
      </c>
      <c r="G388" s="10">
        <f>43.1503 * CHOOSE(CONTROL!$C$9, $D$9, 100%, $F$9) + CHOOSE(CONTROL!$C$27, 0.0021, 0)</f>
        <v>43.1524</v>
      </c>
      <c r="H388" s="10">
        <f>43.0156 * CHOOSE(CONTROL!$C$9, $D$9, 100%, $F$9) + CHOOSE(CONTROL!$C$27, 0.0021, 0)</f>
        <v>43.017699999999998</v>
      </c>
      <c r="I388" s="10">
        <f>43.0156 * CHOOSE(CONTROL!$C$9, $D$9, 100%, $F$9) + CHOOSE(CONTROL!$C$27, 0.0021, 0)</f>
        <v>43.017699999999998</v>
      </c>
      <c r="J388" s="10">
        <f>43.0156 * CHOOSE(CONTROL!$C$9, $D$9, 100%, $F$9) + CHOOSE(CONTROL!$C$27, 0.0021, 0)</f>
        <v>43.017699999999998</v>
      </c>
      <c r="K388" s="10">
        <f>43.0156 * CHOOSE(CONTROL!$C$9, $D$9, 100%, $F$9) + CHOOSE(CONTROL!$C$27, 0.0021, 0)</f>
        <v>43.017699999999998</v>
      </c>
      <c r="L388" s="10"/>
    </row>
    <row r="389" spans="1:12" ht="15.75" x14ac:dyDescent="0.25">
      <c r="A389" s="14">
        <v>52778</v>
      </c>
      <c r="B389" s="10">
        <f>43.9549 * CHOOSE(CONTROL!$C$9, $D$9, 100%, $F$9) + CHOOSE(CONTROL!$C$27, 0.0021, 0)</f>
        <v>43.957000000000001</v>
      </c>
      <c r="C389" s="10">
        <f>43.5226 * CHOOSE(CONTROL!$C$9, $D$9, 100%, $F$9) + CHOOSE(CONTROL!$C$27, 0.0021, 0)</f>
        <v>43.524699999999996</v>
      </c>
      <c r="D389" s="10">
        <f>43.5226 * CHOOSE(CONTROL!$C$9, $D$9, 100%, $F$9) + CHOOSE(CONTROL!$C$27, 0.0021, 0)</f>
        <v>43.524699999999996</v>
      </c>
      <c r="E389" s="10">
        <f>43.3859 * CHOOSE(CONTROL!$C$9, $D$9, 100%, $F$9) + CHOOSE(CONTROL!$C$27, 0.0021, 0)</f>
        <v>43.387999999999998</v>
      </c>
      <c r="F389" s="10">
        <f>43.3859 * CHOOSE(CONTROL!$C$9, $D$9, 100%, $F$9) + CHOOSE(CONTROL!$C$27, 0.0021, 0)</f>
        <v>43.387999999999998</v>
      </c>
      <c r="G389" s="10">
        <f>43.6573 * CHOOSE(CONTROL!$C$9, $D$9, 100%, $F$9) + CHOOSE(CONTROL!$C$27, 0.0021, 0)</f>
        <v>43.659399999999998</v>
      </c>
      <c r="H389" s="10">
        <f>43.5226 * CHOOSE(CONTROL!$C$9, $D$9, 100%, $F$9) + CHOOSE(CONTROL!$C$27, 0.0021, 0)</f>
        <v>43.524699999999996</v>
      </c>
      <c r="I389" s="10">
        <f>43.5226 * CHOOSE(CONTROL!$C$9, $D$9, 100%, $F$9) + CHOOSE(CONTROL!$C$27, 0.0021, 0)</f>
        <v>43.524699999999996</v>
      </c>
      <c r="J389" s="10">
        <f>43.5226 * CHOOSE(CONTROL!$C$9, $D$9, 100%, $F$9) + CHOOSE(CONTROL!$C$27, 0.0021, 0)</f>
        <v>43.524699999999996</v>
      </c>
      <c r="K389" s="10">
        <f>43.5226 * CHOOSE(CONTROL!$C$9, $D$9, 100%, $F$9) + CHOOSE(CONTROL!$C$27, 0.0021, 0)</f>
        <v>43.524699999999996</v>
      </c>
      <c r="L389" s="10"/>
    </row>
    <row r="390" spans="1:12" ht="15.75" x14ac:dyDescent="0.25">
      <c r="A390" s="14">
        <v>52809</v>
      </c>
      <c r="B390" s="10">
        <f>44.7913 * CHOOSE(CONTROL!$C$9, $D$9, 100%, $F$9) + CHOOSE(CONTROL!$C$27, 0.0021, 0)</f>
        <v>44.793399999999998</v>
      </c>
      <c r="C390" s="10">
        <f>44.359 * CHOOSE(CONTROL!$C$9, $D$9, 100%, $F$9) + CHOOSE(CONTROL!$C$27, 0.0021, 0)</f>
        <v>44.3611</v>
      </c>
      <c r="D390" s="10">
        <f>44.359 * CHOOSE(CONTROL!$C$9, $D$9, 100%, $F$9) + CHOOSE(CONTROL!$C$27, 0.0021, 0)</f>
        <v>44.3611</v>
      </c>
      <c r="E390" s="10">
        <f>44.2223 * CHOOSE(CONTROL!$C$9, $D$9, 100%, $F$9) + CHOOSE(CONTROL!$C$27, 0.0021, 0)</f>
        <v>44.224399999999996</v>
      </c>
      <c r="F390" s="10">
        <f>44.2223 * CHOOSE(CONTROL!$C$9, $D$9, 100%, $F$9) + CHOOSE(CONTROL!$C$27, 0.0021, 0)</f>
        <v>44.224399999999996</v>
      </c>
      <c r="G390" s="10">
        <f>44.4937 * CHOOSE(CONTROL!$C$9, $D$9, 100%, $F$9) + CHOOSE(CONTROL!$C$27, 0.0021, 0)</f>
        <v>44.495799999999996</v>
      </c>
      <c r="H390" s="10">
        <f>44.359 * CHOOSE(CONTROL!$C$9, $D$9, 100%, $F$9) + CHOOSE(CONTROL!$C$27, 0.0021, 0)</f>
        <v>44.3611</v>
      </c>
      <c r="I390" s="10">
        <f>44.359 * CHOOSE(CONTROL!$C$9, $D$9, 100%, $F$9) + CHOOSE(CONTROL!$C$27, 0.0021, 0)</f>
        <v>44.3611</v>
      </c>
      <c r="J390" s="10">
        <f>44.359 * CHOOSE(CONTROL!$C$9, $D$9, 100%, $F$9) + CHOOSE(CONTROL!$C$27, 0.0021, 0)</f>
        <v>44.3611</v>
      </c>
      <c r="K390" s="10">
        <f>44.359 * CHOOSE(CONTROL!$C$9, $D$9, 100%, $F$9) + CHOOSE(CONTROL!$C$27, 0.0021, 0)</f>
        <v>44.3611</v>
      </c>
      <c r="L390" s="10"/>
    </row>
    <row r="391" spans="1:12" ht="15.75" x14ac:dyDescent="0.25">
      <c r="A391" s="14">
        <v>52840</v>
      </c>
      <c r="B391" s="10">
        <f>45.0465 * CHOOSE(CONTROL!$C$9, $D$9, 100%, $F$9) + CHOOSE(CONTROL!$C$27, 0.0021, 0)</f>
        <v>45.0486</v>
      </c>
      <c r="C391" s="10">
        <f>44.6143 * CHOOSE(CONTROL!$C$9, $D$9, 100%, $F$9) + CHOOSE(CONTROL!$C$27, 0.0021, 0)</f>
        <v>44.616399999999999</v>
      </c>
      <c r="D391" s="10">
        <f>44.6143 * CHOOSE(CONTROL!$C$9, $D$9, 100%, $F$9) + CHOOSE(CONTROL!$C$27, 0.0021, 0)</f>
        <v>44.616399999999999</v>
      </c>
      <c r="E391" s="10">
        <f>44.4776 * CHOOSE(CONTROL!$C$9, $D$9, 100%, $F$9) + CHOOSE(CONTROL!$C$27, 0.0021, 0)</f>
        <v>44.479700000000001</v>
      </c>
      <c r="F391" s="10">
        <f>44.4776 * CHOOSE(CONTROL!$C$9, $D$9, 100%, $F$9) + CHOOSE(CONTROL!$C$27, 0.0021, 0)</f>
        <v>44.479700000000001</v>
      </c>
      <c r="G391" s="10">
        <f>44.749 * CHOOSE(CONTROL!$C$9, $D$9, 100%, $F$9) + CHOOSE(CONTROL!$C$27, 0.0021, 0)</f>
        <v>44.751100000000001</v>
      </c>
      <c r="H391" s="10">
        <f>44.6143 * CHOOSE(CONTROL!$C$9, $D$9, 100%, $F$9) + CHOOSE(CONTROL!$C$27, 0.0021, 0)</f>
        <v>44.616399999999999</v>
      </c>
      <c r="I391" s="10">
        <f>44.6143 * CHOOSE(CONTROL!$C$9, $D$9, 100%, $F$9) + CHOOSE(CONTROL!$C$27, 0.0021, 0)</f>
        <v>44.616399999999999</v>
      </c>
      <c r="J391" s="10">
        <f>44.6143 * CHOOSE(CONTROL!$C$9, $D$9, 100%, $F$9) + CHOOSE(CONTROL!$C$27, 0.0021, 0)</f>
        <v>44.616399999999999</v>
      </c>
      <c r="K391" s="10">
        <f>44.6143 * CHOOSE(CONTROL!$C$9, $D$9, 100%, $F$9) + CHOOSE(CONTROL!$C$27, 0.0021, 0)</f>
        <v>44.616399999999999</v>
      </c>
      <c r="L391" s="10"/>
    </row>
    <row r="392" spans="1:12" ht="15.75" x14ac:dyDescent="0.25">
      <c r="A392" s="14">
        <v>52870</v>
      </c>
      <c r="B392" s="10">
        <f>45.916 * CHOOSE(CONTROL!$C$9, $D$9, 100%, $F$9) + CHOOSE(CONTROL!$C$27, 0.0021, 0)</f>
        <v>45.918099999999995</v>
      </c>
      <c r="C392" s="10">
        <f>45.4837 * CHOOSE(CONTROL!$C$9, $D$9, 100%, $F$9) + CHOOSE(CONTROL!$C$27, 0.0021, 0)</f>
        <v>45.485799999999998</v>
      </c>
      <c r="D392" s="10">
        <f>45.4837 * CHOOSE(CONTROL!$C$9, $D$9, 100%, $F$9) + CHOOSE(CONTROL!$C$27, 0.0021, 0)</f>
        <v>45.485799999999998</v>
      </c>
      <c r="E392" s="10">
        <f>45.347 * CHOOSE(CONTROL!$C$9, $D$9, 100%, $F$9) + CHOOSE(CONTROL!$C$27, 0.0021, 0)</f>
        <v>45.3491</v>
      </c>
      <c r="F392" s="10">
        <f>45.347 * CHOOSE(CONTROL!$C$9, $D$9, 100%, $F$9) + CHOOSE(CONTROL!$C$27, 0.0021, 0)</f>
        <v>45.3491</v>
      </c>
      <c r="G392" s="10">
        <f>45.6184 * CHOOSE(CONTROL!$C$9, $D$9, 100%, $F$9) + CHOOSE(CONTROL!$C$27, 0.0021, 0)</f>
        <v>45.6205</v>
      </c>
      <c r="H392" s="10">
        <f>45.4837 * CHOOSE(CONTROL!$C$9, $D$9, 100%, $F$9) + CHOOSE(CONTROL!$C$27, 0.0021, 0)</f>
        <v>45.485799999999998</v>
      </c>
      <c r="I392" s="10">
        <f>45.4837 * CHOOSE(CONTROL!$C$9, $D$9, 100%, $F$9) + CHOOSE(CONTROL!$C$27, 0.0021, 0)</f>
        <v>45.485799999999998</v>
      </c>
      <c r="J392" s="10">
        <f>45.4837 * CHOOSE(CONTROL!$C$9, $D$9, 100%, $F$9) + CHOOSE(CONTROL!$C$27, 0.0021, 0)</f>
        <v>45.485799999999998</v>
      </c>
      <c r="K392" s="10">
        <f>45.4837 * CHOOSE(CONTROL!$C$9, $D$9, 100%, $F$9) + CHOOSE(CONTROL!$C$27, 0.0021, 0)</f>
        <v>45.485799999999998</v>
      </c>
      <c r="L392" s="10"/>
    </row>
    <row r="393" spans="1:12" ht="15.75" x14ac:dyDescent="0.25">
      <c r="A393" s="14">
        <v>52901</v>
      </c>
      <c r="B393" s="10">
        <f>47.0165 * CHOOSE(CONTROL!$C$9, $D$9, 100%, $F$9) + CHOOSE(CONTROL!$C$27, 0.0021, 0)</f>
        <v>47.018599999999999</v>
      </c>
      <c r="C393" s="10">
        <f>46.5842 * CHOOSE(CONTROL!$C$9, $D$9, 100%, $F$9) + CHOOSE(CONTROL!$C$27, 0.0021, 0)</f>
        <v>46.586300000000001</v>
      </c>
      <c r="D393" s="10">
        <f>46.5842 * CHOOSE(CONTROL!$C$9, $D$9, 100%, $F$9) + CHOOSE(CONTROL!$C$27, 0.0021, 0)</f>
        <v>46.586300000000001</v>
      </c>
      <c r="E393" s="10">
        <f>46.4476 * CHOOSE(CONTROL!$C$9, $D$9, 100%, $F$9) + CHOOSE(CONTROL!$C$27, 0.0021, 0)</f>
        <v>46.4497</v>
      </c>
      <c r="F393" s="10">
        <f>46.4476 * CHOOSE(CONTROL!$C$9, $D$9, 100%, $F$9) + CHOOSE(CONTROL!$C$27, 0.0021, 0)</f>
        <v>46.4497</v>
      </c>
      <c r="G393" s="10">
        <f>46.7189 * CHOOSE(CONTROL!$C$9, $D$9, 100%, $F$9) + CHOOSE(CONTROL!$C$27, 0.0021, 0)</f>
        <v>46.720999999999997</v>
      </c>
      <c r="H393" s="10">
        <f>46.5842 * CHOOSE(CONTROL!$C$9, $D$9, 100%, $F$9) + CHOOSE(CONTROL!$C$27, 0.0021, 0)</f>
        <v>46.586300000000001</v>
      </c>
      <c r="I393" s="10">
        <f>46.5842 * CHOOSE(CONTROL!$C$9, $D$9, 100%, $F$9) + CHOOSE(CONTROL!$C$27, 0.0021, 0)</f>
        <v>46.586300000000001</v>
      </c>
      <c r="J393" s="10">
        <f>46.5842 * CHOOSE(CONTROL!$C$9, $D$9, 100%, $F$9) + CHOOSE(CONTROL!$C$27, 0.0021, 0)</f>
        <v>46.586300000000001</v>
      </c>
      <c r="K393" s="10">
        <f>46.5842 * CHOOSE(CONTROL!$C$9, $D$9, 100%, $F$9) + CHOOSE(CONTROL!$C$27, 0.0021, 0)</f>
        <v>46.586300000000001</v>
      </c>
      <c r="L393" s="10"/>
    </row>
    <row r="394" spans="1:12" ht="15.75" x14ac:dyDescent="0.25">
      <c r="A394" s="14">
        <v>52931</v>
      </c>
      <c r="B394" s="10">
        <f>47.1198 * CHOOSE(CONTROL!$C$9, $D$9, 100%, $F$9) + CHOOSE(CONTROL!$C$27, 0.0021, 0)</f>
        <v>47.121899999999997</v>
      </c>
      <c r="C394" s="10">
        <f>46.6875 * CHOOSE(CONTROL!$C$9, $D$9, 100%, $F$9) + CHOOSE(CONTROL!$C$27, 0.0021, 0)</f>
        <v>46.689599999999999</v>
      </c>
      <c r="D394" s="10">
        <f>46.6875 * CHOOSE(CONTROL!$C$9, $D$9, 100%, $F$9) + CHOOSE(CONTROL!$C$27, 0.0021, 0)</f>
        <v>46.689599999999999</v>
      </c>
      <c r="E394" s="10">
        <f>46.5509 * CHOOSE(CONTROL!$C$9, $D$9, 100%, $F$9) + CHOOSE(CONTROL!$C$27, 0.0021, 0)</f>
        <v>46.552999999999997</v>
      </c>
      <c r="F394" s="10">
        <f>46.5509 * CHOOSE(CONTROL!$C$9, $D$9, 100%, $F$9) + CHOOSE(CONTROL!$C$27, 0.0021, 0)</f>
        <v>46.552999999999997</v>
      </c>
      <c r="G394" s="10">
        <f>46.8223 * CHOOSE(CONTROL!$C$9, $D$9, 100%, $F$9) + CHOOSE(CONTROL!$C$27, 0.0021, 0)</f>
        <v>46.824399999999997</v>
      </c>
      <c r="H394" s="10">
        <f>46.6875 * CHOOSE(CONTROL!$C$9, $D$9, 100%, $F$9) + CHOOSE(CONTROL!$C$27, 0.0021, 0)</f>
        <v>46.689599999999999</v>
      </c>
      <c r="I394" s="10">
        <f>46.6875 * CHOOSE(CONTROL!$C$9, $D$9, 100%, $F$9) + CHOOSE(CONTROL!$C$27, 0.0021, 0)</f>
        <v>46.689599999999999</v>
      </c>
      <c r="J394" s="10">
        <f>46.6875 * CHOOSE(CONTROL!$C$9, $D$9, 100%, $F$9) + CHOOSE(CONTROL!$C$27, 0.0021, 0)</f>
        <v>46.689599999999999</v>
      </c>
      <c r="K394" s="10">
        <f>46.6875 * CHOOSE(CONTROL!$C$9, $D$9, 100%, $F$9) + CHOOSE(CONTROL!$C$27, 0.0021, 0)</f>
        <v>46.689599999999999</v>
      </c>
      <c r="L394" s="10"/>
    </row>
    <row r="395" spans="1:12" ht="15.75" x14ac:dyDescent="0.25">
      <c r="A395" s="14">
        <v>52962</v>
      </c>
      <c r="B395" s="10">
        <f>46.2408 * CHOOSE(CONTROL!$C$9, $D$9, 100%, $F$9) + CHOOSE(CONTROL!$C$27, 0.0021, 0)</f>
        <v>46.242899999999999</v>
      </c>
      <c r="C395" s="10">
        <f>45.8086 * CHOOSE(CONTROL!$C$9, $D$9, 100%, $F$9) + CHOOSE(CONTROL!$C$27, 0.0021, 0)</f>
        <v>45.810699999999997</v>
      </c>
      <c r="D395" s="10">
        <f>45.8086 * CHOOSE(CONTROL!$C$9, $D$9, 100%, $F$9) + CHOOSE(CONTROL!$C$27, 0.0021, 0)</f>
        <v>45.810699999999997</v>
      </c>
      <c r="E395" s="10">
        <f>45.6719 * CHOOSE(CONTROL!$C$9, $D$9, 100%, $F$9) + CHOOSE(CONTROL!$C$27, 0.0021, 0)</f>
        <v>45.673999999999999</v>
      </c>
      <c r="F395" s="10">
        <f>45.6719 * CHOOSE(CONTROL!$C$9, $D$9, 100%, $F$9) + CHOOSE(CONTROL!$C$27, 0.0021, 0)</f>
        <v>45.673999999999999</v>
      </c>
      <c r="G395" s="10">
        <f>45.9433 * CHOOSE(CONTROL!$C$9, $D$9, 100%, $F$9) + CHOOSE(CONTROL!$C$27, 0.0021, 0)</f>
        <v>45.945399999999999</v>
      </c>
      <c r="H395" s="10">
        <f>45.8086 * CHOOSE(CONTROL!$C$9, $D$9, 100%, $F$9) + CHOOSE(CONTROL!$C$27, 0.0021, 0)</f>
        <v>45.810699999999997</v>
      </c>
      <c r="I395" s="10">
        <f>45.8086 * CHOOSE(CONTROL!$C$9, $D$9, 100%, $F$9) + CHOOSE(CONTROL!$C$27, 0.0021, 0)</f>
        <v>45.810699999999997</v>
      </c>
      <c r="J395" s="10">
        <f>45.8086 * CHOOSE(CONTROL!$C$9, $D$9, 100%, $F$9) + CHOOSE(CONTROL!$C$27, 0.0021, 0)</f>
        <v>45.810699999999997</v>
      </c>
      <c r="K395" s="10">
        <f>45.8086 * CHOOSE(CONTROL!$C$9, $D$9, 100%, $F$9) + CHOOSE(CONTROL!$C$27, 0.0021, 0)</f>
        <v>45.810699999999997</v>
      </c>
      <c r="L395" s="10"/>
    </row>
    <row r="396" spans="1:12" ht="15.75" x14ac:dyDescent="0.25">
      <c r="A396" s="14">
        <v>52993</v>
      </c>
      <c r="B396" s="10">
        <f>45.665 * CHOOSE(CONTROL!$C$9, $D$9, 100%, $F$9) + CHOOSE(CONTROL!$C$27, 0.0021, 0)</f>
        <v>45.667099999999998</v>
      </c>
      <c r="C396" s="10">
        <f>45.2328 * CHOOSE(CONTROL!$C$9, $D$9, 100%, $F$9) + CHOOSE(CONTROL!$C$27, 0.0021, 0)</f>
        <v>45.234899999999996</v>
      </c>
      <c r="D396" s="10">
        <f>45.2328 * CHOOSE(CONTROL!$C$9, $D$9, 100%, $F$9) + CHOOSE(CONTROL!$C$27, 0.0021, 0)</f>
        <v>45.234899999999996</v>
      </c>
      <c r="E396" s="10">
        <f>45.0961 * CHOOSE(CONTROL!$C$9, $D$9, 100%, $F$9) + CHOOSE(CONTROL!$C$27, 0.0021, 0)</f>
        <v>45.098199999999999</v>
      </c>
      <c r="F396" s="10">
        <f>45.0961 * CHOOSE(CONTROL!$C$9, $D$9, 100%, $F$9) + CHOOSE(CONTROL!$C$27, 0.0021, 0)</f>
        <v>45.098199999999999</v>
      </c>
      <c r="G396" s="10">
        <f>45.3675 * CHOOSE(CONTROL!$C$9, $D$9, 100%, $F$9) + CHOOSE(CONTROL!$C$27, 0.0021, 0)</f>
        <v>45.369599999999998</v>
      </c>
      <c r="H396" s="10">
        <f>45.2328 * CHOOSE(CONTROL!$C$9, $D$9, 100%, $F$9) + CHOOSE(CONTROL!$C$27, 0.0021, 0)</f>
        <v>45.234899999999996</v>
      </c>
      <c r="I396" s="10">
        <f>45.2328 * CHOOSE(CONTROL!$C$9, $D$9, 100%, $F$9) + CHOOSE(CONTROL!$C$27, 0.0021, 0)</f>
        <v>45.234899999999996</v>
      </c>
      <c r="J396" s="10">
        <f>45.2328 * CHOOSE(CONTROL!$C$9, $D$9, 100%, $F$9) + CHOOSE(CONTROL!$C$27, 0.0021, 0)</f>
        <v>45.234899999999996</v>
      </c>
      <c r="K396" s="10">
        <f>45.2328 * CHOOSE(CONTROL!$C$9, $D$9, 100%, $F$9) + CHOOSE(CONTROL!$C$27, 0.0021, 0)</f>
        <v>45.234899999999996</v>
      </c>
      <c r="L396" s="10"/>
    </row>
    <row r="397" spans="1:12" ht="15.75" x14ac:dyDescent="0.25">
      <c r="A397" s="14">
        <v>53021</v>
      </c>
      <c r="B397" s="10">
        <f>44.4382 * CHOOSE(CONTROL!$C$9, $D$9, 100%, $F$9) + CHOOSE(CONTROL!$C$27, 0.0021, 0)</f>
        <v>44.440300000000001</v>
      </c>
      <c r="C397" s="10">
        <f>44.0059 * CHOOSE(CONTROL!$C$9, $D$9, 100%, $F$9) + CHOOSE(CONTROL!$C$27, 0.0021, 0)</f>
        <v>44.007999999999996</v>
      </c>
      <c r="D397" s="10">
        <f>44.0059 * CHOOSE(CONTROL!$C$9, $D$9, 100%, $F$9) + CHOOSE(CONTROL!$C$27, 0.0021, 0)</f>
        <v>44.007999999999996</v>
      </c>
      <c r="E397" s="10">
        <f>43.8693 * CHOOSE(CONTROL!$C$9, $D$9, 100%, $F$9) + CHOOSE(CONTROL!$C$27, 0.0021, 0)</f>
        <v>43.871400000000001</v>
      </c>
      <c r="F397" s="10">
        <f>43.8693 * CHOOSE(CONTROL!$C$9, $D$9, 100%, $F$9) + CHOOSE(CONTROL!$C$27, 0.0021, 0)</f>
        <v>43.871400000000001</v>
      </c>
      <c r="G397" s="10">
        <f>44.1407 * CHOOSE(CONTROL!$C$9, $D$9, 100%, $F$9) + CHOOSE(CONTROL!$C$27, 0.0021, 0)</f>
        <v>44.142800000000001</v>
      </c>
      <c r="H397" s="10">
        <f>44.0059 * CHOOSE(CONTROL!$C$9, $D$9, 100%, $F$9) + CHOOSE(CONTROL!$C$27, 0.0021, 0)</f>
        <v>44.007999999999996</v>
      </c>
      <c r="I397" s="10">
        <f>44.0059 * CHOOSE(CONTROL!$C$9, $D$9, 100%, $F$9) + CHOOSE(CONTROL!$C$27, 0.0021, 0)</f>
        <v>44.007999999999996</v>
      </c>
      <c r="J397" s="10">
        <f>44.0059 * CHOOSE(CONTROL!$C$9, $D$9, 100%, $F$9) + CHOOSE(CONTROL!$C$27, 0.0021, 0)</f>
        <v>44.007999999999996</v>
      </c>
      <c r="K397" s="10">
        <f>44.0059 * CHOOSE(CONTROL!$C$9, $D$9, 100%, $F$9) + CHOOSE(CONTROL!$C$27, 0.0021, 0)</f>
        <v>44.007999999999996</v>
      </c>
      <c r="L397" s="10"/>
    </row>
    <row r="398" spans="1:12" ht="15.75" x14ac:dyDescent="0.25">
      <c r="A398" s="14">
        <v>53052</v>
      </c>
      <c r="B398" s="10">
        <f>43.9318 * CHOOSE(CONTROL!$C$9, $D$9, 100%, $F$9) + CHOOSE(CONTROL!$C$27, 0.0021, 0)</f>
        <v>43.933900000000001</v>
      </c>
      <c r="C398" s="10">
        <f>43.4995 * CHOOSE(CONTROL!$C$9, $D$9, 100%, $F$9) + CHOOSE(CONTROL!$C$27, 0.0021, 0)</f>
        <v>43.501599999999996</v>
      </c>
      <c r="D398" s="10">
        <f>43.4995 * CHOOSE(CONTROL!$C$9, $D$9, 100%, $F$9) + CHOOSE(CONTROL!$C$27, 0.0021, 0)</f>
        <v>43.501599999999996</v>
      </c>
      <c r="E398" s="10">
        <f>43.3629 * CHOOSE(CONTROL!$C$9, $D$9, 100%, $F$9) + CHOOSE(CONTROL!$C$27, 0.0021, 0)</f>
        <v>43.365000000000002</v>
      </c>
      <c r="F398" s="10">
        <f>43.3629 * CHOOSE(CONTROL!$C$9, $D$9, 100%, $F$9) + CHOOSE(CONTROL!$C$27, 0.0021, 0)</f>
        <v>43.365000000000002</v>
      </c>
      <c r="G398" s="10">
        <f>43.6342 * CHOOSE(CONTROL!$C$9, $D$9, 100%, $F$9) + CHOOSE(CONTROL!$C$27, 0.0021, 0)</f>
        <v>43.636299999999999</v>
      </c>
      <c r="H398" s="10">
        <f>43.4995 * CHOOSE(CONTROL!$C$9, $D$9, 100%, $F$9) + CHOOSE(CONTROL!$C$27, 0.0021, 0)</f>
        <v>43.501599999999996</v>
      </c>
      <c r="I398" s="10">
        <f>43.4995 * CHOOSE(CONTROL!$C$9, $D$9, 100%, $F$9) + CHOOSE(CONTROL!$C$27, 0.0021, 0)</f>
        <v>43.501599999999996</v>
      </c>
      <c r="J398" s="10">
        <f>43.4995 * CHOOSE(CONTROL!$C$9, $D$9, 100%, $F$9) + CHOOSE(CONTROL!$C$27, 0.0021, 0)</f>
        <v>43.501599999999996</v>
      </c>
      <c r="K398" s="10">
        <f>43.4995 * CHOOSE(CONTROL!$C$9, $D$9, 100%, $F$9) + CHOOSE(CONTROL!$C$27, 0.0021, 0)</f>
        <v>43.501599999999996</v>
      </c>
      <c r="L398" s="10"/>
    </row>
    <row r="399" spans="1:12" ht="15.75" x14ac:dyDescent="0.25">
      <c r="A399" s="14">
        <v>53082</v>
      </c>
      <c r="B399" s="10">
        <f>43.3271 * CHOOSE(CONTROL!$C$9, $D$9, 100%, $F$9) + CHOOSE(CONTROL!$C$27, 0.0021, 0)</f>
        <v>43.3292</v>
      </c>
      <c r="C399" s="10">
        <f>42.8948 * CHOOSE(CONTROL!$C$9, $D$9, 100%, $F$9) + CHOOSE(CONTROL!$C$27, 0.0021, 0)</f>
        <v>42.896899999999995</v>
      </c>
      <c r="D399" s="10">
        <f>42.8948 * CHOOSE(CONTROL!$C$9, $D$9, 100%, $F$9) + CHOOSE(CONTROL!$C$27, 0.0021, 0)</f>
        <v>42.896899999999995</v>
      </c>
      <c r="E399" s="10">
        <f>42.7582 * CHOOSE(CONTROL!$C$9, $D$9, 100%, $F$9) + CHOOSE(CONTROL!$C$27, 0.0021, 0)</f>
        <v>42.760300000000001</v>
      </c>
      <c r="F399" s="10">
        <f>42.7582 * CHOOSE(CONTROL!$C$9, $D$9, 100%, $F$9) + CHOOSE(CONTROL!$C$27, 0.0021, 0)</f>
        <v>42.760300000000001</v>
      </c>
      <c r="G399" s="10">
        <f>43.0295 * CHOOSE(CONTROL!$C$9, $D$9, 100%, $F$9) + CHOOSE(CONTROL!$C$27, 0.0021, 0)</f>
        <v>43.031599999999997</v>
      </c>
      <c r="H399" s="10">
        <f>42.8948 * CHOOSE(CONTROL!$C$9, $D$9, 100%, $F$9) + CHOOSE(CONTROL!$C$27, 0.0021, 0)</f>
        <v>42.896899999999995</v>
      </c>
      <c r="I399" s="10">
        <f>42.8948 * CHOOSE(CONTROL!$C$9, $D$9, 100%, $F$9) + CHOOSE(CONTROL!$C$27, 0.0021, 0)</f>
        <v>42.896899999999995</v>
      </c>
      <c r="J399" s="10">
        <f>42.8948 * CHOOSE(CONTROL!$C$9, $D$9, 100%, $F$9) + CHOOSE(CONTROL!$C$27, 0.0021, 0)</f>
        <v>42.896899999999995</v>
      </c>
      <c r="K399" s="10">
        <f>42.8948 * CHOOSE(CONTROL!$C$9, $D$9, 100%, $F$9) + CHOOSE(CONTROL!$C$27, 0.0021, 0)</f>
        <v>42.896899999999995</v>
      </c>
      <c r="L399" s="10"/>
    </row>
    <row r="400" spans="1:12" ht="15.75" x14ac:dyDescent="0.25">
      <c r="A400" s="14">
        <v>53113</v>
      </c>
      <c r="B400" s="10">
        <f>44.1888 * CHOOSE(CONTROL!$C$9, $D$9, 100%, $F$9) + CHOOSE(CONTROL!$C$27, 0.0021, 0)</f>
        <v>44.190899999999999</v>
      </c>
      <c r="C400" s="10">
        <f>43.7566 * CHOOSE(CONTROL!$C$9, $D$9, 100%, $F$9) + CHOOSE(CONTROL!$C$27, 0.0021, 0)</f>
        <v>43.758699999999997</v>
      </c>
      <c r="D400" s="10">
        <f>43.7566 * CHOOSE(CONTROL!$C$9, $D$9, 100%, $F$9) + CHOOSE(CONTROL!$C$27, 0.0021, 0)</f>
        <v>43.758699999999997</v>
      </c>
      <c r="E400" s="10">
        <f>43.6199 * CHOOSE(CONTROL!$C$9, $D$9, 100%, $F$9) + CHOOSE(CONTROL!$C$27, 0.0021, 0)</f>
        <v>43.622</v>
      </c>
      <c r="F400" s="10">
        <f>43.6199 * CHOOSE(CONTROL!$C$9, $D$9, 100%, $F$9) + CHOOSE(CONTROL!$C$27, 0.0021, 0)</f>
        <v>43.622</v>
      </c>
      <c r="G400" s="10">
        <f>43.8913 * CHOOSE(CONTROL!$C$9, $D$9, 100%, $F$9) + CHOOSE(CONTROL!$C$27, 0.0021, 0)</f>
        <v>43.8934</v>
      </c>
      <c r="H400" s="10">
        <f>43.7566 * CHOOSE(CONTROL!$C$9, $D$9, 100%, $F$9) + CHOOSE(CONTROL!$C$27, 0.0021, 0)</f>
        <v>43.758699999999997</v>
      </c>
      <c r="I400" s="10">
        <f>43.7566 * CHOOSE(CONTROL!$C$9, $D$9, 100%, $F$9) + CHOOSE(CONTROL!$C$27, 0.0021, 0)</f>
        <v>43.758699999999997</v>
      </c>
      <c r="J400" s="10">
        <f>43.7566 * CHOOSE(CONTROL!$C$9, $D$9, 100%, $F$9) + CHOOSE(CONTROL!$C$27, 0.0021, 0)</f>
        <v>43.758699999999997</v>
      </c>
      <c r="K400" s="10">
        <f>43.7566 * CHOOSE(CONTROL!$C$9, $D$9, 100%, $F$9) + CHOOSE(CONTROL!$C$27, 0.0021, 0)</f>
        <v>43.758699999999997</v>
      </c>
      <c r="L400" s="10"/>
    </row>
    <row r="401" spans="1:12" ht="15.75" x14ac:dyDescent="0.25">
      <c r="A401" s="14">
        <v>53143</v>
      </c>
      <c r="B401" s="10">
        <f>44.705 * CHOOSE(CONTROL!$C$9, $D$9, 100%, $F$9) + CHOOSE(CONTROL!$C$27, 0.0021, 0)</f>
        <v>44.707099999999997</v>
      </c>
      <c r="C401" s="10">
        <f>44.2727 * CHOOSE(CONTROL!$C$9, $D$9, 100%, $F$9) + CHOOSE(CONTROL!$C$27, 0.0021, 0)</f>
        <v>44.274799999999999</v>
      </c>
      <c r="D401" s="10">
        <f>44.2727 * CHOOSE(CONTROL!$C$9, $D$9, 100%, $F$9) + CHOOSE(CONTROL!$C$27, 0.0021, 0)</f>
        <v>44.274799999999999</v>
      </c>
      <c r="E401" s="10">
        <f>44.1361 * CHOOSE(CONTROL!$C$9, $D$9, 100%, $F$9) + CHOOSE(CONTROL!$C$27, 0.0021, 0)</f>
        <v>44.138199999999998</v>
      </c>
      <c r="F401" s="10">
        <f>44.1361 * CHOOSE(CONTROL!$C$9, $D$9, 100%, $F$9) + CHOOSE(CONTROL!$C$27, 0.0021, 0)</f>
        <v>44.138199999999998</v>
      </c>
      <c r="G401" s="10">
        <f>44.4074 * CHOOSE(CONTROL!$C$9, $D$9, 100%, $F$9) + CHOOSE(CONTROL!$C$27, 0.0021, 0)</f>
        <v>44.409500000000001</v>
      </c>
      <c r="H401" s="10">
        <f>44.2727 * CHOOSE(CONTROL!$C$9, $D$9, 100%, $F$9) + CHOOSE(CONTROL!$C$27, 0.0021, 0)</f>
        <v>44.274799999999999</v>
      </c>
      <c r="I401" s="10">
        <f>44.2727 * CHOOSE(CONTROL!$C$9, $D$9, 100%, $F$9) + CHOOSE(CONTROL!$C$27, 0.0021, 0)</f>
        <v>44.274799999999999</v>
      </c>
      <c r="J401" s="10">
        <f>44.2727 * CHOOSE(CONTROL!$C$9, $D$9, 100%, $F$9) + CHOOSE(CONTROL!$C$27, 0.0021, 0)</f>
        <v>44.274799999999999</v>
      </c>
      <c r="K401" s="10">
        <f>44.2727 * CHOOSE(CONTROL!$C$9, $D$9, 100%, $F$9) + CHOOSE(CONTROL!$C$27, 0.0021, 0)</f>
        <v>44.274799999999999</v>
      </c>
      <c r="L401" s="10"/>
    </row>
    <row r="402" spans="1:12" ht="15.75" x14ac:dyDescent="0.25">
      <c r="A402" s="14">
        <v>53174</v>
      </c>
      <c r="B402" s="10">
        <f>45.5564 * CHOOSE(CONTROL!$C$9, $D$9, 100%, $F$9) + CHOOSE(CONTROL!$C$27, 0.0021, 0)</f>
        <v>45.558499999999995</v>
      </c>
      <c r="C402" s="10">
        <f>45.1242 * CHOOSE(CONTROL!$C$9, $D$9, 100%, $F$9) + CHOOSE(CONTROL!$C$27, 0.0021, 0)</f>
        <v>45.126300000000001</v>
      </c>
      <c r="D402" s="10">
        <f>45.1242 * CHOOSE(CONTROL!$C$9, $D$9, 100%, $F$9) + CHOOSE(CONTROL!$C$27, 0.0021, 0)</f>
        <v>45.126300000000001</v>
      </c>
      <c r="E402" s="10">
        <f>44.9875 * CHOOSE(CONTROL!$C$9, $D$9, 100%, $F$9) + CHOOSE(CONTROL!$C$27, 0.0021, 0)</f>
        <v>44.989599999999996</v>
      </c>
      <c r="F402" s="10">
        <f>44.9875 * CHOOSE(CONTROL!$C$9, $D$9, 100%, $F$9) + CHOOSE(CONTROL!$C$27, 0.0021, 0)</f>
        <v>44.989599999999996</v>
      </c>
      <c r="G402" s="10">
        <f>45.2589 * CHOOSE(CONTROL!$C$9, $D$9, 100%, $F$9) + CHOOSE(CONTROL!$C$27, 0.0021, 0)</f>
        <v>45.260999999999996</v>
      </c>
      <c r="H402" s="10">
        <f>45.1242 * CHOOSE(CONTROL!$C$9, $D$9, 100%, $F$9) + CHOOSE(CONTROL!$C$27, 0.0021, 0)</f>
        <v>45.126300000000001</v>
      </c>
      <c r="I402" s="10">
        <f>45.1242 * CHOOSE(CONTROL!$C$9, $D$9, 100%, $F$9) + CHOOSE(CONTROL!$C$27, 0.0021, 0)</f>
        <v>45.126300000000001</v>
      </c>
      <c r="J402" s="10">
        <f>45.1242 * CHOOSE(CONTROL!$C$9, $D$9, 100%, $F$9) + CHOOSE(CONTROL!$C$27, 0.0021, 0)</f>
        <v>45.126300000000001</v>
      </c>
      <c r="K402" s="10">
        <f>45.1242 * CHOOSE(CONTROL!$C$9, $D$9, 100%, $F$9) + CHOOSE(CONTROL!$C$27, 0.0021, 0)</f>
        <v>45.126300000000001</v>
      </c>
      <c r="L402" s="10"/>
    </row>
    <row r="403" spans="1:12" ht="15.75" x14ac:dyDescent="0.25">
      <c r="A403" s="14">
        <v>53205</v>
      </c>
      <c r="B403" s="10">
        <f>45.8163 * CHOOSE(CONTROL!$C$9, $D$9, 100%, $F$9) + CHOOSE(CONTROL!$C$27, 0.0021, 0)</f>
        <v>45.818399999999997</v>
      </c>
      <c r="C403" s="10">
        <f>45.3841 * CHOOSE(CONTROL!$C$9, $D$9, 100%, $F$9) + CHOOSE(CONTROL!$C$27, 0.0021, 0)</f>
        <v>45.386199999999995</v>
      </c>
      <c r="D403" s="10">
        <f>45.3841 * CHOOSE(CONTROL!$C$9, $D$9, 100%, $F$9) + CHOOSE(CONTROL!$C$27, 0.0021, 0)</f>
        <v>45.386199999999995</v>
      </c>
      <c r="E403" s="10">
        <f>45.2474 * CHOOSE(CONTROL!$C$9, $D$9, 100%, $F$9) + CHOOSE(CONTROL!$C$27, 0.0021, 0)</f>
        <v>45.249499999999998</v>
      </c>
      <c r="F403" s="10">
        <f>45.2474 * CHOOSE(CONTROL!$C$9, $D$9, 100%, $F$9) + CHOOSE(CONTROL!$C$27, 0.0021, 0)</f>
        <v>45.249499999999998</v>
      </c>
      <c r="G403" s="10">
        <f>45.5188 * CHOOSE(CONTROL!$C$9, $D$9, 100%, $F$9) + CHOOSE(CONTROL!$C$27, 0.0021, 0)</f>
        <v>45.520899999999997</v>
      </c>
      <c r="H403" s="10">
        <f>45.3841 * CHOOSE(CONTROL!$C$9, $D$9, 100%, $F$9) + CHOOSE(CONTROL!$C$27, 0.0021, 0)</f>
        <v>45.386199999999995</v>
      </c>
      <c r="I403" s="10">
        <f>45.3841 * CHOOSE(CONTROL!$C$9, $D$9, 100%, $F$9) + CHOOSE(CONTROL!$C$27, 0.0021, 0)</f>
        <v>45.386199999999995</v>
      </c>
      <c r="J403" s="10">
        <f>45.3841 * CHOOSE(CONTROL!$C$9, $D$9, 100%, $F$9) + CHOOSE(CONTROL!$C$27, 0.0021, 0)</f>
        <v>45.386199999999995</v>
      </c>
      <c r="K403" s="10">
        <f>45.3841 * CHOOSE(CONTROL!$C$9, $D$9, 100%, $F$9) + CHOOSE(CONTROL!$C$27, 0.0021, 0)</f>
        <v>45.386199999999995</v>
      </c>
      <c r="L403" s="10"/>
    </row>
    <row r="404" spans="1:12" ht="15.75" x14ac:dyDescent="0.25">
      <c r="A404" s="14">
        <v>53235</v>
      </c>
      <c r="B404" s="10">
        <f>46.7014 * CHOOSE(CONTROL!$C$9, $D$9, 100%, $F$9) + CHOOSE(CONTROL!$C$27, 0.0021, 0)</f>
        <v>46.703499999999998</v>
      </c>
      <c r="C404" s="10">
        <f>46.2691 * CHOOSE(CONTROL!$C$9, $D$9, 100%, $F$9) + CHOOSE(CONTROL!$C$27, 0.0021, 0)</f>
        <v>46.2712</v>
      </c>
      <c r="D404" s="10">
        <f>46.2691 * CHOOSE(CONTROL!$C$9, $D$9, 100%, $F$9) + CHOOSE(CONTROL!$C$27, 0.0021, 0)</f>
        <v>46.2712</v>
      </c>
      <c r="E404" s="10">
        <f>46.1325 * CHOOSE(CONTROL!$C$9, $D$9, 100%, $F$9) + CHOOSE(CONTROL!$C$27, 0.0021, 0)</f>
        <v>46.134599999999999</v>
      </c>
      <c r="F404" s="10">
        <f>46.1325 * CHOOSE(CONTROL!$C$9, $D$9, 100%, $F$9) + CHOOSE(CONTROL!$C$27, 0.0021, 0)</f>
        <v>46.134599999999999</v>
      </c>
      <c r="G404" s="10">
        <f>46.4039 * CHOOSE(CONTROL!$C$9, $D$9, 100%, $F$9) + CHOOSE(CONTROL!$C$27, 0.0021, 0)</f>
        <v>46.405999999999999</v>
      </c>
      <c r="H404" s="10">
        <f>46.2691 * CHOOSE(CONTROL!$C$9, $D$9, 100%, $F$9) + CHOOSE(CONTROL!$C$27, 0.0021, 0)</f>
        <v>46.2712</v>
      </c>
      <c r="I404" s="10">
        <f>46.2691 * CHOOSE(CONTROL!$C$9, $D$9, 100%, $F$9) + CHOOSE(CONTROL!$C$27, 0.0021, 0)</f>
        <v>46.2712</v>
      </c>
      <c r="J404" s="10">
        <f>46.2691 * CHOOSE(CONTROL!$C$9, $D$9, 100%, $F$9) + CHOOSE(CONTROL!$C$27, 0.0021, 0)</f>
        <v>46.2712</v>
      </c>
      <c r="K404" s="10">
        <f>46.2691 * CHOOSE(CONTROL!$C$9, $D$9, 100%, $F$9) + CHOOSE(CONTROL!$C$27, 0.0021, 0)</f>
        <v>46.2712</v>
      </c>
      <c r="L404" s="10"/>
    </row>
    <row r="405" spans="1:12" ht="15.75" x14ac:dyDescent="0.25">
      <c r="A405" s="14">
        <v>53266</v>
      </c>
      <c r="B405" s="10">
        <f>47.8217 * CHOOSE(CONTROL!$C$9, $D$9, 100%, $F$9) + CHOOSE(CONTROL!$C$27, 0.0021, 0)</f>
        <v>47.823799999999999</v>
      </c>
      <c r="C405" s="10">
        <f>47.3895 * CHOOSE(CONTROL!$C$9, $D$9, 100%, $F$9) + CHOOSE(CONTROL!$C$27, 0.0021, 0)</f>
        <v>47.391599999999997</v>
      </c>
      <c r="D405" s="10">
        <f>47.3895 * CHOOSE(CONTROL!$C$9, $D$9, 100%, $F$9) + CHOOSE(CONTROL!$C$27, 0.0021, 0)</f>
        <v>47.391599999999997</v>
      </c>
      <c r="E405" s="10">
        <f>47.2528 * CHOOSE(CONTROL!$C$9, $D$9, 100%, $F$9) + CHOOSE(CONTROL!$C$27, 0.0021, 0)</f>
        <v>47.254899999999999</v>
      </c>
      <c r="F405" s="10">
        <f>47.2528 * CHOOSE(CONTROL!$C$9, $D$9, 100%, $F$9) + CHOOSE(CONTROL!$C$27, 0.0021, 0)</f>
        <v>47.254899999999999</v>
      </c>
      <c r="G405" s="10">
        <f>47.5242 * CHOOSE(CONTROL!$C$9, $D$9, 100%, $F$9) + CHOOSE(CONTROL!$C$27, 0.0021, 0)</f>
        <v>47.526299999999999</v>
      </c>
      <c r="H405" s="10">
        <f>47.3895 * CHOOSE(CONTROL!$C$9, $D$9, 100%, $F$9) + CHOOSE(CONTROL!$C$27, 0.0021, 0)</f>
        <v>47.391599999999997</v>
      </c>
      <c r="I405" s="10">
        <f>47.3895 * CHOOSE(CONTROL!$C$9, $D$9, 100%, $F$9) + CHOOSE(CONTROL!$C$27, 0.0021, 0)</f>
        <v>47.391599999999997</v>
      </c>
      <c r="J405" s="10">
        <f>47.3895 * CHOOSE(CONTROL!$C$9, $D$9, 100%, $F$9) + CHOOSE(CONTROL!$C$27, 0.0021, 0)</f>
        <v>47.391599999999997</v>
      </c>
      <c r="K405" s="10">
        <f>47.3895 * CHOOSE(CONTROL!$C$9, $D$9, 100%, $F$9) + CHOOSE(CONTROL!$C$27, 0.0021, 0)</f>
        <v>47.391599999999997</v>
      </c>
      <c r="L405" s="10"/>
    </row>
    <row r="406" spans="1:12" ht="15.75" x14ac:dyDescent="0.25">
      <c r="A406" s="14">
        <v>53296</v>
      </c>
      <c r="B406" s="10">
        <f>47.9269 * CHOOSE(CONTROL!$C$9, $D$9, 100%, $F$9) + CHOOSE(CONTROL!$C$27, 0.0021, 0)</f>
        <v>47.929000000000002</v>
      </c>
      <c r="C406" s="10">
        <f>47.4946 * CHOOSE(CONTROL!$C$9, $D$9, 100%, $F$9) + CHOOSE(CONTROL!$C$27, 0.0021, 0)</f>
        <v>47.496699999999997</v>
      </c>
      <c r="D406" s="10">
        <f>47.4946 * CHOOSE(CONTROL!$C$9, $D$9, 100%, $F$9) + CHOOSE(CONTROL!$C$27, 0.0021, 0)</f>
        <v>47.496699999999997</v>
      </c>
      <c r="E406" s="10">
        <f>47.358 * CHOOSE(CONTROL!$C$9, $D$9, 100%, $F$9) + CHOOSE(CONTROL!$C$27, 0.0021, 0)</f>
        <v>47.360099999999996</v>
      </c>
      <c r="F406" s="10">
        <f>47.358 * CHOOSE(CONTROL!$C$9, $D$9, 100%, $F$9) + CHOOSE(CONTROL!$C$27, 0.0021, 0)</f>
        <v>47.360099999999996</v>
      </c>
      <c r="G406" s="10">
        <f>47.6294 * CHOOSE(CONTROL!$C$9, $D$9, 100%, $F$9) + CHOOSE(CONTROL!$C$27, 0.0021, 0)</f>
        <v>47.631499999999996</v>
      </c>
      <c r="H406" s="10">
        <f>47.4946 * CHOOSE(CONTROL!$C$9, $D$9, 100%, $F$9) + CHOOSE(CONTROL!$C$27, 0.0021, 0)</f>
        <v>47.496699999999997</v>
      </c>
      <c r="I406" s="10">
        <f>47.4946 * CHOOSE(CONTROL!$C$9, $D$9, 100%, $F$9) + CHOOSE(CONTROL!$C$27, 0.0021, 0)</f>
        <v>47.496699999999997</v>
      </c>
      <c r="J406" s="10">
        <f>47.4946 * CHOOSE(CONTROL!$C$9, $D$9, 100%, $F$9) + CHOOSE(CONTROL!$C$27, 0.0021, 0)</f>
        <v>47.496699999999997</v>
      </c>
      <c r="K406" s="10">
        <f>47.4946 * CHOOSE(CONTROL!$C$9, $D$9, 100%, $F$9) + CHOOSE(CONTROL!$C$27, 0.0021, 0)</f>
        <v>47.496699999999997</v>
      </c>
      <c r="L406" s="10"/>
    </row>
    <row r="407" spans="1:12" ht="15.75" x14ac:dyDescent="0.25">
      <c r="A407" s="14">
        <v>53327</v>
      </c>
      <c r="B407" s="10">
        <f>47.0321 * CHOOSE(CONTROL!$C$9, $D$9, 100%, $F$9) + CHOOSE(CONTROL!$C$27, 0.0021, 0)</f>
        <v>47.034199999999998</v>
      </c>
      <c r="C407" s="10">
        <f>46.5999 * CHOOSE(CONTROL!$C$9, $D$9, 100%, $F$9) + CHOOSE(CONTROL!$C$27, 0.0021, 0)</f>
        <v>46.601999999999997</v>
      </c>
      <c r="D407" s="10">
        <f>46.5999 * CHOOSE(CONTROL!$C$9, $D$9, 100%, $F$9) + CHOOSE(CONTROL!$C$27, 0.0021, 0)</f>
        <v>46.601999999999997</v>
      </c>
      <c r="E407" s="10">
        <f>46.4632 * CHOOSE(CONTROL!$C$9, $D$9, 100%, $F$9) + CHOOSE(CONTROL!$C$27, 0.0021, 0)</f>
        <v>46.465299999999999</v>
      </c>
      <c r="F407" s="10">
        <f>46.4632 * CHOOSE(CONTROL!$C$9, $D$9, 100%, $F$9) + CHOOSE(CONTROL!$C$27, 0.0021, 0)</f>
        <v>46.465299999999999</v>
      </c>
      <c r="G407" s="10">
        <f>46.7346 * CHOOSE(CONTROL!$C$9, $D$9, 100%, $F$9) + CHOOSE(CONTROL!$C$27, 0.0021, 0)</f>
        <v>46.736699999999999</v>
      </c>
      <c r="H407" s="10">
        <f>46.5999 * CHOOSE(CONTROL!$C$9, $D$9, 100%, $F$9) + CHOOSE(CONTROL!$C$27, 0.0021, 0)</f>
        <v>46.601999999999997</v>
      </c>
      <c r="I407" s="10">
        <f>46.5999 * CHOOSE(CONTROL!$C$9, $D$9, 100%, $F$9) + CHOOSE(CONTROL!$C$27, 0.0021, 0)</f>
        <v>46.601999999999997</v>
      </c>
      <c r="J407" s="10">
        <f>46.5999 * CHOOSE(CONTROL!$C$9, $D$9, 100%, $F$9) + CHOOSE(CONTROL!$C$27, 0.0021, 0)</f>
        <v>46.601999999999997</v>
      </c>
      <c r="K407" s="10">
        <f>46.5999 * CHOOSE(CONTROL!$C$9, $D$9, 100%, $F$9) + CHOOSE(CONTROL!$C$27, 0.0021, 0)</f>
        <v>46.601999999999997</v>
      </c>
      <c r="L407" s="10"/>
    </row>
    <row r="408" spans="1:12" ht="15.75" x14ac:dyDescent="0.25">
      <c r="A408" s="14">
        <v>53358</v>
      </c>
      <c r="B408" s="10">
        <f>46.4459 * CHOOSE(CONTROL!$C$9, $D$9, 100%, $F$9) + CHOOSE(CONTROL!$C$27, 0.0021, 0)</f>
        <v>46.448</v>
      </c>
      <c r="C408" s="10">
        <f>46.0137 * CHOOSE(CONTROL!$C$9, $D$9, 100%, $F$9) + CHOOSE(CONTROL!$C$27, 0.0021, 0)</f>
        <v>46.015799999999999</v>
      </c>
      <c r="D408" s="10">
        <f>46.0137 * CHOOSE(CONTROL!$C$9, $D$9, 100%, $F$9) + CHOOSE(CONTROL!$C$27, 0.0021, 0)</f>
        <v>46.015799999999999</v>
      </c>
      <c r="E408" s="10">
        <f>45.877 * CHOOSE(CONTROL!$C$9, $D$9, 100%, $F$9) + CHOOSE(CONTROL!$C$27, 0.0021, 0)</f>
        <v>45.879100000000001</v>
      </c>
      <c r="F408" s="10">
        <f>45.877 * CHOOSE(CONTROL!$C$9, $D$9, 100%, $F$9) + CHOOSE(CONTROL!$C$27, 0.0021, 0)</f>
        <v>45.879100000000001</v>
      </c>
      <c r="G408" s="10">
        <f>46.1484 * CHOOSE(CONTROL!$C$9, $D$9, 100%, $F$9) + CHOOSE(CONTROL!$C$27, 0.0021, 0)</f>
        <v>46.150500000000001</v>
      </c>
      <c r="H408" s="10">
        <f>46.0137 * CHOOSE(CONTROL!$C$9, $D$9, 100%, $F$9) + CHOOSE(CONTROL!$C$27, 0.0021, 0)</f>
        <v>46.015799999999999</v>
      </c>
      <c r="I408" s="10">
        <f>46.0137 * CHOOSE(CONTROL!$C$9, $D$9, 100%, $F$9) + CHOOSE(CONTROL!$C$27, 0.0021, 0)</f>
        <v>46.015799999999999</v>
      </c>
      <c r="J408" s="10">
        <f>46.0137 * CHOOSE(CONTROL!$C$9, $D$9, 100%, $F$9) + CHOOSE(CONTROL!$C$27, 0.0021, 0)</f>
        <v>46.015799999999999</v>
      </c>
      <c r="K408" s="10">
        <f>46.0137 * CHOOSE(CONTROL!$C$9, $D$9, 100%, $F$9) + CHOOSE(CONTROL!$C$27, 0.0021, 0)</f>
        <v>46.015799999999999</v>
      </c>
      <c r="L408" s="10"/>
    </row>
    <row r="409" spans="1:12" ht="15.75" x14ac:dyDescent="0.25">
      <c r="A409" s="14">
        <v>53386</v>
      </c>
      <c r="B409" s="10">
        <f>45.197 * CHOOSE(CONTROL!$C$9, $D$9, 100%, $F$9) + CHOOSE(CONTROL!$C$27, 0.0021, 0)</f>
        <v>45.199100000000001</v>
      </c>
      <c r="C409" s="10">
        <f>44.7648 * CHOOSE(CONTROL!$C$9, $D$9, 100%, $F$9) + CHOOSE(CONTROL!$C$27, 0.0021, 0)</f>
        <v>44.7669</v>
      </c>
      <c r="D409" s="10">
        <f>44.7648 * CHOOSE(CONTROL!$C$9, $D$9, 100%, $F$9) + CHOOSE(CONTROL!$C$27, 0.0021, 0)</f>
        <v>44.7669</v>
      </c>
      <c r="E409" s="10">
        <f>44.6281 * CHOOSE(CONTROL!$C$9, $D$9, 100%, $F$9) + CHOOSE(CONTROL!$C$27, 0.0021, 0)</f>
        <v>44.630200000000002</v>
      </c>
      <c r="F409" s="10">
        <f>44.6281 * CHOOSE(CONTROL!$C$9, $D$9, 100%, $F$9) + CHOOSE(CONTROL!$C$27, 0.0021, 0)</f>
        <v>44.630200000000002</v>
      </c>
      <c r="G409" s="10">
        <f>44.8995 * CHOOSE(CONTROL!$C$9, $D$9, 100%, $F$9) + CHOOSE(CONTROL!$C$27, 0.0021, 0)</f>
        <v>44.901600000000002</v>
      </c>
      <c r="H409" s="10">
        <f>44.7648 * CHOOSE(CONTROL!$C$9, $D$9, 100%, $F$9) + CHOOSE(CONTROL!$C$27, 0.0021, 0)</f>
        <v>44.7669</v>
      </c>
      <c r="I409" s="10">
        <f>44.7648 * CHOOSE(CONTROL!$C$9, $D$9, 100%, $F$9) + CHOOSE(CONTROL!$C$27, 0.0021, 0)</f>
        <v>44.7669</v>
      </c>
      <c r="J409" s="10">
        <f>44.7648 * CHOOSE(CONTROL!$C$9, $D$9, 100%, $F$9) + CHOOSE(CONTROL!$C$27, 0.0021, 0)</f>
        <v>44.7669</v>
      </c>
      <c r="K409" s="10">
        <f>44.7648 * CHOOSE(CONTROL!$C$9, $D$9, 100%, $F$9) + CHOOSE(CONTROL!$C$27, 0.0021, 0)</f>
        <v>44.7669</v>
      </c>
      <c r="L409" s="10"/>
    </row>
    <row r="410" spans="1:12" ht="15.75" x14ac:dyDescent="0.25">
      <c r="A410" s="14">
        <v>53417</v>
      </c>
      <c r="B410" s="10">
        <f>44.6815 * CHOOSE(CONTROL!$C$9, $D$9, 100%, $F$9) + CHOOSE(CONTROL!$C$27, 0.0021, 0)</f>
        <v>44.683599999999998</v>
      </c>
      <c r="C410" s="10">
        <f>44.2492 * CHOOSE(CONTROL!$C$9, $D$9, 100%, $F$9) + CHOOSE(CONTROL!$C$27, 0.0021, 0)</f>
        <v>44.251300000000001</v>
      </c>
      <c r="D410" s="10">
        <f>44.2492 * CHOOSE(CONTROL!$C$9, $D$9, 100%, $F$9) + CHOOSE(CONTROL!$C$27, 0.0021, 0)</f>
        <v>44.251300000000001</v>
      </c>
      <c r="E410" s="10">
        <f>44.1126 * CHOOSE(CONTROL!$C$9, $D$9, 100%, $F$9) + CHOOSE(CONTROL!$C$27, 0.0021, 0)</f>
        <v>44.114699999999999</v>
      </c>
      <c r="F410" s="10">
        <f>44.1126 * CHOOSE(CONTROL!$C$9, $D$9, 100%, $F$9) + CHOOSE(CONTROL!$C$27, 0.0021, 0)</f>
        <v>44.114699999999999</v>
      </c>
      <c r="G410" s="10">
        <f>44.3839 * CHOOSE(CONTROL!$C$9, $D$9, 100%, $F$9) + CHOOSE(CONTROL!$C$27, 0.0021, 0)</f>
        <v>44.385999999999996</v>
      </c>
      <c r="H410" s="10">
        <f>44.2492 * CHOOSE(CONTROL!$C$9, $D$9, 100%, $F$9) + CHOOSE(CONTROL!$C$27, 0.0021, 0)</f>
        <v>44.251300000000001</v>
      </c>
      <c r="I410" s="10">
        <f>44.2492 * CHOOSE(CONTROL!$C$9, $D$9, 100%, $F$9) + CHOOSE(CONTROL!$C$27, 0.0021, 0)</f>
        <v>44.251300000000001</v>
      </c>
      <c r="J410" s="10">
        <f>44.2492 * CHOOSE(CONTROL!$C$9, $D$9, 100%, $F$9) + CHOOSE(CONTROL!$C$27, 0.0021, 0)</f>
        <v>44.251300000000001</v>
      </c>
      <c r="K410" s="10">
        <f>44.2492 * CHOOSE(CONTROL!$C$9, $D$9, 100%, $F$9) + CHOOSE(CONTROL!$C$27, 0.0021, 0)</f>
        <v>44.251300000000001</v>
      </c>
      <c r="L410" s="10"/>
    </row>
    <row r="411" spans="1:12" ht="15.75" x14ac:dyDescent="0.25">
      <c r="A411" s="14">
        <v>53447</v>
      </c>
      <c r="B411" s="10">
        <f>44.0659 * CHOOSE(CONTROL!$C$9, $D$9, 100%, $F$9) + CHOOSE(CONTROL!$C$27, 0.0021, 0)</f>
        <v>44.067999999999998</v>
      </c>
      <c r="C411" s="10">
        <f>43.6337 * CHOOSE(CONTROL!$C$9, $D$9, 100%, $F$9) + CHOOSE(CONTROL!$C$27, 0.0021, 0)</f>
        <v>43.635799999999996</v>
      </c>
      <c r="D411" s="10">
        <f>43.6337 * CHOOSE(CONTROL!$C$9, $D$9, 100%, $F$9) + CHOOSE(CONTROL!$C$27, 0.0021, 0)</f>
        <v>43.635799999999996</v>
      </c>
      <c r="E411" s="10">
        <f>43.497 * CHOOSE(CONTROL!$C$9, $D$9, 100%, $F$9) + CHOOSE(CONTROL!$C$27, 0.0021, 0)</f>
        <v>43.499099999999999</v>
      </c>
      <c r="F411" s="10">
        <f>43.497 * CHOOSE(CONTROL!$C$9, $D$9, 100%, $F$9) + CHOOSE(CONTROL!$C$27, 0.0021, 0)</f>
        <v>43.499099999999999</v>
      </c>
      <c r="G411" s="10">
        <f>43.7684 * CHOOSE(CONTROL!$C$9, $D$9, 100%, $F$9) + CHOOSE(CONTROL!$C$27, 0.0021, 0)</f>
        <v>43.770499999999998</v>
      </c>
      <c r="H411" s="10">
        <f>43.6337 * CHOOSE(CONTROL!$C$9, $D$9, 100%, $F$9) + CHOOSE(CONTROL!$C$27, 0.0021, 0)</f>
        <v>43.635799999999996</v>
      </c>
      <c r="I411" s="10">
        <f>43.6337 * CHOOSE(CONTROL!$C$9, $D$9, 100%, $F$9) + CHOOSE(CONTROL!$C$27, 0.0021, 0)</f>
        <v>43.635799999999996</v>
      </c>
      <c r="J411" s="10">
        <f>43.6337 * CHOOSE(CONTROL!$C$9, $D$9, 100%, $F$9) + CHOOSE(CONTROL!$C$27, 0.0021, 0)</f>
        <v>43.635799999999996</v>
      </c>
      <c r="K411" s="10">
        <f>43.6337 * CHOOSE(CONTROL!$C$9, $D$9, 100%, $F$9) + CHOOSE(CONTROL!$C$27, 0.0021, 0)</f>
        <v>43.635799999999996</v>
      </c>
      <c r="L411" s="10"/>
    </row>
    <row r="412" spans="1:12" ht="15.75" x14ac:dyDescent="0.25">
      <c r="A412" s="14">
        <v>53478</v>
      </c>
      <c r="B412" s="10">
        <f>44.9432 * CHOOSE(CONTROL!$C$9, $D$9, 100%, $F$9) + CHOOSE(CONTROL!$C$27, 0.0021, 0)</f>
        <v>44.945299999999996</v>
      </c>
      <c r="C412" s="10">
        <f>44.5109 * CHOOSE(CONTROL!$C$9, $D$9, 100%, $F$9) + CHOOSE(CONTROL!$C$27, 0.0021, 0)</f>
        <v>44.512999999999998</v>
      </c>
      <c r="D412" s="10">
        <f>44.5109 * CHOOSE(CONTROL!$C$9, $D$9, 100%, $F$9) + CHOOSE(CONTROL!$C$27, 0.0021, 0)</f>
        <v>44.512999999999998</v>
      </c>
      <c r="E412" s="10">
        <f>44.3743 * CHOOSE(CONTROL!$C$9, $D$9, 100%, $F$9) + CHOOSE(CONTROL!$C$27, 0.0021, 0)</f>
        <v>44.376399999999997</v>
      </c>
      <c r="F412" s="10">
        <f>44.3743 * CHOOSE(CONTROL!$C$9, $D$9, 100%, $F$9) + CHOOSE(CONTROL!$C$27, 0.0021, 0)</f>
        <v>44.376399999999997</v>
      </c>
      <c r="G412" s="10">
        <f>44.6456 * CHOOSE(CONTROL!$C$9, $D$9, 100%, $F$9) + CHOOSE(CONTROL!$C$27, 0.0021, 0)</f>
        <v>44.6477</v>
      </c>
      <c r="H412" s="10">
        <f>44.5109 * CHOOSE(CONTROL!$C$9, $D$9, 100%, $F$9) + CHOOSE(CONTROL!$C$27, 0.0021, 0)</f>
        <v>44.512999999999998</v>
      </c>
      <c r="I412" s="10">
        <f>44.5109 * CHOOSE(CONTROL!$C$9, $D$9, 100%, $F$9) + CHOOSE(CONTROL!$C$27, 0.0021, 0)</f>
        <v>44.512999999999998</v>
      </c>
      <c r="J412" s="10">
        <f>44.5109 * CHOOSE(CONTROL!$C$9, $D$9, 100%, $F$9) + CHOOSE(CONTROL!$C$27, 0.0021, 0)</f>
        <v>44.512999999999998</v>
      </c>
      <c r="K412" s="10">
        <f>44.5109 * CHOOSE(CONTROL!$C$9, $D$9, 100%, $F$9) + CHOOSE(CONTROL!$C$27, 0.0021, 0)</f>
        <v>44.512999999999998</v>
      </c>
      <c r="L412" s="10"/>
    </row>
    <row r="413" spans="1:12" ht="15.75" x14ac:dyDescent="0.25">
      <c r="A413" s="14">
        <v>53508</v>
      </c>
      <c r="B413" s="10">
        <f>45.4686 * CHOOSE(CONTROL!$C$9, $D$9, 100%, $F$9) + CHOOSE(CONTROL!$C$27, 0.0021, 0)</f>
        <v>45.470700000000001</v>
      </c>
      <c r="C413" s="10">
        <f>45.0364 * CHOOSE(CONTROL!$C$9, $D$9, 100%, $F$9) + CHOOSE(CONTROL!$C$27, 0.0021, 0)</f>
        <v>45.038499999999999</v>
      </c>
      <c r="D413" s="10">
        <f>45.0364 * CHOOSE(CONTROL!$C$9, $D$9, 100%, $F$9) + CHOOSE(CONTROL!$C$27, 0.0021, 0)</f>
        <v>45.038499999999999</v>
      </c>
      <c r="E413" s="10">
        <f>44.8997 * CHOOSE(CONTROL!$C$9, $D$9, 100%, $F$9) + CHOOSE(CONTROL!$C$27, 0.0021, 0)</f>
        <v>44.901800000000001</v>
      </c>
      <c r="F413" s="10">
        <f>44.8997 * CHOOSE(CONTROL!$C$9, $D$9, 100%, $F$9) + CHOOSE(CONTROL!$C$27, 0.0021, 0)</f>
        <v>44.901800000000001</v>
      </c>
      <c r="G413" s="10">
        <f>45.1711 * CHOOSE(CONTROL!$C$9, $D$9, 100%, $F$9) + CHOOSE(CONTROL!$C$27, 0.0021, 0)</f>
        <v>45.173200000000001</v>
      </c>
      <c r="H413" s="10">
        <f>45.0364 * CHOOSE(CONTROL!$C$9, $D$9, 100%, $F$9) + CHOOSE(CONTROL!$C$27, 0.0021, 0)</f>
        <v>45.038499999999999</v>
      </c>
      <c r="I413" s="10">
        <f>45.0364 * CHOOSE(CONTROL!$C$9, $D$9, 100%, $F$9) + CHOOSE(CONTROL!$C$27, 0.0021, 0)</f>
        <v>45.038499999999999</v>
      </c>
      <c r="J413" s="10">
        <f>45.0364 * CHOOSE(CONTROL!$C$9, $D$9, 100%, $F$9) + CHOOSE(CONTROL!$C$27, 0.0021, 0)</f>
        <v>45.038499999999999</v>
      </c>
      <c r="K413" s="10">
        <f>45.0364 * CHOOSE(CONTROL!$C$9, $D$9, 100%, $F$9) + CHOOSE(CONTROL!$C$27, 0.0021, 0)</f>
        <v>45.038499999999999</v>
      </c>
      <c r="L413" s="10"/>
    </row>
    <row r="414" spans="1:12" ht="15.75" x14ac:dyDescent="0.25">
      <c r="A414" s="14">
        <v>53539</v>
      </c>
      <c r="B414" s="10">
        <f>46.3354 * CHOOSE(CONTROL!$C$9, $D$9, 100%, $F$9) + CHOOSE(CONTROL!$C$27, 0.0021, 0)</f>
        <v>46.337499999999999</v>
      </c>
      <c r="C414" s="10">
        <f>45.9032 * CHOOSE(CONTROL!$C$9, $D$9, 100%, $F$9) + CHOOSE(CONTROL!$C$27, 0.0021, 0)</f>
        <v>45.905299999999997</v>
      </c>
      <c r="D414" s="10">
        <f>45.9032 * CHOOSE(CONTROL!$C$9, $D$9, 100%, $F$9) + CHOOSE(CONTROL!$C$27, 0.0021, 0)</f>
        <v>45.905299999999997</v>
      </c>
      <c r="E414" s="10">
        <f>45.7665 * CHOOSE(CONTROL!$C$9, $D$9, 100%, $F$9) + CHOOSE(CONTROL!$C$27, 0.0021, 0)</f>
        <v>45.768599999999999</v>
      </c>
      <c r="F414" s="10">
        <f>45.7665 * CHOOSE(CONTROL!$C$9, $D$9, 100%, $F$9) + CHOOSE(CONTROL!$C$27, 0.0021, 0)</f>
        <v>45.768599999999999</v>
      </c>
      <c r="G414" s="10">
        <f>46.0379 * CHOOSE(CONTROL!$C$9, $D$9, 100%, $F$9) + CHOOSE(CONTROL!$C$27, 0.0021, 0)</f>
        <v>46.04</v>
      </c>
      <c r="H414" s="10">
        <f>45.9032 * CHOOSE(CONTROL!$C$9, $D$9, 100%, $F$9) + CHOOSE(CONTROL!$C$27, 0.0021, 0)</f>
        <v>45.905299999999997</v>
      </c>
      <c r="I414" s="10">
        <f>45.9032 * CHOOSE(CONTROL!$C$9, $D$9, 100%, $F$9) + CHOOSE(CONTROL!$C$27, 0.0021, 0)</f>
        <v>45.905299999999997</v>
      </c>
      <c r="J414" s="10">
        <f>45.9032 * CHOOSE(CONTROL!$C$9, $D$9, 100%, $F$9) + CHOOSE(CONTROL!$C$27, 0.0021, 0)</f>
        <v>45.905299999999997</v>
      </c>
      <c r="K414" s="10">
        <f>45.9032 * CHOOSE(CONTROL!$C$9, $D$9, 100%, $F$9) + CHOOSE(CONTROL!$C$27, 0.0021, 0)</f>
        <v>45.905299999999997</v>
      </c>
      <c r="L414" s="10"/>
    </row>
    <row r="415" spans="1:12" ht="15.75" x14ac:dyDescent="0.25">
      <c r="A415" s="14">
        <v>53570</v>
      </c>
      <c r="B415" s="10">
        <f>46.6 * CHOOSE(CONTROL!$C$9, $D$9, 100%, $F$9) + CHOOSE(CONTROL!$C$27, 0.0021, 0)</f>
        <v>46.6021</v>
      </c>
      <c r="C415" s="10">
        <f>46.1677 * CHOOSE(CONTROL!$C$9, $D$9, 100%, $F$9) + CHOOSE(CONTROL!$C$27, 0.0021, 0)</f>
        <v>46.169800000000002</v>
      </c>
      <c r="D415" s="10">
        <f>46.1677 * CHOOSE(CONTROL!$C$9, $D$9, 100%, $F$9) + CHOOSE(CONTROL!$C$27, 0.0021, 0)</f>
        <v>46.169800000000002</v>
      </c>
      <c r="E415" s="10">
        <f>46.0311 * CHOOSE(CONTROL!$C$9, $D$9, 100%, $F$9) + CHOOSE(CONTROL!$C$27, 0.0021, 0)</f>
        <v>46.033200000000001</v>
      </c>
      <c r="F415" s="10">
        <f>46.0311 * CHOOSE(CONTROL!$C$9, $D$9, 100%, $F$9) + CHOOSE(CONTROL!$C$27, 0.0021, 0)</f>
        <v>46.033200000000001</v>
      </c>
      <c r="G415" s="10">
        <f>46.3024 * CHOOSE(CONTROL!$C$9, $D$9, 100%, $F$9) + CHOOSE(CONTROL!$C$27, 0.0021, 0)</f>
        <v>46.304499999999997</v>
      </c>
      <c r="H415" s="10">
        <f>46.1677 * CHOOSE(CONTROL!$C$9, $D$9, 100%, $F$9) + CHOOSE(CONTROL!$C$27, 0.0021, 0)</f>
        <v>46.169800000000002</v>
      </c>
      <c r="I415" s="10">
        <f>46.1677 * CHOOSE(CONTROL!$C$9, $D$9, 100%, $F$9) + CHOOSE(CONTROL!$C$27, 0.0021, 0)</f>
        <v>46.169800000000002</v>
      </c>
      <c r="J415" s="10">
        <f>46.1677 * CHOOSE(CONTROL!$C$9, $D$9, 100%, $F$9) + CHOOSE(CONTROL!$C$27, 0.0021, 0)</f>
        <v>46.169800000000002</v>
      </c>
      <c r="K415" s="10">
        <f>46.1677 * CHOOSE(CONTROL!$C$9, $D$9, 100%, $F$9) + CHOOSE(CONTROL!$C$27, 0.0021, 0)</f>
        <v>46.169800000000002</v>
      </c>
      <c r="L415" s="10"/>
    </row>
    <row r="416" spans="1:12" ht="15.75" x14ac:dyDescent="0.25">
      <c r="A416" s="14">
        <v>53600</v>
      </c>
      <c r="B416" s="10">
        <f>47.501 * CHOOSE(CONTROL!$C$9, $D$9, 100%, $F$9) + CHOOSE(CONTROL!$C$27, 0.0021, 0)</f>
        <v>47.503099999999996</v>
      </c>
      <c r="C416" s="10">
        <f>47.0687 * CHOOSE(CONTROL!$C$9, $D$9, 100%, $F$9) + CHOOSE(CONTROL!$C$27, 0.0021, 0)</f>
        <v>47.070799999999998</v>
      </c>
      <c r="D416" s="10">
        <f>47.0687 * CHOOSE(CONTROL!$C$9, $D$9, 100%, $F$9) + CHOOSE(CONTROL!$C$27, 0.0021, 0)</f>
        <v>47.070799999999998</v>
      </c>
      <c r="E416" s="10">
        <f>46.9321 * CHOOSE(CONTROL!$C$9, $D$9, 100%, $F$9) + CHOOSE(CONTROL!$C$27, 0.0021, 0)</f>
        <v>46.934199999999997</v>
      </c>
      <c r="F416" s="10">
        <f>46.9321 * CHOOSE(CONTROL!$C$9, $D$9, 100%, $F$9) + CHOOSE(CONTROL!$C$27, 0.0021, 0)</f>
        <v>46.934199999999997</v>
      </c>
      <c r="G416" s="10">
        <f>47.2034 * CHOOSE(CONTROL!$C$9, $D$9, 100%, $F$9) + CHOOSE(CONTROL!$C$27, 0.0021, 0)</f>
        <v>47.205500000000001</v>
      </c>
      <c r="H416" s="10">
        <f>47.0687 * CHOOSE(CONTROL!$C$9, $D$9, 100%, $F$9) + CHOOSE(CONTROL!$C$27, 0.0021, 0)</f>
        <v>47.070799999999998</v>
      </c>
      <c r="I416" s="10">
        <f>47.0687 * CHOOSE(CONTROL!$C$9, $D$9, 100%, $F$9) + CHOOSE(CONTROL!$C$27, 0.0021, 0)</f>
        <v>47.070799999999998</v>
      </c>
      <c r="J416" s="10">
        <f>47.0687 * CHOOSE(CONTROL!$C$9, $D$9, 100%, $F$9) + CHOOSE(CONTROL!$C$27, 0.0021, 0)</f>
        <v>47.070799999999998</v>
      </c>
      <c r="K416" s="10">
        <f>47.0687 * CHOOSE(CONTROL!$C$9, $D$9, 100%, $F$9) + CHOOSE(CONTROL!$C$27, 0.0021, 0)</f>
        <v>47.070799999999998</v>
      </c>
      <c r="L416" s="10"/>
    </row>
    <row r="417" spans="1:12" ht="15.75" x14ac:dyDescent="0.25">
      <c r="A417" s="14">
        <v>53631</v>
      </c>
      <c r="B417" s="10">
        <f>48.6415 * CHOOSE(CONTROL!$C$9, $D$9, 100%, $F$9) + CHOOSE(CONTROL!$C$27, 0.0021, 0)</f>
        <v>48.643599999999999</v>
      </c>
      <c r="C417" s="10">
        <f>48.2092 * CHOOSE(CONTROL!$C$9, $D$9, 100%, $F$9) + CHOOSE(CONTROL!$C$27, 0.0021, 0)</f>
        <v>48.211300000000001</v>
      </c>
      <c r="D417" s="10">
        <f>48.2092 * CHOOSE(CONTROL!$C$9, $D$9, 100%, $F$9) + CHOOSE(CONTROL!$C$27, 0.0021, 0)</f>
        <v>48.211300000000001</v>
      </c>
      <c r="E417" s="10">
        <f>48.0726 * CHOOSE(CONTROL!$C$9, $D$9, 100%, $F$9) + CHOOSE(CONTROL!$C$27, 0.0021, 0)</f>
        <v>48.0747</v>
      </c>
      <c r="F417" s="10">
        <f>48.0726 * CHOOSE(CONTROL!$C$9, $D$9, 100%, $F$9) + CHOOSE(CONTROL!$C$27, 0.0021, 0)</f>
        <v>48.0747</v>
      </c>
      <c r="G417" s="10">
        <f>48.3439 * CHOOSE(CONTROL!$C$9, $D$9, 100%, $F$9) + CHOOSE(CONTROL!$C$27, 0.0021, 0)</f>
        <v>48.345999999999997</v>
      </c>
      <c r="H417" s="10">
        <f>48.2092 * CHOOSE(CONTROL!$C$9, $D$9, 100%, $F$9) + CHOOSE(CONTROL!$C$27, 0.0021, 0)</f>
        <v>48.211300000000001</v>
      </c>
      <c r="I417" s="10">
        <f>48.2092 * CHOOSE(CONTROL!$C$9, $D$9, 100%, $F$9) + CHOOSE(CONTROL!$C$27, 0.0021, 0)</f>
        <v>48.211300000000001</v>
      </c>
      <c r="J417" s="10">
        <f>48.2092 * CHOOSE(CONTROL!$C$9, $D$9, 100%, $F$9) + CHOOSE(CONTROL!$C$27, 0.0021, 0)</f>
        <v>48.211300000000001</v>
      </c>
      <c r="K417" s="10">
        <f>48.2092 * CHOOSE(CONTROL!$C$9, $D$9, 100%, $F$9) + CHOOSE(CONTROL!$C$27, 0.0021, 0)</f>
        <v>48.211300000000001</v>
      </c>
      <c r="L417" s="10"/>
    </row>
    <row r="418" spans="1:12" ht="15.75" x14ac:dyDescent="0.25">
      <c r="A418" s="14">
        <v>53661</v>
      </c>
      <c r="B418" s="10">
        <f>48.7485 * CHOOSE(CONTROL!$C$9, $D$9, 100%, $F$9) + CHOOSE(CONTROL!$C$27, 0.0021, 0)</f>
        <v>48.750599999999999</v>
      </c>
      <c r="C418" s="10">
        <f>48.3163 * CHOOSE(CONTROL!$C$9, $D$9, 100%, $F$9) + CHOOSE(CONTROL!$C$27, 0.0021, 0)</f>
        <v>48.318399999999997</v>
      </c>
      <c r="D418" s="10">
        <f>48.3163 * CHOOSE(CONTROL!$C$9, $D$9, 100%, $F$9) + CHOOSE(CONTROL!$C$27, 0.0021, 0)</f>
        <v>48.318399999999997</v>
      </c>
      <c r="E418" s="10">
        <f>48.1796 * CHOOSE(CONTROL!$C$9, $D$9, 100%, $F$9) + CHOOSE(CONTROL!$C$27, 0.0021, 0)</f>
        <v>48.181699999999999</v>
      </c>
      <c r="F418" s="10">
        <f>48.1796 * CHOOSE(CONTROL!$C$9, $D$9, 100%, $F$9) + CHOOSE(CONTROL!$C$27, 0.0021, 0)</f>
        <v>48.181699999999999</v>
      </c>
      <c r="G418" s="10">
        <f>48.451 * CHOOSE(CONTROL!$C$9, $D$9, 100%, $F$9) + CHOOSE(CONTROL!$C$27, 0.0021, 0)</f>
        <v>48.453099999999999</v>
      </c>
      <c r="H418" s="10">
        <f>48.3163 * CHOOSE(CONTROL!$C$9, $D$9, 100%, $F$9) + CHOOSE(CONTROL!$C$27, 0.0021, 0)</f>
        <v>48.318399999999997</v>
      </c>
      <c r="I418" s="10">
        <f>48.3163 * CHOOSE(CONTROL!$C$9, $D$9, 100%, $F$9) + CHOOSE(CONTROL!$C$27, 0.0021, 0)</f>
        <v>48.318399999999997</v>
      </c>
      <c r="J418" s="10">
        <f>48.3163 * CHOOSE(CONTROL!$C$9, $D$9, 100%, $F$9) + CHOOSE(CONTROL!$C$27, 0.0021, 0)</f>
        <v>48.318399999999997</v>
      </c>
      <c r="K418" s="10">
        <f>48.3163 * CHOOSE(CONTROL!$C$9, $D$9, 100%, $F$9) + CHOOSE(CONTROL!$C$27, 0.0021, 0)</f>
        <v>48.318399999999997</v>
      </c>
      <c r="L418" s="10"/>
    </row>
    <row r="419" spans="1:12" ht="15.75" x14ac:dyDescent="0.25">
      <c r="A419" s="14">
        <v>53692</v>
      </c>
      <c r="B419" s="10">
        <f>47.8376 * CHOOSE(CONTROL!$C$9, $D$9, 100%, $F$9) + CHOOSE(CONTROL!$C$27, 0.0021, 0)</f>
        <v>47.839700000000001</v>
      </c>
      <c r="C419" s="10">
        <f>47.4054 * CHOOSE(CONTROL!$C$9, $D$9, 100%, $F$9) + CHOOSE(CONTROL!$C$27, 0.0021, 0)</f>
        <v>47.407499999999999</v>
      </c>
      <c r="D419" s="10">
        <f>47.4054 * CHOOSE(CONTROL!$C$9, $D$9, 100%, $F$9) + CHOOSE(CONTROL!$C$27, 0.0021, 0)</f>
        <v>47.407499999999999</v>
      </c>
      <c r="E419" s="10">
        <f>47.2687 * CHOOSE(CONTROL!$C$9, $D$9, 100%, $F$9) + CHOOSE(CONTROL!$C$27, 0.0021, 0)</f>
        <v>47.270800000000001</v>
      </c>
      <c r="F419" s="10">
        <f>47.2687 * CHOOSE(CONTROL!$C$9, $D$9, 100%, $F$9) + CHOOSE(CONTROL!$C$27, 0.0021, 0)</f>
        <v>47.270800000000001</v>
      </c>
      <c r="G419" s="10">
        <f>47.5401 * CHOOSE(CONTROL!$C$9, $D$9, 100%, $F$9) + CHOOSE(CONTROL!$C$27, 0.0021, 0)</f>
        <v>47.542200000000001</v>
      </c>
      <c r="H419" s="10">
        <f>47.4054 * CHOOSE(CONTROL!$C$9, $D$9, 100%, $F$9) + CHOOSE(CONTROL!$C$27, 0.0021, 0)</f>
        <v>47.407499999999999</v>
      </c>
      <c r="I419" s="10">
        <f>47.4054 * CHOOSE(CONTROL!$C$9, $D$9, 100%, $F$9) + CHOOSE(CONTROL!$C$27, 0.0021, 0)</f>
        <v>47.407499999999999</v>
      </c>
      <c r="J419" s="10">
        <f>47.4054 * CHOOSE(CONTROL!$C$9, $D$9, 100%, $F$9) + CHOOSE(CONTROL!$C$27, 0.0021, 0)</f>
        <v>47.407499999999999</v>
      </c>
      <c r="K419" s="10">
        <f>47.4054 * CHOOSE(CONTROL!$C$9, $D$9, 100%, $F$9) + CHOOSE(CONTROL!$C$27, 0.0021, 0)</f>
        <v>47.407499999999999</v>
      </c>
      <c r="L419" s="10"/>
    </row>
    <row r="420" spans="1:12" ht="15.75" x14ac:dyDescent="0.25">
      <c r="A420" s="14">
        <v>53723</v>
      </c>
      <c r="B420" s="10">
        <f>47.2409 * CHOOSE(CONTROL!$C$9, $D$9, 100%, $F$9) + CHOOSE(CONTROL!$C$27, 0.0021, 0)</f>
        <v>47.243000000000002</v>
      </c>
      <c r="C420" s="10">
        <f>46.8086 * CHOOSE(CONTROL!$C$9, $D$9, 100%, $F$9) + CHOOSE(CONTROL!$C$27, 0.0021, 0)</f>
        <v>46.810699999999997</v>
      </c>
      <c r="D420" s="10">
        <f>46.8086 * CHOOSE(CONTROL!$C$9, $D$9, 100%, $F$9) + CHOOSE(CONTROL!$C$27, 0.0021, 0)</f>
        <v>46.810699999999997</v>
      </c>
      <c r="E420" s="10">
        <f>46.672 * CHOOSE(CONTROL!$C$9, $D$9, 100%, $F$9) + CHOOSE(CONTROL!$C$27, 0.0021, 0)</f>
        <v>46.674099999999996</v>
      </c>
      <c r="F420" s="10">
        <f>46.672 * CHOOSE(CONTROL!$C$9, $D$9, 100%, $F$9) + CHOOSE(CONTROL!$C$27, 0.0021, 0)</f>
        <v>46.674099999999996</v>
      </c>
      <c r="G420" s="10">
        <f>46.9434 * CHOOSE(CONTROL!$C$9, $D$9, 100%, $F$9) + CHOOSE(CONTROL!$C$27, 0.0021, 0)</f>
        <v>46.945499999999996</v>
      </c>
      <c r="H420" s="10">
        <f>46.8086 * CHOOSE(CONTROL!$C$9, $D$9, 100%, $F$9) + CHOOSE(CONTROL!$C$27, 0.0021, 0)</f>
        <v>46.810699999999997</v>
      </c>
      <c r="I420" s="10">
        <f>46.8086 * CHOOSE(CONTROL!$C$9, $D$9, 100%, $F$9) + CHOOSE(CONTROL!$C$27, 0.0021, 0)</f>
        <v>46.810699999999997</v>
      </c>
      <c r="J420" s="10">
        <f>46.8086 * CHOOSE(CONTROL!$C$9, $D$9, 100%, $F$9) + CHOOSE(CONTROL!$C$27, 0.0021, 0)</f>
        <v>46.810699999999997</v>
      </c>
      <c r="K420" s="10">
        <f>46.8086 * CHOOSE(CONTROL!$C$9, $D$9, 100%, $F$9) + CHOOSE(CONTROL!$C$27, 0.0021, 0)</f>
        <v>46.810699999999997</v>
      </c>
      <c r="L420" s="10"/>
    </row>
    <row r="421" spans="1:12" ht="15.75" x14ac:dyDescent="0.25">
      <c r="A421" s="14">
        <v>53751</v>
      </c>
      <c r="B421" s="10">
        <f>45.9695 * CHOOSE(CONTROL!$C$9, $D$9, 100%, $F$9) + CHOOSE(CONTROL!$C$27, 0.0021, 0)</f>
        <v>45.971599999999995</v>
      </c>
      <c r="C421" s="10">
        <f>45.5373 * CHOOSE(CONTROL!$C$9, $D$9, 100%, $F$9) + CHOOSE(CONTROL!$C$27, 0.0021, 0)</f>
        <v>45.539400000000001</v>
      </c>
      <c r="D421" s="10">
        <f>45.5373 * CHOOSE(CONTROL!$C$9, $D$9, 100%, $F$9) + CHOOSE(CONTROL!$C$27, 0.0021, 0)</f>
        <v>45.539400000000001</v>
      </c>
      <c r="E421" s="10">
        <f>45.4006 * CHOOSE(CONTROL!$C$9, $D$9, 100%, $F$9) + CHOOSE(CONTROL!$C$27, 0.0021, 0)</f>
        <v>45.402699999999996</v>
      </c>
      <c r="F421" s="10">
        <f>45.4006 * CHOOSE(CONTROL!$C$9, $D$9, 100%, $F$9) + CHOOSE(CONTROL!$C$27, 0.0021, 0)</f>
        <v>45.402699999999996</v>
      </c>
      <c r="G421" s="10">
        <f>45.672 * CHOOSE(CONTROL!$C$9, $D$9, 100%, $F$9) + CHOOSE(CONTROL!$C$27, 0.0021, 0)</f>
        <v>45.674099999999996</v>
      </c>
      <c r="H421" s="10">
        <f>45.5373 * CHOOSE(CONTROL!$C$9, $D$9, 100%, $F$9) + CHOOSE(CONTROL!$C$27, 0.0021, 0)</f>
        <v>45.539400000000001</v>
      </c>
      <c r="I421" s="10">
        <f>45.5373 * CHOOSE(CONTROL!$C$9, $D$9, 100%, $F$9) + CHOOSE(CONTROL!$C$27, 0.0021, 0)</f>
        <v>45.539400000000001</v>
      </c>
      <c r="J421" s="10">
        <f>45.5373 * CHOOSE(CONTROL!$C$9, $D$9, 100%, $F$9) + CHOOSE(CONTROL!$C$27, 0.0021, 0)</f>
        <v>45.539400000000001</v>
      </c>
      <c r="K421" s="10">
        <f>45.5373 * CHOOSE(CONTROL!$C$9, $D$9, 100%, $F$9) + CHOOSE(CONTROL!$C$27, 0.0021, 0)</f>
        <v>45.539400000000001</v>
      </c>
      <c r="L421" s="10"/>
    </row>
    <row r="422" spans="1:12" ht="15.75" x14ac:dyDescent="0.25">
      <c r="A422" s="14">
        <v>53782</v>
      </c>
      <c r="B422" s="10">
        <f>45.4447 * CHOOSE(CONTROL!$C$9, $D$9, 100%, $F$9) + CHOOSE(CONTROL!$C$27, 0.0021, 0)</f>
        <v>45.446799999999996</v>
      </c>
      <c r="C422" s="10">
        <f>45.0124 * CHOOSE(CONTROL!$C$9, $D$9, 100%, $F$9) + CHOOSE(CONTROL!$C$27, 0.0021, 0)</f>
        <v>45.014499999999998</v>
      </c>
      <c r="D422" s="10">
        <f>45.0124 * CHOOSE(CONTROL!$C$9, $D$9, 100%, $F$9) + CHOOSE(CONTROL!$C$27, 0.0021, 0)</f>
        <v>45.014499999999998</v>
      </c>
      <c r="E422" s="10">
        <f>44.8758 * CHOOSE(CONTROL!$C$9, $D$9, 100%, $F$9) + CHOOSE(CONTROL!$C$27, 0.0021, 0)</f>
        <v>44.877899999999997</v>
      </c>
      <c r="F422" s="10">
        <f>44.8758 * CHOOSE(CONTROL!$C$9, $D$9, 100%, $F$9) + CHOOSE(CONTROL!$C$27, 0.0021, 0)</f>
        <v>44.877899999999997</v>
      </c>
      <c r="G422" s="10">
        <f>45.1472 * CHOOSE(CONTROL!$C$9, $D$9, 100%, $F$9) + CHOOSE(CONTROL!$C$27, 0.0021, 0)</f>
        <v>45.149299999999997</v>
      </c>
      <c r="H422" s="10">
        <f>45.0124 * CHOOSE(CONTROL!$C$9, $D$9, 100%, $F$9) + CHOOSE(CONTROL!$C$27, 0.0021, 0)</f>
        <v>45.014499999999998</v>
      </c>
      <c r="I422" s="10">
        <f>45.0124 * CHOOSE(CONTROL!$C$9, $D$9, 100%, $F$9) + CHOOSE(CONTROL!$C$27, 0.0021, 0)</f>
        <v>45.014499999999998</v>
      </c>
      <c r="J422" s="10">
        <f>45.0124 * CHOOSE(CONTROL!$C$9, $D$9, 100%, $F$9) + CHOOSE(CONTROL!$C$27, 0.0021, 0)</f>
        <v>45.014499999999998</v>
      </c>
      <c r="K422" s="10">
        <f>45.0124 * CHOOSE(CONTROL!$C$9, $D$9, 100%, $F$9) + CHOOSE(CONTROL!$C$27, 0.0021, 0)</f>
        <v>45.014499999999998</v>
      </c>
      <c r="L422" s="10"/>
    </row>
    <row r="423" spans="1:12" ht="15.75" x14ac:dyDescent="0.25">
      <c r="A423" s="14">
        <v>53812</v>
      </c>
      <c r="B423" s="10">
        <f>44.818 * CHOOSE(CONTROL!$C$9, $D$9, 100%, $F$9) + CHOOSE(CONTROL!$C$27, 0.0021, 0)</f>
        <v>44.820099999999996</v>
      </c>
      <c r="C423" s="10">
        <f>44.3858 * CHOOSE(CONTROL!$C$9, $D$9, 100%, $F$9) + CHOOSE(CONTROL!$C$27, 0.0021, 0)</f>
        <v>44.387900000000002</v>
      </c>
      <c r="D423" s="10">
        <f>44.3858 * CHOOSE(CONTROL!$C$9, $D$9, 100%, $F$9) + CHOOSE(CONTROL!$C$27, 0.0021, 0)</f>
        <v>44.387900000000002</v>
      </c>
      <c r="E423" s="10">
        <f>44.2491 * CHOOSE(CONTROL!$C$9, $D$9, 100%, $F$9) + CHOOSE(CONTROL!$C$27, 0.0021, 0)</f>
        <v>44.251199999999997</v>
      </c>
      <c r="F423" s="10">
        <f>44.2491 * CHOOSE(CONTROL!$C$9, $D$9, 100%, $F$9) + CHOOSE(CONTROL!$C$27, 0.0021, 0)</f>
        <v>44.251199999999997</v>
      </c>
      <c r="G423" s="10">
        <f>44.5205 * CHOOSE(CONTROL!$C$9, $D$9, 100%, $F$9) + CHOOSE(CONTROL!$C$27, 0.0021, 0)</f>
        <v>44.522599999999997</v>
      </c>
      <c r="H423" s="10">
        <f>44.3858 * CHOOSE(CONTROL!$C$9, $D$9, 100%, $F$9) + CHOOSE(CONTROL!$C$27, 0.0021, 0)</f>
        <v>44.387900000000002</v>
      </c>
      <c r="I423" s="10">
        <f>44.3858 * CHOOSE(CONTROL!$C$9, $D$9, 100%, $F$9) + CHOOSE(CONTROL!$C$27, 0.0021, 0)</f>
        <v>44.387900000000002</v>
      </c>
      <c r="J423" s="10">
        <f>44.3858 * CHOOSE(CONTROL!$C$9, $D$9, 100%, $F$9) + CHOOSE(CONTROL!$C$27, 0.0021, 0)</f>
        <v>44.387900000000002</v>
      </c>
      <c r="K423" s="10">
        <f>44.3858 * CHOOSE(CONTROL!$C$9, $D$9, 100%, $F$9) + CHOOSE(CONTROL!$C$27, 0.0021, 0)</f>
        <v>44.387900000000002</v>
      </c>
      <c r="L423" s="10"/>
    </row>
    <row r="424" spans="1:12" ht="15.75" x14ac:dyDescent="0.25">
      <c r="A424" s="14">
        <v>53843</v>
      </c>
      <c r="B424" s="10">
        <f>45.7111 * CHOOSE(CONTROL!$C$9, $D$9, 100%, $F$9) + CHOOSE(CONTROL!$C$27, 0.0021, 0)</f>
        <v>45.713200000000001</v>
      </c>
      <c r="C424" s="10">
        <f>45.2788 * CHOOSE(CONTROL!$C$9, $D$9, 100%, $F$9) + CHOOSE(CONTROL!$C$27, 0.0021, 0)</f>
        <v>45.280899999999995</v>
      </c>
      <c r="D424" s="10">
        <f>45.2788 * CHOOSE(CONTROL!$C$9, $D$9, 100%, $F$9) + CHOOSE(CONTROL!$C$27, 0.0021, 0)</f>
        <v>45.280899999999995</v>
      </c>
      <c r="E424" s="10">
        <f>45.1422 * CHOOSE(CONTROL!$C$9, $D$9, 100%, $F$9) + CHOOSE(CONTROL!$C$27, 0.0021, 0)</f>
        <v>45.144300000000001</v>
      </c>
      <c r="F424" s="10">
        <f>45.1422 * CHOOSE(CONTROL!$C$9, $D$9, 100%, $F$9) + CHOOSE(CONTROL!$C$27, 0.0021, 0)</f>
        <v>45.144300000000001</v>
      </c>
      <c r="G424" s="10">
        <f>45.4136 * CHOOSE(CONTROL!$C$9, $D$9, 100%, $F$9) + CHOOSE(CONTROL!$C$27, 0.0021, 0)</f>
        <v>45.415700000000001</v>
      </c>
      <c r="H424" s="10">
        <f>45.2788 * CHOOSE(CONTROL!$C$9, $D$9, 100%, $F$9) + CHOOSE(CONTROL!$C$27, 0.0021, 0)</f>
        <v>45.280899999999995</v>
      </c>
      <c r="I424" s="10">
        <f>45.2788 * CHOOSE(CONTROL!$C$9, $D$9, 100%, $F$9) + CHOOSE(CONTROL!$C$27, 0.0021, 0)</f>
        <v>45.280899999999995</v>
      </c>
      <c r="J424" s="10">
        <f>45.2788 * CHOOSE(CONTROL!$C$9, $D$9, 100%, $F$9) + CHOOSE(CONTROL!$C$27, 0.0021, 0)</f>
        <v>45.280899999999995</v>
      </c>
      <c r="K424" s="10">
        <f>45.2788 * CHOOSE(CONTROL!$C$9, $D$9, 100%, $F$9) + CHOOSE(CONTROL!$C$27, 0.0021, 0)</f>
        <v>45.280899999999995</v>
      </c>
      <c r="L424" s="10"/>
    </row>
    <row r="425" spans="1:12" ht="15.75" x14ac:dyDescent="0.25">
      <c r="A425" s="14">
        <v>53873</v>
      </c>
      <c r="B425" s="10">
        <f>46.246 * CHOOSE(CONTROL!$C$9, $D$9, 100%, $F$9) + CHOOSE(CONTROL!$C$27, 0.0021, 0)</f>
        <v>46.248100000000001</v>
      </c>
      <c r="C425" s="10">
        <f>45.8137 * CHOOSE(CONTROL!$C$9, $D$9, 100%, $F$9) + CHOOSE(CONTROL!$C$27, 0.0021, 0)</f>
        <v>45.815799999999996</v>
      </c>
      <c r="D425" s="10">
        <f>45.8137 * CHOOSE(CONTROL!$C$9, $D$9, 100%, $F$9) + CHOOSE(CONTROL!$C$27, 0.0021, 0)</f>
        <v>45.815799999999996</v>
      </c>
      <c r="E425" s="10">
        <f>45.6771 * CHOOSE(CONTROL!$C$9, $D$9, 100%, $F$9) + CHOOSE(CONTROL!$C$27, 0.0021, 0)</f>
        <v>45.679200000000002</v>
      </c>
      <c r="F425" s="10">
        <f>45.6771 * CHOOSE(CONTROL!$C$9, $D$9, 100%, $F$9) + CHOOSE(CONTROL!$C$27, 0.0021, 0)</f>
        <v>45.679200000000002</v>
      </c>
      <c r="G425" s="10">
        <f>45.9485 * CHOOSE(CONTROL!$C$9, $D$9, 100%, $F$9) + CHOOSE(CONTROL!$C$27, 0.0021, 0)</f>
        <v>45.950600000000001</v>
      </c>
      <c r="H425" s="10">
        <f>45.8137 * CHOOSE(CONTROL!$C$9, $D$9, 100%, $F$9) + CHOOSE(CONTROL!$C$27, 0.0021, 0)</f>
        <v>45.815799999999996</v>
      </c>
      <c r="I425" s="10">
        <f>45.8137 * CHOOSE(CONTROL!$C$9, $D$9, 100%, $F$9) + CHOOSE(CONTROL!$C$27, 0.0021, 0)</f>
        <v>45.815799999999996</v>
      </c>
      <c r="J425" s="10">
        <f>45.8137 * CHOOSE(CONTROL!$C$9, $D$9, 100%, $F$9) + CHOOSE(CONTROL!$C$27, 0.0021, 0)</f>
        <v>45.815799999999996</v>
      </c>
      <c r="K425" s="10">
        <f>45.8137 * CHOOSE(CONTROL!$C$9, $D$9, 100%, $F$9) + CHOOSE(CONTROL!$C$27, 0.0021, 0)</f>
        <v>45.815799999999996</v>
      </c>
      <c r="L425" s="10"/>
    </row>
    <row r="426" spans="1:12" ht="15.75" x14ac:dyDescent="0.25">
      <c r="A426" s="14">
        <v>53904</v>
      </c>
      <c r="B426" s="10">
        <f>47.1284 * CHOOSE(CONTROL!$C$9, $D$9, 100%, $F$9) + CHOOSE(CONTROL!$C$27, 0.0021, 0)</f>
        <v>47.130499999999998</v>
      </c>
      <c r="C426" s="10">
        <f>46.6961 * CHOOSE(CONTROL!$C$9, $D$9, 100%, $F$9) + CHOOSE(CONTROL!$C$27, 0.0021, 0)</f>
        <v>46.6982</v>
      </c>
      <c r="D426" s="10">
        <f>46.6961 * CHOOSE(CONTROL!$C$9, $D$9, 100%, $F$9) + CHOOSE(CONTROL!$C$27, 0.0021, 0)</f>
        <v>46.6982</v>
      </c>
      <c r="E426" s="10">
        <f>46.5595 * CHOOSE(CONTROL!$C$9, $D$9, 100%, $F$9) + CHOOSE(CONTROL!$C$27, 0.0021, 0)</f>
        <v>46.561599999999999</v>
      </c>
      <c r="F426" s="10">
        <f>46.5595 * CHOOSE(CONTROL!$C$9, $D$9, 100%, $F$9) + CHOOSE(CONTROL!$C$27, 0.0021, 0)</f>
        <v>46.561599999999999</v>
      </c>
      <c r="G426" s="10">
        <f>46.8309 * CHOOSE(CONTROL!$C$9, $D$9, 100%, $F$9) + CHOOSE(CONTROL!$C$27, 0.0021, 0)</f>
        <v>46.832999999999998</v>
      </c>
      <c r="H426" s="10">
        <f>46.6961 * CHOOSE(CONTROL!$C$9, $D$9, 100%, $F$9) + CHOOSE(CONTROL!$C$27, 0.0021, 0)</f>
        <v>46.6982</v>
      </c>
      <c r="I426" s="10">
        <f>46.6961 * CHOOSE(CONTROL!$C$9, $D$9, 100%, $F$9) + CHOOSE(CONTROL!$C$27, 0.0021, 0)</f>
        <v>46.6982</v>
      </c>
      <c r="J426" s="10">
        <f>46.6961 * CHOOSE(CONTROL!$C$9, $D$9, 100%, $F$9) + CHOOSE(CONTROL!$C$27, 0.0021, 0)</f>
        <v>46.6982</v>
      </c>
      <c r="K426" s="10">
        <f>46.6961 * CHOOSE(CONTROL!$C$9, $D$9, 100%, $F$9) + CHOOSE(CONTROL!$C$27, 0.0021, 0)</f>
        <v>46.6982</v>
      </c>
      <c r="L426" s="10"/>
    </row>
    <row r="427" spans="1:12" ht="15.75" x14ac:dyDescent="0.25">
      <c r="A427" s="14">
        <v>53935</v>
      </c>
      <c r="B427" s="10">
        <f>47.3977 * CHOOSE(CONTROL!$C$9, $D$9, 100%, $F$9) + CHOOSE(CONTROL!$C$27, 0.0021, 0)</f>
        <v>47.399799999999999</v>
      </c>
      <c r="C427" s="10">
        <f>46.9655 * CHOOSE(CONTROL!$C$9, $D$9, 100%, $F$9) + CHOOSE(CONTROL!$C$27, 0.0021, 0)</f>
        <v>46.967599999999997</v>
      </c>
      <c r="D427" s="10">
        <f>46.9655 * CHOOSE(CONTROL!$C$9, $D$9, 100%, $F$9) + CHOOSE(CONTROL!$C$27, 0.0021, 0)</f>
        <v>46.967599999999997</v>
      </c>
      <c r="E427" s="10">
        <f>46.8288 * CHOOSE(CONTROL!$C$9, $D$9, 100%, $F$9) + CHOOSE(CONTROL!$C$27, 0.0021, 0)</f>
        <v>46.8309</v>
      </c>
      <c r="F427" s="10">
        <f>46.8288 * CHOOSE(CONTROL!$C$9, $D$9, 100%, $F$9) + CHOOSE(CONTROL!$C$27, 0.0021, 0)</f>
        <v>46.8309</v>
      </c>
      <c r="G427" s="10">
        <f>47.1002 * CHOOSE(CONTROL!$C$9, $D$9, 100%, $F$9) + CHOOSE(CONTROL!$C$27, 0.0021, 0)</f>
        <v>47.1023</v>
      </c>
      <c r="H427" s="10">
        <f>46.9655 * CHOOSE(CONTROL!$C$9, $D$9, 100%, $F$9) + CHOOSE(CONTROL!$C$27, 0.0021, 0)</f>
        <v>46.967599999999997</v>
      </c>
      <c r="I427" s="10">
        <f>46.9655 * CHOOSE(CONTROL!$C$9, $D$9, 100%, $F$9) + CHOOSE(CONTROL!$C$27, 0.0021, 0)</f>
        <v>46.967599999999997</v>
      </c>
      <c r="J427" s="10">
        <f>46.9655 * CHOOSE(CONTROL!$C$9, $D$9, 100%, $F$9) + CHOOSE(CONTROL!$C$27, 0.0021, 0)</f>
        <v>46.967599999999997</v>
      </c>
      <c r="K427" s="10">
        <f>46.9655 * CHOOSE(CONTROL!$C$9, $D$9, 100%, $F$9) + CHOOSE(CONTROL!$C$27, 0.0021, 0)</f>
        <v>46.967599999999997</v>
      </c>
      <c r="L427" s="10"/>
    </row>
    <row r="428" spans="1:12" ht="15.75" x14ac:dyDescent="0.25">
      <c r="A428" s="14">
        <v>53965</v>
      </c>
      <c r="B428" s="10">
        <f>48.3149 * CHOOSE(CONTROL!$C$9, $D$9, 100%, $F$9) + CHOOSE(CONTROL!$C$27, 0.0021, 0)</f>
        <v>48.317</v>
      </c>
      <c r="C428" s="10">
        <f>47.8827 * CHOOSE(CONTROL!$C$9, $D$9, 100%, $F$9) + CHOOSE(CONTROL!$C$27, 0.0021, 0)</f>
        <v>47.884799999999998</v>
      </c>
      <c r="D428" s="10">
        <f>47.8827 * CHOOSE(CONTROL!$C$9, $D$9, 100%, $F$9) + CHOOSE(CONTROL!$C$27, 0.0021, 0)</f>
        <v>47.884799999999998</v>
      </c>
      <c r="E428" s="10">
        <f>47.746 * CHOOSE(CONTROL!$C$9, $D$9, 100%, $F$9) + CHOOSE(CONTROL!$C$27, 0.0021, 0)</f>
        <v>47.748100000000001</v>
      </c>
      <c r="F428" s="10">
        <f>47.746 * CHOOSE(CONTROL!$C$9, $D$9, 100%, $F$9) + CHOOSE(CONTROL!$C$27, 0.0021, 0)</f>
        <v>47.748100000000001</v>
      </c>
      <c r="G428" s="10">
        <f>48.0174 * CHOOSE(CONTROL!$C$9, $D$9, 100%, $F$9) + CHOOSE(CONTROL!$C$27, 0.0021, 0)</f>
        <v>48.019500000000001</v>
      </c>
      <c r="H428" s="10">
        <f>47.8827 * CHOOSE(CONTROL!$C$9, $D$9, 100%, $F$9) + CHOOSE(CONTROL!$C$27, 0.0021, 0)</f>
        <v>47.884799999999998</v>
      </c>
      <c r="I428" s="10">
        <f>47.8827 * CHOOSE(CONTROL!$C$9, $D$9, 100%, $F$9) + CHOOSE(CONTROL!$C$27, 0.0021, 0)</f>
        <v>47.884799999999998</v>
      </c>
      <c r="J428" s="10">
        <f>47.8827 * CHOOSE(CONTROL!$C$9, $D$9, 100%, $F$9) + CHOOSE(CONTROL!$C$27, 0.0021, 0)</f>
        <v>47.884799999999998</v>
      </c>
      <c r="K428" s="10">
        <f>47.8827 * CHOOSE(CONTROL!$C$9, $D$9, 100%, $F$9) + CHOOSE(CONTROL!$C$27, 0.0021, 0)</f>
        <v>47.884799999999998</v>
      </c>
      <c r="L428" s="10"/>
    </row>
    <row r="429" spans="1:12" ht="15.75" x14ac:dyDescent="0.25">
      <c r="A429" s="14">
        <v>53996</v>
      </c>
      <c r="B429" s="10">
        <f>49.476 * CHOOSE(CONTROL!$C$9, $D$9, 100%, $F$9) + CHOOSE(CONTROL!$C$27, 0.0021, 0)</f>
        <v>49.478099999999998</v>
      </c>
      <c r="C429" s="10">
        <f>49.0437 * CHOOSE(CONTROL!$C$9, $D$9, 100%, $F$9) + CHOOSE(CONTROL!$C$27, 0.0021, 0)</f>
        <v>49.0458</v>
      </c>
      <c r="D429" s="10">
        <f>49.0437 * CHOOSE(CONTROL!$C$9, $D$9, 100%, $F$9) + CHOOSE(CONTROL!$C$27, 0.0021, 0)</f>
        <v>49.0458</v>
      </c>
      <c r="E429" s="10">
        <f>48.9071 * CHOOSE(CONTROL!$C$9, $D$9, 100%, $F$9) + CHOOSE(CONTROL!$C$27, 0.0021, 0)</f>
        <v>48.909199999999998</v>
      </c>
      <c r="F429" s="10">
        <f>48.9071 * CHOOSE(CONTROL!$C$9, $D$9, 100%, $F$9) + CHOOSE(CONTROL!$C$27, 0.0021, 0)</f>
        <v>48.909199999999998</v>
      </c>
      <c r="G429" s="10">
        <f>49.1784 * CHOOSE(CONTROL!$C$9, $D$9, 100%, $F$9) + CHOOSE(CONTROL!$C$27, 0.0021, 0)</f>
        <v>49.180500000000002</v>
      </c>
      <c r="H429" s="10">
        <f>49.0437 * CHOOSE(CONTROL!$C$9, $D$9, 100%, $F$9) + CHOOSE(CONTROL!$C$27, 0.0021, 0)</f>
        <v>49.0458</v>
      </c>
      <c r="I429" s="10">
        <f>49.0437 * CHOOSE(CONTROL!$C$9, $D$9, 100%, $F$9) + CHOOSE(CONTROL!$C$27, 0.0021, 0)</f>
        <v>49.0458</v>
      </c>
      <c r="J429" s="10">
        <f>49.0437 * CHOOSE(CONTROL!$C$9, $D$9, 100%, $F$9) + CHOOSE(CONTROL!$C$27, 0.0021, 0)</f>
        <v>49.0458</v>
      </c>
      <c r="K429" s="10">
        <f>49.0437 * CHOOSE(CONTROL!$C$9, $D$9, 100%, $F$9) + CHOOSE(CONTROL!$C$27, 0.0021, 0)</f>
        <v>49.0458</v>
      </c>
      <c r="L429" s="10"/>
    </row>
    <row r="430" spans="1:12" ht="15.75" x14ac:dyDescent="0.25">
      <c r="A430" s="14">
        <v>54026</v>
      </c>
      <c r="B430" s="10">
        <f>49.585 * CHOOSE(CONTROL!$C$9, $D$9, 100%, $F$9) + CHOOSE(CONTROL!$C$27, 0.0021, 0)</f>
        <v>49.5871</v>
      </c>
      <c r="C430" s="10">
        <f>49.1527 * CHOOSE(CONTROL!$C$9, $D$9, 100%, $F$9) + CHOOSE(CONTROL!$C$27, 0.0021, 0)</f>
        <v>49.154800000000002</v>
      </c>
      <c r="D430" s="10">
        <f>49.1527 * CHOOSE(CONTROL!$C$9, $D$9, 100%, $F$9) + CHOOSE(CONTROL!$C$27, 0.0021, 0)</f>
        <v>49.154800000000002</v>
      </c>
      <c r="E430" s="10">
        <f>49.0161 * CHOOSE(CONTROL!$C$9, $D$9, 100%, $F$9) + CHOOSE(CONTROL!$C$27, 0.0021, 0)</f>
        <v>49.0182</v>
      </c>
      <c r="F430" s="10">
        <f>49.0161 * CHOOSE(CONTROL!$C$9, $D$9, 100%, $F$9) + CHOOSE(CONTROL!$C$27, 0.0021, 0)</f>
        <v>49.0182</v>
      </c>
      <c r="G430" s="10">
        <f>49.2874 * CHOOSE(CONTROL!$C$9, $D$9, 100%, $F$9) + CHOOSE(CONTROL!$C$27, 0.0021, 0)</f>
        <v>49.289499999999997</v>
      </c>
      <c r="H430" s="10">
        <f>49.1527 * CHOOSE(CONTROL!$C$9, $D$9, 100%, $F$9) + CHOOSE(CONTROL!$C$27, 0.0021, 0)</f>
        <v>49.154800000000002</v>
      </c>
      <c r="I430" s="10">
        <f>49.1527 * CHOOSE(CONTROL!$C$9, $D$9, 100%, $F$9) + CHOOSE(CONTROL!$C$27, 0.0021, 0)</f>
        <v>49.154800000000002</v>
      </c>
      <c r="J430" s="10">
        <f>49.1527 * CHOOSE(CONTROL!$C$9, $D$9, 100%, $F$9) + CHOOSE(CONTROL!$C$27, 0.0021, 0)</f>
        <v>49.154800000000002</v>
      </c>
      <c r="K430" s="10">
        <f>49.1527 * CHOOSE(CONTROL!$C$9, $D$9, 100%, $F$9) + CHOOSE(CONTROL!$C$27, 0.0021, 0)</f>
        <v>49.154800000000002</v>
      </c>
      <c r="L430" s="10"/>
    </row>
    <row r="431" spans="1:12" ht="15.75" x14ac:dyDescent="0.25">
      <c r="A431" s="14">
        <v>54057</v>
      </c>
      <c r="B431" s="10">
        <f>48.6577 * CHOOSE(CONTROL!$C$9, $D$9, 100%, $F$9) + CHOOSE(CONTROL!$C$27, 0.0021, 0)</f>
        <v>48.659799999999997</v>
      </c>
      <c r="C431" s="10">
        <f>48.2254 * CHOOSE(CONTROL!$C$9, $D$9, 100%, $F$9) + CHOOSE(CONTROL!$C$27, 0.0021, 0)</f>
        <v>48.227499999999999</v>
      </c>
      <c r="D431" s="10">
        <f>48.2254 * CHOOSE(CONTROL!$C$9, $D$9, 100%, $F$9) + CHOOSE(CONTROL!$C$27, 0.0021, 0)</f>
        <v>48.227499999999999</v>
      </c>
      <c r="E431" s="10">
        <f>48.0888 * CHOOSE(CONTROL!$C$9, $D$9, 100%, $F$9) + CHOOSE(CONTROL!$C$27, 0.0021, 0)</f>
        <v>48.090899999999998</v>
      </c>
      <c r="F431" s="10">
        <f>48.0888 * CHOOSE(CONTROL!$C$9, $D$9, 100%, $F$9) + CHOOSE(CONTROL!$C$27, 0.0021, 0)</f>
        <v>48.090899999999998</v>
      </c>
      <c r="G431" s="10">
        <f>48.3601 * CHOOSE(CONTROL!$C$9, $D$9, 100%, $F$9) + CHOOSE(CONTROL!$C$27, 0.0021, 0)</f>
        <v>48.362200000000001</v>
      </c>
      <c r="H431" s="10">
        <f>48.2254 * CHOOSE(CONTROL!$C$9, $D$9, 100%, $F$9) + CHOOSE(CONTROL!$C$27, 0.0021, 0)</f>
        <v>48.227499999999999</v>
      </c>
      <c r="I431" s="10">
        <f>48.2254 * CHOOSE(CONTROL!$C$9, $D$9, 100%, $F$9) + CHOOSE(CONTROL!$C$27, 0.0021, 0)</f>
        <v>48.227499999999999</v>
      </c>
      <c r="J431" s="10">
        <f>48.2254 * CHOOSE(CONTROL!$C$9, $D$9, 100%, $F$9) + CHOOSE(CONTROL!$C$27, 0.0021, 0)</f>
        <v>48.227499999999999</v>
      </c>
      <c r="K431" s="10">
        <f>48.2254 * CHOOSE(CONTROL!$C$9, $D$9, 100%, $F$9) + CHOOSE(CONTROL!$C$27, 0.0021, 0)</f>
        <v>48.227499999999999</v>
      </c>
      <c r="L431" s="10"/>
    </row>
    <row r="432" spans="1:12" ht="15.75" x14ac:dyDescent="0.25">
      <c r="A432" s="14">
        <v>54088</v>
      </c>
      <c r="B432" s="10">
        <f>48.0502 * CHOOSE(CONTROL!$C$9, $D$9, 100%, $F$9) + CHOOSE(CONTROL!$C$27, 0.0021, 0)</f>
        <v>48.052299999999995</v>
      </c>
      <c r="C432" s="10">
        <f>47.6179 * CHOOSE(CONTROL!$C$9, $D$9, 100%, $F$9) + CHOOSE(CONTROL!$C$27, 0.0021, 0)</f>
        <v>47.62</v>
      </c>
      <c r="D432" s="10">
        <f>47.6179 * CHOOSE(CONTROL!$C$9, $D$9, 100%, $F$9) + CHOOSE(CONTROL!$C$27, 0.0021, 0)</f>
        <v>47.62</v>
      </c>
      <c r="E432" s="10">
        <f>47.4813 * CHOOSE(CONTROL!$C$9, $D$9, 100%, $F$9) + CHOOSE(CONTROL!$C$27, 0.0021, 0)</f>
        <v>47.483399999999996</v>
      </c>
      <c r="F432" s="10">
        <f>47.4813 * CHOOSE(CONTROL!$C$9, $D$9, 100%, $F$9) + CHOOSE(CONTROL!$C$27, 0.0021, 0)</f>
        <v>47.483399999999996</v>
      </c>
      <c r="G432" s="10">
        <f>47.7527 * CHOOSE(CONTROL!$C$9, $D$9, 100%, $F$9) + CHOOSE(CONTROL!$C$27, 0.0021, 0)</f>
        <v>47.754799999999996</v>
      </c>
      <c r="H432" s="10">
        <f>47.6179 * CHOOSE(CONTROL!$C$9, $D$9, 100%, $F$9) + CHOOSE(CONTROL!$C$27, 0.0021, 0)</f>
        <v>47.62</v>
      </c>
      <c r="I432" s="10">
        <f>47.6179 * CHOOSE(CONTROL!$C$9, $D$9, 100%, $F$9) + CHOOSE(CONTROL!$C$27, 0.0021, 0)</f>
        <v>47.62</v>
      </c>
      <c r="J432" s="10">
        <f>47.6179 * CHOOSE(CONTROL!$C$9, $D$9, 100%, $F$9) + CHOOSE(CONTROL!$C$27, 0.0021, 0)</f>
        <v>47.62</v>
      </c>
      <c r="K432" s="10">
        <f>47.6179 * CHOOSE(CONTROL!$C$9, $D$9, 100%, $F$9) + CHOOSE(CONTROL!$C$27, 0.0021, 0)</f>
        <v>47.62</v>
      </c>
      <c r="L432" s="10"/>
    </row>
    <row r="433" spans="1:12" ht="15.75" x14ac:dyDescent="0.25">
      <c r="A433" s="14">
        <v>54116</v>
      </c>
      <c r="B433" s="10">
        <f>46.7559 * CHOOSE(CONTROL!$C$9, $D$9, 100%, $F$9) + CHOOSE(CONTROL!$C$27, 0.0021, 0)</f>
        <v>46.757999999999996</v>
      </c>
      <c r="C433" s="10">
        <f>46.3237 * CHOOSE(CONTROL!$C$9, $D$9, 100%, $F$9) + CHOOSE(CONTROL!$C$27, 0.0021, 0)</f>
        <v>46.325800000000001</v>
      </c>
      <c r="D433" s="10">
        <f>46.3237 * CHOOSE(CONTROL!$C$9, $D$9, 100%, $F$9) + CHOOSE(CONTROL!$C$27, 0.0021, 0)</f>
        <v>46.325800000000001</v>
      </c>
      <c r="E433" s="10">
        <f>46.187 * CHOOSE(CONTROL!$C$9, $D$9, 100%, $F$9) + CHOOSE(CONTROL!$C$27, 0.0021, 0)</f>
        <v>46.189099999999996</v>
      </c>
      <c r="F433" s="10">
        <f>46.187 * CHOOSE(CONTROL!$C$9, $D$9, 100%, $F$9) + CHOOSE(CONTROL!$C$27, 0.0021, 0)</f>
        <v>46.189099999999996</v>
      </c>
      <c r="G433" s="10">
        <f>46.4584 * CHOOSE(CONTROL!$C$9, $D$9, 100%, $F$9) + CHOOSE(CONTROL!$C$27, 0.0021, 0)</f>
        <v>46.460499999999996</v>
      </c>
      <c r="H433" s="10">
        <f>46.3237 * CHOOSE(CONTROL!$C$9, $D$9, 100%, $F$9) + CHOOSE(CONTROL!$C$27, 0.0021, 0)</f>
        <v>46.325800000000001</v>
      </c>
      <c r="I433" s="10">
        <f>46.3237 * CHOOSE(CONTROL!$C$9, $D$9, 100%, $F$9) + CHOOSE(CONTROL!$C$27, 0.0021, 0)</f>
        <v>46.325800000000001</v>
      </c>
      <c r="J433" s="10">
        <f>46.3237 * CHOOSE(CONTROL!$C$9, $D$9, 100%, $F$9) + CHOOSE(CONTROL!$C$27, 0.0021, 0)</f>
        <v>46.325800000000001</v>
      </c>
      <c r="K433" s="10">
        <f>46.3237 * CHOOSE(CONTROL!$C$9, $D$9, 100%, $F$9) + CHOOSE(CONTROL!$C$27, 0.0021, 0)</f>
        <v>46.325800000000001</v>
      </c>
      <c r="L433" s="10"/>
    </row>
    <row r="434" spans="1:12" ht="15.75" x14ac:dyDescent="0.25">
      <c r="A434" s="14">
        <v>54148</v>
      </c>
      <c r="B434" s="10">
        <f>46.2216 * CHOOSE(CONTROL!$C$9, $D$9, 100%, $F$9) + CHOOSE(CONTROL!$C$27, 0.0021, 0)</f>
        <v>46.223700000000001</v>
      </c>
      <c r="C434" s="10">
        <f>45.7894 * CHOOSE(CONTROL!$C$9, $D$9, 100%, $F$9) + CHOOSE(CONTROL!$C$27, 0.0021, 0)</f>
        <v>45.791499999999999</v>
      </c>
      <c r="D434" s="10">
        <f>45.7894 * CHOOSE(CONTROL!$C$9, $D$9, 100%, $F$9) + CHOOSE(CONTROL!$C$27, 0.0021, 0)</f>
        <v>45.791499999999999</v>
      </c>
      <c r="E434" s="10">
        <f>45.6527 * CHOOSE(CONTROL!$C$9, $D$9, 100%, $F$9) + CHOOSE(CONTROL!$C$27, 0.0021, 0)</f>
        <v>45.654800000000002</v>
      </c>
      <c r="F434" s="10">
        <f>45.6527 * CHOOSE(CONTROL!$C$9, $D$9, 100%, $F$9) + CHOOSE(CONTROL!$C$27, 0.0021, 0)</f>
        <v>45.654800000000002</v>
      </c>
      <c r="G434" s="10">
        <f>45.9241 * CHOOSE(CONTROL!$C$9, $D$9, 100%, $F$9) + CHOOSE(CONTROL!$C$27, 0.0021, 0)</f>
        <v>45.926200000000001</v>
      </c>
      <c r="H434" s="10">
        <f>45.7894 * CHOOSE(CONTROL!$C$9, $D$9, 100%, $F$9) + CHOOSE(CONTROL!$C$27, 0.0021, 0)</f>
        <v>45.791499999999999</v>
      </c>
      <c r="I434" s="10">
        <f>45.7894 * CHOOSE(CONTROL!$C$9, $D$9, 100%, $F$9) + CHOOSE(CONTROL!$C$27, 0.0021, 0)</f>
        <v>45.791499999999999</v>
      </c>
      <c r="J434" s="10">
        <f>45.7894 * CHOOSE(CONTROL!$C$9, $D$9, 100%, $F$9) + CHOOSE(CONTROL!$C$27, 0.0021, 0)</f>
        <v>45.791499999999999</v>
      </c>
      <c r="K434" s="10">
        <f>45.7894 * CHOOSE(CONTROL!$C$9, $D$9, 100%, $F$9) + CHOOSE(CONTROL!$C$27, 0.0021, 0)</f>
        <v>45.791499999999999</v>
      </c>
      <c r="L434" s="10"/>
    </row>
    <row r="435" spans="1:12" ht="15.75" x14ac:dyDescent="0.25">
      <c r="A435" s="14">
        <v>54178</v>
      </c>
      <c r="B435" s="10">
        <f>45.5837 * CHOOSE(CONTROL!$C$9, $D$9, 100%, $F$9) + CHOOSE(CONTROL!$C$27, 0.0021, 0)</f>
        <v>45.585799999999999</v>
      </c>
      <c r="C435" s="10">
        <f>45.1514 * CHOOSE(CONTROL!$C$9, $D$9, 100%, $F$9) + CHOOSE(CONTROL!$C$27, 0.0021, 0)</f>
        <v>45.153500000000001</v>
      </c>
      <c r="D435" s="10">
        <f>45.1514 * CHOOSE(CONTROL!$C$9, $D$9, 100%, $F$9) + CHOOSE(CONTROL!$C$27, 0.0021, 0)</f>
        <v>45.153500000000001</v>
      </c>
      <c r="E435" s="10">
        <f>45.0148 * CHOOSE(CONTROL!$C$9, $D$9, 100%, $F$9) + CHOOSE(CONTROL!$C$27, 0.0021, 0)</f>
        <v>45.0169</v>
      </c>
      <c r="F435" s="10">
        <f>45.0148 * CHOOSE(CONTROL!$C$9, $D$9, 100%, $F$9) + CHOOSE(CONTROL!$C$27, 0.0021, 0)</f>
        <v>45.0169</v>
      </c>
      <c r="G435" s="10">
        <f>45.2862 * CHOOSE(CONTROL!$C$9, $D$9, 100%, $F$9) + CHOOSE(CONTROL!$C$27, 0.0021, 0)</f>
        <v>45.2883</v>
      </c>
      <c r="H435" s="10">
        <f>45.1514 * CHOOSE(CONTROL!$C$9, $D$9, 100%, $F$9) + CHOOSE(CONTROL!$C$27, 0.0021, 0)</f>
        <v>45.153500000000001</v>
      </c>
      <c r="I435" s="10">
        <f>45.1514 * CHOOSE(CONTROL!$C$9, $D$9, 100%, $F$9) + CHOOSE(CONTROL!$C$27, 0.0021, 0)</f>
        <v>45.153500000000001</v>
      </c>
      <c r="J435" s="10">
        <f>45.1514 * CHOOSE(CONTROL!$C$9, $D$9, 100%, $F$9) + CHOOSE(CONTROL!$C$27, 0.0021, 0)</f>
        <v>45.153500000000001</v>
      </c>
      <c r="K435" s="10">
        <f>45.1514 * CHOOSE(CONTROL!$C$9, $D$9, 100%, $F$9) + CHOOSE(CONTROL!$C$27, 0.0021, 0)</f>
        <v>45.153500000000001</v>
      </c>
      <c r="L435" s="10"/>
    </row>
    <row r="436" spans="1:12" ht="15.75" x14ac:dyDescent="0.25">
      <c r="A436" s="14">
        <v>54209</v>
      </c>
      <c r="B436" s="10">
        <f>46.4928 * CHOOSE(CONTROL!$C$9, $D$9, 100%, $F$9) + CHOOSE(CONTROL!$C$27, 0.0021, 0)</f>
        <v>46.494900000000001</v>
      </c>
      <c r="C436" s="10">
        <f>46.0606 * CHOOSE(CONTROL!$C$9, $D$9, 100%, $F$9) + CHOOSE(CONTROL!$C$27, 0.0021, 0)</f>
        <v>46.0627</v>
      </c>
      <c r="D436" s="10">
        <f>46.0606 * CHOOSE(CONTROL!$C$9, $D$9, 100%, $F$9) + CHOOSE(CONTROL!$C$27, 0.0021, 0)</f>
        <v>46.0627</v>
      </c>
      <c r="E436" s="10">
        <f>45.9239 * CHOOSE(CONTROL!$C$9, $D$9, 100%, $F$9) + CHOOSE(CONTROL!$C$27, 0.0021, 0)</f>
        <v>45.926000000000002</v>
      </c>
      <c r="F436" s="10">
        <f>45.9239 * CHOOSE(CONTROL!$C$9, $D$9, 100%, $F$9) + CHOOSE(CONTROL!$C$27, 0.0021, 0)</f>
        <v>45.926000000000002</v>
      </c>
      <c r="G436" s="10">
        <f>46.1953 * CHOOSE(CONTROL!$C$9, $D$9, 100%, $F$9) + CHOOSE(CONTROL!$C$27, 0.0021, 0)</f>
        <v>46.197400000000002</v>
      </c>
      <c r="H436" s="10">
        <f>46.0606 * CHOOSE(CONTROL!$C$9, $D$9, 100%, $F$9) + CHOOSE(CONTROL!$C$27, 0.0021, 0)</f>
        <v>46.0627</v>
      </c>
      <c r="I436" s="10">
        <f>46.0606 * CHOOSE(CONTROL!$C$9, $D$9, 100%, $F$9) + CHOOSE(CONTROL!$C$27, 0.0021, 0)</f>
        <v>46.0627</v>
      </c>
      <c r="J436" s="10">
        <f>46.0606 * CHOOSE(CONTROL!$C$9, $D$9, 100%, $F$9) + CHOOSE(CONTROL!$C$27, 0.0021, 0)</f>
        <v>46.0627</v>
      </c>
      <c r="K436" s="10">
        <f>46.0606 * CHOOSE(CONTROL!$C$9, $D$9, 100%, $F$9) + CHOOSE(CONTROL!$C$27, 0.0021, 0)</f>
        <v>46.0627</v>
      </c>
      <c r="L436" s="10"/>
    </row>
    <row r="437" spans="1:12" ht="15.75" x14ac:dyDescent="0.25">
      <c r="A437" s="14">
        <v>54239</v>
      </c>
      <c r="B437" s="10">
        <f>47.0374 * CHOOSE(CONTROL!$C$9, $D$9, 100%, $F$9) + CHOOSE(CONTROL!$C$27, 0.0021, 0)</f>
        <v>47.039499999999997</v>
      </c>
      <c r="C437" s="10">
        <f>46.6051 * CHOOSE(CONTROL!$C$9, $D$9, 100%, $F$9) + CHOOSE(CONTROL!$C$27, 0.0021, 0)</f>
        <v>46.607199999999999</v>
      </c>
      <c r="D437" s="10">
        <f>46.6051 * CHOOSE(CONTROL!$C$9, $D$9, 100%, $F$9) + CHOOSE(CONTROL!$C$27, 0.0021, 0)</f>
        <v>46.607199999999999</v>
      </c>
      <c r="E437" s="10">
        <f>46.4685 * CHOOSE(CONTROL!$C$9, $D$9, 100%, $F$9) + CHOOSE(CONTROL!$C$27, 0.0021, 0)</f>
        <v>46.470599999999997</v>
      </c>
      <c r="F437" s="10">
        <f>46.4685 * CHOOSE(CONTROL!$C$9, $D$9, 100%, $F$9) + CHOOSE(CONTROL!$C$27, 0.0021, 0)</f>
        <v>46.470599999999997</v>
      </c>
      <c r="G437" s="10">
        <f>46.7398 * CHOOSE(CONTROL!$C$9, $D$9, 100%, $F$9) + CHOOSE(CONTROL!$C$27, 0.0021, 0)</f>
        <v>46.741900000000001</v>
      </c>
      <c r="H437" s="10">
        <f>46.6051 * CHOOSE(CONTROL!$C$9, $D$9, 100%, $F$9) + CHOOSE(CONTROL!$C$27, 0.0021, 0)</f>
        <v>46.607199999999999</v>
      </c>
      <c r="I437" s="10">
        <f>46.6051 * CHOOSE(CONTROL!$C$9, $D$9, 100%, $F$9) + CHOOSE(CONTROL!$C$27, 0.0021, 0)</f>
        <v>46.607199999999999</v>
      </c>
      <c r="J437" s="10">
        <f>46.6051 * CHOOSE(CONTROL!$C$9, $D$9, 100%, $F$9) + CHOOSE(CONTROL!$C$27, 0.0021, 0)</f>
        <v>46.607199999999999</v>
      </c>
      <c r="K437" s="10">
        <f>46.6051 * CHOOSE(CONTROL!$C$9, $D$9, 100%, $F$9) + CHOOSE(CONTROL!$C$27, 0.0021, 0)</f>
        <v>46.607199999999999</v>
      </c>
      <c r="L437" s="10"/>
    </row>
    <row r="438" spans="1:12" ht="15.75" x14ac:dyDescent="0.25">
      <c r="A438" s="14">
        <v>54270</v>
      </c>
      <c r="B438" s="10">
        <f>47.9357 * CHOOSE(CONTROL!$C$9, $D$9, 100%, $F$9) + CHOOSE(CONTROL!$C$27, 0.0021, 0)</f>
        <v>47.937799999999996</v>
      </c>
      <c r="C438" s="10">
        <f>47.5034 * CHOOSE(CONTROL!$C$9, $D$9, 100%, $F$9) + CHOOSE(CONTROL!$C$27, 0.0021, 0)</f>
        <v>47.505499999999998</v>
      </c>
      <c r="D438" s="10">
        <f>47.5034 * CHOOSE(CONTROL!$C$9, $D$9, 100%, $F$9) + CHOOSE(CONTROL!$C$27, 0.0021, 0)</f>
        <v>47.505499999999998</v>
      </c>
      <c r="E438" s="10">
        <f>47.3667 * CHOOSE(CONTROL!$C$9, $D$9, 100%, $F$9) + CHOOSE(CONTROL!$C$27, 0.0021, 0)</f>
        <v>47.3688</v>
      </c>
      <c r="F438" s="10">
        <f>47.3667 * CHOOSE(CONTROL!$C$9, $D$9, 100%, $F$9) + CHOOSE(CONTROL!$C$27, 0.0021, 0)</f>
        <v>47.3688</v>
      </c>
      <c r="G438" s="10">
        <f>47.6381 * CHOOSE(CONTROL!$C$9, $D$9, 100%, $F$9) + CHOOSE(CONTROL!$C$27, 0.0021, 0)</f>
        <v>47.6402</v>
      </c>
      <c r="H438" s="10">
        <f>47.5034 * CHOOSE(CONTROL!$C$9, $D$9, 100%, $F$9) + CHOOSE(CONTROL!$C$27, 0.0021, 0)</f>
        <v>47.505499999999998</v>
      </c>
      <c r="I438" s="10">
        <f>47.5034 * CHOOSE(CONTROL!$C$9, $D$9, 100%, $F$9) + CHOOSE(CONTROL!$C$27, 0.0021, 0)</f>
        <v>47.505499999999998</v>
      </c>
      <c r="J438" s="10">
        <f>47.5034 * CHOOSE(CONTROL!$C$9, $D$9, 100%, $F$9) + CHOOSE(CONTROL!$C$27, 0.0021, 0)</f>
        <v>47.505499999999998</v>
      </c>
      <c r="K438" s="10">
        <f>47.5034 * CHOOSE(CONTROL!$C$9, $D$9, 100%, $F$9) + CHOOSE(CONTROL!$C$27, 0.0021, 0)</f>
        <v>47.505499999999998</v>
      </c>
      <c r="L438" s="10"/>
    </row>
    <row r="439" spans="1:12" ht="15.75" x14ac:dyDescent="0.25">
      <c r="A439" s="14">
        <v>54301</v>
      </c>
      <c r="B439" s="10">
        <f>48.2098 * CHOOSE(CONTROL!$C$9, $D$9, 100%, $F$9) + CHOOSE(CONTROL!$C$27, 0.0021, 0)</f>
        <v>48.2119</v>
      </c>
      <c r="C439" s="10">
        <f>47.7776 * CHOOSE(CONTROL!$C$9, $D$9, 100%, $F$9) + CHOOSE(CONTROL!$C$27, 0.0021, 0)</f>
        <v>47.779699999999998</v>
      </c>
      <c r="D439" s="10">
        <f>47.7776 * CHOOSE(CONTROL!$C$9, $D$9, 100%, $F$9) + CHOOSE(CONTROL!$C$27, 0.0021, 0)</f>
        <v>47.779699999999998</v>
      </c>
      <c r="E439" s="10">
        <f>47.6409 * CHOOSE(CONTROL!$C$9, $D$9, 100%, $F$9) + CHOOSE(CONTROL!$C$27, 0.0021, 0)</f>
        <v>47.643000000000001</v>
      </c>
      <c r="F439" s="10">
        <f>47.6409 * CHOOSE(CONTROL!$C$9, $D$9, 100%, $F$9) + CHOOSE(CONTROL!$C$27, 0.0021, 0)</f>
        <v>47.643000000000001</v>
      </c>
      <c r="G439" s="10">
        <f>47.9123 * CHOOSE(CONTROL!$C$9, $D$9, 100%, $F$9) + CHOOSE(CONTROL!$C$27, 0.0021, 0)</f>
        <v>47.914400000000001</v>
      </c>
      <c r="H439" s="10">
        <f>47.7776 * CHOOSE(CONTROL!$C$9, $D$9, 100%, $F$9) + CHOOSE(CONTROL!$C$27, 0.0021, 0)</f>
        <v>47.779699999999998</v>
      </c>
      <c r="I439" s="10">
        <f>47.7776 * CHOOSE(CONTROL!$C$9, $D$9, 100%, $F$9) + CHOOSE(CONTROL!$C$27, 0.0021, 0)</f>
        <v>47.779699999999998</v>
      </c>
      <c r="J439" s="10">
        <f>47.7776 * CHOOSE(CONTROL!$C$9, $D$9, 100%, $F$9) + CHOOSE(CONTROL!$C$27, 0.0021, 0)</f>
        <v>47.779699999999998</v>
      </c>
      <c r="K439" s="10">
        <f>47.7776 * CHOOSE(CONTROL!$C$9, $D$9, 100%, $F$9) + CHOOSE(CONTROL!$C$27, 0.0021, 0)</f>
        <v>47.779699999999998</v>
      </c>
      <c r="L439" s="10"/>
    </row>
    <row r="440" spans="1:12" ht="15.75" x14ac:dyDescent="0.25">
      <c r="A440" s="14">
        <v>54331</v>
      </c>
      <c r="B440" s="10">
        <f>49.1436 * CHOOSE(CONTROL!$C$9, $D$9, 100%, $F$9) + CHOOSE(CONTROL!$C$27, 0.0021, 0)</f>
        <v>49.145699999999998</v>
      </c>
      <c r="C440" s="10">
        <f>48.7113 * CHOOSE(CONTROL!$C$9, $D$9, 100%, $F$9) + CHOOSE(CONTROL!$C$27, 0.0021, 0)</f>
        <v>48.7134</v>
      </c>
      <c r="D440" s="10">
        <f>48.7113 * CHOOSE(CONTROL!$C$9, $D$9, 100%, $F$9) + CHOOSE(CONTROL!$C$27, 0.0021, 0)</f>
        <v>48.7134</v>
      </c>
      <c r="E440" s="10">
        <f>48.5747 * CHOOSE(CONTROL!$C$9, $D$9, 100%, $F$9) + CHOOSE(CONTROL!$C$27, 0.0021, 0)</f>
        <v>48.576799999999999</v>
      </c>
      <c r="F440" s="10">
        <f>48.5747 * CHOOSE(CONTROL!$C$9, $D$9, 100%, $F$9) + CHOOSE(CONTROL!$C$27, 0.0021, 0)</f>
        <v>48.576799999999999</v>
      </c>
      <c r="G440" s="10">
        <f>48.846 * CHOOSE(CONTROL!$C$9, $D$9, 100%, $F$9) + CHOOSE(CONTROL!$C$27, 0.0021, 0)</f>
        <v>48.848099999999995</v>
      </c>
      <c r="H440" s="10">
        <f>48.7113 * CHOOSE(CONTROL!$C$9, $D$9, 100%, $F$9) + CHOOSE(CONTROL!$C$27, 0.0021, 0)</f>
        <v>48.7134</v>
      </c>
      <c r="I440" s="10">
        <f>48.7113 * CHOOSE(CONTROL!$C$9, $D$9, 100%, $F$9) + CHOOSE(CONTROL!$C$27, 0.0021, 0)</f>
        <v>48.7134</v>
      </c>
      <c r="J440" s="10">
        <f>48.7113 * CHOOSE(CONTROL!$C$9, $D$9, 100%, $F$9) + CHOOSE(CONTROL!$C$27, 0.0021, 0)</f>
        <v>48.7134</v>
      </c>
      <c r="K440" s="10">
        <f>48.7113 * CHOOSE(CONTROL!$C$9, $D$9, 100%, $F$9) + CHOOSE(CONTROL!$C$27, 0.0021, 0)</f>
        <v>48.7134</v>
      </c>
      <c r="L440" s="10"/>
    </row>
    <row r="441" spans="1:12" ht="15.75" x14ac:dyDescent="0.25">
      <c r="A441" s="14">
        <v>54362</v>
      </c>
      <c r="B441" s="10">
        <f>50.3255 * CHOOSE(CONTROL!$C$9, $D$9, 100%, $F$9) + CHOOSE(CONTROL!$C$27, 0.0021, 0)</f>
        <v>50.327599999999997</v>
      </c>
      <c r="C441" s="10">
        <f>49.8933 * CHOOSE(CONTROL!$C$9, $D$9, 100%, $F$9) + CHOOSE(CONTROL!$C$27, 0.0021, 0)</f>
        <v>49.895400000000002</v>
      </c>
      <c r="D441" s="10">
        <f>49.8933 * CHOOSE(CONTROL!$C$9, $D$9, 100%, $F$9) + CHOOSE(CONTROL!$C$27, 0.0021, 0)</f>
        <v>49.895400000000002</v>
      </c>
      <c r="E441" s="10">
        <f>49.7566 * CHOOSE(CONTROL!$C$9, $D$9, 100%, $F$9) + CHOOSE(CONTROL!$C$27, 0.0021, 0)</f>
        <v>49.758699999999997</v>
      </c>
      <c r="F441" s="10">
        <f>49.7566 * CHOOSE(CONTROL!$C$9, $D$9, 100%, $F$9) + CHOOSE(CONTROL!$C$27, 0.0021, 0)</f>
        <v>49.758699999999997</v>
      </c>
      <c r="G441" s="10">
        <f>50.028 * CHOOSE(CONTROL!$C$9, $D$9, 100%, $F$9) + CHOOSE(CONTROL!$C$27, 0.0021, 0)</f>
        <v>50.030099999999997</v>
      </c>
      <c r="H441" s="10">
        <f>49.8933 * CHOOSE(CONTROL!$C$9, $D$9, 100%, $F$9) + CHOOSE(CONTROL!$C$27, 0.0021, 0)</f>
        <v>49.895400000000002</v>
      </c>
      <c r="I441" s="10">
        <f>49.8933 * CHOOSE(CONTROL!$C$9, $D$9, 100%, $F$9) + CHOOSE(CONTROL!$C$27, 0.0021, 0)</f>
        <v>49.895400000000002</v>
      </c>
      <c r="J441" s="10">
        <f>49.8933 * CHOOSE(CONTROL!$C$9, $D$9, 100%, $F$9) + CHOOSE(CONTROL!$C$27, 0.0021, 0)</f>
        <v>49.895400000000002</v>
      </c>
      <c r="K441" s="10">
        <f>49.8933 * CHOOSE(CONTROL!$C$9, $D$9, 100%, $F$9) + CHOOSE(CONTROL!$C$27, 0.0021, 0)</f>
        <v>49.895400000000002</v>
      </c>
      <c r="L441" s="10"/>
    </row>
    <row r="442" spans="1:12" ht="15.75" x14ac:dyDescent="0.25">
      <c r="A442" s="14">
        <v>54392</v>
      </c>
      <c r="B442" s="10">
        <f>50.4365 * CHOOSE(CONTROL!$C$9, $D$9, 100%, $F$9) + CHOOSE(CONTROL!$C$27, 0.0021, 0)</f>
        <v>50.438600000000001</v>
      </c>
      <c r="C442" s="10">
        <f>50.0042 * CHOOSE(CONTROL!$C$9, $D$9, 100%, $F$9) + CHOOSE(CONTROL!$C$27, 0.0021, 0)</f>
        <v>50.006299999999996</v>
      </c>
      <c r="D442" s="10">
        <f>50.0042 * CHOOSE(CONTROL!$C$9, $D$9, 100%, $F$9) + CHOOSE(CONTROL!$C$27, 0.0021, 0)</f>
        <v>50.006299999999996</v>
      </c>
      <c r="E442" s="10">
        <f>49.8676 * CHOOSE(CONTROL!$C$9, $D$9, 100%, $F$9) + CHOOSE(CONTROL!$C$27, 0.0021, 0)</f>
        <v>49.869700000000002</v>
      </c>
      <c r="F442" s="10">
        <f>49.8676 * CHOOSE(CONTROL!$C$9, $D$9, 100%, $F$9) + CHOOSE(CONTROL!$C$27, 0.0021, 0)</f>
        <v>49.869700000000002</v>
      </c>
      <c r="G442" s="10">
        <f>50.1389 * CHOOSE(CONTROL!$C$9, $D$9, 100%, $F$9) + CHOOSE(CONTROL!$C$27, 0.0021, 0)</f>
        <v>50.140999999999998</v>
      </c>
      <c r="H442" s="10">
        <f>50.0042 * CHOOSE(CONTROL!$C$9, $D$9, 100%, $F$9) + CHOOSE(CONTROL!$C$27, 0.0021, 0)</f>
        <v>50.006299999999996</v>
      </c>
      <c r="I442" s="10">
        <f>50.0042 * CHOOSE(CONTROL!$C$9, $D$9, 100%, $F$9) + CHOOSE(CONTROL!$C$27, 0.0021, 0)</f>
        <v>50.006299999999996</v>
      </c>
      <c r="J442" s="10">
        <f>50.0042 * CHOOSE(CONTROL!$C$9, $D$9, 100%, $F$9) + CHOOSE(CONTROL!$C$27, 0.0021, 0)</f>
        <v>50.006299999999996</v>
      </c>
      <c r="K442" s="10">
        <f>50.0042 * CHOOSE(CONTROL!$C$9, $D$9, 100%, $F$9) + CHOOSE(CONTROL!$C$27, 0.0021, 0)</f>
        <v>50.006299999999996</v>
      </c>
      <c r="L442" s="10"/>
    </row>
    <row r="443" spans="1:12" ht="15.75" x14ac:dyDescent="0.25">
      <c r="A443" s="14">
        <v>54423</v>
      </c>
      <c r="B443" s="10">
        <f>49.4925 * CHOOSE(CONTROL!$C$9, $D$9, 100%, $F$9) + CHOOSE(CONTROL!$C$27, 0.0021, 0)</f>
        <v>49.494599999999998</v>
      </c>
      <c r="C443" s="10">
        <f>49.0602 * CHOOSE(CONTROL!$C$9, $D$9, 100%, $F$9) + CHOOSE(CONTROL!$C$27, 0.0021, 0)</f>
        <v>49.0623</v>
      </c>
      <c r="D443" s="10">
        <f>49.0602 * CHOOSE(CONTROL!$C$9, $D$9, 100%, $F$9) + CHOOSE(CONTROL!$C$27, 0.0021, 0)</f>
        <v>49.0623</v>
      </c>
      <c r="E443" s="10">
        <f>48.9236 * CHOOSE(CONTROL!$C$9, $D$9, 100%, $F$9) + CHOOSE(CONTROL!$C$27, 0.0021, 0)</f>
        <v>48.925699999999999</v>
      </c>
      <c r="F443" s="10">
        <f>48.9236 * CHOOSE(CONTROL!$C$9, $D$9, 100%, $F$9) + CHOOSE(CONTROL!$C$27, 0.0021, 0)</f>
        <v>48.925699999999999</v>
      </c>
      <c r="G443" s="10">
        <f>49.1949 * CHOOSE(CONTROL!$C$9, $D$9, 100%, $F$9) + CHOOSE(CONTROL!$C$27, 0.0021, 0)</f>
        <v>49.196999999999996</v>
      </c>
      <c r="H443" s="10">
        <f>49.0602 * CHOOSE(CONTROL!$C$9, $D$9, 100%, $F$9) + CHOOSE(CONTROL!$C$27, 0.0021, 0)</f>
        <v>49.0623</v>
      </c>
      <c r="I443" s="10">
        <f>49.0602 * CHOOSE(CONTROL!$C$9, $D$9, 100%, $F$9) + CHOOSE(CONTROL!$C$27, 0.0021, 0)</f>
        <v>49.0623</v>
      </c>
      <c r="J443" s="10">
        <f>49.0602 * CHOOSE(CONTROL!$C$9, $D$9, 100%, $F$9) + CHOOSE(CONTROL!$C$27, 0.0021, 0)</f>
        <v>49.0623</v>
      </c>
      <c r="K443" s="10">
        <f>49.0602 * CHOOSE(CONTROL!$C$9, $D$9, 100%, $F$9) + CHOOSE(CONTROL!$C$27, 0.0021, 0)</f>
        <v>49.0623</v>
      </c>
      <c r="L443" s="10"/>
    </row>
    <row r="444" spans="1:12" ht="15.75" x14ac:dyDescent="0.25">
      <c r="A444" s="14">
        <v>54454</v>
      </c>
      <c r="B444" s="10">
        <f>48.8741 * CHOOSE(CONTROL!$C$9, $D$9, 100%, $F$9) + CHOOSE(CONTROL!$C$27, 0.0021, 0)</f>
        <v>48.876199999999997</v>
      </c>
      <c r="C444" s="10">
        <f>48.4418 * CHOOSE(CONTROL!$C$9, $D$9, 100%, $F$9) + CHOOSE(CONTROL!$C$27, 0.0021, 0)</f>
        <v>48.443899999999999</v>
      </c>
      <c r="D444" s="10">
        <f>48.4418 * CHOOSE(CONTROL!$C$9, $D$9, 100%, $F$9) + CHOOSE(CONTROL!$C$27, 0.0021, 0)</f>
        <v>48.443899999999999</v>
      </c>
      <c r="E444" s="10">
        <f>48.3051 * CHOOSE(CONTROL!$C$9, $D$9, 100%, $F$9) + CHOOSE(CONTROL!$C$27, 0.0021, 0)</f>
        <v>48.307200000000002</v>
      </c>
      <c r="F444" s="10">
        <f>48.3051 * CHOOSE(CONTROL!$C$9, $D$9, 100%, $F$9) + CHOOSE(CONTROL!$C$27, 0.0021, 0)</f>
        <v>48.307200000000002</v>
      </c>
      <c r="G444" s="10">
        <f>48.5765 * CHOOSE(CONTROL!$C$9, $D$9, 100%, $F$9) + CHOOSE(CONTROL!$C$27, 0.0021, 0)</f>
        <v>48.578600000000002</v>
      </c>
      <c r="H444" s="10">
        <f>48.4418 * CHOOSE(CONTROL!$C$9, $D$9, 100%, $F$9) + CHOOSE(CONTROL!$C$27, 0.0021, 0)</f>
        <v>48.443899999999999</v>
      </c>
      <c r="I444" s="10">
        <f>48.4418 * CHOOSE(CONTROL!$C$9, $D$9, 100%, $F$9) + CHOOSE(CONTROL!$C$27, 0.0021, 0)</f>
        <v>48.443899999999999</v>
      </c>
      <c r="J444" s="10">
        <f>48.4418 * CHOOSE(CONTROL!$C$9, $D$9, 100%, $F$9) + CHOOSE(CONTROL!$C$27, 0.0021, 0)</f>
        <v>48.443899999999999</v>
      </c>
      <c r="K444" s="10">
        <f>48.4418 * CHOOSE(CONTROL!$C$9, $D$9, 100%, $F$9) + CHOOSE(CONTROL!$C$27, 0.0021, 0)</f>
        <v>48.443899999999999</v>
      </c>
      <c r="L444" s="10"/>
    </row>
    <row r="445" spans="1:12" ht="15.75" x14ac:dyDescent="0.25">
      <c r="A445" s="14">
        <v>54482</v>
      </c>
      <c r="B445" s="10">
        <f>47.5565 * CHOOSE(CONTROL!$C$9, $D$9, 100%, $F$9) + CHOOSE(CONTROL!$C$27, 0.0021, 0)</f>
        <v>47.558599999999998</v>
      </c>
      <c r="C445" s="10">
        <f>47.1242 * CHOOSE(CONTROL!$C$9, $D$9, 100%, $F$9) + CHOOSE(CONTROL!$C$27, 0.0021, 0)</f>
        <v>47.126300000000001</v>
      </c>
      <c r="D445" s="10">
        <f>47.1242 * CHOOSE(CONTROL!$C$9, $D$9, 100%, $F$9) + CHOOSE(CONTROL!$C$27, 0.0021, 0)</f>
        <v>47.126300000000001</v>
      </c>
      <c r="E445" s="10">
        <f>46.9876 * CHOOSE(CONTROL!$C$9, $D$9, 100%, $F$9) + CHOOSE(CONTROL!$C$27, 0.0021, 0)</f>
        <v>46.989699999999999</v>
      </c>
      <c r="F445" s="10">
        <f>46.9876 * CHOOSE(CONTROL!$C$9, $D$9, 100%, $F$9) + CHOOSE(CONTROL!$C$27, 0.0021, 0)</f>
        <v>46.989699999999999</v>
      </c>
      <c r="G445" s="10">
        <f>47.2589 * CHOOSE(CONTROL!$C$9, $D$9, 100%, $F$9) + CHOOSE(CONTROL!$C$27, 0.0021, 0)</f>
        <v>47.260999999999996</v>
      </c>
      <c r="H445" s="10">
        <f>47.1242 * CHOOSE(CONTROL!$C$9, $D$9, 100%, $F$9) + CHOOSE(CONTROL!$C$27, 0.0021, 0)</f>
        <v>47.126300000000001</v>
      </c>
      <c r="I445" s="10">
        <f>47.1242 * CHOOSE(CONTROL!$C$9, $D$9, 100%, $F$9) + CHOOSE(CONTROL!$C$27, 0.0021, 0)</f>
        <v>47.126300000000001</v>
      </c>
      <c r="J445" s="10">
        <f>47.1242 * CHOOSE(CONTROL!$C$9, $D$9, 100%, $F$9) + CHOOSE(CONTROL!$C$27, 0.0021, 0)</f>
        <v>47.126300000000001</v>
      </c>
      <c r="K445" s="10">
        <f>47.1242 * CHOOSE(CONTROL!$C$9, $D$9, 100%, $F$9) + CHOOSE(CONTROL!$C$27, 0.0021, 0)</f>
        <v>47.126300000000001</v>
      </c>
      <c r="L445" s="10"/>
    </row>
    <row r="446" spans="1:12" ht="15.75" x14ac:dyDescent="0.25">
      <c r="A446" s="14">
        <v>54513</v>
      </c>
      <c r="B446" s="10">
        <f>47.0126 * CHOOSE(CONTROL!$C$9, $D$9, 100%, $F$9) + CHOOSE(CONTROL!$C$27, 0.0021, 0)</f>
        <v>47.014699999999998</v>
      </c>
      <c r="C446" s="10">
        <f>46.5803 * CHOOSE(CONTROL!$C$9, $D$9, 100%, $F$9) + CHOOSE(CONTROL!$C$27, 0.0021, 0)</f>
        <v>46.5824</v>
      </c>
      <c r="D446" s="10">
        <f>46.5803 * CHOOSE(CONTROL!$C$9, $D$9, 100%, $F$9) + CHOOSE(CONTROL!$C$27, 0.0021, 0)</f>
        <v>46.5824</v>
      </c>
      <c r="E446" s="10">
        <f>46.4437 * CHOOSE(CONTROL!$C$9, $D$9, 100%, $F$9) + CHOOSE(CONTROL!$C$27, 0.0021, 0)</f>
        <v>46.445799999999998</v>
      </c>
      <c r="F446" s="10">
        <f>46.4437 * CHOOSE(CONTROL!$C$9, $D$9, 100%, $F$9) + CHOOSE(CONTROL!$C$27, 0.0021, 0)</f>
        <v>46.445799999999998</v>
      </c>
      <c r="G446" s="10">
        <f>46.715 * CHOOSE(CONTROL!$C$9, $D$9, 100%, $F$9) + CHOOSE(CONTROL!$C$27, 0.0021, 0)</f>
        <v>46.717100000000002</v>
      </c>
      <c r="H446" s="10">
        <f>46.5803 * CHOOSE(CONTROL!$C$9, $D$9, 100%, $F$9) + CHOOSE(CONTROL!$C$27, 0.0021, 0)</f>
        <v>46.5824</v>
      </c>
      <c r="I446" s="10">
        <f>46.5803 * CHOOSE(CONTROL!$C$9, $D$9, 100%, $F$9) + CHOOSE(CONTROL!$C$27, 0.0021, 0)</f>
        <v>46.5824</v>
      </c>
      <c r="J446" s="10">
        <f>46.5803 * CHOOSE(CONTROL!$C$9, $D$9, 100%, $F$9) + CHOOSE(CONTROL!$C$27, 0.0021, 0)</f>
        <v>46.5824</v>
      </c>
      <c r="K446" s="10">
        <f>46.5803 * CHOOSE(CONTROL!$C$9, $D$9, 100%, $F$9) + CHOOSE(CONTROL!$C$27, 0.0021, 0)</f>
        <v>46.5824</v>
      </c>
      <c r="L446" s="10"/>
    </row>
    <row r="447" spans="1:12" ht="15.75" x14ac:dyDescent="0.25">
      <c r="A447" s="14">
        <v>54543</v>
      </c>
      <c r="B447" s="10">
        <f>46.3631 * CHOOSE(CONTROL!$C$9, $D$9, 100%, $F$9) + CHOOSE(CONTROL!$C$27, 0.0021, 0)</f>
        <v>46.365200000000002</v>
      </c>
      <c r="C447" s="10">
        <f>45.9309 * CHOOSE(CONTROL!$C$9, $D$9, 100%, $F$9) + CHOOSE(CONTROL!$C$27, 0.0021, 0)</f>
        <v>45.933</v>
      </c>
      <c r="D447" s="10">
        <f>45.9309 * CHOOSE(CONTROL!$C$9, $D$9, 100%, $F$9) + CHOOSE(CONTROL!$C$27, 0.0021, 0)</f>
        <v>45.933</v>
      </c>
      <c r="E447" s="10">
        <f>45.7942 * CHOOSE(CONTROL!$C$9, $D$9, 100%, $F$9) + CHOOSE(CONTROL!$C$27, 0.0021, 0)</f>
        <v>45.796299999999995</v>
      </c>
      <c r="F447" s="10">
        <f>45.7942 * CHOOSE(CONTROL!$C$9, $D$9, 100%, $F$9) + CHOOSE(CONTROL!$C$27, 0.0021, 0)</f>
        <v>45.796299999999995</v>
      </c>
      <c r="G447" s="10">
        <f>46.0656 * CHOOSE(CONTROL!$C$9, $D$9, 100%, $F$9) + CHOOSE(CONTROL!$C$27, 0.0021, 0)</f>
        <v>46.067700000000002</v>
      </c>
      <c r="H447" s="10">
        <f>45.9309 * CHOOSE(CONTROL!$C$9, $D$9, 100%, $F$9) + CHOOSE(CONTROL!$C$27, 0.0021, 0)</f>
        <v>45.933</v>
      </c>
      <c r="I447" s="10">
        <f>45.9309 * CHOOSE(CONTROL!$C$9, $D$9, 100%, $F$9) + CHOOSE(CONTROL!$C$27, 0.0021, 0)</f>
        <v>45.933</v>
      </c>
      <c r="J447" s="10">
        <f>45.9309 * CHOOSE(CONTROL!$C$9, $D$9, 100%, $F$9) + CHOOSE(CONTROL!$C$27, 0.0021, 0)</f>
        <v>45.933</v>
      </c>
      <c r="K447" s="10">
        <f>45.9309 * CHOOSE(CONTROL!$C$9, $D$9, 100%, $F$9) + CHOOSE(CONTROL!$C$27, 0.0021, 0)</f>
        <v>45.933</v>
      </c>
      <c r="L447" s="10"/>
    </row>
    <row r="448" spans="1:12" ht="15.75" x14ac:dyDescent="0.25">
      <c r="A448" s="14">
        <v>54574</v>
      </c>
      <c r="B448" s="10">
        <f>47.2887 * CHOOSE(CONTROL!$C$9, $D$9, 100%, $F$9) + CHOOSE(CONTROL!$C$27, 0.0021, 0)</f>
        <v>47.290799999999997</v>
      </c>
      <c r="C448" s="10">
        <f>46.8564 * CHOOSE(CONTROL!$C$9, $D$9, 100%, $F$9) + CHOOSE(CONTROL!$C$27, 0.0021, 0)</f>
        <v>46.858499999999999</v>
      </c>
      <c r="D448" s="10">
        <f>46.8564 * CHOOSE(CONTROL!$C$9, $D$9, 100%, $F$9) + CHOOSE(CONTROL!$C$27, 0.0021, 0)</f>
        <v>46.858499999999999</v>
      </c>
      <c r="E448" s="10">
        <f>46.7197 * CHOOSE(CONTROL!$C$9, $D$9, 100%, $F$9) + CHOOSE(CONTROL!$C$27, 0.0021, 0)</f>
        <v>46.721800000000002</v>
      </c>
      <c r="F448" s="10">
        <f>46.7197 * CHOOSE(CONTROL!$C$9, $D$9, 100%, $F$9) + CHOOSE(CONTROL!$C$27, 0.0021, 0)</f>
        <v>46.721800000000002</v>
      </c>
      <c r="G448" s="10">
        <f>46.9911 * CHOOSE(CONTROL!$C$9, $D$9, 100%, $F$9) + CHOOSE(CONTROL!$C$27, 0.0021, 0)</f>
        <v>46.993200000000002</v>
      </c>
      <c r="H448" s="10">
        <f>46.8564 * CHOOSE(CONTROL!$C$9, $D$9, 100%, $F$9) + CHOOSE(CONTROL!$C$27, 0.0021, 0)</f>
        <v>46.858499999999999</v>
      </c>
      <c r="I448" s="10">
        <f>46.8564 * CHOOSE(CONTROL!$C$9, $D$9, 100%, $F$9) + CHOOSE(CONTROL!$C$27, 0.0021, 0)</f>
        <v>46.858499999999999</v>
      </c>
      <c r="J448" s="10">
        <f>46.8564 * CHOOSE(CONTROL!$C$9, $D$9, 100%, $F$9) + CHOOSE(CONTROL!$C$27, 0.0021, 0)</f>
        <v>46.858499999999999</v>
      </c>
      <c r="K448" s="10">
        <f>46.8564 * CHOOSE(CONTROL!$C$9, $D$9, 100%, $F$9) + CHOOSE(CONTROL!$C$27, 0.0021, 0)</f>
        <v>46.858499999999999</v>
      </c>
      <c r="L448" s="10"/>
    </row>
    <row r="449" spans="1:12" ht="15.75" x14ac:dyDescent="0.25">
      <c r="A449" s="14">
        <v>54604</v>
      </c>
      <c r="B449" s="10">
        <f>47.843 * CHOOSE(CONTROL!$C$9, $D$9, 100%, $F$9) + CHOOSE(CONTROL!$C$27, 0.0021, 0)</f>
        <v>47.845100000000002</v>
      </c>
      <c r="C449" s="10">
        <f>47.4107 * CHOOSE(CONTROL!$C$9, $D$9, 100%, $F$9) + CHOOSE(CONTROL!$C$27, 0.0021, 0)</f>
        <v>47.412799999999997</v>
      </c>
      <c r="D449" s="10">
        <f>47.4107 * CHOOSE(CONTROL!$C$9, $D$9, 100%, $F$9) + CHOOSE(CONTROL!$C$27, 0.0021, 0)</f>
        <v>47.412799999999997</v>
      </c>
      <c r="E449" s="10">
        <f>47.2741 * CHOOSE(CONTROL!$C$9, $D$9, 100%, $F$9) + CHOOSE(CONTROL!$C$27, 0.0021, 0)</f>
        <v>47.276199999999996</v>
      </c>
      <c r="F449" s="10">
        <f>47.2741 * CHOOSE(CONTROL!$C$9, $D$9, 100%, $F$9) + CHOOSE(CONTROL!$C$27, 0.0021, 0)</f>
        <v>47.276199999999996</v>
      </c>
      <c r="G449" s="10">
        <f>47.5455 * CHOOSE(CONTROL!$C$9, $D$9, 100%, $F$9) + CHOOSE(CONTROL!$C$27, 0.0021, 0)</f>
        <v>47.547599999999996</v>
      </c>
      <c r="H449" s="10">
        <f>47.4107 * CHOOSE(CONTROL!$C$9, $D$9, 100%, $F$9) + CHOOSE(CONTROL!$C$27, 0.0021, 0)</f>
        <v>47.412799999999997</v>
      </c>
      <c r="I449" s="10">
        <f>47.4107 * CHOOSE(CONTROL!$C$9, $D$9, 100%, $F$9) + CHOOSE(CONTROL!$C$27, 0.0021, 0)</f>
        <v>47.412799999999997</v>
      </c>
      <c r="J449" s="10">
        <f>47.4107 * CHOOSE(CONTROL!$C$9, $D$9, 100%, $F$9) + CHOOSE(CONTROL!$C$27, 0.0021, 0)</f>
        <v>47.412799999999997</v>
      </c>
      <c r="K449" s="10">
        <f>47.4107 * CHOOSE(CONTROL!$C$9, $D$9, 100%, $F$9) + CHOOSE(CONTROL!$C$27, 0.0021, 0)</f>
        <v>47.412799999999997</v>
      </c>
      <c r="L449" s="10"/>
    </row>
    <row r="450" spans="1:12" ht="15.75" x14ac:dyDescent="0.25">
      <c r="A450" s="14">
        <v>54635</v>
      </c>
      <c r="B450" s="10">
        <f>48.7575 * CHOOSE(CONTROL!$C$9, $D$9, 100%, $F$9) + CHOOSE(CONTROL!$C$27, 0.0021, 0)</f>
        <v>48.759599999999999</v>
      </c>
      <c r="C450" s="10">
        <f>48.3252 * CHOOSE(CONTROL!$C$9, $D$9, 100%, $F$9) + CHOOSE(CONTROL!$C$27, 0.0021, 0)</f>
        <v>48.327300000000001</v>
      </c>
      <c r="D450" s="10">
        <f>48.3252 * CHOOSE(CONTROL!$C$9, $D$9, 100%, $F$9) + CHOOSE(CONTROL!$C$27, 0.0021, 0)</f>
        <v>48.327300000000001</v>
      </c>
      <c r="E450" s="10">
        <f>48.1885 * CHOOSE(CONTROL!$C$9, $D$9, 100%, $F$9) + CHOOSE(CONTROL!$C$27, 0.0021, 0)</f>
        <v>48.190599999999996</v>
      </c>
      <c r="F450" s="10">
        <f>48.1885 * CHOOSE(CONTROL!$C$9, $D$9, 100%, $F$9) + CHOOSE(CONTROL!$C$27, 0.0021, 0)</f>
        <v>48.190599999999996</v>
      </c>
      <c r="G450" s="10">
        <f>48.4599 * CHOOSE(CONTROL!$C$9, $D$9, 100%, $F$9) + CHOOSE(CONTROL!$C$27, 0.0021, 0)</f>
        <v>48.461999999999996</v>
      </c>
      <c r="H450" s="10">
        <f>48.3252 * CHOOSE(CONTROL!$C$9, $D$9, 100%, $F$9) + CHOOSE(CONTROL!$C$27, 0.0021, 0)</f>
        <v>48.327300000000001</v>
      </c>
      <c r="I450" s="10">
        <f>48.3252 * CHOOSE(CONTROL!$C$9, $D$9, 100%, $F$9) + CHOOSE(CONTROL!$C$27, 0.0021, 0)</f>
        <v>48.327300000000001</v>
      </c>
      <c r="J450" s="10">
        <f>48.3252 * CHOOSE(CONTROL!$C$9, $D$9, 100%, $F$9) + CHOOSE(CONTROL!$C$27, 0.0021, 0)</f>
        <v>48.327300000000001</v>
      </c>
      <c r="K450" s="10">
        <f>48.3252 * CHOOSE(CONTROL!$C$9, $D$9, 100%, $F$9) + CHOOSE(CONTROL!$C$27, 0.0021, 0)</f>
        <v>48.327300000000001</v>
      </c>
      <c r="L450" s="10"/>
    </row>
    <row r="451" spans="1:12" ht="15.75" x14ac:dyDescent="0.25">
      <c r="A451" s="14">
        <v>54666</v>
      </c>
      <c r="B451" s="10">
        <f>49.0366 * CHOOSE(CONTROL!$C$9, $D$9, 100%, $F$9) + CHOOSE(CONTROL!$C$27, 0.0021, 0)</f>
        <v>49.038699999999999</v>
      </c>
      <c r="C451" s="10">
        <f>48.6043 * CHOOSE(CONTROL!$C$9, $D$9, 100%, $F$9) + CHOOSE(CONTROL!$C$27, 0.0021, 0)</f>
        <v>48.606400000000001</v>
      </c>
      <c r="D451" s="10">
        <f>48.6043 * CHOOSE(CONTROL!$C$9, $D$9, 100%, $F$9) + CHOOSE(CONTROL!$C$27, 0.0021, 0)</f>
        <v>48.606400000000001</v>
      </c>
      <c r="E451" s="10">
        <f>48.4677 * CHOOSE(CONTROL!$C$9, $D$9, 100%, $F$9) + CHOOSE(CONTROL!$C$27, 0.0021, 0)</f>
        <v>48.469799999999999</v>
      </c>
      <c r="F451" s="10">
        <f>48.4677 * CHOOSE(CONTROL!$C$9, $D$9, 100%, $F$9) + CHOOSE(CONTROL!$C$27, 0.0021, 0)</f>
        <v>48.469799999999999</v>
      </c>
      <c r="G451" s="10">
        <f>48.739 * CHOOSE(CONTROL!$C$9, $D$9, 100%, $F$9) + CHOOSE(CONTROL!$C$27, 0.0021, 0)</f>
        <v>48.741099999999996</v>
      </c>
      <c r="H451" s="10">
        <f>48.6043 * CHOOSE(CONTROL!$C$9, $D$9, 100%, $F$9) + CHOOSE(CONTROL!$C$27, 0.0021, 0)</f>
        <v>48.606400000000001</v>
      </c>
      <c r="I451" s="10">
        <f>48.6043 * CHOOSE(CONTROL!$C$9, $D$9, 100%, $F$9) + CHOOSE(CONTROL!$C$27, 0.0021, 0)</f>
        <v>48.606400000000001</v>
      </c>
      <c r="J451" s="10">
        <f>48.6043 * CHOOSE(CONTROL!$C$9, $D$9, 100%, $F$9) + CHOOSE(CONTROL!$C$27, 0.0021, 0)</f>
        <v>48.606400000000001</v>
      </c>
      <c r="K451" s="10">
        <f>48.6043 * CHOOSE(CONTROL!$C$9, $D$9, 100%, $F$9) + CHOOSE(CONTROL!$C$27, 0.0021, 0)</f>
        <v>48.606400000000001</v>
      </c>
      <c r="L451" s="10"/>
    </row>
    <row r="452" spans="1:12" ht="15.75" x14ac:dyDescent="0.25">
      <c r="A452" s="14">
        <v>54696</v>
      </c>
      <c r="B452" s="10">
        <f>49.9871 * CHOOSE(CONTROL!$C$9, $D$9, 100%, $F$9) + CHOOSE(CONTROL!$C$27, 0.0021, 0)</f>
        <v>49.989199999999997</v>
      </c>
      <c r="C452" s="10">
        <f>49.5549 * CHOOSE(CONTROL!$C$9, $D$9, 100%, $F$9) + CHOOSE(CONTROL!$C$27, 0.0021, 0)</f>
        <v>49.557000000000002</v>
      </c>
      <c r="D452" s="10">
        <f>49.5549 * CHOOSE(CONTROL!$C$9, $D$9, 100%, $F$9) + CHOOSE(CONTROL!$C$27, 0.0021, 0)</f>
        <v>49.557000000000002</v>
      </c>
      <c r="E452" s="10">
        <f>49.4182 * CHOOSE(CONTROL!$C$9, $D$9, 100%, $F$9) + CHOOSE(CONTROL!$C$27, 0.0021, 0)</f>
        <v>49.420299999999997</v>
      </c>
      <c r="F452" s="10">
        <f>49.4182 * CHOOSE(CONTROL!$C$9, $D$9, 100%, $F$9) + CHOOSE(CONTROL!$C$27, 0.0021, 0)</f>
        <v>49.420299999999997</v>
      </c>
      <c r="G452" s="10">
        <f>49.6896 * CHOOSE(CONTROL!$C$9, $D$9, 100%, $F$9) + CHOOSE(CONTROL!$C$27, 0.0021, 0)</f>
        <v>49.691699999999997</v>
      </c>
      <c r="H452" s="10">
        <f>49.5549 * CHOOSE(CONTROL!$C$9, $D$9, 100%, $F$9) + CHOOSE(CONTROL!$C$27, 0.0021, 0)</f>
        <v>49.557000000000002</v>
      </c>
      <c r="I452" s="10">
        <f>49.5549 * CHOOSE(CONTROL!$C$9, $D$9, 100%, $F$9) + CHOOSE(CONTROL!$C$27, 0.0021, 0)</f>
        <v>49.557000000000002</v>
      </c>
      <c r="J452" s="10">
        <f>49.5549 * CHOOSE(CONTROL!$C$9, $D$9, 100%, $F$9) + CHOOSE(CONTROL!$C$27, 0.0021, 0)</f>
        <v>49.557000000000002</v>
      </c>
      <c r="K452" s="10">
        <f>49.5549 * CHOOSE(CONTROL!$C$9, $D$9, 100%, $F$9) + CHOOSE(CONTROL!$C$27, 0.0021, 0)</f>
        <v>49.557000000000002</v>
      </c>
      <c r="L452" s="10"/>
    </row>
    <row r="453" spans="1:12" ht="15.75" x14ac:dyDescent="0.25">
      <c r="A453" s="14">
        <v>54727</v>
      </c>
      <c r="B453" s="10">
        <f>51.1903 * CHOOSE(CONTROL!$C$9, $D$9, 100%, $F$9) + CHOOSE(CONTROL!$C$27, 0.0021, 0)</f>
        <v>51.192399999999999</v>
      </c>
      <c r="C453" s="10">
        <f>50.7581 * CHOOSE(CONTROL!$C$9, $D$9, 100%, $F$9) + CHOOSE(CONTROL!$C$27, 0.0021, 0)</f>
        <v>50.760199999999998</v>
      </c>
      <c r="D453" s="10">
        <f>50.7581 * CHOOSE(CONTROL!$C$9, $D$9, 100%, $F$9) + CHOOSE(CONTROL!$C$27, 0.0021, 0)</f>
        <v>50.760199999999998</v>
      </c>
      <c r="E453" s="10">
        <f>50.6214 * CHOOSE(CONTROL!$C$9, $D$9, 100%, $F$9) + CHOOSE(CONTROL!$C$27, 0.0021, 0)</f>
        <v>50.6235</v>
      </c>
      <c r="F453" s="10">
        <f>50.6214 * CHOOSE(CONTROL!$C$9, $D$9, 100%, $F$9) + CHOOSE(CONTROL!$C$27, 0.0021, 0)</f>
        <v>50.6235</v>
      </c>
      <c r="G453" s="10">
        <f>50.8928 * CHOOSE(CONTROL!$C$9, $D$9, 100%, $F$9) + CHOOSE(CONTROL!$C$27, 0.0021, 0)</f>
        <v>50.8949</v>
      </c>
      <c r="H453" s="10">
        <f>50.7581 * CHOOSE(CONTROL!$C$9, $D$9, 100%, $F$9) + CHOOSE(CONTROL!$C$27, 0.0021, 0)</f>
        <v>50.760199999999998</v>
      </c>
      <c r="I453" s="10">
        <f>50.7581 * CHOOSE(CONTROL!$C$9, $D$9, 100%, $F$9) + CHOOSE(CONTROL!$C$27, 0.0021, 0)</f>
        <v>50.760199999999998</v>
      </c>
      <c r="J453" s="10">
        <f>50.7581 * CHOOSE(CONTROL!$C$9, $D$9, 100%, $F$9) + CHOOSE(CONTROL!$C$27, 0.0021, 0)</f>
        <v>50.760199999999998</v>
      </c>
      <c r="K453" s="10">
        <f>50.7581 * CHOOSE(CONTROL!$C$9, $D$9, 100%, $F$9) + CHOOSE(CONTROL!$C$27, 0.0021, 0)</f>
        <v>50.760199999999998</v>
      </c>
      <c r="L453" s="10"/>
    </row>
    <row r="454" spans="1:12" ht="15.75" x14ac:dyDescent="0.25">
      <c r="A454" s="14">
        <v>54757</v>
      </c>
      <c r="B454" s="10">
        <f>51.3033 * CHOOSE(CONTROL!$C$9, $D$9, 100%, $F$9) + CHOOSE(CONTROL!$C$27, 0.0021, 0)</f>
        <v>51.305399999999999</v>
      </c>
      <c r="C454" s="10">
        <f>50.8711 * CHOOSE(CONTROL!$C$9, $D$9, 100%, $F$9) + CHOOSE(CONTROL!$C$27, 0.0021, 0)</f>
        <v>50.873199999999997</v>
      </c>
      <c r="D454" s="10">
        <f>50.8711 * CHOOSE(CONTROL!$C$9, $D$9, 100%, $F$9) + CHOOSE(CONTROL!$C$27, 0.0021, 0)</f>
        <v>50.873199999999997</v>
      </c>
      <c r="E454" s="10">
        <f>50.7344 * CHOOSE(CONTROL!$C$9, $D$9, 100%, $F$9) + CHOOSE(CONTROL!$C$27, 0.0021, 0)</f>
        <v>50.736499999999999</v>
      </c>
      <c r="F454" s="10">
        <f>50.7344 * CHOOSE(CONTROL!$C$9, $D$9, 100%, $F$9) + CHOOSE(CONTROL!$C$27, 0.0021, 0)</f>
        <v>50.736499999999999</v>
      </c>
      <c r="G454" s="10">
        <f>51.0058 * CHOOSE(CONTROL!$C$9, $D$9, 100%, $F$9) + CHOOSE(CONTROL!$C$27, 0.0021, 0)</f>
        <v>51.007899999999999</v>
      </c>
      <c r="H454" s="10">
        <f>50.8711 * CHOOSE(CONTROL!$C$9, $D$9, 100%, $F$9) + CHOOSE(CONTROL!$C$27, 0.0021, 0)</f>
        <v>50.873199999999997</v>
      </c>
      <c r="I454" s="10">
        <f>50.8711 * CHOOSE(CONTROL!$C$9, $D$9, 100%, $F$9) + CHOOSE(CONTROL!$C$27, 0.0021, 0)</f>
        <v>50.873199999999997</v>
      </c>
      <c r="J454" s="10">
        <f>50.8711 * CHOOSE(CONTROL!$C$9, $D$9, 100%, $F$9) + CHOOSE(CONTROL!$C$27, 0.0021, 0)</f>
        <v>50.873199999999997</v>
      </c>
      <c r="K454" s="10">
        <f>50.8711 * CHOOSE(CONTROL!$C$9, $D$9, 100%, $F$9) + CHOOSE(CONTROL!$C$27, 0.0021, 0)</f>
        <v>50.873199999999997</v>
      </c>
      <c r="L454" s="10"/>
    </row>
    <row r="455" spans="1:12" ht="15.75" x14ac:dyDescent="0.25">
      <c r="A455" s="14">
        <v>54788</v>
      </c>
      <c r="B455" s="10">
        <f>50.3423 * CHOOSE(CONTROL!$C$9, $D$9, 100%, $F$9) + CHOOSE(CONTROL!$C$27, 0.0021, 0)</f>
        <v>50.3444</v>
      </c>
      <c r="C455" s="10">
        <f>49.9101 * CHOOSE(CONTROL!$C$9, $D$9, 100%, $F$9) + CHOOSE(CONTROL!$C$27, 0.0021, 0)</f>
        <v>49.912199999999999</v>
      </c>
      <c r="D455" s="10">
        <f>49.9101 * CHOOSE(CONTROL!$C$9, $D$9, 100%, $F$9) + CHOOSE(CONTROL!$C$27, 0.0021, 0)</f>
        <v>49.912199999999999</v>
      </c>
      <c r="E455" s="10">
        <f>49.7734 * CHOOSE(CONTROL!$C$9, $D$9, 100%, $F$9) + CHOOSE(CONTROL!$C$27, 0.0021, 0)</f>
        <v>49.775500000000001</v>
      </c>
      <c r="F455" s="10">
        <f>49.7734 * CHOOSE(CONTROL!$C$9, $D$9, 100%, $F$9) + CHOOSE(CONTROL!$C$27, 0.0021, 0)</f>
        <v>49.775500000000001</v>
      </c>
      <c r="G455" s="10">
        <f>50.0448 * CHOOSE(CONTROL!$C$9, $D$9, 100%, $F$9) + CHOOSE(CONTROL!$C$27, 0.0021, 0)</f>
        <v>50.046900000000001</v>
      </c>
      <c r="H455" s="10">
        <f>49.9101 * CHOOSE(CONTROL!$C$9, $D$9, 100%, $F$9) + CHOOSE(CONTROL!$C$27, 0.0021, 0)</f>
        <v>49.912199999999999</v>
      </c>
      <c r="I455" s="10">
        <f>49.9101 * CHOOSE(CONTROL!$C$9, $D$9, 100%, $F$9) + CHOOSE(CONTROL!$C$27, 0.0021, 0)</f>
        <v>49.912199999999999</v>
      </c>
      <c r="J455" s="10">
        <f>49.9101 * CHOOSE(CONTROL!$C$9, $D$9, 100%, $F$9) + CHOOSE(CONTROL!$C$27, 0.0021, 0)</f>
        <v>49.912199999999999</v>
      </c>
      <c r="K455" s="10">
        <f>49.9101 * CHOOSE(CONTROL!$C$9, $D$9, 100%, $F$9) + CHOOSE(CONTROL!$C$27, 0.0021, 0)</f>
        <v>49.912199999999999</v>
      </c>
      <c r="L455" s="10"/>
    </row>
    <row r="456" spans="1:12" ht="15.75" x14ac:dyDescent="0.25">
      <c r="A456" s="14">
        <v>54819</v>
      </c>
      <c r="B456" s="10">
        <f>49.7127 * CHOOSE(CONTROL!$C$9, $D$9, 100%, $F$9) + CHOOSE(CONTROL!$C$27, 0.0021, 0)</f>
        <v>49.714799999999997</v>
      </c>
      <c r="C456" s="10">
        <f>49.2805 * CHOOSE(CONTROL!$C$9, $D$9, 100%, $F$9) + CHOOSE(CONTROL!$C$27, 0.0021, 0)</f>
        <v>49.282600000000002</v>
      </c>
      <c r="D456" s="10">
        <f>49.2805 * CHOOSE(CONTROL!$C$9, $D$9, 100%, $F$9) + CHOOSE(CONTROL!$C$27, 0.0021, 0)</f>
        <v>49.282600000000002</v>
      </c>
      <c r="E456" s="10">
        <f>49.1438 * CHOOSE(CONTROL!$C$9, $D$9, 100%, $F$9) + CHOOSE(CONTROL!$C$27, 0.0021, 0)</f>
        <v>49.145899999999997</v>
      </c>
      <c r="F456" s="10">
        <f>49.1438 * CHOOSE(CONTROL!$C$9, $D$9, 100%, $F$9) + CHOOSE(CONTROL!$C$27, 0.0021, 0)</f>
        <v>49.145899999999997</v>
      </c>
      <c r="G456" s="10">
        <f>49.4152 * CHOOSE(CONTROL!$C$9, $D$9, 100%, $F$9) + CHOOSE(CONTROL!$C$27, 0.0021, 0)</f>
        <v>49.417299999999997</v>
      </c>
      <c r="H456" s="10">
        <f>49.2805 * CHOOSE(CONTROL!$C$9, $D$9, 100%, $F$9) + CHOOSE(CONTROL!$C$27, 0.0021, 0)</f>
        <v>49.282600000000002</v>
      </c>
      <c r="I456" s="10">
        <f>49.2805 * CHOOSE(CONTROL!$C$9, $D$9, 100%, $F$9) + CHOOSE(CONTROL!$C$27, 0.0021, 0)</f>
        <v>49.282600000000002</v>
      </c>
      <c r="J456" s="10">
        <f>49.2805 * CHOOSE(CONTROL!$C$9, $D$9, 100%, $F$9) + CHOOSE(CONTROL!$C$27, 0.0021, 0)</f>
        <v>49.282600000000002</v>
      </c>
      <c r="K456" s="10">
        <f>49.2805 * CHOOSE(CONTROL!$C$9, $D$9, 100%, $F$9) + CHOOSE(CONTROL!$C$27, 0.0021, 0)</f>
        <v>49.282600000000002</v>
      </c>
      <c r="L456" s="10"/>
    </row>
    <row r="457" spans="1:12" ht="15.75" x14ac:dyDescent="0.25">
      <c r="A457" s="14">
        <v>54847</v>
      </c>
      <c r="B457" s="10">
        <f>48.3714 * CHOOSE(CONTROL!$C$9, $D$9, 100%, $F$9) + CHOOSE(CONTROL!$C$27, 0.0021, 0)</f>
        <v>48.3735</v>
      </c>
      <c r="C457" s="10">
        <f>47.9392 * CHOOSE(CONTROL!$C$9, $D$9, 100%, $F$9) + CHOOSE(CONTROL!$C$27, 0.0021, 0)</f>
        <v>47.941299999999998</v>
      </c>
      <c r="D457" s="10">
        <f>47.9392 * CHOOSE(CONTROL!$C$9, $D$9, 100%, $F$9) + CHOOSE(CONTROL!$C$27, 0.0021, 0)</f>
        <v>47.941299999999998</v>
      </c>
      <c r="E457" s="10">
        <f>47.8025 * CHOOSE(CONTROL!$C$9, $D$9, 100%, $F$9) + CHOOSE(CONTROL!$C$27, 0.0021, 0)</f>
        <v>47.804600000000001</v>
      </c>
      <c r="F457" s="10">
        <f>47.8025 * CHOOSE(CONTROL!$C$9, $D$9, 100%, $F$9) + CHOOSE(CONTROL!$C$27, 0.0021, 0)</f>
        <v>47.804600000000001</v>
      </c>
      <c r="G457" s="10">
        <f>48.0739 * CHOOSE(CONTROL!$C$9, $D$9, 100%, $F$9) + CHOOSE(CONTROL!$C$27, 0.0021, 0)</f>
        <v>48.076000000000001</v>
      </c>
      <c r="H457" s="10">
        <f>47.9392 * CHOOSE(CONTROL!$C$9, $D$9, 100%, $F$9) + CHOOSE(CONTROL!$C$27, 0.0021, 0)</f>
        <v>47.941299999999998</v>
      </c>
      <c r="I457" s="10">
        <f>47.9392 * CHOOSE(CONTROL!$C$9, $D$9, 100%, $F$9) + CHOOSE(CONTROL!$C$27, 0.0021, 0)</f>
        <v>47.941299999999998</v>
      </c>
      <c r="J457" s="10">
        <f>47.9392 * CHOOSE(CONTROL!$C$9, $D$9, 100%, $F$9) + CHOOSE(CONTROL!$C$27, 0.0021, 0)</f>
        <v>47.941299999999998</v>
      </c>
      <c r="K457" s="10">
        <f>47.9392 * CHOOSE(CONTROL!$C$9, $D$9, 100%, $F$9) + CHOOSE(CONTROL!$C$27, 0.0021, 0)</f>
        <v>47.941299999999998</v>
      </c>
      <c r="L457" s="10"/>
    </row>
    <row r="458" spans="1:12" ht="15.75" x14ac:dyDescent="0.25">
      <c r="A458" s="14">
        <v>54878</v>
      </c>
      <c r="B458" s="10">
        <f>47.8178 * CHOOSE(CONTROL!$C$9, $D$9, 100%, $F$9) + CHOOSE(CONTROL!$C$27, 0.0021, 0)</f>
        <v>47.819899999999997</v>
      </c>
      <c r="C458" s="10">
        <f>47.3855 * CHOOSE(CONTROL!$C$9, $D$9, 100%, $F$9) + CHOOSE(CONTROL!$C$27, 0.0021, 0)</f>
        <v>47.387599999999999</v>
      </c>
      <c r="D458" s="10">
        <f>47.3855 * CHOOSE(CONTROL!$C$9, $D$9, 100%, $F$9) + CHOOSE(CONTROL!$C$27, 0.0021, 0)</f>
        <v>47.387599999999999</v>
      </c>
      <c r="E458" s="10">
        <f>47.2488 * CHOOSE(CONTROL!$C$9, $D$9, 100%, $F$9) + CHOOSE(CONTROL!$C$27, 0.0021, 0)</f>
        <v>47.250900000000001</v>
      </c>
      <c r="F458" s="10">
        <f>47.2488 * CHOOSE(CONTROL!$C$9, $D$9, 100%, $F$9) + CHOOSE(CONTROL!$C$27, 0.0021, 0)</f>
        <v>47.250900000000001</v>
      </c>
      <c r="G458" s="10">
        <f>47.5202 * CHOOSE(CONTROL!$C$9, $D$9, 100%, $F$9) + CHOOSE(CONTROL!$C$27, 0.0021, 0)</f>
        <v>47.522300000000001</v>
      </c>
      <c r="H458" s="10">
        <f>47.3855 * CHOOSE(CONTROL!$C$9, $D$9, 100%, $F$9) + CHOOSE(CONTROL!$C$27, 0.0021, 0)</f>
        <v>47.387599999999999</v>
      </c>
      <c r="I458" s="10">
        <f>47.3855 * CHOOSE(CONTROL!$C$9, $D$9, 100%, $F$9) + CHOOSE(CONTROL!$C$27, 0.0021, 0)</f>
        <v>47.387599999999999</v>
      </c>
      <c r="J458" s="10">
        <f>47.3855 * CHOOSE(CONTROL!$C$9, $D$9, 100%, $F$9) + CHOOSE(CONTROL!$C$27, 0.0021, 0)</f>
        <v>47.387599999999999</v>
      </c>
      <c r="K458" s="10">
        <f>47.3855 * CHOOSE(CONTROL!$C$9, $D$9, 100%, $F$9) + CHOOSE(CONTROL!$C$27, 0.0021, 0)</f>
        <v>47.387599999999999</v>
      </c>
      <c r="L458" s="10"/>
    </row>
    <row r="459" spans="1:12" ht="15.75" x14ac:dyDescent="0.25">
      <c r="A459" s="14">
        <v>54908</v>
      </c>
      <c r="B459" s="10">
        <f>47.1566 * CHOOSE(CONTROL!$C$9, $D$9, 100%, $F$9) + CHOOSE(CONTROL!$C$27, 0.0021, 0)</f>
        <v>47.158699999999996</v>
      </c>
      <c r="C459" s="10">
        <f>46.7244 * CHOOSE(CONTROL!$C$9, $D$9, 100%, $F$9) + CHOOSE(CONTROL!$C$27, 0.0021, 0)</f>
        <v>46.726500000000001</v>
      </c>
      <c r="D459" s="10">
        <f>46.7244 * CHOOSE(CONTROL!$C$9, $D$9, 100%, $F$9) + CHOOSE(CONTROL!$C$27, 0.0021, 0)</f>
        <v>46.726500000000001</v>
      </c>
      <c r="E459" s="10">
        <f>46.5877 * CHOOSE(CONTROL!$C$9, $D$9, 100%, $F$9) + CHOOSE(CONTROL!$C$27, 0.0021, 0)</f>
        <v>46.589799999999997</v>
      </c>
      <c r="F459" s="10">
        <f>46.5877 * CHOOSE(CONTROL!$C$9, $D$9, 100%, $F$9) + CHOOSE(CONTROL!$C$27, 0.0021, 0)</f>
        <v>46.589799999999997</v>
      </c>
      <c r="G459" s="10">
        <f>46.8591 * CHOOSE(CONTROL!$C$9, $D$9, 100%, $F$9) + CHOOSE(CONTROL!$C$27, 0.0021, 0)</f>
        <v>46.861199999999997</v>
      </c>
      <c r="H459" s="10">
        <f>46.7244 * CHOOSE(CONTROL!$C$9, $D$9, 100%, $F$9) + CHOOSE(CONTROL!$C$27, 0.0021, 0)</f>
        <v>46.726500000000001</v>
      </c>
      <c r="I459" s="10">
        <f>46.7244 * CHOOSE(CONTROL!$C$9, $D$9, 100%, $F$9) + CHOOSE(CONTROL!$C$27, 0.0021, 0)</f>
        <v>46.726500000000001</v>
      </c>
      <c r="J459" s="10">
        <f>46.7244 * CHOOSE(CONTROL!$C$9, $D$9, 100%, $F$9) + CHOOSE(CONTROL!$C$27, 0.0021, 0)</f>
        <v>46.726500000000001</v>
      </c>
      <c r="K459" s="10">
        <f>46.7244 * CHOOSE(CONTROL!$C$9, $D$9, 100%, $F$9) + CHOOSE(CONTROL!$C$27, 0.0021, 0)</f>
        <v>46.726500000000001</v>
      </c>
      <c r="L459" s="10"/>
    </row>
    <row r="460" spans="1:12" ht="15.75" x14ac:dyDescent="0.25">
      <c r="A460" s="14">
        <v>54939</v>
      </c>
      <c r="B460" s="10">
        <f>48.0988 * CHOOSE(CONTROL!$C$9, $D$9, 100%, $F$9) + CHOOSE(CONTROL!$C$27, 0.0021, 0)</f>
        <v>48.100899999999996</v>
      </c>
      <c r="C460" s="10">
        <f>47.6666 * CHOOSE(CONTROL!$C$9, $D$9, 100%, $F$9) + CHOOSE(CONTROL!$C$27, 0.0021, 0)</f>
        <v>47.668700000000001</v>
      </c>
      <c r="D460" s="10">
        <f>47.6666 * CHOOSE(CONTROL!$C$9, $D$9, 100%, $F$9) + CHOOSE(CONTROL!$C$27, 0.0021, 0)</f>
        <v>47.668700000000001</v>
      </c>
      <c r="E460" s="10">
        <f>47.5299 * CHOOSE(CONTROL!$C$9, $D$9, 100%, $F$9) + CHOOSE(CONTROL!$C$27, 0.0021, 0)</f>
        <v>47.531999999999996</v>
      </c>
      <c r="F460" s="10">
        <f>47.5299 * CHOOSE(CONTROL!$C$9, $D$9, 100%, $F$9) + CHOOSE(CONTROL!$C$27, 0.0021, 0)</f>
        <v>47.531999999999996</v>
      </c>
      <c r="G460" s="10">
        <f>47.8013 * CHOOSE(CONTROL!$C$9, $D$9, 100%, $F$9) + CHOOSE(CONTROL!$C$27, 0.0021, 0)</f>
        <v>47.803399999999996</v>
      </c>
      <c r="H460" s="10">
        <f>47.6666 * CHOOSE(CONTROL!$C$9, $D$9, 100%, $F$9) + CHOOSE(CONTROL!$C$27, 0.0021, 0)</f>
        <v>47.668700000000001</v>
      </c>
      <c r="I460" s="10">
        <f>47.6666 * CHOOSE(CONTROL!$C$9, $D$9, 100%, $F$9) + CHOOSE(CONTROL!$C$27, 0.0021, 0)</f>
        <v>47.668700000000001</v>
      </c>
      <c r="J460" s="10">
        <f>47.6666 * CHOOSE(CONTROL!$C$9, $D$9, 100%, $F$9) + CHOOSE(CONTROL!$C$27, 0.0021, 0)</f>
        <v>47.668700000000001</v>
      </c>
      <c r="K460" s="10">
        <f>47.6666 * CHOOSE(CONTROL!$C$9, $D$9, 100%, $F$9) + CHOOSE(CONTROL!$C$27, 0.0021, 0)</f>
        <v>47.668700000000001</v>
      </c>
      <c r="L460" s="10"/>
    </row>
    <row r="461" spans="1:12" ht="15.75" x14ac:dyDescent="0.25">
      <c r="A461" s="14">
        <v>54969</v>
      </c>
      <c r="B461" s="10">
        <f>48.6631 * CHOOSE(CONTROL!$C$9, $D$9, 100%, $F$9) + CHOOSE(CONTROL!$C$27, 0.0021, 0)</f>
        <v>48.665199999999999</v>
      </c>
      <c r="C461" s="10">
        <f>48.2309 * CHOOSE(CONTROL!$C$9, $D$9, 100%, $F$9) + CHOOSE(CONTROL!$C$27, 0.0021, 0)</f>
        <v>48.232999999999997</v>
      </c>
      <c r="D461" s="10">
        <f>48.2309 * CHOOSE(CONTROL!$C$9, $D$9, 100%, $F$9) + CHOOSE(CONTROL!$C$27, 0.0021, 0)</f>
        <v>48.232999999999997</v>
      </c>
      <c r="E461" s="10">
        <f>48.0942 * CHOOSE(CONTROL!$C$9, $D$9, 100%, $F$9) + CHOOSE(CONTROL!$C$27, 0.0021, 0)</f>
        <v>48.096299999999999</v>
      </c>
      <c r="F461" s="10">
        <f>48.0942 * CHOOSE(CONTROL!$C$9, $D$9, 100%, $F$9) + CHOOSE(CONTROL!$C$27, 0.0021, 0)</f>
        <v>48.096299999999999</v>
      </c>
      <c r="G461" s="10">
        <f>48.3656 * CHOOSE(CONTROL!$C$9, $D$9, 100%, $F$9) + CHOOSE(CONTROL!$C$27, 0.0021, 0)</f>
        <v>48.367699999999999</v>
      </c>
      <c r="H461" s="10">
        <f>48.2309 * CHOOSE(CONTROL!$C$9, $D$9, 100%, $F$9) + CHOOSE(CONTROL!$C$27, 0.0021, 0)</f>
        <v>48.232999999999997</v>
      </c>
      <c r="I461" s="10">
        <f>48.2309 * CHOOSE(CONTROL!$C$9, $D$9, 100%, $F$9) + CHOOSE(CONTROL!$C$27, 0.0021, 0)</f>
        <v>48.232999999999997</v>
      </c>
      <c r="J461" s="10">
        <f>48.2309 * CHOOSE(CONTROL!$C$9, $D$9, 100%, $F$9) + CHOOSE(CONTROL!$C$27, 0.0021, 0)</f>
        <v>48.232999999999997</v>
      </c>
      <c r="K461" s="10">
        <f>48.2309 * CHOOSE(CONTROL!$C$9, $D$9, 100%, $F$9) + CHOOSE(CONTROL!$C$27, 0.0021, 0)</f>
        <v>48.232999999999997</v>
      </c>
      <c r="L461" s="10"/>
    </row>
    <row r="462" spans="1:12" ht="15.75" x14ac:dyDescent="0.25">
      <c r="A462" s="14">
        <v>55000</v>
      </c>
      <c r="B462" s="10">
        <f>49.5941 * CHOOSE(CONTROL!$C$9, $D$9, 100%, $F$9) + CHOOSE(CONTROL!$C$27, 0.0021, 0)</f>
        <v>49.596199999999996</v>
      </c>
      <c r="C462" s="10">
        <f>49.1618 * CHOOSE(CONTROL!$C$9, $D$9, 100%, $F$9) + CHOOSE(CONTROL!$C$27, 0.0021, 0)</f>
        <v>49.163899999999998</v>
      </c>
      <c r="D462" s="10">
        <f>49.1618 * CHOOSE(CONTROL!$C$9, $D$9, 100%, $F$9) + CHOOSE(CONTROL!$C$27, 0.0021, 0)</f>
        <v>49.163899999999998</v>
      </c>
      <c r="E462" s="10">
        <f>49.0251 * CHOOSE(CONTROL!$C$9, $D$9, 100%, $F$9) + CHOOSE(CONTROL!$C$27, 0.0021, 0)</f>
        <v>49.027200000000001</v>
      </c>
      <c r="F462" s="10">
        <f>49.0251 * CHOOSE(CONTROL!$C$9, $D$9, 100%, $F$9) + CHOOSE(CONTROL!$C$27, 0.0021, 0)</f>
        <v>49.027200000000001</v>
      </c>
      <c r="G462" s="10">
        <f>49.2965 * CHOOSE(CONTROL!$C$9, $D$9, 100%, $F$9) + CHOOSE(CONTROL!$C$27, 0.0021, 0)</f>
        <v>49.2986</v>
      </c>
      <c r="H462" s="10">
        <f>49.1618 * CHOOSE(CONTROL!$C$9, $D$9, 100%, $F$9) + CHOOSE(CONTROL!$C$27, 0.0021, 0)</f>
        <v>49.163899999999998</v>
      </c>
      <c r="I462" s="10">
        <f>49.1618 * CHOOSE(CONTROL!$C$9, $D$9, 100%, $F$9) + CHOOSE(CONTROL!$C$27, 0.0021, 0)</f>
        <v>49.163899999999998</v>
      </c>
      <c r="J462" s="10">
        <f>49.1618 * CHOOSE(CONTROL!$C$9, $D$9, 100%, $F$9) + CHOOSE(CONTROL!$C$27, 0.0021, 0)</f>
        <v>49.163899999999998</v>
      </c>
      <c r="K462" s="10">
        <f>49.1618 * CHOOSE(CONTROL!$C$9, $D$9, 100%, $F$9) + CHOOSE(CONTROL!$C$27, 0.0021, 0)</f>
        <v>49.163899999999998</v>
      </c>
      <c r="L462" s="10"/>
    </row>
    <row r="463" spans="1:12" ht="15.75" x14ac:dyDescent="0.25">
      <c r="A463" s="14">
        <v>55031</v>
      </c>
      <c r="B463" s="10">
        <f>49.8782 * CHOOSE(CONTROL!$C$9, $D$9, 100%, $F$9) + CHOOSE(CONTROL!$C$27, 0.0021, 0)</f>
        <v>49.880299999999998</v>
      </c>
      <c r="C463" s="10">
        <f>49.446 * CHOOSE(CONTROL!$C$9, $D$9, 100%, $F$9) + CHOOSE(CONTROL!$C$27, 0.0021, 0)</f>
        <v>49.448099999999997</v>
      </c>
      <c r="D463" s="10">
        <f>49.446 * CHOOSE(CONTROL!$C$9, $D$9, 100%, $F$9) + CHOOSE(CONTROL!$C$27, 0.0021, 0)</f>
        <v>49.448099999999997</v>
      </c>
      <c r="E463" s="10">
        <f>49.3093 * CHOOSE(CONTROL!$C$9, $D$9, 100%, $F$9) + CHOOSE(CONTROL!$C$27, 0.0021, 0)</f>
        <v>49.311399999999999</v>
      </c>
      <c r="F463" s="10">
        <f>49.3093 * CHOOSE(CONTROL!$C$9, $D$9, 100%, $F$9) + CHOOSE(CONTROL!$C$27, 0.0021, 0)</f>
        <v>49.311399999999999</v>
      </c>
      <c r="G463" s="10">
        <f>49.5807 * CHOOSE(CONTROL!$C$9, $D$9, 100%, $F$9) + CHOOSE(CONTROL!$C$27, 0.0021, 0)</f>
        <v>49.582799999999999</v>
      </c>
      <c r="H463" s="10">
        <f>49.446 * CHOOSE(CONTROL!$C$9, $D$9, 100%, $F$9) + CHOOSE(CONTROL!$C$27, 0.0021, 0)</f>
        <v>49.448099999999997</v>
      </c>
      <c r="I463" s="10">
        <f>49.446 * CHOOSE(CONTROL!$C$9, $D$9, 100%, $F$9) + CHOOSE(CONTROL!$C$27, 0.0021, 0)</f>
        <v>49.448099999999997</v>
      </c>
      <c r="J463" s="10">
        <f>49.446 * CHOOSE(CONTROL!$C$9, $D$9, 100%, $F$9) + CHOOSE(CONTROL!$C$27, 0.0021, 0)</f>
        <v>49.448099999999997</v>
      </c>
      <c r="K463" s="10">
        <f>49.446 * CHOOSE(CONTROL!$C$9, $D$9, 100%, $F$9) + CHOOSE(CONTROL!$C$27, 0.0021, 0)</f>
        <v>49.448099999999997</v>
      </c>
      <c r="L463" s="10"/>
    </row>
    <row r="464" spans="1:12" ht="15.75" x14ac:dyDescent="0.25">
      <c r="A464" s="14">
        <v>55061</v>
      </c>
      <c r="B464" s="10">
        <f>50.8459 * CHOOSE(CONTROL!$C$9, $D$9, 100%, $F$9) + CHOOSE(CONTROL!$C$27, 0.0021, 0)</f>
        <v>50.847999999999999</v>
      </c>
      <c r="C464" s="10">
        <f>50.4136 * CHOOSE(CONTROL!$C$9, $D$9, 100%, $F$9) + CHOOSE(CONTROL!$C$27, 0.0021, 0)</f>
        <v>50.415700000000001</v>
      </c>
      <c r="D464" s="10">
        <f>50.4136 * CHOOSE(CONTROL!$C$9, $D$9, 100%, $F$9) + CHOOSE(CONTROL!$C$27, 0.0021, 0)</f>
        <v>50.415700000000001</v>
      </c>
      <c r="E464" s="10">
        <f>50.277 * CHOOSE(CONTROL!$C$9, $D$9, 100%, $F$9) + CHOOSE(CONTROL!$C$27, 0.0021, 0)</f>
        <v>50.2791</v>
      </c>
      <c r="F464" s="10">
        <f>50.277 * CHOOSE(CONTROL!$C$9, $D$9, 100%, $F$9) + CHOOSE(CONTROL!$C$27, 0.0021, 0)</f>
        <v>50.2791</v>
      </c>
      <c r="G464" s="10">
        <f>50.5483 * CHOOSE(CONTROL!$C$9, $D$9, 100%, $F$9) + CHOOSE(CONTROL!$C$27, 0.0021, 0)</f>
        <v>50.550399999999996</v>
      </c>
      <c r="H464" s="10">
        <f>50.4136 * CHOOSE(CONTROL!$C$9, $D$9, 100%, $F$9) + CHOOSE(CONTROL!$C$27, 0.0021, 0)</f>
        <v>50.415700000000001</v>
      </c>
      <c r="I464" s="10">
        <f>50.4136 * CHOOSE(CONTROL!$C$9, $D$9, 100%, $F$9) + CHOOSE(CONTROL!$C$27, 0.0021, 0)</f>
        <v>50.415700000000001</v>
      </c>
      <c r="J464" s="10">
        <f>50.4136 * CHOOSE(CONTROL!$C$9, $D$9, 100%, $F$9) + CHOOSE(CONTROL!$C$27, 0.0021, 0)</f>
        <v>50.415700000000001</v>
      </c>
      <c r="K464" s="10">
        <f>50.4136 * CHOOSE(CONTROL!$C$9, $D$9, 100%, $F$9) + CHOOSE(CONTROL!$C$27, 0.0021, 0)</f>
        <v>50.415700000000001</v>
      </c>
      <c r="L464" s="10"/>
    </row>
    <row r="465" spans="1:12" ht="15.75" x14ac:dyDescent="0.25">
      <c r="A465" s="14">
        <v>55092</v>
      </c>
      <c r="B465" s="10">
        <f>52.0707 * CHOOSE(CONTROL!$C$9, $D$9, 100%, $F$9) + CHOOSE(CONTROL!$C$27, 0.0021, 0)</f>
        <v>52.072800000000001</v>
      </c>
      <c r="C465" s="10">
        <f>51.6385 * CHOOSE(CONTROL!$C$9, $D$9, 100%, $F$9) + CHOOSE(CONTROL!$C$27, 0.0021, 0)</f>
        <v>51.640599999999999</v>
      </c>
      <c r="D465" s="10">
        <f>51.6385 * CHOOSE(CONTROL!$C$9, $D$9, 100%, $F$9) + CHOOSE(CONTROL!$C$27, 0.0021, 0)</f>
        <v>51.640599999999999</v>
      </c>
      <c r="E465" s="10">
        <f>51.5018 * CHOOSE(CONTROL!$C$9, $D$9, 100%, $F$9) + CHOOSE(CONTROL!$C$27, 0.0021, 0)</f>
        <v>51.503900000000002</v>
      </c>
      <c r="F465" s="10">
        <f>51.5018 * CHOOSE(CONTROL!$C$9, $D$9, 100%, $F$9) + CHOOSE(CONTROL!$C$27, 0.0021, 0)</f>
        <v>51.503900000000002</v>
      </c>
      <c r="G465" s="10">
        <f>51.7732 * CHOOSE(CONTROL!$C$9, $D$9, 100%, $F$9) + CHOOSE(CONTROL!$C$27, 0.0021, 0)</f>
        <v>51.775300000000001</v>
      </c>
      <c r="H465" s="10">
        <f>51.6385 * CHOOSE(CONTROL!$C$9, $D$9, 100%, $F$9) + CHOOSE(CONTROL!$C$27, 0.0021, 0)</f>
        <v>51.640599999999999</v>
      </c>
      <c r="I465" s="10">
        <f>51.6385 * CHOOSE(CONTROL!$C$9, $D$9, 100%, $F$9) + CHOOSE(CONTROL!$C$27, 0.0021, 0)</f>
        <v>51.640599999999999</v>
      </c>
      <c r="J465" s="10">
        <f>51.6385 * CHOOSE(CONTROL!$C$9, $D$9, 100%, $F$9) + CHOOSE(CONTROL!$C$27, 0.0021, 0)</f>
        <v>51.640599999999999</v>
      </c>
      <c r="K465" s="10">
        <f>51.6385 * CHOOSE(CONTROL!$C$9, $D$9, 100%, $F$9) + CHOOSE(CONTROL!$C$27, 0.0021, 0)</f>
        <v>51.640599999999999</v>
      </c>
      <c r="L465" s="10"/>
    </row>
    <row r="466" spans="1:12" ht="15.75" x14ac:dyDescent="0.25">
      <c r="A466" s="14">
        <v>55122</v>
      </c>
      <c r="B466" s="10">
        <f>52.1857 * CHOOSE(CONTROL!$C$9, $D$9, 100%, $F$9) + CHOOSE(CONTROL!$C$27, 0.0021, 0)</f>
        <v>52.187799999999996</v>
      </c>
      <c r="C466" s="10">
        <f>51.7535 * CHOOSE(CONTROL!$C$9, $D$9, 100%, $F$9) + CHOOSE(CONTROL!$C$27, 0.0021, 0)</f>
        <v>51.755600000000001</v>
      </c>
      <c r="D466" s="10">
        <f>51.7535 * CHOOSE(CONTROL!$C$9, $D$9, 100%, $F$9) + CHOOSE(CONTROL!$C$27, 0.0021, 0)</f>
        <v>51.755600000000001</v>
      </c>
      <c r="E466" s="10">
        <f>51.6168 * CHOOSE(CONTROL!$C$9, $D$9, 100%, $F$9) + CHOOSE(CONTROL!$C$27, 0.0021, 0)</f>
        <v>51.618899999999996</v>
      </c>
      <c r="F466" s="10">
        <f>51.6168 * CHOOSE(CONTROL!$C$9, $D$9, 100%, $F$9) + CHOOSE(CONTROL!$C$27, 0.0021, 0)</f>
        <v>51.618899999999996</v>
      </c>
      <c r="G466" s="10">
        <f>51.8882 * CHOOSE(CONTROL!$C$9, $D$9, 100%, $F$9) + CHOOSE(CONTROL!$C$27, 0.0021, 0)</f>
        <v>51.890299999999996</v>
      </c>
      <c r="H466" s="10">
        <f>51.7535 * CHOOSE(CONTROL!$C$9, $D$9, 100%, $F$9) + CHOOSE(CONTROL!$C$27, 0.0021, 0)</f>
        <v>51.755600000000001</v>
      </c>
      <c r="I466" s="10">
        <f>51.7535 * CHOOSE(CONTROL!$C$9, $D$9, 100%, $F$9) + CHOOSE(CONTROL!$C$27, 0.0021, 0)</f>
        <v>51.755600000000001</v>
      </c>
      <c r="J466" s="10">
        <f>51.7535 * CHOOSE(CONTROL!$C$9, $D$9, 100%, $F$9) + CHOOSE(CONTROL!$C$27, 0.0021, 0)</f>
        <v>51.755600000000001</v>
      </c>
      <c r="K466" s="10">
        <f>51.7535 * CHOOSE(CONTROL!$C$9, $D$9, 100%, $F$9) + CHOOSE(CONTROL!$C$27, 0.0021, 0)</f>
        <v>51.755600000000001</v>
      </c>
      <c r="L466" s="10"/>
    </row>
    <row r="467" spans="1:12" ht="15.75" x14ac:dyDescent="0.25">
      <c r="A467" s="14">
        <v>55153</v>
      </c>
      <c r="B467" s="10">
        <f>51.2074 * CHOOSE(CONTROL!$C$9, $D$9, 100%, $F$9) + CHOOSE(CONTROL!$C$27, 0.0021, 0)</f>
        <v>51.209499999999998</v>
      </c>
      <c r="C467" s="10">
        <f>50.7752 * CHOOSE(CONTROL!$C$9, $D$9, 100%, $F$9) + CHOOSE(CONTROL!$C$27, 0.0021, 0)</f>
        <v>50.777299999999997</v>
      </c>
      <c r="D467" s="10">
        <f>50.7752 * CHOOSE(CONTROL!$C$9, $D$9, 100%, $F$9) + CHOOSE(CONTROL!$C$27, 0.0021, 0)</f>
        <v>50.777299999999997</v>
      </c>
      <c r="E467" s="10">
        <f>50.6385 * CHOOSE(CONTROL!$C$9, $D$9, 100%, $F$9) + CHOOSE(CONTROL!$C$27, 0.0021, 0)</f>
        <v>50.640599999999999</v>
      </c>
      <c r="F467" s="10">
        <f>50.6385 * CHOOSE(CONTROL!$C$9, $D$9, 100%, $F$9) + CHOOSE(CONTROL!$C$27, 0.0021, 0)</f>
        <v>50.640599999999999</v>
      </c>
      <c r="G467" s="10">
        <f>50.9099 * CHOOSE(CONTROL!$C$9, $D$9, 100%, $F$9) + CHOOSE(CONTROL!$C$27, 0.0021, 0)</f>
        <v>50.911999999999999</v>
      </c>
      <c r="H467" s="10">
        <f>50.7752 * CHOOSE(CONTROL!$C$9, $D$9, 100%, $F$9) + CHOOSE(CONTROL!$C$27, 0.0021, 0)</f>
        <v>50.777299999999997</v>
      </c>
      <c r="I467" s="10">
        <f>50.7752 * CHOOSE(CONTROL!$C$9, $D$9, 100%, $F$9) + CHOOSE(CONTROL!$C$27, 0.0021, 0)</f>
        <v>50.777299999999997</v>
      </c>
      <c r="J467" s="10">
        <f>50.7752 * CHOOSE(CONTROL!$C$9, $D$9, 100%, $F$9) + CHOOSE(CONTROL!$C$27, 0.0021, 0)</f>
        <v>50.777299999999997</v>
      </c>
      <c r="K467" s="10">
        <f>50.7752 * CHOOSE(CONTROL!$C$9, $D$9, 100%, $F$9) + CHOOSE(CONTROL!$C$27, 0.0021, 0)</f>
        <v>50.777299999999997</v>
      </c>
      <c r="L467" s="10"/>
    </row>
    <row r="468" spans="1:12" ht="15.75" x14ac:dyDescent="0.25">
      <c r="A468" s="14">
        <v>55184</v>
      </c>
      <c r="B468" s="10">
        <f>50.5665 * CHOOSE(CONTROL!$C$9, $D$9, 100%, $F$9) + CHOOSE(CONTROL!$C$27, 0.0021, 0)</f>
        <v>50.568599999999996</v>
      </c>
      <c r="C468" s="10">
        <f>50.1343 * CHOOSE(CONTROL!$C$9, $D$9, 100%, $F$9) + CHOOSE(CONTROL!$C$27, 0.0021, 0)</f>
        <v>50.136400000000002</v>
      </c>
      <c r="D468" s="10">
        <f>50.1343 * CHOOSE(CONTROL!$C$9, $D$9, 100%, $F$9) + CHOOSE(CONTROL!$C$27, 0.0021, 0)</f>
        <v>50.136400000000002</v>
      </c>
      <c r="E468" s="10">
        <f>49.9976 * CHOOSE(CONTROL!$C$9, $D$9, 100%, $F$9) + CHOOSE(CONTROL!$C$27, 0.0021, 0)</f>
        <v>49.999699999999997</v>
      </c>
      <c r="F468" s="10">
        <f>49.9976 * CHOOSE(CONTROL!$C$9, $D$9, 100%, $F$9) + CHOOSE(CONTROL!$C$27, 0.0021, 0)</f>
        <v>49.999699999999997</v>
      </c>
      <c r="G468" s="10">
        <f>50.269 * CHOOSE(CONTROL!$C$9, $D$9, 100%, $F$9) + CHOOSE(CONTROL!$C$27, 0.0021, 0)</f>
        <v>50.271099999999997</v>
      </c>
      <c r="H468" s="10">
        <f>50.1343 * CHOOSE(CONTROL!$C$9, $D$9, 100%, $F$9) + CHOOSE(CONTROL!$C$27, 0.0021, 0)</f>
        <v>50.136400000000002</v>
      </c>
      <c r="I468" s="10">
        <f>50.1343 * CHOOSE(CONTROL!$C$9, $D$9, 100%, $F$9) + CHOOSE(CONTROL!$C$27, 0.0021, 0)</f>
        <v>50.136400000000002</v>
      </c>
      <c r="J468" s="10">
        <f>50.1343 * CHOOSE(CONTROL!$C$9, $D$9, 100%, $F$9) + CHOOSE(CONTROL!$C$27, 0.0021, 0)</f>
        <v>50.136400000000002</v>
      </c>
      <c r="K468" s="10">
        <f>50.1343 * CHOOSE(CONTROL!$C$9, $D$9, 100%, $F$9) + CHOOSE(CONTROL!$C$27, 0.0021, 0)</f>
        <v>50.136400000000002</v>
      </c>
      <c r="L468" s="10"/>
    </row>
    <row r="469" spans="1:12" ht="15.75" x14ac:dyDescent="0.25">
      <c r="A469" s="14">
        <v>55212</v>
      </c>
      <c r="B469" s="10">
        <f>49.2011 * CHOOSE(CONTROL!$C$9, $D$9, 100%, $F$9) + CHOOSE(CONTROL!$C$27, 0.0021, 0)</f>
        <v>49.203199999999995</v>
      </c>
      <c r="C469" s="10">
        <f>48.7688 * CHOOSE(CONTROL!$C$9, $D$9, 100%, $F$9) + CHOOSE(CONTROL!$C$27, 0.0021, 0)</f>
        <v>48.770899999999997</v>
      </c>
      <c r="D469" s="10">
        <f>48.7688 * CHOOSE(CONTROL!$C$9, $D$9, 100%, $F$9) + CHOOSE(CONTROL!$C$27, 0.0021, 0)</f>
        <v>48.770899999999997</v>
      </c>
      <c r="E469" s="10">
        <f>48.6322 * CHOOSE(CONTROL!$C$9, $D$9, 100%, $F$9) + CHOOSE(CONTROL!$C$27, 0.0021, 0)</f>
        <v>48.634299999999996</v>
      </c>
      <c r="F469" s="10">
        <f>48.6322 * CHOOSE(CONTROL!$C$9, $D$9, 100%, $F$9) + CHOOSE(CONTROL!$C$27, 0.0021, 0)</f>
        <v>48.634299999999996</v>
      </c>
      <c r="G469" s="10">
        <f>48.9036 * CHOOSE(CONTROL!$C$9, $D$9, 100%, $F$9) + CHOOSE(CONTROL!$C$27, 0.0021, 0)</f>
        <v>48.905699999999996</v>
      </c>
      <c r="H469" s="10">
        <f>48.7688 * CHOOSE(CONTROL!$C$9, $D$9, 100%, $F$9) + CHOOSE(CONTROL!$C$27, 0.0021, 0)</f>
        <v>48.770899999999997</v>
      </c>
      <c r="I469" s="10">
        <f>48.7688 * CHOOSE(CONTROL!$C$9, $D$9, 100%, $F$9) + CHOOSE(CONTROL!$C$27, 0.0021, 0)</f>
        <v>48.770899999999997</v>
      </c>
      <c r="J469" s="10">
        <f>48.7688 * CHOOSE(CONTROL!$C$9, $D$9, 100%, $F$9) + CHOOSE(CONTROL!$C$27, 0.0021, 0)</f>
        <v>48.770899999999997</v>
      </c>
      <c r="K469" s="10">
        <f>48.7688 * CHOOSE(CONTROL!$C$9, $D$9, 100%, $F$9) + CHOOSE(CONTROL!$C$27, 0.0021, 0)</f>
        <v>48.770899999999997</v>
      </c>
      <c r="L469" s="10"/>
    </row>
    <row r="470" spans="1:12" ht="15.75" x14ac:dyDescent="0.25">
      <c r="A470" s="14">
        <v>55243</v>
      </c>
      <c r="B470" s="10">
        <f>48.6374 * CHOOSE(CONTROL!$C$9, $D$9, 100%, $F$9) + CHOOSE(CONTROL!$C$27, 0.0021, 0)</f>
        <v>48.639499999999998</v>
      </c>
      <c r="C470" s="10">
        <f>48.2052 * CHOOSE(CONTROL!$C$9, $D$9, 100%, $F$9) + CHOOSE(CONTROL!$C$27, 0.0021, 0)</f>
        <v>48.207299999999996</v>
      </c>
      <c r="D470" s="10">
        <f>48.2052 * CHOOSE(CONTROL!$C$9, $D$9, 100%, $F$9) + CHOOSE(CONTROL!$C$27, 0.0021, 0)</f>
        <v>48.207299999999996</v>
      </c>
      <c r="E470" s="10">
        <f>48.0685 * CHOOSE(CONTROL!$C$9, $D$9, 100%, $F$9) + CHOOSE(CONTROL!$C$27, 0.0021, 0)</f>
        <v>48.070599999999999</v>
      </c>
      <c r="F470" s="10">
        <f>48.0685 * CHOOSE(CONTROL!$C$9, $D$9, 100%, $F$9) + CHOOSE(CONTROL!$C$27, 0.0021, 0)</f>
        <v>48.070599999999999</v>
      </c>
      <c r="G470" s="10">
        <f>48.3399 * CHOOSE(CONTROL!$C$9, $D$9, 100%, $F$9) + CHOOSE(CONTROL!$C$27, 0.0021, 0)</f>
        <v>48.341999999999999</v>
      </c>
      <c r="H470" s="10">
        <f>48.2052 * CHOOSE(CONTROL!$C$9, $D$9, 100%, $F$9) + CHOOSE(CONTROL!$C$27, 0.0021, 0)</f>
        <v>48.207299999999996</v>
      </c>
      <c r="I470" s="10">
        <f>48.2052 * CHOOSE(CONTROL!$C$9, $D$9, 100%, $F$9) + CHOOSE(CONTROL!$C$27, 0.0021, 0)</f>
        <v>48.207299999999996</v>
      </c>
      <c r="J470" s="10">
        <f>48.2052 * CHOOSE(CONTROL!$C$9, $D$9, 100%, $F$9) + CHOOSE(CONTROL!$C$27, 0.0021, 0)</f>
        <v>48.207299999999996</v>
      </c>
      <c r="K470" s="10">
        <f>48.2052 * CHOOSE(CONTROL!$C$9, $D$9, 100%, $F$9) + CHOOSE(CONTROL!$C$27, 0.0021, 0)</f>
        <v>48.207299999999996</v>
      </c>
      <c r="L470" s="10"/>
    </row>
    <row r="471" spans="1:12" ht="15.75" x14ac:dyDescent="0.25">
      <c r="A471" s="14">
        <v>55273</v>
      </c>
      <c r="B471" s="10">
        <f>47.9644 * CHOOSE(CONTROL!$C$9, $D$9, 100%, $F$9) + CHOOSE(CONTROL!$C$27, 0.0021, 0)</f>
        <v>47.966499999999996</v>
      </c>
      <c r="C471" s="10">
        <f>47.5322 * CHOOSE(CONTROL!$C$9, $D$9, 100%, $F$9) + CHOOSE(CONTROL!$C$27, 0.0021, 0)</f>
        <v>47.534300000000002</v>
      </c>
      <c r="D471" s="10">
        <f>47.5322 * CHOOSE(CONTROL!$C$9, $D$9, 100%, $F$9) + CHOOSE(CONTROL!$C$27, 0.0021, 0)</f>
        <v>47.534300000000002</v>
      </c>
      <c r="E471" s="10">
        <f>47.3955 * CHOOSE(CONTROL!$C$9, $D$9, 100%, $F$9) + CHOOSE(CONTROL!$C$27, 0.0021, 0)</f>
        <v>47.397599999999997</v>
      </c>
      <c r="F471" s="10">
        <f>47.3955 * CHOOSE(CONTROL!$C$9, $D$9, 100%, $F$9) + CHOOSE(CONTROL!$C$27, 0.0021, 0)</f>
        <v>47.397599999999997</v>
      </c>
      <c r="G471" s="10">
        <f>47.6669 * CHOOSE(CONTROL!$C$9, $D$9, 100%, $F$9) + CHOOSE(CONTROL!$C$27, 0.0021, 0)</f>
        <v>47.668999999999997</v>
      </c>
      <c r="H471" s="10">
        <f>47.5322 * CHOOSE(CONTROL!$C$9, $D$9, 100%, $F$9) + CHOOSE(CONTROL!$C$27, 0.0021, 0)</f>
        <v>47.534300000000002</v>
      </c>
      <c r="I471" s="10">
        <f>47.5322 * CHOOSE(CONTROL!$C$9, $D$9, 100%, $F$9) + CHOOSE(CONTROL!$C$27, 0.0021, 0)</f>
        <v>47.534300000000002</v>
      </c>
      <c r="J471" s="10">
        <f>47.5322 * CHOOSE(CONTROL!$C$9, $D$9, 100%, $F$9) + CHOOSE(CONTROL!$C$27, 0.0021, 0)</f>
        <v>47.534300000000002</v>
      </c>
      <c r="K471" s="10">
        <f>47.5322 * CHOOSE(CONTROL!$C$9, $D$9, 100%, $F$9) + CHOOSE(CONTROL!$C$27, 0.0021, 0)</f>
        <v>47.534300000000002</v>
      </c>
      <c r="L471" s="10"/>
    </row>
    <row r="472" spans="1:12" ht="15.75" x14ac:dyDescent="0.25">
      <c r="A472" s="14">
        <v>55304</v>
      </c>
      <c r="B472" s="10">
        <f>48.9235 * CHOOSE(CONTROL!$C$9, $D$9, 100%, $F$9) + CHOOSE(CONTROL!$C$27, 0.0021, 0)</f>
        <v>48.925599999999996</v>
      </c>
      <c r="C472" s="10">
        <f>48.4913 * CHOOSE(CONTROL!$C$9, $D$9, 100%, $F$9) + CHOOSE(CONTROL!$C$27, 0.0021, 0)</f>
        <v>48.493400000000001</v>
      </c>
      <c r="D472" s="10">
        <f>48.4913 * CHOOSE(CONTROL!$C$9, $D$9, 100%, $F$9) + CHOOSE(CONTROL!$C$27, 0.0021, 0)</f>
        <v>48.493400000000001</v>
      </c>
      <c r="E472" s="10">
        <f>48.3546 * CHOOSE(CONTROL!$C$9, $D$9, 100%, $F$9) + CHOOSE(CONTROL!$C$27, 0.0021, 0)</f>
        <v>48.356699999999996</v>
      </c>
      <c r="F472" s="10">
        <f>48.3546 * CHOOSE(CONTROL!$C$9, $D$9, 100%, $F$9) + CHOOSE(CONTROL!$C$27, 0.0021, 0)</f>
        <v>48.356699999999996</v>
      </c>
      <c r="G472" s="10">
        <f>48.626 * CHOOSE(CONTROL!$C$9, $D$9, 100%, $F$9) + CHOOSE(CONTROL!$C$27, 0.0021, 0)</f>
        <v>48.628099999999996</v>
      </c>
      <c r="H472" s="10">
        <f>48.4913 * CHOOSE(CONTROL!$C$9, $D$9, 100%, $F$9) + CHOOSE(CONTROL!$C$27, 0.0021, 0)</f>
        <v>48.493400000000001</v>
      </c>
      <c r="I472" s="10">
        <f>48.4913 * CHOOSE(CONTROL!$C$9, $D$9, 100%, $F$9) + CHOOSE(CONTROL!$C$27, 0.0021, 0)</f>
        <v>48.493400000000001</v>
      </c>
      <c r="J472" s="10">
        <f>48.4913 * CHOOSE(CONTROL!$C$9, $D$9, 100%, $F$9) + CHOOSE(CONTROL!$C$27, 0.0021, 0)</f>
        <v>48.493400000000001</v>
      </c>
      <c r="K472" s="10">
        <f>48.4913 * CHOOSE(CONTROL!$C$9, $D$9, 100%, $F$9) + CHOOSE(CONTROL!$C$27, 0.0021, 0)</f>
        <v>48.493400000000001</v>
      </c>
      <c r="L472" s="10"/>
    </row>
    <row r="473" spans="1:12" ht="15.75" x14ac:dyDescent="0.25">
      <c r="A473" s="14">
        <v>55334</v>
      </c>
      <c r="B473" s="10">
        <f>49.498 * CHOOSE(CONTROL!$C$9, $D$9, 100%, $F$9) + CHOOSE(CONTROL!$C$27, 0.0021, 0)</f>
        <v>49.500099999999996</v>
      </c>
      <c r="C473" s="10">
        <f>49.0658 * CHOOSE(CONTROL!$C$9, $D$9, 100%, $F$9) + CHOOSE(CONTROL!$C$27, 0.0021, 0)</f>
        <v>49.067900000000002</v>
      </c>
      <c r="D473" s="10">
        <f>49.0658 * CHOOSE(CONTROL!$C$9, $D$9, 100%, $F$9) + CHOOSE(CONTROL!$C$27, 0.0021, 0)</f>
        <v>49.067900000000002</v>
      </c>
      <c r="E473" s="10">
        <f>48.9291 * CHOOSE(CONTROL!$C$9, $D$9, 100%, $F$9) + CHOOSE(CONTROL!$C$27, 0.0021, 0)</f>
        <v>48.931199999999997</v>
      </c>
      <c r="F473" s="10">
        <f>48.9291 * CHOOSE(CONTROL!$C$9, $D$9, 100%, $F$9) + CHOOSE(CONTROL!$C$27, 0.0021, 0)</f>
        <v>48.931199999999997</v>
      </c>
      <c r="G473" s="10">
        <f>49.2005 * CHOOSE(CONTROL!$C$9, $D$9, 100%, $F$9) + CHOOSE(CONTROL!$C$27, 0.0021, 0)</f>
        <v>49.202599999999997</v>
      </c>
      <c r="H473" s="10">
        <f>49.0658 * CHOOSE(CONTROL!$C$9, $D$9, 100%, $F$9) + CHOOSE(CONTROL!$C$27, 0.0021, 0)</f>
        <v>49.067900000000002</v>
      </c>
      <c r="I473" s="10">
        <f>49.0658 * CHOOSE(CONTROL!$C$9, $D$9, 100%, $F$9) + CHOOSE(CONTROL!$C$27, 0.0021, 0)</f>
        <v>49.067900000000002</v>
      </c>
      <c r="J473" s="10">
        <f>49.0658 * CHOOSE(CONTROL!$C$9, $D$9, 100%, $F$9) + CHOOSE(CONTROL!$C$27, 0.0021, 0)</f>
        <v>49.067900000000002</v>
      </c>
      <c r="K473" s="10">
        <f>49.0658 * CHOOSE(CONTROL!$C$9, $D$9, 100%, $F$9) + CHOOSE(CONTROL!$C$27, 0.0021, 0)</f>
        <v>49.067900000000002</v>
      </c>
      <c r="L473" s="10"/>
    </row>
    <row r="474" spans="1:12" ht="15.75" x14ac:dyDescent="0.25">
      <c r="A474" s="14">
        <v>55365</v>
      </c>
      <c r="B474" s="10">
        <f>50.4457 * CHOOSE(CONTROL!$C$9, $D$9, 100%, $F$9) + CHOOSE(CONTROL!$C$27, 0.0021, 0)</f>
        <v>50.447800000000001</v>
      </c>
      <c r="C474" s="10">
        <f>50.0135 * CHOOSE(CONTROL!$C$9, $D$9, 100%, $F$9) + CHOOSE(CONTROL!$C$27, 0.0021, 0)</f>
        <v>50.015599999999999</v>
      </c>
      <c r="D474" s="10">
        <f>50.0135 * CHOOSE(CONTROL!$C$9, $D$9, 100%, $F$9) + CHOOSE(CONTROL!$C$27, 0.0021, 0)</f>
        <v>50.015599999999999</v>
      </c>
      <c r="E474" s="10">
        <f>49.8768 * CHOOSE(CONTROL!$C$9, $D$9, 100%, $F$9) + CHOOSE(CONTROL!$C$27, 0.0021, 0)</f>
        <v>49.878900000000002</v>
      </c>
      <c r="F474" s="10">
        <f>49.8768 * CHOOSE(CONTROL!$C$9, $D$9, 100%, $F$9) + CHOOSE(CONTROL!$C$27, 0.0021, 0)</f>
        <v>49.878900000000002</v>
      </c>
      <c r="G474" s="10">
        <f>50.1482 * CHOOSE(CONTROL!$C$9, $D$9, 100%, $F$9) + CHOOSE(CONTROL!$C$27, 0.0021, 0)</f>
        <v>50.150300000000001</v>
      </c>
      <c r="H474" s="10">
        <f>50.0135 * CHOOSE(CONTROL!$C$9, $D$9, 100%, $F$9) + CHOOSE(CONTROL!$C$27, 0.0021, 0)</f>
        <v>50.015599999999999</v>
      </c>
      <c r="I474" s="10">
        <f>50.0135 * CHOOSE(CONTROL!$C$9, $D$9, 100%, $F$9) + CHOOSE(CONTROL!$C$27, 0.0021, 0)</f>
        <v>50.015599999999999</v>
      </c>
      <c r="J474" s="10">
        <f>50.0135 * CHOOSE(CONTROL!$C$9, $D$9, 100%, $F$9) + CHOOSE(CONTROL!$C$27, 0.0021, 0)</f>
        <v>50.015599999999999</v>
      </c>
      <c r="K474" s="10">
        <f>50.0135 * CHOOSE(CONTROL!$C$9, $D$9, 100%, $F$9) + CHOOSE(CONTROL!$C$27, 0.0021, 0)</f>
        <v>50.015599999999999</v>
      </c>
      <c r="L474" s="10"/>
    </row>
    <row r="475" spans="1:12" ht="15.75" x14ac:dyDescent="0.25">
      <c r="A475" s="14">
        <v>55396</v>
      </c>
      <c r="B475" s="10">
        <f>50.735 * CHOOSE(CONTROL!$C$9, $D$9, 100%, $F$9) + CHOOSE(CONTROL!$C$27, 0.0021, 0)</f>
        <v>50.737099999999998</v>
      </c>
      <c r="C475" s="10">
        <f>50.3027 * CHOOSE(CONTROL!$C$9, $D$9, 100%, $F$9) + CHOOSE(CONTROL!$C$27, 0.0021, 0)</f>
        <v>50.3048</v>
      </c>
      <c r="D475" s="10">
        <f>50.3027 * CHOOSE(CONTROL!$C$9, $D$9, 100%, $F$9) + CHOOSE(CONTROL!$C$27, 0.0021, 0)</f>
        <v>50.3048</v>
      </c>
      <c r="E475" s="10">
        <f>50.1661 * CHOOSE(CONTROL!$C$9, $D$9, 100%, $F$9) + CHOOSE(CONTROL!$C$27, 0.0021, 0)</f>
        <v>50.168199999999999</v>
      </c>
      <c r="F475" s="10">
        <f>50.1661 * CHOOSE(CONTROL!$C$9, $D$9, 100%, $F$9) + CHOOSE(CONTROL!$C$27, 0.0021, 0)</f>
        <v>50.168199999999999</v>
      </c>
      <c r="G475" s="10">
        <f>50.4374 * CHOOSE(CONTROL!$C$9, $D$9, 100%, $F$9) + CHOOSE(CONTROL!$C$27, 0.0021, 0)</f>
        <v>50.439499999999995</v>
      </c>
      <c r="H475" s="10">
        <f>50.3027 * CHOOSE(CONTROL!$C$9, $D$9, 100%, $F$9) + CHOOSE(CONTROL!$C$27, 0.0021, 0)</f>
        <v>50.3048</v>
      </c>
      <c r="I475" s="10">
        <f>50.3027 * CHOOSE(CONTROL!$C$9, $D$9, 100%, $F$9) + CHOOSE(CONTROL!$C$27, 0.0021, 0)</f>
        <v>50.3048</v>
      </c>
      <c r="J475" s="10">
        <f>50.3027 * CHOOSE(CONTROL!$C$9, $D$9, 100%, $F$9) + CHOOSE(CONTROL!$C$27, 0.0021, 0)</f>
        <v>50.3048</v>
      </c>
      <c r="K475" s="10">
        <f>50.3027 * CHOOSE(CONTROL!$C$9, $D$9, 100%, $F$9) + CHOOSE(CONTROL!$C$27, 0.0021, 0)</f>
        <v>50.3048</v>
      </c>
      <c r="L475" s="10"/>
    </row>
    <row r="476" spans="1:12" ht="15.75" x14ac:dyDescent="0.25">
      <c r="A476" s="14">
        <v>55426</v>
      </c>
      <c r="B476" s="10">
        <f>51.7201 * CHOOSE(CONTROL!$C$9, $D$9, 100%, $F$9) + CHOOSE(CONTROL!$C$27, 0.0021, 0)</f>
        <v>51.722200000000001</v>
      </c>
      <c r="C476" s="10">
        <f>51.2878 * CHOOSE(CONTROL!$C$9, $D$9, 100%, $F$9) + CHOOSE(CONTROL!$C$27, 0.0021, 0)</f>
        <v>51.289899999999996</v>
      </c>
      <c r="D476" s="10">
        <f>51.2878 * CHOOSE(CONTROL!$C$9, $D$9, 100%, $F$9) + CHOOSE(CONTROL!$C$27, 0.0021, 0)</f>
        <v>51.289899999999996</v>
      </c>
      <c r="E476" s="10">
        <f>51.1511 * CHOOSE(CONTROL!$C$9, $D$9, 100%, $F$9) + CHOOSE(CONTROL!$C$27, 0.0021, 0)</f>
        <v>51.153199999999998</v>
      </c>
      <c r="F476" s="10">
        <f>51.1511 * CHOOSE(CONTROL!$C$9, $D$9, 100%, $F$9) + CHOOSE(CONTROL!$C$27, 0.0021, 0)</f>
        <v>51.153199999999998</v>
      </c>
      <c r="G476" s="10">
        <f>51.4225 * CHOOSE(CONTROL!$C$9, $D$9, 100%, $F$9) + CHOOSE(CONTROL!$C$27, 0.0021, 0)</f>
        <v>51.424599999999998</v>
      </c>
      <c r="H476" s="10">
        <f>51.2878 * CHOOSE(CONTROL!$C$9, $D$9, 100%, $F$9) + CHOOSE(CONTROL!$C$27, 0.0021, 0)</f>
        <v>51.289899999999996</v>
      </c>
      <c r="I476" s="10">
        <f>51.2878 * CHOOSE(CONTROL!$C$9, $D$9, 100%, $F$9) + CHOOSE(CONTROL!$C$27, 0.0021, 0)</f>
        <v>51.289899999999996</v>
      </c>
      <c r="J476" s="10">
        <f>51.2878 * CHOOSE(CONTROL!$C$9, $D$9, 100%, $F$9) + CHOOSE(CONTROL!$C$27, 0.0021, 0)</f>
        <v>51.289899999999996</v>
      </c>
      <c r="K476" s="10">
        <f>51.2878 * CHOOSE(CONTROL!$C$9, $D$9, 100%, $F$9) + CHOOSE(CONTROL!$C$27, 0.0021, 0)</f>
        <v>51.289899999999996</v>
      </c>
      <c r="L476" s="10"/>
    </row>
    <row r="477" spans="1:12" ht="15.75" x14ac:dyDescent="0.25">
      <c r="A477" s="14">
        <v>55457</v>
      </c>
      <c r="B477" s="10">
        <f>52.967 * CHOOSE(CONTROL!$C$9, $D$9, 100%, $F$9) + CHOOSE(CONTROL!$C$27, 0.0021, 0)</f>
        <v>52.969099999999997</v>
      </c>
      <c r="C477" s="10">
        <f>52.5347 * CHOOSE(CONTROL!$C$9, $D$9, 100%, $F$9) + CHOOSE(CONTROL!$C$27, 0.0021, 0)</f>
        <v>52.536799999999999</v>
      </c>
      <c r="D477" s="10">
        <f>52.5347 * CHOOSE(CONTROL!$C$9, $D$9, 100%, $F$9) + CHOOSE(CONTROL!$C$27, 0.0021, 0)</f>
        <v>52.536799999999999</v>
      </c>
      <c r="E477" s="10">
        <f>52.3981 * CHOOSE(CONTROL!$C$9, $D$9, 100%, $F$9) + CHOOSE(CONTROL!$C$27, 0.0021, 0)</f>
        <v>52.400199999999998</v>
      </c>
      <c r="F477" s="10">
        <f>52.3981 * CHOOSE(CONTROL!$C$9, $D$9, 100%, $F$9) + CHOOSE(CONTROL!$C$27, 0.0021, 0)</f>
        <v>52.400199999999998</v>
      </c>
      <c r="G477" s="10">
        <f>52.6695 * CHOOSE(CONTROL!$C$9, $D$9, 100%, $F$9) + CHOOSE(CONTROL!$C$27, 0.0021, 0)</f>
        <v>52.671599999999998</v>
      </c>
      <c r="H477" s="10">
        <f>52.5347 * CHOOSE(CONTROL!$C$9, $D$9, 100%, $F$9) + CHOOSE(CONTROL!$C$27, 0.0021, 0)</f>
        <v>52.536799999999999</v>
      </c>
      <c r="I477" s="10">
        <f>52.5347 * CHOOSE(CONTROL!$C$9, $D$9, 100%, $F$9) + CHOOSE(CONTROL!$C$27, 0.0021, 0)</f>
        <v>52.536799999999999</v>
      </c>
      <c r="J477" s="10">
        <f>52.5347 * CHOOSE(CONTROL!$C$9, $D$9, 100%, $F$9) + CHOOSE(CONTROL!$C$27, 0.0021, 0)</f>
        <v>52.536799999999999</v>
      </c>
      <c r="K477" s="10">
        <f>52.5347 * CHOOSE(CONTROL!$C$9, $D$9, 100%, $F$9) + CHOOSE(CONTROL!$C$27, 0.0021, 0)</f>
        <v>52.536799999999999</v>
      </c>
      <c r="L477" s="10"/>
    </row>
    <row r="478" spans="1:12" ht="15.75" x14ac:dyDescent="0.25">
      <c r="A478" s="14">
        <v>55487</v>
      </c>
      <c r="B478" s="10">
        <f>53.0841 * CHOOSE(CONTROL!$C$9, $D$9, 100%, $F$9) + CHOOSE(CONTROL!$C$27, 0.0021, 0)</f>
        <v>53.086199999999998</v>
      </c>
      <c r="C478" s="10">
        <f>52.6518 * CHOOSE(CONTROL!$C$9, $D$9, 100%, $F$9) + CHOOSE(CONTROL!$C$27, 0.0021, 0)</f>
        <v>52.6539</v>
      </c>
      <c r="D478" s="10">
        <f>52.6518 * CHOOSE(CONTROL!$C$9, $D$9, 100%, $F$9) + CHOOSE(CONTROL!$C$27, 0.0021, 0)</f>
        <v>52.6539</v>
      </c>
      <c r="E478" s="10">
        <f>52.5151 * CHOOSE(CONTROL!$C$9, $D$9, 100%, $F$9) + CHOOSE(CONTROL!$C$27, 0.0021, 0)</f>
        <v>52.517199999999995</v>
      </c>
      <c r="F478" s="10">
        <f>52.5151 * CHOOSE(CONTROL!$C$9, $D$9, 100%, $F$9) + CHOOSE(CONTROL!$C$27, 0.0021, 0)</f>
        <v>52.517199999999995</v>
      </c>
      <c r="G478" s="10">
        <f>52.7865 * CHOOSE(CONTROL!$C$9, $D$9, 100%, $F$9) + CHOOSE(CONTROL!$C$27, 0.0021, 0)</f>
        <v>52.788599999999995</v>
      </c>
      <c r="H478" s="10">
        <f>52.6518 * CHOOSE(CONTROL!$C$9, $D$9, 100%, $F$9) + CHOOSE(CONTROL!$C$27, 0.0021, 0)</f>
        <v>52.6539</v>
      </c>
      <c r="I478" s="10">
        <f>52.6518 * CHOOSE(CONTROL!$C$9, $D$9, 100%, $F$9) + CHOOSE(CONTROL!$C$27, 0.0021, 0)</f>
        <v>52.6539</v>
      </c>
      <c r="J478" s="10">
        <f>52.6518 * CHOOSE(CONTROL!$C$9, $D$9, 100%, $F$9) + CHOOSE(CONTROL!$C$27, 0.0021, 0)</f>
        <v>52.6539</v>
      </c>
      <c r="K478" s="10">
        <f>52.6518 * CHOOSE(CONTROL!$C$9, $D$9, 100%, $F$9) + CHOOSE(CONTROL!$C$27, 0.0021, 0)</f>
        <v>52.6539</v>
      </c>
      <c r="L478" s="10"/>
    </row>
    <row r="479" spans="1:12" ht="15.75" x14ac:dyDescent="0.25">
      <c r="A479" s="14">
        <v>55518</v>
      </c>
      <c r="B479" s="10">
        <f>52.0881 * CHOOSE(CONTROL!$C$9, $D$9, 100%, $F$9) + CHOOSE(CONTROL!$C$27, 0.0021, 0)</f>
        <v>52.090199999999996</v>
      </c>
      <c r="C479" s="10">
        <f>51.6559 * CHOOSE(CONTROL!$C$9, $D$9, 100%, $F$9) + CHOOSE(CONTROL!$C$27, 0.0021, 0)</f>
        <v>51.658000000000001</v>
      </c>
      <c r="D479" s="10">
        <f>51.6559 * CHOOSE(CONTROL!$C$9, $D$9, 100%, $F$9) + CHOOSE(CONTROL!$C$27, 0.0021, 0)</f>
        <v>51.658000000000001</v>
      </c>
      <c r="E479" s="10">
        <f>51.5192 * CHOOSE(CONTROL!$C$9, $D$9, 100%, $F$9) + CHOOSE(CONTROL!$C$27, 0.0021, 0)</f>
        <v>51.521299999999997</v>
      </c>
      <c r="F479" s="10">
        <f>51.5192 * CHOOSE(CONTROL!$C$9, $D$9, 100%, $F$9) + CHOOSE(CONTROL!$C$27, 0.0021, 0)</f>
        <v>51.521299999999997</v>
      </c>
      <c r="G479" s="10">
        <f>51.7906 * CHOOSE(CONTROL!$C$9, $D$9, 100%, $F$9) + CHOOSE(CONTROL!$C$27, 0.0021, 0)</f>
        <v>51.792699999999996</v>
      </c>
      <c r="H479" s="10">
        <f>51.6559 * CHOOSE(CONTROL!$C$9, $D$9, 100%, $F$9) + CHOOSE(CONTROL!$C$27, 0.0021, 0)</f>
        <v>51.658000000000001</v>
      </c>
      <c r="I479" s="10">
        <f>51.6559 * CHOOSE(CONTROL!$C$9, $D$9, 100%, $F$9) + CHOOSE(CONTROL!$C$27, 0.0021, 0)</f>
        <v>51.658000000000001</v>
      </c>
      <c r="J479" s="10">
        <f>51.6559 * CHOOSE(CONTROL!$C$9, $D$9, 100%, $F$9) + CHOOSE(CONTROL!$C$27, 0.0021, 0)</f>
        <v>51.658000000000001</v>
      </c>
      <c r="K479" s="10">
        <f>51.6559 * CHOOSE(CONTROL!$C$9, $D$9, 100%, $F$9) + CHOOSE(CONTROL!$C$27, 0.0021, 0)</f>
        <v>51.658000000000001</v>
      </c>
      <c r="L479" s="10"/>
    </row>
    <row r="480" spans="1:12" ht="15.75" x14ac:dyDescent="0.25">
      <c r="A480" s="14">
        <v>55549</v>
      </c>
      <c r="B480" s="10">
        <f>51.4357 * CHOOSE(CONTROL!$C$9, $D$9, 100%, $F$9) + CHOOSE(CONTROL!$C$27, 0.0021, 0)</f>
        <v>51.437799999999996</v>
      </c>
      <c r="C480" s="10">
        <f>51.0035 * CHOOSE(CONTROL!$C$9, $D$9, 100%, $F$9) + CHOOSE(CONTROL!$C$27, 0.0021, 0)</f>
        <v>51.005600000000001</v>
      </c>
      <c r="D480" s="10">
        <f>51.0035 * CHOOSE(CONTROL!$C$9, $D$9, 100%, $F$9) + CHOOSE(CONTROL!$C$27, 0.0021, 0)</f>
        <v>51.005600000000001</v>
      </c>
      <c r="E480" s="10">
        <f>50.8668 * CHOOSE(CONTROL!$C$9, $D$9, 100%, $F$9) + CHOOSE(CONTROL!$C$27, 0.0021, 0)</f>
        <v>50.868899999999996</v>
      </c>
      <c r="F480" s="10">
        <f>50.8668 * CHOOSE(CONTROL!$C$9, $D$9, 100%, $F$9) + CHOOSE(CONTROL!$C$27, 0.0021, 0)</f>
        <v>50.868899999999996</v>
      </c>
      <c r="G480" s="10">
        <f>51.1382 * CHOOSE(CONTROL!$C$9, $D$9, 100%, $F$9) + CHOOSE(CONTROL!$C$27, 0.0021, 0)</f>
        <v>51.140299999999996</v>
      </c>
      <c r="H480" s="10">
        <f>51.0035 * CHOOSE(CONTROL!$C$9, $D$9, 100%, $F$9) + CHOOSE(CONTROL!$C$27, 0.0021, 0)</f>
        <v>51.005600000000001</v>
      </c>
      <c r="I480" s="10">
        <f>51.0035 * CHOOSE(CONTROL!$C$9, $D$9, 100%, $F$9) + CHOOSE(CONTROL!$C$27, 0.0021, 0)</f>
        <v>51.005600000000001</v>
      </c>
      <c r="J480" s="10">
        <f>51.0035 * CHOOSE(CONTROL!$C$9, $D$9, 100%, $F$9) + CHOOSE(CONTROL!$C$27, 0.0021, 0)</f>
        <v>51.005600000000001</v>
      </c>
      <c r="K480" s="10">
        <f>51.0035 * CHOOSE(CONTROL!$C$9, $D$9, 100%, $F$9) + CHOOSE(CONTROL!$C$27, 0.0021, 0)</f>
        <v>51.005600000000001</v>
      </c>
      <c r="L480" s="10"/>
    </row>
    <row r="481" spans="1:12" ht="15.75" x14ac:dyDescent="0.25">
      <c r="A481" s="14">
        <v>55577</v>
      </c>
      <c r="B481" s="10">
        <f>50.0457 * CHOOSE(CONTROL!$C$9, $D$9, 100%, $F$9) + CHOOSE(CONTROL!$C$27, 0.0021, 0)</f>
        <v>50.047799999999995</v>
      </c>
      <c r="C481" s="10">
        <f>49.6134 * CHOOSE(CONTROL!$C$9, $D$9, 100%, $F$9) + CHOOSE(CONTROL!$C$27, 0.0021, 0)</f>
        <v>49.615499999999997</v>
      </c>
      <c r="D481" s="10">
        <f>49.6134 * CHOOSE(CONTROL!$C$9, $D$9, 100%, $F$9) + CHOOSE(CONTROL!$C$27, 0.0021, 0)</f>
        <v>49.615499999999997</v>
      </c>
      <c r="E481" s="10">
        <f>49.4768 * CHOOSE(CONTROL!$C$9, $D$9, 100%, $F$9) + CHOOSE(CONTROL!$C$27, 0.0021, 0)</f>
        <v>49.478899999999996</v>
      </c>
      <c r="F481" s="10">
        <f>49.4768 * CHOOSE(CONTROL!$C$9, $D$9, 100%, $F$9) + CHOOSE(CONTROL!$C$27, 0.0021, 0)</f>
        <v>49.478899999999996</v>
      </c>
      <c r="G481" s="10">
        <f>49.7481 * CHOOSE(CONTROL!$C$9, $D$9, 100%, $F$9) + CHOOSE(CONTROL!$C$27, 0.0021, 0)</f>
        <v>49.7502</v>
      </c>
      <c r="H481" s="10">
        <f>49.6134 * CHOOSE(CONTROL!$C$9, $D$9, 100%, $F$9) + CHOOSE(CONTROL!$C$27, 0.0021, 0)</f>
        <v>49.615499999999997</v>
      </c>
      <c r="I481" s="10">
        <f>49.6134 * CHOOSE(CONTROL!$C$9, $D$9, 100%, $F$9) + CHOOSE(CONTROL!$C$27, 0.0021, 0)</f>
        <v>49.615499999999997</v>
      </c>
      <c r="J481" s="10">
        <f>49.6134 * CHOOSE(CONTROL!$C$9, $D$9, 100%, $F$9) + CHOOSE(CONTROL!$C$27, 0.0021, 0)</f>
        <v>49.615499999999997</v>
      </c>
      <c r="K481" s="10">
        <f>49.6134 * CHOOSE(CONTROL!$C$9, $D$9, 100%, $F$9) + CHOOSE(CONTROL!$C$27, 0.0021, 0)</f>
        <v>49.615499999999997</v>
      </c>
      <c r="L481" s="10"/>
    </row>
    <row r="482" spans="1:12" ht="15.75" x14ac:dyDescent="0.25">
      <c r="A482" s="14">
        <v>55609</v>
      </c>
      <c r="B482" s="10">
        <f>49.4719 * CHOOSE(CONTROL!$C$9, $D$9, 100%, $F$9) + CHOOSE(CONTROL!$C$27, 0.0021, 0)</f>
        <v>49.473999999999997</v>
      </c>
      <c r="C482" s="10">
        <f>49.0396 * CHOOSE(CONTROL!$C$9, $D$9, 100%, $F$9) + CHOOSE(CONTROL!$C$27, 0.0021, 0)</f>
        <v>49.041699999999999</v>
      </c>
      <c r="D482" s="10">
        <f>49.0396 * CHOOSE(CONTROL!$C$9, $D$9, 100%, $F$9) + CHOOSE(CONTROL!$C$27, 0.0021, 0)</f>
        <v>49.041699999999999</v>
      </c>
      <c r="E482" s="10">
        <f>48.903 * CHOOSE(CONTROL!$C$9, $D$9, 100%, $F$9) + CHOOSE(CONTROL!$C$27, 0.0021, 0)</f>
        <v>48.905099999999997</v>
      </c>
      <c r="F482" s="10">
        <f>48.903 * CHOOSE(CONTROL!$C$9, $D$9, 100%, $F$9) + CHOOSE(CONTROL!$C$27, 0.0021, 0)</f>
        <v>48.905099999999997</v>
      </c>
      <c r="G482" s="10">
        <f>49.1743 * CHOOSE(CONTROL!$C$9, $D$9, 100%, $F$9) + CHOOSE(CONTROL!$C$27, 0.0021, 0)</f>
        <v>49.176400000000001</v>
      </c>
      <c r="H482" s="10">
        <f>49.0396 * CHOOSE(CONTROL!$C$9, $D$9, 100%, $F$9) + CHOOSE(CONTROL!$C$27, 0.0021, 0)</f>
        <v>49.041699999999999</v>
      </c>
      <c r="I482" s="10">
        <f>49.0396 * CHOOSE(CONTROL!$C$9, $D$9, 100%, $F$9) + CHOOSE(CONTROL!$C$27, 0.0021, 0)</f>
        <v>49.041699999999999</v>
      </c>
      <c r="J482" s="10">
        <f>49.0396 * CHOOSE(CONTROL!$C$9, $D$9, 100%, $F$9) + CHOOSE(CONTROL!$C$27, 0.0021, 0)</f>
        <v>49.041699999999999</v>
      </c>
      <c r="K482" s="10">
        <f>49.0396 * CHOOSE(CONTROL!$C$9, $D$9, 100%, $F$9) + CHOOSE(CONTROL!$C$27, 0.0021, 0)</f>
        <v>49.041699999999999</v>
      </c>
      <c r="L482" s="10"/>
    </row>
    <row r="483" spans="1:12" ht="15.75" x14ac:dyDescent="0.25">
      <c r="A483" s="14">
        <v>55639</v>
      </c>
      <c r="B483" s="10">
        <f>48.7867 * CHOOSE(CONTROL!$C$9, $D$9, 100%, $F$9) + CHOOSE(CONTROL!$C$27, 0.0021, 0)</f>
        <v>48.788800000000002</v>
      </c>
      <c r="C483" s="10">
        <f>48.3545 * CHOOSE(CONTROL!$C$9, $D$9, 100%, $F$9) + CHOOSE(CONTROL!$C$27, 0.0021, 0)</f>
        <v>48.3566</v>
      </c>
      <c r="D483" s="10">
        <f>48.3545 * CHOOSE(CONTROL!$C$9, $D$9, 100%, $F$9) + CHOOSE(CONTROL!$C$27, 0.0021, 0)</f>
        <v>48.3566</v>
      </c>
      <c r="E483" s="10">
        <f>48.2178 * CHOOSE(CONTROL!$C$9, $D$9, 100%, $F$9) + CHOOSE(CONTROL!$C$27, 0.0021, 0)</f>
        <v>48.219899999999996</v>
      </c>
      <c r="F483" s="10">
        <f>48.2178 * CHOOSE(CONTROL!$C$9, $D$9, 100%, $F$9) + CHOOSE(CONTROL!$C$27, 0.0021, 0)</f>
        <v>48.219899999999996</v>
      </c>
      <c r="G483" s="10">
        <f>48.4892 * CHOOSE(CONTROL!$C$9, $D$9, 100%, $F$9) + CHOOSE(CONTROL!$C$27, 0.0021, 0)</f>
        <v>48.491299999999995</v>
      </c>
      <c r="H483" s="10">
        <f>48.3545 * CHOOSE(CONTROL!$C$9, $D$9, 100%, $F$9) + CHOOSE(CONTROL!$C$27, 0.0021, 0)</f>
        <v>48.3566</v>
      </c>
      <c r="I483" s="10">
        <f>48.3545 * CHOOSE(CONTROL!$C$9, $D$9, 100%, $F$9) + CHOOSE(CONTROL!$C$27, 0.0021, 0)</f>
        <v>48.3566</v>
      </c>
      <c r="J483" s="10">
        <f>48.3545 * CHOOSE(CONTROL!$C$9, $D$9, 100%, $F$9) + CHOOSE(CONTROL!$C$27, 0.0021, 0)</f>
        <v>48.3566</v>
      </c>
      <c r="K483" s="10">
        <f>48.3545 * CHOOSE(CONTROL!$C$9, $D$9, 100%, $F$9) + CHOOSE(CONTROL!$C$27, 0.0021, 0)</f>
        <v>48.3566</v>
      </c>
      <c r="L483" s="10"/>
    </row>
    <row r="484" spans="1:12" ht="15.75" x14ac:dyDescent="0.25">
      <c r="A484" s="14">
        <v>55670</v>
      </c>
      <c r="B484" s="10">
        <f>49.7631 * CHOOSE(CONTROL!$C$9, $D$9, 100%, $F$9) + CHOOSE(CONTROL!$C$27, 0.0021, 0)</f>
        <v>49.7652</v>
      </c>
      <c r="C484" s="10">
        <f>49.3309 * CHOOSE(CONTROL!$C$9, $D$9, 100%, $F$9) + CHOOSE(CONTROL!$C$27, 0.0021, 0)</f>
        <v>49.332999999999998</v>
      </c>
      <c r="D484" s="10">
        <f>49.3309 * CHOOSE(CONTROL!$C$9, $D$9, 100%, $F$9) + CHOOSE(CONTROL!$C$27, 0.0021, 0)</f>
        <v>49.332999999999998</v>
      </c>
      <c r="E484" s="10">
        <f>49.1942 * CHOOSE(CONTROL!$C$9, $D$9, 100%, $F$9) + CHOOSE(CONTROL!$C$27, 0.0021, 0)</f>
        <v>49.196300000000001</v>
      </c>
      <c r="F484" s="10">
        <f>49.1942 * CHOOSE(CONTROL!$C$9, $D$9, 100%, $F$9) + CHOOSE(CONTROL!$C$27, 0.0021, 0)</f>
        <v>49.196300000000001</v>
      </c>
      <c r="G484" s="10">
        <f>49.4656 * CHOOSE(CONTROL!$C$9, $D$9, 100%, $F$9) + CHOOSE(CONTROL!$C$27, 0.0021, 0)</f>
        <v>49.467700000000001</v>
      </c>
      <c r="H484" s="10">
        <f>49.3309 * CHOOSE(CONTROL!$C$9, $D$9, 100%, $F$9) + CHOOSE(CONTROL!$C$27, 0.0021, 0)</f>
        <v>49.332999999999998</v>
      </c>
      <c r="I484" s="10">
        <f>49.3309 * CHOOSE(CONTROL!$C$9, $D$9, 100%, $F$9) + CHOOSE(CONTROL!$C$27, 0.0021, 0)</f>
        <v>49.332999999999998</v>
      </c>
      <c r="J484" s="10">
        <f>49.3309 * CHOOSE(CONTROL!$C$9, $D$9, 100%, $F$9) + CHOOSE(CONTROL!$C$27, 0.0021, 0)</f>
        <v>49.332999999999998</v>
      </c>
      <c r="K484" s="10">
        <f>49.3309 * CHOOSE(CONTROL!$C$9, $D$9, 100%, $F$9) + CHOOSE(CONTROL!$C$27, 0.0021, 0)</f>
        <v>49.332999999999998</v>
      </c>
      <c r="L484" s="10"/>
    </row>
    <row r="485" spans="1:12" ht="15.75" x14ac:dyDescent="0.25">
      <c r="A485" s="14">
        <v>55700</v>
      </c>
      <c r="B485" s="10">
        <f>50.348 * CHOOSE(CONTROL!$C$9, $D$9, 100%, $F$9) + CHOOSE(CONTROL!$C$27, 0.0021, 0)</f>
        <v>50.350099999999998</v>
      </c>
      <c r="C485" s="10">
        <f>49.9157 * CHOOSE(CONTROL!$C$9, $D$9, 100%, $F$9) + CHOOSE(CONTROL!$C$27, 0.0021, 0)</f>
        <v>49.9178</v>
      </c>
      <c r="D485" s="10">
        <f>49.9157 * CHOOSE(CONTROL!$C$9, $D$9, 100%, $F$9) + CHOOSE(CONTROL!$C$27, 0.0021, 0)</f>
        <v>49.9178</v>
      </c>
      <c r="E485" s="10">
        <f>49.7791 * CHOOSE(CONTROL!$C$9, $D$9, 100%, $F$9) + CHOOSE(CONTROL!$C$27, 0.0021, 0)</f>
        <v>49.781199999999998</v>
      </c>
      <c r="F485" s="10">
        <f>49.7791 * CHOOSE(CONTROL!$C$9, $D$9, 100%, $F$9) + CHOOSE(CONTROL!$C$27, 0.0021, 0)</f>
        <v>49.781199999999998</v>
      </c>
      <c r="G485" s="10">
        <f>50.0504 * CHOOSE(CONTROL!$C$9, $D$9, 100%, $F$9) + CHOOSE(CONTROL!$C$27, 0.0021, 0)</f>
        <v>50.052500000000002</v>
      </c>
      <c r="H485" s="10">
        <f>49.9157 * CHOOSE(CONTROL!$C$9, $D$9, 100%, $F$9) + CHOOSE(CONTROL!$C$27, 0.0021, 0)</f>
        <v>49.9178</v>
      </c>
      <c r="I485" s="10">
        <f>49.9157 * CHOOSE(CONTROL!$C$9, $D$9, 100%, $F$9) + CHOOSE(CONTROL!$C$27, 0.0021, 0)</f>
        <v>49.9178</v>
      </c>
      <c r="J485" s="10">
        <f>49.9157 * CHOOSE(CONTROL!$C$9, $D$9, 100%, $F$9) + CHOOSE(CONTROL!$C$27, 0.0021, 0)</f>
        <v>49.9178</v>
      </c>
      <c r="K485" s="10">
        <f>49.9157 * CHOOSE(CONTROL!$C$9, $D$9, 100%, $F$9) + CHOOSE(CONTROL!$C$27, 0.0021, 0)</f>
        <v>49.9178</v>
      </c>
      <c r="L485" s="10"/>
    </row>
    <row r="486" spans="1:12" ht="15.75" x14ac:dyDescent="0.25">
      <c r="A486" s="14">
        <v>55731</v>
      </c>
      <c r="B486" s="10">
        <f>51.3127 * CHOOSE(CONTROL!$C$9, $D$9, 100%, $F$9) + CHOOSE(CONTROL!$C$27, 0.0021, 0)</f>
        <v>51.314799999999998</v>
      </c>
      <c r="C486" s="10">
        <f>50.8805 * CHOOSE(CONTROL!$C$9, $D$9, 100%, $F$9) + CHOOSE(CONTROL!$C$27, 0.0021, 0)</f>
        <v>50.882599999999996</v>
      </c>
      <c r="D486" s="10">
        <f>50.8805 * CHOOSE(CONTROL!$C$9, $D$9, 100%, $F$9) + CHOOSE(CONTROL!$C$27, 0.0021, 0)</f>
        <v>50.882599999999996</v>
      </c>
      <c r="E486" s="10">
        <f>50.7438 * CHOOSE(CONTROL!$C$9, $D$9, 100%, $F$9) + CHOOSE(CONTROL!$C$27, 0.0021, 0)</f>
        <v>50.745899999999999</v>
      </c>
      <c r="F486" s="10">
        <f>50.7438 * CHOOSE(CONTROL!$C$9, $D$9, 100%, $F$9) + CHOOSE(CONTROL!$C$27, 0.0021, 0)</f>
        <v>50.745899999999999</v>
      </c>
      <c r="G486" s="10">
        <f>51.0152 * CHOOSE(CONTROL!$C$9, $D$9, 100%, $F$9) + CHOOSE(CONTROL!$C$27, 0.0021, 0)</f>
        <v>51.017299999999999</v>
      </c>
      <c r="H486" s="10">
        <f>50.8805 * CHOOSE(CONTROL!$C$9, $D$9, 100%, $F$9) + CHOOSE(CONTROL!$C$27, 0.0021, 0)</f>
        <v>50.882599999999996</v>
      </c>
      <c r="I486" s="10">
        <f>50.8805 * CHOOSE(CONTROL!$C$9, $D$9, 100%, $F$9) + CHOOSE(CONTROL!$C$27, 0.0021, 0)</f>
        <v>50.882599999999996</v>
      </c>
      <c r="J486" s="10">
        <f>50.8805 * CHOOSE(CONTROL!$C$9, $D$9, 100%, $F$9) + CHOOSE(CONTROL!$C$27, 0.0021, 0)</f>
        <v>50.882599999999996</v>
      </c>
      <c r="K486" s="10">
        <f>50.8805 * CHOOSE(CONTROL!$C$9, $D$9, 100%, $F$9) + CHOOSE(CONTROL!$C$27, 0.0021, 0)</f>
        <v>50.882599999999996</v>
      </c>
      <c r="L486" s="10"/>
    </row>
    <row r="487" spans="1:12" ht="15.75" x14ac:dyDescent="0.25">
      <c r="A487" s="14">
        <v>55762</v>
      </c>
      <c r="B487" s="10">
        <f>51.6072 * CHOOSE(CONTROL!$C$9, $D$9, 100%, $F$9) + CHOOSE(CONTROL!$C$27, 0.0021, 0)</f>
        <v>51.609299999999998</v>
      </c>
      <c r="C487" s="10">
        <f>51.1749 * CHOOSE(CONTROL!$C$9, $D$9, 100%, $F$9) + CHOOSE(CONTROL!$C$27, 0.0021, 0)</f>
        <v>51.177</v>
      </c>
      <c r="D487" s="10">
        <f>51.1749 * CHOOSE(CONTROL!$C$9, $D$9, 100%, $F$9) + CHOOSE(CONTROL!$C$27, 0.0021, 0)</f>
        <v>51.177</v>
      </c>
      <c r="E487" s="10">
        <f>51.0383 * CHOOSE(CONTROL!$C$9, $D$9, 100%, $F$9) + CHOOSE(CONTROL!$C$27, 0.0021, 0)</f>
        <v>51.040399999999998</v>
      </c>
      <c r="F487" s="10">
        <f>51.0383 * CHOOSE(CONTROL!$C$9, $D$9, 100%, $F$9) + CHOOSE(CONTROL!$C$27, 0.0021, 0)</f>
        <v>51.040399999999998</v>
      </c>
      <c r="G487" s="10">
        <f>51.3096 * CHOOSE(CONTROL!$C$9, $D$9, 100%, $F$9) + CHOOSE(CONTROL!$C$27, 0.0021, 0)</f>
        <v>51.311700000000002</v>
      </c>
      <c r="H487" s="10">
        <f>51.1749 * CHOOSE(CONTROL!$C$9, $D$9, 100%, $F$9) + CHOOSE(CONTROL!$C$27, 0.0021, 0)</f>
        <v>51.177</v>
      </c>
      <c r="I487" s="10">
        <f>51.1749 * CHOOSE(CONTROL!$C$9, $D$9, 100%, $F$9) + CHOOSE(CONTROL!$C$27, 0.0021, 0)</f>
        <v>51.177</v>
      </c>
      <c r="J487" s="10">
        <f>51.1749 * CHOOSE(CONTROL!$C$9, $D$9, 100%, $F$9) + CHOOSE(CONTROL!$C$27, 0.0021, 0)</f>
        <v>51.177</v>
      </c>
      <c r="K487" s="10">
        <f>51.1749 * CHOOSE(CONTROL!$C$9, $D$9, 100%, $F$9) + CHOOSE(CONTROL!$C$27, 0.0021, 0)</f>
        <v>51.177</v>
      </c>
      <c r="L487" s="10"/>
    </row>
    <row r="488" spans="1:12" ht="15.75" x14ac:dyDescent="0.25">
      <c r="A488" s="14">
        <v>55792</v>
      </c>
      <c r="B488" s="10">
        <f>52.61 * CHOOSE(CONTROL!$C$9, $D$9, 100%, $F$9) + CHOOSE(CONTROL!$C$27, 0.0021, 0)</f>
        <v>52.612099999999998</v>
      </c>
      <c r="C488" s="10">
        <f>52.1777 * CHOOSE(CONTROL!$C$9, $D$9, 100%, $F$9) + CHOOSE(CONTROL!$C$27, 0.0021, 0)</f>
        <v>52.1798</v>
      </c>
      <c r="D488" s="10">
        <f>52.1777 * CHOOSE(CONTROL!$C$9, $D$9, 100%, $F$9) + CHOOSE(CONTROL!$C$27, 0.0021, 0)</f>
        <v>52.1798</v>
      </c>
      <c r="E488" s="10">
        <f>52.0411 * CHOOSE(CONTROL!$C$9, $D$9, 100%, $F$9) + CHOOSE(CONTROL!$C$27, 0.0021, 0)</f>
        <v>52.043199999999999</v>
      </c>
      <c r="F488" s="10">
        <f>52.0411 * CHOOSE(CONTROL!$C$9, $D$9, 100%, $F$9) + CHOOSE(CONTROL!$C$27, 0.0021, 0)</f>
        <v>52.043199999999999</v>
      </c>
      <c r="G488" s="10">
        <f>52.3125 * CHOOSE(CONTROL!$C$9, $D$9, 100%, $F$9) + CHOOSE(CONTROL!$C$27, 0.0021, 0)</f>
        <v>52.314599999999999</v>
      </c>
      <c r="H488" s="10">
        <f>52.1777 * CHOOSE(CONTROL!$C$9, $D$9, 100%, $F$9) + CHOOSE(CONTROL!$C$27, 0.0021, 0)</f>
        <v>52.1798</v>
      </c>
      <c r="I488" s="10">
        <f>52.1777 * CHOOSE(CONTROL!$C$9, $D$9, 100%, $F$9) + CHOOSE(CONTROL!$C$27, 0.0021, 0)</f>
        <v>52.1798</v>
      </c>
      <c r="J488" s="10">
        <f>52.1777 * CHOOSE(CONTROL!$C$9, $D$9, 100%, $F$9) + CHOOSE(CONTROL!$C$27, 0.0021, 0)</f>
        <v>52.1798</v>
      </c>
      <c r="K488" s="10">
        <f>52.1777 * CHOOSE(CONTROL!$C$9, $D$9, 100%, $F$9) + CHOOSE(CONTROL!$C$27, 0.0021, 0)</f>
        <v>52.1798</v>
      </c>
      <c r="L488" s="10"/>
    </row>
    <row r="489" spans="1:12" ht="15.75" x14ac:dyDescent="0.25">
      <c r="A489" s="14">
        <v>55823</v>
      </c>
      <c r="B489" s="10">
        <f>53.8794 * CHOOSE(CONTROL!$C$9, $D$9, 100%, $F$9) + CHOOSE(CONTROL!$C$27, 0.0021, 0)</f>
        <v>53.881499999999996</v>
      </c>
      <c r="C489" s="10">
        <f>53.4471 * CHOOSE(CONTROL!$C$9, $D$9, 100%, $F$9) + CHOOSE(CONTROL!$C$27, 0.0021, 0)</f>
        <v>53.449199999999998</v>
      </c>
      <c r="D489" s="10">
        <f>53.4471 * CHOOSE(CONTROL!$C$9, $D$9, 100%, $F$9) + CHOOSE(CONTROL!$C$27, 0.0021, 0)</f>
        <v>53.449199999999998</v>
      </c>
      <c r="E489" s="10">
        <f>53.3105 * CHOOSE(CONTROL!$C$9, $D$9, 100%, $F$9) + CHOOSE(CONTROL!$C$27, 0.0021, 0)</f>
        <v>53.312599999999996</v>
      </c>
      <c r="F489" s="10">
        <f>53.3105 * CHOOSE(CONTROL!$C$9, $D$9, 100%, $F$9) + CHOOSE(CONTROL!$C$27, 0.0021, 0)</f>
        <v>53.312599999999996</v>
      </c>
      <c r="G489" s="10">
        <f>53.5819 * CHOOSE(CONTROL!$C$9, $D$9, 100%, $F$9) + CHOOSE(CONTROL!$C$27, 0.0021, 0)</f>
        <v>53.583999999999996</v>
      </c>
      <c r="H489" s="10">
        <f>53.4471 * CHOOSE(CONTROL!$C$9, $D$9, 100%, $F$9) + CHOOSE(CONTROL!$C$27, 0.0021, 0)</f>
        <v>53.449199999999998</v>
      </c>
      <c r="I489" s="10">
        <f>53.4471 * CHOOSE(CONTROL!$C$9, $D$9, 100%, $F$9) + CHOOSE(CONTROL!$C$27, 0.0021, 0)</f>
        <v>53.449199999999998</v>
      </c>
      <c r="J489" s="10">
        <f>53.4471 * CHOOSE(CONTROL!$C$9, $D$9, 100%, $F$9) + CHOOSE(CONTROL!$C$27, 0.0021, 0)</f>
        <v>53.449199999999998</v>
      </c>
      <c r="K489" s="10">
        <f>53.4471 * CHOOSE(CONTROL!$C$9, $D$9, 100%, $F$9) + CHOOSE(CONTROL!$C$27, 0.0021, 0)</f>
        <v>53.449199999999998</v>
      </c>
      <c r="L489" s="10"/>
    </row>
    <row r="490" spans="1:12" ht="15.75" x14ac:dyDescent="0.25">
      <c r="A490" s="14">
        <v>55853</v>
      </c>
      <c r="B490" s="10">
        <f>53.9986 * CHOOSE(CONTROL!$C$9, $D$9, 100%, $F$9) + CHOOSE(CONTROL!$C$27, 0.0021, 0)</f>
        <v>54.000700000000002</v>
      </c>
      <c r="C490" s="10">
        <f>53.5663 * CHOOSE(CONTROL!$C$9, $D$9, 100%, $F$9) + CHOOSE(CONTROL!$C$27, 0.0021, 0)</f>
        <v>53.568399999999997</v>
      </c>
      <c r="D490" s="10">
        <f>53.5663 * CHOOSE(CONTROL!$C$9, $D$9, 100%, $F$9) + CHOOSE(CONTROL!$C$27, 0.0021, 0)</f>
        <v>53.568399999999997</v>
      </c>
      <c r="E490" s="10">
        <f>53.4296 * CHOOSE(CONTROL!$C$9, $D$9, 100%, $F$9) + CHOOSE(CONTROL!$C$27, 0.0021, 0)</f>
        <v>53.431699999999999</v>
      </c>
      <c r="F490" s="10">
        <f>53.4296 * CHOOSE(CONTROL!$C$9, $D$9, 100%, $F$9) + CHOOSE(CONTROL!$C$27, 0.0021, 0)</f>
        <v>53.431699999999999</v>
      </c>
      <c r="G490" s="10">
        <f>53.701 * CHOOSE(CONTROL!$C$9, $D$9, 100%, $F$9) + CHOOSE(CONTROL!$C$27, 0.0021, 0)</f>
        <v>53.703099999999999</v>
      </c>
      <c r="H490" s="10">
        <f>53.5663 * CHOOSE(CONTROL!$C$9, $D$9, 100%, $F$9) + CHOOSE(CONTROL!$C$27, 0.0021, 0)</f>
        <v>53.568399999999997</v>
      </c>
      <c r="I490" s="10">
        <f>53.5663 * CHOOSE(CONTROL!$C$9, $D$9, 100%, $F$9) + CHOOSE(CONTROL!$C$27, 0.0021, 0)</f>
        <v>53.568399999999997</v>
      </c>
      <c r="J490" s="10">
        <f>53.5663 * CHOOSE(CONTROL!$C$9, $D$9, 100%, $F$9) + CHOOSE(CONTROL!$C$27, 0.0021, 0)</f>
        <v>53.568399999999997</v>
      </c>
      <c r="K490" s="10">
        <f>53.5663 * CHOOSE(CONTROL!$C$9, $D$9, 100%, $F$9) + CHOOSE(CONTROL!$C$27, 0.0021, 0)</f>
        <v>53.568399999999997</v>
      </c>
      <c r="L490" s="10"/>
    </row>
    <row r="491" spans="1:12" ht="15.75" x14ac:dyDescent="0.25">
      <c r="A491" s="14">
        <v>55884</v>
      </c>
      <c r="B491" s="10">
        <f>52.9847 * CHOOSE(CONTROL!$C$9, $D$9, 100%, $F$9) + CHOOSE(CONTROL!$C$27, 0.0021, 0)</f>
        <v>52.986799999999995</v>
      </c>
      <c r="C491" s="10">
        <f>52.5525 * CHOOSE(CONTROL!$C$9, $D$9, 100%, $F$9) + CHOOSE(CONTROL!$C$27, 0.0021, 0)</f>
        <v>52.554600000000001</v>
      </c>
      <c r="D491" s="10">
        <f>52.5525 * CHOOSE(CONTROL!$C$9, $D$9, 100%, $F$9) + CHOOSE(CONTROL!$C$27, 0.0021, 0)</f>
        <v>52.554600000000001</v>
      </c>
      <c r="E491" s="10">
        <f>52.4158 * CHOOSE(CONTROL!$C$9, $D$9, 100%, $F$9) + CHOOSE(CONTROL!$C$27, 0.0021, 0)</f>
        <v>52.417899999999996</v>
      </c>
      <c r="F491" s="10">
        <f>52.4158 * CHOOSE(CONTROL!$C$9, $D$9, 100%, $F$9) + CHOOSE(CONTROL!$C$27, 0.0021, 0)</f>
        <v>52.417899999999996</v>
      </c>
      <c r="G491" s="10">
        <f>52.6872 * CHOOSE(CONTROL!$C$9, $D$9, 100%, $F$9) + CHOOSE(CONTROL!$C$27, 0.0021, 0)</f>
        <v>52.689299999999996</v>
      </c>
      <c r="H491" s="10">
        <f>52.5525 * CHOOSE(CONTROL!$C$9, $D$9, 100%, $F$9) + CHOOSE(CONTROL!$C$27, 0.0021, 0)</f>
        <v>52.554600000000001</v>
      </c>
      <c r="I491" s="10">
        <f>52.5525 * CHOOSE(CONTROL!$C$9, $D$9, 100%, $F$9) + CHOOSE(CONTROL!$C$27, 0.0021, 0)</f>
        <v>52.554600000000001</v>
      </c>
      <c r="J491" s="10">
        <f>52.5525 * CHOOSE(CONTROL!$C$9, $D$9, 100%, $F$9) + CHOOSE(CONTROL!$C$27, 0.0021, 0)</f>
        <v>52.554600000000001</v>
      </c>
      <c r="K491" s="10">
        <f>52.5525 * CHOOSE(CONTROL!$C$9, $D$9, 100%, $F$9) + CHOOSE(CONTROL!$C$27, 0.0021, 0)</f>
        <v>52.554600000000001</v>
      </c>
      <c r="L491" s="10"/>
    </row>
    <row r="492" spans="1:12" ht="15.75" x14ac:dyDescent="0.25">
      <c r="A492" s="14">
        <v>55915</v>
      </c>
      <c r="B492" s="10">
        <f>52.3205 * CHOOSE(CONTROL!$C$9, $D$9, 100%, $F$9) + CHOOSE(CONTROL!$C$27, 0.0021, 0)</f>
        <v>52.322600000000001</v>
      </c>
      <c r="C492" s="10">
        <f>51.8883 * CHOOSE(CONTROL!$C$9, $D$9, 100%, $F$9) + CHOOSE(CONTROL!$C$27, 0.0021, 0)</f>
        <v>51.8904</v>
      </c>
      <c r="D492" s="10">
        <f>51.8883 * CHOOSE(CONTROL!$C$9, $D$9, 100%, $F$9) + CHOOSE(CONTROL!$C$27, 0.0021, 0)</f>
        <v>51.8904</v>
      </c>
      <c r="E492" s="10">
        <f>51.7516 * CHOOSE(CONTROL!$C$9, $D$9, 100%, $F$9) + CHOOSE(CONTROL!$C$27, 0.0021, 0)</f>
        <v>51.753700000000002</v>
      </c>
      <c r="F492" s="10">
        <f>51.7516 * CHOOSE(CONTROL!$C$9, $D$9, 100%, $F$9) + CHOOSE(CONTROL!$C$27, 0.0021, 0)</f>
        <v>51.753700000000002</v>
      </c>
      <c r="G492" s="10">
        <f>52.023 * CHOOSE(CONTROL!$C$9, $D$9, 100%, $F$9) + CHOOSE(CONTROL!$C$27, 0.0021, 0)</f>
        <v>52.025100000000002</v>
      </c>
      <c r="H492" s="10">
        <f>51.8883 * CHOOSE(CONTROL!$C$9, $D$9, 100%, $F$9) + CHOOSE(CONTROL!$C$27, 0.0021, 0)</f>
        <v>51.8904</v>
      </c>
      <c r="I492" s="10">
        <f>51.8883 * CHOOSE(CONTROL!$C$9, $D$9, 100%, $F$9) + CHOOSE(CONTROL!$C$27, 0.0021, 0)</f>
        <v>51.8904</v>
      </c>
      <c r="J492" s="10">
        <f>51.8883 * CHOOSE(CONTROL!$C$9, $D$9, 100%, $F$9) + CHOOSE(CONTROL!$C$27, 0.0021, 0)</f>
        <v>51.8904</v>
      </c>
      <c r="K492" s="10">
        <f>51.8883 * CHOOSE(CONTROL!$C$9, $D$9, 100%, $F$9) + CHOOSE(CONTROL!$C$27, 0.0021, 0)</f>
        <v>51.8904</v>
      </c>
      <c r="L492" s="10"/>
    </row>
    <row r="493" spans="1:12" ht="15.75" x14ac:dyDescent="0.25">
      <c r="A493" s="14">
        <v>55943</v>
      </c>
      <c r="B493" s="10">
        <f>50.9055 * CHOOSE(CONTROL!$C$9, $D$9, 100%, $F$9) + CHOOSE(CONTROL!$C$27, 0.0021, 0)</f>
        <v>50.907600000000002</v>
      </c>
      <c r="C493" s="10">
        <f>50.4732 * CHOOSE(CONTROL!$C$9, $D$9, 100%, $F$9) + CHOOSE(CONTROL!$C$27, 0.0021, 0)</f>
        <v>50.475299999999997</v>
      </c>
      <c r="D493" s="10">
        <f>50.4732 * CHOOSE(CONTROL!$C$9, $D$9, 100%, $F$9) + CHOOSE(CONTROL!$C$27, 0.0021, 0)</f>
        <v>50.475299999999997</v>
      </c>
      <c r="E493" s="10">
        <f>50.3366 * CHOOSE(CONTROL!$C$9, $D$9, 100%, $F$9) + CHOOSE(CONTROL!$C$27, 0.0021, 0)</f>
        <v>50.338699999999996</v>
      </c>
      <c r="F493" s="10">
        <f>50.3366 * CHOOSE(CONTROL!$C$9, $D$9, 100%, $F$9) + CHOOSE(CONTROL!$C$27, 0.0021, 0)</f>
        <v>50.338699999999996</v>
      </c>
      <c r="G493" s="10">
        <f>50.6079 * CHOOSE(CONTROL!$C$9, $D$9, 100%, $F$9) + CHOOSE(CONTROL!$C$27, 0.0021, 0)</f>
        <v>50.61</v>
      </c>
      <c r="H493" s="10">
        <f>50.4732 * CHOOSE(CONTROL!$C$9, $D$9, 100%, $F$9) + CHOOSE(CONTROL!$C$27, 0.0021, 0)</f>
        <v>50.475299999999997</v>
      </c>
      <c r="I493" s="10">
        <f>50.4732 * CHOOSE(CONTROL!$C$9, $D$9, 100%, $F$9) + CHOOSE(CONTROL!$C$27, 0.0021, 0)</f>
        <v>50.475299999999997</v>
      </c>
      <c r="J493" s="10">
        <f>50.4732 * CHOOSE(CONTROL!$C$9, $D$9, 100%, $F$9) + CHOOSE(CONTROL!$C$27, 0.0021, 0)</f>
        <v>50.475299999999997</v>
      </c>
      <c r="K493" s="10">
        <f>50.4732 * CHOOSE(CONTROL!$C$9, $D$9, 100%, $F$9) + CHOOSE(CONTROL!$C$27, 0.0021, 0)</f>
        <v>50.475299999999997</v>
      </c>
      <c r="L493" s="10"/>
    </row>
    <row r="494" spans="1:12" ht="15.75" x14ac:dyDescent="0.25">
      <c r="A494" s="14">
        <v>55974</v>
      </c>
      <c r="B494" s="10">
        <f>50.3213 * CHOOSE(CONTROL!$C$9, $D$9, 100%, $F$9) + CHOOSE(CONTROL!$C$27, 0.0021, 0)</f>
        <v>50.323399999999999</v>
      </c>
      <c r="C494" s="10">
        <f>49.8891 * CHOOSE(CONTROL!$C$9, $D$9, 100%, $F$9) + CHOOSE(CONTROL!$C$27, 0.0021, 0)</f>
        <v>49.891199999999998</v>
      </c>
      <c r="D494" s="10">
        <f>49.8891 * CHOOSE(CONTROL!$C$9, $D$9, 100%, $F$9) + CHOOSE(CONTROL!$C$27, 0.0021, 0)</f>
        <v>49.891199999999998</v>
      </c>
      <c r="E494" s="10">
        <f>49.7524 * CHOOSE(CONTROL!$C$9, $D$9, 100%, $F$9) + CHOOSE(CONTROL!$C$27, 0.0021, 0)</f>
        <v>49.7545</v>
      </c>
      <c r="F494" s="10">
        <f>49.7524 * CHOOSE(CONTROL!$C$9, $D$9, 100%, $F$9) + CHOOSE(CONTROL!$C$27, 0.0021, 0)</f>
        <v>49.7545</v>
      </c>
      <c r="G494" s="10">
        <f>50.0238 * CHOOSE(CONTROL!$C$9, $D$9, 100%, $F$9) + CHOOSE(CONTROL!$C$27, 0.0021, 0)</f>
        <v>50.0259</v>
      </c>
      <c r="H494" s="10">
        <f>49.8891 * CHOOSE(CONTROL!$C$9, $D$9, 100%, $F$9) + CHOOSE(CONTROL!$C$27, 0.0021, 0)</f>
        <v>49.891199999999998</v>
      </c>
      <c r="I494" s="10">
        <f>49.8891 * CHOOSE(CONTROL!$C$9, $D$9, 100%, $F$9) + CHOOSE(CONTROL!$C$27, 0.0021, 0)</f>
        <v>49.891199999999998</v>
      </c>
      <c r="J494" s="10">
        <f>49.8891 * CHOOSE(CONTROL!$C$9, $D$9, 100%, $F$9) + CHOOSE(CONTROL!$C$27, 0.0021, 0)</f>
        <v>49.891199999999998</v>
      </c>
      <c r="K494" s="10">
        <f>49.8891 * CHOOSE(CONTROL!$C$9, $D$9, 100%, $F$9) + CHOOSE(CONTROL!$C$27, 0.0021, 0)</f>
        <v>49.891199999999998</v>
      </c>
      <c r="L494" s="10"/>
    </row>
    <row r="495" spans="1:12" ht="15.75" x14ac:dyDescent="0.25">
      <c r="A495" s="14">
        <v>56004</v>
      </c>
      <c r="B495" s="10">
        <f>49.6239 * CHOOSE(CONTROL!$C$9, $D$9, 100%, $F$9) + CHOOSE(CONTROL!$C$27, 0.0021, 0)</f>
        <v>49.625999999999998</v>
      </c>
      <c r="C495" s="10">
        <f>49.1916 * CHOOSE(CONTROL!$C$9, $D$9, 100%, $F$9) + CHOOSE(CONTROL!$C$27, 0.0021, 0)</f>
        <v>49.1937</v>
      </c>
      <c r="D495" s="10">
        <f>49.1916 * CHOOSE(CONTROL!$C$9, $D$9, 100%, $F$9) + CHOOSE(CONTROL!$C$27, 0.0021, 0)</f>
        <v>49.1937</v>
      </c>
      <c r="E495" s="10">
        <f>49.0549 * CHOOSE(CONTROL!$C$9, $D$9, 100%, $F$9) + CHOOSE(CONTROL!$C$27, 0.0021, 0)</f>
        <v>49.057000000000002</v>
      </c>
      <c r="F495" s="10">
        <f>49.0549 * CHOOSE(CONTROL!$C$9, $D$9, 100%, $F$9) + CHOOSE(CONTROL!$C$27, 0.0021, 0)</f>
        <v>49.057000000000002</v>
      </c>
      <c r="G495" s="10">
        <f>49.3263 * CHOOSE(CONTROL!$C$9, $D$9, 100%, $F$9) + CHOOSE(CONTROL!$C$27, 0.0021, 0)</f>
        <v>49.328400000000002</v>
      </c>
      <c r="H495" s="10">
        <f>49.1916 * CHOOSE(CONTROL!$C$9, $D$9, 100%, $F$9) + CHOOSE(CONTROL!$C$27, 0.0021, 0)</f>
        <v>49.1937</v>
      </c>
      <c r="I495" s="10">
        <f>49.1916 * CHOOSE(CONTROL!$C$9, $D$9, 100%, $F$9) + CHOOSE(CONTROL!$C$27, 0.0021, 0)</f>
        <v>49.1937</v>
      </c>
      <c r="J495" s="10">
        <f>49.1916 * CHOOSE(CONTROL!$C$9, $D$9, 100%, $F$9) + CHOOSE(CONTROL!$C$27, 0.0021, 0)</f>
        <v>49.1937</v>
      </c>
      <c r="K495" s="10">
        <f>49.1916 * CHOOSE(CONTROL!$C$9, $D$9, 100%, $F$9) + CHOOSE(CONTROL!$C$27, 0.0021, 0)</f>
        <v>49.1937</v>
      </c>
      <c r="L495" s="10"/>
    </row>
    <row r="496" spans="1:12" ht="15.75" x14ac:dyDescent="0.25">
      <c r="A496" s="14">
        <v>56035</v>
      </c>
      <c r="B496" s="10">
        <f>50.6178 * CHOOSE(CONTROL!$C$9, $D$9, 100%, $F$9) + CHOOSE(CONTROL!$C$27, 0.0021, 0)</f>
        <v>50.619900000000001</v>
      </c>
      <c r="C496" s="10">
        <f>50.1856 * CHOOSE(CONTROL!$C$9, $D$9, 100%, $F$9) + CHOOSE(CONTROL!$C$27, 0.0021, 0)</f>
        <v>50.1877</v>
      </c>
      <c r="D496" s="10">
        <f>50.1856 * CHOOSE(CONTROL!$C$9, $D$9, 100%, $F$9) + CHOOSE(CONTROL!$C$27, 0.0021, 0)</f>
        <v>50.1877</v>
      </c>
      <c r="E496" s="10">
        <f>50.0489 * CHOOSE(CONTROL!$C$9, $D$9, 100%, $F$9) + CHOOSE(CONTROL!$C$27, 0.0021, 0)</f>
        <v>50.051000000000002</v>
      </c>
      <c r="F496" s="10">
        <f>50.0489 * CHOOSE(CONTROL!$C$9, $D$9, 100%, $F$9) + CHOOSE(CONTROL!$C$27, 0.0021, 0)</f>
        <v>50.051000000000002</v>
      </c>
      <c r="G496" s="10">
        <f>50.3203 * CHOOSE(CONTROL!$C$9, $D$9, 100%, $F$9) + CHOOSE(CONTROL!$C$27, 0.0021, 0)</f>
        <v>50.322400000000002</v>
      </c>
      <c r="H496" s="10">
        <f>50.1856 * CHOOSE(CONTROL!$C$9, $D$9, 100%, $F$9) + CHOOSE(CONTROL!$C$27, 0.0021, 0)</f>
        <v>50.1877</v>
      </c>
      <c r="I496" s="10">
        <f>50.1856 * CHOOSE(CONTROL!$C$9, $D$9, 100%, $F$9) + CHOOSE(CONTROL!$C$27, 0.0021, 0)</f>
        <v>50.1877</v>
      </c>
      <c r="J496" s="10">
        <f>50.1856 * CHOOSE(CONTROL!$C$9, $D$9, 100%, $F$9) + CHOOSE(CONTROL!$C$27, 0.0021, 0)</f>
        <v>50.1877</v>
      </c>
      <c r="K496" s="10">
        <f>50.1856 * CHOOSE(CONTROL!$C$9, $D$9, 100%, $F$9) + CHOOSE(CONTROL!$C$27, 0.0021, 0)</f>
        <v>50.1877</v>
      </c>
      <c r="L496" s="10"/>
    </row>
    <row r="497" spans="1:12" ht="15.75" x14ac:dyDescent="0.25">
      <c r="A497" s="14">
        <v>56065</v>
      </c>
      <c r="B497" s="10">
        <f>51.2132 * CHOOSE(CONTROL!$C$9, $D$9, 100%, $F$9) + CHOOSE(CONTROL!$C$27, 0.0021, 0)</f>
        <v>51.215299999999999</v>
      </c>
      <c r="C497" s="10">
        <f>50.7809 * CHOOSE(CONTROL!$C$9, $D$9, 100%, $F$9) + CHOOSE(CONTROL!$C$27, 0.0021, 0)</f>
        <v>50.783000000000001</v>
      </c>
      <c r="D497" s="10">
        <f>50.7809 * CHOOSE(CONTROL!$C$9, $D$9, 100%, $F$9) + CHOOSE(CONTROL!$C$27, 0.0021, 0)</f>
        <v>50.783000000000001</v>
      </c>
      <c r="E497" s="10">
        <f>50.6443 * CHOOSE(CONTROL!$C$9, $D$9, 100%, $F$9) + CHOOSE(CONTROL!$C$27, 0.0021, 0)</f>
        <v>50.6464</v>
      </c>
      <c r="F497" s="10">
        <f>50.6443 * CHOOSE(CONTROL!$C$9, $D$9, 100%, $F$9) + CHOOSE(CONTROL!$C$27, 0.0021, 0)</f>
        <v>50.6464</v>
      </c>
      <c r="G497" s="10">
        <f>50.9157 * CHOOSE(CONTROL!$C$9, $D$9, 100%, $F$9) + CHOOSE(CONTROL!$C$27, 0.0021, 0)</f>
        <v>50.9178</v>
      </c>
      <c r="H497" s="10">
        <f>50.7809 * CHOOSE(CONTROL!$C$9, $D$9, 100%, $F$9) + CHOOSE(CONTROL!$C$27, 0.0021, 0)</f>
        <v>50.783000000000001</v>
      </c>
      <c r="I497" s="10">
        <f>50.7809 * CHOOSE(CONTROL!$C$9, $D$9, 100%, $F$9) + CHOOSE(CONTROL!$C$27, 0.0021, 0)</f>
        <v>50.783000000000001</v>
      </c>
      <c r="J497" s="10">
        <f>50.7809 * CHOOSE(CONTROL!$C$9, $D$9, 100%, $F$9) + CHOOSE(CONTROL!$C$27, 0.0021, 0)</f>
        <v>50.783000000000001</v>
      </c>
      <c r="K497" s="10">
        <f>50.7809 * CHOOSE(CONTROL!$C$9, $D$9, 100%, $F$9) + CHOOSE(CONTROL!$C$27, 0.0021, 0)</f>
        <v>50.783000000000001</v>
      </c>
      <c r="L497" s="10"/>
    </row>
    <row r="498" spans="1:12" ht="15.75" x14ac:dyDescent="0.25">
      <c r="A498" s="14">
        <v>56096</v>
      </c>
      <c r="B498" s="10">
        <f>52.1953 * CHOOSE(CONTROL!$C$9, $D$9, 100%, $F$9) + CHOOSE(CONTROL!$C$27, 0.0021, 0)</f>
        <v>52.197400000000002</v>
      </c>
      <c r="C498" s="10">
        <f>51.7631 * CHOOSE(CONTROL!$C$9, $D$9, 100%, $F$9) + CHOOSE(CONTROL!$C$27, 0.0021, 0)</f>
        <v>51.7652</v>
      </c>
      <c r="D498" s="10">
        <f>51.7631 * CHOOSE(CONTROL!$C$9, $D$9, 100%, $F$9) + CHOOSE(CONTROL!$C$27, 0.0021, 0)</f>
        <v>51.7652</v>
      </c>
      <c r="E498" s="10">
        <f>51.6264 * CHOOSE(CONTROL!$C$9, $D$9, 100%, $F$9) + CHOOSE(CONTROL!$C$27, 0.0021, 0)</f>
        <v>51.628499999999995</v>
      </c>
      <c r="F498" s="10">
        <f>51.6264 * CHOOSE(CONTROL!$C$9, $D$9, 100%, $F$9) + CHOOSE(CONTROL!$C$27, 0.0021, 0)</f>
        <v>51.628499999999995</v>
      </c>
      <c r="G498" s="10">
        <f>51.8978 * CHOOSE(CONTROL!$C$9, $D$9, 100%, $F$9) + CHOOSE(CONTROL!$C$27, 0.0021, 0)</f>
        <v>51.899899999999995</v>
      </c>
      <c r="H498" s="10">
        <f>51.7631 * CHOOSE(CONTROL!$C$9, $D$9, 100%, $F$9) + CHOOSE(CONTROL!$C$27, 0.0021, 0)</f>
        <v>51.7652</v>
      </c>
      <c r="I498" s="10">
        <f>51.7631 * CHOOSE(CONTROL!$C$9, $D$9, 100%, $F$9) + CHOOSE(CONTROL!$C$27, 0.0021, 0)</f>
        <v>51.7652</v>
      </c>
      <c r="J498" s="10">
        <f>51.7631 * CHOOSE(CONTROL!$C$9, $D$9, 100%, $F$9) + CHOOSE(CONTROL!$C$27, 0.0021, 0)</f>
        <v>51.7652</v>
      </c>
      <c r="K498" s="10">
        <f>51.7631 * CHOOSE(CONTROL!$C$9, $D$9, 100%, $F$9) + CHOOSE(CONTROL!$C$27, 0.0021, 0)</f>
        <v>51.7652</v>
      </c>
      <c r="L498" s="10"/>
    </row>
    <row r="499" spans="1:12" ht="15.75" x14ac:dyDescent="0.25">
      <c r="A499" s="14">
        <v>56127</v>
      </c>
      <c r="B499" s="10">
        <f>52.4951 * CHOOSE(CONTROL!$C$9, $D$9, 100%, $F$9) + CHOOSE(CONTROL!$C$27, 0.0021, 0)</f>
        <v>52.497199999999999</v>
      </c>
      <c r="C499" s="10">
        <f>52.0628 * CHOOSE(CONTROL!$C$9, $D$9, 100%, $F$9) + CHOOSE(CONTROL!$C$27, 0.0021, 0)</f>
        <v>52.064900000000002</v>
      </c>
      <c r="D499" s="10">
        <f>52.0628 * CHOOSE(CONTROL!$C$9, $D$9, 100%, $F$9) + CHOOSE(CONTROL!$C$27, 0.0021, 0)</f>
        <v>52.064900000000002</v>
      </c>
      <c r="E499" s="10">
        <f>51.9262 * CHOOSE(CONTROL!$C$9, $D$9, 100%, $F$9) + CHOOSE(CONTROL!$C$27, 0.0021, 0)</f>
        <v>51.9283</v>
      </c>
      <c r="F499" s="10">
        <f>51.9262 * CHOOSE(CONTROL!$C$9, $D$9, 100%, $F$9) + CHOOSE(CONTROL!$C$27, 0.0021, 0)</f>
        <v>51.9283</v>
      </c>
      <c r="G499" s="10">
        <f>52.1976 * CHOOSE(CONTROL!$C$9, $D$9, 100%, $F$9) + CHOOSE(CONTROL!$C$27, 0.0021, 0)</f>
        <v>52.1997</v>
      </c>
      <c r="H499" s="10">
        <f>52.0628 * CHOOSE(CONTROL!$C$9, $D$9, 100%, $F$9) + CHOOSE(CONTROL!$C$27, 0.0021, 0)</f>
        <v>52.064900000000002</v>
      </c>
      <c r="I499" s="10">
        <f>52.0628 * CHOOSE(CONTROL!$C$9, $D$9, 100%, $F$9) + CHOOSE(CONTROL!$C$27, 0.0021, 0)</f>
        <v>52.064900000000002</v>
      </c>
      <c r="J499" s="10">
        <f>52.0628 * CHOOSE(CONTROL!$C$9, $D$9, 100%, $F$9) + CHOOSE(CONTROL!$C$27, 0.0021, 0)</f>
        <v>52.064900000000002</v>
      </c>
      <c r="K499" s="10">
        <f>52.0628 * CHOOSE(CONTROL!$C$9, $D$9, 100%, $F$9) + CHOOSE(CONTROL!$C$27, 0.0021, 0)</f>
        <v>52.064900000000002</v>
      </c>
      <c r="L499" s="10"/>
    </row>
    <row r="500" spans="1:12" ht="15.75" x14ac:dyDescent="0.25">
      <c r="A500" s="14">
        <v>56157</v>
      </c>
      <c r="B500" s="10">
        <f>53.516 * CHOOSE(CONTROL!$C$9, $D$9, 100%, $F$9) + CHOOSE(CONTROL!$C$27, 0.0021, 0)</f>
        <v>53.518099999999997</v>
      </c>
      <c r="C500" s="10">
        <f>53.0837 * CHOOSE(CONTROL!$C$9, $D$9, 100%, $F$9) + CHOOSE(CONTROL!$C$27, 0.0021, 0)</f>
        <v>53.085799999999999</v>
      </c>
      <c r="D500" s="10">
        <f>53.0837 * CHOOSE(CONTROL!$C$9, $D$9, 100%, $F$9) + CHOOSE(CONTROL!$C$27, 0.0021, 0)</f>
        <v>53.085799999999999</v>
      </c>
      <c r="E500" s="10">
        <f>52.947 * CHOOSE(CONTROL!$C$9, $D$9, 100%, $F$9) + CHOOSE(CONTROL!$C$27, 0.0021, 0)</f>
        <v>52.949100000000001</v>
      </c>
      <c r="F500" s="10">
        <f>52.947 * CHOOSE(CONTROL!$C$9, $D$9, 100%, $F$9) + CHOOSE(CONTROL!$C$27, 0.0021, 0)</f>
        <v>52.949100000000001</v>
      </c>
      <c r="G500" s="10">
        <f>53.2184 * CHOOSE(CONTROL!$C$9, $D$9, 100%, $F$9) + CHOOSE(CONTROL!$C$27, 0.0021, 0)</f>
        <v>53.220500000000001</v>
      </c>
      <c r="H500" s="10">
        <f>53.0837 * CHOOSE(CONTROL!$C$9, $D$9, 100%, $F$9) + CHOOSE(CONTROL!$C$27, 0.0021, 0)</f>
        <v>53.085799999999999</v>
      </c>
      <c r="I500" s="10">
        <f>53.0837 * CHOOSE(CONTROL!$C$9, $D$9, 100%, $F$9) + CHOOSE(CONTROL!$C$27, 0.0021, 0)</f>
        <v>53.085799999999999</v>
      </c>
      <c r="J500" s="10">
        <f>53.0837 * CHOOSE(CONTROL!$C$9, $D$9, 100%, $F$9) + CHOOSE(CONTROL!$C$27, 0.0021, 0)</f>
        <v>53.085799999999999</v>
      </c>
      <c r="K500" s="10">
        <f>53.0837 * CHOOSE(CONTROL!$C$9, $D$9, 100%, $F$9) + CHOOSE(CONTROL!$C$27, 0.0021, 0)</f>
        <v>53.085799999999999</v>
      </c>
      <c r="L500" s="10"/>
    </row>
    <row r="501" spans="1:12" ht="15.75" x14ac:dyDescent="0.25">
      <c r="A501" s="14">
        <v>56188</v>
      </c>
      <c r="B501" s="10">
        <f>54.8082 * CHOOSE(CONTROL!$C$9, $D$9, 100%, $F$9) + CHOOSE(CONTROL!$C$27, 0.0021, 0)</f>
        <v>54.810299999999998</v>
      </c>
      <c r="C501" s="10">
        <f>54.376 * CHOOSE(CONTROL!$C$9, $D$9, 100%, $F$9) + CHOOSE(CONTROL!$C$27, 0.0021, 0)</f>
        <v>54.378099999999996</v>
      </c>
      <c r="D501" s="10">
        <f>54.376 * CHOOSE(CONTROL!$C$9, $D$9, 100%, $F$9) + CHOOSE(CONTROL!$C$27, 0.0021, 0)</f>
        <v>54.378099999999996</v>
      </c>
      <c r="E501" s="10">
        <f>54.2393 * CHOOSE(CONTROL!$C$9, $D$9, 100%, $F$9) + CHOOSE(CONTROL!$C$27, 0.0021, 0)</f>
        <v>54.241399999999999</v>
      </c>
      <c r="F501" s="10">
        <f>54.2393 * CHOOSE(CONTROL!$C$9, $D$9, 100%, $F$9) + CHOOSE(CONTROL!$C$27, 0.0021, 0)</f>
        <v>54.241399999999999</v>
      </c>
      <c r="G501" s="10">
        <f>54.5107 * CHOOSE(CONTROL!$C$9, $D$9, 100%, $F$9) + CHOOSE(CONTROL!$C$27, 0.0021, 0)</f>
        <v>54.512799999999999</v>
      </c>
      <c r="H501" s="10">
        <f>54.376 * CHOOSE(CONTROL!$C$9, $D$9, 100%, $F$9) + CHOOSE(CONTROL!$C$27, 0.0021, 0)</f>
        <v>54.378099999999996</v>
      </c>
      <c r="I501" s="10">
        <f>54.376 * CHOOSE(CONTROL!$C$9, $D$9, 100%, $F$9) + CHOOSE(CONTROL!$C$27, 0.0021, 0)</f>
        <v>54.378099999999996</v>
      </c>
      <c r="J501" s="10">
        <f>54.376 * CHOOSE(CONTROL!$C$9, $D$9, 100%, $F$9) + CHOOSE(CONTROL!$C$27, 0.0021, 0)</f>
        <v>54.378099999999996</v>
      </c>
      <c r="K501" s="10">
        <f>54.376 * CHOOSE(CONTROL!$C$9, $D$9, 100%, $F$9) + CHOOSE(CONTROL!$C$27, 0.0021, 0)</f>
        <v>54.378099999999996</v>
      </c>
      <c r="L501" s="10"/>
    </row>
    <row r="502" spans="1:12" ht="15.75" x14ac:dyDescent="0.25">
      <c r="A502" s="14">
        <v>56218</v>
      </c>
      <c r="B502" s="10">
        <f>54.9295 * CHOOSE(CONTROL!$C$9, $D$9, 100%, $F$9) + CHOOSE(CONTROL!$C$27, 0.0021, 0)</f>
        <v>54.931599999999996</v>
      </c>
      <c r="C502" s="10">
        <f>54.4973 * CHOOSE(CONTROL!$C$9, $D$9, 100%, $F$9) + CHOOSE(CONTROL!$C$27, 0.0021, 0)</f>
        <v>54.499400000000001</v>
      </c>
      <c r="D502" s="10">
        <f>54.4973 * CHOOSE(CONTROL!$C$9, $D$9, 100%, $F$9) + CHOOSE(CONTROL!$C$27, 0.0021, 0)</f>
        <v>54.499400000000001</v>
      </c>
      <c r="E502" s="10">
        <f>54.3606 * CHOOSE(CONTROL!$C$9, $D$9, 100%, $F$9) + CHOOSE(CONTROL!$C$27, 0.0021, 0)</f>
        <v>54.362699999999997</v>
      </c>
      <c r="F502" s="10">
        <f>54.3606 * CHOOSE(CONTROL!$C$9, $D$9, 100%, $F$9) + CHOOSE(CONTROL!$C$27, 0.0021, 0)</f>
        <v>54.362699999999997</v>
      </c>
      <c r="G502" s="10">
        <f>54.632 * CHOOSE(CONTROL!$C$9, $D$9, 100%, $F$9) + CHOOSE(CONTROL!$C$27, 0.0021, 0)</f>
        <v>54.634099999999997</v>
      </c>
      <c r="H502" s="10">
        <f>54.4973 * CHOOSE(CONTROL!$C$9, $D$9, 100%, $F$9) + CHOOSE(CONTROL!$C$27, 0.0021, 0)</f>
        <v>54.499400000000001</v>
      </c>
      <c r="I502" s="10">
        <f>54.4973 * CHOOSE(CONTROL!$C$9, $D$9, 100%, $F$9) + CHOOSE(CONTROL!$C$27, 0.0021, 0)</f>
        <v>54.499400000000001</v>
      </c>
      <c r="J502" s="10">
        <f>54.4973 * CHOOSE(CONTROL!$C$9, $D$9, 100%, $F$9) + CHOOSE(CONTROL!$C$27, 0.0021, 0)</f>
        <v>54.499400000000001</v>
      </c>
      <c r="K502" s="10">
        <f>54.4973 * CHOOSE(CONTROL!$C$9, $D$9, 100%, $F$9) + CHOOSE(CONTROL!$C$27, 0.0021, 0)</f>
        <v>54.499400000000001</v>
      </c>
      <c r="L502" s="10"/>
    </row>
    <row r="503" spans="1:12" ht="15.75" x14ac:dyDescent="0.25">
      <c r="A503" s="14">
        <v>56249</v>
      </c>
      <c r="B503" s="10">
        <f>53.8974 * CHOOSE(CONTROL!$C$9, $D$9, 100%, $F$9) + CHOOSE(CONTROL!$C$27, 0.0021, 0)</f>
        <v>53.899499999999996</v>
      </c>
      <c r="C503" s="10">
        <f>53.4652 * CHOOSE(CONTROL!$C$9, $D$9, 100%, $F$9) + CHOOSE(CONTROL!$C$27, 0.0021, 0)</f>
        <v>53.467300000000002</v>
      </c>
      <c r="D503" s="10">
        <f>53.4652 * CHOOSE(CONTROL!$C$9, $D$9, 100%, $F$9) + CHOOSE(CONTROL!$C$27, 0.0021, 0)</f>
        <v>53.467300000000002</v>
      </c>
      <c r="E503" s="10">
        <f>53.3285 * CHOOSE(CONTROL!$C$9, $D$9, 100%, $F$9) + CHOOSE(CONTROL!$C$27, 0.0021, 0)</f>
        <v>53.330599999999997</v>
      </c>
      <c r="F503" s="10">
        <f>53.3285 * CHOOSE(CONTROL!$C$9, $D$9, 100%, $F$9) + CHOOSE(CONTROL!$C$27, 0.0021, 0)</f>
        <v>53.330599999999997</v>
      </c>
      <c r="G503" s="10">
        <f>53.5999 * CHOOSE(CONTROL!$C$9, $D$9, 100%, $F$9) + CHOOSE(CONTROL!$C$27, 0.0021, 0)</f>
        <v>53.601999999999997</v>
      </c>
      <c r="H503" s="10">
        <f>53.4652 * CHOOSE(CONTROL!$C$9, $D$9, 100%, $F$9) + CHOOSE(CONTROL!$C$27, 0.0021, 0)</f>
        <v>53.467300000000002</v>
      </c>
      <c r="I503" s="10">
        <f>53.4652 * CHOOSE(CONTROL!$C$9, $D$9, 100%, $F$9) + CHOOSE(CONTROL!$C$27, 0.0021, 0)</f>
        <v>53.467300000000002</v>
      </c>
      <c r="J503" s="10">
        <f>53.4652 * CHOOSE(CONTROL!$C$9, $D$9, 100%, $F$9) + CHOOSE(CONTROL!$C$27, 0.0021, 0)</f>
        <v>53.467300000000002</v>
      </c>
      <c r="K503" s="10">
        <f>53.4652 * CHOOSE(CONTROL!$C$9, $D$9, 100%, $F$9) + CHOOSE(CONTROL!$C$27, 0.0021, 0)</f>
        <v>53.467300000000002</v>
      </c>
      <c r="L503" s="10"/>
    </row>
    <row r="504" spans="1:12" ht="15.75" x14ac:dyDescent="0.25">
      <c r="A504" s="14">
        <v>56280</v>
      </c>
      <c r="B504" s="10">
        <f>53.2213 * CHOOSE(CONTROL!$C$9, $D$9, 100%, $F$9) + CHOOSE(CONTROL!$C$27, 0.0021, 0)</f>
        <v>53.223399999999998</v>
      </c>
      <c r="C504" s="10">
        <f>52.789 * CHOOSE(CONTROL!$C$9, $D$9, 100%, $F$9) + CHOOSE(CONTROL!$C$27, 0.0021, 0)</f>
        <v>52.7911</v>
      </c>
      <c r="D504" s="10">
        <f>52.789 * CHOOSE(CONTROL!$C$9, $D$9, 100%, $F$9) + CHOOSE(CONTROL!$C$27, 0.0021, 0)</f>
        <v>52.7911</v>
      </c>
      <c r="E504" s="10">
        <f>52.6524 * CHOOSE(CONTROL!$C$9, $D$9, 100%, $F$9) + CHOOSE(CONTROL!$C$27, 0.0021, 0)</f>
        <v>52.654499999999999</v>
      </c>
      <c r="F504" s="10">
        <f>52.6524 * CHOOSE(CONTROL!$C$9, $D$9, 100%, $F$9) + CHOOSE(CONTROL!$C$27, 0.0021, 0)</f>
        <v>52.654499999999999</v>
      </c>
      <c r="G504" s="10">
        <f>52.9237 * CHOOSE(CONTROL!$C$9, $D$9, 100%, $F$9) + CHOOSE(CONTROL!$C$27, 0.0021, 0)</f>
        <v>52.925799999999995</v>
      </c>
      <c r="H504" s="10">
        <f>52.789 * CHOOSE(CONTROL!$C$9, $D$9, 100%, $F$9) + CHOOSE(CONTROL!$C$27, 0.0021, 0)</f>
        <v>52.7911</v>
      </c>
      <c r="I504" s="10">
        <f>52.789 * CHOOSE(CONTROL!$C$9, $D$9, 100%, $F$9) + CHOOSE(CONTROL!$C$27, 0.0021, 0)</f>
        <v>52.7911</v>
      </c>
      <c r="J504" s="10">
        <f>52.789 * CHOOSE(CONTROL!$C$9, $D$9, 100%, $F$9) + CHOOSE(CONTROL!$C$27, 0.0021, 0)</f>
        <v>52.7911</v>
      </c>
      <c r="K504" s="10">
        <f>52.789 * CHOOSE(CONTROL!$C$9, $D$9, 100%, $F$9) + CHOOSE(CONTROL!$C$27, 0.0021, 0)</f>
        <v>52.7911</v>
      </c>
      <c r="L504" s="10"/>
    </row>
    <row r="505" spans="1:12" ht="15.75" x14ac:dyDescent="0.25">
      <c r="A505" s="14">
        <v>56308</v>
      </c>
      <c r="B505" s="10">
        <f>51.7807 * CHOOSE(CONTROL!$C$9, $D$9, 100%, $F$9) + CHOOSE(CONTROL!$C$27, 0.0021, 0)</f>
        <v>51.782800000000002</v>
      </c>
      <c r="C505" s="10">
        <f>51.3485 * CHOOSE(CONTROL!$C$9, $D$9, 100%, $F$9) + CHOOSE(CONTROL!$C$27, 0.0021, 0)</f>
        <v>51.3506</v>
      </c>
      <c r="D505" s="10">
        <f>51.3485 * CHOOSE(CONTROL!$C$9, $D$9, 100%, $F$9) + CHOOSE(CONTROL!$C$27, 0.0021, 0)</f>
        <v>51.3506</v>
      </c>
      <c r="E505" s="10">
        <f>51.2118 * CHOOSE(CONTROL!$C$9, $D$9, 100%, $F$9) + CHOOSE(CONTROL!$C$27, 0.0021, 0)</f>
        <v>51.213899999999995</v>
      </c>
      <c r="F505" s="10">
        <f>51.2118 * CHOOSE(CONTROL!$C$9, $D$9, 100%, $F$9) + CHOOSE(CONTROL!$C$27, 0.0021, 0)</f>
        <v>51.213899999999995</v>
      </c>
      <c r="G505" s="10">
        <f>51.4832 * CHOOSE(CONTROL!$C$9, $D$9, 100%, $F$9) + CHOOSE(CONTROL!$C$27, 0.0021, 0)</f>
        <v>51.485299999999995</v>
      </c>
      <c r="H505" s="10">
        <f>51.3485 * CHOOSE(CONTROL!$C$9, $D$9, 100%, $F$9) + CHOOSE(CONTROL!$C$27, 0.0021, 0)</f>
        <v>51.3506</v>
      </c>
      <c r="I505" s="10">
        <f>51.3485 * CHOOSE(CONTROL!$C$9, $D$9, 100%, $F$9) + CHOOSE(CONTROL!$C$27, 0.0021, 0)</f>
        <v>51.3506</v>
      </c>
      <c r="J505" s="10">
        <f>51.3485 * CHOOSE(CONTROL!$C$9, $D$9, 100%, $F$9) + CHOOSE(CONTROL!$C$27, 0.0021, 0)</f>
        <v>51.3506</v>
      </c>
      <c r="K505" s="10">
        <f>51.3485 * CHOOSE(CONTROL!$C$9, $D$9, 100%, $F$9) + CHOOSE(CONTROL!$C$27, 0.0021, 0)</f>
        <v>51.3506</v>
      </c>
      <c r="L505" s="10"/>
    </row>
    <row r="506" spans="1:12" ht="15.75" x14ac:dyDescent="0.25">
      <c r="A506" s="14">
        <v>56339</v>
      </c>
      <c r="B506" s="10">
        <f>51.1861 * CHOOSE(CONTROL!$C$9, $D$9, 100%, $F$9) + CHOOSE(CONTROL!$C$27, 0.0021, 0)</f>
        <v>51.188200000000002</v>
      </c>
      <c r="C506" s="10">
        <f>50.7538 * CHOOSE(CONTROL!$C$9, $D$9, 100%, $F$9) + CHOOSE(CONTROL!$C$27, 0.0021, 0)</f>
        <v>50.755899999999997</v>
      </c>
      <c r="D506" s="10">
        <f>50.7538 * CHOOSE(CONTROL!$C$9, $D$9, 100%, $F$9) + CHOOSE(CONTROL!$C$27, 0.0021, 0)</f>
        <v>50.755899999999997</v>
      </c>
      <c r="E506" s="10">
        <f>50.6172 * CHOOSE(CONTROL!$C$9, $D$9, 100%, $F$9) + CHOOSE(CONTROL!$C$27, 0.0021, 0)</f>
        <v>50.619299999999996</v>
      </c>
      <c r="F506" s="10">
        <f>50.6172 * CHOOSE(CONTROL!$C$9, $D$9, 100%, $F$9) + CHOOSE(CONTROL!$C$27, 0.0021, 0)</f>
        <v>50.619299999999996</v>
      </c>
      <c r="G506" s="10">
        <f>50.8885 * CHOOSE(CONTROL!$C$9, $D$9, 100%, $F$9) + CHOOSE(CONTROL!$C$27, 0.0021, 0)</f>
        <v>50.890599999999999</v>
      </c>
      <c r="H506" s="10">
        <f>50.7538 * CHOOSE(CONTROL!$C$9, $D$9, 100%, $F$9) + CHOOSE(CONTROL!$C$27, 0.0021, 0)</f>
        <v>50.755899999999997</v>
      </c>
      <c r="I506" s="10">
        <f>50.7538 * CHOOSE(CONTROL!$C$9, $D$9, 100%, $F$9) + CHOOSE(CONTROL!$C$27, 0.0021, 0)</f>
        <v>50.755899999999997</v>
      </c>
      <c r="J506" s="10">
        <f>50.7538 * CHOOSE(CONTROL!$C$9, $D$9, 100%, $F$9) + CHOOSE(CONTROL!$C$27, 0.0021, 0)</f>
        <v>50.755899999999997</v>
      </c>
      <c r="K506" s="10">
        <f>50.7538 * CHOOSE(CONTROL!$C$9, $D$9, 100%, $F$9) + CHOOSE(CONTROL!$C$27, 0.0021, 0)</f>
        <v>50.755899999999997</v>
      </c>
      <c r="L506" s="10"/>
    </row>
    <row r="507" spans="1:12" ht="15.75" x14ac:dyDescent="0.25">
      <c r="A507" s="14">
        <v>56369</v>
      </c>
      <c r="B507" s="10">
        <f>50.476 * CHOOSE(CONTROL!$C$9, $D$9, 100%, $F$9) + CHOOSE(CONTROL!$C$27, 0.0021, 0)</f>
        <v>50.478099999999998</v>
      </c>
      <c r="C507" s="10">
        <f>50.0438 * CHOOSE(CONTROL!$C$9, $D$9, 100%, $F$9) + CHOOSE(CONTROL!$C$27, 0.0021, 0)</f>
        <v>50.045899999999996</v>
      </c>
      <c r="D507" s="10">
        <f>50.0438 * CHOOSE(CONTROL!$C$9, $D$9, 100%, $F$9) + CHOOSE(CONTROL!$C$27, 0.0021, 0)</f>
        <v>50.045899999999996</v>
      </c>
      <c r="E507" s="10">
        <f>49.9071 * CHOOSE(CONTROL!$C$9, $D$9, 100%, $F$9) + CHOOSE(CONTROL!$C$27, 0.0021, 0)</f>
        <v>49.909199999999998</v>
      </c>
      <c r="F507" s="10">
        <f>49.9071 * CHOOSE(CONTROL!$C$9, $D$9, 100%, $F$9) + CHOOSE(CONTROL!$C$27, 0.0021, 0)</f>
        <v>49.909199999999998</v>
      </c>
      <c r="G507" s="10">
        <f>50.1785 * CHOOSE(CONTROL!$C$9, $D$9, 100%, $F$9) + CHOOSE(CONTROL!$C$27, 0.0021, 0)</f>
        <v>50.180599999999998</v>
      </c>
      <c r="H507" s="10">
        <f>50.0438 * CHOOSE(CONTROL!$C$9, $D$9, 100%, $F$9) + CHOOSE(CONTROL!$C$27, 0.0021, 0)</f>
        <v>50.045899999999996</v>
      </c>
      <c r="I507" s="10">
        <f>50.0438 * CHOOSE(CONTROL!$C$9, $D$9, 100%, $F$9) + CHOOSE(CONTROL!$C$27, 0.0021, 0)</f>
        <v>50.045899999999996</v>
      </c>
      <c r="J507" s="10">
        <f>50.0438 * CHOOSE(CONTROL!$C$9, $D$9, 100%, $F$9) + CHOOSE(CONTROL!$C$27, 0.0021, 0)</f>
        <v>50.045899999999996</v>
      </c>
      <c r="K507" s="10">
        <f>50.0438 * CHOOSE(CONTROL!$C$9, $D$9, 100%, $F$9) + CHOOSE(CONTROL!$C$27, 0.0021, 0)</f>
        <v>50.045899999999996</v>
      </c>
      <c r="L507" s="10"/>
    </row>
    <row r="508" spans="1:12" ht="15.75" x14ac:dyDescent="0.25">
      <c r="A508" s="14">
        <v>56400</v>
      </c>
      <c r="B508" s="10">
        <f>51.4879 * CHOOSE(CONTROL!$C$9, $D$9, 100%, $F$9) + CHOOSE(CONTROL!$C$27, 0.0021, 0)</f>
        <v>51.49</v>
      </c>
      <c r="C508" s="10">
        <f>51.0557 * CHOOSE(CONTROL!$C$9, $D$9, 100%, $F$9) + CHOOSE(CONTROL!$C$27, 0.0021, 0)</f>
        <v>51.0578</v>
      </c>
      <c r="D508" s="10">
        <f>51.0557 * CHOOSE(CONTROL!$C$9, $D$9, 100%, $F$9) + CHOOSE(CONTROL!$C$27, 0.0021, 0)</f>
        <v>51.0578</v>
      </c>
      <c r="E508" s="10">
        <f>50.919 * CHOOSE(CONTROL!$C$9, $D$9, 100%, $F$9) + CHOOSE(CONTROL!$C$27, 0.0021, 0)</f>
        <v>50.921099999999996</v>
      </c>
      <c r="F508" s="10">
        <f>50.919 * CHOOSE(CONTROL!$C$9, $D$9, 100%, $F$9) + CHOOSE(CONTROL!$C$27, 0.0021, 0)</f>
        <v>50.921099999999996</v>
      </c>
      <c r="G508" s="10">
        <f>51.1904 * CHOOSE(CONTROL!$C$9, $D$9, 100%, $F$9) + CHOOSE(CONTROL!$C$27, 0.0021, 0)</f>
        <v>51.192499999999995</v>
      </c>
      <c r="H508" s="10">
        <f>51.0557 * CHOOSE(CONTROL!$C$9, $D$9, 100%, $F$9) + CHOOSE(CONTROL!$C$27, 0.0021, 0)</f>
        <v>51.0578</v>
      </c>
      <c r="I508" s="10">
        <f>51.0557 * CHOOSE(CONTROL!$C$9, $D$9, 100%, $F$9) + CHOOSE(CONTROL!$C$27, 0.0021, 0)</f>
        <v>51.0578</v>
      </c>
      <c r="J508" s="10">
        <f>51.0557 * CHOOSE(CONTROL!$C$9, $D$9, 100%, $F$9) + CHOOSE(CONTROL!$C$27, 0.0021, 0)</f>
        <v>51.0578</v>
      </c>
      <c r="K508" s="10">
        <f>51.0557 * CHOOSE(CONTROL!$C$9, $D$9, 100%, $F$9) + CHOOSE(CONTROL!$C$27, 0.0021, 0)</f>
        <v>51.0578</v>
      </c>
      <c r="L508" s="10"/>
    </row>
    <row r="509" spans="1:12" ht="15.75" x14ac:dyDescent="0.25">
      <c r="A509" s="14">
        <v>56430</v>
      </c>
      <c r="B509" s="10">
        <f>52.094 * CHOOSE(CONTROL!$C$9, $D$9, 100%, $F$9) + CHOOSE(CONTROL!$C$27, 0.0021, 0)</f>
        <v>52.0961</v>
      </c>
      <c r="C509" s="10">
        <f>51.6618 * CHOOSE(CONTROL!$C$9, $D$9, 100%, $F$9) + CHOOSE(CONTROL!$C$27, 0.0021, 0)</f>
        <v>51.663899999999998</v>
      </c>
      <c r="D509" s="10">
        <f>51.6618 * CHOOSE(CONTROL!$C$9, $D$9, 100%, $F$9) + CHOOSE(CONTROL!$C$27, 0.0021, 0)</f>
        <v>51.663899999999998</v>
      </c>
      <c r="E509" s="10">
        <f>51.5251 * CHOOSE(CONTROL!$C$9, $D$9, 100%, $F$9) + CHOOSE(CONTROL!$C$27, 0.0021, 0)</f>
        <v>51.527200000000001</v>
      </c>
      <c r="F509" s="10">
        <f>51.5251 * CHOOSE(CONTROL!$C$9, $D$9, 100%, $F$9) + CHOOSE(CONTROL!$C$27, 0.0021, 0)</f>
        <v>51.527200000000001</v>
      </c>
      <c r="G509" s="10">
        <f>51.7965 * CHOOSE(CONTROL!$C$9, $D$9, 100%, $F$9) + CHOOSE(CONTROL!$C$27, 0.0021, 0)</f>
        <v>51.7986</v>
      </c>
      <c r="H509" s="10">
        <f>51.6618 * CHOOSE(CONTROL!$C$9, $D$9, 100%, $F$9) + CHOOSE(CONTROL!$C$27, 0.0021, 0)</f>
        <v>51.663899999999998</v>
      </c>
      <c r="I509" s="10">
        <f>51.6618 * CHOOSE(CONTROL!$C$9, $D$9, 100%, $F$9) + CHOOSE(CONTROL!$C$27, 0.0021, 0)</f>
        <v>51.663899999999998</v>
      </c>
      <c r="J509" s="10">
        <f>51.6618 * CHOOSE(CONTROL!$C$9, $D$9, 100%, $F$9) + CHOOSE(CONTROL!$C$27, 0.0021, 0)</f>
        <v>51.663899999999998</v>
      </c>
      <c r="K509" s="10">
        <f>51.6618 * CHOOSE(CONTROL!$C$9, $D$9, 100%, $F$9) + CHOOSE(CONTROL!$C$27, 0.0021, 0)</f>
        <v>51.663899999999998</v>
      </c>
      <c r="L509" s="10"/>
    </row>
    <row r="510" spans="1:12" ht="15.75" x14ac:dyDescent="0.25">
      <c r="A510" s="14">
        <v>56461</v>
      </c>
      <c r="B510" s="10">
        <f>53.0938 * CHOOSE(CONTROL!$C$9, $D$9, 100%, $F$9) + CHOOSE(CONTROL!$C$27, 0.0021, 0)</f>
        <v>53.0959</v>
      </c>
      <c r="C510" s="10">
        <f>52.6616 * CHOOSE(CONTROL!$C$9, $D$9, 100%, $F$9) + CHOOSE(CONTROL!$C$27, 0.0021, 0)</f>
        <v>52.663699999999999</v>
      </c>
      <c r="D510" s="10">
        <f>52.6616 * CHOOSE(CONTROL!$C$9, $D$9, 100%, $F$9) + CHOOSE(CONTROL!$C$27, 0.0021, 0)</f>
        <v>52.663699999999999</v>
      </c>
      <c r="E510" s="10">
        <f>52.5249 * CHOOSE(CONTROL!$C$9, $D$9, 100%, $F$9) + CHOOSE(CONTROL!$C$27, 0.0021, 0)</f>
        <v>52.527000000000001</v>
      </c>
      <c r="F510" s="10">
        <f>52.5249 * CHOOSE(CONTROL!$C$9, $D$9, 100%, $F$9) + CHOOSE(CONTROL!$C$27, 0.0021, 0)</f>
        <v>52.527000000000001</v>
      </c>
      <c r="G510" s="10">
        <f>52.7963 * CHOOSE(CONTROL!$C$9, $D$9, 100%, $F$9) + CHOOSE(CONTROL!$C$27, 0.0021, 0)</f>
        <v>52.798400000000001</v>
      </c>
      <c r="H510" s="10">
        <f>52.6616 * CHOOSE(CONTROL!$C$9, $D$9, 100%, $F$9) + CHOOSE(CONTROL!$C$27, 0.0021, 0)</f>
        <v>52.663699999999999</v>
      </c>
      <c r="I510" s="10">
        <f>52.6616 * CHOOSE(CONTROL!$C$9, $D$9, 100%, $F$9) + CHOOSE(CONTROL!$C$27, 0.0021, 0)</f>
        <v>52.663699999999999</v>
      </c>
      <c r="J510" s="10">
        <f>52.6616 * CHOOSE(CONTROL!$C$9, $D$9, 100%, $F$9) + CHOOSE(CONTROL!$C$27, 0.0021, 0)</f>
        <v>52.663699999999999</v>
      </c>
      <c r="K510" s="10">
        <f>52.6616 * CHOOSE(CONTROL!$C$9, $D$9, 100%, $F$9) + CHOOSE(CONTROL!$C$27, 0.0021, 0)</f>
        <v>52.663699999999999</v>
      </c>
      <c r="L510" s="10"/>
    </row>
    <row r="511" spans="1:12" ht="15.75" x14ac:dyDescent="0.25">
      <c r="A511" s="14">
        <v>56492</v>
      </c>
      <c r="B511" s="10">
        <f>53.399 * CHOOSE(CONTROL!$C$9, $D$9, 100%, $F$9) + CHOOSE(CONTROL!$C$27, 0.0021, 0)</f>
        <v>53.4011</v>
      </c>
      <c r="C511" s="10">
        <f>52.9667 * CHOOSE(CONTROL!$C$9, $D$9, 100%, $F$9) + CHOOSE(CONTROL!$C$27, 0.0021, 0)</f>
        <v>52.968800000000002</v>
      </c>
      <c r="D511" s="10">
        <f>52.9667 * CHOOSE(CONTROL!$C$9, $D$9, 100%, $F$9) + CHOOSE(CONTROL!$C$27, 0.0021, 0)</f>
        <v>52.968800000000002</v>
      </c>
      <c r="E511" s="10">
        <f>52.8301 * CHOOSE(CONTROL!$C$9, $D$9, 100%, $F$9) + CHOOSE(CONTROL!$C$27, 0.0021, 0)</f>
        <v>52.8322</v>
      </c>
      <c r="F511" s="10">
        <f>52.8301 * CHOOSE(CONTROL!$C$9, $D$9, 100%, $F$9) + CHOOSE(CONTROL!$C$27, 0.0021, 0)</f>
        <v>52.8322</v>
      </c>
      <c r="G511" s="10">
        <f>53.1014 * CHOOSE(CONTROL!$C$9, $D$9, 100%, $F$9) + CHOOSE(CONTROL!$C$27, 0.0021, 0)</f>
        <v>53.103499999999997</v>
      </c>
      <c r="H511" s="10">
        <f>52.9667 * CHOOSE(CONTROL!$C$9, $D$9, 100%, $F$9) + CHOOSE(CONTROL!$C$27, 0.0021, 0)</f>
        <v>52.968800000000002</v>
      </c>
      <c r="I511" s="10">
        <f>52.9667 * CHOOSE(CONTROL!$C$9, $D$9, 100%, $F$9) + CHOOSE(CONTROL!$C$27, 0.0021, 0)</f>
        <v>52.968800000000002</v>
      </c>
      <c r="J511" s="10">
        <f>52.9667 * CHOOSE(CONTROL!$C$9, $D$9, 100%, $F$9) + CHOOSE(CONTROL!$C$27, 0.0021, 0)</f>
        <v>52.968800000000002</v>
      </c>
      <c r="K511" s="10">
        <f>52.9667 * CHOOSE(CONTROL!$C$9, $D$9, 100%, $F$9) + CHOOSE(CONTROL!$C$27, 0.0021, 0)</f>
        <v>52.968800000000002</v>
      </c>
      <c r="L511" s="10"/>
    </row>
    <row r="512" spans="1:12" ht="15.75" x14ac:dyDescent="0.25">
      <c r="A512" s="14">
        <v>56522</v>
      </c>
      <c r="B512" s="10">
        <f>54.4382 * CHOOSE(CONTROL!$C$9, $D$9, 100%, $F$9) + CHOOSE(CONTROL!$C$27, 0.0021, 0)</f>
        <v>54.440300000000001</v>
      </c>
      <c r="C512" s="10">
        <f>54.006 * CHOOSE(CONTROL!$C$9, $D$9, 100%, $F$9) + CHOOSE(CONTROL!$C$27, 0.0021, 0)</f>
        <v>54.008099999999999</v>
      </c>
      <c r="D512" s="10">
        <f>54.006 * CHOOSE(CONTROL!$C$9, $D$9, 100%, $F$9) + CHOOSE(CONTROL!$C$27, 0.0021, 0)</f>
        <v>54.008099999999999</v>
      </c>
      <c r="E512" s="10">
        <f>53.8693 * CHOOSE(CONTROL!$C$9, $D$9, 100%, $F$9) + CHOOSE(CONTROL!$C$27, 0.0021, 0)</f>
        <v>53.871400000000001</v>
      </c>
      <c r="F512" s="10">
        <f>53.8693 * CHOOSE(CONTROL!$C$9, $D$9, 100%, $F$9) + CHOOSE(CONTROL!$C$27, 0.0021, 0)</f>
        <v>53.871400000000001</v>
      </c>
      <c r="G512" s="10">
        <f>54.1407 * CHOOSE(CONTROL!$C$9, $D$9, 100%, $F$9) + CHOOSE(CONTROL!$C$27, 0.0021, 0)</f>
        <v>54.142800000000001</v>
      </c>
      <c r="H512" s="10">
        <f>54.006 * CHOOSE(CONTROL!$C$9, $D$9, 100%, $F$9) + CHOOSE(CONTROL!$C$27, 0.0021, 0)</f>
        <v>54.008099999999999</v>
      </c>
      <c r="I512" s="10">
        <f>54.006 * CHOOSE(CONTROL!$C$9, $D$9, 100%, $F$9) + CHOOSE(CONTROL!$C$27, 0.0021, 0)</f>
        <v>54.008099999999999</v>
      </c>
      <c r="J512" s="10">
        <f>54.006 * CHOOSE(CONTROL!$C$9, $D$9, 100%, $F$9) + CHOOSE(CONTROL!$C$27, 0.0021, 0)</f>
        <v>54.008099999999999</v>
      </c>
      <c r="K512" s="10">
        <f>54.006 * CHOOSE(CONTROL!$C$9, $D$9, 100%, $F$9) + CHOOSE(CONTROL!$C$27, 0.0021, 0)</f>
        <v>54.008099999999999</v>
      </c>
      <c r="L512" s="10"/>
    </row>
    <row r="513" spans="1:12" ht="15.75" x14ac:dyDescent="0.25">
      <c r="A513" s="14">
        <v>56553</v>
      </c>
      <c r="B513" s="10">
        <f>55.7537 * CHOOSE(CONTROL!$C$9, $D$9, 100%, $F$9) + CHOOSE(CONTROL!$C$27, 0.0021, 0)</f>
        <v>55.755800000000001</v>
      </c>
      <c r="C513" s="10">
        <f>55.3215 * CHOOSE(CONTROL!$C$9, $D$9, 100%, $F$9) + CHOOSE(CONTROL!$C$27, 0.0021, 0)</f>
        <v>55.323599999999999</v>
      </c>
      <c r="D513" s="10">
        <f>55.3215 * CHOOSE(CONTROL!$C$9, $D$9, 100%, $F$9) + CHOOSE(CONTROL!$C$27, 0.0021, 0)</f>
        <v>55.323599999999999</v>
      </c>
      <c r="E513" s="10">
        <f>55.1848 * CHOOSE(CONTROL!$C$9, $D$9, 100%, $F$9) + CHOOSE(CONTROL!$C$27, 0.0021, 0)</f>
        <v>55.186900000000001</v>
      </c>
      <c r="F513" s="10">
        <f>55.1848 * CHOOSE(CONTROL!$C$9, $D$9, 100%, $F$9) + CHOOSE(CONTROL!$C$27, 0.0021, 0)</f>
        <v>55.186900000000001</v>
      </c>
      <c r="G513" s="10">
        <f>55.4562 * CHOOSE(CONTROL!$C$9, $D$9, 100%, $F$9) + CHOOSE(CONTROL!$C$27, 0.0021, 0)</f>
        <v>55.458300000000001</v>
      </c>
      <c r="H513" s="10">
        <f>55.3215 * CHOOSE(CONTROL!$C$9, $D$9, 100%, $F$9) + CHOOSE(CONTROL!$C$27, 0.0021, 0)</f>
        <v>55.323599999999999</v>
      </c>
      <c r="I513" s="10">
        <f>55.3215 * CHOOSE(CONTROL!$C$9, $D$9, 100%, $F$9) + CHOOSE(CONTROL!$C$27, 0.0021, 0)</f>
        <v>55.323599999999999</v>
      </c>
      <c r="J513" s="10">
        <f>55.3215 * CHOOSE(CONTROL!$C$9, $D$9, 100%, $F$9) + CHOOSE(CONTROL!$C$27, 0.0021, 0)</f>
        <v>55.323599999999999</v>
      </c>
      <c r="K513" s="10">
        <f>55.3215 * CHOOSE(CONTROL!$C$9, $D$9, 100%, $F$9) + CHOOSE(CONTROL!$C$27, 0.0021, 0)</f>
        <v>55.323599999999999</v>
      </c>
      <c r="L513" s="10"/>
    </row>
    <row r="514" spans="1:12" ht="15.75" x14ac:dyDescent="0.25">
      <c r="A514" s="14">
        <v>56583</v>
      </c>
      <c r="B514" s="10">
        <f>55.8772 * CHOOSE(CONTROL!$C$9, $D$9, 100%, $F$9) + CHOOSE(CONTROL!$C$27, 0.0021, 0)</f>
        <v>55.879300000000001</v>
      </c>
      <c r="C514" s="10">
        <f>55.445 * CHOOSE(CONTROL!$C$9, $D$9, 100%, $F$9) + CHOOSE(CONTROL!$C$27, 0.0021, 0)</f>
        <v>55.447099999999999</v>
      </c>
      <c r="D514" s="10">
        <f>55.445 * CHOOSE(CONTROL!$C$9, $D$9, 100%, $F$9) + CHOOSE(CONTROL!$C$27, 0.0021, 0)</f>
        <v>55.447099999999999</v>
      </c>
      <c r="E514" s="10">
        <f>55.3083 * CHOOSE(CONTROL!$C$9, $D$9, 100%, $F$9) + CHOOSE(CONTROL!$C$27, 0.0021, 0)</f>
        <v>55.310400000000001</v>
      </c>
      <c r="F514" s="10">
        <f>55.3083 * CHOOSE(CONTROL!$C$9, $D$9, 100%, $F$9) + CHOOSE(CONTROL!$C$27, 0.0021, 0)</f>
        <v>55.310400000000001</v>
      </c>
      <c r="G514" s="10">
        <f>55.5797 * CHOOSE(CONTROL!$C$9, $D$9, 100%, $F$9) + CHOOSE(CONTROL!$C$27, 0.0021, 0)</f>
        <v>55.581800000000001</v>
      </c>
      <c r="H514" s="10">
        <f>55.445 * CHOOSE(CONTROL!$C$9, $D$9, 100%, $F$9) + CHOOSE(CONTROL!$C$27, 0.0021, 0)</f>
        <v>55.447099999999999</v>
      </c>
      <c r="I514" s="10">
        <f>55.445 * CHOOSE(CONTROL!$C$9, $D$9, 100%, $F$9) + CHOOSE(CONTROL!$C$27, 0.0021, 0)</f>
        <v>55.447099999999999</v>
      </c>
      <c r="J514" s="10">
        <f>55.445 * CHOOSE(CONTROL!$C$9, $D$9, 100%, $F$9) + CHOOSE(CONTROL!$C$27, 0.0021, 0)</f>
        <v>55.447099999999999</v>
      </c>
      <c r="K514" s="10">
        <f>55.445 * CHOOSE(CONTROL!$C$9, $D$9, 100%, $F$9) + CHOOSE(CONTROL!$C$27, 0.0021, 0)</f>
        <v>55.447099999999999</v>
      </c>
      <c r="L514" s="10"/>
    </row>
    <row r="515" spans="1:12" ht="15.75" x14ac:dyDescent="0.25">
      <c r="A515" s="14">
        <v>56614</v>
      </c>
      <c r="B515" s="10">
        <f>54.8266 * CHOOSE(CONTROL!$C$9, $D$9, 100%, $F$9) + CHOOSE(CONTROL!$C$27, 0.0021, 0)</f>
        <v>54.828699999999998</v>
      </c>
      <c r="C515" s="10">
        <f>54.3943 * CHOOSE(CONTROL!$C$9, $D$9, 100%, $F$9) + CHOOSE(CONTROL!$C$27, 0.0021, 0)</f>
        <v>54.3964</v>
      </c>
      <c r="D515" s="10">
        <f>54.3943 * CHOOSE(CONTROL!$C$9, $D$9, 100%, $F$9) + CHOOSE(CONTROL!$C$27, 0.0021, 0)</f>
        <v>54.3964</v>
      </c>
      <c r="E515" s="10">
        <f>54.2577 * CHOOSE(CONTROL!$C$9, $D$9, 100%, $F$9) + CHOOSE(CONTROL!$C$27, 0.0021, 0)</f>
        <v>54.259799999999998</v>
      </c>
      <c r="F515" s="10">
        <f>54.2577 * CHOOSE(CONTROL!$C$9, $D$9, 100%, $F$9) + CHOOSE(CONTROL!$C$27, 0.0021, 0)</f>
        <v>54.259799999999998</v>
      </c>
      <c r="G515" s="10">
        <f>54.529 * CHOOSE(CONTROL!$C$9, $D$9, 100%, $F$9) + CHOOSE(CONTROL!$C$27, 0.0021, 0)</f>
        <v>54.531100000000002</v>
      </c>
      <c r="H515" s="10">
        <f>54.3943 * CHOOSE(CONTROL!$C$9, $D$9, 100%, $F$9) + CHOOSE(CONTROL!$C$27, 0.0021, 0)</f>
        <v>54.3964</v>
      </c>
      <c r="I515" s="10">
        <f>54.3943 * CHOOSE(CONTROL!$C$9, $D$9, 100%, $F$9) + CHOOSE(CONTROL!$C$27, 0.0021, 0)</f>
        <v>54.3964</v>
      </c>
      <c r="J515" s="10">
        <f>54.3943 * CHOOSE(CONTROL!$C$9, $D$9, 100%, $F$9) + CHOOSE(CONTROL!$C$27, 0.0021, 0)</f>
        <v>54.3964</v>
      </c>
      <c r="K515" s="10">
        <f>54.3943 * CHOOSE(CONTROL!$C$9, $D$9, 100%, $F$9) + CHOOSE(CONTROL!$C$27, 0.0021, 0)</f>
        <v>54.3964</v>
      </c>
      <c r="L515" s="10"/>
    </row>
    <row r="516" spans="1:12" ht="15.75" x14ac:dyDescent="0.25">
      <c r="A516" s="13">
        <v>56645</v>
      </c>
      <c r="B516" s="10">
        <f>54.1382 * CHOOSE(CONTROL!$C$9, $D$9, 100%, $F$9) + CHOOSE(CONTROL!$C$27, 0.0021, 0)</f>
        <v>54.140299999999996</v>
      </c>
      <c r="C516" s="10">
        <f>53.706 * CHOOSE(CONTROL!$C$9, $D$9, 100%, $F$9) + CHOOSE(CONTROL!$C$27, 0.0021, 0)</f>
        <v>53.708100000000002</v>
      </c>
      <c r="D516" s="10">
        <f>53.706 * CHOOSE(CONTROL!$C$9, $D$9, 100%, $F$9) + CHOOSE(CONTROL!$C$27, 0.0021, 0)</f>
        <v>53.708100000000002</v>
      </c>
      <c r="E516" s="10">
        <f>53.5693 * CHOOSE(CONTROL!$C$9, $D$9, 100%, $F$9) + CHOOSE(CONTROL!$C$27, 0.0021, 0)</f>
        <v>53.571399999999997</v>
      </c>
      <c r="F516" s="10">
        <f>53.5693 * CHOOSE(CONTROL!$C$9, $D$9, 100%, $F$9) + CHOOSE(CONTROL!$C$27, 0.0021, 0)</f>
        <v>53.571399999999997</v>
      </c>
      <c r="G516" s="10">
        <f>53.8407 * CHOOSE(CONTROL!$C$9, $D$9, 100%, $F$9) + CHOOSE(CONTROL!$C$27, 0.0021, 0)</f>
        <v>53.842799999999997</v>
      </c>
      <c r="H516" s="10">
        <f>53.706 * CHOOSE(CONTROL!$C$9, $D$9, 100%, $F$9) + CHOOSE(CONTROL!$C$27, 0.0021, 0)</f>
        <v>53.708100000000002</v>
      </c>
      <c r="I516" s="10">
        <f>53.706 * CHOOSE(CONTROL!$C$9, $D$9, 100%, $F$9) + CHOOSE(CONTROL!$C$27, 0.0021, 0)</f>
        <v>53.708100000000002</v>
      </c>
      <c r="J516" s="10">
        <f>53.706 * CHOOSE(CONTROL!$C$9, $D$9, 100%, $F$9) + CHOOSE(CONTROL!$C$27, 0.0021, 0)</f>
        <v>53.708100000000002</v>
      </c>
      <c r="K516" s="10">
        <f>53.706 * CHOOSE(CONTROL!$C$9, $D$9, 100%, $F$9) + CHOOSE(CONTROL!$C$27, 0.0021, 0)</f>
        <v>53.708100000000002</v>
      </c>
      <c r="L516" s="10"/>
    </row>
    <row r="517" spans="1:12" ht="15.75" x14ac:dyDescent="0.25">
      <c r="A517" s="13">
        <v>56673</v>
      </c>
      <c r="B517" s="10">
        <f>52.6718 * CHOOSE(CONTROL!$C$9, $D$9, 100%, $F$9) + CHOOSE(CONTROL!$C$27, 0.0021, 0)</f>
        <v>52.673899999999996</v>
      </c>
      <c r="C517" s="10">
        <f>52.2395 * CHOOSE(CONTROL!$C$9, $D$9, 100%, $F$9) + CHOOSE(CONTROL!$C$27, 0.0021, 0)</f>
        <v>52.241599999999998</v>
      </c>
      <c r="D517" s="10">
        <f>52.2395 * CHOOSE(CONTROL!$C$9, $D$9, 100%, $F$9) + CHOOSE(CONTROL!$C$27, 0.0021, 0)</f>
        <v>52.241599999999998</v>
      </c>
      <c r="E517" s="10">
        <f>52.1029 * CHOOSE(CONTROL!$C$9, $D$9, 100%, $F$9) + CHOOSE(CONTROL!$C$27, 0.0021, 0)</f>
        <v>52.104999999999997</v>
      </c>
      <c r="F517" s="10">
        <f>52.1029 * CHOOSE(CONTROL!$C$9, $D$9, 100%, $F$9) + CHOOSE(CONTROL!$C$27, 0.0021, 0)</f>
        <v>52.104999999999997</v>
      </c>
      <c r="G517" s="10">
        <f>52.3742 * CHOOSE(CONTROL!$C$9, $D$9, 100%, $F$9) + CHOOSE(CONTROL!$C$27, 0.0021, 0)</f>
        <v>52.376300000000001</v>
      </c>
      <c r="H517" s="10">
        <f>52.2395 * CHOOSE(CONTROL!$C$9, $D$9, 100%, $F$9) + CHOOSE(CONTROL!$C$27, 0.0021, 0)</f>
        <v>52.241599999999998</v>
      </c>
      <c r="I517" s="10">
        <f>52.2395 * CHOOSE(CONTROL!$C$9, $D$9, 100%, $F$9) + CHOOSE(CONTROL!$C$27, 0.0021, 0)</f>
        <v>52.241599999999998</v>
      </c>
      <c r="J517" s="10">
        <f>52.2395 * CHOOSE(CONTROL!$C$9, $D$9, 100%, $F$9) + CHOOSE(CONTROL!$C$27, 0.0021, 0)</f>
        <v>52.241599999999998</v>
      </c>
      <c r="K517" s="10">
        <f>52.2395 * CHOOSE(CONTROL!$C$9, $D$9, 100%, $F$9) + CHOOSE(CONTROL!$C$27, 0.0021, 0)</f>
        <v>52.241599999999998</v>
      </c>
      <c r="L517" s="10"/>
    </row>
    <row r="518" spans="1:12" ht="15.75" x14ac:dyDescent="0.25">
      <c r="A518" s="13">
        <v>56704</v>
      </c>
      <c r="B518" s="10">
        <f>52.0664 * CHOOSE(CONTROL!$C$9, $D$9, 100%, $F$9) + CHOOSE(CONTROL!$C$27, 0.0021, 0)</f>
        <v>52.0685</v>
      </c>
      <c r="C518" s="10">
        <f>51.6342 * CHOOSE(CONTROL!$C$9, $D$9, 100%, $F$9) + CHOOSE(CONTROL!$C$27, 0.0021, 0)</f>
        <v>51.636299999999999</v>
      </c>
      <c r="D518" s="10">
        <f>51.6342 * CHOOSE(CONTROL!$C$9, $D$9, 100%, $F$9) + CHOOSE(CONTROL!$C$27, 0.0021, 0)</f>
        <v>51.636299999999999</v>
      </c>
      <c r="E518" s="10">
        <f>51.4975 * CHOOSE(CONTROL!$C$9, $D$9, 100%, $F$9) + CHOOSE(CONTROL!$C$27, 0.0021, 0)</f>
        <v>51.499600000000001</v>
      </c>
      <c r="F518" s="10">
        <f>51.4975 * CHOOSE(CONTROL!$C$9, $D$9, 100%, $F$9) + CHOOSE(CONTROL!$C$27, 0.0021, 0)</f>
        <v>51.499600000000001</v>
      </c>
      <c r="G518" s="10">
        <f>51.7689 * CHOOSE(CONTROL!$C$9, $D$9, 100%, $F$9) + CHOOSE(CONTROL!$C$27, 0.0021, 0)</f>
        <v>51.771000000000001</v>
      </c>
      <c r="H518" s="10">
        <f>51.6342 * CHOOSE(CONTROL!$C$9, $D$9, 100%, $F$9) + CHOOSE(CONTROL!$C$27, 0.0021, 0)</f>
        <v>51.636299999999999</v>
      </c>
      <c r="I518" s="10">
        <f>51.6342 * CHOOSE(CONTROL!$C$9, $D$9, 100%, $F$9) + CHOOSE(CONTROL!$C$27, 0.0021, 0)</f>
        <v>51.636299999999999</v>
      </c>
      <c r="J518" s="10">
        <f>51.6342 * CHOOSE(CONTROL!$C$9, $D$9, 100%, $F$9) + CHOOSE(CONTROL!$C$27, 0.0021, 0)</f>
        <v>51.636299999999999</v>
      </c>
      <c r="K518" s="10">
        <f>51.6342 * CHOOSE(CONTROL!$C$9, $D$9, 100%, $F$9) + CHOOSE(CONTROL!$C$27, 0.0021, 0)</f>
        <v>51.636299999999999</v>
      </c>
      <c r="L518" s="10"/>
    </row>
    <row r="519" spans="1:12" ht="15.75" x14ac:dyDescent="0.25">
      <c r="A519" s="13">
        <v>56734</v>
      </c>
      <c r="B519" s="10">
        <f>51.3436 * CHOOSE(CONTROL!$C$9, $D$9, 100%, $F$9) + CHOOSE(CONTROL!$C$27, 0.0021, 0)</f>
        <v>51.345700000000001</v>
      </c>
      <c r="C519" s="10">
        <f>50.9113 * CHOOSE(CONTROL!$C$9, $D$9, 100%, $F$9) + CHOOSE(CONTROL!$C$27, 0.0021, 0)</f>
        <v>50.913399999999996</v>
      </c>
      <c r="D519" s="10">
        <f>50.9113 * CHOOSE(CONTROL!$C$9, $D$9, 100%, $F$9) + CHOOSE(CONTROL!$C$27, 0.0021, 0)</f>
        <v>50.913399999999996</v>
      </c>
      <c r="E519" s="10">
        <f>50.7747 * CHOOSE(CONTROL!$C$9, $D$9, 100%, $F$9) + CHOOSE(CONTROL!$C$27, 0.0021, 0)</f>
        <v>50.776800000000001</v>
      </c>
      <c r="F519" s="10">
        <f>50.7747 * CHOOSE(CONTROL!$C$9, $D$9, 100%, $F$9) + CHOOSE(CONTROL!$C$27, 0.0021, 0)</f>
        <v>50.776800000000001</v>
      </c>
      <c r="G519" s="10">
        <f>51.0461 * CHOOSE(CONTROL!$C$9, $D$9, 100%, $F$9) + CHOOSE(CONTROL!$C$27, 0.0021, 0)</f>
        <v>51.048200000000001</v>
      </c>
      <c r="H519" s="10">
        <f>50.9113 * CHOOSE(CONTROL!$C$9, $D$9, 100%, $F$9) + CHOOSE(CONTROL!$C$27, 0.0021, 0)</f>
        <v>50.913399999999996</v>
      </c>
      <c r="I519" s="10">
        <f>50.9113 * CHOOSE(CONTROL!$C$9, $D$9, 100%, $F$9) + CHOOSE(CONTROL!$C$27, 0.0021, 0)</f>
        <v>50.913399999999996</v>
      </c>
      <c r="J519" s="10">
        <f>50.9113 * CHOOSE(CONTROL!$C$9, $D$9, 100%, $F$9) + CHOOSE(CONTROL!$C$27, 0.0021, 0)</f>
        <v>50.913399999999996</v>
      </c>
      <c r="K519" s="10">
        <f>50.9113 * CHOOSE(CONTROL!$C$9, $D$9, 100%, $F$9) + CHOOSE(CONTROL!$C$27, 0.0021, 0)</f>
        <v>50.913399999999996</v>
      </c>
      <c r="L519" s="10"/>
    </row>
    <row r="520" spans="1:12" ht="15.75" x14ac:dyDescent="0.25">
      <c r="A520" s="13">
        <v>56765</v>
      </c>
      <c r="B520" s="10">
        <f>52.3737 * CHOOSE(CONTROL!$C$9, $D$9, 100%, $F$9) + CHOOSE(CONTROL!$C$27, 0.0021, 0)</f>
        <v>52.375799999999998</v>
      </c>
      <c r="C520" s="10">
        <f>51.9414 * CHOOSE(CONTROL!$C$9, $D$9, 100%, $F$9) + CHOOSE(CONTROL!$C$27, 0.0021, 0)</f>
        <v>51.9435</v>
      </c>
      <c r="D520" s="10">
        <f>51.9414 * CHOOSE(CONTROL!$C$9, $D$9, 100%, $F$9) + CHOOSE(CONTROL!$C$27, 0.0021, 0)</f>
        <v>51.9435</v>
      </c>
      <c r="E520" s="10">
        <f>51.8048 * CHOOSE(CONTROL!$C$9, $D$9, 100%, $F$9) + CHOOSE(CONTROL!$C$27, 0.0021, 0)</f>
        <v>51.806899999999999</v>
      </c>
      <c r="F520" s="10">
        <f>51.8048 * CHOOSE(CONTROL!$C$9, $D$9, 100%, $F$9) + CHOOSE(CONTROL!$C$27, 0.0021, 0)</f>
        <v>51.806899999999999</v>
      </c>
      <c r="G520" s="10">
        <f>52.0762 * CHOOSE(CONTROL!$C$9, $D$9, 100%, $F$9) + CHOOSE(CONTROL!$C$27, 0.0021, 0)</f>
        <v>52.078299999999999</v>
      </c>
      <c r="H520" s="10">
        <f>51.9414 * CHOOSE(CONTROL!$C$9, $D$9, 100%, $F$9) + CHOOSE(CONTROL!$C$27, 0.0021, 0)</f>
        <v>51.9435</v>
      </c>
      <c r="I520" s="10">
        <f>51.9414 * CHOOSE(CONTROL!$C$9, $D$9, 100%, $F$9) + CHOOSE(CONTROL!$C$27, 0.0021, 0)</f>
        <v>51.9435</v>
      </c>
      <c r="J520" s="10">
        <f>51.9414 * CHOOSE(CONTROL!$C$9, $D$9, 100%, $F$9) + CHOOSE(CONTROL!$C$27, 0.0021, 0)</f>
        <v>51.9435</v>
      </c>
      <c r="K520" s="10">
        <f>51.9414 * CHOOSE(CONTROL!$C$9, $D$9, 100%, $F$9) + CHOOSE(CONTROL!$C$27, 0.0021, 0)</f>
        <v>51.9435</v>
      </c>
      <c r="L520" s="10"/>
    </row>
    <row r="521" spans="1:12" ht="15.75" x14ac:dyDescent="0.25">
      <c r="A521" s="13">
        <v>56795</v>
      </c>
      <c r="B521" s="10">
        <f>52.9907 * CHOOSE(CONTROL!$C$9, $D$9, 100%, $F$9) + CHOOSE(CONTROL!$C$27, 0.0021, 0)</f>
        <v>52.992799999999995</v>
      </c>
      <c r="C521" s="10">
        <f>52.5584 * CHOOSE(CONTROL!$C$9, $D$9, 100%, $F$9) + CHOOSE(CONTROL!$C$27, 0.0021, 0)</f>
        <v>52.560499999999998</v>
      </c>
      <c r="D521" s="10">
        <f>52.5584 * CHOOSE(CONTROL!$C$9, $D$9, 100%, $F$9) + CHOOSE(CONTROL!$C$27, 0.0021, 0)</f>
        <v>52.560499999999998</v>
      </c>
      <c r="E521" s="10">
        <f>52.4218 * CHOOSE(CONTROL!$C$9, $D$9, 100%, $F$9) + CHOOSE(CONTROL!$C$27, 0.0021, 0)</f>
        <v>52.423899999999996</v>
      </c>
      <c r="F521" s="10">
        <f>52.4218 * CHOOSE(CONTROL!$C$9, $D$9, 100%, $F$9) + CHOOSE(CONTROL!$C$27, 0.0021, 0)</f>
        <v>52.423899999999996</v>
      </c>
      <c r="G521" s="10">
        <f>52.6931 * CHOOSE(CONTROL!$C$9, $D$9, 100%, $F$9) + CHOOSE(CONTROL!$C$27, 0.0021, 0)</f>
        <v>52.6952</v>
      </c>
      <c r="H521" s="10">
        <f>52.5584 * CHOOSE(CONTROL!$C$9, $D$9, 100%, $F$9) + CHOOSE(CONTROL!$C$27, 0.0021, 0)</f>
        <v>52.560499999999998</v>
      </c>
      <c r="I521" s="10">
        <f>52.5584 * CHOOSE(CONTROL!$C$9, $D$9, 100%, $F$9) + CHOOSE(CONTROL!$C$27, 0.0021, 0)</f>
        <v>52.560499999999998</v>
      </c>
      <c r="J521" s="10">
        <f>52.5584 * CHOOSE(CONTROL!$C$9, $D$9, 100%, $F$9) + CHOOSE(CONTROL!$C$27, 0.0021, 0)</f>
        <v>52.560499999999998</v>
      </c>
      <c r="K521" s="10">
        <f>52.5584 * CHOOSE(CONTROL!$C$9, $D$9, 100%, $F$9) + CHOOSE(CONTROL!$C$27, 0.0021, 0)</f>
        <v>52.560499999999998</v>
      </c>
      <c r="L521" s="10"/>
    </row>
    <row r="522" spans="1:12" ht="15.75" x14ac:dyDescent="0.25">
      <c r="A522" s="13">
        <v>56826</v>
      </c>
      <c r="B522" s="10">
        <f>54.0085 * CHOOSE(CONTROL!$C$9, $D$9, 100%, $F$9) + CHOOSE(CONTROL!$C$27, 0.0021, 0)</f>
        <v>54.010599999999997</v>
      </c>
      <c r="C522" s="10">
        <f>53.5762 * CHOOSE(CONTROL!$C$9, $D$9, 100%, $F$9) + CHOOSE(CONTROL!$C$27, 0.0021, 0)</f>
        <v>53.578299999999999</v>
      </c>
      <c r="D522" s="10">
        <f>53.5762 * CHOOSE(CONTROL!$C$9, $D$9, 100%, $F$9) + CHOOSE(CONTROL!$C$27, 0.0021, 0)</f>
        <v>53.578299999999999</v>
      </c>
      <c r="E522" s="10">
        <f>53.4396 * CHOOSE(CONTROL!$C$9, $D$9, 100%, $F$9) + CHOOSE(CONTROL!$C$27, 0.0021, 0)</f>
        <v>53.441699999999997</v>
      </c>
      <c r="F522" s="10">
        <f>53.4396 * CHOOSE(CONTROL!$C$9, $D$9, 100%, $F$9) + CHOOSE(CONTROL!$C$27, 0.0021, 0)</f>
        <v>53.441699999999997</v>
      </c>
      <c r="G522" s="10">
        <f>53.7109 * CHOOSE(CONTROL!$C$9, $D$9, 100%, $F$9) + CHOOSE(CONTROL!$C$27, 0.0021, 0)</f>
        <v>53.713000000000001</v>
      </c>
      <c r="H522" s="10">
        <f>53.5762 * CHOOSE(CONTROL!$C$9, $D$9, 100%, $F$9) + CHOOSE(CONTROL!$C$27, 0.0021, 0)</f>
        <v>53.578299999999999</v>
      </c>
      <c r="I522" s="10">
        <f>53.5762 * CHOOSE(CONTROL!$C$9, $D$9, 100%, $F$9) + CHOOSE(CONTROL!$C$27, 0.0021, 0)</f>
        <v>53.578299999999999</v>
      </c>
      <c r="J522" s="10">
        <f>53.5762 * CHOOSE(CONTROL!$C$9, $D$9, 100%, $F$9) + CHOOSE(CONTROL!$C$27, 0.0021, 0)</f>
        <v>53.578299999999999</v>
      </c>
      <c r="K522" s="10">
        <f>53.5762 * CHOOSE(CONTROL!$C$9, $D$9, 100%, $F$9) + CHOOSE(CONTROL!$C$27, 0.0021, 0)</f>
        <v>53.578299999999999</v>
      </c>
      <c r="L522" s="10"/>
    </row>
    <row r="523" spans="1:12" ht="15.75" x14ac:dyDescent="0.25">
      <c r="A523" s="13">
        <v>56857</v>
      </c>
      <c r="B523" s="10">
        <f>54.3191 * CHOOSE(CONTROL!$C$9, $D$9, 100%, $F$9) + CHOOSE(CONTROL!$C$27, 0.0021, 0)</f>
        <v>54.321199999999997</v>
      </c>
      <c r="C523" s="10">
        <f>53.8869 * CHOOSE(CONTROL!$C$9, $D$9, 100%, $F$9) + CHOOSE(CONTROL!$C$27, 0.0021, 0)</f>
        <v>53.888999999999996</v>
      </c>
      <c r="D523" s="10">
        <f>53.8869 * CHOOSE(CONTROL!$C$9, $D$9, 100%, $F$9) + CHOOSE(CONTROL!$C$27, 0.0021, 0)</f>
        <v>53.888999999999996</v>
      </c>
      <c r="E523" s="10">
        <f>53.7502 * CHOOSE(CONTROL!$C$9, $D$9, 100%, $F$9) + CHOOSE(CONTROL!$C$27, 0.0021, 0)</f>
        <v>53.752299999999998</v>
      </c>
      <c r="F523" s="10">
        <f>53.7502 * CHOOSE(CONTROL!$C$9, $D$9, 100%, $F$9) + CHOOSE(CONTROL!$C$27, 0.0021, 0)</f>
        <v>53.752299999999998</v>
      </c>
      <c r="G523" s="10">
        <f>54.0216 * CHOOSE(CONTROL!$C$9, $D$9, 100%, $F$9) + CHOOSE(CONTROL!$C$27, 0.0021, 0)</f>
        <v>54.023699999999998</v>
      </c>
      <c r="H523" s="10">
        <f>53.8869 * CHOOSE(CONTROL!$C$9, $D$9, 100%, $F$9) + CHOOSE(CONTROL!$C$27, 0.0021, 0)</f>
        <v>53.888999999999996</v>
      </c>
      <c r="I523" s="10">
        <f>53.8869 * CHOOSE(CONTROL!$C$9, $D$9, 100%, $F$9) + CHOOSE(CONTROL!$C$27, 0.0021, 0)</f>
        <v>53.888999999999996</v>
      </c>
      <c r="J523" s="10">
        <f>53.8869 * CHOOSE(CONTROL!$C$9, $D$9, 100%, $F$9) + CHOOSE(CONTROL!$C$27, 0.0021, 0)</f>
        <v>53.888999999999996</v>
      </c>
      <c r="K523" s="10">
        <f>53.8869 * CHOOSE(CONTROL!$C$9, $D$9, 100%, $F$9) + CHOOSE(CONTROL!$C$27, 0.0021, 0)</f>
        <v>53.888999999999996</v>
      </c>
      <c r="L523" s="10"/>
    </row>
    <row r="524" spans="1:12" ht="15.75" x14ac:dyDescent="0.25">
      <c r="A524" s="13">
        <v>56887</v>
      </c>
      <c r="B524" s="10">
        <f>55.3771 * CHOOSE(CONTROL!$C$9, $D$9, 100%, $F$9) + CHOOSE(CONTROL!$C$27, 0.0021, 0)</f>
        <v>55.379199999999997</v>
      </c>
      <c r="C524" s="10">
        <f>54.9449 * CHOOSE(CONTROL!$C$9, $D$9, 100%, $F$9) + CHOOSE(CONTROL!$C$27, 0.0021, 0)</f>
        <v>54.946999999999996</v>
      </c>
      <c r="D524" s="10">
        <f>54.9449 * CHOOSE(CONTROL!$C$9, $D$9, 100%, $F$9) + CHOOSE(CONTROL!$C$27, 0.0021, 0)</f>
        <v>54.946999999999996</v>
      </c>
      <c r="E524" s="10">
        <f>54.8082 * CHOOSE(CONTROL!$C$9, $D$9, 100%, $F$9) + CHOOSE(CONTROL!$C$27, 0.0021, 0)</f>
        <v>54.810299999999998</v>
      </c>
      <c r="F524" s="10">
        <f>54.8082 * CHOOSE(CONTROL!$C$9, $D$9, 100%, $F$9) + CHOOSE(CONTROL!$C$27, 0.0021, 0)</f>
        <v>54.810299999999998</v>
      </c>
      <c r="G524" s="10">
        <f>55.0796 * CHOOSE(CONTROL!$C$9, $D$9, 100%, $F$9) + CHOOSE(CONTROL!$C$27, 0.0021, 0)</f>
        <v>55.081699999999998</v>
      </c>
      <c r="H524" s="10">
        <f>54.9449 * CHOOSE(CONTROL!$C$9, $D$9, 100%, $F$9) + CHOOSE(CONTROL!$C$27, 0.0021, 0)</f>
        <v>54.946999999999996</v>
      </c>
      <c r="I524" s="10">
        <f>54.9449 * CHOOSE(CONTROL!$C$9, $D$9, 100%, $F$9) + CHOOSE(CONTROL!$C$27, 0.0021, 0)</f>
        <v>54.946999999999996</v>
      </c>
      <c r="J524" s="10">
        <f>54.9449 * CHOOSE(CONTROL!$C$9, $D$9, 100%, $F$9) + CHOOSE(CONTROL!$C$27, 0.0021, 0)</f>
        <v>54.946999999999996</v>
      </c>
      <c r="K524" s="10">
        <f>54.9449 * CHOOSE(CONTROL!$C$9, $D$9, 100%, $F$9) + CHOOSE(CONTROL!$C$27, 0.0021, 0)</f>
        <v>54.946999999999996</v>
      </c>
      <c r="L524" s="10"/>
    </row>
    <row r="525" spans="1:12" ht="15.75" x14ac:dyDescent="0.25">
      <c r="A525" s="13">
        <v>56918</v>
      </c>
      <c r="B525" s="10">
        <f>56.7163 * CHOOSE(CONTROL!$C$9, $D$9, 100%, $F$9) + CHOOSE(CONTROL!$C$27, 0.0021, 0)</f>
        <v>56.718399999999995</v>
      </c>
      <c r="C525" s="10">
        <f>56.2841 * CHOOSE(CONTROL!$C$9, $D$9, 100%, $F$9) + CHOOSE(CONTROL!$C$27, 0.0021, 0)</f>
        <v>56.286200000000001</v>
      </c>
      <c r="D525" s="10">
        <f>56.2841 * CHOOSE(CONTROL!$C$9, $D$9, 100%, $F$9) + CHOOSE(CONTROL!$C$27, 0.0021, 0)</f>
        <v>56.286200000000001</v>
      </c>
      <c r="E525" s="10">
        <f>56.1474 * CHOOSE(CONTROL!$C$9, $D$9, 100%, $F$9) + CHOOSE(CONTROL!$C$27, 0.0021, 0)</f>
        <v>56.149499999999996</v>
      </c>
      <c r="F525" s="10">
        <f>56.1474 * CHOOSE(CONTROL!$C$9, $D$9, 100%, $F$9) + CHOOSE(CONTROL!$C$27, 0.0021, 0)</f>
        <v>56.149499999999996</v>
      </c>
      <c r="G525" s="10">
        <f>56.4188 * CHOOSE(CONTROL!$C$9, $D$9, 100%, $F$9) + CHOOSE(CONTROL!$C$27, 0.0021, 0)</f>
        <v>56.420899999999996</v>
      </c>
      <c r="H525" s="10">
        <f>56.2841 * CHOOSE(CONTROL!$C$9, $D$9, 100%, $F$9) + CHOOSE(CONTROL!$C$27, 0.0021, 0)</f>
        <v>56.286200000000001</v>
      </c>
      <c r="I525" s="10">
        <f>56.2841 * CHOOSE(CONTROL!$C$9, $D$9, 100%, $F$9) + CHOOSE(CONTROL!$C$27, 0.0021, 0)</f>
        <v>56.286200000000001</v>
      </c>
      <c r="J525" s="10">
        <f>56.2841 * CHOOSE(CONTROL!$C$9, $D$9, 100%, $F$9) + CHOOSE(CONTROL!$C$27, 0.0021, 0)</f>
        <v>56.286200000000001</v>
      </c>
      <c r="K525" s="10">
        <f>56.2841 * CHOOSE(CONTROL!$C$9, $D$9, 100%, $F$9) + CHOOSE(CONTROL!$C$27, 0.0021, 0)</f>
        <v>56.286200000000001</v>
      </c>
      <c r="L525" s="10"/>
    </row>
    <row r="526" spans="1:12" ht="15.75" x14ac:dyDescent="0.25">
      <c r="A526" s="13">
        <v>56948</v>
      </c>
      <c r="B526" s="10">
        <f>56.842 * CHOOSE(CONTROL!$C$9, $D$9, 100%, $F$9) + CHOOSE(CONTROL!$C$27, 0.0021, 0)</f>
        <v>56.844099999999997</v>
      </c>
      <c r="C526" s="10">
        <f>56.4098 * CHOOSE(CONTROL!$C$9, $D$9, 100%, $F$9) + CHOOSE(CONTROL!$C$27, 0.0021, 0)</f>
        <v>56.411899999999996</v>
      </c>
      <c r="D526" s="10">
        <f>56.4098 * CHOOSE(CONTROL!$C$9, $D$9, 100%, $F$9) + CHOOSE(CONTROL!$C$27, 0.0021, 0)</f>
        <v>56.411899999999996</v>
      </c>
      <c r="E526" s="10">
        <f>56.2731 * CHOOSE(CONTROL!$C$9, $D$9, 100%, $F$9) + CHOOSE(CONTROL!$C$27, 0.0021, 0)</f>
        <v>56.275199999999998</v>
      </c>
      <c r="F526" s="10">
        <f>56.2731 * CHOOSE(CONTROL!$C$9, $D$9, 100%, $F$9) + CHOOSE(CONTROL!$C$27, 0.0021, 0)</f>
        <v>56.275199999999998</v>
      </c>
      <c r="G526" s="10">
        <f>56.5445 * CHOOSE(CONTROL!$C$9, $D$9, 100%, $F$9) + CHOOSE(CONTROL!$C$27, 0.0021, 0)</f>
        <v>56.546599999999998</v>
      </c>
      <c r="H526" s="10">
        <f>56.4098 * CHOOSE(CONTROL!$C$9, $D$9, 100%, $F$9) + CHOOSE(CONTROL!$C$27, 0.0021, 0)</f>
        <v>56.411899999999996</v>
      </c>
      <c r="I526" s="10">
        <f>56.4098 * CHOOSE(CONTROL!$C$9, $D$9, 100%, $F$9) + CHOOSE(CONTROL!$C$27, 0.0021, 0)</f>
        <v>56.411899999999996</v>
      </c>
      <c r="J526" s="10">
        <f>56.4098 * CHOOSE(CONTROL!$C$9, $D$9, 100%, $F$9) + CHOOSE(CONTROL!$C$27, 0.0021, 0)</f>
        <v>56.411899999999996</v>
      </c>
      <c r="K526" s="10">
        <f>56.4098 * CHOOSE(CONTROL!$C$9, $D$9, 100%, $F$9) + CHOOSE(CONTROL!$C$27, 0.0021, 0)</f>
        <v>56.411899999999996</v>
      </c>
      <c r="L526" s="10"/>
    </row>
    <row r="527" spans="1:12" ht="15.75" x14ac:dyDescent="0.25">
      <c r="A527" s="13">
        <v>56979</v>
      </c>
      <c r="B527" s="10">
        <f>55.7724 * CHOOSE(CONTROL!$C$9, $D$9, 100%, $F$9) + CHOOSE(CONTROL!$C$27, 0.0021, 0)</f>
        <v>55.774499999999996</v>
      </c>
      <c r="C527" s="10">
        <f>55.3402 * CHOOSE(CONTROL!$C$9, $D$9, 100%, $F$9) + CHOOSE(CONTROL!$C$27, 0.0021, 0)</f>
        <v>55.342300000000002</v>
      </c>
      <c r="D527" s="10">
        <f>55.3402 * CHOOSE(CONTROL!$C$9, $D$9, 100%, $F$9) + CHOOSE(CONTROL!$C$27, 0.0021, 0)</f>
        <v>55.342300000000002</v>
      </c>
      <c r="E527" s="10">
        <f>55.2035 * CHOOSE(CONTROL!$C$9, $D$9, 100%, $F$9) + CHOOSE(CONTROL!$C$27, 0.0021, 0)</f>
        <v>55.205599999999997</v>
      </c>
      <c r="F527" s="10">
        <f>55.2035 * CHOOSE(CONTROL!$C$9, $D$9, 100%, $F$9) + CHOOSE(CONTROL!$C$27, 0.0021, 0)</f>
        <v>55.205599999999997</v>
      </c>
      <c r="G527" s="10">
        <f>55.4749 * CHOOSE(CONTROL!$C$9, $D$9, 100%, $F$9) + CHOOSE(CONTROL!$C$27, 0.0021, 0)</f>
        <v>55.476999999999997</v>
      </c>
      <c r="H527" s="10">
        <f>55.3402 * CHOOSE(CONTROL!$C$9, $D$9, 100%, $F$9) + CHOOSE(CONTROL!$C$27, 0.0021, 0)</f>
        <v>55.342300000000002</v>
      </c>
      <c r="I527" s="10">
        <f>55.3402 * CHOOSE(CONTROL!$C$9, $D$9, 100%, $F$9) + CHOOSE(CONTROL!$C$27, 0.0021, 0)</f>
        <v>55.342300000000002</v>
      </c>
      <c r="J527" s="10">
        <f>55.3402 * CHOOSE(CONTROL!$C$9, $D$9, 100%, $F$9) + CHOOSE(CONTROL!$C$27, 0.0021, 0)</f>
        <v>55.342300000000002</v>
      </c>
      <c r="K527" s="10">
        <f>55.3402 * CHOOSE(CONTROL!$C$9, $D$9, 100%, $F$9) + CHOOSE(CONTROL!$C$27, 0.0021, 0)</f>
        <v>55.342300000000002</v>
      </c>
      <c r="L527" s="10"/>
    </row>
    <row r="528" spans="1:12" ht="15.75" x14ac:dyDescent="0.25">
      <c r="A528" s="13">
        <v>57010</v>
      </c>
      <c r="B528" s="10">
        <f>55.0717 * CHOOSE(CONTROL!$C$9, $D$9, 100%, $F$9) + CHOOSE(CONTROL!$C$27, 0.0021, 0)</f>
        <v>55.073799999999999</v>
      </c>
      <c r="C528" s="10">
        <f>54.6395 * CHOOSE(CONTROL!$C$9, $D$9, 100%, $F$9) + CHOOSE(CONTROL!$C$27, 0.0021, 0)</f>
        <v>54.641599999999997</v>
      </c>
      <c r="D528" s="10">
        <f>54.6395 * CHOOSE(CONTROL!$C$9, $D$9, 100%, $F$9) + CHOOSE(CONTROL!$C$27, 0.0021, 0)</f>
        <v>54.641599999999997</v>
      </c>
      <c r="E528" s="10">
        <f>54.5028 * CHOOSE(CONTROL!$C$9, $D$9, 100%, $F$9) + CHOOSE(CONTROL!$C$27, 0.0021, 0)</f>
        <v>54.504899999999999</v>
      </c>
      <c r="F528" s="10">
        <f>54.5028 * CHOOSE(CONTROL!$C$9, $D$9, 100%, $F$9) + CHOOSE(CONTROL!$C$27, 0.0021, 0)</f>
        <v>54.504899999999999</v>
      </c>
      <c r="G528" s="10">
        <f>54.7742 * CHOOSE(CONTROL!$C$9, $D$9, 100%, $F$9) + CHOOSE(CONTROL!$C$27, 0.0021, 0)</f>
        <v>54.776299999999999</v>
      </c>
      <c r="H528" s="10">
        <f>54.6395 * CHOOSE(CONTROL!$C$9, $D$9, 100%, $F$9) + CHOOSE(CONTROL!$C$27, 0.0021, 0)</f>
        <v>54.641599999999997</v>
      </c>
      <c r="I528" s="10">
        <f>54.6395 * CHOOSE(CONTROL!$C$9, $D$9, 100%, $F$9) + CHOOSE(CONTROL!$C$27, 0.0021, 0)</f>
        <v>54.641599999999997</v>
      </c>
      <c r="J528" s="10">
        <f>54.6395 * CHOOSE(CONTROL!$C$9, $D$9, 100%, $F$9) + CHOOSE(CONTROL!$C$27, 0.0021, 0)</f>
        <v>54.641599999999997</v>
      </c>
      <c r="K528" s="10">
        <f>54.6395 * CHOOSE(CONTROL!$C$9, $D$9, 100%, $F$9) + CHOOSE(CONTROL!$C$27, 0.0021, 0)</f>
        <v>54.641599999999997</v>
      </c>
      <c r="L528" s="10"/>
    </row>
    <row r="529" spans="1:12" ht="15.75" x14ac:dyDescent="0.25">
      <c r="A529" s="13">
        <v>57038</v>
      </c>
      <c r="B529" s="10">
        <f>53.5788 * CHOOSE(CONTROL!$C$9, $D$9, 100%, $F$9) + CHOOSE(CONTROL!$C$27, 0.0021, 0)</f>
        <v>53.5809</v>
      </c>
      <c r="C529" s="10">
        <f>53.1466 * CHOOSE(CONTROL!$C$9, $D$9, 100%, $F$9) + CHOOSE(CONTROL!$C$27, 0.0021, 0)</f>
        <v>53.148699999999998</v>
      </c>
      <c r="D529" s="10">
        <f>53.1466 * CHOOSE(CONTROL!$C$9, $D$9, 100%, $F$9) + CHOOSE(CONTROL!$C$27, 0.0021, 0)</f>
        <v>53.148699999999998</v>
      </c>
      <c r="E529" s="10">
        <f>53.0099 * CHOOSE(CONTROL!$C$9, $D$9, 100%, $F$9) + CHOOSE(CONTROL!$C$27, 0.0021, 0)</f>
        <v>53.012</v>
      </c>
      <c r="F529" s="10">
        <f>53.0099 * CHOOSE(CONTROL!$C$9, $D$9, 100%, $F$9) + CHOOSE(CONTROL!$C$27, 0.0021, 0)</f>
        <v>53.012</v>
      </c>
      <c r="G529" s="10">
        <f>53.2813 * CHOOSE(CONTROL!$C$9, $D$9, 100%, $F$9) + CHOOSE(CONTROL!$C$27, 0.0021, 0)</f>
        <v>53.2834</v>
      </c>
      <c r="H529" s="10">
        <f>53.1466 * CHOOSE(CONTROL!$C$9, $D$9, 100%, $F$9) + CHOOSE(CONTROL!$C$27, 0.0021, 0)</f>
        <v>53.148699999999998</v>
      </c>
      <c r="I529" s="10">
        <f>53.1466 * CHOOSE(CONTROL!$C$9, $D$9, 100%, $F$9) + CHOOSE(CONTROL!$C$27, 0.0021, 0)</f>
        <v>53.148699999999998</v>
      </c>
      <c r="J529" s="10">
        <f>53.1466 * CHOOSE(CONTROL!$C$9, $D$9, 100%, $F$9) + CHOOSE(CONTROL!$C$27, 0.0021, 0)</f>
        <v>53.148699999999998</v>
      </c>
      <c r="K529" s="10">
        <f>53.1466 * CHOOSE(CONTROL!$C$9, $D$9, 100%, $F$9) + CHOOSE(CONTROL!$C$27, 0.0021, 0)</f>
        <v>53.148699999999998</v>
      </c>
      <c r="L529" s="10"/>
    </row>
    <row r="530" spans="1:12" ht="15.75" x14ac:dyDescent="0.25">
      <c r="A530" s="13">
        <v>57070</v>
      </c>
      <c r="B530" s="10">
        <f>52.9626 * CHOOSE(CONTROL!$C$9, $D$9, 100%, $F$9) + CHOOSE(CONTROL!$C$27, 0.0021, 0)</f>
        <v>52.964700000000001</v>
      </c>
      <c r="C530" s="10">
        <f>52.5303 * CHOOSE(CONTROL!$C$9, $D$9, 100%, $F$9) + CHOOSE(CONTROL!$C$27, 0.0021, 0)</f>
        <v>52.532399999999996</v>
      </c>
      <c r="D530" s="10">
        <f>52.5303 * CHOOSE(CONTROL!$C$9, $D$9, 100%, $F$9) + CHOOSE(CONTROL!$C$27, 0.0021, 0)</f>
        <v>52.532399999999996</v>
      </c>
      <c r="E530" s="10">
        <f>52.3937 * CHOOSE(CONTROL!$C$9, $D$9, 100%, $F$9) + CHOOSE(CONTROL!$C$27, 0.0021, 0)</f>
        <v>52.395800000000001</v>
      </c>
      <c r="F530" s="10">
        <f>52.3937 * CHOOSE(CONTROL!$C$9, $D$9, 100%, $F$9) + CHOOSE(CONTROL!$C$27, 0.0021, 0)</f>
        <v>52.395800000000001</v>
      </c>
      <c r="G530" s="10">
        <f>52.665 * CHOOSE(CONTROL!$C$9, $D$9, 100%, $F$9) + CHOOSE(CONTROL!$C$27, 0.0021, 0)</f>
        <v>52.667099999999998</v>
      </c>
      <c r="H530" s="10">
        <f>52.5303 * CHOOSE(CONTROL!$C$9, $D$9, 100%, $F$9) + CHOOSE(CONTROL!$C$27, 0.0021, 0)</f>
        <v>52.532399999999996</v>
      </c>
      <c r="I530" s="10">
        <f>52.5303 * CHOOSE(CONTROL!$C$9, $D$9, 100%, $F$9) + CHOOSE(CONTROL!$C$27, 0.0021, 0)</f>
        <v>52.532399999999996</v>
      </c>
      <c r="J530" s="10">
        <f>52.5303 * CHOOSE(CONTROL!$C$9, $D$9, 100%, $F$9) + CHOOSE(CONTROL!$C$27, 0.0021, 0)</f>
        <v>52.532399999999996</v>
      </c>
      <c r="K530" s="10">
        <f>52.5303 * CHOOSE(CONTROL!$C$9, $D$9, 100%, $F$9) + CHOOSE(CONTROL!$C$27, 0.0021, 0)</f>
        <v>52.532399999999996</v>
      </c>
      <c r="L530" s="10"/>
    </row>
    <row r="531" spans="1:12" ht="15.75" x14ac:dyDescent="0.25">
      <c r="A531" s="13">
        <v>57100</v>
      </c>
      <c r="B531" s="10">
        <f>52.2267 * CHOOSE(CONTROL!$C$9, $D$9, 100%, $F$9) + CHOOSE(CONTROL!$C$27, 0.0021, 0)</f>
        <v>52.2288</v>
      </c>
      <c r="C531" s="10">
        <f>51.7945 * CHOOSE(CONTROL!$C$9, $D$9, 100%, $F$9) + CHOOSE(CONTROL!$C$27, 0.0021, 0)</f>
        <v>51.796599999999998</v>
      </c>
      <c r="D531" s="10">
        <f>51.7945 * CHOOSE(CONTROL!$C$9, $D$9, 100%, $F$9) + CHOOSE(CONTROL!$C$27, 0.0021, 0)</f>
        <v>51.796599999999998</v>
      </c>
      <c r="E531" s="10">
        <f>51.6578 * CHOOSE(CONTROL!$C$9, $D$9, 100%, $F$9) + CHOOSE(CONTROL!$C$27, 0.0021, 0)</f>
        <v>51.6599</v>
      </c>
      <c r="F531" s="10">
        <f>51.6578 * CHOOSE(CONTROL!$C$9, $D$9, 100%, $F$9) + CHOOSE(CONTROL!$C$27, 0.0021, 0)</f>
        <v>51.6599</v>
      </c>
      <c r="G531" s="10">
        <f>51.9292 * CHOOSE(CONTROL!$C$9, $D$9, 100%, $F$9) + CHOOSE(CONTROL!$C$27, 0.0021, 0)</f>
        <v>51.9313</v>
      </c>
      <c r="H531" s="10">
        <f>51.7945 * CHOOSE(CONTROL!$C$9, $D$9, 100%, $F$9) + CHOOSE(CONTROL!$C$27, 0.0021, 0)</f>
        <v>51.796599999999998</v>
      </c>
      <c r="I531" s="10">
        <f>51.7945 * CHOOSE(CONTROL!$C$9, $D$9, 100%, $F$9) + CHOOSE(CONTROL!$C$27, 0.0021, 0)</f>
        <v>51.796599999999998</v>
      </c>
      <c r="J531" s="10">
        <f>51.7945 * CHOOSE(CONTROL!$C$9, $D$9, 100%, $F$9) + CHOOSE(CONTROL!$C$27, 0.0021, 0)</f>
        <v>51.796599999999998</v>
      </c>
      <c r="K531" s="10">
        <f>51.7945 * CHOOSE(CONTROL!$C$9, $D$9, 100%, $F$9) + CHOOSE(CONTROL!$C$27, 0.0021, 0)</f>
        <v>51.796599999999998</v>
      </c>
      <c r="L531" s="10"/>
    </row>
    <row r="532" spans="1:12" ht="15.75" x14ac:dyDescent="0.25">
      <c r="A532" s="13">
        <v>57131</v>
      </c>
      <c r="B532" s="10">
        <f>53.2754 * CHOOSE(CONTROL!$C$9, $D$9, 100%, $F$9) + CHOOSE(CONTROL!$C$27, 0.0021, 0)</f>
        <v>53.277499999999996</v>
      </c>
      <c r="C532" s="10">
        <f>52.8431 * CHOOSE(CONTROL!$C$9, $D$9, 100%, $F$9) + CHOOSE(CONTROL!$C$27, 0.0021, 0)</f>
        <v>52.845199999999998</v>
      </c>
      <c r="D532" s="10">
        <f>52.8431 * CHOOSE(CONTROL!$C$9, $D$9, 100%, $F$9) + CHOOSE(CONTROL!$C$27, 0.0021, 0)</f>
        <v>52.845199999999998</v>
      </c>
      <c r="E532" s="10">
        <f>52.7065 * CHOOSE(CONTROL!$C$9, $D$9, 100%, $F$9) + CHOOSE(CONTROL!$C$27, 0.0021, 0)</f>
        <v>52.708599999999997</v>
      </c>
      <c r="F532" s="10">
        <f>52.7065 * CHOOSE(CONTROL!$C$9, $D$9, 100%, $F$9) + CHOOSE(CONTROL!$C$27, 0.0021, 0)</f>
        <v>52.708599999999997</v>
      </c>
      <c r="G532" s="10">
        <f>52.9779 * CHOOSE(CONTROL!$C$9, $D$9, 100%, $F$9) + CHOOSE(CONTROL!$C$27, 0.0021, 0)</f>
        <v>52.98</v>
      </c>
      <c r="H532" s="10">
        <f>52.8431 * CHOOSE(CONTROL!$C$9, $D$9, 100%, $F$9) + CHOOSE(CONTROL!$C$27, 0.0021, 0)</f>
        <v>52.845199999999998</v>
      </c>
      <c r="I532" s="10">
        <f>52.8431 * CHOOSE(CONTROL!$C$9, $D$9, 100%, $F$9) + CHOOSE(CONTROL!$C$27, 0.0021, 0)</f>
        <v>52.845199999999998</v>
      </c>
      <c r="J532" s="10">
        <f>52.8431 * CHOOSE(CONTROL!$C$9, $D$9, 100%, $F$9) + CHOOSE(CONTROL!$C$27, 0.0021, 0)</f>
        <v>52.845199999999998</v>
      </c>
      <c r="K532" s="10">
        <f>52.8431 * CHOOSE(CONTROL!$C$9, $D$9, 100%, $F$9) + CHOOSE(CONTROL!$C$27, 0.0021, 0)</f>
        <v>52.845199999999998</v>
      </c>
      <c r="L532" s="10"/>
    </row>
    <row r="533" spans="1:12" ht="15.75" x14ac:dyDescent="0.25">
      <c r="A533" s="13">
        <v>57161</v>
      </c>
      <c r="B533" s="10">
        <f>53.9035 * CHOOSE(CONTROL!$C$9, $D$9, 100%, $F$9) + CHOOSE(CONTROL!$C$27, 0.0021, 0)</f>
        <v>53.9056</v>
      </c>
      <c r="C533" s="10">
        <f>53.4712 * CHOOSE(CONTROL!$C$9, $D$9, 100%, $F$9) + CHOOSE(CONTROL!$C$27, 0.0021, 0)</f>
        <v>53.473300000000002</v>
      </c>
      <c r="D533" s="10">
        <f>53.4712 * CHOOSE(CONTROL!$C$9, $D$9, 100%, $F$9) + CHOOSE(CONTROL!$C$27, 0.0021, 0)</f>
        <v>53.473300000000002</v>
      </c>
      <c r="E533" s="10">
        <f>53.3346 * CHOOSE(CONTROL!$C$9, $D$9, 100%, $F$9) + CHOOSE(CONTROL!$C$27, 0.0021, 0)</f>
        <v>53.3367</v>
      </c>
      <c r="F533" s="10">
        <f>53.3346 * CHOOSE(CONTROL!$C$9, $D$9, 100%, $F$9) + CHOOSE(CONTROL!$C$27, 0.0021, 0)</f>
        <v>53.3367</v>
      </c>
      <c r="G533" s="10">
        <f>53.606 * CHOOSE(CONTROL!$C$9, $D$9, 100%, $F$9) + CHOOSE(CONTROL!$C$27, 0.0021, 0)</f>
        <v>53.6081</v>
      </c>
      <c r="H533" s="10">
        <f>53.4712 * CHOOSE(CONTROL!$C$9, $D$9, 100%, $F$9) + CHOOSE(CONTROL!$C$27, 0.0021, 0)</f>
        <v>53.473300000000002</v>
      </c>
      <c r="I533" s="10">
        <f>53.4712 * CHOOSE(CONTROL!$C$9, $D$9, 100%, $F$9) + CHOOSE(CONTROL!$C$27, 0.0021, 0)</f>
        <v>53.473300000000002</v>
      </c>
      <c r="J533" s="10">
        <f>53.4712 * CHOOSE(CONTROL!$C$9, $D$9, 100%, $F$9) + CHOOSE(CONTROL!$C$27, 0.0021, 0)</f>
        <v>53.473300000000002</v>
      </c>
      <c r="K533" s="10">
        <f>53.4712 * CHOOSE(CONTROL!$C$9, $D$9, 100%, $F$9) + CHOOSE(CONTROL!$C$27, 0.0021, 0)</f>
        <v>53.473300000000002</v>
      </c>
      <c r="L533" s="10"/>
    </row>
    <row r="534" spans="1:12" ht="15.75" x14ac:dyDescent="0.25">
      <c r="A534" s="13">
        <v>57192</v>
      </c>
      <c r="B534" s="10">
        <f>54.9396 * CHOOSE(CONTROL!$C$9, $D$9, 100%, $F$9) + CHOOSE(CONTROL!$C$27, 0.0021, 0)</f>
        <v>54.941699999999997</v>
      </c>
      <c r="C534" s="10">
        <f>54.5074 * CHOOSE(CONTROL!$C$9, $D$9, 100%, $F$9) + CHOOSE(CONTROL!$C$27, 0.0021, 0)</f>
        <v>54.509499999999996</v>
      </c>
      <c r="D534" s="10">
        <f>54.5074 * CHOOSE(CONTROL!$C$9, $D$9, 100%, $F$9) + CHOOSE(CONTROL!$C$27, 0.0021, 0)</f>
        <v>54.509499999999996</v>
      </c>
      <c r="E534" s="10">
        <f>54.3707 * CHOOSE(CONTROL!$C$9, $D$9, 100%, $F$9) + CHOOSE(CONTROL!$C$27, 0.0021, 0)</f>
        <v>54.372799999999998</v>
      </c>
      <c r="F534" s="10">
        <f>54.3707 * CHOOSE(CONTROL!$C$9, $D$9, 100%, $F$9) + CHOOSE(CONTROL!$C$27, 0.0021, 0)</f>
        <v>54.372799999999998</v>
      </c>
      <c r="G534" s="10">
        <f>54.6421 * CHOOSE(CONTROL!$C$9, $D$9, 100%, $F$9) + CHOOSE(CONTROL!$C$27, 0.0021, 0)</f>
        <v>54.644199999999998</v>
      </c>
      <c r="H534" s="10">
        <f>54.5074 * CHOOSE(CONTROL!$C$9, $D$9, 100%, $F$9) + CHOOSE(CONTROL!$C$27, 0.0021, 0)</f>
        <v>54.509499999999996</v>
      </c>
      <c r="I534" s="10">
        <f>54.5074 * CHOOSE(CONTROL!$C$9, $D$9, 100%, $F$9) + CHOOSE(CONTROL!$C$27, 0.0021, 0)</f>
        <v>54.509499999999996</v>
      </c>
      <c r="J534" s="10">
        <f>54.5074 * CHOOSE(CONTROL!$C$9, $D$9, 100%, $F$9) + CHOOSE(CONTROL!$C$27, 0.0021, 0)</f>
        <v>54.509499999999996</v>
      </c>
      <c r="K534" s="10">
        <f>54.5074 * CHOOSE(CONTROL!$C$9, $D$9, 100%, $F$9) + CHOOSE(CONTROL!$C$27, 0.0021, 0)</f>
        <v>54.509499999999996</v>
      </c>
      <c r="L534" s="10"/>
    </row>
    <row r="535" spans="1:12" ht="15.75" x14ac:dyDescent="0.25">
      <c r="A535" s="13">
        <v>57223</v>
      </c>
      <c r="B535" s="10">
        <f>55.2559 * CHOOSE(CONTROL!$C$9, $D$9, 100%, $F$9) + CHOOSE(CONTROL!$C$27, 0.0021, 0)</f>
        <v>55.257999999999996</v>
      </c>
      <c r="C535" s="10">
        <f>54.8236 * CHOOSE(CONTROL!$C$9, $D$9, 100%, $F$9) + CHOOSE(CONTROL!$C$27, 0.0021, 0)</f>
        <v>54.825699999999998</v>
      </c>
      <c r="D535" s="10">
        <f>54.8236 * CHOOSE(CONTROL!$C$9, $D$9, 100%, $F$9) + CHOOSE(CONTROL!$C$27, 0.0021, 0)</f>
        <v>54.825699999999998</v>
      </c>
      <c r="E535" s="10">
        <f>54.687 * CHOOSE(CONTROL!$C$9, $D$9, 100%, $F$9) + CHOOSE(CONTROL!$C$27, 0.0021, 0)</f>
        <v>54.689099999999996</v>
      </c>
      <c r="F535" s="10">
        <f>54.687 * CHOOSE(CONTROL!$C$9, $D$9, 100%, $F$9) + CHOOSE(CONTROL!$C$27, 0.0021, 0)</f>
        <v>54.689099999999996</v>
      </c>
      <c r="G535" s="10">
        <f>54.9583 * CHOOSE(CONTROL!$C$9, $D$9, 100%, $F$9) + CHOOSE(CONTROL!$C$27, 0.0021, 0)</f>
        <v>54.9604</v>
      </c>
      <c r="H535" s="10">
        <f>54.8236 * CHOOSE(CONTROL!$C$9, $D$9, 100%, $F$9) + CHOOSE(CONTROL!$C$27, 0.0021, 0)</f>
        <v>54.825699999999998</v>
      </c>
      <c r="I535" s="10">
        <f>54.8236 * CHOOSE(CONTROL!$C$9, $D$9, 100%, $F$9) + CHOOSE(CONTROL!$C$27, 0.0021, 0)</f>
        <v>54.825699999999998</v>
      </c>
      <c r="J535" s="10">
        <f>54.8236 * CHOOSE(CONTROL!$C$9, $D$9, 100%, $F$9) + CHOOSE(CONTROL!$C$27, 0.0021, 0)</f>
        <v>54.825699999999998</v>
      </c>
      <c r="K535" s="10">
        <f>54.8236 * CHOOSE(CONTROL!$C$9, $D$9, 100%, $F$9) + CHOOSE(CONTROL!$C$27, 0.0021, 0)</f>
        <v>54.825699999999998</v>
      </c>
      <c r="L535" s="10"/>
    </row>
    <row r="536" spans="1:12" ht="15.75" x14ac:dyDescent="0.25">
      <c r="A536" s="13">
        <v>57253</v>
      </c>
      <c r="B536" s="10">
        <f>56.3329 * CHOOSE(CONTROL!$C$9, $D$9, 100%, $F$9) + CHOOSE(CONTROL!$C$27, 0.0021, 0)</f>
        <v>56.335000000000001</v>
      </c>
      <c r="C536" s="10">
        <f>55.9006 * CHOOSE(CONTROL!$C$9, $D$9, 100%, $F$9) + CHOOSE(CONTROL!$C$27, 0.0021, 0)</f>
        <v>55.902699999999996</v>
      </c>
      <c r="D536" s="10">
        <f>55.9006 * CHOOSE(CONTROL!$C$9, $D$9, 100%, $F$9) + CHOOSE(CONTROL!$C$27, 0.0021, 0)</f>
        <v>55.902699999999996</v>
      </c>
      <c r="E536" s="10">
        <f>55.764 * CHOOSE(CONTROL!$C$9, $D$9, 100%, $F$9) + CHOOSE(CONTROL!$C$27, 0.0021, 0)</f>
        <v>55.766100000000002</v>
      </c>
      <c r="F536" s="10">
        <f>55.764 * CHOOSE(CONTROL!$C$9, $D$9, 100%, $F$9) + CHOOSE(CONTROL!$C$27, 0.0021, 0)</f>
        <v>55.766100000000002</v>
      </c>
      <c r="G536" s="10">
        <f>56.0354 * CHOOSE(CONTROL!$C$9, $D$9, 100%, $F$9) + CHOOSE(CONTROL!$C$27, 0.0021, 0)</f>
        <v>56.037500000000001</v>
      </c>
      <c r="H536" s="10">
        <f>55.9006 * CHOOSE(CONTROL!$C$9, $D$9, 100%, $F$9) + CHOOSE(CONTROL!$C$27, 0.0021, 0)</f>
        <v>55.902699999999996</v>
      </c>
      <c r="I536" s="10">
        <f>55.9006 * CHOOSE(CONTROL!$C$9, $D$9, 100%, $F$9) + CHOOSE(CONTROL!$C$27, 0.0021, 0)</f>
        <v>55.902699999999996</v>
      </c>
      <c r="J536" s="10">
        <f>55.9006 * CHOOSE(CONTROL!$C$9, $D$9, 100%, $F$9) + CHOOSE(CONTROL!$C$27, 0.0021, 0)</f>
        <v>55.902699999999996</v>
      </c>
      <c r="K536" s="10">
        <f>55.9006 * CHOOSE(CONTROL!$C$9, $D$9, 100%, $F$9) + CHOOSE(CONTROL!$C$27, 0.0021, 0)</f>
        <v>55.902699999999996</v>
      </c>
      <c r="L536" s="10"/>
    </row>
    <row r="537" spans="1:12" ht="15.75" x14ac:dyDescent="0.25">
      <c r="A537" s="13">
        <v>57284</v>
      </c>
      <c r="B537" s="10">
        <f>57.6962 * CHOOSE(CONTROL!$C$9, $D$9, 100%, $F$9) + CHOOSE(CONTROL!$C$27, 0.0021, 0)</f>
        <v>57.698299999999996</v>
      </c>
      <c r="C537" s="10">
        <f>57.2639 * CHOOSE(CONTROL!$C$9, $D$9, 100%, $F$9) + CHOOSE(CONTROL!$C$27, 0.0021, 0)</f>
        <v>57.265999999999998</v>
      </c>
      <c r="D537" s="10">
        <f>57.2639 * CHOOSE(CONTROL!$C$9, $D$9, 100%, $F$9) + CHOOSE(CONTROL!$C$27, 0.0021, 0)</f>
        <v>57.265999999999998</v>
      </c>
      <c r="E537" s="10">
        <f>57.1273 * CHOOSE(CONTROL!$C$9, $D$9, 100%, $F$9) + CHOOSE(CONTROL!$C$27, 0.0021, 0)</f>
        <v>57.129399999999997</v>
      </c>
      <c r="F537" s="10">
        <f>57.1273 * CHOOSE(CONTROL!$C$9, $D$9, 100%, $F$9) + CHOOSE(CONTROL!$C$27, 0.0021, 0)</f>
        <v>57.129399999999997</v>
      </c>
      <c r="G537" s="10">
        <f>57.3987 * CHOOSE(CONTROL!$C$9, $D$9, 100%, $F$9) + CHOOSE(CONTROL!$C$27, 0.0021, 0)</f>
        <v>57.400799999999997</v>
      </c>
      <c r="H537" s="10">
        <f>57.2639 * CHOOSE(CONTROL!$C$9, $D$9, 100%, $F$9) + CHOOSE(CONTROL!$C$27, 0.0021, 0)</f>
        <v>57.265999999999998</v>
      </c>
      <c r="I537" s="10">
        <f>57.2639 * CHOOSE(CONTROL!$C$9, $D$9, 100%, $F$9) + CHOOSE(CONTROL!$C$27, 0.0021, 0)</f>
        <v>57.265999999999998</v>
      </c>
      <c r="J537" s="10">
        <f>57.2639 * CHOOSE(CONTROL!$C$9, $D$9, 100%, $F$9) + CHOOSE(CONTROL!$C$27, 0.0021, 0)</f>
        <v>57.265999999999998</v>
      </c>
      <c r="K537" s="10">
        <f>57.2639 * CHOOSE(CONTROL!$C$9, $D$9, 100%, $F$9) + CHOOSE(CONTROL!$C$27, 0.0021, 0)</f>
        <v>57.265999999999998</v>
      </c>
      <c r="L537" s="10"/>
    </row>
    <row r="538" spans="1:12" ht="15.75" x14ac:dyDescent="0.25">
      <c r="A538" s="13">
        <v>57314</v>
      </c>
      <c r="B538" s="10">
        <f>57.8242 * CHOOSE(CONTROL!$C$9, $D$9, 100%, $F$9) + CHOOSE(CONTROL!$C$27, 0.0021, 0)</f>
        <v>57.826299999999996</v>
      </c>
      <c r="C538" s="10">
        <f>57.3919 * CHOOSE(CONTROL!$C$9, $D$9, 100%, $F$9) + CHOOSE(CONTROL!$C$27, 0.0021, 0)</f>
        <v>57.393999999999998</v>
      </c>
      <c r="D538" s="10">
        <f>57.3919 * CHOOSE(CONTROL!$C$9, $D$9, 100%, $F$9) + CHOOSE(CONTROL!$C$27, 0.0021, 0)</f>
        <v>57.393999999999998</v>
      </c>
      <c r="E538" s="10">
        <f>57.2553 * CHOOSE(CONTROL!$C$9, $D$9, 100%, $F$9) + CHOOSE(CONTROL!$C$27, 0.0021, 0)</f>
        <v>57.257399999999997</v>
      </c>
      <c r="F538" s="10">
        <f>57.2553 * CHOOSE(CONTROL!$C$9, $D$9, 100%, $F$9) + CHOOSE(CONTROL!$C$27, 0.0021, 0)</f>
        <v>57.257399999999997</v>
      </c>
      <c r="G538" s="10">
        <f>57.5267 * CHOOSE(CONTROL!$C$9, $D$9, 100%, $F$9) + CHOOSE(CONTROL!$C$27, 0.0021, 0)</f>
        <v>57.528799999999997</v>
      </c>
      <c r="H538" s="10">
        <f>57.3919 * CHOOSE(CONTROL!$C$9, $D$9, 100%, $F$9) + CHOOSE(CONTROL!$C$27, 0.0021, 0)</f>
        <v>57.393999999999998</v>
      </c>
      <c r="I538" s="10">
        <f>57.3919 * CHOOSE(CONTROL!$C$9, $D$9, 100%, $F$9) + CHOOSE(CONTROL!$C$27, 0.0021, 0)</f>
        <v>57.393999999999998</v>
      </c>
      <c r="J538" s="10">
        <f>57.3919 * CHOOSE(CONTROL!$C$9, $D$9, 100%, $F$9) + CHOOSE(CONTROL!$C$27, 0.0021, 0)</f>
        <v>57.393999999999998</v>
      </c>
      <c r="K538" s="10">
        <f>57.3919 * CHOOSE(CONTROL!$C$9, $D$9, 100%, $F$9) + CHOOSE(CONTROL!$C$27, 0.0021, 0)</f>
        <v>57.393999999999998</v>
      </c>
      <c r="L538" s="10"/>
    </row>
    <row r="539" spans="1:12" ht="15.75" x14ac:dyDescent="0.25">
      <c r="A539" s="13">
        <v>57345</v>
      </c>
      <c r="B539" s="10">
        <f>56.7353 * CHOOSE(CONTROL!$C$9, $D$9, 100%, $F$9) + CHOOSE(CONTROL!$C$27, 0.0021, 0)</f>
        <v>56.737400000000001</v>
      </c>
      <c r="C539" s="10">
        <f>56.3031 * CHOOSE(CONTROL!$C$9, $D$9, 100%, $F$9) + CHOOSE(CONTROL!$C$27, 0.0021, 0)</f>
        <v>56.305199999999999</v>
      </c>
      <c r="D539" s="10">
        <f>56.3031 * CHOOSE(CONTROL!$C$9, $D$9, 100%, $F$9) + CHOOSE(CONTROL!$C$27, 0.0021, 0)</f>
        <v>56.305199999999999</v>
      </c>
      <c r="E539" s="10">
        <f>56.1664 * CHOOSE(CONTROL!$C$9, $D$9, 100%, $F$9) + CHOOSE(CONTROL!$C$27, 0.0021, 0)</f>
        <v>56.168500000000002</v>
      </c>
      <c r="F539" s="10">
        <f>56.1664 * CHOOSE(CONTROL!$C$9, $D$9, 100%, $F$9) + CHOOSE(CONTROL!$C$27, 0.0021, 0)</f>
        <v>56.168500000000002</v>
      </c>
      <c r="G539" s="10">
        <f>56.4378 * CHOOSE(CONTROL!$C$9, $D$9, 100%, $F$9) + CHOOSE(CONTROL!$C$27, 0.0021, 0)</f>
        <v>56.439900000000002</v>
      </c>
      <c r="H539" s="10">
        <f>56.3031 * CHOOSE(CONTROL!$C$9, $D$9, 100%, $F$9) + CHOOSE(CONTROL!$C$27, 0.0021, 0)</f>
        <v>56.305199999999999</v>
      </c>
      <c r="I539" s="10">
        <f>56.3031 * CHOOSE(CONTROL!$C$9, $D$9, 100%, $F$9) + CHOOSE(CONTROL!$C$27, 0.0021, 0)</f>
        <v>56.305199999999999</v>
      </c>
      <c r="J539" s="10">
        <f>56.3031 * CHOOSE(CONTROL!$C$9, $D$9, 100%, $F$9) + CHOOSE(CONTROL!$C$27, 0.0021, 0)</f>
        <v>56.305199999999999</v>
      </c>
      <c r="K539" s="10">
        <f>56.3031 * CHOOSE(CONTROL!$C$9, $D$9, 100%, $F$9) + CHOOSE(CONTROL!$C$27, 0.0021, 0)</f>
        <v>56.305199999999999</v>
      </c>
      <c r="L539" s="10"/>
    </row>
    <row r="540" spans="1:12" ht="15.75" x14ac:dyDescent="0.25">
      <c r="A540" s="13">
        <v>57376</v>
      </c>
      <c r="B540" s="10">
        <f>56.022 * CHOOSE(CONTROL!$C$9, $D$9, 100%, $F$9) + CHOOSE(CONTROL!$C$27, 0.0021, 0)</f>
        <v>56.024099999999997</v>
      </c>
      <c r="C540" s="10">
        <f>55.5898 * CHOOSE(CONTROL!$C$9, $D$9, 100%, $F$9) + CHOOSE(CONTROL!$C$27, 0.0021, 0)</f>
        <v>55.591899999999995</v>
      </c>
      <c r="D540" s="10">
        <f>55.5898 * CHOOSE(CONTROL!$C$9, $D$9, 100%, $F$9) + CHOOSE(CONTROL!$C$27, 0.0021, 0)</f>
        <v>55.591899999999995</v>
      </c>
      <c r="E540" s="10">
        <f>55.4531 * CHOOSE(CONTROL!$C$9, $D$9, 100%, $F$9) + CHOOSE(CONTROL!$C$27, 0.0021, 0)</f>
        <v>55.455199999999998</v>
      </c>
      <c r="F540" s="10">
        <f>55.4531 * CHOOSE(CONTROL!$C$9, $D$9, 100%, $F$9) + CHOOSE(CONTROL!$C$27, 0.0021, 0)</f>
        <v>55.455199999999998</v>
      </c>
      <c r="G540" s="10">
        <f>55.7245 * CHOOSE(CONTROL!$C$9, $D$9, 100%, $F$9) + CHOOSE(CONTROL!$C$27, 0.0021, 0)</f>
        <v>55.726599999999998</v>
      </c>
      <c r="H540" s="10">
        <f>55.5898 * CHOOSE(CONTROL!$C$9, $D$9, 100%, $F$9) + CHOOSE(CONTROL!$C$27, 0.0021, 0)</f>
        <v>55.591899999999995</v>
      </c>
      <c r="I540" s="10">
        <f>55.5898 * CHOOSE(CONTROL!$C$9, $D$9, 100%, $F$9) + CHOOSE(CONTROL!$C$27, 0.0021, 0)</f>
        <v>55.591899999999995</v>
      </c>
      <c r="J540" s="10">
        <f>55.5898 * CHOOSE(CONTROL!$C$9, $D$9, 100%, $F$9) + CHOOSE(CONTROL!$C$27, 0.0021, 0)</f>
        <v>55.591899999999995</v>
      </c>
      <c r="K540" s="10">
        <f>55.5898 * CHOOSE(CONTROL!$C$9, $D$9, 100%, $F$9) + CHOOSE(CONTROL!$C$27, 0.0021, 0)</f>
        <v>55.591899999999995</v>
      </c>
      <c r="L540" s="10"/>
    </row>
    <row r="541" spans="1:12" ht="15.75" x14ac:dyDescent="0.25">
      <c r="A541" s="13">
        <v>57404</v>
      </c>
      <c r="B541" s="10">
        <f>54.5022 * CHOOSE(CONTROL!$C$9, $D$9, 100%, $F$9) + CHOOSE(CONTROL!$C$27, 0.0021, 0)</f>
        <v>54.504300000000001</v>
      </c>
      <c r="C541" s="10">
        <f>54.07 * CHOOSE(CONTROL!$C$9, $D$9, 100%, $F$9) + CHOOSE(CONTROL!$C$27, 0.0021, 0)</f>
        <v>54.072099999999999</v>
      </c>
      <c r="D541" s="10">
        <f>54.07 * CHOOSE(CONTROL!$C$9, $D$9, 100%, $F$9) + CHOOSE(CONTROL!$C$27, 0.0021, 0)</f>
        <v>54.072099999999999</v>
      </c>
      <c r="E541" s="10">
        <f>53.9333 * CHOOSE(CONTROL!$C$9, $D$9, 100%, $F$9) + CHOOSE(CONTROL!$C$27, 0.0021, 0)</f>
        <v>53.935400000000001</v>
      </c>
      <c r="F541" s="10">
        <f>53.9333 * CHOOSE(CONTROL!$C$9, $D$9, 100%, $F$9) + CHOOSE(CONTROL!$C$27, 0.0021, 0)</f>
        <v>53.935400000000001</v>
      </c>
      <c r="G541" s="10">
        <f>54.2047 * CHOOSE(CONTROL!$C$9, $D$9, 100%, $F$9) + CHOOSE(CONTROL!$C$27, 0.0021, 0)</f>
        <v>54.206800000000001</v>
      </c>
      <c r="H541" s="10">
        <f>54.07 * CHOOSE(CONTROL!$C$9, $D$9, 100%, $F$9) + CHOOSE(CONTROL!$C$27, 0.0021, 0)</f>
        <v>54.072099999999999</v>
      </c>
      <c r="I541" s="10">
        <f>54.07 * CHOOSE(CONTROL!$C$9, $D$9, 100%, $F$9) + CHOOSE(CONTROL!$C$27, 0.0021, 0)</f>
        <v>54.072099999999999</v>
      </c>
      <c r="J541" s="10">
        <f>54.07 * CHOOSE(CONTROL!$C$9, $D$9, 100%, $F$9) + CHOOSE(CONTROL!$C$27, 0.0021, 0)</f>
        <v>54.072099999999999</v>
      </c>
      <c r="K541" s="10">
        <f>54.07 * CHOOSE(CONTROL!$C$9, $D$9, 100%, $F$9) + CHOOSE(CONTROL!$C$27, 0.0021, 0)</f>
        <v>54.072099999999999</v>
      </c>
      <c r="L541" s="10"/>
    </row>
    <row r="542" spans="1:12" ht="15.75" x14ac:dyDescent="0.25">
      <c r="A542" s="13">
        <v>57435</v>
      </c>
      <c r="B542" s="10">
        <f>53.8749 * CHOOSE(CONTROL!$C$9, $D$9, 100%, $F$9) + CHOOSE(CONTROL!$C$27, 0.0021, 0)</f>
        <v>53.876999999999995</v>
      </c>
      <c r="C542" s="10">
        <f>53.4426 * CHOOSE(CONTROL!$C$9, $D$9, 100%, $F$9) + CHOOSE(CONTROL!$C$27, 0.0021, 0)</f>
        <v>53.444699999999997</v>
      </c>
      <c r="D542" s="10">
        <f>53.4426 * CHOOSE(CONTROL!$C$9, $D$9, 100%, $F$9) + CHOOSE(CONTROL!$C$27, 0.0021, 0)</f>
        <v>53.444699999999997</v>
      </c>
      <c r="E542" s="10">
        <f>53.306 * CHOOSE(CONTROL!$C$9, $D$9, 100%, $F$9) + CHOOSE(CONTROL!$C$27, 0.0021, 0)</f>
        <v>53.308099999999996</v>
      </c>
      <c r="F542" s="10">
        <f>53.306 * CHOOSE(CONTROL!$C$9, $D$9, 100%, $F$9) + CHOOSE(CONTROL!$C$27, 0.0021, 0)</f>
        <v>53.308099999999996</v>
      </c>
      <c r="G542" s="10">
        <f>53.5774 * CHOOSE(CONTROL!$C$9, $D$9, 100%, $F$9) + CHOOSE(CONTROL!$C$27, 0.0021, 0)</f>
        <v>53.579499999999996</v>
      </c>
      <c r="H542" s="10">
        <f>53.4426 * CHOOSE(CONTROL!$C$9, $D$9, 100%, $F$9) + CHOOSE(CONTROL!$C$27, 0.0021, 0)</f>
        <v>53.444699999999997</v>
      </c>
      <c r="I542" s="10">
        <f>53.4426 * CHOOSE(CONTROL!$C$9, $D$9, 100%, $F$9) + CHOOSE(CONTROL!$C$27, 0.0021, 0)</f>
        <v>53.444699999999997</v>
      </c>
      <c r="J542" s="10">
        <f>53.4426 * CHOOSE(CONTROL!$C$9, $D$9, 100%, $F$9) + CHOOSE(CONTROL!$C$27, 0.0021, 0)</f>
        <v>53.444699999999997</v>
      </c>
      <c r="K542" s="10">
        <f>53.4426 * CHOOSE(CONTROL!$C$9, $D$9, 100%, $F$9) + CHOOSE(CONTROL!$C$27, 0.0021, 0)</f>
        <v>53.444699999999997</v>
      </c>
      <c r="L542" s="10"/>
    </row>
    <row r="543" spans="1:12" ht="15.75" x14ac:dyDescent="0.25">
      <c r="A543" s="13">
        <v>57465</v>
      </c>
      <c r="B543" s="10">
        <f>53.1258 * CHOOSE(CONTROL!$C$9, $D$9, 100%, $F$9) + CHOOSE(CONTROL!$C$27, 0.0021, 0)</f>
        <v>53.127899999999997</v>
      </c>
      <c r="C543" s="10">
        <f>52.6936 * CHOOSE(CONTROL!$C$9, $D$9, 100%, $F$9) + CHOOSE(CONTROL!$C$27, 0.0021, 0)</f>
        <v>52.695700000000002</v>
      </c>
      <c r="D543" s="10">
        <f>52.6936 * CHOOSE(CONTROL!$C$9, $D$9, 100%, $F$9) + CHOOSE(CONTROL!$C$27, 0.0021, 0)</f>
        <v>52.695700000000002</v>
      </c>
      <c r="E543" s="10">
        <f>52.5569 * CHOOSE(CONTROL!$C$9, $D$9, 100%, $F$9) + CHOOSE(CONTROL!$C$27, 0.0021, 0)</f>
        <v>52.558999999999997</v>
      </c>
      <c r="F543" s="10">
        <f>52.5569 * CHOOSE(CONTROL!$C$9, $D$9, 100%, $F$9) + CHOOSE(CONTROL!$C$27, 0.0021, 0)</f>
        <v>52.558999999999997</v>
      </c>
      <c r="G543" s="10">
        <f>52.8283 * CHOOSE(CONTROL!$C$9, $D$9, 100%, $F$9) + CHOOSE(CONTROL!$C$27, 0.0021, 0)</f>
        <v>52.830399999999997</v>
      </c>
      <c r="H543" s="10">
        <f>52.6936 * CHOOSE(CONTROL!$C$9, $D$9, 100%, $F$9) + CHOOSE(CONTROL!$C$27, 0.0021, 0)</f>
        <v>52.695700000000002</v>
      </c>
      <c r="I543" s="10">
        <f>52.6936 * CHOOSE(CONTROL!$C$9, $D$9, 100%, $F$9) + CHOOSE(CONTROL!$C$27, 0.0021, 0)</f>
        <v>52.695700000000002</v>
      </c>
      <c r="J543" s="10">
        <f>52.6936 * CHOOSE(CONTROL!$C$9, $D$9, 100%, $F$9) + CHOOSE(CONTROL!$C$27, 0.0021, 0)</f>
        <v>52.695700000000002</v>
      </c>
      <c r="K543" s="10">
        <f>52.6936 * CHOOSE(CONTROL!$C$9, $D$9, 100%, $F$9) + CHOOSE(CONTROL!$C$27, 0.0021, 0)</f>
        <v>52.695700000000002</v>
      </c>
      <c r="L543" s="10"/>
    </row>
    <row r="544" spans="1:12" ht="15.75" x14ac:dyDescent="0.25">
      <c r="A544" s="13">
        <v>57496</v>
      </c>
      <c r="B544" s="10">
        <f>54.1933 * CHOOSE(CONTROL!$C$9, $D$9, 100%, $F$9) + CHOOSE(CONTROL!$C$27, 0.0021, 0)</f>
        <v>54.195399999999999</v>
      </c>
      <c r="C544" s="10">
        <f>53.7611 * CHOOSE(CONTROL!$C$9, $D$9, 100%, $F$9) + CHOOSE(CONTROL!$C$27, 0.0021, 0)</f>
        <v>53.763199999999998</v>
      </c>
      <c r="D544" s="10">
        <f>53.7611 * CHOOSE(CONTROL!$C$9, $D$9, 100%, $F$9) + CHOOSE(CONTROL!$C$27, 0.0021, 0)</f>
        <v>53.763199999999998</v>
      </c>
      <c r="E544" s="10">
        <f>53.6244 * CHOOSE(CONTROL!$C$9, $D$9, 100%, $F$9) + CHOOSE(CONTROL!$C$27, 0.0021, 0)</f>
        <v>53.6265</v>
      </c>
      <c r="F544" s="10">
        <f>53.6244 * CHOOSE(CONTROL!$C$9, $D$9, 100%, $F$9) + CHOOSE(CONTROL!$C$27, 0.0021, 0)</f>
        <v>53.6265</v>
      </c>
      <c r="G544" s="10">
        <f>53.8958 * CHOOSE(CONTROL!$C$9, $D$9, 100%, $F$9) + CHOOSE(CONTROL!$C$27, 0.0021, 0)</f>
        <v>53.8979</v>
      </c>
      <c r="H544" s="10">
        <f>53.7611 * CHOOSE(CONTROL!$C$9, $D$9, 100%, $F$9) + CHOOSE(CONTROL!$C$27, 0.0021, 0)</f>
        <v>53.763199999999998</v>
      </c>
      <c r="I544" s="10">
        <f>53.7611 * CHOOSE(CONTROL!$C$9, $D$9, 100%, $F$9) + CHOOSE(CONTROL!$C$27, 0.0021, 0)</f>
        <v>53.763199999999998</v>
      </c>
      <c r="J544" s="10">
        <f>53.7611 * CHOOSE(CONTROL!$C$9, $D$9, 100%, $F$9) + CHOOSE(CONTROL!$C$27, 0.0021, 0)</f>
        <v>53.763199999999998</v>
      </c>
      <c r="K544" s="10">
        <f>53.7611 * CHOOSE(CONTROL!$C$9, $D$9, 100%, $F$9) + CHOOSE(CONTROL!$C$27, 0.0021, 0)</f>
        <v>53.763199999999998</v>
      </c>
      <c r="L544" s="10"/>
    </row>
    <row r="545" spans="1:12" ht="15.75" x14ac:dyDescent="0.25">
      <c r="A545" s="13">
        <v>57526</v>
      </c>
      <c r="B545" s="10">
        <f>54.8327 * CHOOSE(CONTROL!$C$9, $D$9, 100%, $F$9) + CHOOSE(CONTROL!$C$27, 0.0021, 0)</f>
        <v>54.834800000000001</v>
      </c>
      <c r="C545" s="10">
        <f>54.4005 * CHOOSE(CONTROL!$C$9, $D$9, 100%, $F$9) + CHOOSE(CONTROL!$C$27, 0.0021, 0)</f>
        <v>54.4026</v>
      </c>
      <c r="D545" s="10">
        <f>54.4005 * CHOOSE(CONTROL!$C$9, $D$9, 100%, $F$9) + CHOOSE(CONTROL!$C$27, 0.0021, 0)</f>
        <v>54.4026</v>
      </c>
      <c r="E545" s="10">
        <f>54.2638 * CHOOSE(CONTROL!$C$9, $D$9, 100%, $F$9) + CHOOSE(CONTROL!$C$27, 0.0021, 0)</f>
        <v>54.265900000000002</v>
      </c>
      <c r="F545" s="10">
        <f>54.2638 * CHOOSE(CONTROL!$C$9, $D$9, 100%, $F$9) + CHOOSE(CONTROL!$C$27, 0.0021, 0)</f>
        <v>54.265900000000002</v>
      </c>
      <c r="G545" s="10">
        <f>54.5352 * CHOOSE(CONTROL!$C$9, $D$9, 100%, $F$9) + CHOOSE(CONTROL!$C$27, 0.0021, 0)</f>
        <v>54.537300000000002</v>
      </c>
      <c r="H545" s="10">
        <f>54.4005 * CHOOSE(CONTROL!$C$9, $D$9, 100%, $F$9) + CHOOSE(CONTROL!$C$27, 0.0021, 0)</f>
        <v>54.4026</v>
      </c>
      <c r="I545" s="10">
        <f>54.4005 * CHOOSE(CONTROL!$C$9, $D$9, 100%, $F$9) + CHOOSE(CONTROL!$C$27, 0.0021, 0)</f>
        <v>54.4026</v>
      </c>
      <c r="J545" s="10">
        <f>54.4005 * CHOOSE(CONTROL!$C$9, $D$9, 100%, $F$9) + CHOOSE(CONTROL!$C$27, 0.0021, 0)</f>
        <v>54.4026</v>
      </c>
      <c r="K545" s="10">
        <f>54.4005 * CHOOSE(CONTROL!$C$9, $D$9, 100%, $F$9) + CHOOSE(CONTROL!$C$27, 0.0021, 0)</f>
        <v>54.4026</v>
      </c>
      <c r="L545" s="10"/>
    </row>
    <row r="546" spans="1:12" ht="15.75" x14ac:dyDescent="0.25">
      <c r="A546" s="13">
        <v>57557</v>
      </c>
      <c r="B546" s="10">
        <f>55.8875 * CHOOSE(CONTROL!$C$9, $D$9, 100%, $F$9) + CHOOSE(CONTROL!$C$27, 0.0021, 0)</f>
        <v>55.889600000000002</v>
      </c>
      <c r="C546" s="10">
        <f>55.4553 * CHOOSE(CONTROL!$C$9, $D$9, 100%, $F$9) + CHOOSE(CONTROL!$C$27, 0.0021, 0)</f>
        <v>55.4574</v>
      </c>
      <c r="D546" s="10">
        <f>55.4553 * CHOOSE(CONTROL!$C$9, $D$9, 100%, $F$9) + CHOOSE(CONTROL!$C$27, 0.0021, 0)</f>
        <v>55.4574</v>
      </c>
      <c r="E546" s="10">
        <f>55.3186 * CHOOSE(CONTROL!$C$9, $D$9, 100%, $F$9) + CHOOSE(CONTROL!$C$27, 0.0021, 0)</f>
        <v>55.320700000000002</v>
      </c>
      <c r="F546" s="10">
        <f>55.3186 * CHOOSE(CONTROL!$C$9, $D$9, 100%, $F$9) + CHOOSE(CONTROL!$C$27, 0.0021, 0)</f>
        <v>55.320700000000002</v>
      </c>
      <c r="G546" s="10">
        <f>55.59 * CHOOSE(CONTROL!$C$9, $D$9, 100%, $F$9) + CHOOSE(CONTROL!$C$27, 0.0021, 0)</f>
        <v>55.592100000000002</v>
      </c>
      <c r="H546" s="10">
        <f>55.4553 * CHOOSE(CONTROL!$C$9, $D$9, 100%, $F$9) + CHOOSE(CONTROL!$C$27, 0.0021, 0)</f>
        <v>55.4574</v>
      </c>
      <c r="I546" s="10">
        <f>55.4553 * CHOOSE(CONTROL!$C$9, $D$9, 100%, $F$9) + CHOOSE(CONTROL!$C$27, 0.0021, 0)</f>
        <v>55.4574</v>
      </c>
      <c r="J546" s="10">
        <f>55.4553 * CHOOSE(CONTROL!$C$9, $D$9, 100%, $F$9) + CHOOSE(CONTROL!$C$27, 0.0021, 0)</f>
        <v>55.4574</v>
      </c>
      <c r="K546" s="10">
        <f>55.4553 * CHOOSE(CONTROL!$C$9, $D$9, 100%, $F$9) + CHOOSE(CONTROL!$C$27, 0.0021, 0)</f>
        <v>55.4574</v>
      </c>
      <c r="L546" s="10"/>
    </row>
    <row r="547" spans="1:12" ht="15.75" x14ac:dyDescent="0.25">
      <c r="A547" s="13">
        <v>57588</v>
      </c>
      <c r="B547" s="10">
        <f>56.2095 * CHOOSE(CONTROL!$C$9, $D$9, 100%, $F$9) + CHOOSE(CONTROL!$C$27, 0.0021, 0)</f>
        <v>56.211599999999997</v>
      </c>
      <c r="C547" s="10">
        <f>55.7772 * CHOOSE(CONTROL!$C$9, $D$9, 100%, $F$9) + CHOOSE(CONTROL!$C$27, 0.0021, 0)</f>
        <v>55.779299999999999</v>
      </c>
      <c r="D547" s="10">
        <f>55.7772 * CHOOSE(CONTROL!$C$9, $D$9, 100%, $F$9) + CHOOSE(CONTROL!$C$27, 0.0021, 0)</f>
        <v>55.779299999999999</v>
      </c>
      <c r="E547" s="10">
        <f>55.6406 * CHOOSE(CONTROL!$C$9, $D$9, 100%, $F$9) + CHOOSE(CONTROL!$C$27, 0.0021, 0)</f>
        <v>55.642699999999998</v>
      </c>
      <c r="F547" s="10">
        <f>55.6406 * CHOOSE(CONTROL!$C$9, $D$9, 100%, $F$9) + CHOOSE(CONTROL!$C$27, 0.0021, 0)</f>
        <v>55.642699999999998</v>
      </c>
      <c r="G547" s="10">
        <f>55.9119 * CHOOSE(CONTROL!$C$9, $D$9, 100%, $F$9) + CHOOSE(CONTROL!$C$27, 0.0021, 0)</f>
        <v>55.914000000000001</v>
      </c>
      <c r="H547" s="10">
        <f>55.7772 * CHOOSE(CONTROL!$C$9, $D$9, 100%, $F$9) + CHOOSE(CONTROL!$C$27, 0.0021, 0)</f>
        <v>55.779299999999999</v>
      </c>
      <c r="I547" s="10">
        <f>55.7772 * CHOOSE(CONTROL!$C$9, $D$9, 100%, $F$9) + CHOOSE(CONTROL!$C$27, 0.0021, 0)</f>
        <v>55.779299999999999</v>
      </c>
      <c r="J547" s="10">
        <f>55.7772 * CHOOSE(CONTROL!$C$9, $D$9, 100%, $F$9) + CHOOSE(CONTROL!$C$27, 0.0021, 0)</f>
        <v>55.779299999999999</v>
      </c>
      <c r="K547" s="10">
        <f>55.7772 * CHOOSE(CONTROL!$C$9, $D$9, 100%, $F$9) + CHOOSE(CONTROL!$C$27, 0.0021, 0)</f>
        <v>55.779299999999999</v>
      </c>
      <c r="L547" s="10"/>
    </row>
    <row r="548" spans="1:12" ht="15.75" x14ac:dyDescent="0.25">
      <c r="A548" s="13">
        <v>57618</v>
      </c>
      <c r="B548" s="10">
        <f>57.3059 * CHOOSE(CONTROL!$C$9, $D$9, 100%, $F$9) + CHOOSE(CONTROL!$C$27, 0.0021, 0)</f>
        <v>57.308</v>
      </c>
      <c r="C548" s="10">
        <f>56.8736 * CHOOSE(CONTROL!$C$9, $D$9, 100%, $F$9) + CHOOSE(CONTROL!$C$27, 0.0021, 0)</f>
        <v>56.875700000000002</v>
      </c>
      <c r="D548" s="10">
        <f>56.8736 * CHOOSE(CONTROL!$C$9, $D$9, 100%, $F$9) + CHOOSE(CONTROL!$C$27, 0.0021, 0)</f>
        <v>56.875700000000002</v>
      </c>
      <c r="E548" s="10">
        <f>56.737 * CHOOSE(CONTROL!$C$9, $D$9, 100%, $F$9) + CHOOSE(CONTROL!$C$27, 0.0021, 0)</f>
        <v>56.739100000000001</v>
      </c>
      <c r="F548" s="10">
        <f>56.737 * CHOOSE(CONTROL!$C$9, $D$9, 100%, $F$9) + CHOOSE(CONTROL!$C$27, 0.0021, 0)</f>
        <v>56.739100000000001</v>
      </c>
      <c r="G548" s="10">
        <f>57.0083 * CHOOSE(CONTROL!$C$9, $D$9, 100%, $F$9) + CHOOSE(CONTROL!$C$27, 0.0021, 0)</f>
        <v>57.010399999999997</v>
      </c>
      <c r="H548" s="10">
        <f>56.8736 * CHOOSE(CONTROL!$C$9, $D$9, 100%, $F$9) + CHOOSE(CONTROL!$C$27, 0.0021, 0)</f>
        <v>56.875700000000002</v>
      </c>
      <c r="I548" s="10">
        <f>56.8736 * CHOOSE(CONTROL!$C$9, $D$9, 100%, $F$9) + CHOOSE(CONTROL!$C$27, 0.0021, 0)</f>
        <v>56.875700000000002</v>
      </c>
      <c r="J548" s="10">
        <f>56.8736 * CHOOSE(CONTROL!$C$9, $D$9, 100%, $F$9) + CHOOSE(CONTROL!$C$27, 0.0021, 0)</f>
        <v>56.875700000000002</v>
      </c>
      <c r="K548" s="10">
        <f>56.8736 * CHOOSE(CONTROL!$C$9, $D$9, 100%, $F$9) + CHOOSE(CONTROL!$C$27, 0.0021, 0)</f>
        <v>56.875700000000002</v>
      </c>
      <c r="L548" s="10"/>
    </row>
    <row r="549" spans="1:12" ht="15.75" x14ac:dyDescent="0.25">
      <c r="A549" s="13">
        <v>57649</v>
      </c>
      <c r="B549" s="10">
        <f>58.6937 * CHOOSE(CONTROL!$C$9, $D$9, 100%, $F$9) + CHOOSE(CONTROL!$C$27, 0.0021, 0)</f>
        <v>58.695799999999998</v>
      </c>
      <c r="C549" s="10">
        <f>58.2615 * CHOOSE(CONTROL!$C$9, $D$9, 100%, $F$9) + CHOOSE(CONTROL!$C$27, 0.0021, 0)</f>
        <v>58.263599999999997</v>
      </c>
      <c r="D549" s="10">
        <f>58.2615 * CHOOSE(CONTROL!$C$9, $D$9, 100%, $F$9) + CHOOSE(CONTROL!$C$27, 0.0021, 0)</f>
        <v>58.263599999999997</v>
      </c>
      <c r="E549" s="10">
        <f>58.1248 * CHOOSE(CONTROL!$C$9, $D$9, 100%, $F$9) + CHOOSE(CONTROL!$C$27, 0.0021, 0)</f>
        <v>58.126899999999999</v>
      </c>
      <c r="F549" s="10">
        <f>58.1248 * CHOOSE(CONTROL!$C$9, $D$9, 100%, $F$9) + CHOOSE(CONTROL!$C$27, 0.0021, 0)</f>
        <v>58.126899999999999</v>
      </c>
      <c r="G549" s="10">
        <f>58.3962 * CHOOSE(CONTROL!$C$9, $D$9, 100%, $F$9) + CHOOSE(CONTROL!$C$27, 0.0021, 0)</f>
        <v>58.398299999999999</v>
      </c>
      <c r="H549" s="10">
        <f>58.2615 * CHOOSE(CONTROL!$C$9, $D$9, 100%, $F$9) + CHOOSE(CONTROL!$C$27, 0.0021, 0)</f>
        <v>58.263599999999997</v>
      </c>
      <c r="I549" s="10">
        <f>58.2615 * CHOOSE(CONTROL!$C$9, $D$9, 100%, $F$9) + CHOOSE(CONTROL!$C$27, 0.0021, 0)</f>
        <v>58.263599999999997</v>
      </c>
      <c r="J549" s="10">
        <f>58.2615 * CHOOSE(CONTROL!$C$9, $D$9, 100%, $F$9) + CHOOSE(CONTROL!$C$27, 0.0021, 0)</f>
        <v>58.263599999999997</v>
      </c>
      <c r="K549" s="10">
        <f>58.2615 * CHOOSE(CONTROL!$C$9, $D$9, 100%, $F$9) + CHOOSE(CONTROL!$C$27, 0.0021, 0)</f>
        <v>58.263599999999997</v>
      </c>
      <c r="L549" s="10"/>
    </row>
    <row r="550" spans="1:12" ht="15.75" x14ac:dyDescent="0.25">
      <c r="A550" s="13">
        <v>57679</v>
      </c>
      <c r="B550" s="10">
        <f>58.824 * CHOOSE(CONTROL!$C$9, $D$9, 100%, $F$9) + CHOOSE(CONTROL!$C$27, 0.0021, 0)</f>
        <v>58.826099999999997</v>
      </c>
      <c r="C550" s="10">
        <f>58.3918 * CHOOSE(CONTROL!$C$9, $D$9, 100%, $F$9) + CHOOSE(CONTROL!$C$27, 0.0021, 0)</f>
        <v>58.393900000000002</v>
      </c>
      <c r="D550" s="10">
        <f>58.3918 * CHOOSE(CONTROL!$C$9, $D$9, 100%, $F$9) + CHOOSE(CONTROL!$C$27, 0.0021, 0)</f>
        <v>58.393900000000002</v>
      </c>
      <c r="E550" s="10">
        <f>58.2551 * CHOOSE(CONTROL!$C$9, $D$9, 100%, $F$9) + CHOOSE(CONTROL!$C$27, 0.0021, 0)</f>
        <v>58.257199999999997</v>
      </c>
      <c r="F550" s="10">
        <f>58.2551 * CHOOSE(CONTROL!$C$9, $D$9, 100%, $F$9) + CHOOSE(CONTROL!$C$27, 0.0021, 0)</f>
        <v>58.257199999999997</v>
      </c>
      <c r="G550" s="10">
        <f>58.5265 * CHOOSE(CONTROL!$C$9, $D$9, 100%, $F$9) + CHOOSE(CONTROL!$C$27, 0.0021, 0)</f>
        <v>58.528599999999997</v>
      </c>
      <c r="H550" s="10">
        <f>58.3918 * CHOOSE(CONTROL!$C$9, $D$9, 100%, $F$9) + CHOOSE(CONTROL!$C$27, 0.0021, 0)</f>
        <v>58.393900000000002</v>
      </c>
      <c r="I550" s="10">
        <f>58.3918 * CHOOSE(CONTROL!$C$9, $D$9, 100%, $F$9) + CHOOSE(CONTROL!$C$27, 0.0021, 0)</f>
        <v>58.393900000000002</v>
      </c>
      <c r="J550" s="10">
        <f>58.3918 * CHOOSE(CONTROL!$C$9, $D$9, 100%, $F$9) + CHOOSE(CONTROL!$C$27, 0.0021, 0)</f>
        <v>58.393900000000002</v>
      </c>
      <c r="K550" s="10">
        <f>58.3918 * CHOOSE(CONTROL!$C$9, $D$9, 100%, $F$9) + CHOOSE(CONTROL!$C$27, 0.0021, 0)</f>
        <v>58.393900000000002</v>
      </c>
      <c r="L550" s="10"/>
    </row>
    <row r="551" spans="1:12" ht="15.75" x14ac:dyDescent="0.25">
      <c r="A551" s="13">
        <v>57710</v>
      </c>
      <c r="B551" s="10">
        <f>57.7156 * CHOOSE(CONTROL!$C$9, $D$9, 100%, $F$9) + CHOOSE(CONTROL!$C$27, 0.0021, 0)</f>
        <v>57.717700000000001</v>
      </c>
      <c r="C551" s="10">
        <f>57.2833 * CHOOSE(CONTROL!$C$9, $D$9, 100%, $F$9) + CHOOSE(CONTROL!$C$27, 0.0021, 0)</f>
        <v>57.285399999999996</v>
      </c>
      <c r="D551" s="10">
        <f>57.2833 * CHOOSE(CONTROL!$C$9, $D$9, 100%, $F$9) + CHOOSE(CONTROL!$C$27, 0.0021, 0)</f>
        <v>57.285399999999996</v>
      </c>
      <c r="E551" s="10">
        <f>57.1467 * CHOOSE(CONTROL!$C$9, $D$9, 100%, $F$9) + CHOOSE(CONTROL!$C$27, 0.0021, 0)</f>
        <v>57.148800000000001</v>
      </c>
      <c r="F551" s="10">
        <f>57.1467 * CHOOSE(CONTROL!$C$9, $D$9, 100%, $F$9) + CHOOSE(CONTROL!$C$27, 0.0021, 0)</f>
        <v>57.148800000000001</v>
      </c>
      <c r="G551" s="10">
        <f>57.418 * CHOOSE(CONTROL!$C$9, $D$9, 100%, $F$9) + CHOOSE(CONTROL!$C$27, 0.0021, 0)</f>
        <v>57.420099999999998</v>
      </c>
      <c r="H551" s="10">
        <f>57.2833 * CHOOSE(CONTROL!$C$9, $D$9, 100%, $F$9) + CHOOSE(CONTROL!$C$27, 0.0021, 0)</f>
        <v>57.285399999999996</v>
      </c>
      <c r="I551" s="10">
        <f>57.2833 * CHOOSE(CONTROL!$C$9, $D$9, 100%, $F$9) + CHOOSE(CONTROL!$C$27, 0.0021, 0)</f>
        <v>57.285399999999996</v>
      </c>
      <c r="J551" s="10">
        <f>57.2833 * CHOOSE(CONTROL!$C$9, $D$9, 100%, $F$9) + CHOOSE(CONTROL!$C$27, 0.0021, 0)</f>
        <v>57.285399999999996</v>
      </c>
      <c r="K551" s="10">
        <f>57.2833 * CHOOSE(CONTROL!$C$9, $D$9, 100%, $F$9) + CHOOSE(CONTROL!$C$27, 0.0021, 0)</f>
        <v>57.285399999999996</v>
      </c>
      <c r="L551" s="10"/>
    </row>
    <row r="552" spans="1:12" ht="15.75" x14ac:dyDescent="0.25">
      <c r="A552" s="13">
        <v>57741</v>
      </c>
      <c r="B552" s="10">
        <f>56.9894 * CHOOSE(CONTROL!$C$9, $D$9, 100%, $F$9) + CHOOSE(CONTROL!$C$27, 0.0021, 0)</f>
        <v>56.991500000000002</v>
      </c>
      <c r="C552" s="10">
        <f>56.5572 * CHOOSE(CONTROL!$C$9, $D$9, 100%, $F$9) + CHOOSE(CONTROL!$C$27, 0.0021, 0)</f>
        <v>56.5593</v>
      </c>
      <c r="D552" s="10">
        <f>56.5572 * CHOOSE(CONTROL!$C$9, $D$9, 100%, $F$9) + CHOOSE(CONTROL!$C$27, 0.0021, 0)</f>
        <v>56.5593</v>
      </c>
      <c r="E552" s="10">
        <f>56.4205 * CHOOSE(CONTROL!$C$9, $D$9, 100%, $F$9) + CHOOSE(CONTROL!$C$27, 0.0021, 0)</f>
        <v>56.422599999999996</v>
      </c>
      <c r="F552" s="10">
        <f>56.4205 * CHOOSE(CONTROL!$C$9, $D$9, 100%, $F$9) + CHOOSE(CONTROL!$C$27, 0.0021, 0)</f>
        <v>56.422599999999996</v>
      </c>
      <c r="G552" s="10">
        <f>56.6919 * CHOOSE(CONTROL!$C$9, $D$9, 100%, $F$9) + CHOOSE(CONTROL!$C$27, 0.0021, 0)</f>
        <v>56.693999999999996</v>
      </c>
      <c r="H552" s="10">
        <f>56.5572 * CHOOSE(CONTROL!$C$9, $D$9, 100%, $F$9) + CHOOSE(CONTROL!$C$27, 0.0021, 0)</f>
        <v>56.5593</v>
      </c>
      <c r="I552" s="10">
        <f>56.5572 * CHOOSE(CONTROL!$C$9, $D$9, 100%, $F$9) + CHOOSE(CONTROL!$C$27, 0.0021, 0)</f>
        <v>56.5593</v>
      </c>
      <c r="J552" s="10">
        <f>56.5572 * CHOOSE(CONTROL!$C$9, $D$9, 100%, $F$9) + CHOOSE(CONTROL!$C$27, 0.0021, 0)</f>
        <v>56.5593</v>
      </c>
      <c r="K552" s="10">
        <f>56.5572 * CHOOSE(CONTROL!$C$9, $D$9, 100%, $F$9) + CHOOSE(CONTROL!$C$27, 0.0021, 0)</f>
        <v>56.5593</v>
      </c>
      <c r="L552" s="10"/>
    </row>
    <row r="553" spans="1:12" ht="15.75" x14ac:dyDescent="0.25">
      <c r="A553" s="13">
        <v>57769</v>
      </c>
      <c r="B553" s="10">
        <f>55.4423 * CHOOSE(CONTROL!$C$9, $D$9, 100%, $F$9) + CHOOSE(CONTROL!$C$27, 0.0021, 0)</f>
        <v>55.444400000000002</v>
      </c>
      <c r="C553" s="10">
        <f>55.01 * CHOOSE(CONTROL!$C$9, $D$9, 100%, $F$9) + CHOOSE(CONTROL!$C$27, 0.0021, 0)</f>
        <v>55.012099999999997</v>
      </c>
      <c r="D553" s="10">
        <f>55.01 * CHOOSE(CONTROL!$C$9, $D$9, 100%, $F$9) + CHOOSE(CONTROL!$C$27, 0.0021, 0)</f>
        <v>55.012099999999997</v>
      </c>
      <c r="E553" s="10">
        <f>54.8734 * CHOOSE(CONTROL!$C$9, $D$9, 100%, $F$9) + CHOOSE(CONTROL!$C$27, 0.0021, 0)</f>
        <v>54.875499999999995</v>
      </c>
      <c r="F553" s="10">
        <f>54.8734 * CHOOSE(CONTROL!$C$9, $D$9, 100%, $F$9) + CHOOSE(CONTROL!$C$27, 0.0021, 0)</f>
        <v>54.875499999999995</v>
      </c>
      <c r="G553" s="10">
        <f>55.1447 * CHOOSE(CONTROL!$C$9, $D$9, 100%, $F$9) + CHOOSE(CONTROL!$C$27, 0.0021, 0)</f>
        <v>55.146799999999999</v>
      </c>
      <c r="H553" s="10">
        <f>55.01 * CHOOSE(CONTROL!$C$9, $D$9, 100%, $F$9) + CHOOSE(CONTROL!$C$27, 0.0021, 0)</f>
        <v>55.012099999999997</v>
      </c>
      <c r="I553" s="10">
        <f>55.01 * CHOOSE(CONTROL!$C$9, $D$9, 100%, $F$9) + CHOOSE(CONTROL!$C$27, 0.0021, 0)</f>
        <v>55.012099999999997</v>
      </c>
      <c r="J553" s="10">
        <f>55.01 * CHOOSE(CONTROL!$C$9, $D$9, 100%, $F$9) + CHOOSE(CONTROL!$C$27, 0.0021, 0)</f>
        <v>55.012099999999997</v>
      </c>
      <c r="K553" s="10">
        <f>55.01 * CHOOSE(CONTROL!$C$9, $D$9, 100%, $F$9) + CHOOSE(CONTROL!$C$27, 0.0021, 0)</f>
        <v>55.012099999999997</v>
      </c>
      <c r="L553" s="10"/>
    </row>
    <row r="554" spans="1:12" ht="15.75" x14ac:dyDescent="0.25">
      <c r="A554" s="13">
        <v>57800</v>
      </c>
      <c r="B554" s="10">
        <f>54.8036 * CHOOSE(CONTROL!$C$9, $D$9, 100%, $F$9) + CHOOSE(CONTROL!$C$27, 0.0021, 0)</f>
        <v>54.805700000000002</v>
      </c>
      <c r="C554" s="10">
        <f>54.3714 * CHOOSE(CONTROL!$C$9, $D$9, 100%, $F$9) + CHOOSE(CONTROL!$C$27, 0.0021, 0)</f>
        <v>54.3735</v>
      </c>
      <c r="D554" s="10">
        <f>54.3714 * CHOOSE(CONTROL!$C$9, $D$9, 100%, $F$9) + CHOOSE(CONTROL!$C$27, 0.0021, 0)</f>
        <v>54.3735</v>
      </c>
      <c r="E554" s="10">
        <f>54.2347 * CHOOSE(CONTROL!$C$9, $D$9, 100%, $F$9) + CHOOSE(CONTROL!$C$27, 0.0021, 0)</f>
        <v>54.236799999999995</v>
      </c>
      <c r="F554" s="10">
        <f>54.2347 * CHOOSE(CONTROL!$C$9, $D$9, 100%, $F$9) + CHOOSE(CONTROL!$C$27, 0.0021, 0)</f>
        <v>54.236799999999995</v>
      </c>
      <c r="G554" s="10">
        <f>54.5061 * CHOOSE(CONTROL!$C$9, $D$9, 100%, $F$9) + CHOOSE(CONTROL!$C$27, 0.0021, 0)</f>
        <v>54.508200000000002</v>
      </c>
      <c r="H554" s="10">
        <f>54.3714 * CHOOSE(CONTROL!$C$9, $D$9, 100%, $F$9) + CHOOSE(CONTROL!$C$27, 0.0021, 0)</f>
        <v>54.3735</v>
      </c>
      <c r="I554" s="10">
        <f>54.3714 * CHOOSE(CONTROL!$C$9, $D$9, 100%, $F$9) + CHOOSE(CONTROL!$C$27, 0.0021, 0)</f>
        <v>54.3735</v>
      </c>
      <c r="J554" s="10">
        <f>54.3714 * CHOOSE(CONTROL!$C$9, $D$9, 100%, $F$9) + CHOOSE(CONTROL!$C$27, 0.0021, 0)</f>
        <v>54.3735</v>
      </c>
      <c r="K554" s="10">
        <f>54.3714 * CHOOSE(CONTROL!$C$9, $D$9, 100%, $F$9) + CHOOSE(CONTROL!$C$27, 0.0021, 0)</f>
        <v>54.3735</v>
      </c>
      <c r="L554" s="10"/>
    </row>
    <row r="555" spans="1:12" ht="15.75" x14ac:dyDescent="0.25">
      <c r="A555" s="13">
        <v>57830</v>
      </c>
      <c r="B555" s="10">
        <f>54.0411 * CHOOSE(CONTROL!$C$9, $D$9, 100%, $F$9) + CHOOSE(CONTROL!$C$27, 0.0021, 0)</f>
        <v>54.043199999999999</v>
      </c>
      <c r="C555" s="10">
        <f>53.6088 * CHOOSE(CONTROL!$C$9, $D$9, 100%, $F$9) + CHOOSE(CONTROL!$C$27, 0.0021, 0)</f>
        <v>53.610900000000001</v>
      </c>
      <c r="D555" s="10">
        <f>53.6088 * CHOOSE(CONTROL!$C$9, $D$9, 100%, $F$9) + CHOOSE(CONTROL!$C$27, 0.0021, 0)</f>
        <v>53.610900000000001</v>
      </c>
      <c r="E555" s="10">
        <f>53.4721 * CHOOSE(CONTROL!$C$9, $D$9, 100%, $F$9) + CHOOSE(CONTROL!$C$27, 0.0021, 0)</f>
        <v>53.474199999999996</v>
      </c>
      <c r="F555" s="10">
        <f>53.4721 * CHOOSE(CONTROL!$C$9, $D$9, 100%, $F$9) + CHOOSE(CONTROL!$C$27, 0.0021, 0)</f>
        <v>53.474199999999996</v>
      </c>
      <c r="G555" s="10">
        <f>53.7435 * CHOOSE(CONTROL!$C$9, $D$9, 100%, $F$9) + CHOOSE(CONTROL!$C$27, 0.0021, 0)</f>
        <v>53.745599999999996</v>
      </c>
      <c r="H555" s="10">
        <f>53.6088 * CHOOSE(CONTROL!$C$9, $D$9, 100%, $F$9) + CHOOSE(CONTROL!$C$27, 0.0021, 0)</f>
        <v>53.610900000000001</v>
      </c>
      <c r="I555" s="10">
        <f>53.6088 * CHOOSE(CONTROL!$C$9, $D$9, 100%, $F$9) + CHOOSE(CONTROL!$C$27, 0.0021, 0)</f>
        <v>53.610900000000001</v>
      </c>
      <c r="J555" s="10">
        <f>53.6088 * CHOOSE(CONTROL!$C$9, $D$9, 100%, $F$9) + CHOOSE(CONTROL!$C$27, 0.0021, 0)</f>
        <v>53.610900000000001</v>
      </c>
      <c r="K555" s="10">
        <f>53.6088 * CHOOSE(CONTROL!$C$9, $D$9, 100%, $F$9) + CHOOSE(CONTROL!$C$27, 0.0021, 0)</f>
        <v>53.610900000000001</v>
      </c>
      <c r="L555" s="10"/>
    </row>
    <row r="556" spans="1:12" ht="15.75" x14ac:dyDescent="0.25">
      <c r="A556" s="13">
        <v>57861</v>
      </c>
      <c r="B556" s="10">
        <f>55.1278 * CHOOSE(CONTROL!$C$9, $D$9, 100%, $F$9) + CHOOSE(CONTROL!$C$27, 0.0021, 0)</f>
        <v>55.129899999999999</v>
      </c>
      <c r="C556" s="10">
        <f>54.6956 * CHOOSE(CONTROL!$C$9, $D$9, 100%, $F$9) + CHOOSE(CONTROL!$C$27, 0.0021, 0)</f>
        <v>54.697699999999998</v>
      </c>
      <c r="D556" s="10">
        <f>54.6956 * CHOOSE(CONTROL!$C$9, $D$9, 100%, $F$9) + CHOOSE(CONTROL!$C$27, 0.0021, 0)</f>
        <v>54.697699999999998</v>
      </c>
      <c r="E556" s="10">
        <f>54.5589 * CHOOSE(CONTROL!$C$9, $D$9, 100%, $F$9) + CHOOSE(CONTROL!$C$27, 0.0021, 0)</f>
        <v>54.561</v>
      </c>
      <c r="F556" s="10">
        <f>54.5589 * CHOOSE(CONTROL!$C$9, $D$9, 100%, $F$9) + CHOOSE(CONTROL!$C$27, 0.0021, 0)</f>
        <v>54.561</v>
      </c>
      <c r="G556" s="10">
        <f>54.8303 * CHOOSE(CONTROL!$C$9, $D$9, 100%, $F$9) + CHOOSE(CONTROL!$C$27, 0.0021, 0)</f>
        <v>54.8324</v>
      </c>
      <c r="H556" s="10">
        <f>54.6956 * CHOOSE(CONTROL!$C$9, $D$9, 100%, $F$9) + CHOOSE(CONTROL!$C$27, 0.0021, 0)</f>
        <v>54.697699999999998</v>
      </c>
      <c r="I556" s="10">
        <f>54.6956 * CHOOSE(CONTROL!$C$9, $D$9, 100%, $F$9) + CHOOSE(CONTROL!$C$27, 0.0021, 0)</f>
        <v>54.697699999999998</v>
      </c>
      <c r="J556" s="10">
        <f>54.6956 * CHOOSE(CONTROL!$C$9, $D$9, 100%, $F$9) + CHOOSE(CONTROL!$C$27, 0.0021, 0)</f>
        <v>54.697699999999998</v>
      </c>
      <c r="K556" s="10">
        <f>54.6956 * CHOOSE(CONTROL!$C$9, $D$9, 100%, $F$9) + CHOOSE(CONTROL!$C$27, 0.0021, 0)</f>
        <v>54.697699999999998</v>
      </c>
      <c r="L556" s="10"/>
    </row>
    <row r="557" spans="1:12" ht="15.75" x14ac:dyDescent="0.25">
      <c r="A557" s="13">
        <v>57891</v>
      </c>
      <c r="B557" s="10">
        <f>55.7787 * CHOOSE(CONTROL!$C$9, $D$9, 100%, $F$9) + CHOOSE(CONTROL!$C$27, 0.0021, 0)</f>
        <v>55.780799999999999</v>
      </c>
      <c r="C557" s="10">
        <f>55.3465 * CHOOSE(CONTROL!$C$9, $D$9, 100%, $F$9) + CHOOSE(CONTROL!$C$27, 0.0021, 0)</f>
        <v>55.348599999999998</v>
      </c>
      <c r="D557" s="10">
        <f>55.3465 * CHOOSE(CONTROL!$C$9, $D$9, 100%, $F$9) + CHOOSE(CONTROL!$C$27, 0.0021, 0)</f>
        <v>55.348599999999998</v>
      </c>
      <c r="E557" s="10">
        <f>55.2098 * CHOOSE(CONTROL!$C$9, $D$9, 100%, $F$9) + CHOOSE(CONTROL!$C$27, 0.0021, 0)</f>
        <v>55.2119</v>
      </c>
      <c r="F557" s="10">
        <f>55.2098 * CHOOSE(CONTROL!$C$9, $D$9, 100%, $F$9) + CHOOSE(CONTROL!$C$27, 0.0021, 0)</f>
        <v>55.2119</v>
      </c>
      <c r="G557" s="10">
        <f>55.4812 * CHOOSE(CONTROL!$C$9, $D$9, 100%, $F$9) + CHOOSE(CONTROL!$C$27, 0.0021, 0)</f>
        <v>55.4833</v>
      </c>
      <c r="H557" s="10">
        <f>55.3465 * CHOOSE(CONTROL!$C$9, $D$9, 100%, $F$9) + CHOOSE(CONTROL!$C$27, 0.0021, 0)</f>
        <v>55.348599999999998</v>
      </c>
      <c r="I557" s="10">
        <f>55.3465 * CHOOSE(CONTROL!$C$9, $D$9, 100%, $F$9) + CHOOSE(CONTROL!$C$27, 0.0021, 0)</f>
        <v>55.348599999999998</v>
      </c>
      <c r="J557" s="10">
        <f>55.3465 * CHOOSE(CONTROL!$C$9, $D$9, 100%, $F$9) + CHOOSE(CONTROL!$C$27, 0.0021, 0)</f>
        <v>55.348599999999998</v>
      </c>
      <c r="K557" s="10">
        <f>55.3465 * CHOOSE(CONTROL!$C$9, $D$9, 100%, $F$9) + CHOOSE(CONTROL!$C$27, 0.0021, 0)</f>
        <v>55.348599999999998</v>
      </c>
      <c r="L557" s="10"/>
    </row>
    <row r="558" spans="1:12" ht="15.75" x14ac:dyDescent="0.25">
      <c r="A558" s="13">
        <v>57922</v>
      </c>
      <c r="B558" s="10">
        <f>56.8525 * CHOOSE(CONTROL!$C$9, $D$9, 100%, $F$9) + CHOOSE(CONTROL!$C$27, 0.0021, 0)</f>
        <v>56.854599999999998</v>
      </c>
      <c r="C558" s="10">
        <f>56.4202 * CHOOSE(CONTROL!$C$9, $D$9, 100%, $F$9) + CHOOSE(CONTROL!$C$27, 0.0021, 0)</f>
        <v>56.4223</v>
      </c>
      <c r="D558" s="10">
        <f>56.4202 * CHOOSE(CONTROL!$C$9, $D$9, 100%, $F$9) + CHOOSE(CONTROL!$C$27, 0.0021, 0)</f>
        <v>56.4223</v>
      </c>
      <c r="E558" s="10">
        <f>56.2836 * CHOOSE(CONTROL!$C$9, $D$9, 100%, $F$9) + CHOOSE(CONTROL!$C$27, 0.0021, 0)</f>
        <v>56.285699999999999</v>
      </c>
      <c r="F558" s="10">
        <f>56.2836 * CHOOSE(CONTROL!$C$9, $D$9, 100%, $F$9) + CHOOSE(CONTROL!$C$27, 0.0021, 0)</f>
        <v>56.285699999999999</v>
      </c>
      <c r="G558" s="10">
        <f>56.555 * CHOOSE(CONTROL!$C$9, $D$9, 100%, $F$9) + CHOOSE(CONTROL!$C$27, 0.0021, 0)</f>
        <v>56.557099999999998</v>
      </c>
      <c r="H558" s="10">
        <f>56.4202 * CHOOSE(CONTROL!$C$9, $D$9, 100%, $F$9) + CHOOSE(CONTROL!$C$27, 0.0021, 0)</f>
        <v>56.4223</v>
      </c>
      <c r="I558" s="10">
        <f>56.4202 * CHOOSE(CONTROL!$C$9, $D$9, 100%, $F$9) + CHOOSE(CONTROL!$C$27, 0.0021, 0)</f>
        <v>56.4223</v>
      </c>
      <c r="J558" s="10">
        <f>56.4202 * CHOOSE(CONTROL!$C$9, $D$9, 100%, $F$9) + CHOOSE(CONTROL!$C$27, 0.0021, 0)</f>
        <v>56.4223</v>
      </c>
      <c r="K558" s="10">
        <f>56.4202 * CHOOSE(CONTROL!$C$9, $D$9, 100%, $F$9) + CHOOSE(CONTROL!$C$27, 0.0021, 0)</f>
        <v>56.4223</v>
      </c>
      <c r="L558" s="10"/>
    </row>
    <row r="559" spans="1:12" ht="15.75" x14ac:dyDescent="0.25">
      <c r="A559" s="13">
        <v>57953</v>
      </c>
      <c r="B559" s="10">
        <f>57.1802 * CHOOSE(CONTROL!$C$9, $D$9, 100%, $F$9) + CHOOSE(CONTROL!$C$27, 0.0021, 0)</f>
        <v>57.182299999999998</v>
      </c>
      <c r="C559" s="10">
        <f>56.748 * CHOOSE(CONTROL!$C$9, $D$9, 100%, $F$9) + CHOOSE(CONTROL!$C$27, 0.0021, 0)</f>
        <v>56.750099999999996</v>
      </c>
      <c r="D559" s="10">
        <f>56.748 * CHOOSE(CONTROL!$C$9, $D$9, 100%, $F$9) + CHOOSE(CONTROL!$C$27, 0.0021, 0)</f>
        <v>56.750099999999996</v>
      </c>
      <c r="E559" s="10">
        <f>56.6113 * CHOOSE(CONTROL!$C$9, $D$9, 100%, $F$9) + CHOOSE(CONTROL!$C$27, 0.0021, 0)</f>
        <v>56.613399999999999</v>
      </c>
      <c r="F559" s="10">
        <f>56.6113 * CHOOSE(CONTROL!$C$9, $D$9, 100%, $F$9) + CHOOSE(CONTROL!$C$27, 0.0021, 0)</f>
        <v>56.613399999999999</v>
      </c>
      <c r="G559" s="10">
        <f>56.8827 * CHOOSE(CONTROL!$C$9, $D$9, 100%, $F$9) + CHOOSE(CONTROL!$C$27, 0.0021, 0)</f>
        <v>56.884799999999998</v>
      </c>
      <c r="H559" s="10">
        <f>56.748 * CHOOSE(CONTROL!$C$9, $D$9, 100%, $F$9) + CHOOSE(CONTROL!$C$27, 0.0021, 0)</f>
        <v>56.750099999999996</v>
      </c>
      <c r="I559" s="10">
        <f>56.748 * CHOOSE(CONTROL!$C$9, $D$9, 100%, $F$9) + CHOOSE(CONTROL!$C$27, 0.0021, 0)</f>
        <v>56.750099999999996</v>
      </c>
      <c r="J559" s="10">
        <f>56.748 * CHOOSE(CONTROL!$C$9, $D$9, 100%, $F$9) + CHOOSE(CONTROL!$C$27, 0.0021, 0)</f>
        <v>56.750099999999996</v>
      </c>
      <c r="K559" s="10">
        <f>56.748 * CHOOSE(CONTROL!$C$9, $D$9, 100%, $F$9) + CHOOSE(CONTROL!$C$27, 0.0021, 0)</f>
        <v>56.750099999999996</v>
      </c>
      <c r="L559" s="10"/>
    </row>
    <row r="560" spans="1:12" ht="15.75" x14ac:dyDescent="0.25">
      <c r="A560" s="13">
        <v>57983</v>
      </c>
      <c r="B560" s="10">
        <f>58.2964 * CHOOSE(CONTROL!$C$9, $D$9, 100%, $F$9) + CHOOSE(CONTROL!$C$27, 0.0021, 0)</f>
        <v>58.298499999999997</v>
      </c>
      <c r="C560" s="10">
        <f>57.8641 * CHOOSE(CONTROL!$C$9, $D$9, 100%, $F$9) + CHOOSE(CONTROL!$C$27, 0.0021, 0)</f>
        <v>57.866199999999999</v>
      </c>
      <c r="D560" s="10">
        <f>57.8641 * CHOOSE(CONTROL!$C$9, $D$9, 100%, $F$9) + CHOOSE(CONTROL!$C$27, 0.0021, 0)</f>
        <v>57.866199999999999</v>
      </c>
      <c r="E560" s="10">
        <f>57.7275 * CHOOSE(CONTROL!$C$9, $D$9, 100%, $F$9) + CHOOSE(CONTROL!$C$27, 0.0021, 0)</f>
        <v>57.729599999999998</v>
      </c>
      <c r="F560" s="10">
        <f>57.7275 * CHOOSE(CONTROL!$C$9, $D$9, 100%, $F$9) + CHOOSE(CONTROL!$C$27, 0.0021, 0)</f>
        <v>57.729599999999998</v>
      </c>
      <c r="G560" s="10">
        <f>57.9989 * CHOOSE(CONTROL!$C$9, $D$9, 100%, $F$9) + CHOOSE(CONTROL!$C$27, 0.0021, 0)</f>
        <v>58.000999999999998</v>
      </c>
      <c r="H560" s="10">
        <f>57.8641 * CHOOSE(CONTROL!$C$9, $D$9, 100%, $F$9) + CHOOSE(CONTROL!$C$27, 0.0021, 0)</f>
        <v>57.866199999999999</v>
      </c>
      <c r="I560" s="10">
        <f>57.8641 * CHOOSE(CONTROL!$C$9, $D$9, 100%, $F$9) + CHOOSE(CONTROL!$C$27, 0.0021, 0)</f>
        <v>57.866199999999999</v>
      </c>
      <c r="J560" s="10">
        <f>57.8641 * CHOOSE(CONTROL!$C$9, $D$9, 100%, $F$9) + CHOOSE(CONTROL!$C$27, 0.0021, 0)</f>
        <v>57.866199999999999</v>
      </c>
      <c r="K560" s="10">
        <f>57.8641 * CHOOSE(CONTROL!$C$9, $D$9, 100%, $F$9) + CHOOSE(CONTROL!$C$27, 0.0021, 0)</f>
        <v>57.866199999999999</v>
      </c>
      <c r="L560" s="10"/>
    </row>
    <row r="561" spans="1:12" ht="15.75" x14ac:dyDescent="0.25">
      <c r="A561" s="13">
        <v>58014</v>
      </c>
      <c r="B561" s="10">
        <f>59.7092 * CHOOSE(CONTROL!$C$9, $D$9, 100%, $F$9) + CHOOSE(CONTROL!$C$27, 0.0021, 0)</f>
        <v>59.711300000000001</v>
      </c>
      <c r="C561" s="10">
        <f>59.277 * CHOOSE(CONTROL!$C$9, $D$9, 100%, $F$9) + CHOOSE(CONTROL!$C$27, 0.0021, 0)</f>
        <v>59.2791</v>
      </c>
      <c r="D561" s="10">
        <f>59.277 * CHOOSE(CONTROL!$C$9, $D$9, 100%, $F$9) + CHOOSE(CONTROL!$C$27, 0.0021, 0)</f>
        <v>59.2791</v>
      </c>
      <c r="E561" s="10">
        <f>59.1403 * CHOOSE(CONTROL!$C$9, $D$9, 100%, $F$9) + CHOOSE(CONTROL!$C$27, 0.0021, 0)</f>
        <v>59.142400000000002</v>
      </c>
      <c r="F561" s="10">
        <f>59.1403 * CHOOSE(CONTROL!$C$9, $D$9, 100%, $F$9) + CHOOSE(CONTROL!$C$27, 0.0021, 0)</f>
        <v>59.142400000000002</v>
      </c>
      <c r="G561" s="10">
        <f>59.4117 * CHOOSE(CONTROL!$C$9, $D$9, 100%, $F$9) + CHOOSE(CONTROL!$C$27, 0.0021, 0)</f>
        <v>59.413800000000002</v>
      </c>
      <c r="H561" s="10">
        <f>59.277 * CHOOSE(CONTROL!$C$9, $D$9, 100%, $F$9) + CHOOSE(CONTROL!$C$27, 0.0021, 0)</f>
        <v>59.2791</v>
      </c>
      <c r="I561" s="10">
        <f>59.277 * CHOOSE(CONTROL!$C$9, $D$9, 100%, $F$9) + CHOOSE(CONTROL!$C$27, 0.0021, 0)</f>
        <v>59.2791</v>
      </c>
      <c r="J561" s="10">
        <f>59.277 * CHOOSE(CONTROL!$C$9, $D$9, 100%, $F$9) + CHOOSE(CONTROL!$C$27, 0.0021, 0)</f>
        <v>59.2791</v>
      </c>
      <c r="K561" s="10">
        <f>59.277 * CHOOSE(CONTROL!$C$9, $D$9, 100%, $F$9) + CHOOSE(CONTROL!$C$27, 0.0021, 0)</f>
        <v>59.2791</v>
      </c>
      <c r="L561" s="10"/>
    </row>
    <row r="562" spans="1:12" ht="15.75" x14ac:dyDescent="0.25">
      <c r="A562" s="13">
        <v>58044</v>
      </c>
      <c r="B562" s="10">
        <f>59.8419 * CHOOSE(CONTROL!$C$9, $D$9, 100%, $F$9) + CHOOSE(CONTROL!$C$27, 0.0021, 0)</f>
        <v>59.844000000000001</v>
      </c>
      <c r="C562" s="10">
        <f>59.4096 * CHOOSE(CONTROL!$C$9, $D$9, 100%, $F$9) + CHOOSE(CONTROL!$C$27, 0.0021, 0)</f>
        <v>59.411699999999996</v>
      </c>
      <c r="D562" s="10">
        <f>59.4096 * CHOOSE(CONTROL!$C$9, $D$9, 100%, $F$9) + CHOOSE(CONTROL!$C$27, 0.0021, 0)</f>
        <v>59.411699999999996</v>
      </c>
      <c r="E562" s="10">
        <f>59.273 * CHOOSE(CONTROL!$C$9, $D$9, 100%, $F$9) + CHOOSE(CONTROL!$C$27, 0.0021, 0)</f>
        <v>59.275100000000002</v>
      </c>
      <c r="F562" s="10">
        <f>59.273 * CHOOSE(CONTROL!$C$9, $D$9, 100%, $F$9) + CHOOSE(CONTROL!$C$27, 0.0021, 0)</f>
        <v>59.275100000000002</v>
      </c>
      <c r="G562" s="10">
        <f>59.5443 * CHOOSE(CONTROL!$C$9, $D$9, 100%, $F$9) + CHOOSE(CONTROL!$C$27, 0.0021, 0)</f>
        <v>59.546399999999998</v>
      </c>
      <c r="H562" s="10">
        <f>59.4096 * CHOOSE(CONTROL!$C$9, $D$9, 100%, $F$9) + CHOOSE(CONTROL!$C$27, 0.0021, 0)</f>
        <v>59.411699999999996</v>
      </c>
      <c r="I562" s="10">
        <f>59.4096 * CHOOSE(CONTROL!$C$9, $D$9, 100%, $F$9) + CHOOSE(CONTROL!$C$27, 0.0021, 0)</f>
        <v>59.411699999999996</v>
      </c>
      <c r="J562" s="10">
        <f>59.4096 * CHOOSE(CONTROL!$C$9, $D$9, 100%, $F$9) + CHOOSE(CONTROL!$C$27, 0.0021, 0)</f>
        <v>59.411699999999996</v>
      </c>
      <c r="K562" s="10">
        <f>59.4096 * CHOOSE(CONTROL!$C$9, $D$9, 100%, $F$9) + CHOOSE(CONTROL!$C$27, 0.0021, 0)</f>
        <v>59.411699999999996</v>
      </c>
      <c r="L562" s="10"/>
    </row>
    <row r="563" spans="1:12" ht="15.75" x14ac:dyDescent="0.25">
      <c r="A563" s="13">
        <v>58075</v>
      </c>
      <c r="B563" s="10">
        <f>58.7135 * CHOOSE(CONTROL!$C$9, $D$9, 100%, $F$9) + CHOOSE(CONTROL!$C$27, 0.0021, 0)</f>
        <v>58.715600000000002</v>
      </c>
      <c r="C563" s="10">
        <f>58.2812 * CHOOSE(CONTROL!$C$9, $D$9, 100%, $F$9) + CHOOSE(CONTROL!$C$27, 0.0021, 0)</f>
        <v>58.283299999999997</v>
      </c>
      <c r="D563" s="10">
        <f>58.2812 * CHOOSE(CONTROL!$C$9, $D$9, 100%, $F$9) + CHOOSE(CONTROL!$C$27, 0.0021, 0)</f>
        <v>58.283299999999997</v>
      </c>
      <c r="E563" s="10">
        <f>58.1445 * CHOOSE(CONTROL!$C$9, $D$9, 100%, $F$9) + CHOOSE(CONTROL!$C$27, 0.0021, 0)</f>
        <v>58.146599999999999</v>
      </c>
      <c r="F563" s="10">
        <f>58.1445 * CHOOSE(CONTROL!$C$9, $D$9, 100%, $F$9) + CHOOSE(CONTROL!$C$27, 0.0021, 0)</f>
        <v>58.146599999999999</v>
      </c>
      <c r="G563" s="10">
        <f>58.4159 * CHOOSE(CONTROL!$C$9, $D$9, 100%, $F$9) + CHOOSE(CONTROL!$C$27, 0.0021, 0)</f>
        <v>58.417999999999999</v>
      </c>
      <c r="H563" s="10">
        <f>58.2812 * CHOOSE(CONTROL!$C$9, $D$9, 100%, $F$9) + CHOOSE(CONTROL!$C$27, 0.0021, 0)</f>
        <v>58.283299999999997</v>
      </c>
      <c r="I563" s="10">
        <f>58.2812 * CHOOSE(CONTROL!$C$9, $D$9, 100%, $F$9) + CHOOSE(CONTROL!$C$27, 0.0021, 0)</f>
        <v>58.283299999999997</v>
      </c>
      <c r="J563" s="10">
        <f>58.2812 * CHOOSE(CONTROL!$C$9, $D$9, 100%, $F$9) + CHOOSE(CONTROL!$C$27, 0.0021, 0)</f>
        <v>58.283299999999997</v>
      </c>
      <c r="K563" s="10">
        <f>58.2812 * CHOOSE(CONTROL!$C$9, $D$9, 100%, $F$9) + CHOOSE(CONTROL!$C$27, 0.0021, 0)</f>
        <v>58.283299999999997</v>
      </c>
      <c r="L563" s="10"/>
    </row>
    <row r="564" spans="1:12" ht="15.75" x14ac:dyDescent="0.25">
      <c r="A564" s="13">
        <v>58106</v>
      </c>
      <c r="B564" s="10">
        <f>57.9742 * CHOOSE(CONTROL!$C$9, $D$9, 100%, $F$9) + CHOOSE(CONTROL!$C$27, 0.0021, 0)</f>
        <v>57.976300000000002</v>
      </c>
      <c r="C564" s="10">
        <f>57.542 * CHOOSE(CONTROL!$C$9, $D$9, 100%, $F$9) + CHOOSE(CONTROL!$C$27, 0.0021, 0)</f>
        <v>57.5441</v>
      </c>
      <c r="D564" s="10">
        <f>57.542 * CHOOSE(CONTROL!$C$9, $D$9, 100%, $F$9) + CHOOSE(CONTROL!$C$27, 0.0021, 0)</f>
        <v>57.5441</v>
      </c>
      <c r="E564" s="10">
        <f>57.4053 * CHOOSE(CONTROL!$C$9, $D$9, 100%, $F$9) + CHOOSE(CONTROL!$C$27, 0.0021, 0)</f>
        <v>57.407399999999996</v>
      </c>
      <c r="F564" s="10">
        <f>57.4053 * CHOOSE(CONTROL!$C$9, $D$9, 100%, $F$9) + CHOOSE(CONTROL!$C$27, 0.0021, 0)</f>
        <v>57.407399999999996</v>
      </c>
      <c r="G564" s="10">
        <f>57.6767 * CHOOSE(CONTROL!$C$9, $D$9, 100%, $F$9) + CHOOSE(CONTROL!$C$27, 0.0021, 0)</f>
        <v>57.678799999999995</v>
      </c>
      <c r="H564" s="10">
        <f>57.542 * CHOOSE(CONTROL!$C$9, $D$9, 100%, $F$9) + CHOOSE(CONTROL!$C$27, 0.0021, 0)</f>
        <v>57.5441</v>
      </c>
      <c r="I564" s="10">
        <f>57.542 * CHOOSE(CONTROL!$C$9, $D$9, 100%, $F$9) + CHOOSE(CONTROL!$C$27, 0.0021, 0)</f>
        <v>57.5441</v>
      </c>
      <c r="J564" s="10">
        <f>57.542 * CHOOSE(CONTROL!$C$9, $D$9, 100%, $F$9) + CHOOSE(CONTROL!$C$27, 0.0021, 0)</f>
        <v>57.5441</v>
      </c>
      <c r="K564" s="10">
        <f>57.542 * CHOOSE(CONTROL!$C$9, $D$9, 100%, $F$9) + CHOOSE(CONTROL!$C$27, 0.0021, 0)</f>
        <v>57.5441</v>
      </c>
      <c r="L564" s="10"/>
    </row>
    <row r="565" spans="1:12" ht="15.75" x14ac:dyDescent="0.25">
      <c r="A565" s="13">
        <v>58134</v>
      </c>
      <c r="B565" s="10">
        <f>56.3992 * CHOOSE(CONTROL!$C$9, $D$9, 100%, $F$9) + CHOOSE(CONTROL!$C$27, 0.0021, 0)</f>
        <v>56.401299999999999</v>
      </c>
      <c r="C565" s="10">
        <f>55.967 * CHOOSE(CONTROL!$C$9, $D$9, 100%, $F$9) + CHOOSE(CONTROL!$C$27, 0.0021, 0)</f>
        <v>55.969099999999997</v>
      </c>
      <c r="D565" s="10">
        <f>55.967 * CHOOSE(CONTROL!$C$9, $D$9, 100%, $F$9) + CHOOSE(CONTROL!$C$27, 0.0021, 0)</f>
        <v>55.969099999999997</v>
      </c>
      <c r="E565" s="10">
        <f>55.8303 * CHOOSE(CONTROL!$C$9, $D$9, 100%, $F$9) + CHOOSE(CONTROL!$C$27, 0.0021, 0)</f>
        <v>55.8324</v>
      </c>
      <c r="F565" s="10">
        <f>55.8303 * CHOOSE(CONTROL!$C$9, $D$9, 100%, $F$9) + CHOOSE(CONTROL!$C$27, 0.0021, 0)</f>
        <v>55.8324</v>
      </c>
      <c r="G565" s="10">
        <f>56.1017 * CHOOSE(CONTROL!$C$9, $D$9, 100%, $F$9) + CHOOSE(CONTROL!$C$27, 0.0021, 0)</f>
        <v>56.1038</v>
      </c>
      <c r="H565" s="10">
        <f>55.967 * CHOOSE(CONTROL!$C$9, $D$9, 100%, $F$9) + CHOOSE(CONTROL!$C$27, 0.0021, 0)</f>
        <v>55.969099999999997</v>
      </c>
      <c r="I565" s="10">
        <f>55.967 * CHOOSE(CONTROL!$C$9, $D$9, 100%, $F$9) + CHOOSE(CONTROL!$C$27, 0.0021, 0)</f>
        <v>55.969099999999997</v>
      </c>
      <c r="J565" s="10">
        <f>55.967 * CHOOSE(CONTROL!$C$9, $D$9, 100%, $F$9) + CHOOSE(CONTROL!$C$27, 0.0021, 0)</f>
        <v>55.969099999999997</v>
      </c>
      <c r="K565" s="10">
        <f>55.967 * CHOOSE(CONTROL!$C$9, $D$9, 100%, $F$9) + CHOOSE(CONTROL!$C$27, 0.0021, 0)</f>
        <v>55.969099999999997</v>
      </c>
      <c r="L565" s="10"/>
    </row>
    <row r="566" spans="1:12" ht="15.75" x14ac:dyDescent="0.25">
      <c r="A566" s="13">
        <v>58165</v>
      </c>
      <c r="B566" s="10">
        <f>55.7491 * CHOOSE(CONTROL!$C$9, $D$9, 100%, $F$9) + CHOOSE(CONTROL!$C$27, 0.0021, 0)</f>
        <v>55.751199999999997</v>
      </c>
      <c r="C566" s="10">
        <f>55.3168 * CHOOSE(CONTROL!$C$9, $D$9, 100%, $F$9) + CHOOSE(CONTROL!$C$27, 0.0021, 0)</f>
        <v>55.318899999999999</v>
      </c>
      <c r="D566" s="10">
        <f>55.3168 * CHOOSE(CONTROL!$C$9, $D$9, 100%, $F$9) + CHOOSE(CONTROL!$C$27, 0.0021, 0)</f>
        <v>55.318899999999999</v>
      </c>
      <c r="E566" s="10">
        <f>55.1802 * CHOOSE(CONTROL!$C$9, $D$9, 100%, $F$9) + CHOOSE(CONTROL!$C$27, 0.0021, 0)</f>
        <v>55.182299999999998</v>
      </c>
      <c r="F566" s="10">
        <f>55.1802 * CHOOSE(CONTROL!$C$9, $D$9, 100%, $F$9) + CHOOSE(CONTROL!$C$27, 0.0021, 0)</f>
        <v>55.182299999999998</v>
      </c>
      <c r="G566" s="10">
        <f>55.4515 * CHOOSE(CONTROL!$C$9, $D$9, 100%, $F$9) + CHOOSE(CONTROL!$C$27, 0.0021, 0)</f>
        <v>55.453600000000002</v>
      </c>
      <c r="H566" s="10">
        <f>55.3168 * CHOOSE(CONTROL!$C$9, $D$9, 100%, $F$9) + CHOOSE(CONTROL!$C$27, 0.0021, 0)</f>
        <v>55.318899999999999</v>
      </c>
      <c r="I566" s="10">
        <f>55.3168 * CHOOSE(CONTROL!$C$9, $D$9, 100%, $F$9) + CHOOSE(CONTROL!$C$27, 0.0021, 0)</f>
        <v>55.318899999999999</v>
      </c>
      <c r="J566" s="10">
        <f>55.3168 * CHOOSE(CONTROL!$C$9, $D$9, 100%, $F$9) + CHOOSE(CONTROL!$C$27, 0.0021, 0)</f>
        <v>55.318899999999999</v>
      </c>
      <c r="K566" s="10">
        <f>55.3168 * CHOOSE(CONTROL!$C$9, $D$9, 100%, $F$9) + CHOOSE(CONTROL!$C$27, 0.0021, 0)</f>
        <v>55.318899999999999</v>
      </c>
      <c r="L566" s="10"/>
    </row>
    <row r="567" spans="1:12" ht="15.75" x14ac:dyDescent="0.25">
      <c r="A567" s="13">
        <v>58195</v>
      </c>
      <c r="B567" s="10">
        <f>54.9728 * CHOOSE(CONTROL!$C$9, $D$9, 100%, $F$9) + CHOOSE(CONTROL!$C$27, 0.0021, 0)</f>
        <v>54.974899999999998</v>
      </c>
      <c r="C567" s="10">
        <f>54.5405 * CHOOSE(CONTROL!$C$9, $D$9, 100%, $F$9) + CHOOSE(CONTROL!$C$27, 0.0021, 0)</f>
        <v>54.5426</v>
      </c>
      <c r="D567" s="10">
        <f>54.5405 * CHOOSE(CONTROL!$C$9, $D$9, 100%, $F$9) + CHOOSE(CONTROL!$C$27, 0.0021, 0)</f>
        <v>54.5426</v>
      </c>
      <c r="E567" s="10">
        <f>54.4039 * CHOOSE(CONTROL!$C$9, $D$9, 100%, $F$9) + CHOOSE(CONTROL!$C$27, 0.0021, 0)</f>
        <v>54.405999999999999</v>
      </c>
      <c r="F567" s="10">
        <f>54.4039 * CHOOSE(CONTROL!$C$9, $D$9, 100%, $F$9) + CHOOSE(CONTROL!$C$27, 0.0021, 0)</f>
        <v>54.405999999999999</v>
      </c>
      <c r="G567" s="10">
        <f>54.6753 * CHOOSE(CONTROL!$C$9, $D$9, 100%, $F$9) + CHOOSE(CONTROL!$C$27, 0.0021, 0)</f>
        <v>54.677399999999999</v>
      </c>
      <c r="H567" s="10">
        <f>54.5405 * CHOOSE(CONTROL!$C$9, $D$9, 100%, $F$9) + CHOOSE(CONTROL!$C$27, 0.0021, 0)</f>
        <v>54.5426</v>
      </c>
      <c r="I567" s="10">
        <f>54.5405 * CHOOSE(CONTROL!$C$9, $D$9, 100%, $F$9) + CHOOSE(CONTROL!$C$27, 0.0021, 0)</f>
        <v>54.5426</v>
      </c>
      <c r="J567" s="10">
        <f>54.5405 * CHOOSE(CONTROL!$C$9, $D$9, 100%, $F$9) + CHOOSE(CONTROL!$C$27, 0.0021, 0)</f>
        <v>54.5426</v>
      </c>
      <c r="K567" s="10">
        <f>54.5405 * CHOOSE(CONTROL!$C$9, $D$9, 100%, $F$9) + CHOOSE(CONTROL!$C$27, 0.0021, 0)</f>
        <v>54.5426</v>
      </c>
      <c r="L567" s="10"/>
    </row>
    <row r="568" spans="1:12" ht="15.75" x14ac:dyDescent="0.25">
      <c r="A568" s="13">
        <v>58226</v>
      </c>
      <c r="B568" s="10">
        <f>56.0791 * CHOOSE(CONTROL!$C$9, $D$9, 100%, $F$9) + CHOOSE(CONTROL!$C$27, 0.0021, 0)</f>
        <v>56.081199999999995</v>
      </c>
      <c r="C568" s="10">
        <f>55.6468 * CHOOSE(CONTROL!$C$9, $D$9, 100%, $F$9) + CHOOSE(CONTROL!$C$27, 0.0021, 0)</f>
        <v>55.648899999999998</v>
      </c>
      <c r="D568" s="10">
        <f>55.6468 * CHOOSE(CONTROL!$C$9, $D$9, 100%, $F$9) + CHOOSE(CONTROL!$C$27, 0.0021, 0)</f>
        <v>55.648899999999998</v>
      </c>
      <c r="E568" s="10">
        <f>55.5102 * CHOOSE(CONTROL!$C$9, $D$9, 100%, $F$9) + CHOOSE(CONTROL!$C$27, 0.0021, 0)</f>
        <v>55.512299999999996</v>
      </c>
      <c r="F568" s="10">
        <f>55.5102 * CHOOSE(CONTROL!$C$9, $D$9, 100%, $F$9) + CHOOSE(CONTROL!$C$27, 0.0021, 0)</f>
        <v>55.512299999999996</v>
      </c>
      <c r="G568" s="10">
        <f>55.7816 * CHOOSE(CONTROL!$C$9, $D$9, 100%, $F$9) + CHOOSE(CONTROL!$C$27, 0.0021, 0)</f>
        <v>55.783699999999996</v>
      </c>
      <c r="H568" s="10">
        <f>55.6468 * CHOOSE(CONTROL!$C$9, $D$9, 100%, $F$9) + CHOOSE(CONTROL!$C$27, 0.0021, 0)</f>
        <v>55.648899999999998</v>
      </c>
      <c r="I568" s="10">
        <f>55.6468 * CHOOSE(CONTROL!$C$9, $D$9, 100%, $F$9) + CHOOSE(CONTROL!$C$27, 0.0021, 0)</f>
        <v>55.648899999999998</v>
      </c>
      <c r="J568" s="10">
        <f>55.6468 * CHOOSE(CONTROL!$C$9, $D$9, 100%, $F$9) + CHOOSE(CONTROL!$C$27, 0.0021, 0)</f>
        <v>55.648899999999998</v>
      </c>
      <c r="K568" s="10">
        <f>55.6468 * CHOOSE(CONTROL!$C$9, $D$9, 100%, $F$9) + CHOOSE(CONTROL!$C$27, 0.0021, 0)</f>
        <v>55.648899999999998</v>
      </c>
      <c r="L568" s="10"/>
    </row>
    <row r="569" spans="1:12" ht="15.75" x14ac:dyDescent="0.25">
      <c r="A569" s="13">
        <v>58256</v>
      </c>
      <c r="B569" s="10">
        <f>56.7417 * CHOOSE(CONTROL!$C$9, $D$9, 100%, $F$9) + CHOOSE(CONTROL!$C$27, 0.0021, 0)</f>
        <v>56.7438</v>
      </c>
      <c r="C569" s="10">
        <f>56.3095 * CHOOSE(CONTROL!$C$9, $D$9, 100%, $F$9) + CHOOSE(CONTROL!$C$27, 0.0021, 0)</f>
        <v>56.311599999999999</v>
      </c>
      <c r="D569" s="10">
        <f>56.3095 * CHOOSE(CONTROL!$C$9, $D$9, 100%, $F$9) + CHOOSE(CONTROL!$C$27, 0.0021, 0)</f>
        <v>56.311599999999999</v>
      </c>
      <c r="E569" s="10">
        <f>56.1728 * CHOOSE(CONTROL!$C$9, $D$9, 100%, $F$9) + CHOOSE(CONTROL!$C$27, 0.0021, 0)</f>
        <v>56.174900000000001</v>
      </c>
      <c r="F569" s="10">
        <f>56.1728 * CHOOSE(CONTROL!$C$9, $D$9, 100%, $F$9) + CHOOSE(CONTROL!$C$27, 0.0021, 0)</f>
        <v>56.174900000000001</v>
      </c>
      <c r="G569" s="10">
        <f>56.4442 * CHOOSE(CONTROL!$C$9, $D$9, 100%, $F$9) + CHOOSE(CONTROL!$C$27, 0.0021, 0)</f>
        <v>56.446300000000001</v>
      </c>
      <c r="H569" s="10">
        <f>56.3095 * CHOOSE(CONTROL!$C$9, $D$9, 100%, $F$9) + CHOOSE(CONTROL!$C$27, 0.0021, 0)</f>
        <v>56.311599999999999</v>
      </c>
      <c r="I569" s="10">
        <f>56.3095 * CHOOSE(CONTROL!$C$9, $D$9, 100%, $F$9) + CHOOSE(CONTROL!$C$27, 0.0021, 0)</f>
        <v>56.311599999999999</v>
      </c>
      <c r="J569" s="10">
        <f>56.3095 * CHOOSE(CONTROL!$C$9, $D$9, 100%, $F$9) + CHOOSE(CONTROL!$C$27, 0.0021, 0)</f>
        <v>56.311599999999999</v>
      </c>
      <c r="K569" s="10">
        <f>56.3095 * CHOOSE(CONTROL!$C$9, $D$9, 100%, $F$9) + CHOOSE(CONTROL!$C$27, 0.0021, 0)</f>
        <v>56.311599999999999</v>
      </c>
      <c r="L569" s="10"/>
    </row>
    <row r="570" spans="1:12" ht="15.75" x14ac:dyDescent="0.25">
      <c r="A570" s="13">
        <v>58287</v>
      </c>
      <c r="B570" s="10">
        <f>57.8348 * CHOOSE(CONTROL!$C$9, $D$9, 100%, $F$9) + CHOOSE(CONTROL!$C$27, 0.0021, 0)</f>
        <v>57.8369</v>
      </c>
      <c r="C570" s="10">
        <f>57.4026 * CHOOSE(CONTROL!$C$9, $D$9, 100%, $F$9) + CHOOSE(CONTROL!$C$27, 0.0021, 0)</f>
        <v>57.404699999999998</v>
      </c>
      <c r="D570" s="10">
        <f>57.4026 * CHOOSE(CONTROL!$C$9, $D$9, 100%, $F$9) + CHOOSE(CONTROL!$C$27, 0.0021, 0)</f>
        <v>57.404699999999998</v>
      </c>
      <c r="E570" s="10">
        <f>57.2659 * CHOOSE(CONTROL!$C$9, $D$9, 100%, $F$9) + CHOOSE(CONTROL!$C$27, 0.0021, 0)</f>
        <v>57.268000000000001</v>
      </c>
      <c r="F570" s="10">
        <f>57.2659 * CHOOSE(CONTROL!$C$9, $D$9, 100%, $F$9) + CHOOSE(CONTROL!$C$27, 0.0021, 0)</f>
        <v>57.268000000000001</v>
      </c>
      <c r="G570" s="10">
        <f>57.5373 * CHOOSE(CONTROL!$C$9, $D$9, 100%, $F$9) + CHOOSE(CONTROL!$C$27, 0.0021, 0)</f>
        <v>57.539400000000001</v>
      </c>
      <c r="H570" s="10">
        <f>57.4026 * CHOOSE(CONTROL!$C$9, $D$9, 100%, $F$9) + CHOOSE(CONTROL!$C$27, 0.0021, 0)</f>
        <v>57.404699999999998</v>
      </c>
      <c r="I570" s="10">
        <f>57.4026 * CHOOSE(CONTROL!$C$9, $D$9, 100%, $F$9) + CHOOSE(CONTROL!$C$27, 0.0021, 0)</f>
        <v>57.404699999999998</v>
      </c>
      <c r="J570" s="10">
        <f>57.4026 * CHOOSE(CONTROL!$C$9, $D$9, 100%, $F$9) + CHOOSE(CONTROL!$C$27, 0.0021, 0)</f>
        <v>57.404699999999998</v>
      </c>
      <c r="K570" s="10">
        <f>57.4026 * CHOOSE(CONTROL!$C$9, $D$9, 100%, $F$9) + CHOOSE(CONTROL!$C$27, 0.0021, 0)</f>
        <v>57.404699999999998</v>
      </c>
      <c r="L570" s="10"/>
    </row>
    <row r="571" spans="1:12" ht="15.75" x14ac:dyDescent="0.25">
      <c r="A571" s="13">
        <v>58318</v>
      </c>
      <c r="B571" s="10">
        <f>58.1685 * CHOOSE(CONTROL!$C$9, $D$9, 100%, $F$9) + CHOOSE(CONTROL!$C$27, 0.0021, 0)</f>
        <v>58.1706</v>
      </c>
      <c r="C571" s="10">
        <f>57.7362 * CHOOSE(CONTROL!$C$9, $D$9, 100%, $F$9) + CHOOSE(CONTROL!$C$27, 0.0021, 0)</f>
        <v>57.738299999999995</v>
      </c>
      <c r="D571" s="10">
        <f>57.7362 * CHOOSE(CONTROL!$C$9, $D$9, 100%, $F$9) + CHOOSE(CONTROL!$C$27, 0.0021, 0)</f>
        <v>57.738299999999995</v>
      </c>
      <c r="E571" s="10">
        <f>57.5996 * CHOOSE(CONTROL!$C$9, $D$9, 100%, $F$9) + CHOOSE(CONTROL!$C$27, 0.0021, 0)</f>
        <v>57.601700000000001</v>
      </c>
      <c r="F571" s="10">
        <f>57.5996 * CHOOSE(CONTROL!$C$9, $D$9, 100%, $F$9) + CHOOSE(CONTROL!$C$27, 0.0021, 0)</f>
        <v>57.601700000000001</v>
      </c>
      <c r="G571" s="10">
        <f>57.871 * CHOOSE(CONTROL!$C$9, $D$9, 100%, $F$9) + CHOOSE(CONTROL!$C$27, 0.0021, 0)</f>
        <v>57.873100000000001</v>
      </c>
      <c r="H571" s="10">
        <f>57.7362 * CHOOSE(CONTROL!$C$9, $D$9, 100%, $F$9) + CHOOSE(CONTROL!$C$27, 0.0021, 0)</f>
        <v>57.738299999999995</v>
      </c>
      <c r="I571" s="10">
        <f>57.7362 * CHOOSE(CONTROL!$C$9, $D$9, 100%, $F$9) + CHOOSE(CONTROL!$C$27, 0.0021, 0)</f>
        <v>57.738299999999995</v>
      </c>
      <c r="J571" s="10">
        <f>57.7362 * CHOOSE(CONTROL!$C$9, $D$9, 100%, $F$9) + CHOOSE(CONTROL!$C$27, 0.0021, 0)</f>
        <v>57.738299999999995</v>
      </c>
      <c r="K571" s="10">
        <f>57.7362 * CHOOSE(CONTROL!$C$9, $D$9, 100%, $F$9) + CHOOSE(CONTROL!$C$27, 0.0021, 0)</f>
        <v>57.738299999999995</v>
      </c>
      <c r="L571" s="10"/>
    </row>
    <row r="572" spans="1:12" ht="15.75" x14ac:dyDescent="0.25">
      <c r="A572" s="13">
        <v>58348</v>
      </c>
      <c r="B572" s="10">
        <f>59.3047 * CHOOSE(CONTROL!$C$9, $D$9, 100%, $F$9) + CHOOSE(CONTROL!$C$27, 0.0021, 0)</f>
        <v>59.306799999999996</v>
      </c>
      <c r="C572" s="10">
        <f>58.8725 * CHOOSE(CONTROL!$C$9, $D$9, 100%, $F$9) + CHOOSE(CONTROL!$C$27, 0.0021, 0)</f>
        <v>58.874600000000001</v>
      </c>
      <c r="D572" s="10">
        <f>58.8725 * CHOOSE(CONTROL!$C$9, $D$9, 100%, $F$9) + CHOOSE(CONTROL!$C$27, 0.0021, 0)</f>
        <v>58.874600000000001</v>
      </c>
      <c r="E572" s="10">
        <f>58.7358 * CHOOSE(CONTROL!$C$9, $D$9, 100%, $F$9) + CHOOSE(CONTROL!$C$27, 0.0021, 0)</f>
        <v>58.737899999999996</v>
      </c>
      <c r="F572" s="10">
        <f>58.7358 * CHOOSE(CONTROL!$C$9, $D$9, 100%, $F$9) + CHOOSE(CONTROL!$C$27, 0.0021, 0)</f>
        <v>58.737899999999996</v>
      </c>
      <c r="G572" s="10">
        <f>59.0072 * CHOOSE(CONTROL!$C$9, $D$9, 100%, $F$9) + CHOOSE(CONTROL!$C$27, 0.0021, 0)</f>
        <v>59.009299999999996</v>
      </c>
      <c r="H572" s="10">
        <f>58.8725 * CHOOSE(CONTROL!$C$9, $D$9, 100%, $F$9) + CHOOSE(CONTROL!$C$27, 0.0021, 0)</f>
        <v>58.874600000000001</v>
      </c>
      <c r="I572" s="10">
        <f>58.8725 * CHOOSE(CONTROL!$C$9, $D$9, 100%, $F$9) + CHOOSE(CONTROL!$C$27, 0.0021, 0)</f>
        <v>58.874600000000001</v>
      </c>
      <c r="J572" s="10">
        <f>58.8725 * CHOOSE(CONTROL!$C$9, $D$9, 100%, $F$9) + CHOOSE(CONTROL!$C$27, 0.0021, 0)</f>
        <v>58.874600000000001</v>
      </c>
      <c r="K572" s="10">
        <f>58.8725 * CHOOSE(CONTROL!$C$9, $D$9, 100%, $F$9) + CHOOSE(CONTROL!$C$27, 0.0021, 0)</f>
        <v>58.874600000000001</v>
      </c>
      <c r="L572" s="10"/>
    </row>
    <row r="573" spans="1:12" ht="15.75" x14ac:dyDescent="0.25">
      <c r="A573" s="13">
        <v>58379</v>
      </c>
      <c r="B573" s="10">
        <f>60.743 * CHOOSE(CONTROL!$C$9, $D$9, 100%, $F$9) + CHOOSE(CONTROL!$C$27, 0.0021, 0)</f>
        <v>60.745100000000001</v>
      </c>
      <c r="C573" s="10">
        <f>60.3108 * CHOOSE(CONTROL!$C$9, $D$9, 100%, $F$9) + CHOOSE(CONTROL!$C$27, 0.0021, 0)</f>
        <v>60.312899999999999</v>
      </c>
      <c r="D573" s="10">
        <f>60.3108 * CHOOSE(CONTROL!$C$9, $D$9, 100%, $F$9) + CHOOSE(CONTROL!$C$27, 0.0021, 0)</f>
        <v>60.312899999999999</v>
      </c>
      <c r="E573" s="10">
        <f>60.1741 * CHOOSE(CONTROL!$C$9, $D$9, 100%, $F$9) + CHOOSE(CONTROL!$C$27, 0.0021, 0)</f>
        <v>60.176200000000001</v>
      </c>
      <c r="F573" s="10">
        <f>60.1741 * CHOOSE(CONTROL!$C$9, $D$9, 100%, $F$9) + CHOOSE(CONTROL!$C$27, 0.0021, 0)</f>
        <v>60.176200000000001</v>
      </c>
      <c r="G573" s="10">
        <f>60.4455 * CHOOSE(CONTROL!$C$9, $D$9, 100%, $F$9) + CHOOSE(CONTROL!$C$27, 0.0021, 0)</f>
        <v>60.447600000000001</v>
      </c>
      <c r="H573" s="10">
        <f>60.3108 * CHOOSE(CONTROL!$C$9, $D$9, 100%, $F$9) + CHOOSE(CONTROL!$C$27, 0.0021, 0)</f>
        <v>60.312899999999999</v>
      </c>
      <c r="I573" s="10">
        <f>60.3108 * CHOOSE(CONTROL!$C$9, $D$9, 100%, $F$9) + CHOOSE(CONTROL!$C$27, 0.0021, 0)</f>
        <v>60.312899999999999</v>
      </c>
      <c r="J573" s="10">
        <f>60.3108 * CHOOSE(CONTROL!$C$9, $D$9, 100%, $F$9) + CHOOSE(CONTROL!$C$27, 0.0021, 0)</f>
        <v>60.312899999999999</v>
      </c>
      <c r="K573" s="10">
        <f>60.3108 * CHOOSE(CONTROL!$C$9, $D$9, 100%, $F$9) + CHOOSE(CONTROL!$C$27, 0.0021, 0)</f>
        <v>60.312899999999999</v>
      </c>
      <c r="L573" s="10"/>
    </row>
    <row r="574" spans="1:12" ht="15.75" x14ac:dyDescent="0.25">
      <c r="A574" s="13">
        <v>58409</v>
      </c>
      <c r="B574" s="10">
        <f>60.878 * CHOOSE(CONTROL!$C$9, $D$9, 100%, $F$9) + CHOOSE(CONTROL!$C$27, 0.0021, 0)</f>
        <v>60.880099999999999</v>
      </c>
      <c r="C574" s="10">
        <f>60.4458 * CHOOSE(CONTROL!$C$9, $D$9, 100%, $F$9) + CHOOSE(CONTROL!$C$27, 0.0021, 0)</f>
        <v>60.447899999999997</v>
      </c>
      <c r="D574" s="10">
        <f>60.4458 * CHOOSE(CONTROL!$C$9, $D$9, 100%, $F$9) + CHOOSE(CONTROL!$C$27, 0.0021, 0)</f>
        <v>60.447899999999997</v>
      </c>
      <c r="E574" s="10">
        <f>60.3091 * CHOOSE(CONTROL!$C$9, $D$9, 100%, $F$9) + CHOOSE(CONTROL!$C$27, 0.0021, 0)</f>
        <v>60.311199999999999</v>
      </c>
      <c r="F574" s="10">
        <f>60.3091 * CHOOSE(CONTROL!$C$9, $D$9, 100%, $F$9) + CHOOSE(CONTROL!$C$27, 0.0021, 0)</f>
        <v>60.311199999999999</v>
      </c>
      <c r="G574" s="10">
        <f>60.5805 * CHOOSE(CONTROL!$C$9, $D$9, 100%, $F$9) + CHOOSE(CONTROL!$C$27, 0.0021, 0)</f>
        <v>60.582599999999999</v>
      </c>
      <c r="H574" s="10">
        <f>60.4458 * CHOOSE(CONTROL!$C$9, $D$9, 100%, $F$9) + CHOOSE(CONTROL!$C$27, 0.0021, 0)</f>
        <v>60.447899999999997</v>
      </c>
      <c r="I574" s="10">
        <f>60.4458 * CHOOSE(CONTROL!$C$9, $D$9, 100%, $F$9) + CHOOSE(CONTROL!$C$27, 0.0021, 0)</f>
        <v>60.447899999999997</v>
      </c>
      <c r="J574" s="10">
        <f>60.4458 * CHOOSE(CONTROL!$C$9, $D$9, 100%, $F$9) + CHOOSE(CONTROL!$C$27, 0.0021, 0)</f>
        <v>60.447899999999997</v>
      </c>
      <c r="K574" s="10">
        <f>60.4458 * CHOOSE(CONTROL!$C$9, $D$9, 100%, $F$9) + CHOOSE(CONTROL!$C$27, 0.0021, 0)</f>
        <v>60.447899999999997</v>
      </c>
      <c r="L574" s="10"/>
    </row>
    <row r="575" spans="1:12" ht="15.75" x14ac:dyDescent="0.25">
      <c r="A575" s="13">
        <v>58440</v>
      </c>
      <c r="B575" s="10">
        <f>59.7293 * CHOOSE(CONTROL!$C$9, $D$9, 100%, $F$9) + CHOOSE(CONTROL!$C$27, 0.0021, 0)</f>
        <v>59.731400000000001</v>
      </c>
      <c r="C575" s="10">
        <f>59.2971 * CHOOSE(CONTROL!$C$9, $D$9, 100%, $F$9) + CHOOSE(CONTROL!$C$27, 0.0021, 0)</f>
        <v>59.299199999999999</v>
      </c>
      <c r="D575" s="10">
        <f>59.2971 * CHOOSE(CONTROL!$C$9, $D$9, 100%, $F$9) + CHOOSE(CONTROL!$C$27, 0.0021, 0)</f>
        <v>59.299199999999999</v>
      </c>
      <c r="E575" s="10">
        <f>59.1604 * CHOOSE(CONTROL!$C$9, $D$9, 100%, $F$9) + CHOOSE(CONTROL!$C$27, 0.0021, 0)</f>
        <v>59.162500000000001</v>
      </c>
      <c r="F575" s="10">
        <f>59.1604 * CHOOSE(CONTROL!$C$9, $D$9, 100%, $F$9) + CHOOSE(CONTROL!$C$27, 0.0021, 0)</f>
        <v>59.162500000000001</v>
      </c>
      <c r="G575" s="10">
        <f>59.4318 * CHOOSE(CONTROL!$C$9, $D$9, 100%, $F$9) + CHOOSE(CONTROL!$C$27, 0.0021, 0)</f>
        <v>59.433900000000001</v>
      </c>
      <c r="H575" s="10">
        <f>59.2971 * CHOOSE(CONTROL!$C$9, $D$9, 100%, $F$9) + CHOOSE(CONTROL!$C$27, 0.0021, 0)</f>
        <v>59.299199999999999</v>
      </c>
      <c r="I575" s="10">
        <f>59.2971 * CHOOSE(CONTROL!$C$9, $D$9, 100%, $F$9) + CHOOSE(CONTROL!$C$27, 0.0021, 0)</f>
        <v>59.299199999999999</v>
      </c>
      <c r="J575" s="10">
        <f>59.2971 * CHOOSE(CONTROL!$C$9, $D$9, 100%, $F$9) + CHOOSE(CONTROL!$C$27, 0.0021, 0)</f>
        <v>59.299199999999999</v>
      </c>
      <c r="K575" s="10">
        <f>59.2971 * CHOOSE(CONTROL!$C$9, $D$9, 100%, $F$9) + CHOOSE(CONTROL!$C$27, 0.0021, 0)</f>
        <v>59.299199999999999</v>
      </c>
      <c r="L575" s="10"/>
    </row>
    <row r="576" spans="1:12" ht="15.75" x14ac:dyDescent="0.25">
      <c r="A576" s="13">
        <v>58471</v>
      </c>
      <c r="B576" s="10">
        <f>58.9768 * CHOOSE(CONTROL!$C$9, $D$9, 100%, $F$9) + CHOOSE(CONTROL!$C$27, 0.0021, 0)</f>
        <v>58.978899999999996</v>
      </c>
      <c r="C576" s="10">
        <f>58.5445 * CHOOSE(CONTROL!$C$9, $D$9, 100%, $F$9) + CHOOSE(CONTROL!$C$27, 0.0021, 0)</f>
        <v>58.546599999999998</v>
      </c>
      <c r="D576" s="10">
        <f>58.5445 * CHOOSE(CONTROL!$C$9, $D$9, 100%, $F$9) + CHOOSE(CONTROL!$C$27, 0.0021, 0)</f>
        <v>58.546599999999998</v>
      </c>
      <c r="E576" s="10">
        <f>58.4078 * CHOOSE(CONTROL!$C$9, $D$9, 100%, $F$9) + CHOOSE(CONTROL!$C$27, 0.0021, 0)</f>
        <v>58.4099</v>
      </c>
      <c r="F576" s="10">
        <f>58.4078 * CHOOSE(CONTROL!$C$9, $D$9, 100%, $F$9) + CHOOSE(CONTROL!$C$27, 0.0021, 0)</f>
        <v>58.4099</v>
      </c>
      <c r="G576" s="10">
        <f>58.6792 * CHOOSE(CONTROL!$C$9, $D$9, 100%, $F$9) + CHOOSE(CONTROL!$C$27, 0.0021, 0)</f>
        <v>58.6813</v>
      </c>
      <c r="H576" s="10">
        <f>58.5445 * CHOOSE(CONTROL!$C$9, $D$9, 100%, $F$9) + CHOOSE(CONTROL!$C$27, 0.0021, 0)</f>
        <v>58.546599999999998</v>
      </c>
      <c r="I576" s="10">
        <f>58.5445 * CHOOSE(CONTROL!$C$9, $D$9, 100%, $F$9) + CHOOSE(CONTROL!$C$27, 0.0021, 0)</f>
        <v>58.546599999999998</v>
      </c>
      <c r="J576" s="10">
        <f>58.5445 * CHOOSE(CONTROL!$C$9, $D$9, 100%, $F$9) + CHOOSE(CONTROL!$C$27, 0.0021, 0)</f>
        <v>58.546599999999998</v>
      </c>
      <c r="K576" s="10">
        <f>58.5445 * CHOOSE(CONTROL!$C$9, $D$9, 100%, $F$9) + CHOOSE(CONTROL!$C$27, 0.0021, 0)</f>
        <v>58.546599999999998</v>
      </c>
      <c r="L576" s="10"/>
    </row>
    <row r="577" spans="1:12" ht="15.75" x14ac:dyDescent="0.25">
      <c r="A577" s="13">
        <v>58499</v>
      </c>
      <c r="B577" s="10">
        <f>57.3734 * CHOOSE(CONTROL!$C$9, $D$9, 100%, $F$9) + CHOOSE(CONTROL!$C$27, 0.0021, 0)</f>
        <v>57.375499999999995</v>
      </c>
      <c r="C577" s="10">
        <f>56.9412 * CHOOSE(CONTROL!$C$9, $D$9, 100%, $F$9) + CHOOSE(CONTROL!$C$27, 0.0021, 0)</f>
        <v>56.943300000000001</v>
      </c>
      <c r="D577" s="10">
        <f>56.9412 * CHOOSE(CONTROL!$C$9, $D$9, 100%, $F$9) + CHOOSE(CONTROL!$C$27, 0.0021, 0)</f>
        <v>56.943300000000001</v>
      </c>
      <c r="E577" s="10">
        <f>56.8045 * CHOOSE(CONTROL!$C$9, $D$9, 100%, $F$9) + CHOOSE(CONTROL!$C$27, 0.0021, 0)</f>
        <v>56.806599999999996</v>
      </c>
      <c r="F577" s="10">
        <f>56.8045 * CHOOSE(CONTROL!$C$9, $D$9, 100%, $F$9) + CHOOSE(CONTROL!$C$27, 0.0021, 0)</f>
        <v>56.806599999999996</v>
      </c>
      <c r="G577" s="10">
        <f>57.0759 * CHOOSE(CONTROL!$C$9, $D$9, 100%, $F$9) + CHOOSE(CONTROL!$C$27, 0.0021, 0)</f>
        <v>57.077999999999996</v>
      </c>
      <c r="H577" s="10">
        <f>56.9412 * CHOOSE(CONTROL!$C$9, $D$9, 100%, $F$9) + CHOOSE(CONTROL!$C$27, 0.0021, 0)</f>
        <v>56.943300000000001</v>
      </c>
      <c r="I577" s="10">
        <f>56.9412 * CHOOSE(CONTROL!$C$9, $D$9, 100%, $F$9) + CHOOSE(CONTROL!$C$27, 0.0021, 0)</f>
        <v>56.943300000000001</v>
      </c>
      <c r="J577" s="10">
        <f>56.9412 * CHOOSE(CONTROL!$C$9, $D$9, 100%, $F$9) + CHOOSE(CONTROL!$C$27, 0.0021, 0)</f>
        <v>56.943300000000001</v>
      </c>
      <c r="K577" s="10">
        <f>56.9412 * CHOOSE(CONTROL!$C$9, $D$9, 100%, $F$9) + CHOOSE(CONTROL!$C$27, 0.0021, 0)</f>
        <v>56.943300000000001</v>
      </c>
      <c r="L577" s="10"/>
    </row>
    <row r="578" spans="1:12" ht="15.75" x14ac:dyDescent="0.25">
      <c r="A578" s="13">
        <v>58531</v>
      </c>
      <c r="B578" s="10">
        <f>56.7116 * CHOOSE(CONTROL!$C$9, $D$9, 100%, $F$9) + CHOOSE(CONTROL!$C$27, 0.0021, 0)</f>
        <v>56.713699999999996</v>
      </c>
      <c r="C578" s="10">
        <f>56.2793 * CHOOSE(CONTROL!$C$9, $D$9, 100%, $F$9) + CHOOSE(CONTROL!$C$27, 0.0021, 0)</f>
        <v>56.281399999999998</v>
      </c>
      <c r="D578" s="10">
        <f>56.2793 * CHOOSE(CONTROL!$C$9, $D$9, 100%, $F$9) + CHOOSE(CONTROL!$C$27, 0.0021, 0)</f>
        <v>56.281399999999998</v>
      </c>
      <c r="E578" s="10">
        <f>56.1427 * CHOOSE(CONTROL!$C$9, $D$9, 100%, $F$9) + CHOOSE(CONTROL!$C$27, 0.0021, 0)</f>
        <v>56.144799999999996</v>
      </c>
      <c r="F578" s="10">
        <f>56.1427 * CHOOSE(CONTROL!$C$9, $D$9, 100%, $F$9) + CHOOSE(CONTROL!$C$27, 0.0021, 0)</f>
        <v>56.144799999999996</v>
      </c>
      <c r="G578" s="10">
        <f>56.414 * CHOOSE(CONTROL!$C$9, $D$9, 100%, $F$9) + CHOOSE(CONTROL!$C$27, 0.0021, 0)</f>
        <v>56.4161</v>
      </c>
      <c r="H578" s="10">
        <f>56.2793 * CHOOSE(CONTROL!$C$9, $D$9, 100%, $F$9) + CHOOSE(CONTROL!$C$27, 0.0021, 0)</f>
        <v>56.281399999999998</v>
      </c>
      <c r="I578" s="10">
        <f>56.2793 * CHOOSE(CONTROL!$C$9, $D$9, 100%, $F$9) + CHOOSE(CONTROL!$C$27, 0.0021, 0)</f>
        <v>56.281399999999998</v>
      </c>
      <c r="J578" s="10">
        <f>56.2793 * CHOOSE(CONTROL!$C$9, $D$9, 100%, $F$9) + CHOOSE(CONTROL!$C$27, 0.0021, 0)</f>
        <v>56.281399999999998</v>
      </c>
      <c r="K578" s="10">
        <f>56.2793 * CHOOSE(CONTROL!$C$9, $D$9, 100%, $F$9) + CHOOSE(CONTROL!$C$27, 0.0021, 0)</f>
        <v>56.281399999999998</v>
      </c>
      <c r="L578" s="10"/>
    </row>
    <row r="579" spans="1:12" ht="15.75" x14ac:dyDescent="0.25">
      <c r="A579" s="13">
        <v>58561</v>
      </c>
      <c r="B579" s="10">
        <f>55.9213 * CHOOSE(CONTROL!$C$9, $D$9, 100%, $F$9) + CHOOSE(CONTROL!$C$27, 0.0021, 0)</f>
        <v>55.923400000000001</v>
      </c>
      <c r="C579" s="10">
        <f>55.489 * CHOOSE(CONTROL!$C$9, $D$9, 100%, $F$9) + CHOOSE(CONTROL!$C$27, 0.0021, 0)</f>
        <v>55.491099999999996</v>
      </c>
      <c r="D579" s="10">
        <f>55.489 * CHOOSE(CONTROL!$C$9, $D$9, 100%, $F$9) + CHOOSE(CONTROL!$C$27, 0.0021, 0)</f>
        <v>55.491099999999996</v>
      </c>
      <c r="E579" s="10">
        <f>55.3524 * CHOOSE(CONTROL!$C$9, $D$9, 100%, $F$9) + CHOOSE(CONTROL!$C$27, 0.0021, 0)</f>
        <v>55.354500000000002</v>
      </c>
      <c r="F579" s="10">
        <f>55.3524 * CHOOSE(CONTROL!$C$9, $D$9, 100%, $F$9) + CHOOSE(CONTROL!$C$27, 0.0021, 0)</f>
        <v>55.354500000000002</v>
      </c>
      <c r="G579" s="10">
        <f>55.6238 * CHOOSE(CONTROL!$C$9, $D$9, 100%, $F$9) + CHOOSE(CONTROL!$C$27, 0.0021, 0)</f>
        <v>55.625900000000001</v>
      </c>
      <c r="H579" s="10">
        <f>55.489 * CHOOSE(CONTROL!$C$9, $D$9, 100%, $F$9) + CHOOSE(CONTROL!$C$27, 0.0021, 0)</f>
        <v>55.491099999999996</v>
      </c>
      <c r="I579" s="10">
        <f>55.489 * CHOOSE(CONTROL!$C$9, $D$9, 100%, $F$9) + CHOOSE(CONTROL!$C$27, 0.0021, 0)</f>
        <v>55.491099999999996</v>
      </c>
      <c r="J579" s="10">
        <f>55.489 * CHOOSE(CONTROL!$C$9, $D$9, 100%, $F$9) + CHOOSE(CONTROL!$C$27, 0.0021, 0)</f>
        <v>55.491099999999996</v>
      </c>
      <c r="K579" s="10">
        <f>55.489 * CHOOSE(CONTROL!$C$9, $D$9, 100%, $F$9) + CHOOSE(CONTROL!$C$27, 0.0021, 0)</f>
        <v>55.491099999999996</v>
      </c>
      <c r="L579" s="10"/>
    </row>
    <row r="580" spans="1:12" ht="15.75" x14ac:dyDescent="0.25">
      <c r="A580" s="13">
        <v>58592</v>
      </c>
      <c r="B580" s="10">
        <f>57.0475 * CHOOSE(CONTROL!$C$9, $D$9, 100%, $F$9) + CHOOSE(CONTROL!$C$27, 0.0021, 0)</f>
        <v>57.049599999999998</v>
      </c>
      <c r="C580" s="10">
        <f>56.6153 * CHOOSE(CONTROL!$C$9, $D$9, 100%, $F$9) + CHOOSE(CONTROL!$C$27, 0.0021, 0)</f>
        <v>56.617399999999996</v>
      </c>
      <c r="D580" s="10">
        <f>56.6153 * CHOOSE(CONTROL!$C$9, $D$9, 100%, $F$9) + CHOOSE(CONTROL!$C$27, 0.0021, 0)</f>
        <v>56.617399999999996</v>
      </c>
      <c r="E580" s="10">
        <f>56.4786 * CHOOSE(CONTROL!$C$9, $D$9, 100%, $F$9) + CHOOSE(CONTROL!$C$27, 0.0021, 0)</f>
        <v>56.480699999999999</v>
      </c>
      <c r="F580" s="10">
        <f>56.4786 * CHOOSE(CONTROL!$C$9, $D$9, 100%, $F$9) + CHOOSE(CONTROL!$C$27, 0.0021, 0)</f>
        <v>56.480699999999999</v>
      </c>
      <c r="G580" s="10">
        <f>56.75 * CHOOSE(CONTROL!$C$9, $D$9, 100%, $F$9) + CHOOSE(CONTROL!$C$27, 0.0021, 0)</f>
        <v>56.752099999999999</v>
      </c>
      <c r="H580" s="10">
        <f>56.6153 * CHOOSE(CONTROL!$C$9, $D$9, 100%, $F$9) + CHOOSE(CONTROL!$C$27, 0.0021, 0)</f>
        <v>56.617399999999996</v>
      </c>
      <c r="I580" s="10">
        <f>56.6153 * CHOOSE(CONTROL!$C$9, $D$9, 100%, $F$9) + CHOOSE(CONTROL!$C$27, 0.0021, 0)</f>
        <v>56.617399999999996</v>
      </c>
      <c r="J580" s="10">
        <f>56.6153 * CHOOSE(CONTROL!$C$9, $D$9, 100%, $F$9) + CHOOSE(CONTROL!$C$27, 0.0021, 0)</f>
        <v>56.617399999999996</v>
      </c>
      <c r="K580" s="10">
        <f>56.6153 * CHOOSE(CONTROL!$C$9, $D$9, 100%, $F$9) + CHOOSE(CONTROL!$C$27, 0.0021, 0)</f>
        <v>56.617399999999996</v>
      </c>
      <c r="L580" s="10"/>
    </row>
    <row r="581" spans="1:12" ht="15.75" x14ac:dyDescent="0.25">
      <c r="A581" s="13">
        <v>58622</v>
      </c>
      <c r="B581" s="10">
        <f>57.7221 * CHOOSE(CONTROL!$C$9, $D$9, 100%, $F$9) + CHOOSE(CONTROL!$C$27, 0.0021, 0)</f>
        <v>57.724199999999996</v>
      </c>
      <c r="C581" s="10">
        <f>57.2898 * CHOOSE(CONTROL!$C$9, $D$9, 100%, $F$9) + CHOOSE(CONTROL!$C$27, 0.0021, 0)</f>
        <v>57.291899999999998</v>
      </c>
      <c r="D581" s="10">
        <f>57.2898 * CHOOSE(CONTROL!$C$9, $D$9, 100%, $F$9) + CHOOSE(CONTROL!$C$27, 0.0021, 0)</f>
        <v>57.291899999999998</v>
      </c>
      <c r="E581" s="10">
        <f>57.1532 * CHOOSE(CONTROL!$C$9, $D$9, 100%, $F$9) + CHOOSE(CONTROL!$C$27, 0.0021, 0)</f>
        <v>57.155299999999997</v>
      </c>
      <c r="F581" s="10">
        <f>57.1532 * CHOOSE(CONTROL!$C$9, $D$9, 100%, $F$9) + CHOOSE(CONTROL!$C$27, 0.0021, 0)</f>
        <v>57.155299999999997</v>
      </c>
      <c r="G581" s="10">
        <f>57.4246 * CHOOSE(CONTROL!$C$9, $D$9, 100%, $F$9) + CHOOSE(CONTROL!$C$27, 0.0021, 0)</f>
        <v>57.426699999999997</v>
      </c>
      <c r="H581" s="10">
        <f>57.2898 * CHOOSE(CONTROL!$C$9, $D$9, 100%, $F$9) + CHOOSE(CONTROL!$C$27, 0.0021, 0)</f>
        <v>57.291899999999998</v>
      </c>
      <c r="I581" s="10">
        <f>57.2898 * CHOOSE(CONTROL!$C$9, $D$9, 100%, $F$9) + CHOOSE(CONTROL!$C$27, 0.0021, 0)</f>
        <v>57.291899999999998</v>
      </c>
      <c r="J581" s="10">
        <f>57.2898 * CHOOSE(CONTROL!$C$9, $D$9, 100%, $F$9) + CHOOSE(CONTROL!$C$27, 0.0021, 0)</f>
        <v>57.291899999999998</v>
      </c>
      <c r="K581" s="10">
        <f>57.2898 * CHOOSE(CONTROL!$C$9, $D$9, 100%, $F$9) + CHOOSE(CONTROL!$C$27, 0.0021, 0)</f>
        <v>57.291899999999998</v>
      </c>
      <c r="L581" s="10"/>
    </row>
    <row r="582" spans="1:12" ht="15.75" x14ac:dyDescent="0.25">
      <c r="A582" s="13">
        <v>58653</v>
      </c>
      <c r="B582" s="10">
        <f>58.8349 * CHOOSE(CONTROL!$C$9, $D$9, 100%, $F$9) + CHOOSE(CONTROL!$C$27, 0.0021, 0)</f>
        <v>58.836999999999996</v>
      </c>
      <c r="C582" s="10">
        <f>58.4026 * CHOOSE(CONTROL!$C$9, $D$9, 100%, $F$9) + CHOOSE(CONTROL!$C$27, 0.0021, 0)</f>
        <v>58.404699999999998</v>
      </c>
      <c r="D582" s="10">
        <f>58.4026 * CHOOSE(CONTROL!$C$9, $D$9, 100%, $F$9) + CHOOSE(CONTROL!$C$27, 0.0021, 0)</f>
        <v>58.404699999999998</v>
      </c>
      <c r="E582" s="10">
        <f>58.266 * CHOOSE(CONTROL!$C$9, $D$9, 100%, $F$9) + CHOOSE(CONTROL!$C$27, 0.0021, 0)</f>
        <v>58.268099999999997</v>
      </c>
      <c r="F582" s="10">
        <f>58.266 * CHOOSE(CONTROL!$C$9, $D$9, 100%, $F$9) + CHOOSE(CONTROL!$C$27, 0.0021, 0)</f>
        <v>58.268099999999997</v>
      </c>
      <c r="G582" s="10">
        <f>58.5373 * CHOOSE(CONTROL!$C$9, $D$9, 100%, $F$9) + CHOOSE(CONTROL!$C$27, 0.0021, 0)</f>
        <v>58.539400000000001</v>
      </c>
      <c r="H582" s="10">
        <f>58.4026 * CHOOSE(CONTROL!$C$9, $D$9, 100%, $F$9) + CHOOSE(CONTROL!$C$27, 0.0021, 0)</f>
        <v>58.404699999999998</v>
      </c>
      <c r="I582" s="10">
        <f>58.4026 * CHOOSE(CONTROL!$C$9, $D$9, 100%, $F$9) + CHOOSE(CONTROL!$C$27, 0.0021, 0)</f>
        <v>58.404699999999998</v>
      </c>
      <c r="J582" s="10">
        <f>58.4026 * CHOOSE(CONTROL!$C$9, $D$9, 100%, $F$9) + CHOOSE(CONTROL!$C$27, 0.0021, 0)</f>
        <v>58.404699999999998</v>
      </c>
      <c r="K582" s="10">
        <f>58.4026 * CHOOSE(CONTROL!$C$9, $D$9, 100%, $F$9) + CHOOSE(CONTROL!$C$27, 0.0021, 0)</f>
        <v>58.404699999999998</v>
      </c>
      <c r="L582" s="10"/>
    </row>
    <row r="583" spans="1:12" ht="15.75" x14ac:dyDescent="0.25">
      <c r="A583" s="13">
        <v>58684</v>
      </c>
      <c r="B583" s="10">
        <f>59.1745 * CHOOSE(CONTROL!$C$9, $D$9, 100%, $F$9) + CHOOSE(CONTROL!$C$27, 0.0021, 0)</f>
        <v>59.176600000000001</v>
      </c>
      <c r="C583" s="10">
        <f>58.7423 * CHOOSE(CONTROL!$C$9, $D$9, 100%, $F$9) + CHOOSE(CONTROL!$C$27, 0.0021, 0)</f>
        <v>58.744399999999999</v>
      </c>
      <c r="D583" s="10">
        <f>58.7423 * CHOOSE(CONTROL!$C$9, $D$9, 100%, $F$9) + CHOOSE(CONTROL!$C$27, 0.0021, 0)</f>
        <v>58.744399999999999</v>
      </c>
      <c r="E583" s="10">
        <f>58.6056 * CHOOSE(CONTROL!$C$9, $D$9, 100%, $F$9) + CHOOSE(CONTROL!$C$27, 0.0021, 0)</f>
        <v>58.607700000000001</v>
      </c>
      <c r="F583" s="10">
        <f>58.6056 * CHOOSE(CONTROL!$C$9, $D$9, 100%, $F$9) + CHOOSE(CONTROL!$C$27, 0.0021, 0)</f>
        <v>58.607700000000001</v>
      </c>
      <c r="G583" s="10">
        <f>58.877 * CHOOSE(CONTROL!$C$9, $D$9, 100%, $F$9) + CHOOSE(CONTROL!$C$27, 0.0021, 0)</f>
        <v>58.879100000000001</v>
      </c>
      <c r="H583" s="10">
        <f>58.7423 * CHOOSE(CONTROL!$C$9, $D$9, 100%, $F$9) + CHOOSE(CONTROL!$C$27, 0.0021, 0)</f>
        <v>58.744399999999999</v>
      </c>
      <c r="I583" s="10">
        <f>58.7423 * CHOOSE(CONTROL!$C$9, $D$9, 100%, $F$9) + CHOOSE(CONTROL!$C$27, 0.0021, 0)</f>
        <v>58.744399999999999</v>
      </c>
      <c r="J583" s="10">
        <f>58.7423 * CHOOSE(CONTROL!$C$9, $D$9, 100%, $F$9) + CHOOSE(CONTROL!$C$27, 0.0021, 0)</f>
        <v>58.744399999999999</v>
      </c>
      <c r="K583" s="10">
        <f>58.7423 * CHOOSE(CONTROL!$C$9, $D$9, 100%, $F$9) + CHOOSE(CONTROL!$C$27, 0.0021, 0)</f>
        <v>58.744399999999999</v>
      </c>
      <c r="L583" s="10"/>
    </row>
    <row r="584" spans="1:12" ht="15.75" x14ac:dyDescent="0.25">
      <c r="A584" s="13">
        <v>58714</v>
      </c>
      <c r="B584" s="10">
        <f>60.3312 * CHOOSE(CONTROL!$C$9, $D$9, 100%, $F$9) + CHOOSE(CONTROL!$C$27, 0.0021, 0)</f>
        <v>60.333300000000001</v>
      </c>
      <c r="C584" s="10">
        <f>59.899 * CHOOSE(CONTROL!$C$9, $D$9, 100%, $F$9) + CHOOSE(CONTROL!$C$27, 0.0021, 0)</f>
        <v>59.9011</v>
      </c>
      <c r="D584" s="10">
        <f>59.899 * CHOOSE(CONTROL!$C$9, $D$9, 100%, $F$9) + CHOOSE(CONTROL!$C$27, 0.0021, 0)</f>
        <v>59.9011</v>
      </c>
      <c r="E584" s="10">
        <f>59.7623 * CHOOSE(CONTROL!$C$9, $D$9, 100%, $F$9) + CHOOSE(CONTROL!$C$27, 0.0021, 0)</f>
        <v>59.764400000000002</v>
      </c>
      <c r="F584" s="10">
        <f>59.7623 * CHOOSE(CONTROL!$C$9, $D$9, 100%, $F$9) + CHOOSE(CONTROL!$C$27, 0.0021, 0)</f>
        <v>59.764400000000002</v>
      </c>
      <c r="G584" s="10">
        <f>60.0337 * CHOOSE(CONTROL!$C$9, $D$9, 100%, $F$9) + CHOOSE(CONTROL!$C$27, 0.0021, 0)</f>
        <v>60.035800000000002</v>
      </c>
      <c r="H584" s="10">
        <f>59.899 * CHOOSE(CONTROL!$C$9, $D$9, 100%, $F$9) + CHOOSE(CONTROL!$C$27, 0.0021, 0)</f>
        <v>59.9011</v>
      </c>
      <c r="I584" s="10">
        <f>59.899 * CHOOSE(CONTROL!$C$9, $D$9, 100%, $F$9) + CHOOSE(CONTROL!$C$27, 0.0021, 0)</f>
        <v>59.9011</v>
      </c>
      <c r="J584" s="10">
        <f>59.899 * CHOOSE(CONTROL!$C$9, $D$9, 100%, $F$9) + CHOOSE(CONTROL!$C$27, 0.0021, 0)</f>
        <v>59.9011</v>
      </c>
      <c r="K584" s="10">
        <f>59.899 * CHOOSE(CONTROL!$C$9, $D$9, 100%, $F$9) + CHOOSE(CONTROL!$C$27, 0.0021, 0)</f>
        <v>59.9011</v>
      </c>
      <c r="L584" s="10"/>
    </row>
    <row r="585" spans="1:12" ht="15.75" x14ac:dyDescent="0.25">
      <c r="A585" s="13">
        <v>58745</v>
      </c>
      <c r="B585" s="10">
        <f>61.7954 * CHOOSE(CONTROL!$C$9, $D$9, 100%, $F$9) + CHOOSE(CONTROL!$C$27, 0.0021, 0)</f>
        <v>61.797499999999999</v>
      </c>
      <c r="C585" s="10">
        <f>61.3632 * CHOOSE(CONTROL!$C$9, $D$9, 100%, $F$9) + CHOOSE(CONTROL!$C$27, 0.0021, 0)</f>
        <v>61.365299999999998</v>
      </c>
      <c r="D585" s="10">
        <f>61.3632 * CHOOSE(CONTROL!$C$9, $D$9, 100%, $F$9) + CHOOSE(CONTROL!$C$27, 0.0021, 0)</f>
        <v>61.365299999999998</v>
      </c>
      <c r="E585" s="10">
        <f>61.2265 * CHOOSE(CONTROL!$C$9, $D$9, 100%, $F$9) + CHOOSE(CONTROL!$C$27, 0.0021, 0)</f>
        <v>61.2286</v>
      </c>
      <c r="F585" s="10">
        <f>61.2265 * CHOOSE(CONTROL!$C$9, $D$9, 100%, $F$9) + CHOOSE(CONTROL!$C$27, 0.0021, 0)</f>
        <v>61.2286</v>
      </c>
      <c r="G585" s="10">
        <f>61.4979 * CHOOSE(CONTROL!$C$9, $D$9, 100%, $F$9) + CHOOSE(CONTROL!$C$27, 0.0021, 0)</f>
        <v>61.5</v>
      </c>
      <c r="H585" s="10">
        <f>61.3632 * CHOOSE(CONTROL!$C$9, $D$9, 100%, $F$9) + CHOOSE(CONTROL!$C$27, 0.0021, 0)</f>
        <v>61.365299999999998</v>
      </c>
      <c r="I585" s="10">
        <f>61.3632 * CHOOSE(CONTROL!$C$9, $D$9, 100%, $F$9) + CHOOSE(CONTROL!$C$27, 0.0021, 0)</f>
        <v>61.365299999999998</v>
      </c>
      <c r="J585" s="10">
        <f>61.3632 * CHOOSE(CONTROL!$C$9, $D$9, 100%, $F$9) + CHOOSE(CONTROL!$C$27, 0.0021, 0)</f>
        <v>61.365299999999998</v>
      </c>
      <c r="K585" s="10">
        <f>61.3632 * CHOOSE(CONTROL!$C$9, $D$9, 100%, $F$9) + CHOOSE(CONTROL!$C$27, 0.0021, 0)</f>
        <v>61.365299999999998</v>
      </c>
      <c r="L585" s="10"/>
    </row>
    <row r="586" spans="1:12" ht="15.75" x14ac:dyDescent="0.25">
      <c r="A586" s="13">
        <v>58775</v>
      </c>
      <c r="B586" s="10">
        <f>61.9329 * CHOOSE(CONTROL!$C$9, $D$9, 100%, $F$9) + CHOOSE(CONTROL!$C$27, 0.0021, 0)</f>
        <v>61.934999999999995</v>
      </c>
      <c r="C586" s="10">
        <f>61.5006 * CHOOSE(CONTROL!$C$9, $D$9, 100%, $F$9) + CHOOSE(CONTROL!$C$27, 0.0021, 0)</f>
        <v>61.502699999999997</v>
      </c>
      <c r="D586" s="10">
        <f>61.5006 * CHOOSE(CONTROL!$C$9, $D$9, 100%, $F$9) + CHOOSE(CONTROL!$C$27, 0.0021, 0)</f>
        <v>61.502699999999997</v>
      </c>
      <c r="E586" s="10">
        <f>61.364 * CHOOSE(CONTROL!$C$9, $D$9, 100%, $F$9) + CHOOSE(CONTROL!$C$27, 0.0021, 0)</f>
        <v>61.366099999999996</v>
      </c>
      <c r="F586" s="10">
        <f>61.364 * CHOOSE(CONTROL!$C$9, $D$9, 100%, $F$9) + CHOOSE(CONTROL!$C$27, 0.0021, 0)</f>
        <v>61.366099999999996</v>
      </c>
      <c r="G586" s="10">
        <f>61.6353 * CHOOSE(CONTROL!$C$9, $D$9, 100%, $F$9) + CHOOSE(CONTROL!$C$27, 0.0021, 0)</f>
        <v>61.6374</v>
      </c>
      <c r="H586" s="10">
        <f>61.5006 * CHOOSE(CONTROL!$C$9, $D$9, 100%, $F$9) + CHOOSE(CONTROL!$C$27, 0.0021, 0)</f>
        <v>61.502699999999997</v>
      </c>
      <c r="I586" s="10">
        <f>61.5006 * CHOOSE(CONTROL!$C$9, $D$9, 100%, $F$9) + CHOOSE(CONTROL!$C$27, 0.0021, 0)</f>
        <v>61.502699999999997</v>
      </c>
      <c r="J586" s="10">
        <f>61.5006 * CHOOSE(CONTROL!$C$9, $D$9, 100%, $F$9) + CHOOSE(CONTROL!$C$27, 0.0021, 0)</f>
        <v>61.502699999999997</v>
      </c>
      <c r="K586" s="10">
        <f>61.5006 * CHOOSE(CONTROL!$C$9, $D$9, 100%, $F$9) + CHOOSE(CONTROL!$C$27, 0.0021, 0)</f>
        <v>61.502699999999997</v>
      </c>
      <c r="L586" s="10"/>
    </row>
    <row r="587" spans="1:12" ht="15.75" x14ac:dyDescent="0.25">
      <c r="A587" s="13">
        <v>58806</v>
      </c>
      <c r="B587" s="10">
        <f>60.7635 * CHOOSE(CONTROL!$C$9, $D$9, 100%, $F$9) + CHOOSE(CONTROL!$C$27, 0.0021, 0)</f>
        <v>60.765599999999999</v>
      </c>
      <c r="C587" s="10">
        <f>60.3312 * CHOOSE(CONTROL!$C$9, $D$9, 100%, $F$9) + CHOOSE(CONTROL!$C$27, 0.0021, 0)</f>
        <v>60.333300000000001</v>
      </c>
      <c r="D587" s="10">
        <f>60.3312 * CHOOSE(CONTROL!$C$9, $D$9, 100%, $F$9) + CHOOSE(CONTROL!$C$27, 0.0021, 0)</f>
        <v>60.333300000000001</v>
      </c>
      <c r="E587" s="10">
        <f>60.1945 * CHOOSE(CONTROL!$C$9, $D$9, 100%, $F$9) + CHOOSE(CONTROL!$C$27, 0.0021, 0)</f>
        <v>60.196599999999997</v>
      </c>
      <c r="F587" s="10">
        <f>60.1945 * CHOOSE(CONTROL!$C$9, $D$9, 100%, $F$9) + CHOOSE(CONTROL!$C$27, 0.0021, 0)</f>
        <v>60.196599999999997</v>
      </c>
      <c r="G587" s="10">
        <f>60.4659 * CHOOSE(CONTROL!$C$9, $D$9, 100%, $F$9) + CHOOSE(CONTROL!$C$27, 0.0021, 0)</f>
        <v>60.467999999999996</v>
      </c>
      <c r="H587" s="10">
        <f>60.3312 * CHOOSE(CONTROL!$C$9, $D$9, 100%, $F$9) + CHOOSE(CONTROL!$C$27, 0.0021, 0)</f>
        <v>60.333300000000001</v>
      </c>
      <c r="I587" s="10">
        <f>60.3312 * CHOOSE(CONTROL!$C$9, $D$9, 100%, $F$9) + CHOOSE(CONTROL!$C$27, 0.0021, 0)</f>
        <v>60.333300000000001</v>
      </c>
      <c r="J587" s="10">
        <f>60.3312 * CHOOSE(CONTROL!$C$9, $D$9, 100%, $F$9) + CHOOSE(CONTROL!$C$27, 0.0021, 0)</f>
        <v>60.333300000000001</v>
      </c>
      <c r="K587" s="10">
        <f>60.3312 * CHOOSE(CONTROL!$C$9, $D$9, 100%, $F$9) + CHOOSE(CONTROL!$C$27, 0.0021, 0)</f>
        <v>60.333300000000001</v>
      </c>
      <c r="L587" s="10"/>
    </row>
    <row r="588" spans="1:12" ht="15.75" x14ac:dyDescent="0.25">
      <c r="A588" s="13">
        <v>58837</v>
      </c>
      <c r="B588" s="10">
        <f>59.9973 * CHOOSE(CONTROL!$C$9, $D$9, 100%, $F$9) + CHOOSE(CONTROL!$C$27, 0.0021, 0)</f>
        <v>59.999400000000001</v>
      </c>
      <c r="C588" s="10">
        <f>59.5651 * CHOOSE(CONTROL!$C$9, $D$9, 100%, $F$9) + CHOOSE(CONTROL!$C$27, 0.0021, 0)</f>
        <v>59.5672</v>
      </c>
      <c r="D588" s="10">
        <f>59.5651 * CHOOSE(CONTROL!$C$9, $D$9, 100%, $F$9) + CHOOSE(CONTROL!$C$27, 0.0021, 0)</f>
        <v>59.5672</v>
      </c>
      <c r="E588" s="10">
        <f>59.4284 * CHOOSE(CONTROL!$C$9, $D$9, 100%, $F$9) + CHOOSE(CONTROL!$C$27, 0.0021, 0)</f>
        <v>59.430500000000002</v>
      </c>
      <c r="F588" s="10">
        <f>59.4284 * CHOOSE(CONTROL!$C$9, $D$9, 100%, $F$9) + CHOOSE(CONTROL!$C$27, 0.0021, 0)</f>
        <v>59.430500000000002</v>
      </c>
      <c r="G588" s="10">
        <f>59.6998 * CHOOSE(CONTROL!$C$9, $D$9, 100%, $F$9) + CHOOSE(CONTROL!$C$27, 0.0021, 0)</f>
        <v>59.701900000000002</v>
      </c>
      <c r="H588" s="10">
        <f>59.5651 * CHOOSE(CONTROL!$C$9, $D$9, 100%, $F$9) + CHOOSE(CONTROL!$C$27, 0.0021, 0)</f>
        <v>59.5672</v>
      </c>
      <c r="I588" s="10">
        <f>59.5651 * CHOOSE(CONTROL!$C$9, $D$9, 100%, $F$9) + CHOOSE(CONTROL!$C$27, 0.0021, 0)</f>
        <v>59.5672</v>
      </c>
      <c r="J588" s="10">
        <f>59.5651 * CHOOSE(CONTROL!$C$9, $D$9, 100%, $F$9) + CHOOSE(CONTROL!$C$27, 0.0021, 0)</f>
        <v>59.5672</v>
      </c>
      <c r="K588" s="10">
        <f>59.5651 * CHOOSE(CONTROL!$C$9, $D$9, 100%, $F$9) + CHOOSE(CONTROL!$C$27, 0.0021, 0)</f>
        <v>59.5672</v>
      </c>
      <c r="L588" s="10"/>
    </row>
    <row r="589" spans="1:12" ht="15.75" x14ac:dyDescent="0.25">
      <c r="A589" s="13">
        <v>58865</v>
      </c>
      <c r="B589" s="10">
        <f>58.3651 * CHOOSE(CONTROL!$C$9, $D$9, 100%, $F$9) + CHOOSE(CONTROL!$C$27, 0.0021, 0)</f>
        <v>58.367199999999997</v>
      </c>
      <c r="C589" s="10">
        <f>57.9329 * CHOOSE(CONTROL!$C$9, $D$9, 100%, $F$9) + CHOOSE(CONTROL!$C$27, 0.0021, 0)</f>
        <v>57.934999999999995</v>
      </c>
      <c r="D589" s="10">
        <f>57.9329 * CHOOSE(CONTROL!$C$9, $D$9, 100%, $F$9) + CHOOSE(CONTROL!$C$27, 0.0021, 0)</f>
        <v>57.934999999999995</v>
      </c>
      <c r="E589" s="10">
        <f>57.7962 * CHOOSE(CONTROL!$C$9, $D$9, 100%, $F$9) + CHOOSE(CONTROL!$C$27, 0.0021, 0)</f>
        <v>57.798299999999998</v>
      </c>
      <c r="F589" s="10">
        <f>57.7962 * CHOOSE(CONTROL!$C$9, $D$9, 100%, $F$9) + CHOOSE(CONTROL!$C$27, 0.0021, 0)</f>
        <v>57.798299999999998</v>
      </c>
      <c r="G589" s="10">
        <f>58.0676 * CHOOSE(CONTROL!$C$9, $D$9, 100%, $F$9) + CHOOSE(CONTROL!$C$27, 0.0021, 0)</f>
        <v>58.069699999999997</v>
      </c>
      <c r="H589" s="10">
        <f>57.9329 * CHOOSE(CONTROL!$C$9, $D$9, 100%, $F$9) + CHOOSE(CONTROL!$C$27, 0.0021, 0)</f>
        <v>57.934999999999995</v>
      </c>
      <c r="I589" s="10">
        <f>57.9329 * CHOOSE(CONTROL!$C$9, $D$9, 100%, $F$9) + CHOOSE(CONTROL!$C$27, 0.0021, 0)</f>
        <v>57.934999999999995</v>
      </c>
      <c r="J589" s="10">
        <f>57.9329 * CHOOSE(CONTROL!$C$9, $D$9, 100%, $F$9) + CHOOSE(CONTROL!$C$27, 0.0021, 0)</f>
        <v>57.934999999999995</v>
      </c>
      <c r="K589" s="10">
        <f>57.9329 * CHOOSE(CONTROL!$C$9, $D$9, 100%, $F$9) + CHOOSE(CONTROL!$C$27, 0.0021, 0)</f>
        <v>57.934999999999995</v>
      </c>
      <c r="L589" s="10"/>
    </row>
    <row r="590" spans="1:12" ht="15.75" x14ac:dyDescent="0.25">
      <c r="A590" s="13">
        <v>58893</v>
      </c>
      <c r="B590" s="10">
        <f>57.6914 * CHOOSE(CONTROL!$C$9, $D$9, 100%, $F$9) + CHOOSE(CONTROL!$C$27, 0.0021, 0)</f>
        <v>57.6935</v>
      </c>
      <c r="C590" s="10">
        <f>57.2591 * CHOOSE(CONTROL!$C$9, $D$9, 100%, $F$9) + CHOOSE(CONTROL!$C$27, 0.0021, 0)</f>
        <v>57.261199999999995</v>
      </c>
      <c r="D590" s="10">
        <f>57.2591 * CHOOSE(CONTROL!$C$9, $D$9, 100%, $F$9) + CHOOSE(CONTROL!$C$27, 0.0021, 0)</f>
        <v>57.261199999999995</v>
      </c>
      <c r="E590" s="10">
        <f>57.1225 * CHOOSE(CONTROL!$C$9, $D$9, 100%, $F$9) + CHOOSE(CONTROL!$C$27, 0.0021, 0)</f>
        <v>57.124600000000001</v>
      </c>
      <c r="F590" s="10">
        <f>57.1225 * CHOOSE(CONTROL!$C$9, $D$9, 100%, $F$9) + CHOOSE(CONTROL!$C$27, 0.0021, 0)</f>
        <v>57.124600000000001</v>
      </c>
      <c r="G590" s="10">
        <f>57.3938 * CHOOSE(CONTROL!$C$9, $D$9, 100%, $F$9) + CHOOSE(CONTROL!$C$27, 0.0021, 0)</f>
        <v>57.395899999999997</v>
      </c>
      <c r="H590" s="10">
        <f>57.2591 * CHOOSE(CONTROL!$C$9, $D$9, 100%, $F$9) + CHOOSE(CONTROL!$C$27, 0.0021, 0)</f>
        <v>57.261199999999995</v>
      </c>
      <c r="I590" s="10">
        <f>57.2591 * CHOOSE(CONTROL!$C$9, $D$9, 100%, $F$9) + CHOOSE(CONTROL!$C$27, 0.0021, 0)</f>
        <v>57.261199999999995</v>
      </c>
      <c r="J590" s="10">
        <f>57.2591 * CHOOSE(CONTROL!$C$9, $D$9, 100%, $F$9) + CHOOSE(CONTROL!$C$27, 0.0021, 0)</f>
        <v>57.261199999999995</v>
      </c>
      <c r="K590" s="10">
        <f>57.2591 * CHOOSE(CONTROL!$C$9, $D$9, 100%, $F$9) + CHOOSE(CONTROL!$C$27, 0.0021, 0)</f>
        <v>57.261199999999995</v>
      </c>
      <c r="L590" s="10"/>
    </row>
    <row r="591" spans="1:12" ht="15.75" x14ac:dyDescent="0.25">
      <c r="A591" s="13">
        <v>58926</v>
      </c>
      <c r="B591" s="10">
        <f>56.8869 * CHOOSE(CONTROL!$C$9, $D$9, 100%, $F$9) + CHOOSE(CONTROL!$C$27, 0.0021, 0)</f>
        <v>56.888999999999996</v>
      </c>
      <c r="C591" s="10">
        <f>56.4546 * CHOOSE(CONTROL!$C$9, $D$9, 100%, $F$9) + CHOOSE(CONTROL!$C$27, 0.0021, 0)</f>
        <v>56.456699999999998</v>
      </c>
      <c r="D591" s="10">
        <f>56.4546 * CHOOSE(CONTROL!$C$9, $D$9, 100%, $F$9) + CHOOSE(CONTROL!$C$27, 0.0021, 0)</f>
        <v>56.456699999999998</v>
      </c>
      <c r="E591" s="10">
        <f>56.318 * CHOOSE(CONTROL!$C$9, $D$9, 100%, $F$9) + CHOOSE(CONTROL!$C$27, 0.0021, 0)</f>
        <v>56.320099999999996</v>
      </c>
      <c r="F591" s="10">
        <f>56.318 * CHOOSE(CONTROL!$C$9, $D$9, 100%, $F$9) + CHOOSE(CONTROL!$C$27, 0.0021, 0)</f>
        <v>56.320099999999996</v>
      </c>
      <c r="G591" s="10">
        <f>56.5893 * CHOOSE(CONTROL!$C$9, $D$9, 100%, $F$9) + CHOOSE(CONTROL!$C$27, 0.0021, 0)</f>
        <v>56.5914</v>
      </c>
      <c r="H591" s="10">
        <f>56.4546 * CHOOSE(CONTROL!$C$9, $D$9, 100%, $F$9) + CHOOSE(CONTROL!$C$27, 0.0021, 0)</f>
        <v>56.456699999999998</v>
      </c>
      <c r="I591" s="10">
        <f>56.4546 * CHOOSE(CONTROL!$C$9, $D$9, 100%, $F$9) + CHOOSE(CONTROL!$C$27, 0.0021, 0)</f>
        <v>56.456699999999998</v>
      </c>
      <c r="J591" s="10">
        <f>56.4546 * CHOOSE(CONTROL!$C$9, $D$9, 100%, $F$9) + CHOOSE(CONTROL!$C$27, 0.0021, 0)</f>
        <v>56.456699999999998</v>
      </c>
      <c r="K591" s="10">
        <f>56.4546 * CHOOSE(CONTROL!$C$9, $D$9, 100%, $F$9) + CHOOSE(CONTROL!$C$27, 0.0021, 0)</f>
        <v>56.456699999999998</v>
      </c>
      <c r="L591" s="10"/>
    </row>
    <row r="592" spans="1:12" ht="15.75" x14ac:dyDescent="0.25">
      <c r="A592" s="13">
        <v>58957</v>
      </c>
      <c r="B592" s="10">
        <f>58.0334 * CHOOSE(CONTROL!$C$9, $D$9, 100%, $F$9) + CHOOSE(CONTROL!$C$27, 0.0021, 0)</f>
        <v>58.035499999999999</v>
      </c>
      <c r="C592" s="10">
        <f>57.6011 * CHOOSE(CONTROL!$C$9, $D$9, 100%, $F$9) + CHOOSE(CONTROL!$C$27, 0.0021, 0)</f>
        <v>57.603200000000001</v>
      </c>
      <c r="D592" s="10">
        <f>57.6011 * CHOOSE(CONTROL!$C$9, $D$9, 100%, $F$9) + CHOOSE(CONTROL!$C$27, 0.0021, 0)</f>
        <v>57.603200000000001</v>
      </c>
      <c r="E592" s="10">
        <f>57.4645 * CHOOSE(CONTROL!$C$9, $D$9, 100%, $F$9) + CHOOSE(CONTROL!$C$27, 0.0021, 0)</f>
        <v>57.4666</v>
      </c>
      <c r="F592" s="10">
        <f>57.4645 * CHOOSE(CONTROL!$C$9, $D$9, 100%, $F$9) + CHOOSE(CONTROL!$C$27, 0.0021, 0)</f>
        <v>57.4666</v>
      </c>
      <c r="G592" s="10">
        <f>57.7358 * CHOOSE(CONTROL!$C$9, $D$9, 100%, $F$9) + CHOOSE(CONTROL!$C$27, 0.0021, 0)</f>
        <v>57.737899999999996</v>
      </c>
      <c r="H592" s="10">
        <f>57.6011 * CHOOSE(CONTROL!$C$9, $D$9, 100%, $F$9) + CHOOSE(CONTROL!$C$27, 0.0021, 0)</f>
        <v>57.603200000000001</v>
      </c>
      <c r="I592" s="10">
        <f>57.6011 * CHOOSE(CONTROL!$C$9, $D$9, 100%, $F$9) + CHOOSE(CONTROL!$C$27, 0.0021, 0)</f>
        <v>57.603200000000001</v>
      </c>
      <c r="J592" s="10">
        <f>57.6011 * CHOOSE(CONTROL!$C$9, $D$9, 100%, $F$9) + CHOOSE(CONTROL!$C$27, 0.0021, 0)</f>
        <v>57.603200000000001</v>
      </c>
      <c r="K592" s="10">
        <f>57.6011 * CHOOSE(CONTROL!$C$9, $D$9, 100%, $F$9) + CHOOSE(CONTROL!$C$27, 0.0021, 0)</f>
        <v>57.603200000000001</v>
      </c>
      <c r="L592" s="10"/>
    </row>
    <row r="593" spans="1:12" ht="15.75" x14ac:dyDescent="0.25">
      <c r="A593" s="13">
        <v>58987</v>
      </c>
      <c r="B593" s="10">
        <f>58.7201 * CHOOSE(CONTROL!$C$9, $D$9, 100%, $F$9) + CHOOSE(CONTROL!$C$27, 0.0021, 0)</f>
        <v>58.722200000000001</v>
      </c>
      <c r="C593" s="10">
        <f>58.2878 * CHOOSE(CONTROL!$C$9, $D$9, 100%, $F$9) + CHOOSE(CONTROL!$C$27, 0.0021, 0)</f>
        <v>58.289899999999996</v>
      </c>
      <c r="D593" s="10">
        <f>58.2878 * CHOOSE(CONTROL!$C$9, $D$9, 100%, $F$9) + CHOOSE(CONTROL!$C$27, 0.0021, 0)</f>
        <v>58.289899999999996</v>
      </c>
      <c r="E593" s="10">
        <f>58.1512 * CHOOSE(CONTROL!$C$9, $D$9, 100%, $F$9) + CHOOSE(CONTROL!$C$27, 0.0021, 0)</f>
        <v>58.153300000000002</v>
      </c>
      <c r="F593" s="10">
        <f>58.1512 * CHOOSE(CONTROL!$C$9, $D$9, 100%, $F$9) + CHOOSE(CONTROL!$C$27, 0.0021, 0)</f>
        <v>58.153300000000002</v>
      </c>
      <c r="G593" s="10">
        <f>58.4226 * CHOOSE(CONTROL!$C$9, $D$9, 100%, $F$9) + CHOOSE(CONTROL!$C$27, 0.0021, 0)</f>
        <v>58.424700000000001</v>
      </c>
      <c r="H593" s="10">
        <f>58.2878 * CHOOSE(CONTROL!$C$9, $D$9, 100%, $F$9) + CHOOSE(CONTROL!$C$27, 0.0021, 0)</f>
        <v>58.289899999999996</v>
      </c>
      <c r="I593" s="10">
        <f>58.2878 * CHOOSE(CONTROL!$C$9, $D$9, 100%, $F$9) + CHOOSE(CONTROL!$C$27, 0.0021, 0)</f>
        <v>58.289899999999996</v>
      </c>
      <c r="J593" s="10">
        <f>58.2878 * CHOOSE(CONTROL!$C$9, $D$9, 100%, $F$9) + CHOOSE(CONTROL!$C$27, 0.0021, 0)</f>
        <v>58.289899999999996</v>
      </c>
      <c r="K593" s="10">
        <f>58.2878 * CHOOSE(CONTROL!$C$9, $D$9, 100%, $F$9) + CHOOSE(CONTROL!$C$27, 0.0021, 0)</f>
        <v>58.289899999999996</v>
      </c>
      <c r="L593" s="10"/>
    </row>
    <row r="594" spans="1:12" ht="15.75" x14ac:dyDescent="0.25">
      <c r="A594" s="13">
        <v>59018</v>
      </c>
      <c r="B594" s="10">
        <f>59.8529 * CHOOSE(CONTROL!$C$9, $D$9, 100%, $F$9) + CHOOSE(CONTROL!$C$27, 0.0021, 0)</f>
        <v>59.854999999999997</v>
      </c>
      <c r="C594" s="10">
        <f>59.4207 * CHOOSE(CONTROL!$C$9, $D$9, 100%, $F$9) + CHOOSE(CONTROL!$C$27, 0.0021, 0)</f>
        <v>59.422799999999995</v>
      </c>
      <c r="D594" s="10">
        <f>59.4207 * CHOOSE(CONTROL!$C$9, $D$9, 100%, $F$9) + CHOOSE(CONTROL!$C$27, 0.0021, 0)</f>
        <v>59.422799999999995</v>
      </c>
      <c r="E594" s="10">
        <f>59.284 * CHOOSE(CONTROL!$C$9, $D$9, 100%, $F$9) + CHOOSE(CONTROL!$C$27, 0.0021, 0)</f>
        <v>59.286099999999998</v>
      </c>
      <c r="F594" s="10">
        <f>59.284 * CHOOSE(CONTROL!$C$9, $D$9, 100%, $F$9) + CHOOSE(CONTROL!$C$27, 0.0021, 0)</f>
        <v>59.286099999999998</v>
      </c>
      <c r="G594" s="10">
        <f>59.5554 * CHOOSE(CONTROL!$C$9, $D$9, 100%, $F$9) + CHOOSE(CONTROL!$C$27, 0.0021, 0)</f>
        <v>59.557499999999997</v>
      </c>
      <c r="H594" s="10">
        <f>59.4207 * CHOOSE(CONTROL!$C$9, $D$9, 100%, $F$9) + CHOOSE(CONTROL!$C$27, 0.0021, 0)</f>
        <v>59.422799999999995</v>
      </c>
      <c r="I594" s="10">
        <f>59.4207 * CHOOSE(CONTROL!$C$9, $D$9, 100%, $F$9) + CHOOSE(CONTROL!$C$27, 0.0021, 0)</f>
        <v>59.422799999999995</v>
      </c>
      <c r="J594" s="10">
        <f>59.4207 * CHOOSE(CONTROL!$C$9, $D$9, 100%, $F$9) + CHOOSE(CONTROL!$C$27, 0.0021, 0)</f>
        <v>59.422799999999995</v>
      </c>
      <c r="K594" s="10">
        <f>59.4207 * CHOOSE(CONTROL!$C$9, $D$9, 100%, $F$9) + CHOOSE(CONTROL!$C$27, 0.0021, 0)</f>
        <v>59.422799999999995</v>
      </c>
      <c r="L594" s="10"/>
    </row>
    <row r="595" spans="1:12" ht="15.75" x14ac:dyDescent="0.25">
      <c r="A595" s="13">
        <v>59049</v>
      </c>
      <c r="B595" s="10">
        <f>60.1987 * CHOOSE(CONTROL!$C$9, $D$9, 100%, $F$9) + CHOOSE(CONTROL!$C$27, 0.0021, 0)</f>
        <v>60.200800000000001</v>
      </c>
      <c r="C595" s="10">
        <f>59.7664 * CHOOSE(CONTROL!$C$9, $D$9, 100%, $F$9) + CHOOSE(CONTROL!$C$27, 0.0021, 0)</f>
        <v>59.768499999999996</v>
      </c>
      <c r="D595" s="10">
        <f>59.7664 * CHOOSE(CONTROL!$C$9, $D$9, 100%, $F$9) + CHOOSE(CONTROL!$C$27, 0.0021, 0)</f>
        <v>59.768499999999996</v>
      </c>
      <c r="E595" s="10">
        <f>59.6298 * CHOOSE(CONTROL!$C$9, $D$9, 100%, $F$9) + CHOOSE(CONTROL!$C$27, 0.0021, 0)</f>
        <v>59.631900000000002</v>
      </c>
      <c r="F595" s="10">
        <f>59.6298 * CHOOSE(CONTROL!$C$9, $D$9, 100%, $F$9) + CHOOSE(CONTROL!$C$27, 0.0021, 0)</f>
        <v>59.631900000000002</v>
      </c>
      <c r="G595" s="10">
        <f>59.9012 * CHOOSE(CONTROL!$C$9, $D$9, 100%, $F$9) + CHOOSE(CONTROL!$C$27, 0.0021, 0)</f>
        <v>59.903300000000002</v>
      </c>
      <c r="H595" s="10">
        <f>59.7664 * CHOOSE(CONTROL!$C$9, $D$9, 100%, $F$9) + CHOOSE(CONTROL!$C$27, 0.0021, 0)</f>
        <v>59.768499999999996</v>
      </c>
      <c r="I595" s="10">
        <f>59.7664 * CHOOSE(CONTROL!$C$9, $D$9, 100%, $F$9) + CHOOSE(CONTROL!$C$27, 0.0021, 0)</f>
        <v>59.768499999999996</v>
      </c>
      <c r="J595" s="10">
        <f>59.7664 * CHOOSE(CONTROL!$C$9, $D$9, 100%, $F$9) + CHOOSE(CONTROL!$C$27, 0.0021, 0)</f>
        <v>59.768499999999996</v>
      </c>
      <c r="K595" s="10">
        <f>59.7664 * CHOOSE(CONTROL!$C$9, $D$9, 100%, $F$9) + CHOOSE(CONTROL!$C$27, 0.0021, 0)</f>
        <v>59.768499999999996</v>
      </c>
      <c r="L595" s="10"/>
    </row>
    <row r="596" spans="1:12" ht="15.75" x14ac:dyDescent="0.25">
      <c r="A596" s="13">
        <v>59079</v>
      </c>
      <c r="B596" s="10">
        <f>61.3762 * CHOOSE(CONTROL!$C$9, $D$9, 100%, $F$9) + CHOOSE(CONTROL!$C$27, 0.0021, 0)</f>
        <v>61.378299999999996</v>
      </c>
      <c r="C596" s="10">
        <f>60.944 * CHOOSE(CONTROL!$C$9, $D$9, 100%, $F$9) + CHOOSE(CONTROL!$C$27, 0.0021, 0)</f>
        <v>60.946100000000001</v>
      </c>
      <c r="D596" s="10">
        <f>60.944 * CHOOSE(CONTROL!$C$9, $D$9, 100%, $F$9) + CHOOSE(CONTROL!$C$27, 0.0021, 0)</f>
        <v>60.946100000000001</v>
      </c>
      <c r="E596" s="10">
        <f>60.8073 * CHOOSE(CONTROL!$C$9, $D$9, 100%, $F$9) + CHOOSE(CONTROL!$C$27, 0.0021, 0)</f>
        <v>60.809399999999997</v>
      </c>
      <c r="F596" s="10">
        <f>60.8073 * CHOOSE(CONTROL!$C$9, $D$9, 100%, $F$9) + CHOOSE(CONTROL!$C$27, 0.0021, 0)</f>
        <v>60.809399999999997</v>
      </c>
      <c r="G596" s="10">
        <f>61.0787 * CHOOSE(CONTROL!$C$9, $D$9, 100%, $F$9) + CHOOSE(CONTROL!$C$27, 0.0021, 0)</f>
        <v>61.080799999999996</v>
      </c>
      <c r="H596" s="10">
        <f>60.944 * CHOOSE(CONTROL!$C$9, $D$9, 100%, $F$9) + CHOOSE(CONTROL!$C$27, 0.0021, 0)</f>
        <v>60.946100000000001</v>
      </c>
      <c r="I596" s="10">
        <f>60.944 * CHOOSE(CONTROL!$C$9, $D$9, 100%, $F$9) + CHOOSE(CONTROL!$C$27, 0.0021, 0)</f>
        <v>60.946100000000001</v>
      </c>
      <c r="J596" s="10">
        <f>60.944 * CHOOSE(CONTROL!$C$9, $D$9, 100%, $F$9) + CHOOSE(CONTROL!$C$27, 0.0021, 0)</f>
        <v>60.946100000000001</v>
      </c>
      <c r="K596" s="10">
        <f>60.944 * CHOOSE(CONTROL!$C$9, $D$9, 100%, $F$9) + CHOOSE(CONTROL!$C$27, 0.0021, 0)</f>
        <v>60.946100000000001</v>
      </c>
      <c r="L596" s="10"/>
    </row>
    <row r="597" spans="1:12" ht="15.75" x14ac:dyDescent="0.25">
      <c r="A597" s="13">
        <v>59110</v>
      </c>
      <c r="B597" s="10">
        <f>62.8668 * CHOOSE(CONTROL!$C$9, $D$9, 100%, $F$9) + CHOOSE(CONTROL!$C$27, 0.0021, 0)</f>
        <v>62.868899999999996</v>
      </c>
      <c r="C597" s="10">
        <f>62.4345 * CHOOSE(CONTROL!$C$9, $D$9, 100%, $F$9) + CHOOSE(CONTROL!$C$27, 0.0021, 0)</f>
        <v>62.436599999999999</v>
      </c>
      <c r="D597" s="10">
        <f>62.4345 * CHOOSE(CONTROL!$C$9, $D$9, 100%, $F$9) + CHOOSE(CONTROL!$C$27, 0.0021, 0)</f>
        <v>62.436599999999999</v>
      </c>
      <c r="E597" s="10">
        <f>62.2978 * CHOOSE(CONTROL!$C$9, $D$9, 100%, $F$9) + CHOOSE(CONTROL!$C$27, 0.0021, 0)</f>
        <v>62.299900000000001</v>
      </c>
      <c r="F597" s="10">
        <f>62.2978 * CHOOSE(CONTROL!$C$9, $D$9, 100%, $F$9) + CHOOSE(CONTROL!$C$27, 0.0021, 0)</f>
        <v>62.299900000000001</v>
      </c>
      <c r="G597" s="10">
        <f>62.5692 * CHOOSE(CONTROL!$C$9, $D$9, 100%, $F$9) + CHOOSE(CONTROL!$C$27, 0.0021, 0)</f>
        <v>62.571300000000001</v>
      </c>
      <c r="H597" s="10">
        <f>62.4345 * CHOOSE(CONTROL!$C$9, $D$9, 100%, $F$9) + CHOOSE(CONTROL!$C$27, 0.0021, 0)</f>
        <v>62.436599999999999</v>
      </c>
      <c r="I597" s="10">
        <f>62.4345 * CHOOSE(CONTROL!$C$9, $D$9, 100%, $F$9) + CHOOSE(CONTROL!$C$27, 0.0021, 0)</f>
        <v>62.436599999999999</v>
      </c>
      <c r="J597" s="10">
        <f>62.4345 * CHOOSE(CONTROL!$C$9, $D$9, 100%, $F$9) + CHOOSE(CONTROL!$C$27, 0.0021, 0)</f>
        <v>62.436599999999999</v>
      </c>
      <c r="K597" s="10">
        <f>62.4345 * CHOOSE(CONTROL!$C$9, $D$9, 100%, $F$9) + CHOOSE(CONTROL!$C$27, 0.0021, 0)</f>
        <v>62.436599999999999</v>
      </c>
      <c r="L597" s="10"/>
    </row>
    <row r="598" spans="1:12" ht="15.75" x14ac:dyDescent="0.25">
      <c r="A598" s="13">
        <v>59140</v>
      </c>
      <c r="B598" s="10">
        <f>63.0067 * CHOOSE(CONTROL!$C$9, $D$9, 100%, $F$9) + CHOOSE(CONTROL!$C$27, 0.0021, 0)</f>
        <v>63.008800000000001</v>
      </c>
      <c r="C598" s="10">
        <f>62.5744 * CHOOSE(CONTROL!$C$9, $D$9, 100%, $F$9) + CHOOSE(CONTROL!$C$27, 0.0021, 0)</f>
        <v>62.576499999999996</v>
      </c>
      <c r="D598" s="10">
        <f>62.5744 * CHOOSE(CONTROL!$C$9, $D$9, 100%, $F$9) + CHOOSE(CONTROL!$C$27, 0.0021, 0)</f>
        <v>62.576499999999996</v>
      </c>
      <c r="E598" s="10">
        <f>62.4378 * CHOOSE(CONTROL!$C$9, $D$9, 100%, $F$9) + CHOOSE(CONTROL!$C$27, 0.0021, 0)</f>
        <v>62.439900000000002</v>
      </c>
      <c r="F598" s="10">
        <f>62.4378 * CHOOSE(CONTROL!$C$9, $D$9, 100%, $F$9) + CHOOSE(CONTROL!$C$27, 0.0021, 0)</f>
        <v>62.439900000000002</v>
      </c>
      <c r="G598" s="10">
        <f>62.7091 * CHOOSE(CONTROL!$C$9, $D$9, 100%, $F$9) + CHOOSE(CONTROL!$C$27, 0.0021, 0)</f>
        <v>62.711199999999998</v>
      </c>
      <c r="H598" s="10">
        <f>62.5744 * CHOOSE(CONTROL!$C$9, $D$9, 100%, $F$9) + CHOOSE(CONTROL!$C$27, 0.0021, 0)</f>
        <v>62.576499999999996</v>
      </c>
      <c r="I598" s="10">
        <f>62.5744 * CHOOSE(CONTROL!$C$9, $D$9, 100%, $F$9) + CHOOSE(CONTROL!$C$27, 0.0021, 0)</f>
        <v>62.576499999999996</v>
      </c>
      <c r="J598" s="10">
        <f>62.5744 * CHOOSE(CONTROL!$C$9, $D$9, 100%, $F$9) + CHOOSE(CONTROL!$C$27, 0.0021, 0)</f>
        <v>62.576499999999996</v>
      </c>
      <c r="K598" s="10">
        <f>62.5744 * CHOOSE(CONTROL!$C$9, $D$9, 100%, $F$9) + CHOOSE(CONTROL!$C$27, 0.0021, 0)</f>
        <v>62.576499999999996</v>
      </c>
      <c r="L598" s="10"/>
    </row>
    <row r="599" spans="1:12" ht="15.75" x14ac:dyDescent="0.25">
      <c r="A599" s="13">
        <v>59171</v>
      </c>
      <c r="B599" s="10">
        <f>61.8162 * CHOOSE(CONTROL!$C$9, $D$9, 100%, $F$9) + CHOOSE(CONTROL!$C$27, 0.0021, 0)</f>
        <v>61.818300000000001</v>
      </c>
      <c r="C599" s="10">
        <f>61.384 * CHOOSE(CONTROL!$C$9, $D$9, 100%, $F$9) + CHOOSE(CONTROL!$C$27, 0.0021, 0)</f>
        <v>61.386099999999999</v>
      </c>
      <c r="D599" s="10">
        <f>61.384 * CHOOSE(CONTROL!$C$9, $D$9, 100%, $F$9) + CHOOSE(CONTROL!$C$27, 0.0021, 0)</f>
        <v>61.386099999999999</v>
      </c>
      <c r="E599" s="10">
        <f>61.2473 * CHOOSE(CONTROL!$C$9, $D$9, 100%, $F$9) + CHOOSE(CONTROL!$C$27, 0.0021, 0)</f>
        <v>61.249400000000001</v>
      </c>
      <c r="F599" s="10">
        <f>61.2473 * CHOOSE(CONTROL!$C$9, $D$9, 100%, $F$9) + CHOOSE(CONTROL!$C$27, 0.0021, 0)</f>
        <v>61.249400000000001</v>
      </c>
      <c r="G599" s="10">
        <f>61.5187 * CHOOSE(CONTROL!$C$9, $D$9, 100%, $F$9) + CHOOSE(CONTROL!$C$27, 0.0021, 0)</f>
        <v>61.520800000000001</v>
      </c>
      <c r="H599" s="10">
        <f>61.384 * CHOOSE(CONTROL!$C$9, $D$9, 100%, $F$9) + CHOOSE(CONTROL!$C$27, 0.0021, 0)</f>
        <v>61.386099999999999</v>
      </c>
      <c r="I599" s="10">
        <f>61.384 * CHOOSE(CONTROL!$C$9, $D$9, 100%, $F$9) + CHOOSE(CONTROL!$C$27, 0.0021, 0)</f>
        <v>61.386099999999999</v>
      </c>
      <c r="J599" s="10">
        <f>61.384 * CHOOSE(CONTROL!$C$9, $D$9, 100%, $F$9) + CHOOSE(CONTROL!$C$27, 0.0021, 0)</f>
        <v>61.386099999999999</v>
      </c>
      <c r="K599" s="10">
        <f>61.384 * CHOOSE(CONTROL!$C$9, $D$9, 100%, $F$9) + CHOOSE(CONTROL!$C$27, 0.0021, 0)</f>
        <v>61.386099999999999</v>
      </c>
      <c r="L599" s="10"/>
    </row>
    <row r="600" spans="1:12" ht="15.75" x14ac:dyDescent="0.25">
      <c r="A600" s="13">
        <v>59202</v>
      </c>
      <c r="B600" s="10">
        <f>61.0363 * CHOOSE(CONTROL!$C$9, $D$9, 100%, $F$9) + CHOOSE(CONTROL!$C$27, 0.0021, 0)</f>
        <v>61.038399999999996</v>
      </c>
      <c r="C600" s="10">
        <f>60.6041 * CHOOSE(CONTROL!$C$9, $D$9, 100%, $F$9) + CHOOSE(CONTROL!$C$27, 0.0021, 0)</f>
        <v>60.606200000000001</v>
      </c>
      <c r="D600" s="10">
        <f>60.6041 * CHOOSE(CONTROL!$C$9, $D$9, 100%, $F$9) + CHOOSE(CONTROL!$C$27, 0.0021, 0)</f>
        <v>60.606200000000001</v>
      </c>
      <c r="E600" s="10">
        <f>60.4674 * CHOOSE(CONTROL!$C$9, $D$9, 100%, $F$9) + CHOOSE(CONTROL!$C$27, 0.0021, 0)</f>
        <v>60.469499999999996</v>
      </c>
      <c r="F600" s="10">
        <f>60.4674 * CHOOSE(CONTROL!$C$9, $D$9, 100%, $F$9) + CHOOSE(CONTROL!$C$27, 0.0021, 0)</f>
        <v>60.469499999999996</v>
      </c>
      <c r="G600" s="10">
        <f>60.7388 * CHOOSE(CONTROL!$C$9, $D$9, 100%, $F$9) + CHOOSE(CONTROL!$C$27, 0.0021, 0)</f>
        <v>60.740899999999996</v>
      </c>
      <c r="H600" s="10">
        <f>60.6041 * CHOOSE(CONTROL!$C$9, $D$9, 100%, $F$9) + CHOOSE(CONTROL!$C$27, 0.0021, 0)</f>
        <v>60.606200000000001</v>
      </c>
      <c r="I600" s="10">
        <f>60.6041 * CHOOSE(CONTROL!$C$9, $D$9, 100%, $F$9) + CHOOSE(CONTROL!$C$27, 0.0021, 0)</f>
        <v>60.606200000000001</v>
      </c>
      <c r="J600" s="10">
        <f>60.6041 * CHOOSE(CONTROL!$C$9, $D$9, 100%, $F$9) + CHOOSE(CONTROL!$C$27, 0.0021, 0)</f>
        <v>60.606200000000001</v>
      </c>
      <c r="K600" s="10">
        <f>60.6041 * CHOOSE(CONTROL!$C$9, $D$9, 100%, $F$9) + CHOOSE(CONTROL!$C$27, 0.0021, 0)</f>
        <v>60.606200000000001</v>
      </c>
      <c r="L600" s="10"/>
    </row>
    <row r="601" spans="1:12" ht="15.75" x14ac:dyDescent="0.25">
      <c r="A601" s="13">
        <v>59230</v>
      </c>
      <c r="B601" s="10">
        <f>59.3747 * CHOOSE(CONTROL!$C$9, $D$9, 100%, $F$9) + CHOOSE(CONTROL!$C$27, 0.0021, 0)</f>
        <v>59.376799999999996</v>
      </c>
      <c r="C601" s="10">
        <f>58.9425 * CHOOSE(CONTROL!$C$9, $D$9, 100%, $F$9) + CHOOSE(CONTROL!$C$27, 0.0021, 0)</f>
        <v>58.944600000000001</v>
      </c>
      <c r="D601" s="10">
        <f>58.9425 * CHOOSE(CONTROL!$C$9, $D$9, 100%, $F$9) + CHOOSE(CONTROL!$C$27, 0.0021, 0)</f>
        <v>58.944600000000001</v>
      </c>
      <c r="E601" s="10">
        <f>58.8058 * CHOOSE(CONTROL!$C$9, $D$9, 100%, $F$9) + CHOOSE(CONTROL!$C$27, 0.0021, 0)</f>
        <v>58.807899999999997</v>
      </c>
      <c r="F601" s="10">
        <f>58.8058 * CHOOSE(CONTROL!$C$9, $D$9, 100%, $F$9) + CHOOSE(CONTROL!$C$27, 0.0021, 0)</f>
        <v>58.807899999999997</v>
      </c>
      <c r="G601" s="10">
        <f>59.0772 * CHOOSE(CONTROL!$C$9, $D$9, 100%, $F$9) + CHOOSE(CONTROL!$C$27, 0.0021, 0)</f>
        <v>59.079299999999996</v>
      </c>
      <c r="H601" s="10">
        <f>58.9425 * CHOOSE(CONTROL!$C$9, $D$9, 100%, $F$9) + CHOOSE(CONTROL!$C$27, 0.0021, 0)</f>
        <v>58.944600000000001</v>
      </c>
      <c r="I601" s="10">
        <f>58.9425 * CHOOSE(CONTROL!$C$9, $D$9, 100%, $F$9) + CHOOSE(CONTROL!$C$27, 0.0021, 0)</f>
        <v>58.944600000000001</v>
      </c>
      <c r="J601" s="10">
        <f>58.9425 * CHOOSE(CONTROL!$C$9, $D$9, 100%, $F$9) + CHOOSE(CONTROL!$C$27, 0.0021, 0)</f>
        <v>58.944600000000001</v>
      </c>
      <c r="K601" s="10">
        <f>58.9425 * CHOOSE(CONTROL!$C$9, $D$9, 100%, $F$9) + CHOOSE(CONTROL!$C$27, 0.0021, 0)</f>
        <v>58.944600000000001</v>
      </c>
      <c r="L601" s="10"/>
    </row>
    <row r="602" spans="1:12" ht="15.75" x14ac:dyDescent="0.25">
      <c r="A602" s="13">
        <v>59261</v>
      </c>
      <c r="B602" s="10">
        <f>58.6888 * CHOOSE(CONTROL!$C$9, $D$9, 100%, $F$9) + CHOOSE(CONTROL!$C$27, 0.0021, 0)</f>
        <v>58.690899999999999</v>
      </c>
      <c r="C602" s="10">
        <f>58.2566 * CHOOSE(CONTROL!$C$9, $D$9, 100%, $F$9) + CHOOSE(CONTROL!$C$27, 0.0021, 0)</f>
        <v>58.258699999999997</v>
      </c>
      <c r="D602" s="10">
        <f>58.2566 * CHOOSE(CONTROL!$C$9, $D$9, 100%, $F$9) + CHOOSE(CONTROL!$C$27, 0.0021, 0)</f>
        <v>58.258699999999997</v>
      </c>
      <c r="E602" s="10">
        <f>58.1199 * CHOOSE(CONTROL!$C$9, $D$9, 100%, $F$9) + CHOOSE(CONTROL!$C$27, 0.0021, 0)</f>
        <v>58.122</v>
      </c>
      <c r="F602" s="10">
        <f>58.1199 * CHOOSE(CONTROL!$C$9, $D$9, 100%, $F$9) + CHOOSE(CONTROL!$C$27, 0.0021, 0)</f>
        <v>58.122</v>
      </c>
      <c r="G602" s="10">
        <f>58.3913 * CHOOSE(CONTROL!$C$9, $D$9, 100%, $F$9) + CHOOSE(CONTROL!$C$27, 0.0021, 0)</f>
        <v>58.3934</v>
      </c>
      <c r="H602" s="10">
        <f>58.2566 * CHOOSE(CONTROL!$C$9, $D$9, 100%, $F$9) + CHOOSE(CONTROL!$C$27, 0.0021, 0)</f>
        <v>58.258699999999997</v>
      </c>
      <c r="I602" s="10">
        <f>58.2566 * CHOOSE(CONTROL!$C$9, $D$9, 100%, $F$9) + CHOOSE(CONTROL!$C$27, 0.0021, 0)</f>
        <v>58.258699999999997</v>
      </c>
      <c r="J602" s="10">
        <f>58.2566 * CHOOSE(CONTROL!$C$9, $D$9, 100%, $F$9) + CHOOSE(CONTROL!$C$27, 0.0021, 0)</f>
        <v>58.258699999999997</v>
      </c>
      <c r="K602" s="10">
        <f>58.2566 * CHOOSE(CONTROL!$C$9, $D$9, 100%, $F$9) + CHOOSE(CONTROL!$C$27, 0.0021, 0)</f>
        <v>58.258699999999997</v>
      </c>
      <c r="L602" s="10"/>
    </row>
    <row r="603" spans="1:12" ht="15.75" x14ac:dyDescent="0.25">
      <c r="A603" s="13">
        <v>59291</v>
      </c>
      <c r="B603" s="10">
        <f>57.8698 * CHOOSE(CONTROL!$C$9, $D$9, 100%, $F$9) + CHOOSE(CONTROL!$C$27, 0.0021, 0)</f>
        <v>57.871899999999997</v>
      </c>
      <c r="C603" s="10">
        <f>57.4376 * CHOOSE(CONTROL!$C$9, $D$9, 100%, $F$9) + CHOOSE(CONTROL!$C$27, 0.0021, 0)</f>
        <v>57.439700000000002</v>
      </c>
      <c r="D603" s="10">
        <f>57.4376 * CHOOSE(CONTROL!$C$9, $D$9, 100%, $F$9) + CHOOSE(CONTROL!$C$27, 0.0021, 0)</f>
        <v>57.439700000000002</v>
      </c>
      <c r="E603" s="10">
        <f>57.3009 * CHOOSE(CONTROL!$C$9, $D$9, 100%, $F$9) + CHOOSE(CONTROL!$C$27, 0.0021, 0)</f>
        <v>57.302999999999997</v>
      </c>
      <c r="F603" s="10">
        <f>57.3009 * CHOOSE(CONTROL!$C$9, $D$9, 100%, $F$9) + CHOOSE(CONTROL!$C$27, 0.0021, 0)</f>
        <v>57.302999999999997</v>
      </c>
      <c r="G603" s="10">
        <f>57.5723 * CHOOSE(CONTROL!$C$9, $D$9, 100%, $F$9) + CHOOSE(CONTROL!$C$27, 0.0021, 0)</f>
        <v>57.574399999999997</v>
      </c>
      <c r="H603" s="10">
        <f>57.4376 * CHOOSE(CONTROL!$C$9, $D$9, 100%, $F$9) + CHOOSE(CONTROL!$C$27, 0.0021, 0)</f>
        <v>57.439700000000002</v>
      </c>
      <c r="I603" s="10">
        <f>57.4376 * CHOOSE(CONTROL!$C$9, $D$9, 100%, $F$9) + CHOOSE(CONTROL!$C$27, 0.0021, 0)</f>
        <v>57.439700000000002</v>
      </c>
      <c r="J603" s="10">
        <f>57.4376 * CHOOSE(CONTROL!$C$9, $D$9, 100%, $F$9) + CHOOSE(CONTROL!$C$27, 0.0021, 0)</f>
        <v>57.439700000000002</v>
      </c>
      <c r="K603" s="10">
        <f>57.4376 * CHOOSE(CONTROL!$C$9, $D$9, 100%, $F$9) + CHOOSE(CONTROL!$C$27, 0.0021, 0)</f>
        <v>57.439700000000002</v>
      </c>
      <c r="L603" s="10"/>
    </row>
    <row r="604" spans="1:12" ht="15.75" x14ac:dyDescent="0.25">
      <c r="A604" s="13">
        <v>59322</v>
      </c>
      <c r="B604" s="10">
        <f>59.037 * CHOOSE(CONTROL!$C$9, $D$9, 100%, $F$9) + CHOOSE(CONTROL!$C$27, 0.0021, 0)</f>
        <v>59.039099999999998</v>
      </c>
      <c r="C604" s="10">
        <f>58.6047 * CHOOSE(CONTROL!$C$9, $D$9, 100%, $F$9) + CHOOSE(CONTROL!$C$27, 0.0021, 0)</f>
        <v>58.6068</v>
      </c>
      <c r="D604" s="10">
        <f>58.6047 * CHOOSE(CONTROL!$C$9, $D$9, 100%, $F$9) + CHOOSE(CONTROL!$C$27, 0.0021, 0)</f>
        <v>58.6068</v>
      </c>
      <c r="E604" s="10">
        <f>58.4681 * CHOOSE(CONTROL!$C$9, $D$9, 100%, $F$9) + CHOOSE(CONTROL!$C$27, 0.0021, 0)</f>
        <v>58.470199999999998</v>
      </c>
      <c r="F604" s="10">
        <f>58.4681 * CHOOSE(CONTROL!$C$9, $D$9, 100%, $F$9) + CHOOSE(CONTROL!$C$27, 0.0021, 0)</f>
        <v>58.470199999999998</v>
      </c>
      <c r="G604" s="10">
        <f>58.7395 * CHOOSE(CONTROL!$C$9, $D$9, 100%, $F$9) + CHOOSE(CONTROL!$C$27, 0.0021, 0)</f>
        <v>58.741599999999998</v>
      </c>
      <c r="H604" s="10">
        <f>58.6047 * CHOOSE(CONTROL!$C$9, $D$9, 100%, $F$9) + CHOOSE(CONTROL!$C$27, 0.0021, 0)</f>
        <v>58.6068</v>
      </c>
      <c r="I604" s="10">
        <f>58.6047 * CHOOSE(CONTROL!$C$9, $D$9, 100%, $F$9) + CHOOSE(CONTROL!$C$27, 0.0021, 0)</f>
        <v>58.6068</v>
      </c>
      <c r="J604" s="10">
        <f>58.6047 * CHOOSE(CONTROL!$C$9, $D$9, 100%, $F$9) + CHOOSE(CONTROL!$C$27, 0.0021, 0)</f>
        <v>58.6068</v>
      </c>
      <c r="K604" s="10">
        <f>58.6047 * CHOOSE(CONTROL!$C$9, $D$9, 100%, $F$9) + CHOOSE(CONTROL!$C$27, 0.0021, 0)</f>
        <v>58.6068</v>
      </c>
      <c r="L604" s="10"/>
    </row>
    <row r="605" spans="1:12" ht="15.75" x14ac:dyDescent="0.25">
      <c r="A605" s="13">
        <v>59352</v>
      </c>
      <c r="B605" s="10">
        <f>59.7361 * CHOOSE(CONTROL!$C$9, $D$9, 100%, $F$9) + CHOOSE(CONTROL!$C$27, 0.0021, 0)</f>
        <v>59.738199999999999</v>
      </c>
      <c r="C605" s="10">
        <f>59.3038 * CHOOSE(CONTROL!$C$9, $D$9, 100%, $F$9) + CHOOSE(CONTROL!$C$27, 0.0021, 0)</f>
        <v>59.305900000000001</v>
      </c>
      <c r="D605" s="10">
        <f>59.3038 * CHOOSE(CONTROL!$C$9, $D$9, 100%, $F$9) + CHOOSE(CONTROL!$C$27, 0.0021, 0)</f>
        <v>59.305900000000001</v>
      </c>
      <c r="E605" s="10">
        <f>59.1672 * CHOOSE(CONTROL!$C$9, $D$9, 100%, $F$9) + CHOOSE(CONTROL!$C$27, 0.0021, 0)</f>
        <v>59.1693</v>
      </c>
      <c r="F605" s="10">
        <f>59.1672 * CHOOSE(CONTROL!$C$9, $D$9, 100%, $F$9) + CHOOSE(CONTROL!$C$27, 0.0021, 0)</f>
        <v>59.1693</v>
      </c>
      <c r="G605" s="10">
        <f>59.4385 * CHOOSE(CONTROL!$C$9, $D$9, 100%, $F$9) + CHOOSE(CONTROL!$C$27, 0.0021, 0)</f>
        <v>59.440599999999996</v>
      </c>
      <c r="H605" s="10">
        <f>59.3038 * CHOOSE(CONTROL!$C$9, $D$9, 100%, $F$9) + CHOOSE(CONTROL!$C$27, 0.0021, 0)</f>
        <v>59.305900000000001</v>
      </c>
      <c r="I605" s="10">
        <f>59.3038 * CHOOSE(CONTROL!$C$9, $D$9, 100%, $F$9) + CHOOSE(CONTROL!$C$27, 0.0021, 0)</f>
        <v>59.305900000000001</v>
      </c>
      <c r="J605" s="10">
        <f>59.3038 * CHOOSE(CONTROL!$C$9, $D$9, 100%, $F$9) + CHOOSE(CONTROL!$C$27, 0.0021, 0)</f>
        <v>59.305900000000001</v>
      </c>
      <c r="K605" s="10">
        <f>59.3038 * CHOOSE(CONTROL!$C$9, $D$9, 100%, $F$9) + CHOOSE(CONTROL!$C$27, 0.0021, 0)</f>
        <v>59.305900000000001</v>
      </c>
      <c r="L605" s="10"/>
    </row>
    <row r="606" spans="1:12" ht="15.75" x14ac:dyDescent="0.25">
      <c r="A606" s="13">
        <v>59383</v>
      </c>
      <c r="B606" s="10">
        <f>60.8893 * CHOOSE(CONTROL!$C$9, $D$9, 100%, $F$9) + CHOOSE(CONTROL!$C$27, 0.0021, 0)</f>
        <v>60.891399999999997</v>
      </c>
      <c r="C606" s="10">
        <f>60.457 * CHOOSE(CONTROL!$C$9, $D$9, 100%, $F$9) + CHOOSE(CONTROL!$C$27, 0.0021, 0)</f>
        <v>60.459099999999999</v>
      </c>
      <c r="D606" s="10">
        <f>60.457 * CHOOSE(CONTROL!$C$9, $D$9, 100%, $F$9) + CHOOSE(CONTROL!$C$27, 0.0021, 0)</f>
        <v>60.459099999999999</v>
      </c>
      <c r="E606" s="10">
        <f>60.3204 * CHOOSE(CONTROL!$C$9, $D$9, 100%, $F$9) + CHOOSE(CONTROL!$C$27, 0.0021, 0)</f>
        <v>60.322499999999998</v>
      </c>
      <c r="F606" s="10">
        <f>60.3204 * CHOOSE(CONTROL!$C$9, $D$9, 100%, $F$9) + CHOOSE(CONTROL!$C$27, 0.0021, 0)</f>
        <v>60.322499999999998</v>
      </c>
      <c r="G606" s="10">
        <f>60.5918 * CHOOSE(CONTROL!$C$9, $D$9, 100%, $F$9) + CHOOSE(CONTROL!$C$27, 0.0021, 0)</f>
        <v>60.593899999999998</v>
      </c>
      <c r="H606" s="10">
        <f>60.457 * CHOOSE(CONTROL!$C$9, $D$9, 100%, $F$9) + CHOOSE(CONTROL!$C$27, 0.0021, 0)</f>
        <v>60.459099999999999</v>
      </c>
      <c r="I606" s="10">
        <f>60.457 * CHOOSE(CONTROL!$C$9, $D$9, 100%, $F$9) + CHOOSE(CONTROL!$C$27, 0.0021, 0)</f>
        <v>60.459099999999999</v>
      </c>
      <c r="J606" s="10">
        <f>60.457 * CHOOSE(CONTROL!$C$9, $D$9, 100%, $F$9) + CHOOSE(CONTROL!$C$27, 0.0021, 0)</f>
        <v>60.459099999999999</v>
      </c>
      <c r="K606" s="10">
        <f>60.457 * CHOOSE(CONTROL!$C$9, $D$9, 100%, $F$9) + CHOOSE(CONTROL!$C$27, 0.0021, 0)</f>
        <v>60.459099999999999</v>
      </c>
      <c r="L606" s="10"/>
    </row>
    <row r="607" spans="1:12" ht="15.75" x14ac:dyDescent="0.25">
      <c r="A607" s="13">
        <v>59414</v>
      </c>
      <c r="B607" s="10">
        <f>61.2413 * CHOOSE(CONTROL!$C$9, $D$9, 100%, $F$9) + CHOOSE(CONTROL!$C$27, 0.0021, 0)</f>
        <v>61.243400000000001</v>
      </c>
      <c r="C607" s="10">
        <f>60.809 * CHOOSE(CONTROL!$C$9, $D$9, 100%, $F$9) + CHOOSE(CONTROL!$C$27, 0.0021, 0)</f>
        <v>60.811099999999996</v>
      </c>
      <c r="D607" s="10">
        <f>60.809 * CHOOSE(CONTROL!$C$9, $D$9, 100%, $F$9) + CHOOSE(CONTROL!$C$27, 0.0021, 0)</f>
        <v>60.811099999999996</v>
      </c>
      <c r="E607" s="10">
        <f>60.6724 * CHOOSE(CONTROL!$C$9, $D$9, 100%, $F$9) + CHOOSE(CONTROL!$C$27, 0.0021, 0)</f>
        <v>60.674500000000002</v>
      </c>
      <c r="F607" s="10">
        <f>60.6724 * CHOOSE(CONTROL!$C$9, $D$9, 100%, $F$9) + CHOOSE(CONTROL!$C$27, 0.0021, 0)</f>
        <v>60.674500000000002</v>
      </c>
      <c r="G607" s="10">
        <f>60.9437 * CHOOSE(CONTROL!$C$9, $D$9, 100%, $F$9) + CHOOSE(CONTROL!$C$27, 0.0021, 0)</f>
        <v>60.945799999999998</v>
      </c>
      <c r="H607" s="10">
        <f>60.809 * CHOOSE(CONTROL!$C$9, $D$9, 100%, $F$9) + CHOOSE(CONTROL!$C$27, 0.0021, 0)</f>
        <v>60.811099999999996</v>
      </c>
      <c r="I607" s="10">
        <f>60.809 * CHOOSE(CONTROL!$C$9, $D$9, 100%, $F$9) + CHOOSE(CONTROL!$C$27, 0.0021, 0)</f>
        <v>60.811099999999996</v>
      </c>
      <c r="J607" s="10">
        <f>60.809 * CHOOSE(CONTROL!$C$9, $D$9, 100%, $F$9) + CHOOSE(CONTROL!$C$27, 0.0021, 0)</f>
        <v>60.811099999999996</v>
      </c>
      <c r="K607" s="10">
        <f>60.809 * CHOOSE(CONTROL!$C$9, $D$9, 100%, $F$9) + CHOOSE(CONTROL!$C$27, 0.0021, 0)</f>
        <v>60.811099999999996</v>
      </c>
      <c r="L607" s="10"/>
    </row>
    <row r="608" spans="1:12" ht="15.75" x14ac:dyDescent="0.25">
      <c r="A608" s="13">
        <v>59444</v>
      </c>
      <c r="B608" s="10">
        <f>62.44 * CHOOSE(CONTROL!$C$9, $D$9, 100%, $F$9) + CHOOSE(CONTROL!$C$27, 0.0021, 0)</f>
        <v>62.442099999999996</v>
      </c>
      <c r="C608" s="10">
        <f>62.0078 * CHOOSE(CONTROL!$C$9, $D$9, 100%, $F$9) + CHOOSE(CONTROL!$C$27, 0.0021, 0)</f>
        <v>62.009900000000002</v>
      </c>
      <c r="D608" s="10">
        <f>62.0078 * CHOOSE(CONTROL!$C$9, $D$9, 100%, $F$9) + CHOOSE(CONTROL!$C$27, 0.0021, 0)</f>
        <v>62.009900000000002</v>
      </c>
      <c r="E608" s="10">
        <f>61.8711 * CHOOSE(CONTROL!$C$9, $D$9, 100%, $F$9) + CHOOSE(CONTROL!$C$27, 0.0021, 0)</f>
        <v>61.873199999999997</v>
      </c>
      <c r="F608" s="10">
        <f>61.8711 * CHOOSE(CONTROL!$C$9, $D$9, 100%, $F$9) + CHOOSE(CONTROL!$C$27, 0.0021, 0)</f>
        <v>61.873199999999997</v>
      </c>
      <c r="G608" s="10">
        <f>62.1425 * CHOOSE(CONTROL!$C$9, $D$9, 100%, $F$9) + CHOOSE(CONTROL!$C$27, 0.0021, 0)</f>
        <v>62.144599999999997</v>
      </c>
      <c r="H608" s="10">
        <f>62.0078 * CHOOSE(CONTROL!$C$9, $D$9, 100%, $F$9) + CHOOSE(CONTROL!$C$27, 0.0021, 0)</f>
        <v>62.009900000000002</v>
      </c>
      <c r="I608" s="10">
        <f>62.0078 * CHOOSE(CONTROL!$C$9, $D$9, 100%, $F$9) + CHOOSE(CONTROL!$C$27, 0.0021, 0)</f>
        <v>62.009900000000002</v>
      </c>
      <c r="J608" s="10">
        <f>62.0078 * CHOOSE(CONTROL!$C$9, $D$9, 100%, $F$9) + CHOOSE(CONTROL!$C$27, 0.0021, 0)</f>
        <v>62.009900000000002</v>
      </c>
      <c r="K608" s="10">
        <f>62.0078 * CHOOSE(CONTROL!$C$9, $D$9, 100%, $F$9) + CHOOSE(CONTROL!$C$27, 0.0021, 0)</f>
        <v>62.009900000000002</v>
      </c>
      <c r="L608" s="10"/>
    </row>
    <row r="609" spans="1:12" ht="15.75" x14ac:dyDescent="0.25">
      <c r="A609" s="13">
        <v>59475</v>
      </c>
      <c r="B609" s="10">
        <f>63.9574 * CHOOSE(CONTROL!$C$9, $D$9, 100%, $F$9) + CHOOSE(CONTROL!$C$27, 0.0021, 0)</f>
        <v>63.959499999999998</v>
      </c>
      <c r="C609" s="10">
        <f>63.5251 * CHOOSE(CONTROL!$C$9, $D$9, 100%, $F$9) + CHOOSE(CONTROL!$C$27, 0.0021, 0)</f>
        <v>63.527200000000001</v>
      </c>
      <c r="D609" s="10">
        <f>63.5251 * CHOOSE(CONTROL!$C$9, $D$9, 100%, $F$9) + CHOOSE(CONTROL!$C$27, 0.0021, 0)</f>
        <v>63.527200000000001</v>
      </c>
      <c r="E609" s="10">
        <f>63.3885 * CHOOSE(CONTROL!$C$9, $D$9, 100%, $F$9) + CHOOSE(CONTROL!$C$27, 0.0021, 0)</f>
        <v>63.390599999999999</v>
      </c>
      <c r="F609" s="10">
        <f>63.3885 * CHOOSE(CONTROL!$C$9, $D$9, 100%, $F$9) + CHOOSE(CONTROL!$C$27, 0.0021, 0)</f>
        <v>63.390599999999999</v>
      </c>
      <c r="G609" s="10">
        <f>63.6599 * CHOOSE(CONTROL!$C$9, $D$9, 100%, $F$9) + CHOOSE(CONTROL!$C$27, 0.0021, 0)</f>
        <v>63.661999999999999</v>
      </c>
      <c r="H609" s="10">
        <f>63.5251 * CHOOSE(CONTROL!$C$9, $D$9, 100%, $F$9) + CHOOSE(CONTROL!$C$27, 0.0021, 0)</f>
        <v>63.527200000000001</v>
      </c>
      <c r="I609" s="10">
        <f>63.5251 * CHOOSE(CONTROL!$C$9, $D$9, 100%, $F$9) + CHOOSE(CONTROL!$C$27, 0.0021, 0)</f>
        <v>63.527200000000001</v>
      </c>
      <c r="J609" s="10">
        <f>63.5251 * CHOOSE(CONTROL!$C$9, $D$9, 100%, $F$9) + CHOOSE(CONTROL!$C$27, 0.0021, 0)</f>
        <v>63.527200000000001</v>
      </c>
      <c r="K609" s="10">
        <f>63.5251 * CHOOSE(CONTROL!$C$9, $D$9, 100%, $F$9) + CHOOSE(CONTROL!$C$27, 0.0021, 0)</f>
        <v>63.527200000000001</v>
      </c>
      <c r="L609" s="10"/>
    </row>
    <row r="610" spans="1:12" ht="15.75" x14ac:dyDescent="0.25">
      <c r="A610" s="13">
        <v>59505</v>
      </c>
      <c r="B610" s="10">
        <f>64.0998 * CHOOSE(CONTROL!$C$9, $D$9, 100%, $F$9) + CHOOSE(CONTROL!$C$27, 0.0021, 0)</f>
        <v>64.101900000000001</v>
      </c>
      <c r="C610" s="10">
        <f>63.6676 * CHOOSE(CONTROL!$C$9, $D$9, 100%, $F$9) + CHOOSE(CONTROL!$C$27, 0.0021, 0)</f>
        <v>63.669699999999999</v>
      </c>
      <c r="D610" s="10">
        <f>63.6676 * CHOOSE(CONTROL!$C$9, $D$9, 100%, $F$9) + CHOOSE(CONTROL!$C$27, 0.0021, 0)</f>
        <v>63.669699999999999</v>
      </c>
      <c r="E610" s="10">
        <f>63.5309 * CHOOSE(CONTROL!$C$9, $D$9, 100%, $F$9) + CHOOSE(CONTROL!$C$27, 0.0021, 0)</f>
        <v>63.533000000000001</v>
      </c>
      <c r="F610" s="10">
        <f>63.5309 * CHOOSE(CONTROL!$C$9, $D$9, 100%, $F$9) + CHOOSE(CONTROL!$C$27, 0.0021, 0)</f>
        <v>63.533000000000001</v>
      </c>
      <c r="G610" s="10">
        <f>63.8023 * CHOOSE(CONTROL!$C$9, $D$9, 100%, $F$9) + CHOOSE(CONTROL!$C$27, 0.0021, 0)</f>
        <v>63.804400000000001</v>
      </c>
      <c r="H610" s="10">
        <f>63.6676 * CHOOSE(CONTROL!$C$9, $D$9, 100%, $F$9) + CHOOSE(CONTROL!$C$27, 0.0021, 0)</f>
        <v>63.669699999999999</v>
      </c>
      <c r="I610" s="10">
        <f>63.6676 * CHOOSE(CONTROL!$C$9, $D$9, 100%, $F$9) + CHOOSE(CONTROL!$C$27, 0.0021, 0)</f>
        <v>63.669699999999999</v>
      </c>
      <c r="J610" s="10">
        <f>63.6676 * CHOOSE(CONTROL!$C$9, $D$9, 100%, $F$9) + CHOOSE(CONTROL!$C$27, 0.0021, 0)</f>
        <v>63.669699999999999</v>
      </c>
      <c r="K610" s="10">
        <f>63.6676 * CHOOSE(CONTROL!$C$9, $D$9, 100%, $F$9) + CHOOSE(CONTROL!$C$27, 0.0021, 0)</f>
        <v>63.669699999999999</v>
      </c>
      <c r="L610" s="10"/>
    </row>
    <row r="611" spans="1:12" ht="15.75" x14ac:dyDescent="0.25">
      <c r="A611" s="13">
        <v>59536</v>
      </c>
      <c r="B611" s="10">
        <f>62.8879 * CHOOSE(CONTROL!$C$9, $D$9, 100%, $F$9) + CHOOSE(CONTROL!$C$27, 0.0021, 0)</f>
        <v>62.89</v>
      </c>
      <c r="C611" s="10">
        <f>62.4557 * CHOOSE(CONTROL!$C$9, $D$9, 100%, $F$9) + CHOOSE(CONTROL!$C$27, 0.0021, 0)</f>
        <v>62.457799999999999</v>
      </c>
      <c r="D611" s="10">
        <f>62.4557 * CHOOSE(CONTROL!$C$9, $D$9, 100%, $F$9) + CHOOSE(CONTROL!$C$27, 0.0021, 0)</f>
        <v>62.457799999999999</v>
      </c>
      <c r="E611" s="10">
        <f>62.319 * CHOOSE(CONTROL!$C$9, $D$9, 100%, $F$9) + CHOOSE(CONTROL!$C$27, 0.0021, 0)</f>
        <v>62.321100000000001</v>
      </c>
      <c r="F611" s="10">
        <f>62.319 * CHOOSE(CONTROL!$C$9, $D$9, 100%, $F$9) + CHOOSE(CONTROL!$C$27, 0.0021, 0)</f>
        <v>62.321100000000001</v>
      </c>
      <c r="G611" s="10">
        <f>62.5904 * CHOOSE(CONTROL!$C$9, $D$9, 100%, $F$9) + CHOOSE(CONTROL!$C$27, 0.0021, 0)</f>
        <v>62.592500000000001</v>
      </c>
      <c r="H611" s="10">
        <f>62.4557 * CHOOSE(CONTROL!$C$9, $D$9, 100%, $F$9) + CHOOSE(CONTROL!$C$27, 0.0021, 0)</f>
        <v>62.457799999999999</v>
      </c>
      <c r="I611" s="10">
        <f>62.4557 * CHOOSE(CONTROL!$C$9, $D$9, 100%, $F$9) + CHOOSE(CONTROL!$C$27, 0.0021, 0)</f>
        <v>62.457799999999999</v>
      </c>
      <c r="J611" s="10">
        <f>62.4557 * CHOOSE(CONTROL!$C$9, $D$9, 100%, $F$9) + CHOOSE(CONTROL!$C$27, 0.0021, 0)</f>
        <v>62.457799999999999</v>
      </c>
      <c r="K611" s="10">
        <f>62.4557 * CHOOSE(CONTROL!$C$9, $D$9, 100%, $F$9) + CHOOSE(CONTROL!$C$27, 0.0021, 0)</f>
        <v>62.457799999999999</v>
      </c>
      <c r="L611" s="10"/>
    </row>
    <row r="612" spans="1:12" ht="15.75" x14ac:dyDescent="0.25">
      <c r="A612" s="13">
        <v>59567</v>
      </c>
      <c r="B612" s="10">
        <f>62.094 * CHOOSE(CONTROL!$C$9, $D$9, 100%, $F$9) + CHOOSE(CONTROL!$C$27, 0.0021, 0)</f>
        <v>62.0961</v>
      </c>
      <c r="C612" s="10">
        <f>61.6617 * CHOOSE(CONTROL!$C$9, $D$9, 100%, $F$9) + CHOOSE(CONTROL!$C$27, 0.0021, 0)</f>
        <v>61.663800000000002</v>
      </c>
      <c r="D612" s="10">
        <f>61.6617 * CHOOSE(CONTROL!$C$9, $D$9, 100%, $F$9) + CHOOSE(CONTROL!$C$27, 0.0021, 0)</f>
        <v>61.663800000000002</v>
      </c>
      <c r="E612" s="10">
        <f>61.5251 * CHOOSE(CONTROL!$C$9, $D$9, 100%, $F$9) + CHOOSE(CONTROL!$C$27, 0.0021, 0)</f>
        <v>61.527200000000001</v>
      </c>
      <c r="F612" s="10">
        <f>61.5251 * CHOOSE(CONTROL!$C$9, $D$9, 100%, $F$9) + CHOOSE(CONTROL!$C$27, 0.0021, 0)</f>
        <v>61.527200000000001</v>
      </c>
      <c r="G612" s="10">
        <f>61.7965 * CHOOSE(CONTROL!$C$9, $D$9, 100%, $F$9) + CHOOSE(CONTROL!$C$27, 0.0021, 0)</f>
        <v>61.7986</v>
      </c>
      <c r="H612" s="10">
        <f>61.6617 * CHOOSE(CONTROL!$C$9, $D$9, 100%, $F$9) + CHOOSE(CONTROL!$C$27, 0.0021, 0)</f>
        <v>61.663800000000002</v>
      </c>
      <c r="I612" s="10">
        <f>61.6617 * CHOOSE(CONTROL!$C$9, $D$9, 100%, $F$9) + CHOOSE(CONTROL!$C$27, 0.0021, 0)</f>
        <v>61.663800000000002</v>
      </c>
      <c r="J612" s="10">
        <f>61.6617 * CHOOSE(CONTROL!$C$9, $D$9, 100%, $F$9) + CHOOSE(CONTROL!$C$27, 0.0021, 0)</f>
        <v>61.663800000000002</v>
      </c>
      <c r="K612" s="10">
        <f>61.6617 * CHOOSE(CONTROL!$C$9, $D$9, 100%, $F$9) + CHOOSE(CONTROL!$C$27, 0.0021, 0)</f>
        <v>61.663800000000002</v>
      </c>
      <c r="L612" s="10"/>
    </row>
    <row r="613" spans="1:12" ht="15.75" x14ac:dyDescent="0.25">
      <c r="A613" s="13">
        <v>59595</v>
      </c>
      <c r="B613" s="10">
        <f>60.4025 * CHOOSE(CONTROL!$C$9, $D$9, 100%, $F$9) + CHOOSE(CONTROL!$C$27, 0.0021, 0)</f>
        <v>60.404600000000002</v>
      </c>
      <c r="C613" s="10">
        <f>59.9702 * CHOOSE(CONTROL!$C$9, $D$9, 100%, $F$9) + CHOOSE(CONTROL!$C$27, 0.0021, 0)</f>
        <v>59.972299999999997</v>
      </c>
      <c r="D613" s="10">
        <f>59.9702 * CHOOSE(CONTROL!$C$9, $D$9, 100%, $F$9) + CHOOSE(CONTROL!$C$27, 0.0021, 0)</f>
        <v>59.972299999999997</v>
      </c>
      <c r="E613" s="10">
        <f>59.8336 * CHOOSE(CONTROL!$C$9, $D$9, 100%, $F$9) + CHOOSE(CONTROL!$C$27, 0.0021, 0)</f>
        <v>59.835699999999996</v>
      </c>
      <c r="F613" s="10">
        <f>59.8336 * CHOOSE(CONTROL!$C$9, $D$9, 100%, $F$9) + CHOOSE(CONTROL!$C$27, 0.0021, 0)</f>
        <v>59.835699999999996</v>
      </c>
      <c r="G613" s="10">
        <f>60.1049 * CHOOSE(CONTROL!$C$9, $D$9, 100%, $F$9) + CHOOSE(CONTROL!$C$27, 0.0021, 0)</f>
        <v>60.106999999999999</v>
      </c>
      <c r="H613" s="10">
        <f>59.9702 * CHOOSE(CONTROL!$C$9, $D$9, 100%, $F$9) + CHOOSE(CONTROL!$C$27, 0.0021, 0)</f>
        <v>59.972299999999997</v>
      </c>
      <c r="I613" s="10">
        <f>59.9702 * CHOOSE(CONTROL!$C$9, $D$9, 100%, $F$9) + CHOOSE(CONTROL!$C$27, 0.0021, 0)</f>
        <v>59.972299999999997</v>
      </c>
      <c r="J613" s="10">
        <f>59.9702 * CHOOSE(CONTROL!$C$9, $D$9, 100%, $F$9) + CHOOSE(CONTROL!$C$27, 0.0021, 0)</f>
        <v>59.972299999999997</v>
      </c>
      <c r="K613" s="10">
        <f>59.9702 * CHOOSE(CONTROL!$C$9, $D$9, 100%, $F$9) + CHOOSE(CONTROL!$C$27, 0.0021, 0)</f>
        <v>59.972299999999997</v>
      </c>
      <c r="L613" s="10"/>
    </row>
    <row r="614" spans="1:12" ht="15.75" x14ac:dyDescent="0.25">
      <c r="A614" s="13">
        <v>59626</v>
      </c>
      <c r="B614" s="10">
        <f>59.7042 * CHOOSE(CONTROL!$C$9, $D$9, 100%, $F$9) + CHOOSE(CONTROL!$C$27, 0.0021, 0)</f>
        <v>59.706299999999999</v>
      </c>
      <c r="C614" s="10">
        <f>59.272 * CHOOSE(CONTROL!$C$9, $D$9, 100%, $F$9) + CHOOSE(CONTROL!$C$27, 0.0021, 0)</f>
        <v>59.274099999999997</v>
      </c>
      <c r="D614" s="10">
        <f>59.272 * CHOOSE(CONTROL!$C$9, $D$9, 100%, $F$9) + CHOOSE(CONTROL!$C$27, 0.0021, 0)</f>
        <v>59.274099999999997</v>
      </c>
      <c r="E614" s="10">
        <f>59.1353 * CHOOSE(CONTROL!$C$9, $D$9, 100%, $F$9) + CHOOSE(CONTROL!$C$27, 0.0021, 0)</f>
        <v>59.1374</v>
      </c>
      <c r="F614" s="10">
        <f>59.1353 * CHOOSE(CONTROL!$C$9, $D$9, 100%, $F$9) + CHOOSE(CONTROL!$C$27, 0.0021, 0)</f>
        <v>59.1374</v>
      </c>
      <c r="G614" s="10">
        <f>59.4067 * CHOOSE(CONTROL!$C$9, $D$9, 100%, $F$9) + CHOOSE(CONTROL!$C$27, 0.0021, 0)</f>
        <v>59.408799999999999</v>
      </c>
      <c r="H614" s="10">
        <f>59.272 * CHOOSE(CONTROL!$C$9, $D$9, 100%, $F$9) + CHOOSE(CONTROL!$C$27, 0.0021, 0)</f>
        <v>59.274099999999997</v>
      </c>
      <c r="I614" s="10">
        <f>59.272 * CHOOSE(CONTROL!$C$9, $D$9, 100%, $F$9) + CHOOSE(CONTROL!$C$27, 0.0021, 0)</f>
        <v>59.274099999999997</v>
      </c>
      <c r="J614" s="10">
        <f>59.272 * CHOOSE(CONTROL!$C$9, $D$9, 100%, $F$9) + CHOOSE(CONTROL!$C$27, 0.0021, 0)</f>
        <v>59.274099999999997</v>
      </c>
      <c r="K614" s="10">
        <f>59.272 * CHOOSE(CONTROL!$C$9, $D$9, 100%, $F$9) + CHOOSE(CONTROL!$C$27, 0.0021, 0)</f>
        <v>59.274099999999997</v>
      </c>
      <c r="L614" s="10"/>
    </row>
    <row r="615" spans="1:12" ht="15.75" x14ac:dyDescent="0.25">
      <c r="A615" s="13">
        <v>59656</v>
      </c>
      <c r="B615" s="10">
        <f>58.8705 * CHOOSE(CONTROL!$C$9, $D$9, 100%, $F$9) + CHOOSE(CONTROL!$C$27, 0.0021, 0)</f>
        <v>58.872599999999998</v>
      </c>
      <c r="C615" s="10">
        <f>58.4382 * CHOOSE(CONTROL!$C$9, $D$9, 100%, $F$9) + CHOOSE(CONTROL!$C$27, 0.0021, 0)</f>
        <v>58.440300000000001</v>
      </c>
      <c r="D615" s="10">
        <f>58.4382 * CHOOSE(CONTROL!$C$9, $D$9, 100%, $F$9) + CHOOSE(CONTROL!$C$27, 0.0021, 0)</f>
        <v>58.440300000000001</v>
      </c>
      <c r="E615" s="10">
        <f>58.3016 * CHOOSE(CONTROL!$C$9, $D$9, 100%, $F$9) + CHOOSE(CONTROL!$C$27, 0.0021, 0)</f>
        <v>58.303699999999999</v>
      </c>
      <c r="F615" s="10">
        <f>58.3016 * CHOOSE(CONTROL!$C$9, $D$9, 100%, $F$9) + CHOOSE(CONTROL!$C$27, 0.0021, 0)</f>
        <v>58.303699999999999</v>
      </c>
      <c r="G615" s="10">
        <f>58.573 * CHOOSE(CONTROL!$C$9, $D$9, 100%, $F$9) + CHOOSE(CONTROL!$C$27, 0.0021, 0)</f>
        <v>58.575099999999999</v>
      </c>
      <c r="H615" s="10">
        <f>58.4382 * CHOOSE(CONTROL!$C$9, $D$9, 100%, $F$9) + CHOOSE(CONTROL!$C$27, 0.0021, 0)</f>
        <v>58.440300000000001</v>
      </c>
      <c r="I615" s="10">
        <f>58.4382 * CHOOSE(CONTROL!$C$9, $D$9, 100%, $F$9) + CHOOSE(CONTROL!$C$27, 0.0021, 0)</f>
        <v>58.440300000000001</v>
      </c>
      <c r="J615" s="10">
        <f>58.4382 * CHOOSE(CONTROL!$C$9, $D$9, 100%, $F$9) + CHOOSE(CONTROL!$C$27, 0.0021, 0)</f>
        <v>58.440300000000001</v>
      </c>
      <c r="K615" s="10">
        <f>58.4382 * CHOOSE(CONTROL!$C$9, $D$9, 100%, $F$9) + CHOOSE(CONTROL!$C$27, 0.0021, 0)</f>
        <v>58.440300000000001</v>
      </c>
      <c r="L615" s="10"/>
    </row>
    <row r="616" spans="1:12" ht="15.75" x14ac:dyDescent="0.25">
      <c r="A616" s="13">
        <v>59687</v>
      </c>
      <c r="B616" s="10">
        <f>60.0587 * CHOOSE(CONTROL!$C$9, $D$9, 100%, $F$9) + CHOOSE(CONTROL!$C$27, 0.0021, 0)</f>
        <v>60.0608</v>
      </c>
      <c r="C616" s="10">
        <f>59.6264 * CHOOSE(CONTROL!$C$9, $D$9, 100%, $F$9) + CHOOSE(CONTROL!$C$27, 0.0021, 0)</f>
        <v>59.628499999999995</v>
      </c>
      <c r="D616" s="10">
        <f>59.6264 * CHOOSE(CONTROL!$C$9, $D$9, 100%, $F$9) + CHOOSE(CONTROL!$C$27, 0.0021, 0)</f>
        <v>59.628499999999995</v>
      </c>
      <c r="E616" s="10">
        <f>59.4898 * CHOOSE(CONTROL!$C$9, $D$9, 100%, $F$9) + CHOOSE(CONTROL!$C$27, 0.0021, 0)</f>
        <v>59.491900000000001</v>
      </c>
      <c r="F616" s="10">
        <f>59.4898 * CHOOSE(CONTROL!$C$9, $D$9, 100%, $F$9) + CHOOSE(CONTROL!$C$27, 0.0021, 0)</f>
        <v>59.491900000000001</v>
      </c>
      <c r="G616" s="10">
        <f>59.7611 * CHOOSE(CONTROL!$C$9, $D$9, 100%, $F$9) + CHOOSE(CONTROL!$C$27, 0.0021, 0)</f>
        <v>59.763199999999998</v>
      </c>
      <c r="H616" s="10">
        <f>59.6264 * CHOOSE(CONTROL!$C$9, $D$9, 100%, $F$9) + CHOOSE(CONTROL!$C$27, 0.0021, 0)</f>
        <v>59.628499999999995</v>
      </c>
      <c r="I616" s="10">
        <f>59.6264 * CHOOSE(CONTROL!$C$9, $D$9, 100%, $F$9) + CHOOSE(CONTROL!$C$27, 0.0021, 0)</f>
        <v>59.628499999999995</v>
      </c>
      <c r="J616" s="10">
        <f>59.6264 * CHOOSE(CONTROL!$C$9, $D$9, 100%, $F$9) + CHOOSE(CONTROL!$C$27, 0.0021, 0)</f>
        <v>59.628499999999995</v>
      </c>
      <c r="K616" s="10">
        <f>59.6264 * CHOOSE(CONTROL!$C$9, $D$9, 100%, $F$9) + CHOOSE(CONTROL!$C$27, 0.0021, 0)</f>
        <v>59.628499999999995</v>
      </c>
      <c r="L616" s="10"/>
    </row>
    <row r="617" spans="1:12" ht="15.75" x14ac:dyDescent="0.25">
      <c r="A617" s="13">
        <v>59717</v>
      </c>
      <c r="B617" s="10">
        <f>60.7703 * CHOOSE(CONTROL!$C$9, $D$9, 100%, $F$9) + CHOOSE(CONTROL!$C$27, 0.0021, 0)</f>
        <v>60.772399999999998</v>
      </c>
      <c r="C617" s="10">
        <f>60.3381 * CHOOSE(CONTROL!$C$9, $D$9, 100%, $F$9) + CHOOSE(CONTROL!$C$27, 0.0021, 0)</f>
        <v>60.340199999999996</v>
      </c>
      <c r="D617" s="10">
        <f>60.3381 * CHOOSE(CONTROL!$C$9, $D$9, 100%, $F$9) + CHOOSE(CONTROL!$C$27, 0.0021, 0)</f>
        <v>60.340199999999996</v>
      </c>
      <c r="E617" s="10">
        <f>60.2014 * CHOOSE(CONTROL!$C$9, $D$9, 100%, $F$9) + CHOOSE(CONTROL!$C$27, 0.0021, 0)</f>
        <v>60.203499999999998</v>
      </c>
      <c r="F617" s="10">
        <f>60.2014 * CHOOSE(CONTROL!$C$9, $D$9, 100%, $F$9) + CHOOSE(CONTROL!$C$27, 0.0021, 0)</f>
        <v>60.203499999999998</v>
      </c>
      <c r="G617" s="10">
        <f>60.4728 * CHOOSE(CONTROL!$C$9, $D$9, 100%, $F$9) + CHOOSE(CONTROL!$C$27, 0.0021, 0)</f>
        <v>60.474899999999998</v>
      </c>
      <c r="H617" s="10">
        <f>60.3381 * CHOOSE(CONTROL!$C$9, $D$9, 100%, $F$9) + CHOOSE(CONTROL!$C$27, 0.0021, 0)</f>
        <v>60.340199999999996</v>
      </c>
      <c r="I617" s="10">
        <f>60.3381 * CHOOSE(CONTROL!$C$9, $D$9, 100%, $F$9) + CHOOSE(CONTROL!$C$27, 0.0021, 0)</f>
        <v>60.340199999999996</v>
      </c>
      <c r="J617" s="10">
        <f>60.3381 * CHOOSE(CONTROL!$C$9, $D$9, 100%, $F$9) + CHOOSE(CONTROL!$C$27, 0.0021, 0)</f>
        <v>60.340199999999996</v>
      </c>
      <c r="K617" s="10">
        <f>60.3381 * CHOOSE(CONTROL!$C$9, $D$9, 100%, $F$9) + CHOOSE(CONTROL!$C$27, 0.0021, 0)</f>
        <v>60.340199999999996</v>
      </c>
      <c r="L617" s="10"/>
    </row>
    <row r="618" spans="1:12" ht="15.75" x14ac:dyDescent="0.25">
      <c r="A618" s="13">
        <v>59748</v>
      </c>
      <c r="B618" s="10">
        <f>61.9443 * CHOOSE(CONTROL!$C$9, $D$9, 100%, $F$9) + CHOOSE(CONTROL!$C$27, 0.0021, 0)</f>
        <v>61.946399999999997</v>
      </c>
      <c r="C618" s="10">
        <f>61.5121 * CHOOSE(CONTROL!$C$9, $D$9, 100%, $F$9) + CHOOSE(CONTROL!$C$27, 0.0021, 0)</f>
        <v>61.514199999999995</v>
      </c>
      <c r="D618" s="10">
        <f>61.5121 * CHOOSE(CONTROL!$C$9, $D$9, 100%, $F$9) + CHOOSE(CONTROL!$C$27, 0.0021, 0)</f>
        <v>61.514199999999995</v>
      </c>
      <c r="E618" s="10">
        <f>61.3754 * CHOOSE(CONTROL!$C$9, $D$9, 100%, $F$9) + CHOOSE(CONTROL!$C$27, 0.0021, 0)</f>
        <v>61.377499999999998</v>
      </c>
      <c r="F618" s="10">
        <f>61.3754 * CHOOSE(CONTROL!$C$9, $D$9, 100%, $F$9) + CHOOSE(CONTROL!$C$27, 0.0021, 0)</f>
        <v>61.377499999999998</v>
      </c>
      <c r="G618" s="10">
        <f>61.6468 * CHOOSE(CONTROL!$C$9, $D$9, 100%, $F$9) + CHOOSE(CONTROL!$C$27, 0.0021, 0)</f>
        <v>61.648899999999998</v>
      </c>
      <c r="H618" s="10">
        <f>61.5121 * CHOOSE(CONTROL!$C$9, $D$9, 100%, $F$9) + CHOOSE(CONTROL!$C$27, 0.0021, 0)</f>
        <v>61.514199999999995</v>
      </c>
      <c r="I618" s="10">
        <f>61.5121 * CHOOSE(CONTROL!$C$9, $D$9, 100%, $F$9) + CHOOSE(CONTROL!$C$27, 0.0021, 0)</f>
        <v>61.514199999999995</v>
      </c>
      <c r="J618" s="10">
        <f>61.5121 * CHOOSE(CONTROL!$C$9, $D$9, 100%, $F$9) + CHOOSE(CONTROL!$C$27, 0.0021, 0)</f>
        <v>61.514199999999995</v>
      </c>
      <c r="K618" s="10">
        <f>61.5121 * CHOOSE(CONTROL!$C$9, $D$9, 100%, $F$9) + CHOOSE(CONTROL!$C$27, 0.0021, 0)</f>
        <v>61.514199999999995</v>
      </c>
      <c r="L618" s="10"/>
    </row>
    <row r="619" spans="1:12" ht="15.75" x14ac:dyDescent="0.25">
      <c r="A619" s="13">
        <v>59779</v>
      </c>
      <c r="B619" s="10">
        <f>62.3026 * CHOOSE(CONTROL!$C$9, $D$9, 100%, $F$9) + CHOOSE(CONTROL!$C$27, 0.0021, 0)</f>
        <v>62.304699999999997</v>
      </c>
      <c r="C619" s="10">
        <f>61.8704 * CHOOSE(CONTROL!$C$9, $D$9, 100%, $F$9) + CHOOSE(CONTROL!$C$27, 0.0021, 0)</f>
        <v>61.872499999999995</v>
      </c>
      <c r="D619" s="10">
        <f>61.8704 * CHOOSE(CONTROL!$C$9, $D$9, 100%, $F$9) + CHOOSE(CONTROL!$C$27, 0.0021, 0)</f>
        <v>61.872499999999995</v>
      </c>
      <c r="E619" s="10">
        <f>61.7337 * CHOOSE(CONTROL!$C$9, $D$9, 100%, $F$9) + CHOOSE(CONTROL!$C$27, 0.0021, 0)</f>
        <v>61.735799999999998</v>
      </c>
      <c r="F619" s="10">
        <f>61.7337 * CHOOSE(CONTROL!$C$9, $D$9, 100%, $F$9) + CHOOSE(CONTROL!$C$27, 0.0021, 0)</f>
        <v>61.735799999999998</v>
      </c>
      <c r="G619" s="10">
        <f>62.0051 * CHOOSE(CONTROL!$C$9, $D$9, 100%, $F$9) + CHOOSE(CONTROL!$C$27, 0.0021, 0)</f>
        <v>62.007199999999997</v>
      </c>
      <c r="H619" s="10">
        <f>61.8704 * CHOOSE(CONTROL!$C$9, $D$9, 100%, $F$9) + CHOOSE(CONTROL!$C$27, 0.0021, 0)</f>
        <v>61.872499999999995</v>
      </c>
      <c r="I619" s="10">
        <f>61.8704 * CHOOSE(CONTROL!$C$9, $D$9, 100%, $F$9) + CHOOSE(CONTROL!$C$27, 0.0021, 0)</f>
        <v>61.872499999999995</v>
      </c>
      <c r="J619" s="10">
        <f>61.8704 * CHOOSE(CONTROL!$C$9, $D$9, 100%, $F$9) + CHOOSE(CONTROL!$C$27, 0.0021, 0)</f>
        <v>61.872499999999995</v>
      </c>
      <c r="K619" s="10">
        <f>61.8704 * CHOOSE(CONTROL!$C$9, $D$9, 100%, $F$9) + CHOOSE(CONTROL!$C$27, 0.0021, 0)</f>
        <v>61.872499999999995</v>
      </c>
      <c r="L619" s="10"/>
    </row>
    <row r="620" spans="1:12" ht="15.75" x14ac:dyDescent="0.25">
      <c r="A620" s="13">
        <v>59809</v>
      </c>
      <c r="B620" s="10">
        <f>63.523 * CHOOSE(CONTROL!$C$9, $D$9, 100%, $F$9) + CHOOSE(CONTROL!$C$27, 0.0021, 0)</f>
        <v>63.525100000000002</v>
      </c>
      <c r="C620" s="10">
        <f>63.0907 * CHOOSE(CONTROL!$C$9, $D$9, 100%, $F$9) + CHOOSE(CONTROL!$C$27, 0.0021, 0)</f>
        <v>63.092799999999997</v>
      </c>
      <c r="D620" s="10">
        <f>63.0907 * CHOOSE(CONTROL!$C$9, $D$9, 100%, $F$9) + CHOOSE(CONTROL!$C$27, 0.0021, 0)</f>
        <v>63.092799999999997</v>
      </c>
      <c r="E620" s="10">
        <f>62.954 * CHOOSE(CONTROL!$C$9, $D$9, 100%, $F$9) + CHOOSE(CONTROL!$C$27, 0.0021, 0)</f>
        <v>62.956099999999999</v>
      </c>
      <c r="F620" s="10">
        <f>62.954 * CHOOSE(CONTROL!$C$9, $D$9, 100%, $F$9) + CHOOSE(CONTROL!$C$27, 0.0021, 0)</f>
        <v>62.956099999999999</v>
      </c>
      <c r="G620" s="10">
        <f>63.2254 * CHOOSE(CONTROL!$C$9, $D$9, 100%, $F$9) + CHOOSE(CONTROL!$C$27, 0.0021, 0)</f>
        <v>63.227499999999999</v>
      </c>
      <c r="H620" s="10">
        <f>63.0907 * CHOOSE(CONTROL!$C$9, $D$9, 100%, $F$9) + CHOOSE(CONTROL!$C$27, 0.0021, 0)</f>
        <v>63.092799999999997</v>
      </c>
      <c r="I620" s="10">
        <f>63.0907 * CHOOSE(CONTROL!$C$9, $D$9, 100%, $F$9) + CHOOSE(CONTROL!$C$27, 0.0021, 0)</f>
        <v>63.092799999999997</v>
      </c>
      <c r="J620" s="10">
        <f>63.0907 * CHOOSE(CONTROL!$C$9, $D$9, 100%, $F$9) + CHOOSE(CONTROL!$C$27, 0.0021, 0)</f>
        <v>63.092799999999997</v>
      </c>
      <c r="K620" s="10">
        <f>63.0907 * CHOOSE(CONTROL!$C$9, $D$9, 100%, $F$9) + CHOOSE(CONTROL!$C$27, 0.0021, 0)</f>
        <v>63.092799999999997</v>
      </c>
      <c r="L620" s="10"/>
    </row>
    <row r="621" spans="1:12" ht="15.75" x14ac:dyDescent="0.25">
      <c r="A621" s="13">
        <v>59840</v>
      </c>
      <c r="B621" s="10">
        <f>65.0677 * CHOOSE(CONTROL!$C$9, $D$9, 100%, $F$9) + CHOOSE(CONTROL!$C$27, 0.0021, 0)</f>
        <v>65.069800000000001</v>
      </c>
      <c r="C621" s="10">
        <f>64.6354 * CHOOSE(CONTROL!$C$9, $D$9, 100%, $F$9) + CHOOSE(CONTROL!$C$27, 0.0021, 0)</f>
        <v>64.637500000000003</v>
      </c>
      <c r="D621" s="10">
        <f>64.6354 * CHOOSE(CONTROL!$C$9, $D$9, 100%, $F$9) + CHOOSE(CONTROL!$C$27, 0.0021, 0)</f>
        <v>64.637500000000003</v>
      </c>
      <c r="E621" s="10">
        <f>64.4987 * CHOOSE(CONTROL!$C$9, $D$9, 100%, $F$9) + CHOOSE(CONTROL!$C$27, 0.0021, 0)</f>
        <v>64.500799999999998</v>
      </c>
      <c r="F621" s="10">
        <f>64.4987 * CHOOSE(CONTROL!$C$9, $D$9, 100%, $F$9) + CHOOSE(CONTROL!$C$27, 0.0021, 0)</f>
        <v>64.500799999999998</v>
      </c>
      <c r="G621" s="10">
        <f>64.7701 * CHOOSE(CONTROL!$C$9, $D$9, 100%, $F$9) + CHOOSE(CONTROL!$C$27, 0.0021, 0)</f>
        <v>64.772199999999998</v>
      </c>
      <c r="H621" s="10">
        <f>64.6354 * CHOOSE(CONTROL!$C$9, $D$9, 100%, $F$9) + CHOOSE(CONTROL!$C$27, 0.0021, 0)</f>
        <v>64.637500000000003</v>
      </c>
      <c r="I621" s="10">
        <f>64.6354 * CHOOSE(CONTROL!$C$9, $D$9, 100%, $F$9) + CHOOSE(CONTROL!$C$27, 0.0021, 0)</f>
        <v>64.637500000000003</v>
      </c>
      <c r="J621" s="10">
        <f>64.6354 * CHOOSE(CONTROL!$C$9, $D$9, 100%, $F$9) + CHOOSE(CONTROL!$C$27, 0.0021, 0)</f>
        <v>64.637500000000003</v>
      </c>
      <c r="K621" s="10">
        <f>64.6354 * CHOOSE(CONTROL!$C$9, $D$9, 100%, $F$9) + CHOOSE(CONTROL!$C$27, 0.0021, 0)</f>
        <v>64.637500000000003</v>
      </c>
      <c r="L621" s="10"/>
    </row>
    <row r="622" spans="1:12" ht="15.75" x14ac:dyDescent="0.25">
      <c r="A622" s="13">
        <v>59870</v>
      </c>
      <c r="B622" s="10">
        <f>65.2127 * CHOOSE(CONTROL!$C$9, $D$9, 100%, $F$9) + CHOOSE(CONTROL!$C$27, 0.0021, 0)</f>
        <v>65.214799999999997</v>
      </c>
      <c r="C622" s="10">
        <f>64.7804 * CHOOSE(CONTROL!$C$9, $D$9, 100%, $F$9) + CHOOSE(CONTROL!$C$27, 0.0021, 0)</f>
        <v>64.782499999999999</v>
      </c>
      <c r="D622" s="10">
        <f>64.7804 * CHOOSE(CONTROL!$C$9, $D$9, 100%, $F$9) + CHOOSE(CONTROL!$C$27, 0.0021, 0)</f>
        <v>64.782499999999999</v>
      </c>
      <c r="E622" s="10">
        <f>64.6438 * CHOOSE(CONTROL!$C$9, $D$9, 100%, $F$9) + CHOOSE(CONTROL!$C$27, 0.0021, 0)</f>
        <v>64.645899999999997</v>
      </c>
      <c r="F622" s="10">
        <f>64.6438 * CHOOSE(CONTROL!$C$9, $D$9, 100%, $F$9) + CHOOSE(CONTROL!$C$27, 0.0021, 0)</f>
        <v>64.645899999999997</v>
      </c>
      <c r="G622" s="10">
        <f>64.9151 * CHOOSE(CONTROL!$C$9, $D$9, 100%, $F$9) + CHOOSE(CONTROL!$C$27, 0.0021, 0)</f>
        <v>64.917199999999994</v>
      </c>
      <c r="H622" s="10">
        <f>64.7804 * CHOOSE(CONTROL!$C$9, $D$9, 100%, $F$9) + CHOOSE(CONTROL!$C$27, 0.0021, 0)</f>
        <v>64.782499999999999</v>
      </c>
      <c r="I622" s="10">
        <f>64.7804 * CHOOSE(CONTROL!$C$9, $D$9, 100%, $F$9) + CHOOSE(CONTROL!$C$27, 0.0021, 0)</f>
        <v>64.782499999999999</v>
      </c>
      <c r="J622" s="10">
        <f>64.7804 * CHOOSE(CONTROL!$C$9, $D$9, 100%, $F$9) + CHOOSE(CONTROL!$C$27, 0.0021, 0)</f>
        <v>64.782499999999999</v>
      </c>
      <c r="K622" s="10">
        <f>64.7804 * CHOOSE(CONTROL!$C$9, $D$9, 100%, $F$9) + CHOOSE(CONTROL!$C$27, 0.0021, 0)</f>
        <v>64.782499999999999</v>
      </c>
      <c r="L622" s="10"/>
    </row>
    <row r="623" spans="1:12" ht="15.75" x14ac:dyDescent="0.25">
      <c r="A623" s="13">
        <v>59901</v>
      </c>
      <c r="B623" s="10">
        <f>63.9789 * CHOOSE(CONTROL!$C$9, $D$9, 100%, $F$9) + CHOOSE(CONTROL!$C$27, 0.0021, 0)</f>
        <v>63.981000000000002</v>
      </c>
      <c r="C623" s="10">
        <f>63.5467 * CHOOSE(CONTROL!$C$9, $D$9, 100%, $F$9) + CHOOSE(CONTROL!$C$27, 0.0021, 0)</f>
        <v>63.5488</v>
      </c>
      <c r="D623" s="10">
        <f>63.5467 * CHOOSE(CONTROL!$C$9, $D$9, 100%, $F$9) + CHOOSE(CONTROL!$C$27, 0.0021, 0)</f>
        <v>63.5488</v>
      </c>
      <c r="E623" s="10">
        <f>63.41 * CHOOSE(CONTROL!$C$9, $D$9, 100%, $F$9) + CHOOSE(CONTROL!$C$27, 0.0021, 0)</f>
        <v>63.412099999999995</v>
      </c>
      <c r="F623" s="10">
        <f>63.41 * CHOOSE(CONTROL!$C$9, $D$9, 100%, $F$9) + CHOOSE(CONTROL!$C$27, 0.0021, 0)</f>
        <v>63.412099999999995</v>
      </c>
      <c r="G623" s="10">
        <f>63.6814 * CHOOSE(CONTROL!$C$9, $D$9, 100%, $F$9) + CHOOSE(CONTROL!$C$27, 0.0021, 0)</f>
        <v>63.683499999999995</v>
      </c>
      <c r="H623" s="10">
        <f>63.5467 * CHOOSE(CONTROL!$C$9, $D$9, 100%, $F$9) + CHOOSE(CONTROL!$C$27, 0.0021, 0)</f>
        <v>63.5488</v>
      </c>
      <c r="I623" s="10">
        <f>63.5467 * CHOOSE(CONTROL!$C$9, $D$9, 100%, $F$9) + CHOOSE(CONTROL!$C$27, 0.0021, 0)</f>
        <v>63.5488</v>
      </c>
      <c r="J623" s="10">
        <f>63.5467 * CHOOSE(CONTROL!$C$9, $D$9, 100%, $F$9) + CHOOSE(CONTROL!$C$27, 0.0021, 0)</f>
        <v>63.5488</v>
      </c>
      <c r="K623" s="10">
        <f>63.5467 * CHOOSE(CONTROL!$C$9, $D$9, 100%, $F$9) + CHOOSE(CONTROL!$C$27, 0.0021, 0)</f>
        <v>63.5488</v>
      </c>
      <c r="L623" s="10"/>
    </row>
    <row r="624" spans="1:12" ht="15.75" x14ac:dyDescent="0.25">
      <c r="A624" s="13">
        <v>59932</v>
      </c>
      <c r="B624" s="10">
        <f>63.1707 * CHOOSE(CONTROL!$C$9, $D$9, 100%, $F$9) + CHOOSE(CONTROL!$C$27, 0.0021, 0)</f>
        <v>63.172799999999995</v>
      </c>
      <c r="C624" s="10">
        <f>62.7385 * CHOOSE(CONTROL!$C$9, $D$9, 100%, $F$9) + CHOOSE(CONTROL!$C$27, 0.0021, 0)</f>
        <v>62.740600000000001</v>
      </c>
      <c r="D624" s="10">
        <f>62.7385 * CHOOSE(CONTROL!$C$9, $D$9, 100%, $F$9) + CHOOSE(CONTROL!$C$27, 0.0021, 0)</f>
        <v>62.740600000000001</v>
      </c>
      <c r="E624" s="10">
        <f>62.6018 * CHOOSE(CONTROL!$C$9, $D$9, 100%, $F$9) + CHOOSE(CONTROL!$C$27, 0.0021, 0)</f>
        <v>62.603899999999996</v>
      </c>
      <c r="F624" s="10">
        <f>62.6018 * CHOOSE(CONTROL!$C$9, $D$9, 100%, $F$9) + CHOOSE(CONTROL!$C$27, 0.0021, 0)</f>
        <v>62.603899999999996</v>
      </c>
      <c r="G624" s="10">
        <f>62.8732 * CHOOSE(CONTROL!$C$9, $D$9, 100%, $F$9) + CHOOSE(CONTROL!$C$27, 0.0021, 0)</f>
        <v>62.875299999999996</v>
      </c>
      <c r="H624" s="10">
        <f>62.7385 * CHOOSE(CONTROL!$C$9, $D$9, 100%, $F$9) + CHOOSE(CONTROL!$C$27, 0.0021, 0)</f>
        <v>62.740600000000001</v>
      </c>
      <c r="I624" s="10">
        <f>62.7385 * CHOOSE(CONTROL!$C$9, $D$9, 100%, $F$9) + CHOOSE(CONTROL!$C$27, 0.0021, 0)</f>
        <v>62.740600000000001</v>
      </c>
      <c r="J624" s="10">
        <f>62.7385 * CHOOSE(CONTROL!$C$9, $D$9, 100%, $F$9) + CHOOSE(CONTROL!$C$27, 0.0021, 0)</f>
        <v>62.740600000000001</v>
      </c>
      <c r="K624" s="10">
        <f>62.7385 * CHOOSE(CONTROL!$C$9, $D$9, 100%, $F$9) + CHOOSE(CONTROL!$C$27, 0.0021, 0)</f>
        <v>62.740600000000001</v>
      </c>
      <c r="L624" s="10"/>
    </row>
    <row r="625" spans="1:12" ht="15.75" x14ac:dyDescent="0.25">
      <c r="A625" s="13">
        <v>59961</v>
      </c>
      <c r="B625" s="10">
        <f>61.4487 * CHOOSE(CONTROL!$C$9, $D$9, 100%, $F$9) + CHOOSE(CONTROL!$C$27, 0.0021, 0)</f>
        <v>61.450800000000001</v>
      </c>
      <c r="C625" s="10">
        <f>61.0165 * CHOOSE(CONTROL!$C$9, $D$9, 100%, $F$9) + CHOOSE(CONTROL!$C$27, 0.0021, 0)</f>
        <v>61.018599999999999</v>
      </c>
      <c r="D625" s="10">
        <f>61.0165 * CHOOSE(CONTROL!$C$9, $D$9, 100%, $F$9) + CHOOSE(CONTROL!$C$27, 0.0021, 0)</f>
        <v>61.018599999999999</v>
      </c>
      <c r="E625" s="10">
        <f>60.8798 * CHOOSE(CONTROL!$C$9, $D$9, 100%, $F$9) + CHOOSE(CONTROL!$C$27, 0.0021, 0)</f>
        <v>60.881900000000002</v>
      </c>
      <c r="F625" s="10">
        <f>60.8798 * CHOOSE(CONTROL!$C$9, $D$9, 100%, $F$9) + CHOOSE(CONTROL!$C$27, 0.0021, 0)</f>
        <v>60.881900000000002</v>
      </c>
      <c r="G625" s="10">
        <f>61.1512 * CHOOSE(CONTROL!$C$9, $D$9, 100%, $F$9) + CHOOSE(CONTROL!$C$27, 0.0021, 0)</f>
        <v>61.153300000000002</v>
      </c>
      <c r="H625" s="10">
        <f>61.0165 * CHOOSE(CONTROL!$C$9, $D$9, 100%, $F$9) + CHOOSE(CONTROL!$C$27, 0.0021, 0)</f>
        <v>61.018599999999999</v>
      </c>
      <c r="I625" s="10">
        <f>61.0165 * CHOOSE(CONTROL!$C$9, $D$9, 100%, $F$9) + CHOOSE(CONTROL!$C$27, 0.0021, 0)</f>
        <v>61.018599999999999</v>
      </c>
      <c r="J625" s="10">
        <f>61.0165 * CHOOSE(CONTROL!$C$9, $D$9, 100%, $F$9) + CHOOSE(CONTROL!$C$27, 0.0021, 0)</f>
        <v>61.018599999999999</v>
      </c>
      <c r="K625" s="10">
        <f>61.0165 * CHOOSE(CONTROL!$C$9, $D$9, 100%, $F$9) + CHOOSE(CONTROL!$C$27, 0.0021, 0)</f>
        <v>61.018599999999999</v>
      </c>
      <c r="L625" s="10"/>
    </row>
    <row r="626" spans="1:12" ht="15.75" x14ac:dyDescent="0.25">
      <c r="A626" s="13">
        <v>59992</v>
      </c>
      <c r="B626" s="10">
        <f>60.7379 * CHOOSE(CONTROL!$C$9, $D$9, 100%, $F$9) + CHOOSE(CONTROL!$C$27, 0.0021, 0)</f>
        <v>60.74</v>
      </c>
      <c r="C626" s="10">
        <f>60.3057 * CHOOSE(CONTROL!$C$9, $D$9, 100%, $F$9) + CHOOSE(CONTROL!$C$27, 0.0021, 0)</f>
        <v>60.3078</v>
      </c>
      <c r="D626" s="10">
        <f>60.3057 * CHOOSE(CONTROL!$C$9, $D$9, 100%, $F$9) + CHOOSE(CONTROL!$C$27, 0.0021, 0)</f>
        <v>60.3078</v>
      </c>
      <c r="E626" s="10">
        <f>60.169 * CHOOSE(CONTROL!$C$9, $D$9, 100%, $F$9) + CHOOSE(CONTROL!$C$27, 0.0021, 0)</f>
        <v>60.171099999999996</v>
      </c>
      <c r="F626" s="10">
        <f>60.169 * CHOOSE(CONTROL!$C$9, $D$9, 100%, $F$9) + CHOOSE(CONTROL!$C$27, 0.0021, 0)</f>
        <v>60.171099999999996</v>
      </c>
      <c r="G626" s="10">
        <f>60.4404 * CHOOSE(CONTROL!$C$9, $D$9, 100%, $F$9) + CHOOSE(CONTROL!$C$27, 0.0021, 0)</f>
        <v>60.442499999999995</v>
      </c>
      <c r="H626" s="10">
        <f>60.3057 * CHOOSE(CONTROL!$C$9, $D$9, 100%, $F$9) + CHOOSE(CONTROL!$C$27, 0.0021, 0)</f>
        <v>60.3078</v>
      </c>
      <c r="I626" s="10">
        <f>60.3057 * CHOOSE(CONTROL!$C$9, $D$9, 100%, $F$9) + CHOOSE(CONTROL!$C$27, 0.0021, 0)</f>
        <v>60.3078</v>
      </c>
      <c r="J626" s="10">
        <f>60.3057 * CHOOSE(CONTROL!$C$9, $D$9, 100%, $F$9) + CHOOSE(CONTROL!$C$27, 0.0021, 0)</f>
        <v>60.3078</v>
      </c>
      <c r="K626" s="10">
        <f>60.3057 * CHOOSE(CONTROL!$C$9, $D$9, 100%, $F$9) + CHOOSE(CONTROL!$C$27, 0.0021, 0)</f>
        <v>60.3078</v>
      </c>
      <c r="L626" s="10"/>
    </row>
    <row r="627" spans="1:12" ht="15.75" x14ac:dyDescent="0.25">
      <c r="A627" s="13">
        <v>60022</v>
      </c>
      <c r="B627" s="10">
        <f>59.8892 * CHOOSE(CONTROL!$C$9, $D$9, 100%, $F$9) + CHOOSE(CONTROL!$C$27, 0.0021, 0)</f>
        <v>59.891300000000001</v>
      </c>
      <c r="C627" s="10">
        <f>59.4569 * CHOOSE(CONTROL!$C$9, $D$9, 100%, $F$9) + CHOOSE(CONTROL!$C$27, 0.0021, 0)</f>
        <v>59.458999999999996</v>
      </c>
      <c r="D627" s="10">
        <f>59.4569 * CHOOSE(CONTROL!$C$9, $D$9, 100%, $F$9) + CHOOSE(CONTROL!$C$27, 0.0021, 0)</f>
        <v>59.458999999999996</v>
      </c>
      <c r="E627" s="10">
        <f>59.3203 * CHOOSE(CONTROL!$C$9, $D$9, 100%, $F$9) + CHOOSE(CONTROL!$C$27, 0.0021, 0)</f>
        <v>59.322400000000002</v>
      </c>
      <c r="F627" s="10">
        <f>59.3203 * CHOOSE(CONTROL!$C$9, $D$9, 100%, $F$9) + CHOOSE(CONTROL!$C$27, 0.0021, 0)</f>
        <v>59.322400000000002</v>
      </c>
      <c r="G627" s="10">
        <f>59.5916 * CHOOSE(CONTROL!$C$9, $D$9, 100%, $F$9) + CHOOSE(CONTROL!$C$27, 0.0021, 0)</f>
        <v>59.593699999999998</v>
      </c>
      <c r="H627" s="10">
        <f>59.4569 * CHOOSE(CONTROL!$C$9, $D$9, 100%, $F$9) + CHOOSE(CONTROL!$C$27, 0.0021, 0)</f>
        <v>59.458999999999996</v>
      </c>
      <c r="I627" s="10">
        <f>59.4569 * CHOOSE(CONTROL!$C$9, $D$9, 100%, $F$9) + CHOOSE(CONTROL!$C$27, 0.0021, 0)</f>
        <v>59.458999999999996</v>
      </c>
      <c r="J627" s="10">
        <f>59.4569 * CHOOSE(CONTROL!$C$9, $D$9, 100%, $F$9) + CHOOSE(CONTROL!$C$27, 0.0021, 0)</f>
        <v>59.458999999999996</v>
      </c>
      <c r="K627" s="10">
        <f>59.4569 * CHOOSE(CONTROL!$C$9, $D$9, 100%, $F$9) + CHOOSE(CONTROL!$C$27, 0.0021, 0)</f>
        <v>59.458999999999996</v>
      </c>
      <c r="L627" s="10"/>
    </row>
    <row r="628" spans="1:12" ht="15.75" x14ac:dyDescent="0.25">
      <c r="A628" s="13">
        <v>60053</v>
      </c>
      <c r="B628" s="10">
        <f>61.0987 * CHOOSE(CONTROL!$C$9, $D$9, 100%, $F$9) + CHOOSE(CONTROL!$C$27, 0.0021, 0)</f>
        <v>61.1008</v>
      </c>
      <c r="C628" s="10">
        <f>60.6665 * CHOOSE(CONTROL!$C$9, $D$9, 100%, $F$9) + CHOOSE(CONTROL!$C$27, 0.0021, 0)</f>
        <v>60.668599999999998</v>
      </c>
      <c r="D628" s="10">
        <f>60.6665 * CHOOSE(CONTROL!$C$9, $D$9, 100%, $F$9) + CHOOSE(CONTROL!$C$27, 0.0021, 0)</f>
        <v>60.668599999999998</v>
      </c>
      <c r="E628" s="10">
        <f>60.5298 * CHOOSE(CONTROL!$C$9, $D$9, 100%, $F$9) + CHOOSE(CONTROL!$C$27, 0.0021, 0)</f>
        <v>60.5319</v>
      </c>
      <c r="F628" s="10">
        <f>60.5298 * CHOOSE(CONTROL!$C$9, $D$9, 100%, $F$9) + CHOOSE(CONTROL!$C$27, 0.0021, 0)</f>
        <v>60.5319</v>
      </c>
      <c r="G628" s="10">
        <f>60.8012 * CHOOSE(CONTROL!$C$9, $D$9, 100%, $F$9) + CHOOSE(CONTROL!$C$27, 0.0021, 0)</f>
        <v>60.8033</v>
      </c>
      <c r="H628" s="10">
        <f>60.6665 * CHOOSE(CONTROL!$C$9, $D$9, 100%, $F$9) + CHOOSE(CONTROL!$C$27, 0.0021, 0)</f>
        <v>60.668599999999998</v>
      </c>
      <c r="I628" s="10">
        <f>60.6665 * CHOOSE(CONTROL!$C$9, $D$9, 100%, $F$9) + CHOOSE(CONTROL!$C$27, 0.0021, 0)</f>
        <v>60.668599999999998</v>
      </c>
      <c r="J628" s="10">
        <f>60.6665 * CHOOSE(CONTROL!$C$9, $D$9, 100%, $F$9) + CHOOSE(CONTROL!$C$27, 0.0021, 0)</f>
        <v>60.668599999999998</v>
      </c>
      <c r="K628" s="10">
        <f>60.6665 * CHOOSE(CONTROL!$C$9, $D$9, 100%, $F$9) + CHOOSE(CONTROL!$C$27, 0.0021, 0)</f>
        <v>60.668599999999998</v>
      </c>
      <c r="L628" s="10"/>
    </row>
    <row r="629" spans="1:12" ht="15.75" x14ac:dyDescent="0.25">
      <c r="A629" s="13">
        <v>60083</v>
      </c>
      <c r="B629" s="10">
        <f>61.8232 * CHOOSE(CONTROL!$C$9, $D$9, 100%, $F$9) + CHOOSE(CONTROL!$C$27, 0.0021, 0)</f>
        <v>61.825299999999999</v>
      </c>
      <c r="C629" s="10">
        <f>61.391 * CHOOSE(CONTROL!$C$9, $D$9, 100%, $F$9) + CHOOSE(CONTROL!$C$27, 0.0021, 0)</f>
        <v>61.393099999999997</v>
      </c>
      <c r="D629" s="10">
        <f>61.391 * CHOOSE(CONTROL!$C$9, $D$9, 100%, $F$9) + CHOOSE(CONTROL!$C$27, 0.0021, 0)</f>
        <v>61.393099999999997</v>
      </c>
      <c r="E629" s="10">
        <f>61.2543 * CHOOSE(CONTROL!$C$9, $D$9, 100%, $F$9) + CHOOSE(CONTROL!$C$27, 0.0021, 0)</f>
        <v>61.256399999999999</v>
      </c>
      <c r="F629" s="10">
        <f>61.2543 * CHOOSE(CONTROL!$C$9, $D$9, 100%, $F$9) + CHOOSE(CONTROL!$C$27, 0.0021, 0)</f>
        <v>61.256399999999999</v>
      </c>
      <c r="G629" s="10">
        <f>61.5257 * CHOOSE(CONTROL!$C$9, $D$9, 100%, $F$9) + CHOOSE(CONTROL!$C$27, 0.0021, 0)</f>
        <v>61.527799999999999</v>
      </c>
      <c r="H629" s="10">
        <f>61.391 * CHOOSE(CONTROL!$C$9, $D$9, 100%, $F$9) + CHOOSE(CONTROL!$C$27, 0.0021, 0)</f>
        <v>61.393099999999997</v>
      </c>
      <c r="I629" s="10">
        <f>61.391 * CHOOSE(CONTROL!$C$9, $D$9, 100%, $F$9) + CHOOSE(CONTROL!$C$27, 0.0021, 0)</f>
        <v>61.393099999999997</v>
      </c>
      <c r="J629" s="10">
        <f>61.391 * CHOOSE(CONTROL!$C$9, $D$9, 100%, $F$9) + CHOOSE(CONTROL!$C$27, 0.0021, 0)</f>
        <v>61.393099999999997</v>
      </c>
      <c r="K629" s="10">
        <f>61.391 * CHOOSE(CONTROL!$C$9, $D$9, 100%, $F$9) + CHOOSE(CONTROL!$C$27, 0.0021, 0)</f>
        <v>61.393099999999997</v>
      </c>
      <c r="L629" s="10"/>
    </row>
    <row r="630" spans="1:12" ht="15.75" x14ac:dyDescent="0.25">
      <c r="A630" s="13">
        <v>60114</v>
      </c>
      <c r="B630" s="10">
        <f>63.0183 * CHOOSE(CONTROL!$C$9, $D$9, 100%, $F$9) + CHOOSE(CONTROL!$C$27, 0.0021, 0)</f>
        <v>63.020400000000002</v>
      </c>
      <c r="C630" s="10">
        <f>62.5861 * CHOOSE(CONTROL!$C$9, $D$9, 100%, $F$9) + CHOOSE(CONTROL!$C$27, 0.0021, 0)</f>
        <v>62.588200000000001</v>
      </c>
      <c r="D630" s="10">
        <f>62.5861 * CHOOSE(CONTROL!$C$9, $D$9, 100%, $F$9) + CHOOSE(CONTROL!$C$27, 0.0021, 0)</f>
        <v>62.588200000000001</v>
      </c>
      <c r="E630" s="10">
        <f>62.4494 * CHOOSE(CONTROL!$C$9, $D$9, 100%, $F$9) + CHOOSE(CONTROL!$C$27, 0.0021, 0)</f>
        <v>62.451499999999996</v>
      </c>
      <c r="F630" s="10">
        <f>62.4494 * CHOOSE(CONTROL!$C$9, $D$9, 100%, $F$9) + CHOOSE(CONTROL!$C$27, 0.0021, 0)</f>
        <v>62.451499999999996</v>
      </c>
      <c r="G630" s="10">
        <f>62.7208 * CHOOSE(CONTROL!$C$9, $D$9, 100%, $F$9) + CHOOSE(CONTROL!$C$27, 0.0021, 0)</f>
        <v>62.722899999999996</v>
      </c>
      <c r="H630" s="10">
        <f>62.5861 * CHOOSE(CONTROL!$C$9, $D$9, 100%, $F$9) + CHOOSE(CONTROL!$C$27, 0.0021, 0)</f>
        <v>62.588200000000001</v>
      </c>
      <c r="I630" s="10">
        <f>62.5861 * CHOOSE(CONTROL!$C$9, $D$9, 100%, $F$9) + CHOOSE(CONTROL!$C$27, 0.0021, 0)</f>
        <v>62.588200000000001</v>
      </c>
      <c r="J630" s="10">
        <f>62.5861 * CHOOSE(CONTROL!$C$9, $D$9, 100%, $F$9) + CHOOSE(CONTROL!$C$27, 0.0021, 0)</f>
        <v>62.588200000000001</v>
      </c>
      <c r="K630" s="10">
        <f>62.5861 * CHOOSE(CONTROL!$C$9, $D$9, 100%, $F$9) + CHOOSE(CONTROL!$C$27, 0.0021, 0)</f>
        <v>62.588200000000001</v>
      </c>
      <c r="L630" s="10"/>
    </row>
    <row r="631" spans="1:12" ht="15.75" x14ac:dyDescent="0.25">
      <c r="A631" s="13">
        <v>60145</v>
      </c>
      <c r="B631" s="10">
        <f>63.3831 * CHOOSE(CONTROL!$C$9, $D$9, 100%, $F$9) + CHOOSE(CONTROL!$C$27, 0.0021, 0)</f>
        <v>63.385199999999998</v>
      </c>
      <c r="C631" s="10">
        <f>62.9509 * CHOOSE(CONTROL!$C$9, $D$9, 100%, $F$9) + CHOOSE(CONTROL!$C$27, 0.0021, 0)</f>
        <v>62.952999999999996</v>
      </c>
      <c r="D631" s="10">
        <f>62.9509 * CHOOSE(CONTROL!$C$9, $D$9, 100%, $F$9) + CHOOSE(CONTROL!$C$27, 0.0021, 0)</f>
        <v>62.952999999999996</v>
      </c>
      <c r="E631" s="10">
        <f>62.8142 * CHOOSE(CONTROL!$C$9, $D$9, 100%, $F$9) + CHOOSE(CONTROL!$C$27, 0.0021, 0)</f>
        <v>62.816299999999998</v>
      </c>
      <c r="F631" s="10">
        <f>62.8142 * CHOOSE(CONTROL!$C$9, $D$9, 100%, $F$9) + CHOOSE(CONTROL!$C$27, 0.0021, 0)</f>
        <v>62.816299999999998</v>
      </c>
      <c r="G631" s="10">
        <f>63.0856 * CHOOSE(CONTROL!$C$9, $D$9, 100%, $F$9) + CHOOSE(CONTROL!$C$27, 0.0021, 0)</f>
        <v>63.087699999999998</v>
      </c>
      <c r="H631" s="10">
        <f>62.9509 * CHOOSE(CONTROL!$C$9, $D$9, 100%, $F$9) + CHOOSE(CONTROL!$C$27, 0.0021, 0)</f>
        <v>62.952999999999996</v>
      </c>
      <c r="I631" s="10">
        <f>62.9509 * CHOOSE(CONTROL!$C$9, $D$9, 100%, $F$9) + CHOOSE(CONTROL!$C$27, 0.0021, 0)</f>
        <v>62.952999999999996</v>
      </c>
      <c r="J631" s="10">
        <f>62.9509 * CHOOSE(CONTROL!$C$9, $D$9, 100%, $F$9) + CHOOSE(CONTROL!$C$27, 0.0021, 0)</f>
        <v>62.952999999999996</v>
      </c>
      <c r="K631" s="10">
        <f>62.9509 * CHOOSE(CONTROL!$C$9, $D$9, 100%, $F$9) + CHOOSE(CONTROL!$C$27, 0.0021, 0)</f>
        <v>62.952999999999996</v>
      </c>
      <c r="L631" s="10"/>
    </row>
    <row r="632" spans="1:12" ht="15.75" x14ac:dyDescent="0.25">
      <c r="A632" s="13">
        <v>60175</v>
      </c>
      <c r="B632" s="10">
        <f>64.6254 * CHOOSE(CONTROL!$C$9, $D$9, 100%, $F$9) + CHOOSE(CONTROL!$C$27, 0.0021, 0)</f>
        <v>64.627499999999998</v>
      </c>
      <c r="C632" s="10">
        <f>64.1932 * CHOOSE(CONTROL!$C$9, $D$9, 100%, $F$9) + CHOOSE(CONTROL!$C$27, 0.0021, 0)</f>
        <v>64.195300000000003</v>
      </c>
      <c r="D632" s="10">
        <f>64.1932 * CHOOSE(CONTROL!$C$9, $D$9, 100%, $F$9) + CHOOSE(CONTROL!$C$27, 0.0021, 0)</f>
        <v>64.195300000000003</v>
      </c>
      <c r="E632" s="10">
        <f>64.0565 * CHOOSE(CONTROL!$C$9, $D$9, 100%, $F$9) + CHOOSE(CONTROL!$C$27, 0.0021, 0)</f>
        <v>64.058599999999998</v>
      </c>
      <c r="F632" s="10">
        <f>64.0565 * CHOOSE(CONTROL!$C$9, $D$9, 100%, $F$9) + CHOOSE(CONTROL!$C$27, 0.0021, 0)</f>
        <v>64.058599999999998</v>
      </c>
      <c r="G632" s="10">
        <f>64.3279 * CHOOSE(CONTROL!$C$9, $D$9, 100%, $F$9) + CHOOSE(CONTROL!$C$27, 0.0021, 0)</f>
        <v>64.33</v>
      </c>
      <c r="H632" s="10">
        <f>64.1932 * CHOOSE(CONTROL!$C$9, $D$9, 100%, $F$9) + CHOOSE(CONTROL!$C$27, 0.0021, 0)</f>
        <v>64.195300000000003</v>
      </c>
      <c r="I632" s="10">
        <f>64.1932 * CHOOSE(CONTROL!$C$9, $D$9, 100%, $F$9) + CHOOSE(CONTROL!$C$27, 0.0021, 0)</f>
        <v>64.195300000000003</v>
      </c>
      <c r="J632" s="10">
        <f>64.1932 * CHOOSE(CONTROL!$C$9, $D$9, 100%, $F$9) + CHOOSE(CONTROL!$C$27, 0.0021, 0)</f>
        <v>64.195300000000003</v>
      </c>
      <c r="K632" s="10">
        <f>64.1932 * CHOOSE(CONTROL!$C$9, $D$9, 100%, $F$9) + CHOOSE(CONTROL!$C$27, 0.0021, 0)</f>
        <v>64.195300000000003</v>
      </c>
      <c r="L632" s="10"/>
    </row>
    <row r="633" spans="1:12" ht="15.75" x14ac:dyDescent="0.25">
      <c r="A633" s="13">
        <v>60206</v>
      </c>
      <c r="B633" s="10">
        <f>66.1979 * CHOOSE(CONTROL!$C$9, $D$9, 100%, $F$9) + CHOOSE(CONTROL!$C$27, 0.0021, 0)</f>
        <v>66.2</v>
      </c>
      <c r="C633" s="10">
        <f>65.7657 * CHOOSE(CONTROL!$C$9, $D$9, 100%, $F$9) + CHOOSE(CONTROL!$C$27, 0.0021, 0)</f>
        <v>65.767799999999994</v>
      </c>
      <c r="D633" s="10">
        <f>65.7657 * CHOOSE(CONTROL!$C$9, $D$9, 100%, $F$9) + CHOOSE(CONTROL!$C$27, 0.0021, 0)</f>
        <v>65.767799999999994</v>
      </c>
      <c r="E633" s="10">
        <f>65.629 * CHOOSE(CONTROL!$C$9, $D$9, 100%, $F$9) + CHOOSE(CONTROL!$C$27, 0.0021, 0)</f>
        <v>65.631100000000004</v>
      </c>
      <c r="F633" s="10">
        <f>65.629 * CHOOSE(CONTROL!$C$9, $D$9, 100%, $F$9) + CHOOSE(CONTROL!$C$27, 0.0021, 0)</f>
        <v>65.631100000000004</v>
      </c>
      <c r="G633" s="10">
        <f>65.9004 * CHOOSE(CONTROL!$C$9, $D$9, 100%, $F$9) + CHOOSE(CONTROL!$C$27, 0.0021, 0)</f>
        <v>65.902500000000003</v>
      </c>
      <c r="H633" s="10">
        <f>65.7657 * CHOOSE(CONTROL!$C$9, $D$9, 100%, $F$9) + CHOOSE(CONTROL!$C$27, 0.0021, 0)</f>
        <v>65.767799999999994</v>
      </c>
      <c r="I633" s="10">
        <f>65.7657 * CHOOSE(CONTROL!$C$9, $D$9, 100%, $F$9) + CHOOSE(CONTROL!$C$27, 0.0021, 0)</f>
        <v>65.767799999999994</v>
      </c>
      <c r="J633" s="10">
        <f>65.7657 * CHOOSE(CONTROL!$C$9, $D$9, 100%, $F$9) + CHOOSE(CONTROL!$C$27, 0.0021, 0)</f>
        <v>65.767799999999994</v>
      </c>
      <c r="K633" s="10">
        <f>65.7657 * CHOOSE(CONTROL!$C$9, $D$9, 100%, $F$9) + CHOOSE(CONTROL!$C$27, 0.0021, 0)</f>
        <v>65.767799999999994</v>
      </c>
      <c r="L633" s="10"/>
    </row>
    <row r="634" spans="1:12" ht="15.75" x14ac:dyDescent="0.25">
      <c r="A634" s="13">
        <v>60236</v>
      </c>
      <c r="B634" s="10">
        <f>66.3455 * CHOOSE(CONTROL!$C$9, $D$9, 100%, $F$9) + CHOOSE(CONTROL!$C$27, 0.0021, 0)</f>
        <v>66.3476</v>
      </c>
      <c r="C634" s="10">
        <f>65.9133 * CHOOSE(CONTROL!$C$9, $D$9, 100%, $F$9) + CHOOSE(CONTROL!$C$27, 0.0021, 0)</f>
        <v>65.915400000000005</v>
      </c>
      <c r="D634" s="10">
        <f>65.9133 * CHOOSE(CONTROL!$C$9, $D$9, 100%, $F$9) + CHOOSE(CONTROL!$C$27, 0.0021, 0)</f>
        <v>65.915400000000005</v>
      </c>
      <c r="E634" s="10">
        <f>65.7766 * CHOOSE(CONTROL!$C$9, $D$9, 100%, $F$9) + CHOOSE(CONTROL!$C$27, 0.0021, 0)</f>
        <v>65.778700000000001</v>
      </c>
      <c r="F634" s="10">
        <f>65.7766 * CHOOSE(CONTROL!$C$9, $D$9, 100%, $F$9) + CHOOSE(CONTROL!$C$27, 0.0021, 0)</f>
        <v>65.778700000000001</v>
      </c>
      <c r="G634" s="10">
        <f>66.048 * CHOOSE(CONTROL!$C$9, $D$9, 100%, $F$9) + CHOOSE(CONTROL!$C$27, 0.0021, 0)</f>
        <v>66.0501</v>
      </c>
      <c r="H634" s="10">
        <f>65.9133 * CHOOSE(CONTROL!$C$9, $D$9, 100%, $F$9) + CHOOSE(CONTROL!$C$27, 0.0021, 0)</f>
        <v>65.915400000000005</v>
      </c>
      <c r="I634" s="10">
        <f>65.9133 * CHOOSE(CONTROL!$C$9, $D$9, 100%, $F$9) + CHOOSE(CONTROL!$C$27, 0.0021, 0)</f>
        <v>65.915400000000005</v>
      </c>
      <c r="J634" s="10">
        <f>65.9133 * CHOOSE(CONTROL!$C$9, $D$9, 100%, $F$9) + CHOOSE(CONTROL!$C$27, 0.0021, 0)</f>
        <v>65.915400000000005</v>
      </c>
      <c r="K634" s="10">
        <f>65.9133 * CHOOSE(CONTROL!$C$9, $D$9, 100%, $F$9) + CHOOSE(CONTROL!$C$27, 0.0021, 0)</f>
        <v>65.915400000000005</v>
      </c>
      <c r="L634" s="10"/>
    </row>
    <row r="635" spans="1:12" ht="15.75" x14ac:dyDescent="0.25">
      <c r="A635" s="13">
        <v>60267</v>
      </c>
      <c r="B635" s="10">
        <f>65.0896 * CHOOSE(CONTROL!$C$9, $D$9, 100%, $F$9) + CHOOSE(CONTROL!$C$27, 0.0021, 0)</f>
        <v>65.091700000000003</v>
      </c>
      <c r="C635" s="10">
        <f>64.6574 * CHOOSE(CONTROL!$C$9, $D$9, 100%, $F$9) + CHOOSE(CONTROL!$C$27, 0.0021, 0)</f>
        <v>64.659499999999994</v>
      </c>
      <c r="D635" s="10">
        <f>64.6574 * CHOOSE(CONTROL!$C$9, $D$9, 100%, $F$9) + CHOOSE(CONTROL!$C$27, 0.0021, 0)</f>
        <v>64.659499999999994</v>
      </c>
      <c r="E635" s="10">
        <f>64.5207 * CHOOSE(CONTROL!$C$9, $D$9, 100%, $F$9) + CHOOSE(CONTROL!$C$27, 0.0021, 0)</f>
        <v>64.522800000000004</v>
      </c>
      <c r="F635" s="10">
        <f>64.5207 * CHOOSE(CONTROL!$C$9, $D$9, 100%, $F$9) + CHOOSE(CONTROL!$C$27, 0.0021, 0)</f>
        <v>64.522800000000004</v>
      </c>
      <c r="G635" s="10">
        <f>64.7921 * CHOOSE(CONTROL!$C$9, $D$9, 100%, $F$9) + CHOOSE(CONTROL!$C$27, 0.0021, 0)</f>
        <v>64.794200000000004</v>
      </c>
      <c r="H635" s="10">
        <f>64.6574 * CHOOSE(CONTROL!$C$9, $D$9, 100%, $F$9) + CHOOSE(CONTROL!$C$27, 0.0021, 0)</f>
        <v>64.659499999999994</v>
      </c>
      <c r="I635" s="10">
        <f>64.6574 * CHOOSE(CONTROL!$C$9, $D$9, 100%, $F$9) + CHOOSE(CONTROL!$C$27, 0.0021, 0)</f>
        <v>64.659499999999994</v>
      </c>
      <c r="J635" s="10">
        <f>64.6574 * CHOOSE(CONTROL!$C$9, $D$9, 100%, $F$9) + CHOOSE(CONTROL!$C$27, 0.0021, 0)</f>
        <v>64.659499999999994</v>
      </c>
      <c r="K635" s="10">
        <f>64.6574 * CHOOSE(CONTROL!$C$9, $D$9, 100%, $F$9) + CHOOSE(CONTROL!$C$27, 0.0021, 0)</f>
        <v>64.659499999999994</v>
      </c>
      <c r="L635" s="10"/>
    </row>
    <row r="636" spans="1:12" ht="15.75" x14ac:dyDescent="0.25">
      <c r="A636" s="13">
        <v>60298</v>
      </c>
      <c r="B636" s="10">
        <f>64.2668 * CHOOSE(CONTROL!$C$9, $D$9, 100%, $F$9) + CHOOSE(CONTROL!$C$27, 0.0021, 0)</f>
        <v>64.268900000000002</v>
      </c>
      <c r="C636" s="10">
        <f>63.8346 * CHOOSE(CONTROL!$C$9, $D$9, 100%, $F$9) + CHOOSE(CONTROL!$C$27, 0.0021, 0)</f>
        <v>63.8367</v>
      </c>
      <c r="D636" s="10">
        <f>63.8346 * CHOOSE(CONTROL!$C$9, $D$9, 100%, $F$9) + CHOOSE(CONTROL!$C$27, 0.0021, 0)</f>
        <v>63.8367</v>
      </c>
      <c r="E636" s="10">
        <f>63.6979 * CHOOSE(CONTROL!$C$9, $D$9, 100%, $F$9) + CHOOSE(CONTROL!$C$27, 0.0021, 0)</f>
        <v>63.699999999999996</v>
      </c>
      <c r="F636" s="10">
        <f>63.6979 * CHOOSE(CONTROL!$C$9, $D$9, 100%, $F$9) + CHOOSE(CONTROL!$C$27, 0.0021, 0)</f>
        <v>63.699999999999996</v>
      </c>
      <c r="G636" s="10">
        <f>63.9693 * CHOOSE(CONTROL!$C$9, $D$9, 100%, $F$9) + CHOOSE(CONTROL!$C$27, 0.0021, 0)</f>
        <v>63.971399999999996</v>
      </c>
      <c r="H636" s="10">
        <f>63.8346 * CHOOSE(CONTROL!$C$9, $D$9, 100%, $F$9) + CHOOSE(CONTROL!$C$27, 0.0021, 0)</f>
        <v>63.8367</v>
      </c>
      <c r="I636" s="10">
        <f>63.8346 * CHOOSE(CONTROL!$C$9, $D$9, 100%, $F$9) + CHOOSE(CONTROL!$C$27, 0.0021, 0)</f>
        <v>63.8367</v>
      </c>
      <c r="J636" s="10">
        <f>63.8346 * CHOOSE(CONTROL!$C$9, $D$9, 100%, $F$9) + CHOOSE(CONTROL!$C$27, 0.0021, 0)</f>
        <v>63.8367</v>
      </c>
      <c r="K636" s="10">
        <f>63.8346 * CHOOSE(CONTROL!$C$9, $D$9, 100%, $F$9) + CHOOSE(CONTROL!$C$27, 0.0021, 0)</f>
        <v>63.8367</v>
      </c>
      <c r="L636" s="10"/>
    </row>
    <row r="637" spans="1:12" ht="15.75" x14ac:dyDescent="0.25">
      <c r="A637" s="13">
        <v>60326</v>
      </c>
      <c r="B637" s="10">
        <f>62.5138 * CHOOSE(CONTROL!$C$9, $D$9, 100%, $F$9) + CHOOSE(CONTROL!$C$27, 0.0021, 0)</f>
        <v>62.515900000000002</v>
      </c>
      <c r="C637" s="10">
        <f>62.0816 * CHOOSE(CONTROL!$C$9, $D$9, 100%, $F$9) + CHOOSE(CONTROL!$C$27, 0.0021, 0)</f>
        <v>62.0837</v>
      </c>
      <c r="D637" s="10">
        <f>62.0816 * CHOOSE(CONTROL!$C$9, $D$9, 100%, $F$9) + CHOOSE(CONTROL!$C$27, 0.0021, 0)</f>
        <v>62.0837</v>
      </c>
      <c r="E637" s="10">
        <f>61.9449 * CHOOSE(CONTROL!$C$9, $D$9, 100%, $F$9) + CHOOSE(CONTROL!$C$27, 0.0021, 0)</f>
        <v>61.946999999999996</v>
      </c>
      <c r="F637" s="10">
        <f>61.9449 * CHOOSE(CONTROL!$C$9, $D$9, 100%, $F$9) + CHOOSE(CONTROL!$C$27, 0.0021, 0)</f>
        <v>61.946999999999996</v>
      </c>
      <c r="G637" s="10">
        <f>62.2163 * CHOOSE(CONTROL!$C$9, $D$9, 100%, $F$9) + CHOOSE(CONTROL!$C$27, 0.0021, 0)</f>
        <v>62.218399999999995</v>
      </c>
      <c r="H637" s="10">
        <f>62.0816 * CHOOSE(CONTROL!$C$9, $D$9, 100%, $F$9) + CHOOSE(CONTROL!$C$27, 0.0021, 0)</f>
        <v>62.0837</v>
      </c>
      <c r="I637" s="10">
        <f>62.0816 * CHOOSE(CONTROL!$C$9, $D$9, 100%, $F$9) + CHOOSE(CONTROL!$C$27, 0.0021, 0)</f>
        <v>62.0837</v>
      </c>
      <c r="J637" s="10">
        <f>62.0816 * CHOOSE(CONTROL!$C$9, $D$9, 100%, $F$9) + CHOOSE(CONTROL!$C$27, 0.0021, 0)</f>
        <v>62.0837</v>
      </c>
      <c r="K637" s="10">
        <f>62.0816 * CHOOSE(CONTROL!$C$9, $D$9, 100%, $F$9) + CHOOSE(CONTROL!$C$27, 0.0021, 0)</f>
        <v>62.0837</v>
      </c>
      <c r="L637" s="10"/>
    </row>
    <row r="638" spans="1:12" ht="15.75" x14ac:dyDescent="0.25">
      <c r="A638" s="13">
        <v>60357</v>
      </c>
      <c r="B638" s="10">
        <f>61.7902 * CHOOSE(CONTROL!$C$9, $D$9, 100%, $F$9) + CHOOSE(CONTROL!$C$27, 0.0021, 0)</f>
        <v>61.792299999999997</v>
      </c>
      <c r="C638" s="10">
        <f>61.358 * CHOOSE(CONTROL!$C$9, $D$9, 100%, $F$9) + CHOOSE(CONTROL!$C$27, 0.0021, 0)</f>
        <v>61.360099999999996</v>
      </c>
      <c r="D638" s="10">
        <f>61.358 * CHOOSE(CONTROL!$C$9, $D$9, 100%, $F$9) + CHOOSE(CONTROL!$C$27, 0.0021, 0)</f>
        <v>61.360099999999996</v>
      </c>
      <c r="E638" s="10">
        <f>61.2213 * CHOOSE(CONTROL!$C$9, $D$9, 100%, $F$9) + CHOOSE(CONTROL!$C$27, 0.0021, 0)</f>
        <v>61.223399999999998</v>
      </c>
      <c r="F638" s="10">
        <f>61.2213 * CHOOSE(CONTROL!$C$9, $D$9, 100%, $F$9) + CHOOSE(CONTROL!$C$27, 0.0021, 0)</f>
        <v>61.223399999999998</v>
      </c>
      <c r="G638" s="10">
        <f>61.4927 * CHOOSE(CONTROL!$C$9, $D$9, 100%, $F$9) + CHOOSE(CONTROL!$C$27, 0.0021, 0)</f>
        <v>61.494799999999998</v>
      </c>
      <c r="H638" s="10">
        <f>61.358 * CHOOSE(CONTROL!$C$9, $D$9, 100%, $F$9) + CHOOSE(CONTROL!$C$27, 0.0021, 0)</f>
        <v>61.360099999999996</v>
      </c>
      <c r="I638" s="10">
        <f>61.358 * CHOOSE(CONTROL!$C$9, $D$9, 100%, $F$9) + CHOOSE(CONTROL!$C$27, 0.0021, 0)</f>
        <v>61.360099999999996</v>
      </c>
      <c r="J638" s="10">
        <f>61.358 * CHOOSE(CONTROL!$C$9, $D$9, 100%, $F$9) + CHOOSE(CONTROL!$C$27, 0.0021, 0)</f>
        <v>61.360099999999996</v>
      </c>
      <c r="K638" s="10">
        <f>61.358 * CHOOSE(CONTROL!$C$9, $D$9, 100%, $F$9) + CHOOSE(CONTROL!$C$27, 0.0021, 0)</f>
        <v>61.360099999999996</v>
      </c>
      <c r="L638" s="10"/>
    </row>
    <row r="639" spans="1:12" ht="15.75" x14ac:dyDescent="0.25">
      <c r="A639" s="13">
        <v>60387</v>
      </c>
      <c r="B639" s="10">
        <f>60.9262 * CHOOSE(CONTROL!$C$9, $D$9, 100%, $F$9) + CHOOSE(CONTROL!$C$27, 0.0021, 0)</f>
        <v>60.9283</v>
      </c>
      <c r="C639" s="10">
        <f>60.4939 * CHOOSE(CONTROL!$C$9, $D$9, 100%, $F$9) + CHOOSE(CONTROL!$C$27, 0.0021, 0)</f>
        <v>60.495999999999995</v>
      </c>
      <c r="D639" s="10">
        <f>60.4939 * CHOOSE(CONTROL!$C$9, $D$9, 100%, $F$9) + CHOOSE(CONTROL!$C$27, 0.0021, 0)</f>
        <v>60.495999999999995</v>
      </c>
      <c r="E639" s="10">
        <f>60.3573 * CHOOSE(CONTROL!$C$9, $D$9, 100%, $F$9) + CHOOSE(CONTROL!$C$27, 0.0021, 0)</f>
        <v>60.359400000000001</v>
      </c>
      <c r="F639" s="10">
        <f>60.3573 * CHOOSE(CONTROL!$C$9, $D$9, 100%, $F$9) + CHOOSE(CONTROL!$C$27, 0.0021, 0)</f>
        <v>60.359400000000001</v>
      </c>
      <c r="G639" s="10">
        <f>60.6287 * CHOOSE(CONTROL!$C$9, $D$9, 100%, $F$9) + CHOOSE(CONTROL!$C$27, 0.0021, 0)</f>
        <v>60.630800000000001</v>
      </c>
      <c r="H639" s="10">
        <f>60.4939 * CHOOSE(CONTROL!$C$9, $D$9, 100%, $F$9) + CHOOSE(CONTROL!$C$27, 0.0021, 0)</f>
        <v>60.495999999999995</v>
      </c>
      <c r="I639" s="10">
        <f>60.4939 * CHOOSE(CONTROL!$C$9, $D$9, 100%, $F$9) + CHOOSE(CONTROL!$C$27, 0.0021, 0)</f>
        <v>60.495999999999995</v>
      </c>
      <c r="J639" s="10">
        <f>60.4939 * CHOOSE(CONTROL!$C$9, $D$9, 100%, $F$9) + CHOOSE(CONTROL!$C$27, 0.0021, 0)</f>
        <v>60.495999999999995</v>
      </c>
      <c r="K639" s="10">
        <f>60.4939 * CHOOSE(CONTROL!$C$9, $D$9, 100%, $F$9) + CHOOSE(CONTROL!$C$27, 0.0021, 0)</f>
        <v>60.495999999999995</v>
      </c>
      <c r="L639" s="10"/>
    </row>
    <row r="640" spans="1:12" ht="15.75" x14ac:dyDescent="0.25">
      <c r="A640" s="13">
        <v>60418</v>
      </c>
      <c r="B640" s="10">
        <f>62.1575 * CHOOSE(CONTROL!$C$9, $D$9, 100%, $F$9) + CHOOSE(CONTROL!$C$27, 0.0021, 0)</f>
        <v>62.159599999999998</v>
      </c>
      <c r="C640" s="10">
        <f>61.7253 * CHOOSE(CONTROL!$C$9, $D$9, 100%, $F$9) + CHOOSE(CONTROL!$C$27, 0.0021, 0)</f>
        <v>61.727399999999996</v>
      </c>
      <c r="D640" s="10">
        <f>61.7253 * CHOOSE(CONTROL!$C$9, $D$9, 100%, $F$9) + CHOOSE(CONTROL!$C$27, 0.0021, 0)</f>
        <v>61.727399999999996</v>
      </c>
      <c r="E640" s="10">
        <f>61.5886 * CHOOSE(CONTROL!$C$9, $D$9, 100%, $F$9) + CHOOSE(CONTROL!$C$27, 0.0021, 0)</f>
        <v>61.590699999999998</v>
      </c>
      <c r="F640" s="10">
        <f>61.5886 * CHOOSE(CONTROL!$C$9, $D$9, 100%, $F$9) + CHOOSE(CONTROL!$C$27, 0.0021, 0)</f>
        <v>61.590699999999998</v>
      </c>
      <c r="G640" s="10">
        <f>61.86 * CHOOSE(CONTROL!$C$9, $D$9, 100%, $F$9) + CHOOSE(CONTROL!$C$27, 0.0021, 0)</f>
        <v>61.862099999999998</v>
      </c>
      <c r="H640" s="10">
        <f>61.7253 * CHOOSE(CONTROL!$C$9, $D$9, 100%, $F$9) + CHOOSE(CONTROL!$C$27, 0.0021, 0)</f>
        <v>61.727399999999996</v>
      </c>
      <c r="I640" s="10">
        <f>61.7253 * CHOOSE(CONTROL!$C$9, $D$9, 100%, $F$9) + CHOOSE(CONTROL!$C$27, 0.0021, 0)</f>
        <v>61.727399999999996</v>
      </c>
      <c r="J640" s="10">
        <f>61.7253 * CHOOSE(CONTROL!$C$9, $D$9, 100%, $F$9) + CHOOSE(CONTROL!$C$27, 0.0021, 0)</f>
        <v>61.727399999999996</v>
      </c>
      <c r="K640" s="10">
        <f>61.7253 * CHOOSE(CONTROL!$C$9, $D$9, 100%, $F$9) + CHOOSE(CONTROL!$C$27, 0.0021, 0)</f>
        <v>61.727399999999996</v>
      </c>
      <c r="L640" s="10"/>
    </row>
    <row r="641" spans="1:12" ht="15.75" x14ac:dyDescent="0.25">
      <c r="A641" s="13">
        <v>60448</v>
      </c>
      <c r="B641" s="10">
        <f>62.8951 * CHOOSE(CONTROL!$C$9, $D$9, 100%, $F$9) + CHOOSE(CONTROL!$C$27, 0.0021, 0)</f>
        <v>62.897199999999998</v>
      </c>
      <c r="C641" s="10">
        <f>62.4628 * CHOOSE(CONTROL!$C$9, $D$9, 100%, $F$9) + CHOOSE(CONTROL!$C$27, 0.0021, 0)</f>
        <v>62.4649</v>
      </c>
      <c r="D641" s="10">
        <f>62.4628 * CHOOSE(CONTROL!$C$9, $D$9, 100%, $F$9) + CHOOSE(CONTROL!$C$27, 0.0021, 0)</f>
        <v>62.4649</v>
      </c>
      <c r="E641" s="10">
        <f>62.3261 * CHOOSE(CONTROL!$C$9, $D$9, 100%, $F$9) + CHOOSE(CONTROL!$C$27, 0.0021, 0)</f>
        <v>62.328199999999995</v>
      </c>
      <c r="F641" s="10">
        <f>62.3261 * CHOOSE(CONTROL!$C$9, $D$9, 100%, $F$9) + CHOOSE(CONTROL!$C$27, 0.0021, 0)</f>
        <v>62.328199999999995</v>
      </c>
      <c r="G641" s="10">
        <f>62.5975 * CHOOSE(CONTROL!$C$9, $D$9, 100%, $F$9) + CHOOSE(CONTROL!$C$27, 0.0021, 0)</f>
        <v>62.599599999999995</v>
      </c>
      <c r="H641" s="10">
        <f>62.4628 * CHOOSE(CONTROL!$C$9, $D$9, 100%, $F$9) + CHOOSE(CONTROL!$C$27, 0.0021, 0)</f>
        <v>62.4649</v>
      </c>
      <c r="I641" s="10">
        <f>62.4628 * CHOOSE(CONTROL!$C$9, $D$9, 100%, $F$9) + CHOOSE(CONTROL!$C$27, 0.0021, 0)</f>
        <v>62.4649</v>
      </c>
      <c r="J641" s="10">
        <f>62.4628 * CHOOSE(CONTROL!$C$9, $D$9, 100%, $F$9) + CHOOSE(CONTROL!$C$27, 0.0021, 0)</f>
        <v>62.4649</v>
      </c>
      <c r="K641" s="10">
        <f>62.4628 * CHOOSE(CONTROL!$C$9, $D$9, 100%, $F$9) + CHOOSE(CONTROL!$C$27, 0.0021, 0)</f>
        <v>62.4649</v>
      </c>
      <c r="L641" s="10"/>
    </row>
    <row r="642" spans="1:12" ht="15.75" x14ac:dyDescent="0.25">
      <c r="A642" s="13">
        <v>60479</v>
      </c>
      <c r="B642" s="10">
        <f>64.1117 * CHOOSE(CONTROL!$C$9, $D$9, 100%, $F$9) + CHOOSE(CONTROL!$C$27, 0.0021, 0)</f>
        <v>64.113799999999998</v>
      </c>
      <c r="C642" s="10">
        <f>63.6794 * CHOOSE(CONTROL!$C$9, $D$9, 100%, $F$9) + CHOOSE(CONTROL!$C$27, 0.0021, 0)</f>
        <v>63.6815</v>
      </c>
      <c r="D642" s="10">
        <f>63.6794 * CHOOSE(CONTROL!$C$9, $D$9, 100%, $F$9) + CHOOSE(CONTROL!$C$27, 0.0021, 0)</f>
        <v>63.6815</v>
      </c>
      <c r="E642" s="10">
        <f>63.5428 * CHOOSE(CONTROL!$C$9, $D$9, 100%, $F$9) + CHOOSE(CONTROL!$C$27, 0.0021, 0)</f>
        <v>63.544899999999998</v>
      </c>
      <c r="F642" s="10">
        <f>63.5428 * CHOOSE(CONTROL!$C$9, $D$9, 100%, $F$9) + CHOOSE(CONTROL!$C$27, 0.0021, 0)</f>
        <v>63.544899999999998</v>
      </c>
      <c r="G642" s="10">
        <f>63.8142 * CHOOSE(CONTROL!$C$9, $D$9, 100%, $F$9) + CHOOSE(CONTROL!$C$27, 0.0021, 0)</f>
        <v>63.816299999999998</v>
      </c>
      <c r="H642" s="10">
        <f>63.6794 * CHOOSE(CONTROL!$C$9, $D$9, 100%, $F$9) + CHOOSE(CONTROL!$C$27, 0.0021, 0)</f>
        <v>63.6815</v>
      </c>
      <c r="I642" s="10">
        <f>63.6794 * CHOOSE(CONTROL!$C$9, $D$9, 100%, $F$9) + CHOOSE(CONTROL!$C$27, 0.0021, 0)</f>
        <v>63.6815</v>
      </c>
      <c r="J642" s="10">
        <f>63.6794 * CHOOSE(CONTROL!$C$9, $D$9, 100%, $F$9) + CHOOSE(CONTROL!$C$27, 0.0021, 0)</f>
        <v>63.6815</v>
      </c>
      <c r="K642" s="10">
        <f>63.6794 * CHOOSE(CONTROL!$C$9, $D$9, 100%, $F$9) + CHOOSE(CONTROL!$C$27, 0.0021, 0)</f>
        <v>63.6815</v>
      </c>
      <c r="L642" s="10"/>
    </row>
    <row r="643" spans="1:12" ht="15.75" x14ac:dyDescent="0.25">
      <c r="A643" s="13">
        <v>60510</v>
      </c>
      <c r="B643" s="10">
        <f>64.483 * CHOOSE(CONTROL!$C$9, $D$9, 100%, $F$9) + CHOOSE(CONTROL!$C$27, 0.0021, 0)</f>
        <v>64.485100000000003</v>
      </c>
      <c r="C643" s="10">
        <f>64.0508 * CHOOSE(CONTROL!$C$9, $D$9, 100%, $F$9) + CHOOSE(CONTROL!$C$27, 0.0021, 0)</f>
        <v>64.052899999999994</v>
      </c>
      <c r="D643" s="10">
        <f>64.0508 * CHOOSE(CONTROL!$C$9, $D$9, 100%, $F$9) + CHOOSE(CONTROL!$C$27, 0.0021, 0)</f>
        <v>64.052899999999994</v>
      </c>
      <c r="E643" s="10">
        <f>63.9141 * CHOOSE(CONTROL!$C$9, $D$9, 100%, $F$9) + CHOOSE(CONTROL!$C$27, 0.0021, 0)</f>
        <v>63.916199999999996</v>
      </c>
      <c r="F643" s="10">
        <f>63.9141 * CHOOSE(CONTROL!$C$9, $D$9, 100%, $F$9) + CHOOSE(CONTROL!$C$27, 0.0021, 0)</f>
        <v>63.916199999999996</v>
      </c>
      <c r="G643" s="10">
        <f>64.1855 * CHOOSE(CONTROL!$C$9, $D$9, 100%, $F$9) + CHOOSE(CONTROL!$C$27, 0.0021, 0)</f>
        <v>64.187600000000003</v>
      </c>
      <c r="H643" s="10">
        <f>64.0508 * CHOOSE(CONTROL!$C$9, $D$9, 100%, $F$9) + CHOOSE(CONTROL!$C$27, 0.0021, 0)</f>
        <v>64.052899999999994</v>
      </c>
      <c r="I643" s="10">
        <f>64.0508 * CHOOSE(CONTROL!$C$9, $D$9, 100%, $F$9) + CHOOSE(CONTROL!$C$27, 0.0021, 0)</f>
        <v>64.052899999999994</v>
      </c>
      <c r="J643" s="10">
        <f>64.0508 * CHOOSE(CONTROL!$C$9, $D$9, 100%, $F$9) + CHOOSE(CONTROL!$C$27, 0.0021, 0)</f>
        <v>64.052899999999994</v>
      </c>
      <c r="K643" s="10">
        <f>64.0508 * CHOOSE(CONTROL!$C$9, $D$9, 100%, $F$9) + CHOOSE(CONTROL!$C$27, 0.0021, 0)</f>
        <v>64.052899999999994</v>
      </c>
      <c r="L643" s="10"/>
    </row>
    <row r="644" spans="1:12" ht="15.75" x14ac:dyDescent="0.25">
      <c r="A644" s="13">
        <v>60540</v>
      </c>
      <c r="B644" s="10">
        <f>65.7477 * CHOOSE(CONTROL!$C$9, $D$9, 100%, $F$9) + CHOOSE(CONTROL!$C$27, 0.0021, 0)</f>
        <v>65.749799999999993</v>
      </c>
      <c r="C644" s="10">
        <f>65.3154 * CHOOSE(CONTROL!$C$9, $D$9, 100%, $F$9) + CHOOSE(CONTROL!$C$27, 0.0021, 0)</f>
        <v>65.317499999999995</v>
      </c>
      <c r="D644" s="10">
        <f>65.3154 * CHOOSE(CONTROL!$C$9, $D$9, 100%, $F$9) + CHOOSE(CONTROL!$C$27, 0.0021, 0)</f>
        <v>65.317499999999995</v>
      </c>
      <c r="E644" s="10">
        <f>65.1788 * CHOOSE(CONTROL!$C$9, $D$9, 100%, $F$9) + CHOOSE(CONTROL!$C$27, 0.0021, 0)</f>
        <v>65.180899999999994</v>
      </c>
      <c r="F644" s="10">
        <f>65.1788 * CHOOSE(CONTROL!$C$9, $D$9, 100%, $F$9) + CHOOSE(CONTROL!$C$27, 0.0021, 0)</f>
        <v>65.180899999999994</v>
      </c>
      <c r="G644" s="10">
        <f>65.4502 * CHOOSE(CONTROL!$C$9, $D$9, 100%, $F$9) + CHOOSE(CONTROL!$C$27, 0.0021, 0)</f>
        <v>65.452299999999994</v>
      </c>
      <c r="H644" s="10">
        <f>65.3154 * CHOOSE(CONTROL!$C$9, $D$9, 100%, $F$9) + CHOOSE(CONTROL!$C$27, 0.0021, 0)</f>
        <v>65.317499999999995</v>
      </c>
      <c r="I644" s="10">
        <f>65.3154 * CHOOSE(CONTROL!$C$9, $D$9, 100%, $F$9) + CHOOSE(CONTROL!$C$27, 0.0021, 0)</f>
        <v>65.317499999999995</v>
      </c>
      <c r="J644" s="10">
        <f>65.3154 * CHOOSE(CONTROL!$C$9, $D$9, 100%, $F$9) + CHOOSE(CONTROL!$C$27, 0.0021, 0)</f>
        <v>65.317499999999995</v>
      </c>
      <c r="K644" s="10">
        <f>65.3154 * CHOOSE(CONTROL!$C$9, $D$9, 100%, $F$9) + CHOOSE(CONTROL!$C$27, 0.0021, 0)</f>
        <v>65.317499999999995</v>
      </c>
      <c r="L644" s="10"/>
    </row>
    <row r="645" spans="1:12" ht="15.75" x14ac:dyDescent="0.25">
      <c r="A645" s="13">
        <v>60571</v>
      </c>
      <c r="B645" s="10">
        <f>67.3485 * CHOOSE(CONTROL!$C$9, $D$9, 100%, $F$9) + CHOOSE(CONTROL!$C$27, 0.0021, 0)</f>
        <v>67.3506</v>
      </c>
      <c r="C645" s="10">
        <f>66.9163 * CHOOSE(CONTROL!$C$9, $D$9, 100%, $F$9) + CHOOSE(CONTROL!$C$27, 0.0021, 0)</f>
        <v>66.918400000000005</v>
      </c>
      <c r="D645" s="10">
        <f>66.9163 * CHOOSE(CONTROL!$C$9, $D$9, 100%, $F$9) + CHOOSE(CONTROL!$C$27, 0.0021, 0)</f>
        <v>66.918400000000005</v>
      </c>
      <c r="E645" s="10">
        <f>66.7796 * CHOOSE(CONTROL!$C$9, $D$9, 100%, $F$9) + CHOOSE(CONTROL!$C$27, 0.0021, 0)</f>
        <v>66.781700000000001</v>
      </c>
      <c r="F645" s="10">
        <f>66.7796 * CHOOSE(CONTROL!$C$9, $D$9, 100%, $F$9) + CHOOSE(CONTROL!$C$27, 0.0021, 0)</f>
        <v>66.781700000000001</v>
      </c>
      <c r="G645" s="10">
        <f>67.051 * CHOOSE(CONTROL!$C$9, $D$9, 100%, $F$9) + CHOOSE(CONTROL!$C$27, 0.0021, 0)</f>
        <v>67.053100000000001</v>
      </c>
      <c r="H645" s="10">
        <f>66.9163 * CHOOSE(CONTROL!$C$9, $D$9, 100%, $F$9) + CHOOSE(CONTROL!$C$27, 0.0021, 0)</f>
        <v>66.918400000000005</v>
      </c>
      <c r="I645" s="10">
        <f>66.9163 * CHOOSE(CONTROL!$C$9, $D$9, 100%, $F$9) + CHOOSE(CONTROL!$C$27, 0.0021, 0)</f>
        <v>66.918400000000005</v>
      </c>
      <c r="J645" s="10">
        <f>66.9163 * CHOOSE(CONTROL!$C$9, $D$9, 100%, $F$9) + CHOOSE(CONTROL!$C$27, 0.0021, 0)</f>
        <v>66.918400000000005</v>
      </c>
      <c r="K645" s="10">
        <f>66.9163 * CHOOSE(CONTROL!$C$9, $D$9, 100%, $F$9) + CHOOSE(CONTROL!$C$27, 0.0021, 0)</f>
        <v>66.918400000000005</v>
      </c>
      <c r="L645" s="10"/>
    </row>
    <row r="646" spans="1:12" ht="15.75" x14ac:dyDescent="0.25">
      <c r="A646" s="13">
        <v>60601</v>
      </c>
      <c r="B646" s="10">
        <f>67.4988 * CHOOSE(CONTROL!$C$9, $D$9, 100%, $F$9) + CHOOSE(CONTROL!$C$27, 0.0021, 0)</f>
        <v>67.500900000000001</v>
      </c>
      <c r="C646" s="10">
        <f>67.0666 * CHOOSE(CONTROL!$C$9, $D$9, 100%, $F$9) + CHOOSE(CONTROL!$C$27, 0.0021, 0)</f>
        <v>67.068699999999993</v>
      </c>
      <c r="D646" s="10">
        <f>67.0666 * CHOOSE(CONTROL!$C$9, $D$9, 100%, $F$9) + CHOOSE(CONTROL!$C$27, 0.0021, 0)</f>
        <v>67.068699999999993</v>
      </c>
      <c r="E646" s="10">
        <f>66.9299 * CHOOSE(CONTROL!$C$9, $D$9, 100%, $F$9) + CHOOSE(CONTROL!$C$27, 0.0021, 0)</f>
        <v>66.932000000000002</v>
      </c>
      <c r="F646" s="10">
        <f>66.9299 * CHOOSE(CONTROL!$C$9, $D$9, 100%, $F$9) + CHOOSE(CONTROL!$C$27, 0.0021, 0)</f>
        <v>66.932000000000002</v>
      </c>
      <c r="G646" s="10">
        <f>67.2013 * CHOOSE(CONTROL!$C$9, $D$9, 100%, $F$9) + CHOOSE(CONTROL!$C$27, 0.0021, 0)</f>
        <v>67.203400000000002</v>
      </c>
      <c r="H646" s="10">
        <f>67.0666 * CHOOSE(CONTROL!$C$9, $D$9, 100%, $F$9) + CHOOSE(CONTROL!$C$27, 0.0021, 0)</f>
        <v>67.068699999999993</v>
      </c>
      <c r="I646" s="10">
        <f>67.0666 * CHOOSE(CONTROL!$C$9, $D$9, 100%, $F$9) + CHOOSE(CONTROL!$C$27, 0.0021, 0)</f>
        <v>67.068699999999993</v>
      </c>
      <c r="J646" s="10">
        <f>67.0666 * CHOOSE(CONTROL!$C$9, $D$9, 100%, $F$9) + CHOOSE(CONTROL!$C$27, 0.0021, 0)</f>
        <v>67.068699999999993</v>
      </c>
      <c r="K646" s="10">
        <f>67.0666 * CHOOSE(CONTROL!$C$9, $D$9, 100%, $F$9) + CHOOSE(CONTROL!$C$27, 0.0021, 0)</f>
        <v>67.068699999999993</v>
      </c>
      <c r="L646" s="10"/>
    </row>
    <row r="647" spans="1:12" ht="15.75" x14ac:dyDescent="0.25">
      <c r="A647" s="13">
        <v>60632</v>
      </c>
      <c r="B647" s="10">
        <f>66.2203 * CHOOSE(CONTROL!$C$9, $D$9, 100%, $F$9) + CHOOSE(CONTROL!$C$27, 0.0021, 0)</f>
        <v>66.222399999999993</v>
      </c>
      <c r="C647" s="10">
        <f>65.788 * CHOOSE(CONTROL!$C$9, $D$9, 100%, $F$9) + CHOOSE(CONTROL!$C$27, 0.0021, 0)</f>
        <v>65.790099999999995</v>
      </c>
      <c r="D647" s="10">
        <f>65.788 * CHOOSE(CONTROL!$C$9, $D$9, 100%, $F$9) + CHOOSE(CONTROL!$C$27, 0.0021, 0)</f>
        <v>65.790099999999995</v>
      </c>
      <c r="E647" s="10">
        <f>65.6513 * CHOOSE(CONTROL!$C$9, $D$9, 100%, $F$9) + CHOOSE(CONTROL!$C$27, 0.0021, 0)</f>
        <v>65.653400000000005</v>
      </c>
      <c r="F647" s="10">
        <f>65.6513 * CHOOSE(CONTROL!$C$9, $D$9, 100%, $F$9) + CHOOSE(CONTROL!$C$27, 0.0021, 0)</f>
        <v>65.653400000000005</v>
      </c>
      <c r="G647" s="10">
        <f>65.9227 * CHOOSE(CONTROL!$C$9, $D$9, 100%, $F$9) + CHOOSE(CONTROL!$C$27, 0.0021, 0)</f>
        <v>65.924800000000005</v>
      </c>
      <c r="H647" s="10">
        <f>65.788 * CHOOSE(CONTROL!$C$9, $D$9, 100%, $F$9) + CHOOSE(CONTROL!$C$27, 0.0021, 0)</f>
        <v>65.790099999999995</v>
      </c>
      <c r="I647" s="10">
        <f>65.788 * CHOOSE(CONTROL!$C$9, $D$9, 100%, $F$9) + CHOOSE(CONTROL!$C$27, 0.0021, 0)</f>
        <v>65.790099999999995</v>
      </c>
      <c r="J647" s="10">
        <f>65.788 * CHOOSE(CONTROL!$C$9, $D$9, 100%, $F$9) + CHOOSE(CONTROL!$C$27, 0.0021, 0)</f>
        <v>65.790099999999995</v>
      </c>
      <c r="K647" s="10">
        <f>65.788 * CHOOSE(CONTROL!$C$9, $D$9, 100%, $F$9) + CHOOSE(CONTROL!$C$27, 0.0021, 0)</f>
        <v>65.790099999999995</v>
      </c>
      <c r="L647" s="10"/>
    </row>
    <row r="648" spans="1:12" ht="15.75" x14ac:dyDescent="0.25">
      <c r="A648" s="13">
        <v>60663</v>
      </c>
      <c r="B648" s="10">
        <f>65.3827 * CHOOSE(CONTROL!$C$9, $D$9, 100%, $F$9) + CHOOSE(CONTROL!$C$27, 0.0021, 0)</f>
        <v>65.384799999999998</v>
      </c>
      <c r="C648" s="10">
        <f>64.9504 * CHOOSE(CONTROL!$C$9, $D$9, 100%, $F$9) + CHOOSE(CONTROL!$C$27, 0.0021, 0)</f>
        <v>64.952500000000001</v>
      </c>
      <c r="D648" s="10">
        <f>64.9504 * CHOOSE(CONTROL!$C$9, $D$9, 100%, $F$9) + CHOOSE(CONTROL!$C$27, 0.0021, 0)</f>
        <v>64.952500000000001</v>
      </c>
      <c r="E648" s="10">
        <f>64.8138 * CHOOSE(CONTROL!$C$9, $D$9, 100%, $F$9) + CHOOSE(CONTROL!$C$27, 0.0021, 0)</f>
        <v>64.815899999999999</v>
      </c>
      <c r="F648" s="10">
        <f>64.8138 * CHOOSE(CONTROL!$C$9, $D$9, 100%, $F$9) + CHOOSE(CONTROL!$C$27, 0.0021, 0)</f>
        <v>64.815899999999999</v>
      </c>
      <c r="G648" s="10">
        <f>65.0851 * CHOOSE(CONTROL!$C$9, $D$9, 100%, $F$9) + CHOOSE(CONTROL!$C$27, 0.0021, 0)</f>
        <v>65.087199999999996</v>
      </c>
      <c r="H648" s="10">
        <f>64.9504 * CHOOSE(CONTROL!$C$9, $D$9, 100%, $F$9) + CHOOSE(CONTROL!$C$27, 0.0021, 0)</f>
        <v>64.952500000000001</v>
      </c>
      <c r="I648" s="10">
        <f>64.9504 * CHOOSE(CONTROL!$C$9, $D$9, 100%, $F$9) + CHOOSE(CONTROL!$C$27, 0.0021, 0)</f>
        <v>64.952500000000001</v>
      </c>
      <c r="J648" s="10">
        <f>64.9504 * CHOOSE(CONTROL!$C$9, $D$9, 100%, $F$9) + CHOOSE(CONTROL!$C$27, 0.0021, 0)</f>
        <v>64.952500000000001</v>
      </c>
      <c r="K648" s="10">
        <f>64.9504 * CHOOSE(CONTROL!$C$9, $D$9, 100%, $F$9) + CHOOSE(CONTROL!$C$27, 0.0021, 0)</f>
        <v>64.952500000000001</v>
      </c>
      <c r="L648" s="10"/>
    </row>
    <row r="649" spans="1:12" ht="15.75" x14ac:dyDescent="0.25">
      <c r="A649" s="13">
        <v>60691</v>
      </c>
      <c r="B649" s="10">
        <f>63.5981 * CHOOSE(CONTROL!$C$9, $D$9, 100%, $F$9) + CHOOSE(CONTROL!$C$27, 0.0021, 0)</f>
        <v>63.600200000000001</v>
      </c>
      <c r="C649" s="10">
        <f>63.1659 * CHOOSE(CONTROL!$C$9, $D$9, 100%, $F$9) + CHOOSE(CONTROL!$C$27, 0.0021, 0)</f>
        <v>63.167999999999999</v>
      </c>
      <c r="D649" s="10">
        <f>63.1659 * CHOOSE(CONTROL!$C$9, $D$9, 100%, $F$9) + CHOOSE(CONTROL!$C$27, 0.0021, 0)</f>
        <v>63.167999999999999</v>
      </c>
      <c r="E649" s="10">
        <f>63.0292 * CHOOSE(CONTROL!$C$9, $D$9, 100%, $F$9) + CHOOSE(CONTROL!$C$27, 0.0021, 0)</f>
        <v>63.031300000000002</v>
      </c>
      <c r="F649" s="10">
        <f>63.0292 * CHOOSE(CONTROL!$C$9, $D$9, 100%, $F$9) + CHOOSE(CONTROL!$C$27, 0.0021, 0)</f>
        <v>63.031300000000002</v>
      </c>
      <c r="G649" s="10">
        <f>63.3006 * CHOOSE(CONTROL!$C$9, $D$9, 100%, $F$9) + CHOOSE(CONTROL!$C$27, 0.0021, 0)</f>
        <v>63.302700000000002</v>
      </c>
      <c r="H649" s="10">
        <f>63.1659 * CHOOSE(CONTROL!$C$9, $D$9, 100%, $F$9) + CHOOSE(CONTROL!$C$27, 0.0021, 0)</f>
        <v>63.167999999999999</v>
      </c>
      <c r="I649" s="10">
        <f>63.1659 * CHOOSE(CONTROL!$C$9, $D$9, 100%, $F$9) + CHOOSE(CONTROL!$C$27, 0.0021, 0)</f>
        <v>63.167999999999999</v>
      </c>
      <c r="J649" s="10">
        <f>63.1659 * CHOOSE(CONTROL!$C$9, $D$9, 100%, $F$9) + CHOOSE(CONTROL!$C$27, 0.0021, 0)</f>
        <v>63.167999999999999</v>
      </c>
      <c r="K649" s="10">
        <f>63.1659 * CHOOSE(CONTROL!$C$9, $D$9, 100%, $F$9) + CHOOSE(CONTROL!$C$27, 0.0021, 0)</f>
        <v>63.167999999999999</v>
      </c>
      <c r="L649" s="10"/>
    </row>
    <row r="650" spans="1:12" ht="15.75" x14ac:dyDescent="0.25">
      <c r="A650" s="13">
        <v>60722</v>
      </c>
      <c r="B650" s="10">
        <f>62.8615 * CHOOSE(CONTROL!$C$9, $D$9, 100%, $F$9) + CHOOSE(CONTROL!$C$27, 0.0021, 0)</f>
        <v>62.863599999999998</v>
      </c>
      <c r="C650" s="10">
        <f>62.4292 * CHOOSE(CONTROL!$C$9, $D$9, 100%, $F$9) + CHOOSE(CONTROL!$C$27, 0.0021, 0)</f>
        <v>62.4313</v>
      </c>
      <c r="D650" s="10">
        <f>62.4292 * CHOOSE(CONTROL!$C$9, $D$9, 100%, $F$9) + CHOOSE(CONTROL!$C$27, 0.0021, 0)</f>
        <v>62.4313</v>
      </c>
      <c r="E650" s="10">
        <f>62.2926 * CHOOSE(CONTROL!$C$9, $D$9, 100%, $F$9) + CHOOSE(CONTROL!$C$27, 0.0021, 0)</f>
        <v>62.294699999999999</v>
      </c>
      <c r="F650" s="10">
        <f>62.2926 * CHOOSE(CONTROL!$C$9, $D$9, 100%, $F$9) + CHOOSE(CONTROL!$C$27, 0.0021, 0)</f>
        <v>62.294699999999999</v>
      </c>
      <c r="G650" s="10">
        <f>62.5639 * CHOOSE(CONTROL!$C$9, $D$9, 100%, $F$9) + CHOOSE(CONTROL!$C$27, 0.0021, 0)</f>
        <v>62.565999999999995</v>
      </c>
      <c r="H650" s="10">
        <f>62.4292 * CHOOSE(CONTROL!$C$9, $D$9, 100%, $F$9) + CHOOSE(CONTROL!$C$27, 0.0021, 0)</f>
        <v>62.4313</v>
      </c>
      <c r="I650" s="10">
        <f>62.4292 * CHOOSE(CONTROL!$C$9, $D$9, 100%, $F$9) + CHOOSE(CONTROL!$C$27, 0.0021, 0)</f>
        <v>62.4313</v>
      </c>
      <c r="J650" s="10">
        <f>62.4292 * CHOOSE(CONTROL!$C$9, $D$9, 100%, $F$9) + CHOOSE(CONTROL!$C$27, 0.0021, 0)</f>
        <v>62.4313</v>
      </c>
      <c r="K650" s="10">
        <f>62.4292 * CHOOSE(CONTROL!$C$9, $D$9, 100%, $F$9) + CHOOSE(CONTROL!$C$27, 0.0021, 0)</f>
        <v>62.4313</v>
      </c>
      <c r="L650" s="10"/>
    </row>
    <row r="651" spans="1:12" ht="15.75" x14ac:dyDescent="0.25">
      <c r="A651" s="13">
        <v>60752</v>
      </c>
      <c r="B651" s="10">
        <f>61.9819 * CHOOSE(CONTROL!$C$9, $D$9, 100%, $F$9) + CHOOSE(CONTROL!$C$27, 0.0021, 0)</f>
        <v>61.984000000000002</v>
      </c>
      <c r="C651" s="10">
        <f>61.5496 * CHOOSE(CONTROL!$C$9, $D$9, 100%, $F$9) + CHOOSE(CONTROL!$C$27, 0.0021, 0)</f>
        <v>61.551699999999997</v>
      </c>
      <c r="D651" s="10">
        <f>61.5496 * CHOOSE(CONTROL!$C$9, $D$9, 100%, $F$9) + CHOOSE(CONTROL!$C$27, 0.0021, 0)</f>
        <v>61.551699999999997</v>
      </c>
      <c r="E651" s="10">
        <f>61.413 * CHOOSE(CONTROL!$C$9, $D$9, 100%, $F$9) + CHOOSE(CONTROL!$C$27, 0.0021, 0)</f>
        <v>61.415099999999995</v>
      </c>
      <c r="F651" s="10">
        <f>61.413 * CHOOSE(CONTROL!$C$9, $D$9, 100%, $F$9) + CHOOSE(CONTROL!$C$27, 0.0021, 0)</f>
        <v>61.415099999999995</v>
      </c>
      <c r="G651" s="10">
        <f>61.6844 * CHOOSE(CONTROL!$C$9, $D$9, 100%, $F$9) + CHOOSE(CONTROL!$C$27, 0.0021, 0)</f>
        <v>61.686499999999995</v>
      </c>
      <c r="H651" s="10">
        <f>61.5496 * CHOOSE(CONTROL!$C$9, $D$9, 100%, $F$9) + CHOOSE(CONTROL!$C$27, 0.0021, 0)</f>
        <v>61.551699999999997</v>
      </c>
      <c r="I651" s="10">
        <f>61.5496 * CHOOSE(CONTROL!$C$9, $D$9, 100%, $F$9) + CHOOSE(CONTROL!$C$27, 0.0021, 0)</f>
        <v>61.551699999999997</v>
      </c>
      <c r="J651" s="10">
        <f>61.5496 * CHOOSE(CONTROL!$C$9, $D$9, 100%, $F$9) + CHOOSE(CONTROL!$C$27, 0.0021, 0)</f>
        <v>61.551699999999997</v>
      </c>
      <c r="K651" s="10">
        <f>61.5496 * CHOOSE(CONTROL!$C$9, $D$9, 100%, $F$9) + CHOOSE(CONTROL!$C$27, 0.0021, 0)</f>
        <v>61.551699999999997</v>
      </c>
      <c r="L651" s="10"/>
    </row>
    <row r="652" spans="1:12" ht="15.75" x14ac:dyDescent="0.25">
      <c r="A652" s="13">
        <v>60783</v>
      </c>
      <c r="B652" s="10">
        <f>63.2354 * CHOOSE(CONTROL!$C$9, $D$9, 100%, $F$9) + CHOOSE(CONTROL!$C$27, 0.0021, 0)</f>
        <v>63.237499999999997</v>
      </c>
      <c r="C652" s="10">
        <f>62.8031 * CHOOSE(CONTROL!$C$9, $D$9, 100%, $F$9) + CHOOSE(CONTROL!$C$27, 0.0021, 0)</f>
        <v>62.805199999999999</v>
      </c>
      <c r="D652" s="10">
        <f>62.8031 * CHOOSE(CONTROL!$C$9, $D$9, 100%, $F$9) + CHOOSE(CONTROL!$C$27, 0.0021, 0)</f>
        <v>62.805199999999999</v>
      </c>
      <c r="E652" s="10">
        <f>62.6665 * CHOOSE(CONTROL!$C$9, $D$9, 100%, $F$9) + CHOOSE(CONTROL!$C$27, 0.0021, 0)</f>
        <v>62.668599999999998</v>
      </c>
      <c r="F652" s="10">
        <f>62.6665 * CHOOSE(CONTROL!$C$9, $D$9, 100%, $F$9) + CHOOSE(CONTROL!$C$27, 0.0021, 0)</f>
        <v>62.668599999999998</v>
      </c>
      <c r="G652" s="10">
        <f>62.9379 * CHOOSE(CONTROL!$C$9, $D$9, 100%, $F$9) + CHOOSE(CONTROL!$C$27, 0.0021, 0)</f>
        <v>62.94</v>
      </c>
      <c r="H652" s="10">
        <f>62.8031 * CHOOSE(CONTROL!$C$9, $D$9, 100%, $F$9) + CHOOSE(CONTROL!$C$27, 0.0021, 0)</f>
        <v>62.805199999999999</v>
      </c>
      <c r="I652" s="10">
        <f>62.8031 * CHOOSE(CONTROL!$C$9, $D$9, 100%, $F$9) + CHOOSE(CONTROL!$C$27, 0.0021, 0)</f>
        <v>62.805199999999999</v>
      </c>
      <c r="J652" s="10">
        <f>62.8031 * CHOOSE(CONTROL!$C$9, $D$9, 100%, $F$9) + CHOOSE(CONTROL!$C$27, 0.0021, 0)</f>
        <v>62.805199999999999</v>
      </c>
      <c r="K652" s="10">
        <f>62.8031 * CHOOSE(CONTROL!$C$9, $D$9, 100%, $F$9) + CHOOSE(CONTROL!$C$27, 0.0021, 0)</f>
        <v>62.805199999999999</v>
      </c>
      <c r="L652" s="10"/>
    </row>
    <row r="653" spans="1:12" ht="15.75" x14ac:dyDescent="0.25">
      <c r="A653" s="13">
        <v>60813</v>
      </c>
      <c r="B653" s="10">
        <f>63.9862 * CHOOSE(CONTROL!$C$9, $D$9, 100%, $F$9) + CHOOSE(CONTROL!$C$27, 0.0021, 0)</f>
        <v>63.988299999999995</v>
      </c>
      <c r="C653" s="10">
        <f>63.5539 * CHOOSE(CONTROL!$C$9, $D$9, 100%, $F$9) + CHOOSE(CONTROL!$C$27, 0.0021, 0)</f>
        <v>63.555999999999997</v>
      </c>
      <c r="D653" s="10">
        <f>63.5539 * CHOOSE(CONTROL!$C$9, $D$9, 100%, $F$9) + CHOOSE(CONTROL!$C$27, 0.0021, 0)</f>
        <v>63.555999999999997</v>
      </c>
      <c r="E653" s="10">
        <f>63.4173 * CHOOSE(CONTROL!$C$9, $D$9, 100%, $F$9) + CHOOSE(CONTROL!$C$27, 0.0021, 0)</f>
        <v>63.419399999999996</v>
      </c>
      <c r="F653" s="10">
        <f>63.4173 * CHOOSE(CONTROL!$C$9, $D$9, 100%, $F$9) + CHOOSE(CONTROL!$C$27, 0.0021, 0)</f>
        <v>63.419399999999996</v>
      </c>
      <c r="G653" s="10">
        <f>63.6887 * CHOOSE(CONTROL!$C$9, $D$9, 100%, $F$9) + CHOOSE(CONTROL!$C$27, 0.0021, 0)</f>
        <v>63.690799999999996</v>
      </c>
      <c r="H653" s="10">
        <f>63.5539 * CHOOSE(CONTROL!$C$9, $D$9, 100%, $F$9) + CHOOSE(CONTROL!$C$27, 0.0021, 0)</f>
        <v>63.555999999999997</v>
      </c>
      <c r="I653" s="10">
        <f>63.5539 * CHOOSE(CONTROL!$C$9, $D$9, 100%, $F$9) + CHOOSE(CONTROL!$C$27, 0.0021, 0)</f>
        <v>63.555999999999997</v>
      </c>
      <c r="J653" s="10">
        <f>63.5539 * CHOOSE(CONTROL!$C$9, $D$9, 100%, $F$9) + CHOOSE(CONTROL!$C$27, 0.0021, 0)</f>
        <v>63.555999999999997</v>
      </c>
      <c r="K653" s="10">
        <f>63.5539 * CHOOSE(CONTROL!$C$9, $D$9, 100%, $F$9) + CHOOSE(CONTROL!$C$27, 0.0021, 0)</f>
        <v>63.555999999999997</v>
      </c>
      <c r="L653" s="10"/>
    </row>
    <row r="654" spans="1:12" ht="15.75" x14ac:dyDescent="0.25">
      <c r="A654" s="13">
        <v>60844</v>
      </c>
      <c r="B654" s="10">
        <f>65.2247 * CHOOSE(CONTROL!$C$9, $D$9, 100%, $F$9) + CHOOSE(CONTROL!$C$27, 0.0021, 0)</f>
        <v>65.226799999999997</v>
      </c>
      <c r="C654" s="10">
        <f>64.7925 * CHOOSE(CONTROL!$C$9, $D$9, 100%, $F$9) + CHOOSE(CONTROL!$C$27, 0.0021, 0)</f>
        <v>64.794600000000003</v>
      </c>
      <c r="D654" s="10">
        <f>64.7925 * CHOOSE(CONTROL!$C$9, $D$9, 100%, $F$9) + CHOOSE(CONTROL!$C$27, 0.0021, 0)</f>
        <v>64.794600000000003</v>
      </c>
      <c r="E654" s="10">
        <f>64.6558 * CHOOSE(CONTROL!$C$9, $D$9, 100%, $F$9) + CHOOSE(CONTROL!$C$27, 0.0021, 0)</f>
        <v>64.657899999999998</v>
      </c>
      <c r="F654" s="10">
        <f>64.6558 * CHOOSE(CONTROL!$C$9, $D$9, 100%, $F$9) + CHOOSE(CONTROL!$C$27, 0.0021, 0)</f>
        <v>64.657899999999998</v>
      </c>
      <c r="G654" s="10">
        <f>64.9272 * CHOOSE(CONTROL!$C$9, $D$9, 100%, $F$9) + CHOOSE(CONTROL!$C$27, 0.0021, 0)</f>
        <v>64.929299999999998</v>
      </c>
      <c r="H654" s="10">
        <f>64.7925 * CHOOSE(CONTROL!$C$9, $D$9, 100%, $F$9) + CHOOSE(CONTROL!$C$27, 0.0021, 0)</f>
        <v>64.794600000000003</v>
      </c>
      <c r="I654" s="10">
        <f>64.7925 * CHOOSE(CONTROL!$C$9, $D$9, 100%, $F$9) + CHOOSE(CONTROL!$C$27, 0.0021, 0)</f>
        <v>64.794600000000003</v>
      </c>
      <c r="J654" s="10">
        <f>64.7925 * CHOOSE(CONTROL!$C$9, $D$9, 100%, $F$9) + CHOOSE(CONTROL!$C$27, 0.0021, 0)</f>
        <v>64.794600000000003</v>
      </c>
      <c r="K654" s="10">
        <f>64.7925 * CHOOSE(CONTROL!$C$9, $D$9, 100%, $F$9) + CHOOSE(CONTROL!$C$27, 0.0021, 0)</f>
        <v>64.794600000000003</v>
      </c>
      <c r="L654" s="10"/>
    </row>
    <row r="655" spans="1:12" ht="15.75" x14ac:dyDescent="0.25">
      <c r="A655" s="13">
        <v>60875</v>
      </c>
      <c r="B655" s="10">
        <f>65.6028 * CHOOSE(CONTROL!$C$9, $D$9, 100%, $F$9) + CHOOSE(CONTROL!$C$27, 0.0021, 0)</f>
        <v>65.604900000000001</v>
      </c>
      <c r="C655" s="10">
        <f>65.1705 * CHOOSE(CONTROL!$C$9, $D$9, 100%, $F$9) + CHOOSE(CONTROL!$C$27, 0.0021, 0)</f>
        <v>65.172600000000003</v>
      </c>
      <c r="D655" s="10">
        <f>65.1705 * CHOOSE(CONTROL!$C$9, $D$9, 100%, $F$9) + CHOOSE(CONTROL!$C$27, 0.0021, 0)</f>
        <v>65.172600000000003</v>
      </c>
      <c r="E655" s="10">
        <f>65.0339 * CHOOSE(CONTROL!$C$9, $D$9, 100%, $F$9) + CHOOSE(CONTROL!$C$27, 0.0021, 0)</f>
        <v>65.036000000000001</v>
      </c>
      <c r="F655" s="10">
        <f>65.0339 * CHOOSE(CONTROL!$C$9, $D$9, 100%, $F$9) + CHOOSE(CONTROL!$C$27, 0.0021, 0)</f>
        <v>65.036000000000001</v>
      </c>
      <c r="G655" s="10">
        <f>65.3053 * CHOOSE(CONTROL!$C$9, $D$9, 100%, $F$9) + CHOOSE(CONTROL!$C$27, 0.0021, 0)</f>
        <v>65.307400000000001</v>
      </c>
      <c r="H655" s="10">
        <f>65.1705 * CHOOSE(CONTROL!$C$9, $D$9, 100%, $F$9) + CHOOSE(CONTROL!$C$27, 0.0021, 0)</f>
        <v>65.172600000000003</v>
      </c>
      <c r="I655" s="10">
        <f>65.1705 * CHOOSE(CONTROL!$C$9, $D$9, 100%, $F$9) + CHOOSE(CONTROL!$C$27, 0.0021, 0)</f>
        <v>65.172600000000003</v>
      </c>
      <c r="J655" s="10">
        <f>65.1705 * CHOOSE(CONTROL!$C$9, $D$9, 100%, $F$9) + CHOOSE(CONTROL!$C$27, 0.0021, 0)</f>
        <v>65.172600000000003</v>
      </c>
      <c r="K655" s="10">
        <f>65.1705 * CHOOSE(CONTROL!$C$9, $D$9, 100%, $F$9) + CHOOSE(CONTROL!$C$27, 0.0021, 0)</f>
        <v>65.172600000000003</v>
      </c>
      <c r="L655" s="10"/>
    </row>
    <row r="656" spans="1:12" ht="15.75" x14ac:dyDescent="0.25">
      <c r="A656" s="13">
        <v>60905</v>
      </c>
      <c r="B656" s="10">
        <f>66.8902 * CHOOSE(CONTROL!$C$9, $D$9, 100%, $F$9) + CHOOSE(CONTROL!$C$27, 0.0021, 0)</f>
        <v>66.892299999999992</v>
      </c>
      <c r="C656" s="10">
        <f>66.458 * CHOOSE(CONTROL!$C$9, $D$9, 100%, $F$9) + CHOOSE(CONTROL!$C$27, 0.0021, 0)</f>
        <v>66.460099999999997</v>
      </c>
      <c r="D656" s="10">
        <f>66.458 * CHOOSE(CONTROL!$C$9, $D$9, 100%, $F$9) + CHOOSE(CONTROL!$C$27, 0.0021, 0)</f>
        <v>66.460099999999997</v>
      </c>
      <c r="E656" s="10">
        <f>66.3213 * CHOOSE(CONTROL!$C$9, $D$9, 100%, $F$9) + CHOOSE(CONTROL!$C$27, 0.0021, 0)</f>
        <v>66.323399999999992</v>
      </c>
      <c r="F656" s="10">
        <f>66.3213 * CHOOSE(CONTROL!$C$9, $D$9, 100%, $F$9) + CHOOSE(CONTROL!$C$27, 0.0021, 0)</f>
        <v>66.323399999999992</v>
      </c>
      <c r="G656" s="10">
        <f>66.5927 * CHOOSE(CONTROL!$C$9, $D$9, 100%, $F$9) + CHOOSE(CONTROL!$C$27, 0.0021, 0)</f>
        <v>66.594799999999992</v>
      </c>
      <c r="H656" s="10">
        <f>66.458 * CHOOSE(CONTROL!$C$9, $D$9, 100%, $F$9) + CHOOSE(CONTROL!$C$27, 0.0021, 0)</f>
        <v>66.460099999999997</v>
      </c>
      <c r="I656" s="10">
        <f>66.458 * CHOOSE(CONTROL!$C$9, $D$9, 100%, $F$9) + CHOOSE(CONTROL!$C$27, 0.0021, 0)</f>
        <v>66.460099999999997</v>
      </c>
      <c r="J656" s="10">
        <f>66.458 * CHOOSE(CONTROL!$C$9, $D$9, 100%, $F$9) + CHOOSE(CONTROL!$C$27, 0.0021, 0)</f>
        <v>66.460099999999997</v>
      </c>
      <c r="K656" s="10">
        <f>66.458 * CHOOSE(CONTROL!$C$9, $D$9, 100%, $F$9) + CHOOSE(CONTROL!$C$27, 0.0021, 0)</f>
        <v>66.460099999999997</v>
      </c>
      <c r="L656" s="10"/>
    </row>
    <row r="657" spans="1:12" ht="15.75" x14ac:dyDescent="0.25">
      <c r="A657" s="13">
        <v>60936</v>
      </c>
      <c r="B657" s="10">
        <f>68.5198 * CHOOSE(CONTROL!$C$9, $D$9, 100%, $F$9) + CHOOSE(CONTROL!$C$27, 0.0021, 0)</f>
        <v>68.521900000000002</v>
      </c>
      <c r="C657" s="10">
        <f>68.0876 * CHOOSE(CONTROL!$C$9, $D$9, 100%, $F$9) + CHOOSE(CONTROL!$C$27, 0.0021, 0)</f>
        <v>68.089699999999993</v>
      </c>
      <c r="D657" s="10">
        <f>68.0876 * CHOOSE(CONTROL!$C$9, $D$9, 100%, $F$9) + CHOOSE(CONTROL!$C$27, 0.0021, 0)</f>
        <v>68.089699999999993</v>
      </c>
      <c r="E657" s="10">
        <f>67.9509 * CHOOSE(CONTROL!$C$9, $D$9, 100%, $F$9) + CHOOSE(CONTROL!$C$27, 0.0021, 0)</f>
        <v>67.953000000000003</v>
      </c>
      <c r="F657" s="10">
        <f>67.9509 * CHOOSE(CONTROL!$C$9, $D$9, 100%, $F$9) + CHOOSE(CONTROL!$C$27, 0.0021, 0)</f>
        <v>67.953000000000003</v>
      </c>
      <c r="G657" s="10">
        <f>68.2223 * CHOOSE(CONTROL!$C$9, $D$9, 100%, $F$9) + CHOOSE(CONTROL!$C$27, 0.0021, 0)</f>
        <v>68.224400000000003</v>
      </c>
      <c r="H657" s="10">
        <f>68.0876 * CHOOSE(CONTROL!$C$9, $D$9, 100%, $F$9) + CHOOSE(CONTROL!$C$27, 0.0021, 0)</f>
        <v>68.089699999999993</v>
      </c>
      <c r="I657" s="10">
        <f>68.0876 * CHOOSE(CONTROL!$C$9, $D$9, 100%, $F$9) + CHOOSE(CONTROL!$C$27, 0.0021, 0)</f>
        <v>68.089699999999993</v>
      </c>
      <c r="J657" s="10">
        <f>68.0876 * CHOOSE(CONTROL!$C$9, $D$9, 100%, $F$9) + CHOOSE(CONTROL!$C$27, 0.0021, 0)</f>
        <v>68.089699999999993</v>
      </c>
      <c r="K657" s="10">
        <f>68.0876 * CHOOSE(CONTROL!$C$9, $D$9, 100%, $F$9) + CHOOSE(CONTROL!$C$27, 0.0021, 0)</f>
        <v>68.089699999999993</v>
      </c>
      <c r="L657" s="10"/>
    </row>
    <row r="658" spans="1:12" ht="15.75" x14ac:dyDescent="0.25">
      <c r="A658" s="13">
        <v>60966</v>
      </c>
      <c r="B658" s="10">
        <f>68.6728 * CHOOSE(CONTROL!$C$9, $D$9, 100%, $F$9) + CHOOSE(CONTROL!$C$27, 0.0021, 0)</f>
        <v>68.674899999999994</v>
      </c>
      <c r="C658" s="10">
        <f>68.2406 * CHOOSE(CONTROL!$C$9, $D$9, 100%, $F$9) + CHOOSE(CONTROL!$C$27, 0.0021, 0)</f>
        <v>68.242699999999999</v>
      </c>
      <c r="D658" s="10">
        <f>68.2406 * CHOOSE(CONTROL!$C$9, $D$9, 100%, $F$9) + CHOOSE(CONTROL!$C$27, 0.0021, 0)</f>
        <v>68.242699999999999</v>
      </c>
      <c r="E658" s="10">
        <f>68.1039 * CHOOSE(CONTROL!$C$9, $D$9, 100%, $F$9) + CHOOSE(CONTROL!$C$27, 0.0021, 0)</f>
        <v>68.105999999999995</v>
      </c>
      <c r="F658" s="10">
        <f>68.1039 * CHOOSE(CONTROL!$C$9, $D$9, 100%, $F$9) + CHOOSE(CONTROL!$C$27, 0.0021, 0)</f>
        <v>68.105999999999995</v>
      </c>
      <c r="G658" s="10">
        <f>68.3753 * CHOOSE(CONTROL!$C$9, $D$9, 100%, $F$9) + CHOOSE(CONTROL!$C$27, 0.0021, 0)</f>
        <v>68.377399999999994</v>
      </c>
      <c r="H658" s="10">
        <f>68.2406 * CHOOSE(CONTROL!$C$9, $D$9, 100%, $F$9) + CHOOSE(CONTROL!$C$27, 0.0021, 0)</f>
        <v>68.242699999999999</v>
      </c>
      <c r="I658" s="10">
        <f>68.2406 * CHOOSE(CONTROL!$C$9, $D$9, 100%, $F$9) + CHOOSE(CONTROL!$C$27, 0.0021, 0)</f>
        <v>68.242699999999999</v>
      </c>
      <c r="J658" s="10">
        <f>68.2406 * CHOOSE(CONTROL!$C$9, $D$9, 100%, $F$9) + CHOOSE(CONTROL!$C$27, 0.0021, 0)</f>
        <v>68.242699999999999</v>
      </c>
      <c r="K658" s="10">
        <f>68.2406 * CHOOSE(CONTROL!$C$9, $D$9, 100%, $F$9) + CHOOSE(CONTROL!$C$27, 0.0021, 0)</f>
        <v>68.242699999999999</v>
      </c>
      <c r="L658" s="10"/>
    </row>
    <row r="659" spans="1:12" ht="15.75" x14ac:dyDescent="0.25">
      <c r="A659" s="13">
        <v>60997</v>
      </c>
      <c r="B659" s="10">
        <f>67.3713 * CHOOSE(CONTROL!$C$9, $D$9, 100%, $F$9) + CHOOSE(CONTROL!$C$27, 0.0021, 0)</f>
        <v>67.373400000000004</v>
      </c>
      <c r="C659" s="10">
        <f>66.939 * CHOOSE(CONTROL!$C$9, $D$9, 100%, $F$9) + CHOOSE(CONTROL!$C$27, 0.0021, 0)</f>
        <v>66.941099999999992</v>
      </c>
      <c r="D659" s="10">
        <f>66.939 * CHOOSE(CONTROL!$C$9, $D$9, 100%, $F$9) + CHOOSE(CONTROL!$C$27, 0.0021, 0)</f>
        <v>66.941099999999992</v>
      </c>
      <c r="E659" s="10">
        <f>66.8024 * CHOOSE(CONTROL!$C$9, $D$9, 100%, $F$9) + CHOOSE(CONTROL!$C$27, 0.0021, 0)</f>
        <v>66.804500000000004</v>
      </c>
      <c r="F659" s="10">
        <f>66.8024 * CHOOSE(CONTROL!$C$9, $D$9, 100%, $F$9) + CHOOSE(CONTROL!$C$27, 0.0021, 0)</f>
        <v>66.804500000000004</v>
      </c>
      <c r="G659" s="10">
        <f>67.0737 * CHOOSE(CONTROL!$C$9, $D$9, 100%, $F$9) + CHOOSE(CONTROL!$C$27, 0.0021, 0)</f>
        <v>67.075800000000001</v>
      </c>
      <c r="H659" s="10">
        <f>66.939 * CHOOSE(CONTROL!$C$9, $D$9, 100%, $F$9) + CHOOSE(CONTROL!$C$27, 0.0021, 0)</f>
        <v>66.941099999999992</v>
      </c>
      <c r="I659" s="10">
        <f>66.939 * CHOOSE(CONTROL!$C$9, $D$9, 100%, $F$9) + CHOOSE(CONTROL!$C$27, 0.0021, 0)</f>
        <v>66.941099999999992</v>
      </c>
      <c r="J659" s="10">
        <f>66.939 * CHOOSE(CONTROL!$C$9, $D$9, 100%, $F$9) + CHOOSE(CONTROL!$C$27, 0.0021, 0)</f>
        <v>66.941099999999992</v>
      </c>
      <c r="K659" s="10">
        <f>66.939 * CHOOSE(CONTROL!$C$9, $D$9, 100%, $F$9) + CHOOSE(CONTROL!$C$27, 0.0021, 0)</f>
        <v>66.941099999999992</v>
      </c>
      <c r="L659" s="10"/>
    </row>
    <row r="660" spans="1:12" ht="15.75" x14ac:dyDescent="0.25">
      <c r="A660" s="13">
        <v>61028</v>
      </c>
      <c r="B660" s="10">
        <f>66.5186 * CHOOSE(CONTROL!$C$9, $D$9, 100%, $F$9) + CHOOSE(CONTROL!$C$27, 0.0021, 0)</f>
        <v>66.520700000000005</v>
      </c>
      <c r="C660" s="10">
        <f>66.0863 * CHOOSE(CONTROL!$C$9, $D$9, 100%, $F$9) + CHOOSE(CONTROL!$C$27, 0.0021, 0)</f>
        <v>66.088399999999993</v>
      </c>
      <c r="D660" s="10">
        <f>66.0863 * CHOOSE(CONTROL!$C$9, $D$9, 100%, $F$9) + CHOOSE(CONTROL!$C$27, 0.0021, 0)</f>
        <v>66.088399999999993</v>
      </c>
      <c r="E660" s="10">
        <f>65.9497 * CHOOSE(CONTROL!$C$9, $D$9, 100%, $F$9) + CHOOSE(CONTROL!$C$27, 0.0021, 0)</f>
        <v>65.951800000000006</v>
      </c>
      <c r="F660" s="10">
        <f>65.9497 * CHOOSE(CONTROL!$C$9, $D$9, 100%, $F$9) + CHOOSE(CONTROL!$C$27, 0.0021, 0)</f>
        <v>65.951800000000006</v>
      </c>
      <c r="G660" s="10">
        <f>66.2211 * CHOOSE(CONTROL!$C$9, $D$9, 100%, $F$9) + CHOOSE(CONTROL!$C$27, 0.0021, 0)</f>
        <v>66.223200000000006</v>
      </c>
      <c r="H660" s="10">
        <f>66.0863 * CHOOSE(CONTROL!$C$9, $D$9, 100%, $F$9) + CHOOSE(CONTROL!$C$27, 0.0021, 0)</f>
        <v>66.088399999999993</v>
      </c>
      <c r="I660" s="10">
        <f>66.0863 * CHOOSE(CONTROL!$C$9, $D$9, 100%, $F$9) + CHOOSE(CONTROL!$C$27, 0.0021, 0)</f>
        <v>66.088399999999993</v>
      </c>
      <c r="J660" s="10">
        <f>66.0863 * CHOOSE(CONTROL!$C$9, $D$9, 100%, $F$9) + CHOOSE(CONTROL!$C$27, 0.0021, 0)</f>
        <v>66.088399999999993</v>
      </c>
      <c r="K660" s="10">
        <f>66.0863 * CHOOSE(CONTROL!$C$9, $D$9, 100%, $F$9) + CHOOSE(CONTROL!$C$27, 0.0021, 0)</f>
        <v>66.088399999999993</v>
      </c>
      <c r="L660" s="10"/>
    </row>
    <row r="661" spans="1:12" ht="15.75" x14ac:dyDescent="0.25">
      <c r="A661" s="13">
        <v>61056</v>
      </c>
      <c r="B661" s="10">
        <f>64.7019 * CHOOSE(CONTROL!$C$9, $D$9, 100%, $F$9) + CHOOSE(CONTROL!$C$27, 0.0021, 0)</f>
        <v>64.703999999999994</v>
      </c>
      <c r="C661" s="10">
        <f>64.2697 * CHOOSE(CONTROL!$C$9, $D$9, 100%, $F$9) + CHOOSE(CONTROL!$C$27, 0.0021, 0)</f>
        <v>64.271799999999999</v>
      </c>
      <c r="D661" s="10">
        <f>64.2697 * CHOOSE(CONTROL!$C$9, $D$9, 100%, $F$9) + CHOOSE(CONTROL!$C$27, 0.0021, 0)</f>
        <v>64.271799999999999</v>
      </c>
      <c r="E661" s="10">
        <f>64.133 * CHOOSE(CONTROL!$C$9, $D$9, 100%, $F$9) + CHOOSE(CONTROL!$C$27, 0.0021, 0)</f>
        <v>64.135099999999994</v>
      </c>
      <c r="F661" s="10">
        <f>64.133 * CHOOSE(CONTROL!$C$9, $D$9, 100%, $F$9) + CHOOSE(CONTROL!$C$27, 0.0021, 0)</f>
        <v>64.135099999999994</v>
      </c>
      <c r="G661" s="10">
        <f>64.4044 * CHOOSE(CONTROL!$C$9, $D$9, 100%, $F$9) + CHOOSE(CONTROL!$C$27, 0.0021, 0)</f>
        <v>64.406499999999994</v>
      </c>
      <c r="H661" s="10">
        <f>64.2697 * CHOOSE(CONTROL!$C$9, $D$9, 100%, $F$9) + CHOOSE(CONTROL!$C$27, 0.0021, 0)</f>
        <v>64.271799999999999</v>
      </c>
      <c r="I661" s="10">
        <f>64.2697 * CHOOSE(CONTROL!$C$9, $D$9, 100%, $F$9) + CHOOSE(CONTROL!$C$27, 0.0021, 0)</f>
        <v>64.271799999999999</v>
      </c>
      <c r="J661" s="10">
        <f>64.2697 * CHOOSE(CONTROL!$C$9, $D$9, 100%, $F$9) + CHOOSE(CONTROL!$C$27, 0.0021, 0)</f>
        <v>64.271799999999999</v>
      </c>
      <c r="K661" s="10">
        <f>64.2697 * CHOOSE(CONTROL!$C$9, $D$9, 100%, $F$9) + CHOOSE(CONTROL!$C$27, 0.0021, 0)</f>
        <v>64.271799999999999</v>
      </c>
      <c r="L661" s="10"/>
    </row>
    <row r="662" spans="1:12" ht="15.75" x14ac:dyDescent="0.25">
      <c r="A662" s="13">
        <v>61087</v>
      </c>
      <c r="B662" s="10">
        <f>63.952 * CHOOSE(CONTROL!$C$9, $D$9, 100%, $F$9) + CHOOSE(CONTROL!$C$27, 0.0021, 0)</f>
        <v>63.954099999999997</v>
      </c>
      <c r="C662" s="10">
        <f>63.5198 * CHOOSE(CONTROL!$C$9, $D$9, 100%, $F$9) + CHOOSE(CONTROL!$C$27, 0.0021, 0)</f>
        <v>63.521899999999995</v>
      </c>
      <c r="D662" s="10">
        <f>63.5198 * CHOOSE(CONTROL!$C$9, $D$9, 100%, $F$9) + CHOOSE(CONTROL!$C$27, 0.0021, 0)</f>
        <v>63.521899999999995</v>
      </c>
      <c r="E662" s="10">
        <f>63.3831 * CHOOSE(CONTROL!$C$9, $D$9, 100%, $F$9) + CHOOSE(CONTROL!$C$27, 0.0021, 0)</f>
        <v>63.385199999999998</v>
      </c>
      <c r="F662" s="10">
        <f>63.3831 * CHOOSE(CONTROL!$C$9, $D$9, 100%, $F$9) + CHOOSE(CONTROL!$C$27, 0.0021, 0)</f>
        <v>63.385199999999998</v>
      </c>
      <c r="G662" s="10">
        <f>63.6545 * CHOOSE(CONTROL!$C$9, $D$9, 100%, $F$9) + CHOOSE(CONTROL!$C$27, 0.0021, 0)</f>
        <v>63.656599999999997</v>
      </c>
      <c r="H662" s="10">
        <f>63.5198 * CHOOSE(CONTROL!$C$9, $D$9, 100%, $F$9) + CHOOSE(CONTROL!$C$27, 0.0021, 0)</f>
        <v>63.521899999999995</v>
      </c>
      <c r="I662" s="10">
        <f>63.5198 * CHOOSE(CONTROL!$C$9, $D$9, 100%, $F$9) + CHOOSE(CONTROL!$C$27, 0.0021, 0)</f>
        <v>63.521899999999995</v>
      </c>
      <c r="J662" s="10">
        <f>63.5198 * CHOOSE(CONTROL!$C$9, $D$9, 100%, $F$9) + CHOOSE(CONTROL!$C$27, 0.0021, 0)</f>
        <v>63.521899999999995</v>
      </c>
      <c r="K662" s="10">
        <f>63.5198 * CHOOSE(CONTROL!$C$9, $D$9, 100%, $F$9) + CHOOSE(CONTROL!$C$27, 0.0021, 0)</f>
        <v>63.521899999999995</v>
      </c>
      <c r="L662" s="10"/>
    </row>
    <row r="663" spans="1:12" ht="15.75" x14ac:dyDescent="0.25">
      <c r="A663" s="13">
        <v>61117</v>
      </c>
      <c r="B663" s="10">
        <f>63.0566 * CHOOSE(CONTROL!$C$9, $D$9, 100%, $F$9) + CHOOSE(CONTROL!$C$27, 0.0021, 0)</f>
        <v>63.058700000000002</v>
      </c>
      <c r="C663" s="10">
        <f>62.6243 * CHOOSE(CONTROL!$C$9, $D$9, 100%, $F$9) + CHOOSE(CONTROL!$C$27, 0.0021, 0)</f>
        <v>62.626399999999997</v>
      </c>
      <c r="D663" s="10">
        <f>62.6243 * CHOOSE(CONTROL!$C$9, $D$9, 100%, $F$9) + CHOOSE(CONTROL!$C$27, 0.0021, 0)</f>
        <v>62.626399999999997</v>
      </c>
      <c r="E663" s="10">
        <f>62.4877 * CHOOSE(CONTROL!$C$9, $D$9, 100%, $F$9) + CHOOSE(CONTROL!$C$27, 0.0021, 0)</f>
        <v>62.489799999999995</v>
      </c>
      <c r="F663" s="10">
        <f>62.4877 * CHOOSE(CONTROL!$C$9, $D$9, 100%, $F$9) + CHOOSE(CONTROL!$C$27, 0.0021, 0)</f>
        <v>62.489799999999995</v>
      </c>
      <c r="G663" s="10">
        <f>62.7591 * CHOOSE(CONTROL!$C$9, $D$9, 100%, $F$9) + CHOOSE(CONTROL!$C$27, 0.0021, 0)</f>
        <v>62.761199999999995</v>
      </c>
      <c r="H663" s="10">
        <f>62.6243 * CHOOSE(CONTROL!$C$9, $D$9, 100%, $F$9) + CHOOSE(CONTROL!$C$27, 0.0021, 0)</f>
        <v>62.626399999999997</v>
      </c>
      <c r="I663" s="10">
        <f>62.6243 * CHOOSE(CONTROL!$C$9, $D$9, 100%, $F$9) + CHOOSE(CONTROL!$C$27, 0.0021, 0)</f>
        <v>62.626399999999997</v>
      </c>
      <c r="J663" s="10">
        <f>62.6243 * CHOOSE(CONTROL!$C$9, $D$9, 100%, $F$9) + CHOOSE(CONTROL!$C$27, 0.0021, 0)</f>
        <v>62.626399999999997</v>
      </c>
      <c r="K663" s="10">
        <f>62.6243 * CHOOSE(CONTROL!$C$9, $D$9, 100%, $F$9) + CHOOSE(CONTROL!$C$27, 0.0021, 0)</f>
        <v>62.626399999999997</v>
      </c>
      <c r="L663" s="10"/>
    </row>
    <row r="664" spans="1:12" ht="15.75" x14ac:dyDescent="0.25">
      <c r="A664" s="13">
        <v>61148</v>
      </c>
      <c r="B664" s="10">
        <f>64.3327 * CHOOSE(CONTROL!$C$9, $D$9, 100%, $F$9) + CHOOSE(CONTROL!$C$27, 0.0021, 0)</f>
        <v>64.334800000000001</v>
      </c>
      <c r="C664" s="10">
        <f>63.9004 * CHOOSE(CONTROL!$C$9, $D$9, 100%, $F$9) + CHOOSE(CONTROL!$C$27, 0.0021, 0)</f>
        <v>63.902499999999996</v>
      </c>
      <c r="D664" s="10">
        <f>63.9004 * CHOOSE(CONTROL!$C$9, $D$9, 100%, $F$9) + CHOOSE(CONTROL!$C$27, 0.0021, 0)</f>
        <v>63.902499999999996</v>
      </c>
      <c r="E664" s="10">
        <f>63.7638 * CHOOSE(CONTROL!$C$9, $D$9, 100%, $F$9) + CHOOSE(CONTROL!$C$27, 0.0021, 0)</f>
        <v>63.765900000000002</v>
      </c>
      <c r="F664" s="10">
        <f>63.7638 * CHOOSE(CONTROL!$C$9, $D$9, 100%, $F$9) + CHOOSE(CONTROL!$C$27, 0.0021, 0)</f>
        <v>63.765900000000002</v>
      </c>
      <c r="G664" s="10">
        <f>64.0351 * CHOOSE(CONTROL!$C$9, $D$9, 100%, $F$9) + CHOOSE(CONTROL!$C$27, 0.0021, 0)</f>
        <v>64.037199999999999</v>
      </c>
      <c r="H664" s="10">
        <f>63.9004 * CHOOSE(CONTROL!$C$9, $D$9, 100%, $F$9) + CHOOSE(CONTROL!$C$27, 0.0021, 0)</f>
        <v>63.902499999999996</v>
      </c>
      <c r="I664" s="10">
        <f>63.9004 * CHOOSE(CONTROL!$C$9, $D$9, 100%, $F$9) + CHOOSE(CONTROL!$C$27, 0.0021, 0)</f>
        <v>63.902499999999996</v>
      </c>
      <c r="J664" s="10">
        <f>63.9004 * CHOOSE(CONTROL!$C$9, $D$9, 100%, $F$9) + CHOOSE(CONTROL!$C$27, 0.0021, 0)</f>
        <v>63.902499999999996</v>
      </c>
      <c r="K664" s="10">
        <f>63.9004 * CHOOSE(CONTROL!$C$9, $D$9, 100%, $F$9) + CHOOSE(CONTROL!$C$27, 0.0021, 0)</f>
        <v>63.902499999999996</v>
      </c>
      <c r="L664" s="10"/>
    </row>
    <row r="665" spans="1:12" ht="15.75" x14ac:dyDescent="0.25">
      <c r="A665" s="13">
        <v>61178</v>
      </c>
      <c r="B665" s="10">
        <f>65.097 * CHOOSE(CONTROL!$C$9, $D$9, 100%, $F$9) + CHOOSE(CONTROL!$C$27, 0.0021, 0)</f>
        <v>65.099099999999993</v>
      </c>
      <c r="C665" s="10">
        <f>64.6647 * CHOOSE(CONTROL!$C$9, $D$9, 100%, $F$9) + CHOOSE(CONTROL!$C$27, 0.0021, 0)</f>
        <v>64.666799999999995</v>
      </c>
      <c r="D665" s="10">
        <f>64.6647 * CHOOSE(CONTROL!$C$9, $D$9, 100%, $F$9) + CHOOSE(CONTROL!$C$27, 0.0021, 0)</f>
        <v>64.666799999999995</v>
      </c>
      <c r="E665" s="10">
        <f>64.5281 * CHOOSE(CONTROL!$C$9, $D$9, 100%, $F$9) + CHOOSE(CONTROL!$C$27, 0.0021, 0)</f>
        <v>64.530199999999994</v>
      </c>
      <c r="F665" s="10">
        <f>64.5281 * CHOOSE(CONTROL!$C$9, $D$9, 100%, $F$9) + CHOOSE(CONTROL!$C$27, 0.0021, 0)</f>
        <v>64.530199999999994</v>
      </c>
      <c r="G665" s="10">
        <f>64.7995 * CHOOSE(CONTROL!$C$9, $D$9, 100%, $F$9) + CHOOSE(CONTROL!$C$27, 0.0021, 0)</f>
        <v>64.801599999999993</v>
      </c>
      <c r="H665" s="10">
        <f>64.6647 * CHOOSE(CONTROL!$C$9, $D$9, 100%, $F$9) + CHOOSE(CONTROL!$C$27, 0.0021, 0)</f>
        <v>64.666799999999995</v>
      </c>
      <c r="I665" s="10">
        <f>64.6647 * CHOOSE(CONTROL!$C$9, $D$9, 100%, $F$9) + CHOOSE(CONTROL!$C$27, 0.0021, 0)</f>
        <v>64.666799999999995</v>
      </c>
      <c r="J665" s="10">
        <f>64.6647 * CHOOSE(CONTROL!$C$9, $D$9, 100%, $F$9) + CHOOSE(CONTROL!$C$27, 0.0021, 0)</f>
        <v>64.666799999999995</v>
      </c>
      <c r="K665" s="10">
        <f>64.6647 * CHOOSE(CONTROL!$C$9, $D$9, 100%, $F$9) + CHOOSE(CONTROL!$C$27, 0.0021, 0)</f>
        <v>64.666799999999995</v>
      </c>
      <c r="L665" s="10"/>
    </row>
    <row r="666" spans="1:12" ht="15.75" x14ac:dyDescent="0.25">
      <c r="A666" s="13">
        <v>61209</v>
      </c>
      <c r="B666" s="10">
        <f>66.3578 * CHOOSE(CONTROL!$C$9, $D$9, 100%, $F$9) + CHOOSE(CONTROL!$C$27, 0.0021, 0)</f>
        <v>66.359899999999996</v>
      </c>
      <c r="C666" s="10">
        <f>65.9256 * CHOOSE(CONTROL!$C$9, $D$9, 100%, $F$9) + CHOOSE(CONTROL!$C$27, 0.0021, 0)</f>
        <v>65.927700000000002</v>
      </c>
      <c r="D666" s="10">
        <f>65.9256 * CHOOSE(CONTROL!$C$9, $D$9, 100%, $F$9) + CHOOSE(CONTROL!$C$27, 0.0021, 0)</f>
        <v>65.927700000000002</v>
      </c>
      <c r="E666" s="10">
        <f>65.7889 * CHOOSE(CONTROL!$C$9, $D$9, 100%, $F$9) + CHOOSE(CONTROL!$C$27, 0.0021, 0)</f>
        <v>65.790999999999997</v>
      </c>
      <c r="F666" s="10">
        <f>65.7889 * CHOOSE(CONTROL!$C$9, $D$9, 100%, $F$9) + CHOOSE(CONTROL!$C$27, 0.0021, 0)</f>
        <v>65.790999999999997</v>
      </c>
      <c r="G666" s="10">
        <f>66.0603 * CHOOSE(CONTROL!$C$9, $D$9, 100%, $F$9) + CHOOSE(CONTROL!$C$27, 0.0021, 0)</f>
        <v>66.062399999999997</v>
      </c>
      <c r="H666" s="10">
        <f>65.9256 * CHOOSE(CONTROL!$C$9, $D$9, 100%, $F$9) + CHOOSE(CONTROL!$C$27, 0.0021, 0)</f>
        <v>65.927700000000002</v>
      </c>
      <c r="I666" s="10">
        <f>65.9256 * CHOOSE(CONTROL!$C$9, $D$9, 100%, $F$9) + CHOOSE(CONTROL!$C$27, 0.0021, 0)</f>
        <v>65.927700000000002</v>
      </c>
      <c r="J666" s="10">
        <f>65.9256 * CHOOSE(CONTROL!$C$9, $D$9, 100%, $F$9) + CHOOSE(CONTROL!$C$27, 0.0021, 0)</f>
        <v>65.927700000000002</v>
      </c>
      <c r="K666" s="10">
        <f>65.9256 * CHOOSE(CONTROL!$C$9, $D$9, 100%, $F$9) + CHOOSE(CONTROL!$C$27, 0.0021, 0)</f>
        <v>65.927700000000002</v>
      </c>
      <c r="L666" s="10"/>
    </row>
    <row r="667" spans="1:12" ht="15.75" x14ac:dyDescent="0.25">
      <c r="A667" s="13">
        <v>61240</v>
      </c>
      <c r="B667" s="10">
        <f>66.7427 * CHOOSE(CONTROL!$C$9, $D$9, 100%, $F$9) + CHOOSE(CONTROL!$C$27, 0.0021, 0)</f>
        <v>66.744799999999998</v>
      </c>
      <c r="C667" s="10">
        <f>66.3104 * CHOOSE(CONTROL!$C$9, $D$9, 100%, $F$9) + CHOOSE(CONTROL!$C$27, 0.0021, 0)</f>
        <v>66.3125</v>
      </c>
      <c r="D667" s="10">
        <f>66.3104 * CHOOSE(CONTROL!$C$9, $D$9, 100%, $F$9) + CHOOSE(CONTROL!$C$27, 0.0021, 0)</f>
        <v>66.3125</v>
      </c>
      <c r="E667" s="10">
        <f>66.1738 * CHOOSE(CONTROL!$C$9, $D$9, 100%, $F$9) + CHOOSE(CONTROL!$C$27, 0.0021, 0)</f>
        <v>66.175899999999999</v>
      </c>
      <c r="F667" s="10">
        <f>66.1738 * CHOOSE(CONTROL!$C$9, $D$9, 100%, $F$9) + CHOOSE(CONTROL!$C$27, 0.0021, 0)</f>
        <v>66.175899999999999</v>
      </c>
      <c r="G667" s="10">
        <f>66.4451 * CHOOSE(CONTROL!$C$9, $D$9, 100%, $F$9) + CHOOSE(CONTROL!$C$27, 0.0021, 0)</f>
        <v>66.447199999999995</v>
      </c>
      <c r="H667" s="10">
        <f>66.3104 * CHOOSE(CONTROL!$C$9, $D$9, 100%, $F$9) + CHOOSE(CONTROL!$C$27, 0.0021, 0)</f>
        <v>66.3125</v>
      </c>
      <c r="I667" s="10">
        <f>66.3104 * CHOOSE(CONTROL!$C$9, $D$9, 100%, $F$9) + CHOOSE(CONTROL!$C$27, 0.0021, 0)</f>
        <v>66.3125</v>
      </c>
      <c r="J667" s="10">
        <f>66.3104 * CHOOSE(CONTROL!$C$9, $D$9, 100%, $F$9) + CHOOSE(CONTROL!$C$27, 0.0021, 0)</f>
        <v>66.3125</v>
      </c>
      <c r="K667" s="10">
        <f>66.3104 * CHOOSE(CONTROL!$C$9, $D$9, 100%, $F$9) + CHOOSE(CONTROL!$C$27, 0.0021, 0)</f>
        <v>66.3125</v>
      </c>
      <c r="L667" s="10"/>
    </row>
    <row r="668" spans="1:12" ht="15.75" x14ac:dyDescent="0.25">
      <c r="A668" s="13">
        <v>61270</v>
      </c>
      <c r="B668" s="10">
        <f>68.0533 * CHOOSE(CONTROL!$C$9, $D$9, 100%, $F$9) + CHOOSE(CONTROL!$C$27, 0.0021, 0)</f>
        <v>68.055399999999992</v>
      </c>
      <c r="C668" s="10">
        <f>67.621 * CHOOSE(CONTROL!$C$9, $D$9, 100%, $F$9) + CHOOSE(CONTROL!$C$27, 0.0021, 0)</f>
        <v>67.623099999999994</v>
      </c>
      <c r="D668" s="10">
        <f>67.621 * CHOOSE(CONTROL!$C$9, $D$9, 100%, $F$9) + CHOOSE(CONTROL!$C$27, 0.0021, 0)</f>
        <v>67.623099999999994</v>
      </c>
      <c r="E668" s="10">
        <f>67.4844 * CHOOSE(CONTROL!$C$9, $D$9, 100%, $F$9) + CHOOSE(CONTROL!$C$27, 0.0021, 0)</f>
        <v>67.486499999999992</v>
      </c>
      <c r="F668" s="10">
        <f>67.4844 * CHOOSE(CONTROL!$C$9, $D$9, 100%, $F$9) + CHOOSE(CONTROL!$C$27, 0.0021, 0)</f>
        <v>67.486499999999992</v>
      </c>
      <c r="G668" s="10">
        <f>67.7557 * CHOOSE(CONTROL!$C$9, $D$9, 100%, $F$9) + CHOOSE(CONTROL!$C$27, 0.0021, 0)</f>
        <v>67.757800000000003</v>
      </c>
      <c r="H668" s="10">
        <f>67.621 * CHOOSE(CONTROL!$C$9, $D$9, 100%, $F$9) + CHOOSE(CONTROL!$C$27, 0.0021, 0)</f>
        <v>67.623099999999994</v>
      </c>
      <c r="I668" s="10">
        <f>67.621 * CHOOSE(CONTROL!$C$9, $D$9, 100%, $F$9) + CHOOSE(CONTROL!$C$27, 0.0021, 0)</f>
        <v>67.623099999999994</v>
      </c>
      <c r="J668" s="10">
        <f>67.621 * CHOOSE(CONTROL!$C$9, $D$9, 100%, $F$9) + CHOOSE(CONTROL!$C$27, 0.0021, 0)</f>
        <v>67.623099999999994</v>
      </c>
      <c r="K668" s="10">
        <f>67.621 * CHOOSE(CONTROL!$C$9, $D$9, 100%, $F$9) + CHOOSE(CONTROL!$C$27, 0.0021, 0)</f>
        <v>67.623099999999994</v>
      </c>
      <c r="L668" s="10"/>
    </row>
    <row r="669" spans="1:12" ht="15.75" x14ac:dyDescent="0.25">
      <c r="A669" s="13">
        <v>61301</v>
      </c>
      <c r="B669" s="10">
        <f>69.7123 * CHOOSE(CONTROL!$C$9, $D$9, 100%, $F$9) + CHOOSE(CONTROL!$C$27, 0.0021, 0)</f>
        <v>69.714399999999998</v>
      </c>
      <c r="C669" s="10">
        <f>69.28 * CHOOSE(CONTROL!$C$9, $D$9, 100%, $F$9) + CHOOSE(CONTROL!$C$27, 0.0021, 0)</f>
        <v>69.2821</v>
      </c>
      <c r="D669" s="10">
        <f>69.28 * CHOOSE(CONTROL!$C$9, $D$9, 100%, $F$9) + CHOOSE(CONTROL!$C$27, 0.0021, 0)</f>
        <v>69.2821</v>
      </c>
      <c r="E669" s="10">
        <f>69.1434 * CHOOSE(CONTROL!$C$9, $D$9, 100%, $F$9) + CHOOSE(CONTROL!$C$27, 0.0021, 0)</f>
        <v>69.145499999999998</v>
      </c>
      <c r="F669" s="10">
        <f>69.1434 * CHOOSE(CONTROL!$C$9, $D$9, 100%, $F$9) + CHOOSE(CONTROL!$C$27, 0.0021, 0)</f>
        <v>69.145499999999998</v>
      </c>
      <c r="G669" s="10">
        <f>69.4147 * CHOOSE(CONTROL!$C$9, $D$9, 100%, $F$9) + CHOOSE(CONTROL!$C$27, 0.0021, 0)</f>
        <v>69.416799999999995</v>
      </c>
      <c r="H669" s="10">
        <f>69.28 * CHOOSE(CONTROL!$C$9, $D$9, 100%, $F$9) + CHOOSE(CONTROL!$C$27, 0.0021, 0)</f>
        <v>69.2821</v>
      </c>
      <c r="I669" s="10">
        <f>69.28 * CHOOSE(CONTROL!$C$9, $D$9, 100%, $F$9) + CHOOSE(CONTROL!$C$27, 0.0021, 0)</f>
        <v>69.2821</v>
      </c>
      <c r="J669" s="10">
        <f>69.28 * CHOOSE(CONTROL!$C$9, $D$9, 100%, $F$9) + CHOOSE(CONTROL!$C$27, 0.0021, 0)</f>
        <v>69.2821</v>
      </c>
      <c r="K669" s="10">
        <f>69.28 * CHOOSE(CONTROL!$C$9, $D$9, 100%, $F$9) + CHOOSE(CONTROL!$C$27, 0.0021, 0)</f>
        <v>69.2821</v>
      </c>
      <c r="L669" s="10"/>
    </row>
    <row r="670" spans="1:12" ht="15.75" x14ac:dyDescent="0.25">
      <c r="A670" s="13">
        <v>61331</v>
      </c>
      <c r="B670" s="10">
        <f>69.868 * CHOOSE(CONTROL!$C$9, $D$9, 100%, $F$9) + CHOOSE(CONTROL!$C$27, 0.0021, 0)</f>
        <v>69.870099999999994</v>
      </c>
      <c r="C670" s="10">
        <f>69.4358 * CHOOSE(CONTROL!$C$9, $D$9, 100%, $F$9) + CHOOSE(CONTROL!$C$27, 0.0021, 0)</f>
        <v>69.437899999999999</v>
      </c>
      <c r="D670" s="10">
        <f>69.4358 * CHOOSE(CONTROL!$C$9, $D$9, 100%, $F$9) + CHOOSE(CONTROL!$C$27, 0.0021, 0)</f>
        <v>69.437899999999999</v>
      </c>
      <c r="E670" s="10">
        <f>69.2991 * CHOOSE(CONTROL!$C$9, $D$9, 100%, $F$9) + CHOOSE(CONTROL!$C$27, 0.0021, 0)</f>
        <v>69.301199999999994</v>
      </c>
      <c r="F670" s="10">
        <f>69.2991 * CHOOSE(CONTROL!$C$9, $D$9, 100%, $F$9) + CHOOSE(CONTROL!$C$27, 0.0021, 0)</f>
        <v>69.301199999999994</v>
      </c>
      <c r="G670" s="10">
        <f>69.5705 * CHOOSE(CONTROL!$C$9, $D$9, 100%, $F$9) + CHOOSE(CONTROL!$C$27, 0.0021, 0)</f>
        <v>69.572599999999994</v>
      </c>
      <c r="H670" s="10">
        <f>69.4358 * CHOOSE(CONTROL!$C$9, $D$9, 100%, $F$9) + CHOOSE(CONTROL!$C$27, 0.0021, 0)</f>
        <v>69.437899999999999</v>
      </c>
      <c r="I670" s="10">
        <f>69.4358 * CHOOSE(CONTROL!$C$9, $D$9, 100%, $F$9) + CHOOSE(CONTROL!$C$27, 0.0021, 0)</f>
        <v>69.437899999999999</v>
      </c>
      <c r="J670" s="10">
        <f>69.4358 * CHOOSE(CONTROL!$C$9, $D$9, 100%, $F$9) + CHOOSE(CONTROL!$C$27, 0.0021, 0)</f>
        <v>69.437899999999999</v>
      </c>
      <c r="K670" s="10">
        <f>69.4358 * CHOOSE(CONTROL!$C$9, $D$9, 100%, $F$9) + CHOOSE(CONTROL!$C$27, 0.0021, 0)</f>
        <v>69.437899999999999</v>
      </c>
      <c r="L670" s="10"/>
    </row>
    <row r="671" spans="1:12" ht="15.75" x14ac:dyDescent="0.25">
      <c r="A671" s="13">
        <v>61362</v>
      </c>
      <c r="B671" s="10">
        <f>68.543 * CHOOSE(CONTROL!$C$9, $D$9, 100%, $F$9) + CHOOSE(CONTROL!$C$27, 0.0021, 0)</f>
        <v>68.545100000000005</v>
      </c>
      <c r="C671" s="10">
        <f>68.1108 * CHOOSE(CONTROL!$C$9, $D$9, 100%, $F$9) + CHOOSE(CONTROL!$C$27, 0.0021, 0)</f>
        <v>68.112899999999996</v>
      </c>
      <c r="D671" s="10">
        <f>68.1108 * CHOOSE(CONTROL!$C$9, $D$9, 100%, $F$9) + CHOOSE(CONTROL!$C$27, 0.0021, 0)</f>
        <v>68.112899999999996</v>
      </c>
      <c r="E671" s="10">
        <f>67.9741 * CHOOSE(CONTROL!$C$9, $D$9, 100%, $F$9) + CHOOSE(CONTROL!$C$27, 0.0021, 0)</f>
        <v>67.976200000000006</v>
      </c>
      <c r="F671" s="10">
        <f>67.9741 * CHOOSE(CONTROL!$C$9, $D$9, 100%, $F$9) + CHOOSE(CONTROL!$C$27, 0.0021, 0)</f>
        <v>67.976200000000006</v>
      </c>
      <c r="G671" s="10">
        <f>68.2455 * CHOOSE(CONTROL!$C$9, $D$9, 100%, $F$9) + CHOOSE(CONTROL!$C$27, 0.0021, 0)</f>
        <v>68.247600000000006</v>
      </c>
      <c r="H671" s="10">
        <f>68.1108 * CHOOSE(CONTROL!$C$9, $D$9, 100%, $F$9) + CHOOSE(CONTROL!$C$27, 0.0021, 0)</f>
        <v>68.112899999999996</v>
      </c>
      <c r="I671" s="10">
        <f>68.1108 * CHOOSE(CONTROL!$C$9, $D$9, 100%, $F$9) + CHOOSE(CONTROL!$C$27, 0.0021, 0)</f>
        <v>68.112899999999996</v>
      </c>
      <c r="J671" s="10">
        <f>68.1108 * CHOOSE(CONTROL!$C$9, $D$9, 100%, $F$9) + CHOOSE(CONTROL!$C$27, 0.0021, 0)</f>
        <v>68.112899999999996</v>
      </c>
      <c r="K671" s="10">
        <f>68.1108 * CHOOSE(CONTROL!$C$9, $D$9, 100%, $F$9) + CHOOSE(CONTROL!$C$27, 0.0021, 0)</f>
        <v>68.112899999999996</v>
      </c>
      <c r="L671" s="10"/>
    </row>
    <row r="672" spans="1:12" ht="15.75" x14ac:dyDescent="0.25">
      <c r="A672" s="13">
        <v>61393</v>
      </c>
      <c r="B672" s="10">
        <f>67.675 * CHOOSE(CONTROL!$C$9, $D$9, 100%, $F$9) + CHOOSE(CONTROL!$C$27, 0.0021, 0)</f>
        <v>67.677099999999996</v>
      </c>
      <c r="C672" s="10">
        <f>67.2427 * CHOOSE(CONTROL!$C$9, $D$9, 100%, $F$9) + CHOOSE(CONTROL!$C$27, 0.0021, 0)</f>
        <v>67.244799999999998</v>
      </c>
      <c r="D672" s="10">
        <f>67.2427 * CHOOSE(CONTROL!$C$9, $D$9, 100%, $F$9) + CHOOSE(CONTROL!$C$27, 0.0021, 0)</f>
        <v>67.244799999999998</v>
      </c>
      <c r="E672" s="10">
        <f>67.1061 * CHOOSE(CONTROL!$C$9, $D$9, 100%, $F$9) + CHOOSE(CONTROL!$C$27, 0.0021, 0)</f>
        <v>67.108199999999997</v>
      </c>
      <c r="F672" s="10">
        <f>67.1061 * CHOOSE(CONTROL!$C$9, $D$9, 100%, $F$9) + CHOOSE(CONTROL!$C$27, 0.0021, 0)</f>
        <v>67.108199999999997</v>
      </c>
      <c r="G672" s="10">
        <f>67.3774 * CHOOSE(CONTROL!$C$9, $D$9, 100%, $F$9) + CHOOSE(CONTROL!$C$27, 0.0021, 0)</f>
        <v>67.379499999999993</v>
      </c>
      <c r="H672" s="10">
        <f>67.2427 * CHOOSE(CONTROL!$C$9, $D$9, 100%, $F$9) + CHOOSE(CONTROL!$C$27, 0.0021, 0)</f>
        <v>67.244799999999998</v>
      </c>
      <c r="I672" s="10">
        <f>67.2427 * CHOOSE(CONTROL!$C$9, $D$9, 100%, $F$9) + CHOOSE(CONTROL!$C$27, 0.0021, 0)</f>
        <v>67.244799999999998</v>
      </c>
      <c r="J672" s="10">
        <f>67.2427 * CHOOSE(CONTROL!$C$9, $D$9, 100%, $F$9) + CHOOSE(CONTROL!$C$27, 0.0021, 0)</f>
        <v>67.244799999999998</v>
      </c>
      <c r="K672" s="10">
        <f>67.2427 * CHOOSE(CONTROL!$C$9, $D$9, 100%, $F$9) + CHOOSE(CONTROL!$C$27, 0.0021, 0)</f>
        <v>67.244799999999998</v>
      </c>
      <c r="L672" s="10"/>
    </row>
    <row r="673" spans="1:12" ht="15.75" x14ac:dyDescent="0.25">
      <c r="A673" s="13">
        <v>61422</v>
      </c>
      <c r="B673" s="10">
        <f>65.8256 * CHOOSE(CONTROL!$C$9, $D$9, 100%, $F$9) + CHOOSE(CONTROL!$C$27, 0.0021, 0)</f>
        <v>65.827699999999993</v>
      </c>
      <c r="C673" s="10">
        <f>65.3933 * CHOOSE(CONTROL!$C$9, $D$9, 100%, $F$9) + CHOOSE(CONTROL!$C$27, 0.0021, 0)</f>
        <v>65.395399999999995</v>
      </c>
      <c r="D673" s="10">
        <f>65.3933 * CHOOSE(CONTROL!$C$9, $D$9, 100%, $F$9) + CHOOSE(CONTROL!$C$27, 0.0021, 0)</f>
        <v>65.395399999999995</v>
      </c>
      <c r="E673" s="10">
        <f>65.2567 * CHOOSE(CONTROL!$C$9, $D$9, 100%, $F$9) + CHOOSE(CONTROL!$C$27, 0.0021, 0)</f>
        <v>65.258799999999994</v>
      </c>
      <c r="F673" s="10">
        <f>65.2567 * CHOOSE(CONTROL!$C$9, $D$9, 100%, $F$9) + CHOOSE(CONTROL!$C$27, 0.0021, 0)</f>
        <v>65.258799999999994</v>
      </c>
      <c r="G673" s="10">
        <f>65.5281 * CHOOSE(CONTROL!$C$9, $D$9, 100%, $F$9) + CHOOSE(CONTROL!$C$27, 0.0021, 0)</f>
        <v>65.530199999999994</v>
      </c>
      <c r="H673" s="10">
        <f>65.3933 * CHOOSE(CONTROL!$C$9, $D$9, 100%, $F$9) + CHOOSE(CONTROL!$C$27, 0.0021, 0)</f>
        <v>65.395399999999995</v>
      </c>
      <c r="I673" s="10">
        <f>65.3933 * CHOOSE(CONTROL!$C$9, $D$9, 100%, $F$9) + CHOOSE(CONTROL!$C$27, 0.0021, 0)</f>
        <v>65.395399999999995</v>
      </c>
      <c r="J673" s="10">
        <f>65.3933 * CHOOSE(CONTROL!$C$9, $D$9, 100%, $F$9) + CHOOSE(CONTROL!$C$27, 0.0021, 0)</f>
        <v>65.395399999999995</v>
      </c>
      <c r="K673" s="10">
        <f>65.3933 * CHOOSE(CONTROL!$C$9, $D$9, 100%, $F$9) + CHOOSE(CONTROL!$C$27, 0.0021, 0)</f>
        <v>65.395399999999995</v>
      </c>
      <c r="L673" s="10"/>
    </row>
    <row r="674" spans="1:12" ht="15.75" x14ac:dyDescent="0.25">
      <c r="A674" s="13">
        <v>61453</v>
      </c>
      <c r="B674" s="10">
        <f>65.0622 * CHOOSE(CONTROL!$C$9, $D$9, 100%, $F$9) + CHOOSE(CONTROL!$C$27, 0.0021, 0)</f>
        <v>65.064300000000003</v>
      </c>
      <c r="C674" s="10">
        <f>64.6299 * CHOOSE(CONTROL!$C$9, $D$9, 100%, $F$9) + CHOOSE(CONTROL!$C$27, 0.0021, 0)</f>
        <v>64.632000000000005</v>
      </c>
      <c r="D674" s="10">
        <f>64.6299 * CHOOSE(CONTROL!$C$9, $D$9, 100%, $F$9) + CHOOSE(CONTROL!$C$27, 0.0021, 0)</f>
        <v>64.632000000000005</v>
      </c>
      <c r="E674" s="10">
        <f>64.4933 * CHOOSE(CONTROL!$C$9, $D$9, 100%, $F$9) + CHOOSE(CONTROL!$C$27, 0.0021, 0)</f>
        <v>64.495400000000004</v>
      </c>
      <c r="F674" s="10">
        <f>64.4933 * CHOOSE(CONTROL!$C$9, $D$9, 100%, $F$9) + CHOOSE(CONTROL!$C$27, 0.0021, 0)</f>
        <v>64.495400000000004</v>
      </c>
      <c r="G674" s="10">
        <f>64.7646 * CHOOSE(CONTROL!$C$9, $D$9, 100%, $F$9) + CHOOSE(CONTROL!$C$27, 0.0021, 0)</f>
        <v>64.7667</v>
      </c>
      <c r="H674" s="10">
        <f>64.6299 * CHOOSE(CONTROL!$C$9, $D$9, 100%, $F$9) + CHOOSE(CONTROL!$C$27, 0.0021, 0)</f>
        <v>64.632000000000005</v>
      </c>
      <c r="I674" s="10">
        <f>64.6299 * CHOOSE(CONTROL!$C$9, $D$9, 100%, $F$9) + CHOOSE(CONTROL!$C$27, 0.0021, 0)</f>
        <v>64.632000000000005</v>
      </c>
      <c r="J674" s="10">
        <f>64.6299 * CHOOSE(CONTROL!$C$9, $D$9, 100%, $F$9) + CHOOSE(CONTROL!$C$27, 0.0021, 0)</f>
        <v>64.632000000000005</v>
      </c>
      <c r="K674" s="10">
        <f>64.6299 * CHOOSE(CONTROL!$C$9, $D$9, 100%, $F$9) + CHOOSE(CONTROL!$C$27, 0.0021, 0)</f>
        <v>64.632000000000005</v>
      </c>
      <c r="L674" s="10"/>
    </row>
    <row r="675" spans="1:12" ht="15.75" x14ac:dyDescent="0.25">
      <c r="A675" s="13">
        <v>61483</v>
      </c>
      <c r="B675" s="10">
        <f>64.1506 * CHOOSE(CONTROL!$C$9, $D$9, 100%, $F$9) + CHOOSE(CONTROL!$C$27, 0.0021, 0)</f>
        <v>64.152699999999996</v>
      </c>
      <c r="C675" s="10">
        <f>63.7184 * CHOOSE(CONTROL!$C$9, $D$9, 100%, $F$9) + CHOOSE(CONTROL!$C$27, 0.0021, 0)</f>
        <v>63.720500000000001</v>
      </c>
      <c r="D675" s="10">
        <f>63.7184 * CHOOSE(CONTROL!$C$9, $D$9, 100%, $F$9) + CHOOSE(CONTROL!$C$27, 0.0021, 0)</f>
        <v>63.720500000000001</v>
      </c>
      <c r="E675" s="10">
        <f>63.5817 * CHOOSE(CONTROL!$C$9, $D$9, 100%, $F$9) + CHOOSE(CONTROL!$C$27, 0.0021, 0)</f>
        <v>63.583799999999997</v>
      </c>
      <c r="F675" s="10">
        <f>63.5817 * CHOOSE(CONTROL!$C$9, $D$9, 100%, $F$9) + CHOOSE(CONTROL!$C$27, 0.0021, 0)</f>
        <v>63.583799999999997</v>
      </c>
      <c r="G675" s="10">
        <f>63.8531 * CHOOSE(CONTROL!$C$9, $D$9, 100%, $F$9) + CHOOSE(CONTROL!$C$27, 0.0021, 0)</f>
        <v>63.855199999999996</v>
      </c>
      <c r="H675" s="10">
        <f>63.7184 * CHOOSE(CONTROL!$C$9, $D$9, 100%, $F$9) + CHOOSE(CONTROL!$C$27, 0.0021, 0)</f>
        <v>63.720500000000001</v>
      </c>
      <c r="I675" s="10">
        <f>63.7184 * CHOOSE(CONTROL!$C$9, $D$9, 100%, $F$9) + CHOOSE(CONTROL!$C$27, 0.0021, 0)</f>
        <v>63.720500000000001</v>
      </c>
      <c r="J675" s="10">
        <f>63.7184 * CHOOSE(CONTROL!$C$9, $D$9, 100%, $F$9) + CHOOSE(CONTROL!$C$27, 0.0021, 0)</f>
        <v>63.720500000000001</v>
      </c>
      <c r="K675" s="10">
        <f>63.7184 * CHOOSE(CONTROL!$C$9, $D$9, 100%, $F$9) + CHOOSE(CONTROL!$C$27, 0.0021, 0)</f>
        <v>63.720500000000001</v>
      </c>
      <c r="L675" s="10"/>
    </row>
    <row r="676" spans="1:12" ht="15.75" x14ac:dyDescent="0.25">
      <c r="A676" s="13">
        <v>61514</v>
      </c>
      <c r="B676" s="10">
        <f>65.4497 * CHOOSE(CONTROL!$C$9, $D$9, 100%, $F$9) + CHOOSE(CONTROL!$C$27, 0.0021, 0)</f>
        <v>65.451800000000006</v>
      </c>
      <c r="C676" s="10">
        <f>65.0174 * CHOOSE(CONTROL!$C$9, $D$9, 100%, $F$9) + CHOOSE(CONTROL!$C$27, 0.0021, 0)</f>
        <v>65.019499999999994</v>
      </c>
      <c r="D676" s="10">
        <f>65.0174 * CHOOSE(CONTROL!$C$9, $D$9, 100%, $F$9) + CHOOSE(CONTROL!$C$27, 0.0021, 0)</f>
        <v>65.019499999999994</v>
      </c>
      <c r="E676" s="10">
        <f>64.8808 * CHOOSE(CONTROL!$C$9, $D$9, 100%, $F$9) + CHOOSE(CONTROL!$C$27, 0.0021, 0)</f>
        <v>64.882899999999992</v>
      </c>
      <c r="F676" s="10">
        <f>64.8808 * CHOOSE(CONTROL!$C$9, $D$9, 100%, $F$9) + CHOOSE(CONTROL!$C$27, 0.0021, 0)</f>
        <v>64.882899999999992</v>
      </c>
      <c r="G676" s="10">
        <f>65.1522 * CHOOSE(CONTROL!$C$9, $D$9, 100%, $F$9) + CHOOSE(CONTROL!$C$27, 0.0021, 0)</f>
        <v>65.154299999999992</v>
      </c>
      <c r="H676" s="10">
        <f>65.0174 * CHOOSE(CONTROL!$C$9, $D$9, 100%, $F$9) + CHOOSE(CONTROL!$C$27, 0.0021, 0)</f>
        <v>65.019499999999994</v>
      </c>
      <c r="I676" s="10">
        <f>65.0174 * CHOOSE(CONTROL!$C$9, $D$9, 100%, $F$9) + CHOOSE(CONTROL!$C$27, 0.0021, 0)</f>
        <v>65.019499999999994</v>
      </c>
      <c r="J676" s="10">
        <f>65.0174 * CHOOSE(CONTROL!$C$9, $D$9, 100%, $F$9) + CHOOSE(CONTROL!$C$27, 0.0021, 0)</f>
        <v>65.019499999999994</v>
      </c>
      <c r="K676" s="10">
        <f>65.0174 * CHOOSE(CONTROL!$C$9, $D$9, 100%, $F$9) + CHOOSE(CONTROL!$C$27, 0.0021, 0)</f>
        <v>65.019499999999994</v>
      </c>
      <c r="L676" s="10"/>
    </row>
    <row r="677" spans="1:12" ht="15.75" x14ac:dyDescent="0.25">
      <c r="A677" s="13">
        <v>61544</v>
      </c>
      <c r="B677" s="10">
        <f>66.2278 * CHOOSE(CONTROL!$C$9, $D$9, 100%, $F$9) + CHOOSE(CONTROL!$C$27, 0.0021, 0)</f>
        <v>66.229900000000001</v>
      </c>
      <c r="C677" s="10">
        <f>65.7955 * CHOOSE(CONTROL!$C$9, $D$9, 100%, $F$9) + CHOOSE(CONTROL!$C$27, 0.0021, 0)</f>
        <v>65.797600000000003</v>
      </c>
      <c r="D677" s="10">
        <f>65.7955 * CHOOSE(CONTROL!$C$9, $D$9, 100%, $F$9) + CHOOSE(CONTROL!$C$27, 0.0021, 0)</f>
        <v>65.797600000000003</v>
      </c>
      <c r="E677" s="10">
        <f>65.6589 * CHOOSE(CONTROL!$C$9, $D$9, 100%, $F$9) + CHOOSE(CONTROL!$C$27, 0.0021, 0)</f>
        <v>65.661000000000001</v>
      </c>
      <c r="F677" s="10">
        <f>65.6589 * CHOOSE(CONTROL!$C$9, $D$9, 100%, $F$9) + CHOOSE(CONTROL!$C$27, 0.0021, 0)</f>
        <v>65.661000000000001</v>
      </c>
      <c r="G677" s="10">
        <f>65.9302 * CHOOSE(CONTROL!$C$9, $D$9, 100%, $F$9) + CHOOSE(CONTROL!$C$27, 0.0021, 0)</f>
        <v>65.932299999999998</v>
      </c>
      <c r="H677" s="10">
        <f>65.7955 * CHOOSE(CONTROL!$C$9, $D$9, 100%, $F$9) + CHOOSE(CONTROL!$C$27, 0.0021, 0)</f>
        <v>65.797600000000003</v>
      </c>
      <c r="I677" s="10">
        <f>65.7955 * CHOOSE(CONTROL!$C$9, $D$9, 100%, $F$9) + CHOOSE(CONTROL!$C$27, 0.0021, 0)</f>
        <v>65.797600000000003</v>
      </c>
      <c r="J677" s="10">
        <f>65.7955 * CHOOSE(CONTROL!$C$9, $D$9, 100%, $F$9) + CHOOSE(CONTROL!$C$27, 0.0021, 0)</f>
        <v>65.797600000000003</v>
      </c>
      <c r="K677" s="10">
        <f>65.7955 * CHOOSE(CONTROL!$C$9, $D$9, 100%, $F$9) + CHOOSE(CONTROL!$C$27, 0.0021, 0)</f>
        <v>65.797600000000003</v>
      </c>
      <c r="L677" s="10"/>
    </row>
    <row r="678" spans="1:12" ht="15.75" x14ac:dyDescent="0.25">
      <c r="A678" s="13">
        <v>61575</v>
      </c>
      <c r="B678" s="10">
        <f>67.5113 * CHOOSE(CONTROL!$C$9, $D$9, 100%, $F$9) + CHOOSE(CONTROL!$C$27, 0.0021, 0)</f>
        <v>67.513400000000004</v>
      </c>
      <c r="C678" s="10">
        <f>67.0791 * CHOOSE(CONTROL!$C$9, $D$9, 100%, $F$9) + CHOOSE(CONTROL!$C$27, 0.0021, 0)</f>
        <v>67.081199999999995</v>
      </c>
      <c r="D678" s="10">
        <f>67.0791 * CHOOSE(CONTROL!$C$9, $D$9, 100%, $F$9) + CHOOSE(CONTROL!$C$27, 0.0021, 0)</f>
        <v>67.081199999999995</v>
      </c>
      <c r="E678" s="10">
        <f>66.9424 * CHOOSE(CONTROL!$C$9, $D$9, 100%, $F$9) + CHOOSE(CONTROL!$C$27, 0.0021, 0)</f>
        <v>66.944500000000005</v>
      </c>
      <c r="F678" s="10">
        <f>66.9424 * CHOOSE(CONTROL!$C$9, $D$9, 100%, $F$9) + CHOOSE(CONTROL!$C$27, 0.0021, 0)</f>
        <v>66.944500000000005</v>
      </c>
      <c r="G678" s="10">
        <f>67.2138 * CHOOSE(CONTROL!$C$9, $D$9, 100%, $F$9) + CHOOSE(CONTROL!$C$27, 0.0021, 0)</f>
        <v>67.215900000000005</v>
      </c>
      <c r="H678" s="10">
        <f>67.0791 * CHOOSE(CONTROL!$C$9, $D$9, 100%, $F$9) + CHOOSE(CONTROL!$C$27, 0.0021, 0)</f>
        <v>67.081199999999995</v>
      </c>
      <c r="I678" s="10">
        <f>67.0791 * CHOOSE(CONTROL!$C$9, $D$9, 100%, $F$9) + CHOOSE(CONTROL!$C$27, 0.0021, 0)</f>
        <v>67.081199999999995</v>
      </c>
      <c r="J678" s="10">
        <f>67.0791 * CHOOSE(CONTROL!$C$9, $D$9, 100%, $F$9) + CHOOSE(CONTROL!$C$27, 0.0021, 0)</f>
        <v>67.081199999999995</v>
      </c>
      <c r="K678" s="10">
        <f>67.0791 * CHOOSE(CONTROL!$C$9, $D$9, 100%, $F$9) + CHOOSE(CONTROL!$C$27, 0.0021, 0)</f>
        <v>67.081199999999995</v>
      </c>
      <c r="L678" s="10"/>
    </row>
    <row r="679" spans="1:12" ht="15.75" x14ac:dyDescent="0.25">
      <c r="A679" s="13">
        <v>61606</v>
      </c>
      <c r="B679" s="10">
        <f>67.9031 * CHOOSE(CONTROL!$C$9, $D$9, 100%, $F$9) + CHOOSE(CONTROL!$C$27, 0.0021, 0)</f>
        <v>67.905199999999994</v>
      </c>
      <c r="C679" s="10">
        <f>67.4708 * CHOOSE(CONTROL!$C$9, $D$9, 100%, $F$9) + CHOOSE(CONTROL!$C$27, 0.0021, 0)</f>
        <v>67.472899999999996</v>
      </c>
      <c r="D679" s="10">
        <f>67.4708 * CHOOSE(CONTROL!$C$9, $D$9, 100%, $F$9) + CHOOSE(CONTROL!$C$27, 0.0021, 0)</f>
        <v>67.472899999999996</v>
      </c>
      <c r="E679" s="10">
        <f>67.3342 * CHOOSE(CONTROL!$C$9, $D$9, 100%, $F$9) + CHOOSE(CONTROL!$C$27, 0.0021, 0)</f>
        <v>67.336299999999994</v>
      </c>
      <c r="F679" s="10">
        <f>67.3342 * CHOOSE(CONTROL!$C$9, $D$9, 100%, $F$9) + CHOOSE(CONTROL!$C$27, 0.0021, 0)</f>
        <v>67.336299999999994</v>
      </c>
      <c r="G679" s="10">
        <f>67.6056 * CHOOSE(CONTROL!$C$9, $D$9, 100%, $F$9) + CHOOSE(CONTROL!$C$27, 0.0021, 0)</f>
        <v>67.607699999999994</v>
      </c>
      <c r="H679" s="10">
        <f>67.4708 * CHOOSE(CONTROL!$C$9, $D$9, 100%, $F$9) + CHOOSE(CONTROL!$C$27, 0.0021, 0)</f>
        <v>67.472899999999996</v>
      </c>
      <c r="I679" s="10">
        <f>67.4708 * CHOOSE(CONTROL!$C$9, $D$9, 100%, $F$9) + CHOOSE(CONTROL!$C$27, 0.0021, 0)</f>
        <v>67.472899999999996</v>
      </c>
      <c r="J679" s="10">
        <f>67.4708 * CHOOSE(CONTROL!$C$9, $D$9, 100%, $F$9) + CHOOSE(CONTROL!$C$27, 0.0021, 0)</f>
        <v>67.472899999999996</v>
      </c>
      <c r="K679" s="10">
        <f>67.4708 * CHOOSE(CONTROL!$C$9, $D$9, 100%, $F$9) + CHOOSE(CONTROL!$C$27, 0.0021, 0)</f>
        <v>67.472899999999996</v>
      </c>
      <c r="L679" s="10"/>
    </row>
    <row r="680" spans="1:12" ht="15.75" x14ac:dyDescent="0.25">
      <c r="A680" s="13">
        <v>61636</v>
      </c>
      <c r="B680" s="10">
        <f>69.2373 * CHOOSE(CONTROL!$C$9, $D$9, 100%, $F$9) + CHOOSE(CONTROL!$C$27, 0.0021, 0)</f>
        <v>69.239400000000003</v>
      </c>
      <c r="C680" s="10">
        <f>68.805 * CHOOSE(CONTROL!$C$9, $D$9, 100%, $F$9) + CHOOSE(CONTROL!$C$27, 0.0021, 0)</f>
        <v>68.807100000000005</v>
      </c>
      <c r="D680" s="10">
        <f>68.805 * CHOOSE(CONTROL!$C$9, $D$9, 100%, $F$9) + CHOOSE(CONTROL!$C$27, 0.0021, 0)</f>
        <v>68.807100000000005</v>
      </c>
      <c r="E680" s="10">
        <f>68.6684 * CHOOSE(CONTROL!$C$9, $D$9, 100%, $F$9) + CHOOSE(CONTROL!$C$27, 0.0021, 0)</f>
        <v>68.670500000000004</v>
      </c>
      <c r="F680" s="10">
        <f>68.6684 * CHOOSE(CONTROL!$C$9, $D$9, 100%, $F$9) + CHOOSE(CONTROL!$C$27, 0.0021, 0)</f>
        <v>68.670500000000004</v>
      </c>
      <c r="G680" s="10">
        <f>68.9398 * CHOOSE(CONTROL!$C$9, $D$9, 100%, $F$9) + CHOOSE(CONTROL!$C$27, 0.0021, 0)</f>
        <v>68.941900000000004</v>
      </c>
      <c r="H680" s="10">
        <f>68.805 * CHOOSE(CONTROL!$C$9, $D$9, 100%, $F$9) + CHOOSE(CONTROL!$C$27, 0.0021, 0)</f>
        <v>68.807100000000005</v>
      </c>
      <c r="I680" s="10">
        <f>68.805 * CHOOSE(CONTROL!$C$9, $D$9, 100%, $F$9) + CHOOSE(CONTROL!$C$27, 0.0021, 0)</f>
        <v>68.807100000000005</v>
      </c>
      <c r="J680" s="10">
        <f>68.805 * CHOOSE(CONTROL!$C$9, $D$9, 100%, $F$9) + CHOOSE(CONTROL!$C$27, 0.0021, 0)</f>
        <v>68.807100000000005</v>
      </c>
      <c r="K680" s="10">
        <f>68.805 * CHOOSE(CONTROL!$C$9, $D$9, 100%, $F$9) + CHOOSE(CONTROL!$C$27, 0.0021, 0)</f>
        <v>68.807100000000005</v>
      </c>
      <c r="L680" s="10"/>
    </row>
    <row r="681" spans="1:12" ht="15.75" x14ac:dyDescent="0.25">
      <c r="A681" s="13">
        <v>61667</v>
      </c>
      <c r="B681" s="10">
        <f>70.9261 * CHOOSE(CONTROL!$C$9, $D$9, 100%, $F$9) + CHOOSE(CONTROL!$C$27, 0.0021, 0)</f>
        <v>70.928200000000004</v>
      </c>
      <c r="C681" s="10">
        <f>70.4939 * CHOOSE(CONTROL!$C$9, $D$9, 100%, $F$9) + CHOOSE(CONTROL!$C$27, 0.0021, 0)</f>
        <v>70.495999999999995</v>
      </c>
      <c r="D681" s="10">
        <f>70.4939 * CHOOSE(CONTROL!$C$9, $D$9, 100%, $F$9) + CHOOSE(CONTROL!$C$27, 0.0021, 0)</f>
        <v>70.495999999999995</v>
      </c>
      <c r="E681" s="10">
        <f>70.3572 * CHOOSE(CONTROL!$C$9, $D$9, 100%, $F$9) + CHOOSE(CONTROL!$C$27, 0.0021, 0)</f>
        <v>70.359300000000005</v>
      </c>
      <c r="F681" s="10">
        <f>70.3572 * CHOOSE(CONTROL!$C$9, $D$9, 100%, $F$9) + CHOOSE(CONTROL!$C$27, 0.0021, 0)</f>
        <v>70.359300000000005</v>
      </c>
      <c r="G681" s="10">
        <f>70.6286 * CHOOSE(CONTROL!$C$9, $D$9, 100%, $F$9) + CHOOSE(CONTROL!$C$27, 0.0021, 0)</f>
        <v>70.630700000000004</v>
      </c>
      <c r="H681" s="10">
        <f>70.4939 * CHOOSE(CONTROL!$C$9, $D$9, 100%, $F$9) + CHOOSE(CONTROL!$C$27, 0.0021, 0)</f>
        <v>70.495999999999995</v>
      </c>
      <c r="I681" s="10">
        <f>70.4939 * CHOOSE(CONTROL!$C$9, $D$9, 100%, $F$9) + CHOOSE(CONTROL!$C$27, 0.0021, 0)</f>
        <v>70.495999999999995</v>
      </c>
      <c r="J681" s="10">
        <f>70.4939 * CHOOSE(CONTROL!$C$9, $D$9, 100%, $F$9) + CHOOSE(CONTROL!$C$27, 0.0021, 0)</f>
        <v>70.495999999999995</v>
      </c>
      <c r="K681" s="10">
        <f>70.4939 * CHOOSE(CONTROL!$C$9, $D$9, 100%, $F$9) + CHOOSE(CONTROL!$C$27, 0.0021, 0)</f>
        <v>70.495999999999995</v>
      </c>
      <c r="L681" s="10"/>
    </row>
    <row r="682" spans="1:12" ht="15.75" x14ac:dyDescent="0.25">
      <c r="A682" s="13">
        <v>61697</v>
      </c>
      <c r="B682" s="10">
        <f>71.0847 * CHOOSE(CONTROL!$C$9, $D$9, 100%, $F$9) + CHOOSE(CONTROL!$C$27, 0.0021, 0)</f>
        <v>71.086799999999997</v>
      </c>
      <c r="C682" s="10">
        <f>70.6524 * CHOOSE(CONTROL!$C$9, $D$9, 100%, $F$9) + CHOOSE(CONTROL!$C$27, 0.0021, 0)</f>
        <v>70.654499999999999</v>
      </c>
      <c r="D682" s="10">
        <f>70.6524 * CHOOSE(CONTROL!$C$9, $D$9, 100%, $F$9) + CHOOSE(CONTROL!$C$27, 0.0021, 0)</f>
        <v>70.654499999999999</v>
      </c>
      <c r="E682" s="10">
        <f>70.5158 * CHOOSE(CONTROL!$C$9, $D$9, 100%, $F$9) + CHOOSE(CONTROL!$C$27, 0.0021, 0)</f>
        <v>70.517899999999997</v>
      </c>
      <c r="F682" s="10">
        <f>70.5158 * CHOOSE(CONTROL!$C$9, $D$9, 100%, $F$9) + CHOOSE(CONTROL!$C$27, 0.0021, 0)</f>
        <v>70.517899999999997</v>
      </c>
      <c r="G682" s="10">
        <f>70.7872 * CHOOSE(CONTROL!$C$9, $D$9, 100%, $F$9) + CHOOSE(CONTROL!$C$27, 0.0021, 0)</f>
        <v>70.789299999999997</v>
      </c>
      <c r="H682" s="10">
        <f>70.6524 * CHOOSE(CONTROL!$C$9, $D$9, 100%, $F$9) + CHOOSE(CONTROL!$C$27, 0.0021, 0)</f>
        <v>70.654499999999999</v>
      </c>
      <c r="I682" s="10">
        <f>70.6524 * CHOOSE(CONTROL!$C$9, $D$9, 100%, $F$9) + CHOOSE(CONTROL!$C$27, 0.0021, 0)</f>
        <v>70.654499999999999</v>
      </c>
      <c r="J682" s="10">
        <f>70.6524 * CHOOSE(CONTROL!$C$9, $D$9, 100%, $F$9) + CHOOSE(CONTROL!$C$27, 0.0021, 0)</f>
        <v>70.654499999999999</v>
      </c>
      <c r="K682" s="10">
        <f>70.6524 * CHOOSE(CONTROL!$C$9, $D$9, 100%, $F$9) + CHOOSE(CONTROL!$C$27, 0.0021, 0)</f>
        <v>70.654499999999999</v>
      </c>
      <c r="L682" s="10"/>
    </row>
    <row r="683" spans="1:12" ht="15.75" x14ac:dyDescent="0.25">
      <c r="A683" s="13">
        <v>61728</v>
      </c>
      <c r="B683" s="10">
        <f>69.7358 * CHOOSE(CONTROL!$C$9, $D$9, 100%, $F$9) + CHOOSE(CONTROL!$C$27, 0.0021, 0)</f>
        <v>69.737899999999996</v>
      </c>
      <c r="C683" s="10">
        <f>69.3036 * CHOOSE(CONTROL!$C$9, $D$9, 100%, $F$9) + CHOOSE(CONTROL!$C$27, 0.0021, 0)</f>
        <v>69.305700000000002</v>
      </c>
      <c r="D683" s="10">
        <f>69.3036 * CHOOSE(CONTROL!$C$9, $D$9, 100%, $F$9) + CHOOSE(CONTROL!$C$27, 0.0021, 0)</f>
        <v>69.305700000000002</v>
      </c>
      <c r="E683" s="10">
        <f>69.1669 * CHOOSE(CONTROL!$C$9, $D$9, 100%, $F$9) + CHOOSE(CONTROL!$C$27, 0.0021, 0)</f>
        <v>69.168999999999997</v>
      </c>
      <c r="F683" s="10">
        <f>69.1669 * CHOOSE(CONTROL!$C$9, $D$9, 100%, $F$9) + CHOOSE(CONTROL!$C$27, 0.0021, 0)</f>
        <v>69.168999999999997</v>
      </c>
      <c r="G683" s="10">
        <f>69.4383 * CHOOSE(CONTROL!$C$9, $D$9, 100%, $F$9) + CHOOSE(CONTROL!$C$27, 0.0021, 0)</f>
        <v>69.440399999999997</v>
      </c>
      <c r="H683" s="10">
        <f>69.3036 * CHOOSE(CONTROL!$C$9, $D$9, 100%, $F$9) + CHOOSE(CONTROL!$C$27, 0.0021, 0)</f>
        <v>69.305700000000002</v>
      </c>
      <c r="I683" s="10">
        <f>69.3036 * CHOOSE(CONTROL!$C$9, $D$9, 100%, $F$9) + CHOOSE(CONTROL!$C$27, 0.0021, 0)</f>
        <v>69.305700000000002</v>
      </c>
      <c r="J683" s="10">
        <f>69.3036 * CHOOSE(CONTROL!$C$9, $D$9, 100%, $F$9) + CHOOSE(CONTROL!$C$27, 0.0021, 0)</f>
        <v>69.305700000000002</v>
      </c>
      <c r="K683" s="10">
        <f>69.3036 * CHOOSE(CONTROL!$C$9, $D$9, 100%, $F$9) + CHOOSE(CONTROL!$C$27, 0.0021, 0)</f>
        <v>69.305700000000002</v>
      </c>
      <c r="L683" s="10"/>
    </row>
    <row r="684" spans="1:12" ht="15.75" x14ac:dyDescent="0.25">
      <c r="A684" s="13">
        <v>61759</v>
      </c>
      <c r="B684" s="10">
        <f>68.8522 * CHOOSE(CONTROL!$C$9, $D$9, 100%, $F$9) + CHOOSE(CONTROL!$C$27, 0.0021, 0)</f>
        <v>68.854299999999995</v>
      </c>
      <c r="C684" s="10">
        <f>68.4199 * CHOOSE(CONTROL!$C$9, $D$9, 100%, $F$9) + CHOOSE(CONTROL!$C$27, 0.0021, 0)</f>
        <v>68.421999999999997</v>
      </c>
      <c r="D684" s="10">
        <f>68.4199 * CHOOSE(CONTROL!$C$9, $D$9, 100%, $F$9) + CHOOSE(CONTROL!$C$27, 0.0021, 0)</f>
        <v>68.421999999999997</v>
      </c>
      <c r="E684" s="10">
        <f>68.2833 * CHOOSE(CONTROL!$C$9, $D$9, 100%, $F$9) + CHOOSE(CONTROL!$C$27, 0.0021, 0)</f>
        <v>68.285399999999996</v>
      </c>
      <c r="F684" s="10">
        <f>68.2833 * CHOOSE(CONTROL!$C$9, $D$9, 100%, $F$9) + CHOOSE(CONTROL!$C$27, 0.0021, 0)</f>
        <v>68.285399999999996</v>
      </c>
      <c r="G684" s="10">
        <f>68.5546 * CHOOSE(CONTROL!$C$9, $D$9, 100%, $F$9) + CHOOSE(CONTROL!$C$27, 0.0021, 0)</f>
        <v>68.556699999999992</v>
      </c>
      <c r="H684" s="10">
        <f>68.4199 * CHOOSE(CONTROL!$C$9, $D$9, 100%, $F$9) + CHOOSE(CONTROL!$C$27, 0.0021, 0)</f>
        <v>68.421999999999997</v>
      </c>
      <c r="I684" s="10">
        <f>68.4199 * CHOOSE(CONTROL!$C$9, $D$9, 100%, $F$9) + CHOOSE(CONTROL!$C$27, 0.0021, 0)</f>
        <v>68.421999999999997</v>
      </c>
      <c r="J684" s="10">
        <f>68.4199 * CHOOSE(CONTROL!$C$9, $D$9, 100%, $F$9) + CHOOSE(CONTROL!$C$27, 0.0021, 0)</f>
        <v>68.421999999999997</v>
      </c>
      <c r="K684" s="10">
        <f>68.4199 * CHOOSE(CONTROL!$C$9, $D$9, 100%, $F$9) + CHOOSE(CONTROL!$C$27, 0.0021, 0)</f>
        <v>68.421999999999997</v>
      </c>
      <c r="L684" s="10"/>
    </row>
    <row r="685" spans="1:12" ht="15.75" x14ac:dyDescent="0.25">
      <c r="A685" s="13">
        <v>61787</v>
      </c>
      <c r="B685" s="10">
        <f>66.9695 * CHOOSE(CONTROL!$C$9, $D$9, 100%, $F$9) + CHOOSE(CONTROL!$C$27, 0.0021, 0)</f>
        <v>66.971599999999995</v>
      </c>
      <c r="C685" s="10">
        <f>66.5373 * CHOOSE(CONTROL!$C$9, $D$9, 100%, $F$9) + CHOOSE(CONTROL!$C$27, 0.0021, 0)</f>
        <v>66.539400000000001</v>
      </c>
      <c r="D685" s="10">
        <f>66.5373 * CHOOSE(CONTROL!$C$9, $D$9, 100%, $F$9) + CHOOSE(CONTROL!$C$27, 0.0021, 0)</f>
        <v>66.539400000000001</v>
      </c>
      <c r="E685" s="10">
        <f>66.4006 * CHOOSE(CONTROL!$C$9, $D$9, 100%, $F$9) + CHOOSE(CONTROL!$C$27, 0.0021, 0)</f>
        <v>66.402699999999996</v>
      </c>
      <c r="F685" s="10">
        <f>66.4006 * CHOOSE(CONTROL!$C$9, $D$9, 100%, $F$9) + CHOOSE(CONTROL!$C$27, 0.0021, 0)</f>
        <v>66.402699999999996</v>
      </c>
      <c r="G685" s="10">
        <f>66.672 * CHOOSE(CONTROL!$C$9, $D$9, 100%, $F$9) + CHOOSE(CONTROL!$C$27, 0.0021, 0)</f>
        <v>66.674099999999996</v>
      </c>
      <c r="H685" s="10">
        <f>66.5373 * CHOOSE(CONTROL!$C$9, $D$9, 100%, $F$9) + CHOOSE(CONTROL!$C$27, 0.0021, 0)</f>
        <v>66.539400000000001</v>
      </c>
      <c r="I685" s="10">
        <f>66.5373 * CHOOSE(CONTROL!$C$9, $D$9, 100%, $F$9) + CHOOSE(CONTROL!$C$27, 0.0021, 0)</f>
        <v>66.539400000000001</v>
      </c>
      <c r="J685" s="10">
        <f>66.5373 * CHOOSE(CONTROL!$C$9, $D$9, 100%, $F$9) + CHOOSE(CONTROL!$C$27, 0.0021, 0)</f>
        <v>66.539400000000001</v>
      </c>
      <c r="K685" s="10">
        <f>66.5373 * CHOOSE(CONTROL!$C$9, $D$9, 100%, $F$9) + CHOOSE(CONTROL!$C$27, 0.0021, 0)</f>
        <v>66.539400000000001</v>
      </c>
      <c r="L685" s="10"/>
    </row>
    <row r="686" spans="1:12" ht="15.75" x14ac:dyDescent="0.25">
      <c r="A686" s="13">
        <v>61818</v>
      </c>
      <c r="B686" s="10">
        <f>66.1923 * CHOOSE(CONTROL!$C$9, $D$9, 100%, $F$9) + CHOOSE(CONTROL!$C$27, 0.0021, 0)</f>
        <v>66.194400000000002</v>
      </c>
      <c r="C686" s="10">
        <f>65.7601 * CHOOSE(CONTROL!$C$9, $D$9, 100%, $F$9) + CHOOSE(CONTROL!$C$27, 0.0021, 0)</f>
        <v>65.762199999999993</v>
      </c>
      <c r="D686" s="10">
        <f>65.7601 * CHOOSE(CONTROL!$C$9, $D$9, 100%, $F$9) + CHOOSE(CONTROL!$C$27, 0.0021, 0)</f>
        <v>65.762199999999993</v>
      </c>
      <c r="E686" s="10">
        <f>65.6234 * CHOOSE(CONTROL!$C$9, $D$9, 100%, $F$9) + CHOOSE(CONTROL!$C$27, 0.0021, 0)</f>
        <v>65.625500000000002</v>
      </c>
      <c r="F686" s="10">
        <f>65.6234 * CHOOSE(CONTROL!$C$9, $D$9, 100%, $F$9) + CHOOSE(CONTROL!$C$27, 0.0021, 0)</f>
        <v>65.625500000000002</v>
      </c>
      <c r="G686" s="10">
        <f>65.8948 * CHOOSE(CONTROL!$C$9, $D$9, 100%, $F$9) + CHOOSE(CONTROL!$C$27, 0.0021, 0)</f>
        <v>65.896900000000002</v>
      </c>
      <c r="H686" s="10">
        <f>65.7601 * CHOOSE(CONTROL!$C$9, $D$9, 100%, $F$9) + CHOOSE(CONTROL!$C$27, 0.0021, 0)</f>
        <v>65.762199999999993</v>
      </c>
      <c r="I686" s="10">
        <f>65.7601 * CHOOSE(CONTROL!$C$9, $D$9, 100%, $F$9) + CHOOSE(CONTROL!$C$27, 0.0021, 0)</f>
        <v>65.762199999999993</v>
      </c>
      <c r="J686" s="10">
        <f>65.7601 * CHOOSE(CONTROL!$C$9, $D$9, 100%, $F$9) + CHOOSE(CONTROL!$C$27, 0.0021, 0)</f>
        <v>65.762199999999993</v>
      </c>
      <c r="K686" s="10">
        <f>65.7601 * CHOOSE(CONTROL!$C$9, $D$9, 100%, $F$9) + CHOOSE(CONTROL!$C$27, 0.0021, 0)</f>
        <v>65.762199999999993</v>
      </c>
      <c r="L686" s="10"/>
    </row>
    <row r="687" spans="1:12" ht="15.75" x14ac:dyDescent="0.25">
      <c r="A687" s="13">
        <v>61848</v>
      </c>
      <c r="B687" s="10">
        <f>65.2644 * CHOOSE(CONTROL!$C$9, $D$9, 100%, $F$9) + CHOOSE(CONTROL!$C$27, 0.0021, 0)</f>
        <v>65.266499999999994</v>
      </c>
      <c r="C687" s="10">
        <f>64.8321 * CHOOSE(CONTROL!$C$9, $D$9, 100%, $F$9) + CHOOSE(CONTROL!$C$27, 0.0021, 0)</f>
        <v>64.834199999999996</v>
      </c>
      <c r="D687" s="10">
        <f>64.8321 * CHOOSE(CONTROL!$C$9, $D$9, 100%, $F$9) + CHOOSE(CONTROL!$C$27, 0.0021, 0)</f>
        <v>64.834199999999996</v>
      </c>
      <c r="E687" s="10">
        <f>64.6955 * CHOOSE(CONTROL!$C$9, $D$9, 100%, $F$9) + CHOOSE(CONTROL!$C$27, 0.0021, 0)</f>
        <v>64.697599999999994</v>
      </c>
      <c r="F687" s="10">
        <f>64.6955 * CHOOSE(CONTROL!$C$9, $D$9, 100%, $F$9) + CHOOSE(CONTROL!$C$27, 0.0021, 0)</f>
        <v>64.697599999999994</v>
      </c>
      <c r="G687" s="10">
        <f>64.9669 * CHOOSE(CONTROL!$C$9, $D$9, 100%, $F$9) + CHOOSE(CONTROL!$C$27, 0.0021, 0)</f>
        <v>64.968999999999994</v>
      </c>
      <c r="H687" s="10">
        <f>64.8321 * CHOOSE(CONTROL!$C$9, $D$9, 100%, $F$9) + CHOOSE(CONTROL!$C$27, 0.0021, 0)</f>
        <v>64.834199999999996</v>
      </c>
      <c r="I687" s="10">
        <f>64.8321 * CHOOSE(CONTROL!$C$9, $D$9, 100%, $F$9) + CHOOSE(CONTROL!$C$27, 0.0021, 0)</f>
        <v>64.834199999999996</v>
      </c>
      <c r="J687" s="10">
        <f>64.8321 * CHOOSE(CONTROL!$C$9, $D$9, 100%, $F$9) + CHOOSE(CONTROL!$C$27, 0.0021, 0)</f>
        <v>64.834199999999996</v>
      </c>
      <c r="K687" s="10">
        <f>64.8321 * CHOOSE(CONTROL!$C$9, $D$9, 100%, $F$9) + CHOOSE(CONTROL!$C$27, 0.0021, 0)</f>
        <v>64.834199999999996</v>
      </c>
      <c r="L687" s="10"/>
    </row>
    <row r="688" spans="1:12" ht="15.75" x14ac:dyDescent="0.25">
      <c r="A688" s="13">
        <v>61879</v>
      </c>
      <c r="B688" s="10">
        <f>66.5868 * CHOOSE(CONTROL!$C$9, $D$9, 100%, $F$9) + CHOOSE(CONTROL!$C$27, 0.0021, 0)</f>
        <v>66.588899999999995</v>
      </c>
      <c r="C688" s="10">
        <f>66.1546 * CHOOSE(CONTROL!$C$9, $D$9, 100%, $F$9) + CHOOSE(CONTROL!$C$27, 0.0021, 0)</f>
        <v>66.156700000000001</v>
      </c>
      <c r="D688" s="10">
        <f>66.1546 * CHOOSE(CONTROL!$C$9, $D$9, 100%, $F$9) + CHOOSE(CONTROL!$C$27, 0.0021, 0)</f>
        <v>66.156700000000001</v>
      </c>
      <c r="E688" s="10">
        <f>66.0179 * CHOOSE(CONTROL!$C$9, $D$9, 100%, $F$9) + CHOOSE(CONTROL!$C$27, 0.0021, 0)</f>
        <v>66.02</v>
      </c>
      <c r="F688" s="10">
        <f>66.0179 * CHOOSE(CONTROL!$C$9, $D$9, 100%, $F$9) + CHOOSE(CONTROL!$C$27, 0.0021, 0)</f>
        <v>66.02</v>
      </c>
      <c r="G688" s="10">
        <f>66.2893 * CHOOSE(CONTROL!$C$9, $D$9, 100%, $F$9) + CHOOSE(CONTROL!$C$27, 0.0021, 0)</f>
        <v>66.291399999999996</v>
      </c>
      <c r="H688" s="10">
        <f>66.1546 * CHOOSE(CONTROL!$C$9, $D$9, 100%, $F$9) + CHOOSE(CONTROL!$C$27, 0.0021, 0)</f>
        <v>66.156700000000001</v>
      </c>
      <c r="I688" s="10">
        <f>66.1546 * CHOOSE(CONTROL!$C$9, $D$9, 100%, $F$9) + CHOOSE(CONTROL!$C$27, 0.0021, 0)</f>
        <v>66.156700000000001</v>
      </c>
      <c r="J688" s="10">
        <f>66.1546 * CHOOSE(CONTROL!$C$9, $D$9, 100%, $F$9) + CHOOSE(CONTROL!$C$27, 0.0021, 0)</f>
        <v>66.156700000000001</v>
      </c>
      <c r="K688" s="10">
        <f>66.1546 * CHOOSE(CONTROL!$C$9, $D$9, 100%, $F$9) + CHOOSE(CONTROL!$C$27, 0.0021, 0)</f>
        <v>66.156700000000001</v>
      </c>
      <c r="L688" s="10"/>
    </row>
    <row r="689" spans="1:12" ht="15.75" x14ac:dyDescent="0.25">
      <c r="A689" s="13">
        <v>61909</v>
      </c>
      <c r="B689" s="10">
        <f>67.3789 * CHOOSE(CONTROL!$C$9, $D$9, 100%, $F$9) + CHOOSE(CONTROL!$C$27, 0.0021, 0)</f>
        <v>67.381</v>
      </c>
      <c r="C689" s="10">
        <f>66.9467 * CHOOSE(CONTROL!$C$9, $D$9, 100%, $F$9) + CHOOSE(CONTROL!$C$27, 0.0021, 0)</f>
        <v>66.948800000000006</v>
      </c>
      <c r="D689" s="10">
        <f>66.9467 * CHOOSE(CONTROL!$C$9, $D$9, 100%, $F$9) + CHOOSE(CONTROL!$C$27, 0.0021, 0)</f>
        <v>66.948800000000006</v>
      </c>
      <c r="E689" s="10">
        <f>66.81 * CHOOSE(CONTROL!$C$9, $D$9, 100%, $F$9) + CHOOSE(CONTROL!$C$27, 0.0021, 0)</f>
        <v>66.812100000000001</v>
      </c>
      <c r="F689" s="10">
        <f>66.81 * CHOOSE(CONTROL!$C$9, $D$9, 100%, $F$9) + CHOOSE(CONTROL!$C$27, 0.0021, 0)</f>
        <v>66.812100000000001</v>
      </c>
      <c r="G689" s="10">
        <f>67.0814 * CHOOSE(CONTROL!$C$9, $D$9, 100%, $F$9) + CHOOSE(CONTROL!$C$27, 0.0021, 0)</f>
        <v>67.083500000000001</v>
      </c>
      <c r="H689" s="10">
        <f>66.9467 * CHOOSE(CONTROL!$C$9, $D$9, 100%, $F$9) + CHOOSE(CONTROL!$C$27, 0.0021, 0)</f>
        <v>66.948800000000006</v>
      </c>
      <c r="I689" s="10">
        <f>66.9467 * CHOOSE(CONTROL!$C$9, $D$9, 100%, $F$9) + CHOOSE(CONTROL!$C$27, 0.0021, 0)</f>
        <v>66.948800000000006</v>
      </c>
      <c r="J689" s="10">
        <f>66.9467 * CHOOSE(CONTROL!$C$9, $D$9, 100%, $F$9) + CHOOSE(CONTROL!$C$27, 0.0021, 0)</f>
        <v>66.948800000000006</v>
      </c>
      <c r="K689" s="10">
        <f>66.9467 * CHOOSE(CONTROL!$C$9, $D$9, 100%, $F$9) + CHOOSE(CONTROL!$C$27, 0.0021, 0)</f>
        <v>66.948800000000006</v>
      </c>
      <c r="L689" s="10"/>
    </row>
    <row r="690" spans="1:12" ht="15.75" x14ac:dyDescent="0.25">
      <c r="A690" s="13">
        <v>61940</v>
      </c>
      <c r="B690" s="10">
        <f>68.6856 * CHOOSE(CONTROL!$C$9, $D$9, 100%, $F$9) + CHOOSE(CONTROL!$C$27, 0.0021, 0)</f>
        <v>68.687699999999992</v>
      </c>
      <c r="C690" s="10">
        <f>68.2533 * CHOOSE(CONTROL!$C$9, $D$9, 100%, $F$9) + CHOOSE(CONTROL!$C$27, 0.0021, 0)</f>
        <v>68.255399999999995</v>
      </c>
      <c r="D690" s="10">
        <f>68.2533 * CHOOSE(CONTROL!$C$9, $D$9, 100%, $F$9) + CHOOSE(CONTROL!$C$27, 0.0021, 0)</f>
        <v>68.255399999999995</v>
      </c>
      <c r="E690" s="10">
        <f>68.1167 * CHOOSE(CONTROL!$C$9, $D$9, 100%, $F$9) + CHOOSE(CONTROL!$C$27, 0.0021, 0)</f>
        <v>68.118799999999993</v>
      </c>
      <c r="F690" s="10">
        <f>68.1167 * CHOOSE(CONTROL!$C$9, $D$9, 100%, $F$9) + CHOOSE(CONTROL!$C$27, 0.0021, 0)</f>
        <v>68.118799999999993</v>
      </c>
      <c r="G690" s="10">
        <f>68.388 * CHOOSE(CONTROL!$C$9, $D$9, 100%, $F$9) + CHOOSE(CONTROL!$C$27, 0.0021, 0)</f>
        <v>68.390100000000004</v>
      </c>
      <c r="H690" s="10">
        <f>68.2533 * CHOOSE(CONTROL!$C$9, $D$9, 100%, $F$9) + CHOOSE(CONTROL!$C$27, 0.0021, 0)</f>
        <v>68.255399999999995</v>
      </c>
      <c r="I690" s="10">
        <f>68.2533 * CHOOSE(CONTROL!$C$9, $D$9, 100%, $F$9) + CHOOSE(CONTROL!$C$27, 0.0021, 0)</f>
        <v>68.255399999999995</v>
      </c>
      <c r="J690" s="10">
        <f>68.2533 * CHOOSE(CONTROL!$C$9, $D$9, 100%, $F$9) + CHOOSE(CONTROL!$C$27, 0.0021, 0)</f>
        <v>68.255399999999995</v>
      </c>
      <c r="K690" s="10">
        <f>68.2533 * CHOOSE(CONTROL!$C$9, $D$9, 100%, $F$9) + CHOOSE(CONTROL!$C$27, 0.0021, 0)</f>
        <v>68.255399999999995</v>
      </c>
      <c r="L690" s="10"/>
    </row>
    <row r="691" spans="1:12" ht="15.75" x14ac:dyDescent="0.25">
      <c r="A691" s="13">
        <v>61971</v>
      </c>
      <c r="B691" s="10">
        <f>69.0844 * CHOOSE(CONTROL!$C$9, $D$9, 100%, $F$9) + CHOOSE(CONTROL!$C$27, 0.0021, 0)</f>
        <v>69.086500000000001</v>
      </c>
      <c r="C691" s="10">
        <f>68.6522 * CHOOSE(CONTROL!$C$9, $D$9, 100%, $F$9) + CHOOSE(CONTROL!$C$27, 0.0021, 0)</f>
        <v>68.654299999999992</v>
      </c>
      <c r="D691" s="10">
        <f>68.6522 * CHOOSE(CONTROL!$C$9, $D$9, 100%, $F$9) + CHOOSE(CONTROL!$C$27, 0.0021, 0)</f>
        <v>68.654299999999992</v>
      </c>
      <c r="E691" s="10">
        <f>68.5155 * CHOOSE(CONTROL!$C$9, $D$9, 100%, $F$9) + CHOOSE(CONTROL!$C$27, 0.0021, 0)</f>
        <v>68.517600000000002</v>
      </c>
      <c r="F691" s="10">
        <f>68.5155 * CHOOSE(CONTROL!$C$9, $D$9, 100%, $F$9) + CHOOSE(CONTROL!$C$27, 0.0021, 0)</f>
        <v>68.517600000000002</v>
      </c>
      <c r="G691" s="10">
        <f>68.7869 * CHOOSE(CONTROL!$C$9, $D$9, 100%, $F$9) + CHOOSE(CONTROL!$C$27, 0.0021, 0)</f>
        <v>68.789000000000001</v>
      </c>
      <c r="H691" s="10">
        <f>68.6522 * CHOOSE(CONTROL!$C$9, $D$9, 100%, $F$9) + CHOOSE(CONTROL!$C$27, 0.0021, 0)</f>
        <v>68.654299999999992</v>
      </c>
      <c r="I691" s="10">
        <f>68.6522 * CHOOSE(CONTROL!$C$9, $D$9, 100%, $F$9) + CHOOSE(CONTROL!$C$27, 0.0021, 0)</f>
        <v>68.654299999999992</v>
      </c>
      <c r="J691" s="10">
        <f>68.6522 * CHOOSE(CONTROL!$C$9, $D$9, 100%, $F$9) + CHOOSE(CONTROL!$C$27, 0.0021, 0)</f>
        <v>68.654299999999992</v>
      </c>
      <c r="K691" s="10">
        <f>68.6522 * CHOOSE(CONTROL!$C$9, $D$9, 100%, $F$9) + CHOOSE(CONTROL!$C$27, 0.0021, 0)</f>
        <v>68.654299999999992</v>
      </c>
      <c r="L691" s="10"/>
    </row>
    <row r="692" spans="1:12" ht="15.75" x14ac:dyDescent="0.25">
      <c r="A692" s="13">
        <v>62001</v>
      </c>
      <c r="B692" s="10">
        <f>70.4426 * CHOOSE(CONTROL!$C$9, $D$9, 100%, $F$9) + CHOOSE(CONTROL!$C$27, 0.0021, 0)</f>
        <v>70.444699999999997</v>
      </c>
      <c r="C692" s="10">
        <f>70.0104 * CHOOSE(CONTROL!$C$9, $D$9, 100%, $F$9) + CHOOSE(CONTROL!$C$27, 0.0021, 0)</f>
        <v>70.012500000000003</v>
      </c>
      <c r="D692" s="10">
        <f>70.0104 * CHOOSE(CONTROL!$C$9, $D$9, 100%, $F$9) + CHOOSE(CONTROL!$C$27, 0.0021, 0)</f>
        <v>70.012500000000003</v>
      </c>
      <c r="E692" s="10">
        <f>69.8737 * CHOOSE(CONTROL!$C$9, $D$9, 100%, $F$9) + CHOOSE(CONTROL!$C$27, 0.0021, 0)</f>
        <v>69.875799999999998</v>
      </c>
      <c r="F692" s="10">
        <f>69.8737 * CHOOSE(CONTROL!$C$9, $D$9, 100%, $F$9) + CHOOSE(CONTROL!$C$27, 0.0021, 0)</f>
        <v>69.875799999999998</v>
      </c>
      <c r="G692" s="10">
        <f>70.1451 * CHOOSE(CONTROL!$C$9, $D$9, 100%, $F$9) + CHOOSE(CONTROL!$C$27, 0.0021, 0)</f>
        <v>70.147199999999998</v>
      </c>
      <c r="H692" s="10">
        <f>70.0104 * CHOOSE(CONTROL!$C$9, $D$9, 100%, $F$9) + CHOOSE(CONTROL!$C$27, 0.0021, 0)</f>
        <v>70.012500000000003</v>
      </c>
      <c r="I692" s="10">
        <f>70.0104 * CHOOSE(CONTROL!$C$9, $D$9, 100%, $F$9) + CHOOSE(CONTROL!$C$27, 0.0021, 0)</f>
        <v>70.012500000000003</v>
      </c>
      <c r="J692" s="10">
        <f>70.0104 * CHOOSE(CONTROL!$C$9, $D$9, 100%, $F$9) + CHOOSE(CONTROL!$C$27, 0.0021, 0)</f>
        <v>70.012500000000003</v>
      </c>
      <c r="K692" s="10">
        <f>70.0104 * CHOOSE(CONTROL!$C$9, $D$9, 100%, $F$9) + CHOOSE(CONTROL!$C$27, 0.0021, 0)</f>
        <v>70.012500000000003</v>
      </c>
      <c r="L692" s="10"/>
    </row>
    <row r="693" spans="1:12" ht="15.75" x14ac:dyDescent="0.25">
      <c r="A693" s="13">
        <v>62032</v>
      </c>
      <c r="B693" s="10">
        <f>72.1619 * CHOOSE(CONTROL!$C$9, $D$9, 100%, $F$9) + CHOOSE(CONTROL!$C$27, 0.0021, 0)</f>
        <v>72.164000000000001</v>
      </c>
      <c r="C693" s="10">
        <f>71.7296 * CHOOSE(CONTROL!$C$9, $D$9, 100%, $F$9) + CHOOSE(CONTROL!$C$27, 0.0021, 0)</f>
        <v>71.731700000000004</v>
      </c>
      <c r="D693" s="10">
        <f>71.7296 * CHOOSE(CONTROL!$C$9, $D$9, 100%, $F$9) + CHOOSE(CONTROL!$C$27, 0.0021, 0)</f>
        <v>71.731700000000004</v>
      </c>
      <c r="E693" s="10">
        <f>71.593 * CHOOSE(CONTROL!$C$9, $D$9, 100%, $F$9) + CHOOSE(CONTROL!$C$27, 0.0021, 0)</f>
        <v>71.595100000000002</v>
      </c>
      <c r="F693" s="10">
        <f>71.593 * CHOOSE(CONTROL!$C$9, $D$9, 100%, $F$9) + CHOOSE(CONTROL!$C$27, 0.0021, 0)</f>
        <v>71.595100000000002</v>
      </c>
      <c r="G693" s="10">
        <f>71.8644 * CHOOSE(CONTROL!$C$9, $D$9, 100%, $F$9) + CHOOSE(CONTROL!$C$27, 0.0021, 0)</f>
        <v>71.866500000000002</v>
      </c>
      <c r="H693" s="10">
        <f>71.7296 * CHOOSE(CONTROL!$C$9, $D$9, 100%, $F$9) + CHOOSE(CONTROL!$C$27, 0.0021, 0)</f>
        <v>71.731700000000004</v>
      </c>
      <c r="I693" s="10">
        <f>71.7296 * CHOOSE(CONTROL!$C$9, $D$9, 100%, $F$9) + CHOOSE(CONTROL!$C$27, 0.0021, 0)</f>
        <v>71.731700000000004</v>
      </c>
      <c r="J693" s="10">
        <f>71.7296 * CHOOSE(CONTROL!$C$9, $D$9, 100%, $F$9) + CHOOSE(CONTROL!$C$27, 0.0021, 0)</f>
        <v>71.731700000000004</v>
      </c>
      <c r="K693" s="10">
        <f>71.7296 * CHOOSE(CONTROL!$C$9, $D$9, 100%, $F$9) + CHOOSE(CONTROL!$C$27, 0.0021, 0)</f>
        <v>71.731700000000004</v>
      </c>
      <c r="L693" s="10"/>
    </row>
    <row r="694" spans="1:12" ht="15.75" x14ac:dyDescent="0.25">
      <c r="A694" s="13">
        <v>62062</v>
      </c>
      <c r="B694" s="10">
        <f>72.3233 * CHOOSE(CONTROL!$C$9, $D$9, 100%, $F$9) + CHOOSE(CONTROL!$C$27, 0.0021, 0)</f>
        <v>72.325400000000002</v>
      </c>
      <c r="C694" s="10">
        <f>71.891 * CHOOSE(CONTROL!$C$9, $D$9, 100%, $F$9) + CHOOSE(CONTROL!$C$27, 0.0021, 0)</f>
        <v>71.893100000000004</v>
      </c>
      <c r="D694" s="10">
        <f>71.891 * CHOOSE(CONTROL!$C$9, $D$9, 100%, $F$9) + CHOOSE(CONTROL!$C$27, 0.0021, 0)</f>
        <v>71.893100000000004</v>
      </c>
      <c r="E694" s="10">
        <f>71.7544 * CHOOSE(CONTROL!$C$9, $D$9, 100%, $F$9) + CHOOSE(CONTROL!$C$27, 0.0021, 0)</f>
        <v>71.756500000000003</v>
      </c>
      <c r="F694" s="10">
        <f>71.7544 * CHOOSE(CONTROL!$C$9, $D$9, 100%, $F$9) + CHOOSE(CONTROL!$C$27, 0.0021, 0)</f>
        <v>71.756500000000003</v>
      </c>
      <c r="G694" s="10">
        <f>72.0258 * CHOOSE(CONTROL!$C$9, $D$9, 100%, $F$9) + CHOOSE(CONTROL!$C$27, 0.0021, 0)</f>
        <v>72.027900000000002</v>
      </c>
      <c r="H694" s="10">
        <f>71.891 * CHOOSE(CONTROL!$C$9, $D$9, 100%, $F$9) + CHOOSE(CONTROL!$C$27, 0.0021, 0)</f>
        <v>71.893100000000004</v>
      </c>
      <c r="I694" s="10">
        <f>71.891 * CHOOSE(CONTROL!$C$9, $D$9, 100%, $F$9) + CHOOSE(CONTROL!$C$27, 0.0021, 0)</f>
        <v>71.893100000000004</v>
      </c>
      <c r="J694" s="10">
        <f>71.891 * CHOOSE(CONTROL!$C$9, $D$9, 100%, $F$9) + CHOOSE(CONTROL!$C$27, 0.0021, 0)</f>
        <v>71.893100000000004</v>
      </c>
      <c r="K694" s="10">
        <f>71.891 * CHOOSE(CONTROL!$C$9, $D$9, 100%, $F$9) + CHOOSE(CONTROL!$C$27, 0.0021, 0)</f>
        <v>71.893100000000004</v>
      </c>
      <c r="L694" s="10"/>
    </row>
    <row r="695" spans="1:12" ht="15.75" x14ac:dyDescent="0.25">
      <c r="A695" s="13">
        <v>62093</v>
      </c>
      <c r="B695" s="10">
        <f>70.9501 * CHOOSE(CONTROL!$C$9, $D$9, 100%, $F$9) + CHOOSE(CONTROL!$C$27, 0.0021, 0)</f>
        <v>70.952200000000005</v>
      </c>
      <c r="C695" s="10">
        <f>70.5179 * CHOOSE(CONTROL!$C$9, $D$9, 100%, $F$9) + CHOOSE(CONTROL!$C$27, 0.0021, 0)</f>
        <v>70.52</v>
      </c>
      <c r="D695" s="10">
        <f>70.5179 * CHOOSE(CONTROL!$C$9, $D$9, 100%, $F$9) + CHOOSE(CONTROL!$C$27, 0.0021, 0)</f>
        <v>70.52</v>
      </c>
      <c r="E695" s="10">
        <f>70.3812 * CHOOSE(CONTROL!$C$9, $D$9, 100%, $F$9) + CHOOSE(CONTROL!$C$27, 0.0021, 0)</f>
        <v>70.383300000000006</v>
      </c>
      <c r="F695" s="10">
        <f>70.3812 * CHOOSE(CONTROL!$C$9, $D$9, 100%, $F$9) + CHOOSE(CONTROL!$C$27, 0.0021, 0)</f>
        <v>70.383300000000006</v>
      </c>
      <c r="G695" s="10">
        <f>70.6526 * CHOOSE(CONTROL!$C$9, $D$9, 100%, $F$9) + CHOOSE(CONTROL!$C$27, 0.0021, 0)</f>
        <v>70.654700000000005</v>
      </c>
      <c r="H695" s="10">
        <f>70.5179 * CHOOSE(CONTROL!$C$9, $D$9, 100%, $F$9) + CHOOSE(CONTROL!$C$27, 0.0021, 0)</f>
        <v>70.52</v>
      </c>
      <c r="I695" s="10">
        <f>70.5179 * CHOOSE(CONTROL!$C$9, $D$9, 100%, $F$9) + CHOOSE(CONTROL!$C$27, 0.0021, 0)</f>
        <v>70.52</v>
      </c>
      <c r="J695" s="10">
        <f>70.5179 * CHOOSE(CONTROL!$C$9, $D$9, 100%, $F$9) + CHOOSE(CONTROL!$C$27, 0.0021, 0)</f>
        <v>70.52</v>
      </c>
      <c r="K695" s="10">
        <f>70.5179 * CHOOSE(CONTROL!$C$9, $D$9, 100%, $F$9) + CHOOSE(CONTROL!$C$27, 0.0021, 0)</f>
        <v>70.52</v>
      </c>
      <c r="L695" s="10"/>
    </row>
    <row r="696" spans="1:12" ht="15.75" x14ac:dyDescent="0.25">
      <c r="A696" s="13">
        <v>62124</v>
      </c>
      <c r="B696" s="10">
        <f>70.0506 * CHOOSE(CONTROL!$C$9, $D$9, 100%, $F$9) + CHOOSE(CONTROL!$C$27, 0.0021, 0)</f>
        <v>70.052700000000002</v>
      </c>
      <c r="C696" s="10">
        <f>69.6183 * CHOOSE(CONTROL!$C$9, $D$9, 100%, $F$9) + CHOOSE(CONTROL!$C$27, 0.0021, 0)</f>
        <v>69.620400000000004</v>
      </c>
      <c r="D696" s="10">
        <f>69.6183 * CHOOSE(CONTROL!$C$9, $D$9, 100%, $F$9) + CHOOSE(CONTROL!$C$27, 0.0021, 0)</f>
        <v>69.620400000000004</v>
      </c>
      <c r="E696" s="10">
        <f>69.4817 * CHOOSE(CONTROL!$C$9, $D$9, 100%, $F$9) + CHOOSE(CONTROL!$C$27, 0.0021, 0)</f>
        <v>69.483800000000002</v>
      </c>
      <c r="F696" s="10">
        <f>69.4817 * CHOOSE(CONTROL!$C$9, $D$9, 100%, $F$9) + CHOOSE(CONTROL!$C$27, 0.0021, 0)</f>
        <v>69.483800000000002</v>
      </c>
      <c r="G696" s="10">
        <f>69.753 * CHOOSE(CONTROL!$C$9, $D$9, 100%, $F$9) + CHOOSE(CONTROL!$C$27, 0.0021, 0)</f>
        <v>69.755099999999999</v>
      </c>
      <c r="H696" s="10">
        <f>69.6183 * CHOOSE(CONTROL!$C$9, $D$9, 100%, $F$9) + CHOOSE(CONTROL!$C$27, 0.0021, 0)</f>
        <v>69.620400000000004</v>
      </c>
      <c r="I696" s="10">
        <f>69.6183 * CHOOSE(CONTROL!$C$9, $D$9, 100%, $F$9) + CHOOSE(CONTROL!$C$27, 0.0021, 0)</f>
        <v>69.620400000000004</v>
      </c>
      <c r="J696" s="10">
        <f>69.6183 * CHOOSE(CONTROL!$C$9, $D$9, 100%, $F$9) + CHOOSE(CONTROL!$C$27, 0.0021, 0)</f>
        <v>69.620400000000004</v>
      </c>
      <c r="K696" s="10">
        <f>69.6183 * CHOOSE(CONTROL!$C$9, $D$9, 100%, $F$9) + CHOOSE(CONTROL!$C$27, 0.0021, 0)</f>
        <v>69.620400000000004</v>
      </c>
      <c r="L696" s="10"/>
    </row>
    <row r="697" spans="1:12" ht="15.75" x14ac:dyDescent="0.25">
      <c r="A697" s="13">
        <v>62152</v>
      </c>
      <c r="B697" s="10">
        <f>68.134 * CHOOSE(CONTROL!$C$9, $D$9, 100%, $F$9) + CHOOSE(CONTROL!$C$27, 0.0021, 0)</f>
        <v>68.136099999999999</v>
      </c>
      <c r="C697" s="10">
        <f>67.7018 * CHOOSE(CONTROL!$C$9, $D$9, 100%, $F$9) + CHOOSE(CONTROL!$C$27, 0.0021, 0)</f>
        <v>67.703900000000004</v>
      </c>
      <c r="D697" s="10">
        <f>67.7018 * CHOOSE(CONTROL!$C$9, $D$9, 100%, $F$9) + CHOOSE(CONTROL!$C$27, 0.0021, 0)</f>
        <v>67.703900000000004</v>
      </c>
      <c r="E697" s="10">
        <f>67.5651 * CHOOSE(CONTROL!$C$9, $D$9, 100%, $F$9) + CHOOSE(CONTROL!$C$27, 0.0021, 0)</f>
        <v>67.5672</v>
      </c>
      <c r="F697" s="10">
        <f>67.5651 * CHOOSE(CONTROL!$C$9, $D$9, 100%, $F$9) + CHOOSE(CONTROL!$C$27, 0.0021, 0)</f>
        <v>67.5672</v>
      </c>
      <c r="G697" s="10">
        <f>67.8365 * CHOOSE(CONTROL!$C$9, $D$9, 100%, $F$9) + CHOOSE(CONTROL!$C$27, 0.0021, 0)</f>
        <v>67.8386</v>
      </c>
      <c r="H697" s="10">
        <f>67.7018 * CHOOSE(CONTROL!$C$9, $D$9, 100%, $F$9) + CHOOSE(CONTROL!$C$27, 0.0021, 0)</f>
        <v>67.703900000000004</v>
      </c>
      <c r="I697" s="10">
        <f>67.7018 * CHOOSE(CONTROL!$C$9, $D$9, 100%, $F$9) + CHOOSE(CONTROL!$C$27, 0.0021, 0)</f>
        <v>67.703900000000004</v>
      </c>
      <c r="J697" s="10">
        <f>67.7018 * CHOOSE(CONTROL!$C$9, $D$9, 100%, $F$9) + CHOOSE(CONTROL!$C$27, 0.0021, 0)</f>
        <v>67.703900000000004</v>
      </c>
      <c r="K697" s="10">
        <f>67.7018 * CHOOSE(CONTROL!$C$9, $D$9, 100%, $F$9) + CHOOSE(CONTROL!$C$27, 0.0021, 0)</f>
        <v>67.703900000000004</v>
      </c>
      <c r="L697" s="10"/>
    </row>
    <row r="698" spans="1:12" ht="15.75" x14ac:dyDescent="0.25">
      <c r="A698" s="13">
        <v>62183</v>
      </c>
      <c r="B698" s="10">
        <f>67.3428 * CHOOSE(CONTROL!$C$9, $D$9, 100%, $F$9) + CHOOSE(CONTROL!$C$27, 0.0021, 0)</f>
        <v>67.344899999999996</v>
      </c>
      <c r="C698" s="10">
        <f>66.9106 * CHOOSE(CONTROL!$C$9, $D$9, 100%, $F$9) + CHOOSE(CONTROL!$C$27, 0.0021, 0)</f>
        <v>66.912700000000001</v>
      </c>
      <c r="D698" s="10">
        <f>66.9106 * CHOOSE(CONTROL!$C$9, $D$9, 100%, $F$9) + CHOOSE(CONTROL!$C$27, 0.0021, 0)</f>
        <v>66.912700000000001</v>
      </c>
      <c r="E698" s="10">
        <f>66.7739 * CHOOSE(CONTROL!$C$9, $D$9, 100%, $F$9) + CHOOSE(CONTROL!$C$27, 0.0021, 0)</f>
        <v>66.775999999999996</v>
      </c>
      <c r="F698" s="10">
        <f>66.7739 * CHOOSE(CONTROL!$C$9, $D$9, 100%, $F$9) + CHOOSE(CONTROL!$C$27, 0.0021, 0)</f>
        <v>66.775999999999996</v>
      </c>
      <c r="G698" s="10">
        <f>67.0453 * CHOOSE(CONTROL!$C$9, $D$9, 100%, $F$9) + CHOOSE(CONTROL!$C$27, 0.0021, 0)</f>
        <v>67.047399999999996</v>
      </c>
      <c r="H698" s="10">
        <f>66.9106 * CHOOSE(CONTROL!$C$9, $D$9, 100%, $F$9) + CHOOSE(CONTROL!$C$27, 0.0021, 0)</f>
        <v>66.912700000000001</v>
      </c>
      <c r="I698" s="10">
        <f>66.9106 * CHOOSE(CONTROL!$C$9, $D$9, 100%, $F$9) + CHOOSE(CONTROL!$C$27, 0.0021, 0)</f>
        <v>66.912700000000001</v>
      </c>
      <c r="J698" s="10">
        <f>66.9106 * CHOOSE(CONTROL!$C$9, $D$9, 100%, $F$9) + CHOOSE(CONTROL!$C$27, 0.0021, 0)</f>
        <v>66.912700000000001</v>
      </c>
      <c r="K698" s="10">
        <f>66.9106 * CHOOSE(CONTROL!$C$9, $D$9, 100%, $F$9) + CHOOSE(CONTROL!$C$27, 0.0021, 0)</f>
        <v>66.912700000000001</v>
      </c>
      <c r="L698" s="10"/>
    </row>
    <row r="699" spans="1:12" ht="15.75" x14ac:dyDescent="0.25">
      <c r="A699" s="13">
        <v>62213</v>
      </c>
      <c r="B699" s="10">
        <f>66.3982 * CHOOSE(CONTROL!$C$9, $D$9, 100%, $F$9) + CHOOSE(CONTROL!$C$27, 0.0021, 0)</f>
        <v>66.400300000000001</v>
      </c>
      <c r="C699" s="10">
        <f>65.9659 * CHOOSE(CONTROL!$C$9, $D$9, 100%, $F$9) + CHOOSE(CONTROL!$C$27, 0.0021, 0)</f>
        <v>65.968000000000004</v>
      </c>
      <c r="D699" s="10">
        <f>65.9659 * CHOOSE(CONTROL!$C$9, $D$9, 100%, $F$9) + CHOOSE(CONTROL!$C$27, 0.0021, 0)</f>
        <v>65.968000000000004</v>
      </c>
      <c r="E699" s="10">
        <f>65.8293 * CHOOSE(CONTROL!$C$9, $D$9, 100%, $F$9) + CHOOSE(CONTROL!$C$27, 0.0021, 0)</f>
        <v>65.831400000000002</v>
      </c>
      <c r="F699" s="10">
        <f>65.8293 * CHOOSE(CONTROL!$C$9, $D$9, 100%, $F$9) + CHOOSE(CONTROL!$C$27, 0.0021, 0)</f>
        <v>65.831400000000002</v>
      </c>
      <c r="G699" s="10">
        <f>66.1007 * CHOOSE(CONTROL!$C$9, $D$9, 100%, $F$9) + CHOOSE(CONTROL!$C$27, 0.0021, 0)</f>
        <v>66.102800000000002</v>
      </c>
      <c r="H699" s="10">
        <f>65.9659 * CHOOSE(CONTROL!$C$9, $D$9, 100%, $F$9) + CHOOSE(CONTROL!$C$27, 0.0021, 0)</f>
        <v>65.968000000000004</v>
      </c>
      <c r="I699" s="10">
        <f>65.9659 * CHOOSE(CONTROL!$C$9, $D$9, 100%, $F$9) + CHOOSE(CONTROL!$C$27, 0.0021, 0)</f>
        <v>65.968000000000004</v>
      </c>
      <c r="J699" s="10">
        <f>65.9659 * CHOOSE(CONTROL!$C$9, $D$9, 100%, $F$9) + CHOOSE(CONTROL!$C$27, 0.0021, 0)</f>
        <v>65.968000000000004</v>
      </c>
      <c r="K699" s="10">
        <f>65.9659 * CHOOSE(CONTROL!$C$9, $D$9, 100%, $F$9) + CHOOSE(CONTROL!$C$27, 0.0021, 0)</f>
        <v>65.968000000000004</v>
      </c>
      <c r="L699" s="10"/>
    </row>
    <row r="700" spans="1:12" ht="15.75" x14ac:dyDescent="0.25">
      <c r="A700" s="13">
        <v>62244</v>
      </c>
      <c r="B700" s="10">
        <f>67.7444 * CHOOSE(CONTROL!$C$9, $D$9, 100%, $F$9) + CHOOSE(CONTROL!$C$27, 0.0021, 0)</f>
        <v>67.746499999999997</v>
      </c>
      <c r="C700" s="10">
        <f>67.3122 * CHOOSE(CONTROL!$C$9, $D$9, 100%, $F$9) + CHOOSE(CONTROL!$C$27, 0.0021, 0)</f>
        <v>67.314300000000003</v>
      </c>
      <c r="D700" s="10">
        <f>67.3122 * CHOOSE(CONTROL!$C$9, $D$9, 100%, $F$9) + CHOOSE(CONTROL!$C$27, 0.0021, 0)</f>
        <v>67.314300000000003</v>
      </c>
      <c r="E700" s="10">
        <f>67.1755 * CHOOSE(CONTROL!$C$9, $D$9, 100%, $F$9) + CHOOSE(CONTROL!$C$27, 0.0021, 0)</f>
        <v>67.177599999999998</v>
      </c>
      <c r="F700" s="10">
        <f>67.1755 * CHOOSE(CONTROL!$C$9, $D$9, 100%, $F$9) + CHOOSE(CONTROL!$C$27, 0.0021, 0)</f>
        <v>67.177599999999998</v>
      </c>
      <c r="G700" s="10">
        <f>67.4469 * CHOOSE(CONTROL!$C$9, $D$9, 100%, $F$9) + CHOOSE(CONTROL!$C$27, 0.0021, 0)</f>
        <v>67.448999999999998</v>
      </c>
      <c r="H700" s="10">
        <f>67.3122 * CHOOSE(CONTROL!$C$9, $D$9, 100%, $F$9) + CHOOSE(CONTROL!$C$27, 0.0021, 0)</f>
        <v>67.314300000000003</v>
      </c>
      <c r="I700" s="10">
        <f>67.3122 * CHOOSE(CONTROL!$C$9, $D$9, 100%, $F$9) + CHOOSE(CONTROL!$C$27, 0.0021, 0)</f>
        <v>67.314300000000003</v>
      </c>
      <c r="J700" s="10">
        <f>67.3122 * CHOOSE(CONTROL!$C$9, $D$9, 100%, $F$9) + CHOOSE(CONTROL!$C$27, 0.0021, 0)</f>
        <v>67.314300000000003</v>
      </c>
      <c r="K700" s="10">
        <f>67.3122 * CHOOSE(CONTROL!$C$9, $D$9, 100%, $F$9) + CHOOSE(CONTROL!$C$27, 0.0021, 0)</f>
        <v>67.314300000000003</v>
      </c>
      <c r="L700" s="10"/>
    </row>
    <row r="701" spans="1:12" ht="15.75" x14ac:dyDescent="0.25">
      <c r="A701" s="13">
        <v>62274</v>
      </c>
      <c r="B701" s="10">
        <f>68.5508 * CHOOSE(CONTROL!$C$9, $D$9, 100%, $F$9) + CHOOSE(CONTROL!$C$27, 0.0021, 0)</f>
        <v>68.552899999999994</v>
      </c>
      <c r="C701" s="10">
        <f>68.1185 * CHOOSE(CONTROL!$C$9, $D$9, 100%, $F$9) + CHOOSE(CONTROL!$C$27, 0.0021, 0)</f>
        <v>68.120599999999996</v>
      </c>
      <c r="D701" s="10">
        <f>68.1185 * CHOOSE(CONTROL!$C$9, $D$9, 100%, $F$9) + CHOOSE(CONTROL!$C$27, 0.0021, 0)</f>
        <v>68.120599999999996</v>
      </c>
      <c r="E701" s="10">
        <f>67.9819 * CHOOSE(CONTROL!$C$9, $D$9, 100%, $F$9) + CHOOSE(CONTROL!$C$27, 0.0021, 0)</f>
        <v>67.983999999999995</v>
      </c>
      <c r="F701" s="10">
        <f>67.9819 * CHOOSE(CONTROL!$C$9, $D$9, 100%, $F$9) + CHOOSE(CONTROL!$C$27, 0.0021, 0)</f>
        <v>67.983999999999995</v>
      </c>
      <c r="G701" s="10">
        <f>68.2533 * CHOOSE(CONTROL!$C$9, $D$9, 100%, $F$9) + CHOOSE(CONTROL!$C$27, 0.0021, 0)</f>
        <v>68.255399999999995</v>
      </c>
      <c r="H701" s="10">
        <f>68.1185 * CHOOSE(CONTROL!$C$9, $D$9, 100%, $F$9) + CHOOSE(CONTROL!$C$27, 0.0021, 0)</f>
        <v>68.120599999999996</v>
      </c>
      <c r="I701" s="10">
        <f>68.1185 * CHOOSE(CONTROL!$C$9, $D$9, 100%, $F$9) + CHOOSE(CONTROL!$C$27, 0.0021, 0)</f>
        <v>68.120599999999996</v>
      </c>
      <c r="J701" s="10">
        <f>68.1185 * CHOOSE(CONTROL!$C$9, $D$9, 100%, $F$9) + CHOOSE(CONTROL!$C$27, 0.0021, 0)</f>
        <v>68.120599999999996</v>
      </c>
      <c r="K701" s="10">
        <f>68.1185 * CHOOSE(CONTROL!$C$9, $D$9, 100%, $F$9) + CHOOSE(CONTROL!$C$27, 0.0021, 0)</f>
        <v>68.120599999999996</v>
      </c>
      <c r="L701" s="10"/>
    </row>
    <row r="702" spans="1:12" ht="15.75" x14ac:dyDescent="0.25">
      <c r="A702" s="13">
        <v>62305</v>
      </c>
      <c r="B702" s="10">
        <f>69.881 * CHOOSE(CONTROL!$C$9, $D$9, 100%, $F$9) + CHOOSE(CONTROL!$C$27, 0.0021, 0)</f>
        <v>69.883099999999999</v>
      </c>
      <c r="C702" s="10">
        <f>69.4487 * CHOOSE(CONTROL!$C$9, $D$9, 100%, $F$9) + CHOOSE(CONTROL!$C$27, 0.0021, 0)</f>
        <v>69.450800000000001</v>
      </c>
      <c r="D702" s="10">
        <f>69.4487 * CHOOSE(CONTROL!$C$9, $D$9, 100%, $F$9) + CHOOSE(CONTROL!$C$27, 0.0021, 0)</f>
        <v>69.450800000000001</v>
      </c>
      <c r="E702" s="10">
        <f>69.3121 * CHOOSE(CONTROL!$C$9, $D$9, 100%, $F$9) + CHOOSE(CONTROL!$C$27, 0.0021, 0)</f>
        <v>69.3142</v>
      </c>
      <c r="F702" s="10">
        <f>69.3121 * CHOOSE(CONTROL!$C$9, $D$9, 100%, $F$9) + CHOOSE(CONTROL!$C$27, 0.0021, 0)</f>
        <v>69.3142</v>
      </c>
      <c r="G702" s="10">
        <f>69.5834 * CHOOSE(CONTROL!$C$9, $D$9, 100%, $F$9) + CHOOSE(CONTROL!$C$27, 0.0021, 0)</f>
        <v>69.585499999999996</v>
      </c>
      <c r="H702" s="10">
        <f>69.4487 * CHOOSE(CONTROL!$C$9, $D$9, 100%, $F$9) + CHOOSE(CONTROL!$C$27, 0.0021, 0)</f>
        <v>69.450800000000001</v>
      </c>
      <c r="I702" s="10">
        <f>69.4487 * CHOOSE(CONTROL!$C$9, $D$9, 100%, $F$9) + CHOOSE(CONTROL!$C$27, 0.0021, 0)</f>
        <v>69.450800000000001</v>
      </c>
      <c r="J702" s="10">
        <f>69.4487 * CHOOSE(CONTROL!$C$9, $D$9, 100%, $F$9) + CHOOSE(CONTROL!$C$27, 0.0021, 0)</f>
        <v>69.450800000000001</v>
      </c>
      <c r="K702" s="10">
        <f>69.4487 * CHOOSE(CONTROL!$C$9, $D$9, 100%, $F$9) + CHOOSE(CONTROL!$C$27, 0.0021, 0)</f>
        <v>69.450800000000001</v>
      </c>
      <c r="L702" s="10"/>
    </row>
    <row r="703" spans="1:12" ht="15.75" x14ac:dyDescent="0.25">
      <c r="A703" s="13">
        <v>62336</v>
      </c>
      <c r="B703" s="10">
        <f>70.287 * CHOOSE(CONTROL!$C$9, $D$9, 100%, $F$9) + CHOOSE(CONTROL!$C$27, 0.0021, 0)</f>
        <v>70.289100000000005</v>
      </c>
      <c r="C703" s="10">
        <f>69.8547 * CHOOSE(CONTROL!$C$9, $D$9, 100%, $F$9) + CHOOSE(CONTROL!$C$27, 0.0021, 0)</f>
        <v>69.856799999999993</v>
      </c>
      <c r="D703" s="10">
        <f>69.8547 * CHOOSE(CONTROL!$C$9, $D$9, 100%, $F$9) + CHOOSE(CONTROL!$C$27, 0.0021, 0)</f>
        <v>69.856799999999993</v>
      </c>
      <c r="E703" s="10">
        <f>69.7181 * CHOOSE(CONTROL!$C$9, $D$9, 100%, $F$9) + CHOOSE(CONTROL!$C$27, 0.0021, 0)</f>
        <v>69.720200000000006</v>
      </c>
      <c r="F703" s="10">
        <f>69.7181 * CHOOSE(CONTROL!$C$9, $D$9, 100%, $F$9) + CHOOSE(CONTROL!$C$27, 0.0021, 0)</f>
        <v>69.720200000000006</v>
      </c>
      <c r="G703" s="10">
        <f>69.9895 * CHOOSE(CONTROL!$C$9, $D$9, 100%, $F$9) + CHOOSE(CONTROL!$C$27, 0.0021, 0)</f>
        <v>69.991600000000005</v>
      </c>
      <c r="H703" s="10">
        <f>69.8547 * CHOOSE(CONTROL!$C$9, $D$9, 100%, $F$9) + CHOOSE(CONTROL!$C$27, 0.0021, 0)</f>
        <v>69.856799999999993</v>
      </c>
      <c r="I703" s="10">
        <f>69.8547 * CHOOSE(CONTROL!$C$9, $D$9, 100%, $F$9) + CHOOSE(CONTROL!$C$27, 0.0021, 0)</f>
        <v>69.856799999999993</v>
      </c>
      <c r="J703" s="10">
        <f>69.8547 * CHOOSE(CONTROL!$C$9, $D$9, 100%, $F$9) + CHOOSE(CONTROL!$C$27, 0.0021, 0)</f>
        <v>69.856799999999993</v>
      </c>
      <c r="K703" s="10">
        <f>69.8547 * CHOOSE(CONTROL!$C$9, $D$9, 100%, $F$9) + CHOOSE(CONTROL!$C$27, 0.0021, 0)</f>
        <v>69.856799999999993</v>
      </c>
      <c r="L703" s="10"/>
    </row>
    <row r="704" spans="1:12" ht="15.75" x14ac:dyDescent="0.25">
      <c r="A704" s="13">
        <v>62366</v>
      </c>
      <c r="B704" s="10">
        <f>71.6697 * CHOOSE(CONTROL!$C$9, $D$9, 100%, $F$9) + CHOOSE(CONTROL!$C$27, 0.0021, 0)</f>
        <v>71.671800000000005</v>
      </c>
      <c r="C704" s="10">
        <f>71.2374 * CHOOSE(CONTROL!$C$9, $D$9, 100%, $F$9) + CHOOSE(CONTROL!$C$27, 0.0021, 0)</f>
        <v>71.239499999999992</v>
      </c>
      <c r="D704" s="10">
        <f>71.2374 * CHOOSE(CONTROL!$C$9, $D$9, 100%, $F$9) + CHOOSE(CONTROL!$C$27, 0.0021, 0)</f>
        <v>71.239499999999992</v>
      </c>
      <c r="E704" s="10">
        <f>71.1007 * CHOOSE(CONTROL!$C$9, $D$9, 100%, $F$9) + CHOOSE(CONTROL!$C$27, 0.0021, 0)</f>
        <v>71.102800000000002</v>
      </c>
      <c r="F704" s="10">
        <f>71.1007 * CHOOSE(CONTROL!$C$9, $D$9, 100%, $F$9) + CHOOSE(CONTROL!$C$27, 0.0021, 0)</f>
        <v>71.102800000000002</v>
      </c>
      <c r="G704" s="10">
        <f>71.3721 * CHOOSE(CONTROL!$C$9, $D$9, 100%, $F$9) + CHOOSE(CONTROL!$C$27, 0.0021, 0)</f>
        <v>71.374200000000002</v>
      </c>
      <c r="H704" s="10">
        <f>71.2374 * CHOOSE(CONTROL!$C$9, $D$9, 100%, $F$9) + CHOOSE(CONTROL!$C$27, 0.0021, 0)</f>
        <v>71.239499999999992</v>
      </c>
      <c r="I704" s="10">
        <f>71.2374 * CHOOSE(CONTROL!$C$9, $D$9, 100%, $F$9) + CHOOSE(CONTROL!$C$27, 0.0021, 0)</f>
        <v>71.239499999999992</v>
      </c>
      <c r="J704" s="10">
        <f>71.2374 * CHOOSE(CONTROL!$C$9, $D$9, 100%, $F$9) + CHOOSE(CONTROL!$C$27, 0.0021, 0)</f>
        <v>71.239499999999992</v>
      </c>
      <c r="K704" s="10">
        <f>71.2374 * CHOOSE(CONTROL!$C$9, $D$9, 100%, $F$9) + CHOOSE(CONTROL!$C$27, 0.0021, 0)</f>
        <v>71.239499999999992</v>
      </c>
      <c r="L704" s="10"/>
    </row>
    <row r="705" spans="1:12" ht="15.75" x14ac:dyDescent="0.25">
      <c r="A705" s="13">
        <v>62397</v>
      </c>
      <c r="B705" s="10">
        <f>73.4199 * CHOOSE(CONTROL!$C$9, $D$9, 100%, $F$9) + CHOOSE(CONTROL!$C$27, 0.0021, 0)</f>
        <v>73.421999999999997</v>
      </c>
      <c r="C705" s="10">
        <f>72.9876 * CHOOSE(CONTROL!$C$9, $D$9, 100%, $F$9) + CHOOSE(CONTROL!$C$27, 0.0021, 0)</f>
        <v>72.989699999999999</v>
      </c>
      <c r="D705" s="10">
        <f>72.9876 * CHOOSE(CONTROL!$C$9, $D$9, 100%, $F$9) + CHOOSE(CONTROL!$C$27, 0.0021, 0)</f>
        <v>72.989699999999999</v>
      </c>
      <c r="E705" s="10">
        <f>72.851 * CHOOSE(CONTROL!$C$9, $D$9, 100%, $F$9) + CHOOSE(CONTROL!$C$27, 0.0021, 0)</f>
        <v>72.853099999999998</v>
      </c>
      <c r="F705" s="10">
        <f>72.851 * CHOOSE(CONTROL!$C$9, $D$9, 100%, $F$9) + CHOOSE(CONTROL!$C$27, 0.0021, 0)</f>
        <v>72.853099999999998</v>
      </c>
      <c r="G705" s="10">
        <f>73.1223 * CHOOSE(CONTROL!$C$9, $D$9, 100%, $F$9) + CHOOSE(CONTROL!$C$27, 0.0021, 0)</f>
        <v>73.124399999999994</v>
      </c>
      <c r="H705" s="10">
        <f>72.9876 * CHOOSE(CONTROL!$C$9, $D$9, 100%, $F$9) + CHOOSE(CONTROL!$C$27, 0.0021, 0)</f>
        <v>72.989699999999999</v>
      </c>
      <c r="I705" s="10">
        <f>72.9876 * CHOOSE(CONTROL!$C$9, $D$9, 100%, $F$9) + CHOOSE(CONTROL!$C$27, 0.0021, 0)</f>
        <v>72.989699999999999</v>
      </c>
      <c r="J705" s="10">
        <f>72.9876 * CHOOSE(CONTROL!$C$9, $D$9, 100%, $F$9) + CHOOSE(CONTROL!$C$27, 0.0021, 0)</f>
        <v>72.989699999999999</v>
      </c>
      <c r="K705" s="10">
        <f>72.9876 * CHOOSE(CONTROL!$C$9, $D$9, 100%, $F$9) + CHOOSE(CONTROL!$C$27, 0.0021, 0)</f>
        <v>72.989699999999999</v>
      </c>
      <c r="L705" s="10"/>
    </row>
    <row r="706" spans="1:12" ht="15.75" x14ac:dyDescent="0.25">
      <c r="A706" s="13">
        <v>62427</v>
      </c>
      <c r="B706" s="10">
        <f>73.5842 * CHOOSE(CONTROL!$C$9, $D$9, 100%, $F$9) + CHOOSE(CONTROL!$C$27, 0.0021, 0)</f>
        <v>73.586299999999994</v>
      </c>
      <c r="C706" s="10">
        <f>73.1519 * CHOOSE(CONTROL!$C$9, $D$9, 100%, $F$9) + CHOOSE(CONTROL!$C$27, 0.0021, 0)</f>
        <v>73.153999999999996</v>
      </c>
      <c r="D706" s="10">
        <f>73.1519 * CHOOSE(CONTROL!$C$9, $D$9, 100%, $F$9) + CHOOSE(CONTROL!$C$27, 0.0021, 0)</f>
        <v>73.153999999999996</v>
      </c>
      <c r="E706" s="10">
        <f>73.0153 * CHOOSE(CONTROL!$C$9, $D$9, 100%, $F$9) + CHOOSE(CONTROL!$C$27, 0.0021, 0)</f>
        <v>73.017399999999995</v>
      </c>
      <c r="F706" s="10">
        <f>73.0153 * CHOOSE(CONTROL!$C$9, $D$9, 100%, $F$9) + CHOOSE(CONTROL!$C$27, 0.0021, 0)</f>
        <v>73.017399999999995</v>
      </c>
      <c r="G706" s="10">
        <f>73.2867 * CHOOSE(CONTROL!$C$9, $D$9, 100%, $F$9) + CHOOSE(CONTROL!$C$27, 0.0021, 0)</f>
        <v>73.288799999999995</v>
      </c>
      <c r="H706" s="10">
        <f>73.1519 * CHOOSE(CONTROL!$C$9, $D$9, 100%, $F$9) + CHOOSE(CONTROL!$C$27, 0.0021, 0)</f>
        <v>73.153999999999996</v>
      </c>
      <c r="I706" s="10">
        <f>73.1519 * CHOOSE(CONTROL!$C$9, $D$9, 100%, $F$9) + CHOOSE(CONTROL!$C$27, 0.0021, 0)</f>
        <v>73.153999999999996</v>
      </c>
      <c r="J706" s="10">
        <f>73.1519 * CHOOSE(CONTROL!$C$9, $D$9, 100%, $F$9) + CHOOSE(CONTROL!$C$27, 0.0021, 0)</f>
        <v>73.153999999999996</v>
      </c>
      <c r="K706" s="10">
        <f>73.1519 * CHOOSE(CONTROL!$C$9, $D$9, 100%, $F$9) + CHOOSE(CONTROL!$C$27, 0.0021, 0)</f>
        <v>73.153999999999996</v>
      </c>
      <c r="L706" s="10"/>
    </row>
    <row r="707" spans="1:12" ht="15.75" x14ac:dyDescent="0.25">
      <c r="A707" s="13">
        <v>62458</v>
      </c>
      <c r="B707" s="10">
        <f>72.1863 * CHOOSE(CONTROL!$C$9, $D$9, 100%, $F$9) + CHOOSE(CONTROL!$C$27, 0.0021, 0)</f>
        <v>72.188400000000001</v>
      </c>
      <c r="C707" s="10">
        <f>71.7541 * CHOOSE(CONTROL!$C$9, $D$9, 100%, $F$9) + CHOOSE(CONTROL!$C$27, 0.0021, 0)</f>
        <v>71.756199999999993</v>
      </c>
      <c r="D707" s="10">
        <f>71.7541 * CHOOSE(CONTROL!$C$9, $D$9, 100%, $F$9) + CHOOSE(CONTROL!$C$27, 0.0021, 0)</f>
        <v>71.756199999999993</v>
      </c>
      <c r="E707" s="10">
        <f>71.6174 * CHOOSE(CONTROL!$C$9, $D$9, 100%, $F$9) + CHOOSE(CONTROL!$C$27, 0.0021, 0)</f>
        <v>71.619500000000002</v>
      </c>
      <c r="F707" s="10">
        <f>71.6174 * CHOOSE(CONTROL!$C$9, $D$9, 100%, $F$9) + CHOOSE(CONTROL!$C$27, 0.0021, 0)</f>
        <v>71.619500000000002</v>
      </c>
      <c r="G707" s="10">
        <f>71.8888 * CHOOSE(CONTROL!$C$9, $D$9, 100%, $F$9) + CHOOSE(CONTROL!$C$27, 0.0021, 0)</f>
        <v>71.890900000000002</v>
      </c>
      <c r="H707" s="10">
        <f>71.7541 * CHOOSE(CONTROL!$C$9, $D$9, 100%, $F$9) + CHOOSE(CONTROL!$C$27, 0.0021, 0)</f>
        <v>71.756199999999993</v>
      </c>
      <c r="I707" s="10">
        <f>71.7541 * CHOOSE(CONTROL!$C$9, $D$9, 100%, $F$9) + CHOOSE(CONTROL!$C$27, 0.0021, 0)</f>
        <v>71.756199999999993</v>
      </c>
      <c r="J707" s="10">
        <f>71.7541 * CHOOSE(CONTROL!$C$9, $D$9, 100%, $F$9) + CHOOSE(CONTROL!$C$27, 0.0021, 0)</f>
        <v>71.756199999999993</v>
      </c>
      <c r="K707" s="10">
        <f>71.7541 * CHOOSE(CONTROL!$C$9, $D$9, 100%, $F$9) + CHOOSE(CONTROL!$C$27, 0.0021, 0)</f>
        <v>71.756199999999993</v>
      </c>
      <c r="L707" s="10"/>
    </row>
    <row r="708" spans="1:12" ht="15.75" x14ac:dyDescent="0.25">
      <c r="A708" s="13">
        <v>62489</v>
      </c>
      <c r="B708" s="10">
        <f>71.2705 * CHOOSE(CONTROL!$C$9, $D$9, 100%, $F$9) + CHOOSE(CONTROL!$C$27, 0.0021, 0)</f>
        <v>71.272599999999997</v>
      </c>
      <c r="C708" s="10">
        <f>70.8383 * CHOOSE(CONTROL!$C$9, $D$9, 100%, $F$9) + CHOOSE(CONTROL!$C$27, 0.0021, 0)</f>
        <v>70.840400000000002</v>
      </c>
      <c r="D708" s="10">
        <f>70.8383 * CHOOSE(CONTROL!$C$9, $D$9, 100%, $F$9) + CHOOSE(CONTROL!$C$27, 0.0021, 0)</f>
        <v>70.840400000000002</v>
      </c>
      <c r="E708" s="10">
        <f>70.7016 * CHOOSE(CONTROL!$C$9, $D$9, 100%, $F$9) + CHOOSE(CONTROL!$C$27, 0.0021, 0)</f>
        <v>70.703699999999998</v>
      </c>
      <c r="F708" s="10">
        <f>70.7016 * CHOOSE(CONTROL!$C$9, $D$9, 100%, $F$9) + CHOOSE(CONTROL!$C$27, 0.0021, 0)</f>
        <v>70.703699999999998</v>
      </c>
      <c r="G708" s="10">
        <f>70.973 * CHOOSE(CONTROL!$C$9, $D$9, 100%, $F$9) + CHOOSE(CONTROL!$C$27, 0.0021, 0)</f>
        <v>70.975099999999998</v>
      </c>
      <c r="H708" s="10">
        <f>70.8383 * CHOOSE(CONTROL!$C$9, $D$9, 100%, $F$9) + CHOOSE(CONTROL!$C$27, 0.0021, 0)</f>
        <v>70.840400000000002</v>
      </c>
      <c r="I708" s="10">
        <f>70.8383 * CHOOSE(CONTROL!$C$9, $D$9, 100%, $F$9) + CHOOSE(CONTROL!$C$27, 0.0021, 0)</f>
        <v>70.840400000000002</v>
      </c>
      <c r="J708" s="10">
        <f>70.8383 * CHOOSE(CONTROL!$C$9, $D$9, 100%, $F$9) + CHOOSE(CONTROL!$C$27, 0.0021, 0)</f>
        <v>70.840400000000002</v>
      </c>
      <c r="K708" s="10">
        <f>70.8383 * CHOOSE(CONTROL!$C$9, $D$9, 100%, $F$9) + CHOOSE(CONTROL!$C$27, 0.0021, 0)</f>
        <v>70.840400000000002</v>
      </c>
      <c r="L708" s="10"/>
    </row>
    <row r="709" spans="1:12" ht="15.75" x14ac:dyDescent="0.25">
      <c r="A709" s="13">
        <v>62517</v>
      </c>
      <c r="B709" s="10">
        <f>69.3195 * CHOOSE(CONTROL!$C$9, $D$9, 100%, $F$9) + CHOOSE(CONTROL!$C$27, 0.0021, 0)</f>
        <v>69.321600000000004</v>
      </c>
      <c r="C709" s="10">
        <f>68.8872 * CHOOSE(CONTROL!$C$9, $D$9, 100%, $F$9) + CHOOSE(CONTROL!$C$27, 0.0021, 0)</f>
        <v>68.889300000000006</v>
      </c>
      <c r="D709" s="10">
        <f>68.8872 * CHOOSE(CONTROL!$C$9, $D$9, 100%, $F$9) + CHOOSE(CONTROL!$C$27, 0.0021, 0)</f>
        <v>68.889300000000006</v>
      </c>
      <c r="E709" s="10">
        <f>68.7506 * CHOOSE(CONTROL!$C$9, $D$9, 100%, $F$9) + CHOOSE(CONTROL!$C$27, 0.0021, 0)</f>
        <v>68.752700000000004</v>
      </c>
      <c r="F709" s="10">
        <f>68.7506 * CHOOSE(CONTROL!$C$9, $D$9, 100%, $F$9) + CHOOSE(CONTROL!$C$27, 0.0021, 0)</f>
        <v>68.752700000000004</v>
      </c>
      <c r="G709" s="10">
        <f>69.0219 * CHOOSE(CONTROL!$C$9, $D$9, 100%, $F$9) + CHOOSE(CONTROL!$C$27, 0.0021, 0)</f>
        <v>69.024000000000001</v>
      </c>
      <c r="H709" s="10">
        <f>68.8872 * CHOOSE(CONTROL!$C$9, $D$9, 100%, $F$9) + CHOOSE(CONTROL!$C$27, 0.0021, 0)</f>
        <v>68.889300000000006</v>
      </c>
      <c r="I709" s="10">
        <f>68.8872 * CHOOSE(CONTROL!$C$9, $D$9, 100%, $F$9) + CHOOSE(CONTROL!$C$27, 0.0021, 0)</f>
        <v>68.889300000000006</v>
      </c>
      <c r="J709" s="10">
        <f>68.8872 * CHOOSE(CONTROL!$C$9, $D$9, 100%, $F$9) + CHOOSE(CONTROL!$C$27, 0.0021, 0)</f>
        <v>68.889300000000006</v>
      </c>
      <c r="K709" s="10">
        <f>68.8872 * CHOOSE(CONTROL!$C$9, $D$9, 100%, $F$9) + CHOOSE(CONTROL!$C$27, 0.0021, 0)</f>
        <v>68.889300000000006</v>
      </c>
      <c r="L709" s="10"/>
    </row>
    <row r="710" spans="1:12" ht="15.75" x14ac:dyDescent="0.25">
      <c r="A710" s="13">
        <v>62548</v>
      </c>
      <c r="B710" s="10">
        <f>68.5141 * CHOOSE(CONTROL!$C$9, $D$9, 100%, $F$9) + CHOOSE(CONTROL!$C$27, 0.0021, 0)</f>
        <v>68.516199999999998</v>
      </c>
      <c r="C710" s="10">
        <f>68.0818 * CHOOSE(CONTROL!$C$9, $D$9, 100%, $F$9) + CHOOSE(CONTROL!$C$27, 0.0021, 0)</f>
        <v>68.0839</v>
      </c>
      <c r="D710" s="10">
        <f>68.0818 * CHOOSE(CONTROL!$C$9, $D$9, 100%, $F$9) + CHOOSE(CONTROL!$C$27, 0.0021, 0)</f>
        <v>68.0839</v>
      </c>
      <c r="E710" s="10">
        <f>67.9452 * CHOOSE(CONTROL!$C$9, $D$9, 100%, $F$9) + CHOOSE(CONTROL!$C$27, 0.0021, 0)</f>
        <v>67.947299999999998</v>
      </c>
      <c r="F710" s="10">
        <f>67.9452 * CHOOSE(CONTROL!$C$9, $D$9, 100%, $F$9) + CHOOSE(CONTROL!$C$27, 0.0021, 0)</f>
        <v>67.947299999999998</v>
      </c>
      <c r="G710" s="10">
        <f>68.2165 * CHOOSE(CONTROL!$C$9, $D$9, 100%, $F$9) + CHOOSE(CONTROL!$C$27, 0.0021, 0)</f>
        <v>68.218599999999995</v>
      </c>
      <c r="H710" s="10">
        <f>68.0818 * CHOOSE(CONTROL!$C$9, $D$9, 100%, $F$9) + CHOOSE(CONTROL!$C$27, 0.0021, 0)</f>
        <v>68.0839</v>
      </c>
      <c r="I710" s="10">
        <f>68.0818 * CHOOSE(CONTROL!$C$9, $D$9, 100%, $F$9) + CHOOSE(CONTROL!$C$27, 0.0021, 0)</f>
        <v>68.0839</v>
      </c>
      <c r="J710" s="10">
        <f>68.0818 * CHOOSE(CONTROL!$C$9, $D$9, 100%, $F$9) + CHOOSE(CONTROL!$C$27, 0.0021, 0)</f>
        <v>68.0839</v>
      </c>
      <c r="K710" s="10">
        <f>68.0818 * CHOOSE(CONTROL!$C$9, $D$9, 100%, $F$9) + CHOOSE(CONTROL!$C$27, 0.0021, 0)</f>
        <v>68.0839</v>
      </c>
      <c r="L710" s="10"/>
    </row>
    <row r="711" spans="1:12" ht="15.75" x14ac:dyDescent="0.25">
      <c r="A711" s="13">
        <v>62578</v>
      </c>
      <c r="B711" s="10">
        <f>67.5524 * CHOOSE(CONTROL!$C$9, $D$9, 100%, $F$9) + CHOOSE(CONTROL!$C$27, 0.0021, 0)</f>
        <v>67.554500000000004</v>
      </c>
      <c r="C711" s="10">
        <f>67.1202 * CHOOSE(CONTROL!$C$9, $D$9, 100%, $F$9) + CHOOSE(CONTROL!$C$27, 0.0021, 0)</f>
        <v>67.122299999999996</v>
      </c>
      <c r="D711" s="10">
        <f>67.1202 * CHOOSE(CONTROL!$C$9, $D$9, 100%, $F$9) + CHOOSE(CONTROL!$C$27, 0.0021, 0)</f>
        <v>67.122299999999996</v>
      </c>
      <c r="E711" s="10">
        <f>66.9835 * CHOOSE(CONTROL!$C$9, $D$9, 100%, $F$9) + CHOOSE(CONTROL!$C$27, 0.0021, 0)</f>
        <v>66.985600000000005</v>
      </c>
      <c r="F711" s="10">
        <f>66.9835 * CHOOSE(CONTROL!$C$9, $D$9, 100%, $F$9) + CHOOSE(CONTROL!$C$27, 0.0021, 0)</f>
        <v>66.985600000000005</v>
      </c>
      <c r="G711" s="10">
        <f>67.2549 * CHOOSE(CONTROL!$C$9, $D$9, 100%, $F$9) + CHOOSE(CONTROL!$C$27, 0.0021, 0)</f>
        <v>67.257000000000005</v>
      </c>
      <c r="H711" s="10">
        <f>67.1202 * CHOOSE(CONTROL!$C$9, $D$9, 100%, $F$9) + CHOOSE(CONTROL!$C$27, 0.0021, 0)</f>
        <v>67.122299999999996</v>
      </c>
      <c r="I711" s="10">
        <f>67.1202 * CHOOSE(CONTROL!$C$9, $D$9, 100%, $F$9) + CHOOSE(CONTROL!$C$27, 0.0021, 0)</f>
        <v>67.122299999999996</v>
      </c>
      <c r="J711" s="10">
        <f>67.1202 * CHOOSE(CONTROL!$C$9, $D$9, 100%, $F$9) + CHOOSE(CONTROL!$C$27, 0.0021, 0)</f>
        <v>67.122299999999996</v>
      </c>
      <c r="K711" s="10">
        <f>67.1202 * CHOOSE(CONTROL!$C$9, $D$9, 100%, $F$9) + CHOOSE(CONTROL!$C$27, 0.0021, 0)</f>
        <v>67.122299999999996</v>
      </c>
      <c r="L711" s="10"/>
    </row>
    <row r="712" spans="1:12" ht="15.75" x14ac:dyDescent="0.25">
      <c r="A712" s="13">
        <v>62609</v>
      </c>
      <c r="B712" s="10">
        <f>68.9229 * CHOOSE(CONTROL!$C$9, $D$9, 100%, $F$9) + CHOOSE(CONTROL!$C$27, 0.0021, 0)</f>
        <v>68.924999999999997</v>
      </c>
      <c r="C712" s="10">
        <f>68.4906 * CHOOSE(CONTROL!$C$9, $D$9, 100%, $F$9) + CHOOSE(CONTROL!$C$27, 0.0021, 0)</f>
        <v>68.492699999999999</v>
      </c>
      <c r="D712" s="10">
        <f>68.4906 * CHOOSE(CONTROL!$C$9, $D$9, 100%, $F$9) + CHOOSE(CONTROL!$C$27, 0.0021, 0)</f>
        <v>68.492699999999999</v>
      </c>
      <c r="E712" s="10">
        <f>68.354 * CHOOSE(CONTROL!$C$9, $D$9, 100%, $F$9) + CHOOSE(CONTROL!$C$27, 0.0021, 0)</f>
        <v>68.356099999999998</v>
      </c>
      <c r="F712" s="10">
        <f>68.354 * CHOOSE(CONTROL!$C$9, $D$9, 100%, $F$9) + CHOOSE(CONTROL!$C$27, 0.0021, 0)</f>
        <v>68.356099999999998</v>
      </c>
      <c r="G712" s="10">
        <f>68.6254 * CHOOSE(CONTROL!$C$9, $D$9, 100%, $F$9) + CHOOSE(CONTROL!$C$27, 0.0021, 0)</f>
        <v>68.627499999999998</v>
      </c>
      <c r="H712" s="10">
        <f>68.4906 * CHOOSE(CONTROL!$C$9, $D$9, 100%, $F$9) + CHOOSE(CONTROL!$C$27, 0.0021, 0)</f>
        <v>68.492699999999999</v>
      </c>
      <c r="I712" s="10">
        <f>68.4906 * CHOOSE(CONTROL!$C$9, $D$9, 100%, $F$9) + CHOOSE(CONTROL!$C$27, 0.0021, 0)</f>
        <v>68.492699999999999</v>
      </c>
      <c r="J712" s="10">
        <f>68.4906 * CHOOSE(CONTROL!$C$9, $D$9, 100%, $F$9) + CHOOSE(CONTROL!$C$27, 0.0021, 0)</f>
        <v>68.492699999999999</v>
      </c>
      <c r="K712" s="10">
        <f>68.4906 * CHOOSE(CONTROL!$C$9, $D$9, 100%, $F$9) + CHOOSE(CONTROL!$C$27, 0.0021, 0)</f>
        <v>68.492699999999999</v>
      </c>
      <c r="L712" s="10"/>
    </row>
    <row r="713" spans="1:12" ht="15.75" x14ac:dyDescent="0.25">
      <c r="A713" s="13">
        <v>62639</v>
      </c>
      <c r="B713" s="10">
        <f>69.7438 * CHOOSE(CONTROL!$C$9, $D$9, 100%, $F$9) + CHOOSE(CONTROL!$C$27, 0.0021, 0)</f>
        <v>69.745899999999992</v>
      </c>
      <c r="C713" s="10">
        <f>69.3115 * CHOOSE(CONTROL!$C$9, $D$9, 100%, $F$9) + CHOOSE(CONTROL!$C$27, 0.0021, 0)</f>
        <v>69.313599999999994</v>
      </c>
      <c r="D713" s="10">
        <f>69.3115 * CHOOSE(CONTROL!$C$9, $D$9, 100%, $F$9) + CHOOSE(CONTROL!$C$27, 0.0021, 0)</f>
        <v>69.313599999999994</v>
      </c>
      <c r="E713" s="10">
        <f>69.1749 * CHOOSE(CONTROL!$C$9, $D$9, 100%, $F$9) + CHOOSE(CONTROL!$C$27, 0.0021, 0)</f>
        <v>69.176999999999992</v>
      </c>
      <c r="F713" s="10">
        <f>69.1749 * CHOOSE(CONTROL!$C$9, $D$9, 100%, $F$9) + CHOOSE(CONTROL!$C$27, 0.0021, 0)</f>
        <v>69.176999999999992</v>
      </c>
      <c r="G713" s="10">
        <f>69.4462 * CHOOSE(CONTROL!$C$9, $D$9, 100%, $F$9) + CHOOSE(CONTROL!$C$27, 0.0021, 0)</f>
        <v>69.448300000000003</v>
      </c>
      <c r="H713" s="10">
        <f>69.3115 * CHOOSE(CONTROL!$C$9, $D$9, 100%, $F$9) + CHOOSE(CONTROL!$C$27, 0.0021, 0)</f>
        <v>69.313599999999994</v>
      </c>
      <c r="I713" s="10">
        <f>69.3115 * CHOOSE(CONTROL!$C$9, $D$9, 100%, $F$9) + CHOOSE(CONTROL!$C$27, 0.0021, 0)</f>
        <v>69.313599999999994</v>
      </c>
      <c r="J713" s="10">
        <f>69.3115 * CHOOSE(CONTROL!$C$9, $D$9, 100%, $F$9) + CHOOSE(CONTROL!$C$27, 0.0021, 0)</f>
        <v>69.313599999999994</v>
      </c>
      <c r="K713" s="10">
        <f>69.3115 * CHOOSE(CONTROL!$C$9, $D$9, 100%, $F$9) + CHOOSE(CONTROL!$C$27, 0.0021, 0)</f>
        <v>69.313599999999994</v>
      </c>
      <c r="L713" s="10"/>
    </row>
    <row r="714" spans="1:12" ht="15.75" x14ac:dyDescent="0.25">
      <c r="A714" s="13">
        <v>62670</v>
      </c>
      <c r="B714" s="10">
        <f>71.0979 * CHOOSE(CONTROL!$C$9, $D$9, 100%, $F$9) + CHOOSE(CONTROL!$C$27, 0.0021, 0)</f>
        <v>71.099999999999994</v>
      </c>
      <c r="C714" s="10">
        <f>70.6656 * CHOOSE(CONTROL!$C$9, $D$9, 100%, $F$9) + CHOOSE(CONTROL!$C$27, 0.0021, 0)</f>
        <v>70.667699999999996</v>
      </c>
      <c r="D714" s="10">
        <f>70.6656 * CHOOSE(CONTROL!$C$9, $D$9, 100%, $F$9) + CHOOSE(CONTROL!$C$27, 0.0021, 0)</f>
        <v>70.667699999999996</v>
      </c>
      <c r="E714" s="10">
        <f>70.529 * CHOOSE(CONTROL!$C$9, $D$9, 100%, $F$9) + CHOOSE(CONTROL!$C$27, 0.0021, 0)</f>
        <v>70.531099999999995</v>
      </c>
      <c r="F714" s="10">
        <f>70.529 * CHOOSE(CONTROL!$C$9, $D$9, 100%, $F$9) + CHOOSE(CONTROL!$C$27, 0.0021, 0)</f>
        <v>70.531099999999995</v>
      </c>
      <c r="G714" s="10">
        <f>70.8004 * CHOOSE(CONTROL!$C$9, $D$9, 100%, $F$9) + CHOOSE(CONTROL!$C$27, 0.0021, 0)</f>
        <v>70.802499999999995</v>
      </c>
      <c r="H714" s="10">
        <f>70.6656 * CHOOSE(CONTROL!$C$9, $D$9, 100%, $F$9) + CHOOSE(CONTROL!$C$27, 0.0021, 0)</f>
        <v>70.667699999999996</v>
      </c>
      <c r="I714" s="10">
        <f>70.6656 * CHOOSE(CONTROL!$C$9, $D$9, 100%, $F$9) + CHOOSE(CONTROL!$C$27, 0.0021, 0)</f>
        <v>70.667699999999996</v>
      </c>
      <c r="J714" s="10">
        <f>70.6656 * CHOOSE(CONTROL!$C$9, $D$9, 100%, $F$9) + CHOOSE(CONTROL!$C$27, 0.0021, 0)</f>
        <v>70.667699999999996</v>
      </c>
      <c r="K714" s="10">
        <f>70.6656 * CHOOSE(CONTROL!$C$9, $D$9, 100%, $F$9) + CHOOSE(CONTROL!$C$27, 0.0021, 0)</f>
        <v>70.667699999999996</v>
      </c>
      <c r="L714" s="10"/>
    </row>
    <row r="715" spans="1:12" ht="15.75" x14ac:dyDescent="0.25">
      <c r="A715" s="13">
        <v>62701</v>
      </c>
      <c r="B715" s="10">
        <f>71.5112 * CHOOSE(CONTROL!$C$9, $D$9, 100%, $F$9) + CHOOSE(CONTROL!$C$27, 0.0021, 0)</f>
        <v>71.513300000000001</v>
      </c>
      <c r="C715" s="10">
        <f>71.079 * CHOOSE(CONTROL!$C$9, $D$9, 100%, $F$9) + CHOOSE(CONTROL!$C$27, 0.0021, 0)</f>
        <v>71.081099999999992</v>
      </c>
      <c r="D715" s="10">
        <f>71.079 * CHOOSE(CONTROL!$C$9, $D$9, 100%, $F$9) + CHOOSE(CONTROL!$C$27, 0.0021, 0)</f>
        <v>71.081099999999992</v>
      </c>
      <c r="E715" s="10">
        <f>70.9423 * CHOOSE(CONTROL!$C$9, $D$9, 100%, $F$9) + CHOOSE(CONTROL!$C$27, 0.0021, 0)</f>
        <v>70.944400000000002</v>
      </c>
      <c r="F715" s="10">
        <f>70.9423 * CHOOSE(CONTROL!$C$9, $D$9, 100%, $F$9) + CHOOSE(CONTROL!$C$27, 0.0021, 0)</f>
        <v>70.944400000000002</v>
      </c>
      <c r="G715" s="10">
        <f>71.2137 * CHOOSE(CONTROL!$C$9, $D$9, 100%, $F$9) + CHOOSE(CONTROL!$C$27, 0.0021, 0)</f>
        <v>71.215800000000002</v>
      </c>
      <c r="H715" s="10">
        <f>71.079 * CHOOSE(CONTROL!$C$9, $D$9, 100%, $F$9) + CHOOSE(CONTROL!$C$27, 0.0021, 0)</f>
        <v>71.081099999999992</v>
      </c>
      <c r="I715" s="10">
        <f>71.079 * CHOOSE(CONTROL!$C$9, $D$9, 100%, $F$9) + CHOOSE(CONTROL!$C$27, 0.0021, 0)</f>
        <v>71.081099999999992</v>
      </c>
      <c r="J715" s="10">
        <f>71.079 * CHOOSE(CONTROL!$C$9, $D$9, 100%, $F$9) + CHOOSE(CONTROL!$C$27, 0.0021, 0)</f>
        <v>71.081099999999992</v>
      </c>
      <c r="K715" s="10">
        <f>71.079 * CHOOSE(CONTROL!$C$9, $D$9, 100%, $F$9) + CHOOSE(CONTROL!$C$27, 0.0021, 0)</f>
        <v>71.081099999999992</v>
      </c>
      <c r="L715" s="10"/>
    </row>
    <row r="716" spans="1:12" ht="15.75" x14ac:dyDescent="0.25">
      <c r="A716" s="13">
        <v>62731</v>
      </c>
      <c r="B716" s="10">
        <f>72.9188 * CHOOSE(CONTROL!$C$9, $D$9, 100%, $F$9) + CHOOSE(CONTROL!$C$27, 0.0021, 0)</f>
        <v>72.920900000000003</v>
      </c>
      <c r="C716" s="10">
        <f>72.4865 * CHOOSE(CONTROL!$C$9, $D$9, 100%, $F$9) + CHOOSE(CONTROL!$C$27, 0.0021, 0)</f>
        <v>72.488600000000005</v>
      </c>
      <c r="D716" s="10">
        <f>72.4865 * CHOOSE(CONTROL!$C$9, $D$9, 100%, $F$9) + CHOOSE(CONTROL!$C$27, 0.0021, 0)</f>
        <v>72.488600000000005</v>
      </c>
      <c r="E716" s="10">
        <f>72.3499 * CHOOSE(CONTROL!$C$9, $D$9, 100%, $F$9) + CHOOSE(CONTROL!$C$27, 0.0021, 0)</f>
        <v>72.352000000000004</v>
      </c>
      <c r="F716" s="10">
        <f>72.3499 * CHOOSE(CONTROL!$C$9, $D$9, 100%, $F$9) + CHOOSE(CONTROL!$C$27, 0.0021, 0)</f>
        <v>72.352000000000004</v>
      </c>
      <c r="G716" s="10">
        <f>72.6213 * CHOOSE(CONTROL!$C$9, $D$9, 100%, $F$9) + CHOOSE(CONTROL!$C$27, 0.0021, 0)</f>
        <v>72.623400000000004</v>
      </c>
      <c r="H716" s="10">
        <f>72.4865 * CHOOSE(CONTROL!$C$9, $D$9, 100%, $F$9) + CHOOSE(CONTROL!$C$27, 0.0021, 0)</f>
        <v>72.488600000000005</v>
      </c>
      <c r="I716" s="10">
        <f>72.4865 * CHOOSE(CONTROL!$C$9, $D$9, 100%, $F$9) + CHOOSE(CONTROL!$C$27, 0.0021, 0)</f>
        <v>72.488600000000005</v>
      </c>
      <c r="J716" s="10">
        <f>72.4865 * CHOOSE(CONTROL!$C$9, $D$9, 100%, $F$9) + CHOOSE(CONTROL!$C$27, 0.0021, 0)</f>
        <v>72.488600000000005</v>
      </c>
      <c r="K716" s="10">
        <f>72.4865 * CHOOSE(CONTROL!$C$9, $D$9, 100%, $F$9) + CHOOSE(CONTROL!$C$27, 0.0021, 0)</f>
        <v>72.488600000000005</v>
      </c>
      <c r="L716" s="10"/>
    </row>
    <row r="717" spans="1:12" ht="15.75" x14ac:dyDescent="0.25">
      <c r="A717" s="13">
        <v>62762</v>
      </c>
      <c r="B717" s="10">
        <f>74.7005 * CHOOSE(CONTROL!$C$9, $D$9, 100%, $F$9) + CHOOSE(CONTROL!$C$27, 0.0021, 0)</f>
        <v>74.702600000000004</v>
      </c>
      <c r="C717" s="10">
        <f>74.2683 * CHOOSE(CONTROL!$C$9, $D$9, 100%, $F$9) + CHOOSE(CONTROL!$C$27, 0.0021, 0)</f>
        <v>74.270399999999995</v>
      </c>
      <c r="D717" s="10">
        <f>74.2683 * CHOOSE(CONTROL!$C$9, $D$9, 100%, $F$9) + CHOOSE(CONTROL!$C$27, 0.0021, 0)</f>
        <v>74.270399999999995</v>
      </c>
      <c r="E717" s="10">
        <f>74.1316 * CHOOSE(CONTROL!$C$9, $D$9, 100%, $F$9) + CHOOSE(CONTROL!$C$27, 0.0021, 0)</f>
        <v>74.133700000000005</v>
      </c>
      <c r="F717" s="10">
        <f>74.1316 * CHOOSE(CONTROL!$C$9, $D$9, 100%, $F$9) + CHOOSE(CONTROL!$C$27, 0.0021, 0)</f>
        <v>74.133700000000005</v>
      </c>
      <c r="G717" s="10">
        <f>74.403 * CHOOSE(CONTROL!$C$9, $D$9, 100%, $F$9) + CHOOSE(CONTROL!$C$27, 0.0021, 0)</f>
        <v>74.405100000000004</v>
      </c>
      <c r="H717" s="10">
        <f>74.2683 * CHOOSE(CONTROL!$C$9, $D$9, 100%, $F$9) + CHOOSE(CONTROL!$C$27, 0.0021, 0)</f>
        <v>74.270399999999995</v>
      </c>
      <c r="I717" s="10">
        <f>74.2683 * CHOOSE(CONTROL!$C$9, $D$9, 100%, $F$9) + CHOOSE(CONTROL!$C$27, 0.0021, 0)</f>
        <v>74.270399999999995</v>
      </c>
      <c r="J717" s="10">
        <f>74.2683 * CHOOSE(CONTROL!$C$9, $D$9, 100%, $F$9) + CHOOSE(CONTROL!$C$27, 0.0021, 0)</f>
        <v>74.270399999999995</v>
      </c>
      <c r="K717" s="10">
        <f>74.2683 * CHOOSE(CONTROL!$C$9, $D$9, 100%, $F$9) + CHOOSE(CONTROL!$C$27, 0.0021, 0)</f>
        <v>74.270399999999995</v>
      </c>
      <c r="L717" s="10"/>
    </row>
    <row r="718" spans="1:12" ht="15.75" x14ac:dyDescent="0.25">
      <c r="A718" s="13">
        <v>62792</v>
      </c>
      <c r="B718" s="10">
        <f>74.8678 * CHOOSE(CONTROL!$C$9, $D$9, 100%, $F$9) + CHOOSE(CONTROL!$C$27, 0.0021, 0)</f>
        <v>74.869900000000001</v>
      </c>
      <c r="C718" s="10">
        <f>74.4355 * CHOOSE(CONTROL!$C$9, $D$9, 100%, $F$9) + CHOOSE(CONTROL!$C$27, 0.0021, 0)</f>
        <v>74.437600000000003</v>
      </c>
      <c r="D718" s="10">
        <f>74.4355 * CHOOSE(CONTROL!$C$9, $D$9, 100%, $F$9) + CHOOSE(CONTROL!$C$27, 0.0021, 0)</f>
        <v>74.437600000000003</v>
      </c>
      <c r="E718" s="10">
        <f>74.2989 * CHOOSE(CONTROL!$C$9, $D$9, 100%, $F$9) + CHOOSE(CONTROL!$C$27, 0.0021, 0)</f>
        <v>74.301000000000002</v>
      </c>
      <c r="F718" s="10">
        <f>74.2989 * CHOOSE(CONTROL!$C$9, $D$9, 100%, $F$9) + CHOOSE(CONTROL!$C$27, 0.0021, 0)</f>
        <v>74.301000000000002</v>
      </c>
      <c r="G718" s="10">
        <f>74.5702 * CHOOSE(CONTROL!$C$9, $D$9, 100%, $F$9) + CHOOSE(CONTROL!$C$27, 0.0021, 0)</f>
        <v>74.572299999999998</v>
      </c>
      <c r="H718" s="10">
        <f>74.4355 * CHOOSE(CONTROL!$C$9, $D$9, 100%, $F$9) + CHOOSE(CONTROL!$C$27, 0.0021, 0)</f>
        <v>74.437600000000003</v>
      </c>
      <c r="I718" s="10">
        <f>74.4355 * CHOOSE(CONTROL!$C$9, $D$9, 100%, $F$9) + CHOOSE(CONTROL!$C$27, 0.0021, 0)</f>
        <v>74.437600000000003</v>
      </c>
      <c r="J718" s="10">
        <f>74.4355 * CHOOSE(CONTROL!$C$9, $D$9, 100%, $F$9) + CHOOSE(CONTROL!$C$27, 0.0021, 0)</f>
        <v>74.437600000000003</v>
      </c>
      <c r="K718" s="10">
        <f>74.4355 * CHOOSE(CONTROL!$C$9, $D$9, 100%, $F$9) + CHOOSE(CONTROL!$C$27, 0.0021, 0)</f>
        <v>74.437600000000003</v>
      </c>
      <c r="L718" s="10"/>
    </row>
    <row r="719" spans="1:12" ht="15.75" x14ac:dyDescent="0.25">
      <c r="A719" s="13">
        <v>62823</v>
      </c>
      <c r="B719" s="10">
        <f>73.4447 * CHOOSE(CONTROL!$C$9, $D$9, 100%, $F$9) + CHOOSE(CONTROL!$C$27, 0.0021, 0)</f>
        <v>73.446799999999996</v>
      </c>
      <c r="C719" s="10">
        <f>73.0125 * CHOOSE(CONTROL!$C$9, $D$9, 100%, $F$9) + CHOOSE(CONTROL!$C$27, 0.0021, 0)</f>
        <v>73.014600000000002</v>
      </c>
      <c r="D719" s="10">
        <f>73.0125 * CHOOSE(CONTROL!$C$9, $D$9, 100%, $F$9) + CHOOSE(CONTROL!$C$27, 0.0021, 0)</f>
        <v>73.014600000000002</v>
      </c>
      <c r="E719" s="10">
        <f>72.8758 * CHOOSE(CONTROL!$C$9, $D$9, 100%, $F$9) + CHOOSE(CONTROL!$C$27, 0.0021, 0)</f>
        <v>72.877899999999997</v>
      </c>
      <c r="F719" s="10">
        <f>72.8758 * CHOOSE(CONTROL!$C$9, $D$9, 100%, $F$9) + CHOOSE(CONTROL!$C$27, 0.0021, 0)</f>
        <v>72.877899999999997</v>
      </c>
      <c r="G719" s="10">
        <f>73.1472 * CHOOSE(CONTROL!$C$9, $D$9, 100%, $F$9) + CHOOSE(CONTROL!$C$27, 0.0021, 0)</f>
        <v>73.149299999999997</v>
      </c>
      <c r="H719" s="10">
        <f>73.0125 * CHOOSE(CONTROL!$C$9, $D$9, 100%, $F$9) + CHOOSE(CONTROL!$C$27, 0.0021, 0)</f>
        <v>73.014600000000002</v>
      </c>
      <c r="I719" s="10">
        <f>73.0125 * CHOOSE(CONTROL!$C$9, $D$9, 100%, $F$9) + CHOOSE(CONTROL!$C$27, 0.0021, 0)</f>
        <v>73.014600000000002</v>
      </c>
      <c r="J719" s="10">
        <f>73.0125 * CHOOSE(CONTROL!$C$9, $D$9, 100%, $F$9) + CHOOSE(CONTROL!$C$27, 0.0021, 0)</f>
        <v>73.014600000000002</v>
      </c>
      <c r="K719" s="10">
        <f>73.0125 * CHOOSE(CONTROL!$C$9, $D$9, 100%, $F$9) + CHOOSE(CONTROL!$C$27, 0.0021, 0)</f>
        <v>73.014600000000002</v>
      </c>
      <c r="L719" s="10"/>
    </row>
    <row r="720" spans="1:12" ht="15.75" x14ac:dyDescent="0.25">
      <c r="A720" s="13">
        <v>62854</v>
      </c>
      <c r="B720" s="10">
        <f>72.5125 * CHOOSE(CONTROL!$C$9, $D$9, 100%, $F$9) + CHOOSE(CONTROL!$C$27, 0.0021, 0)</f>
        <v>72.514600000000002</v>
      </c>
      <c r="C720" s="10">
        <f>72.0802 * CHOOSE(CONTROL!$C$9, $D$9, 100%, $F$9) + CHOOSE(CONTROL!$C$27, 0.0021, 0)</f>
        <v>72.082300000000004</v>
      </c>
      <c r="D720" s="10">
        <f>72.0802 * CHOOSE(CONTROL!$C$9, $D$9, 100%, $F$9) + CHOOSE(CONTROL!$C$27, 0.0021, 0)</f>
        <v>72.082300000000004</v>
      </c>
      <c r="E720" s="10">
        <f>71.9436 * CHOOSE(CONTROL!$C$9, $D$9, 100%, $F$9) + CHOOSE(CONTROL!$C$27, 0.0021, 0)</f>
        <v>71.945700000000002</v>
      </c>
      <c r="F720" s="10">
        <f>71.9436 * CHOOSE(CONTROL!$C$9, $D$9, 100%, $F$9) + CHOOSE(CONTROL!$C$27, 0.0021, 0)</f>
        <v>71.945700000000002</v>
      </c>
      <c r="G720" s="10">
        <f>72.215 * CHOOSE(CONTROL!$C$9, $D$9, 100%, $F$9) + CHOOSE(CONTROL!$C$27, 0.0021, 0)</f>
        <v>72.217100000000002</v>
      </c>
      <c r="H720" s="10">
        <f>72.0802 * CHOOSE(CONTROL!$C$9, $D$9, 100%, $F$9) + CHOOSE(CONTROL!$C$27, 0.0021, 0)</f>
        <v>72.082300000000004</v>
      </c>
      <c r="I720" s="10">
        <f>72.0802 * CHOOSE(CONTROL!$C$9, $D$9, 100%, $F$9) + CHOOSE(CONTROL!$C$27, 0.0021, 0)</f>
        <v>72.082300000000004</v>
      </c>
      <c r="J720" s="10">
        <f>72.0802 * CHOOSE(CONTROL!$C$9, $D$9, 100%, $F$9) + CHOOSE(CONTROL!$C$27, 0.0021, 0)</f>
        <v>72.082300000000004</v>
      </c>
      <c r="K720" s="10">
        <f>72.0802 * CHOOSE(CONTROL!$C$9, $D$9, 100%, $F$9) + CHOOSE(CONTROL!$C$27, 0.0021, 0)</f>
        <v>72.082300000000004</v>
      </c>
      <c r="L720" s="10"/>
    </row>
    <row r="721" spans="1:12" ht="15.75" x14ac:dyDescent="0.25">
      <c r="A721" s="13">
        <v>62883</v>
      </c>
      <c r="B721" s="10">
        <f>70.5263 * CHOOSE(CONTROL!$C$9, $D$9, 100%, $F$9) + CHOOSE(CONTROL!$C$27, 0.0021, 0)</f>
        <v>70.528400000000005</v>
      </c>
      <c r="C721" s="10">
        <f>70.094 * CHOOSE(CONTROL!$C$9, $D$9, 100%, $F$9) + CHOOSE(CONTROL!$C$27, 0.0021, 0)</f>
        <v>70.096099999999993</v>
      </c>
      <c r="D721" s="10">
        <f>70.094 * CHOOSE(CONTROL!$C$9, $D$9, 100%, $F$9) + CHOOSE(CONTROL!$C$27, 0.0021, 0)</f>
        <v>70.096099999999993</v>
      </c>
      <c r="E721" s="10">
        <f>69.9574 * CHOOSE(CONTROL!$C$9, $D$9, 100%, $F$9) + CHOOSE(CONTROL!$C$27, 0.0021, 0)</f>
        <v>69.959500000000006</v>
      </c>
      <c r="F721" s="10">
        <f>69.9574 * CHOOSE(CONTROL!$C$9, $D$9, 100%, $F$9) + CHOOSE(CONTROL!$C$27, 0.0021, 0)</f>
        <v>69.959500000000006</v>
      </c>
      <c r="G721" s="10">
        <f>70.2288 * CHOOSE(CONTROL!$C$9, $D$9, 100%, $F$9) + CHOOSE(CONTROL!$C$27, 0.0021, 0)</f>
        <v>70.230900000000005</v>
      </c>
      <c r="H721" s="10">
        <f>70.094 * CHOOSE(CONTROL!$C$9, $D$9, 100%, $F$9) + CHOOSE(CONTROL!$C$27, 0.0021, 0)</f>
        <v>70.096099999999993</v>
      </c>
      <c r="I721" s="10">
        <f>70.094 * CHOOSE(CONTROL!$C$9, $D$9, 100%, $F$9) + CHOOSE(CONTROL!$C$27, 0.0021, 0)</f>
        <v>70.096099999999993</v>
      </c>
      <c r="J721" s="10">
        <f>70.094 * CHOOSE(CONTROL!$C$9, $D$9, 100%, $F$9) + CHOOSE(CONTROL!$C$27, 0.0021, 0)</f>
        <v>70.096099999999993</v>
      </c>
      <c r="K721" s="10">
        <f>70.094 * CHOOSE(CONTROL!$C$9, $D$9, 100%, $F$9) + CHOOSE(CONTROL!$C$27, 0.0021, 0)</f>
        <v>70.096099999999993</v>
      </c>
      <c r="L721" s="10"/>
    </row>
    <row r="722" spans="1:12" ht="15.75" x14ac:dyDescent="0.25">
      <c r="A722" s="13">
        <v>62914</v>
      </c>
      <c r="B722" s="10">
        <f>69.7064 * CHOOSE(CONTROL!$C$9, $D$9, 100%, $F$9) + CHOOSE(CONTROL!$C$27, 0.0021, 0)</f>
        <v>69.708500000000001</v>
      </c>
      <c r="C722" s="10">
        <f>69.2741 * CHOOSE(CONTROL!$C$9, $D$9, 100%, $F$9) + CHOOSE(CONTROL!$C$27, 0.0021, 0)</f>
        <v>69.276200000000003</v>
      </c>
      <c r="D722" s="10">
        <f>69.2741 * CHOOSE(CONTROL!$C$9, $D$9, 100%, $F$9) + CHOOSE(CONTROL!$C$27, 0.0021, 0)</f>
        <v>69.276200000000003</v>
      </c>
      <c r="E722" s="10">
        <f>69.1375 * CHOOSE(CONTROL!$C$9, $D$9, 100%, $F$9) + CHOOSE(CONTROL!$C$27, 0.0021, 0)</f>
        <v>69.139600000000002</v>
      </c>
      <c r="F722" s="10">
        <f>69.1375 * CHOOSE(CONTROL!$C$9, $D$9, 100%, $F$9) + CHOOSE(CONTROL!$C$27, 0.0021, 0)</f>
        <v>69.139600000000002</v>
      </c>
      <c r="G722" s="10">
        <f>69.4089 * CHOOSE(CONTROL!$C$9, $D$9, 100%, $F$9) + CHOOSE(CONTROL!$C$27, 0.0021, 0)</f>
        <v>69.411000000000001</v>
      </c>
      <c r="H722" s="10">
        <f>69.2741 * CHOOSE(CONTROL!$C$9, $D$9, 100%, $F$9) + CHOOSE(CONTROL!$C$27, 0.0021, 0)</f>
        <v>69.276200000000003</v>
      </c>
      <c r="I722" s="10">
        <f>69.2741 * CHOOSE(CONTROL!$C$9, $D$9, 100%, $F$9) + CHOOSE(CONTROL!$C$27, 0.0021, 0)</f>
        <v>69.276200000000003</v>
      </c>
      <c r="J722" s="10">
        <f>69.2741 * CHOOSE(CONTROL!$C$9, $D$9, 100%, $F$9) + CHOOSE(CONTROL!$C$27, 0.0021, 0)</f>
        <v>69.276200000000003</v>
      </c>
      <c r="K722" s="10">
        <f>69.2741 * CHOOSE(CONTROL!$C$9, $D$9, 100%, $F$9) + CHOOSE(CONTROL!$C$27, 0.0021, 0)</f>
        <v>69.276200000000003</v>
      </c>
      <c r="L722" s="10"/>
    </row>
    <row r="723" spans="1:12" ht="15.75" x14ac:dyDescent="0.25">
      <c r="A723" s="13">
        <v>62944</v>
      </c>
      <c r="B723" s="10">
        <f>68.7274 * CHOOSE(CONTROL!$C$9, $D$9, 100%, $F$9) + CHOOSE(CONTROL!$C$27, 0.0021, 0)</f>
        <v>68.729500000000002</v>
      </c>
      <c r="C723" s="10">
        <f>68.2952 * CHOOSE(CONTROL!$C$9, $D$9, 100%, $F$9) + CHOOSE(CONTROL!$C$27, 0.0021, 0)</f>
        <v>68.297299999999993</v>
      </c>
      <c r="D723" s="10">
        <f>68.2952 * CHOOSE(CONTROL!$C$9, $D$9, 100%, $F$9) + CHOOSE(CONTROL!$C$27, 0.0021, 0)</f>
        <v>68.297299999999993</v>
      </c>
      <c r="E723" s="10">
        <f>68.1585 * CHOOSE(CONTROL!$C$9, $D$9, 100%, $F$9) + CHOOSE(CONTROL!$C$27, 0.0021, 0)</f>
        <v>68.160600000000002</v>
      </c>
      <c r="F723" s="10">
        <f>68.1585 * CHOOSE(CONTROL!$C$9, $D$9, 100%, $F$9) + CHOOSE(CONTROL!$C$27, 0.0021, 0)</f>
        <v>68.160600000000002</v>
      </c>
      <c r="G723" s="10">
        <f>68.4299 * CHOOSE(CONTROL!$C$9, $D$9, 100%, $F$9) + CHOOSE(CONTROL!$C$27, 0.0021, 0)</f>
        <v>68.432000000000002</v>
      </c>
      <c r="H723" s="10">
        <f>68.2952 * CHOOSE(CONTROL!$C$9, $D$9, 100%, $F$9) + CHOOSE(CONTROL!$C$27, 0.0021, 0)</f>
        <v>68.297299999999993</v>
      </c>
      <c r="I723" s="10">
        <f>68.2952 * CHOOSE(CONTROL!$C$9, $D$9, 100%, $F$9) + CHOOSE(CONTROL!$C$27, 0.0021, 0)</f>
        <v>68.297299999999993</v>
      </c>
      <c r="J723" s="10">
        <f>68.2952 * CHOOSE(CONTROL!$C$9, $D$9, 100%, $F$9) + CHOOSE(CONTROL!$C$27, 0.0021, 0)</f>
        <v>68.297299999999993</v>
      </c>
      <c r="K723" s="10">
        <f>68.2952 * CHOOSE(CONTROL!$C$9, $D$9, 100%, $F$9) + CHOOSE(CONTROL!$C$27, 0.0021, 0)</f>
        <v>68.297299999999993</v>
      </c>
      <c r="L723" s="10"/>
    </row>
    <row r="724" spans="1:12" ht="15.75" x14ac:dyDescent="0.25">
      <c r="A724" s="13">
        <v>62975</v>
      </c>
      <c r="B724" s="10">
        <f>70.1226 * CHOOSE(CONTROL!$C$9, $D$9, 100%, $F$9) + CHOOSE(CONTROL!$C$27, 0.0021, 0)</f>
        <v>70.124700000000004</v>
      </c>
      <c r="C724" s="10">
        <f>69.6903 * CHOOSE(CONTROL!$C$9, $D$9, 100%, $F$9) + CHOOSE(CONTROL!$C$27, 0.0021, 0)</f>
        <v>69.692399999999992</v>
      </c>
      <c r="D724" s="10">
        <f>69.6903 * CHOOSE(CONTROL!$C$9, $D$9, 100%, $F$9) + CHOOSE(CONTROL!$C$27, 0.0021, 0)</f>
        <v>69.692399999999992</v>
      </c>
      <c r="E724" s="10">
        <f>69.5537 * CHOOSE(CONTROL!$C$9, $D$9, 100%, $F$9) + CHOOSE(CONTROL!$C$27, 0.0021, 0)</f>
        <v>69.555800000000005</v>
      </c>
      <c r="F724" s="10">
        <f>69.5537 * CHOOSE(CONTROL!$C$9, $D$9, 100%, $F$9) + CHOOSE(CONTROL!$C$27, 0.0021, 0)</f>
        <v>69.555800000000005</v>
      </c>
      <c r="G724" s="10">
        <f>69.825 * CHOOSE(CONTROL!$C$9, $D$9, 100%, $F$9) + CHOOSE(CONTROL!$C$27, 0.0021, 0)</f>
        <v>69.827100000000002</v>
      </c>
      <c r="H724" s="10">
        <f>69.6903 * CHOOSE(CONTROL!$C$9, $D$9, 100%, $F$9) + CHOOSE(CONTROL!$C$27, 0.0021, 0)</f>
        <v>69.692399999999992</v>
      </c>
      <c r="I724" s="10">
        <f>69.6903 * CHOOSE(CONTROL!$C$9, $D$9, 100%, $F$9) + CHOOSE(CONTROL!$C$27, 0.0021, 0)</f>
        <v>69.692399999999992</v>
      </c>
      <c r="J724" s="10">
        <f>69.6903 * CHOOSE(CONTROL!$C$9, $D$9, 100%, $F$9) + CHOOSE(CONTROL!$C$27, 0.0021, 0)</f>
        <v>69.692399999999992</v>
      </c>
      <c r="K724" s="10">
        <f>69.6903 * CHOOSE(CONTROL!$C$9, $D$9, 100%, $F$9) + CHOOSE(CONTROL!$C$27, 0.0021, 0)</f>
        <v>69.692399999999992</v>
      </c>
      <c r="L724" s="10"/>
    </row>
    <row r="725" spans="1:12" ht="15.75" x14ac:dyDescent="0.25">
      <c r="A725" s="13">
        <v>63005</v>
      </c>
      <c r="B725" s="10">
        <f>70.9582 * CHOOSE(CONTROL!$C$9, $D$9, 100%, $F$9) + CHOOSE(CONTROL!$C$27, 0.0021, 0)</f>
        <v>70.960300000000004</v>
      </c>
      <c r="C725" s="10">
        <f>70.526 * CHOOSE(CONTROL!$C$9, $D$9, 100%, $F$9) + CHOOSE(CONTROL!$C$27, 0.0021, 0)</f>
        <v>70.528099999999995</v>
      </c>
      <c r="D725" s="10">
        <f>70.526 * CHOOSE(CONTROL!$C$9, $D$9, 100%, $F$9) + CHOOSE(CONTROL!$C$27, 0.0021, 0)</f>
        <v>70.528099999999995</v>
      </c>
      <c r="E725" s="10">
        <f>70.3893 * CHOOSE(CONTROL!$C$9, $D$9, 100%, $F$9) + CHOOSE(CONTROL!$C$27, 0.0021, 0)</f>
        <v>70.391400000000004</v>
      </c>
      <c r="F725" s="10">
        <f>70.3893 * CHOOSE(CONTROL!$C$9, $D$9, 100%, $F$9) + CHOOSE(CONTROL!$C$27, 0.0021, 0)</f>
        <v>70.391400000000004</v>
      </c>
      <c r="G725" s="10">
        <f>70.6607 * CHOOSE(CONTROL!$C$9, $D$9, 100%, $F$9) + CHOOSE(CONTROL!$C$27, 0.0021, 0)</f>
        <v>70.662800000000004</v>
      </c>
      <c r="H725" s="10">
        <f>70.526 * CHOOSE(CONTROL!$C$9, $D$9, 100%, $F$9) + CHOOSE(CONTROL!$C$27, 0.0021, 0)</f>
        <v>70.528099999999995</v>
      </c>
      <c r="I725" s="10">
        <f>70.526 * CHOOSE(CONTROL!$C$9, $D$9, 100%, $F$9) + CHOOSE(CONTROL!$C$27, 0.0021, 0)</f>
        <v>70.528099999999995</v>
      </c>
      <c r="J725" s="10">
        <f>70.526 * CHOOSE(CONTROL!$C$9, $D$9, 100%, $F$9) + CHOOSE(CONTROL!$C$27, 0.0021, 0)</f>
        <v>70.528099999999995</v>
      </c>
      <c r="K725" s="10">
        <f>70.526 * CHOOSE(CONTROL!$C$9, $D$9, 100%, $F$9) + CHOOSE(CONTROL!$C$27, 0.0021, 0)</f>
        <v>70.528099999999995</v>
      </c>
      <c r="L725" s="10"/>
    </row>
    <row r="726" spans="1:12" ht="15.75" x14ac:dyDescent="0.25">
      <c r="A726" s="13">
        <v>63036</v>
      </c>
      <c r="B726" s="10">
        <f>72.3367 * CHOOSE(CONTROL!$C$9, $D$9, 100%, $F$9) + CHOOSE(CONTROL!$C$27, 0.0021, 0)</f>
        <v>72.338799999999992</v>
      </c>
      <c r="C726" s="10">
        <f>71.9045 * CHOOSE(CONTROL!$C$9, $D$9, 100%, $F$9) + CHOOSE(CONTROL!$C$27, 0.0021, 0)</f>
        <v>71.906599999999997</v>
      </c>
      <c r="D726" s="10">
        <f>71.9045 * CHOOSE(CONTROL!$C$9, $D$9, 100%, $F$9) + CHOOSE(CONTROL!$C$27, 0.0021, 0)</f>
        <v>71.906599999999997</v>
      </c>
      <c r="E726" s="10">
        <f>71.7678 * CHOOSE(CONTROL!$C$9, $D$9, 100%, $F$9) + CHOOSE(CONTROL!$C$27, 0.0021, 0)</f>
        <v>71.769899999999993</v>
      </c>
      <c r="F726" s="10">
        <f>71.7678 * CHOOSE(CONTROL!$C$9, $D$9, 100%, $F$9) + CHOOSE(CONTROL!$C$27, 0.0021, 0)</f>
        <v>71.769899999999993</v>
      </c>
      <c r="G726" s="10">
        <f>72.0392 * CHOOSE(CONTROL!$C$9, $D$9, 100%, $F$9) + CHOOSE(CONTROL!$C$27, 0.0021, 0)</f>
        <v>72.041299999999993</v>
      </c>
      <c r="H726" s="10">
        <f>71.9045 * CHOOSE(CONTROL!$C$9, $D$9, 100%, $F$9) + CHOOSE(CONTROL!$C$27, 0.0021, 0)</f>
        <v>71.906599999999997</v>
      </c>
      <c r="I726" s="10">
        <f>71.9045 * CHOOSE(CONTROL!$C$9, $D$9, 100%, $F$9) + CHOOSE(CONTROL!$C$27, 0.0021, 0)</f>
        <v>71.906599999999997</v>
      </c>
      <c r="J726" s="10">
        <f>71.9045 * CHOOSE(CONTROL!$C$9, $D$9, 100%, $F$9) + CHOOSE(CONTROL!$C$27, 0.0021, 0)</f>
        <v>71.906599999999997</v>
      </c>
      <c r="K726" s="10">
        <f>71.9045 * CHOOSE(CONTROL!$C$9, $D$9, 100%, $F$9) + CHOOSE(CONTROL!$C$27, 0.0021, 0)</f>
        <v>71.906599999999997</v>
      </c>
      <c r="L726" s="10"/>
    </row>
    <row r="727" spans="1:12" ht="15.75" x14ac:dyDescent="0.25">
      <c r="A727" s="13">
        <v>63067</v>
      </c>
      <c r="B727" s="10">
        <f>72.7575 * CHOOSE(CONTROL!$C$9, $D$9, 100%, $F$9) + CHOOSE(CONTROL!$C$27, 0.0021, 0)</f>
        <v>72.759599999999992</v>
      </c>
      <c r="C727" s="10">
        <f>72.3252 * CHOOSE(CONTROL!$C$9, $D$9, 100%, $F$9) + CHOOSE(CONTROL!$C$27, 0.0021, 0)</f>
        <v>72.327299999999994</v>
      </c>
      <c r="D727" s="10">
        <f>72.3252 * CHOOSE(CONTROL!$C$9, $D$9, 100%, $F$9) + CHOOSE(CONTROL!$C$27, 0.0021, 0)</f>
        <v>72.327299999999994</v>
      </c>
      <c r="E727" s="10">
        <f>72.1886 * CHOOSE(CONTROL!$C$9, $D$9, 100%, $F$9) + CHOOSE(CONTROL!$C$27, 0.0021, 0)</f>
        <v>72.190699999999993</v>
      </c>
      <c r="F727" s="10">
        <f>72.1886 * CHOOSE(CONTROL!$C$9, $D$9, 100%, $F$9) + CHOOSE(CONTROL!$C$27, 0.0021, 0)</f>
        <v>72.190699999999993</v>
      </c>
      <c r="G727" s="10">
        <f>72.46 * CHOOSE(CONTROL!$C$9, $D$9, 100%, $F$9) + CHOOSE(CONTROL!$C$27, 0.0021, 0)</f>
        <v>72.462099999999992</v>
      </c>
      <c r="H727" s="10">
        <f>72.3252 * CHOOSE(CONTROL!$C$9, $D$9, 100%, $F$9) + CHOOSE(CONTROL!$C$27, 0.0021, 0)</f>
        <v>72.327299999999994</v>
      </c>
      <c r="I727" s="10">
        <f>72.3252 * CHOOSE(CONTROL!$C$9, $D$9, 100%, $F$9) + CHOOSE(CONTROL!$C$27, 0.0021, 0)</f>
        <v>72.327299999999994</v>
      </c>
      <c r="J727" s="10">
        <f>72.3252 * CHOOSE(CONTROL!$C$9, $D$9, 100%, $F$9) + CHOOSE(CONTROL!$C$27, 0.0021, 0)</f>
        <v>72.327299999999994</v>
      </c>
      <c r="K727" s="10">
        <f>72.3252 * CHOOSE(CONTROL!$C$9, $D$9, 100%, $F$9) + CHOOSE(CONTROL!$C$27, 0.0021, 0)</f>
        <v>72.327299999999994</v>
      </c>
      <c r="L727" s="10"/>
    </row>
    <row r="728" spans="1:12" ht="15.75" x14ac:dyDescent="0.25">
      <c r="A728" s="13">
        <v>63097</v>
      </c>
      <c r="B728" s="10">
        <f>74.1904 * CHOOSE(CONTROL!$C$9, $D$9, 100%, $F$9) + CHOOSE(CONTROL!$C$27, 0.0021, 0)</f>
        <v>74.192499999999995</v>
      </c>
      <c r="C728" s="10">
        <f>73.7582 * CHOOSE(CONTROL!$C$9, $D$9, 100%, $F$9) + CHOOSE(CONTROL!$C$27, 0.0021, 0)</f>
        <v>73.760300000000001</v>
      </c>
      <c r="D728" s="10">
        <f>73.7582 * CHOOSE(CONTROL!$C$9, $D$9, 100%, $F$9) + CHOOSE(CONTROL!$C$27, 0.0021, 0)</f>
        <v>73.760300000000001</v>
      </c>
      <c r="E728" s="10">
        <f>73.6215 * CHOOSE(CONTROL!$C$9, $D$9, 100%, $F$9) + CHOOSE(CONTROL!$C$27, 0.0021, 0)</f>
        <v>73.623599999999996</v>
      </c>
      <c r="F728" s="10">
        <f>73.6215 * CHOOSE(CONTROL!$C$9, $D$9, 100%, $F$9) + CHOOSE(CONTROL!$C$27, 0.0021, 0)</f>
        <v>73.623599999999996</v>
      </c>
      <c r="G728" s="10">
        <f>73.8929 * CHOOSE(CONTROL!$C$9, $D$9, 100%, $F$9) + CHOOSE(CONTROL!$C$27, 0.0021, 0)</f>
        <v>73.894999999999996</v>
      </c>
      <c r="H728" s="10">
        <f>73.7582 * CHOOSE(CONTROL!$C$9, $D$9, 100%, $F$9) + CHOOSE(CONTROL!$C$27, 0.0021, 0)</f>
        <v>73.760300000000001</v>
      </c>
      <c r="I728" s="10">
        <f>73.7582 * CHOOSE(CONTROL!$C$9, $D$9, 100%, $F$9) + CHOOSE(CONTROL!$C$27, 0.0021, 0)</f>
        <v>73.760300000000001</v>
      </c>
      <c r="J728" s="10">
        <f>73.7582 * CHOOSE(CONTROL!$C$9, $D$9, 100%, $F$9) + CHOOSE(CONTROL!$C$27, 0.0021, 0)</f>
        <v>73.760300000000001</v>
      </c>
      <c r="K728" s="10">
        <f>73.7582 * CHOOSE(CONTROL!$C$9, $D$9, 100%, $F$9) + CHOOSE(CONTROL!$C$27, 0.0021, 0)</f>
        <v>73.760300000000001</v>
      </c>
      <c r="L728" s="10"/>
    </row>
    <row r="729" spans="1:12" ht="15.75" x14ac:dyDescent="0.25">
      <c r="A729" s="13">
        <v>63128</v>
      </c>
      <c r="B729" s="10">
        <f>76.0042 * CHOOSE(CONTROL!$C$9, $D$9, 100%, $F$9) + CHOOSE(CONTROL!$C$27, 0.0021, 0)</f>
        <v>76.006299999999996</v>
      </c>
      <c r="C729" s="10">
        <f>75.572 * CHOOSE(CONTROL!$C$9, $D$9, 100%, $F$9) + CHOOSE(CONTROL!$C$27, 0.0021, 0)</f>
        <v>75.574100000000001</v>
      </c>
      <c r="D729" s="10">
        <f>75.572 * CHOOSE(CONTROL!$C$9, $D$9, 100%, $F$9) + CHOOSE(CONTROL!$C$27, 0.0021, 0)</f>
        <v>75.574100000000001</v>
      </c>
      <c r="E729" s="10">
        <f>75.4353 * CHOOSE(CONTROL!$C$9, $D$9, 100%, $F$9) + CHOOSE(CONTROL!$C$27, 0.0021, 0)</f>
        <v>75.437399999999997</v>
      </c>
      <c r="F729" s="10">
        <f>75.4353 * CHOOSE(CONTROL!$C$9, $D$9, 100%, $F$9) + CHOOSE(CONTROL!$C$27, 0.0021, 0)</f>
        <v>75.437399999999997</v>
      </c>
      <c r="G729" s="10">
        <f>75.7067 * CHOOSE(CONTROL!$C$9, $D$9, 100%, $F$9) + CHOOSE(CONTROL!$C$27, 0.0021, 0)</f>
        <v>75.708799999999997</v>
      </c>
      <c r="H729" s="10">
        <f>75.572 * CHOOSE(CONTROL!$C$9, $D$9, 100%, $F$9) + CHOOSE(CONTROL!$C$27, 0.0021, 0)</f>
        <v>75.574100000000001</v>
      </c>
      <c r="I729" s="10">
        <f>75.572 * CHOOSE(CONTROL!$C$9, $D$9, 100%, $F$9) + CHOOSE(CONTROL!$C$27, 0.0021, 0)</f>
        <v>75.574100000000001</v>
      </c>
      <c r="J729" s="10">
        <f>75.572 * CHOOSE(CONTROL!$C$9, $D$9, 100%, $F$9) + CHOOSE(CONTROL!$C$27, 0.0021, 0)</f>
        <v>75.574100000000001</v>
      </c>
      <c r="K729" s="10">
        <f>75.572 * CHOOSE(CONTROL!$C$9, $D$9, 100%, $F$9) + CHOOSE(CONTROL!$C$27, 0.0021, 0)</f>
        <v>75.574100000000001</v>
      </c>
      <c r="L729" s="10"/>
    </row>
    <row r="730" spans="1:12" ht="15.75" x14ac:dyDescent="0.25">
      <c r="A730" s="13">
        <v>63158</v>
      </c>
      <c r="B730" s="10">
        <f>76.1745 * CHOOSE(CONTROL!$C$9, $D$9, 100%, $F$9) + CHOOSE(CONTROL!$C$27, 0.0021, 0)</f>
        <v>76.176599999999993</v>
      </c>
      <c r="C730" s="10">
        <f>75.7422 * CHOOSE(CONTROL!$C$9, $D$9, 100%, $F$9) + CHOOSE(CONTROL!$C$27, 0.0021, 0)</f>
        <v>75.744299999999996</v>
      </c>
      <c r="D730" s="10">
        <f>75.7422 * CHOOSE(CONTROL!$C$9, $D$9, 100%, $F$9) + CHOOSE(CONTROL!$C$27, 0.0021, 0)</f>
        <v>75.744299999999996</v>
      </c>
      <c r="E730" s="10">
        <f>75.6056 * CHOOSE(CONTROL!$C$9, $D$9, 100%, $F$9) + CHOOSE(CONTROL!$C$27, 0.0021, 0)</f>
        <v>75.607699999999994</v>
      </c>
      <c r="F730" s="10">
        <f>75.6056 * CHOOSE(CONTROL!$C$9, $D$9, 100%, $F$9) + CHOOSE(CONTROL!$C$27, 0.0021, 0)</f>
        <v>75.607699999999994</v>
      </c>
      <c r="G730" s="10">
        <f>75.877 * CHOOSE(CONTROL!$C$9, $D$9, 100%, $F$9) + CHOOSE(CONTROL!$C$27, 0.0021, 0)</f>
        <v>75.879099999999994</v>
      </c>
      <c r="H730" s="10">
        <f>75.7422 * CHOOSE(CONTROL!$C$9, $D$9, 100%, $F$9) + CHOOSE(CONTROL!$C$27, 0.0021, 0)</f>
        <v>75.744299999999996</v>
      </c>
      <c r="I730" s="10">
        <f>75.7422 * CHOOSE(CONTROL!$C$9, $D$9, 100%, $F$9) + CHOOSE(CONTROL!$C$27, 0.0021, 0)</f>
        <v>75.744299999999996</v>
      </c>
      <c r="J730" s="10">
        <f>75.7422 * CHOOSE(CONTROL!$C$9, $D$9, 100%, $F$9) + CHOOSE(CONTROL!$C$27, 0.0021, 0)</f>
        <v>75.744299999999996</v>
      </c>
      <c r="K730" s="10">
        <f>75.7422 * CHOOSE(CONTROL!$C$9, $D$9, 100%, $F$9) + CHOOSE(CONTROL!$C$27, 0.0021, 0)</f>
        <v>75.744299999999996</v>
      </c>
      <c r="L730" s="10"/>
    </row>
    <row r="731" spans="1:12" ht="15.75" x14ac:dyDescent="0.25">
      <c r="A731" s="13">
        <v>63189</v>
      </c>
      <c r="B731" s="10">
        <f>74.7258 * CHOOSE(CONTROL!$C$9, $D$9, 100%, $F$9) + CHOOSE(CONTROL!$C$27, 0.0021, 0)</f>
        <v>74.727900000000005</v>
      </c>
      <c r="C731" s="10">
        <f>74.2936 * CHOOSE(CONTROL!$C$9, $D$9, 100%, $F$9) + CHOOSE(CONTROL!$C$27, 0.0021, 0)</f>
        <v>74.295699999999997</v>
      </c>
      <c r="D731" s="10">
        <f>74.2936 * CHOOSE(CONTROL!$C$9, $D$9, 100%, $F$9) + CHOOSE(CONTROL!$C$27, 0.0021, 0)</f>
        <v>74.295699999999997</v>
      </c>
      <c r="E731" s="10">
        <f>74.1569 * CHOOSE(CONTROL!$C$9, $D$9, 100%, $F$9) + CHOOSE(CONTROL!$C$27, 0.0021, 0)</f>
        <v>74.158999999999992</v>
      </c>
      <c r="F731" s="10">
        <f>74.1569 * CHOOSE(CONTROL!$C$9, $D$9, 100%, $F$9) + CHOOSE(CONTROL!$C$27, 0.0021, 0)</f>
        <v>74.158999999999992</v>
      </c>
      <c r="G731" s="10">
        <f>74.4283 * CHOOSE(CONTROL!$C$9, $D$9, 100%, $F$9) + CHOOSE(CONTROL!$C$27, 0.0021, 0)</f>
        <v>74.430399999999992</v>
      </c>
      <c r="H731" s="10">
        <f>74.2936 * CHOOSE(CONTROL!$C$9, $D$9, 100%, $F$9) + CHOOSE(CONTROL!$C$27, 0.0021, 0)</f>
        <v>74.295699999999997</v>
      </c>
      <c r="I731" s="10">
        <f>74.2936 * CHOOSE(CONTROL!$C$9, $D$9, 100%, $F$9) + CHOOSE(CONTROL!$C$27, 0.0021, 0)</f>
        <v>74.295699999999997</v>
      </c>
      <c r="J731" s="10">
        <f>74.2936 * CHOOSE(CONTROL!$C$9, $D$9, 100%, $F$9) + CHOOSE(CONTROL!$C$27, 0.0021, 0)</f>
        <v>74.295699999999997</v>
      </c>
      <c r="K731" s="10">
        <f>74.2936 * CHOOSE(CONTROL!$C$9, $D$9, 100%, $F$9) + CHOOSE(CONTROL!$C$27, 0.0021, 0)</f>
        <v>74.295699999999997</v>
      </c>
      <c r="L731" s="10"/>
    </row>
    <row r="732" spans="1:12" ht="15.75" x14ac:dyDescent="0.25">
      <c r="A732" s="13">
        <v>63220</v>
      </c>
      <c r="B732" s="10">
        <f>73.7768 * CHOOSE(CONTROL!$C$9, $D$9, 100%, $F$9) + CHOOSE(CONTROL!$C$27, 0.0021, 0)</f>
        <v>73.778899999999993</v>
      </c>
      <c r="C732" s="10">
        <f>73.3445 * CHOOSE(CONTROL!$C$9, $D$9, 100%, $F$9) + CHOOSE(CONTROL!$C$27, 0.0021, 0)</f>
        <v>73.346599999999995</v>
      </c>
      <c r="D732" s="10">
        <f>73.3445 * CHOOSE(CONTROL!$C$9, $D$9, 100%, $F$9) + CHOOSE(CONTROL!$C$27, 0.0021, 0)</f>
        <v>73.346599999999995</v>
      </c>
      <c r="E732" s="10">
        <f>73.2079 * CHOOSE(CONTROL!$C$9, $D$9, 100%, $F$9) + CHOOSE(CONTROL!$C$27, 0.0021, 0)</f>
        <v>73.209999999999994</v>
      </c>
      <c r="F732" s="10">
        <f>73.2079 * CHOOSE(CONTROL!$C$9, $D$9, 100%, $F$9) + CHOOSE(CONTROL!$C$27, 0.0021, 0)</f>
        <v>73.209999999999994</v>
      </c>
      <c r="G732" s="10">
        <f>73.4793 * CHOOSE(CONTROL!$C$9, $D$9, 100%, $F$9) + CHOOSE(CONTROL!$C$27, 0.0021, 0)</f>
        <v>73.481399999999994</v>
      </c>
      <c r="H732" s="10">
        <f>73.3445 * CHOOSE(CONTROL!$C$9, $D$9, 100%, $F$9) + CHOOSE(CONTROL!$C$27, 0.0021, 0)</f>
        <v>73.346599999999995</v>
      </c>
      <c r="I732" s="10">
        <f>73.3445 * CHOOSE(CONTROL!$C$9, $D$9, 100%, $F$9) + CHOOSE(CONTROL!$C$27, 0.0021, 0)</f>
        <v>73.346599999999995</v>
      </c>
      <c r="J732" s="10">
        <f>73.3445 * CHOOSE(CONTROL!$C$9, $D$9, 100%, $F$9) + CHOOSE(CONTROL!$C$27, 0.0021, 0)</f>
        <v>73.346599999999995</v>
      </c>
      <c r="K732" s="10">
        <f>73.3445 * CHOOSE(CONTROL!$C$9, $D$9, 100%, $F$9) + CHOOSE(CONTROL!$C$27, 0.0021, 0)</f>
        <v>73.346599999999995</v>
      </c>
      <c r="L732" s="10"/>
    </row>
    <row r="733" spans="1:12" ht="15.75" x14ac:dyDescent="0.25">
      <c r="A733" s="13">
        <v>63248</v>
      </c>
      <c r="B733" s="10">
        <f>71.7548 * CHOOSE(CONTROL!$C$9, $D$9, 100%, $F$9) + CHOOSE(CONTROL!$C$27, 0.0021, 0)</f>
        <v>71.756900000000002</v>
      </c>
      <c r="C733" s="10">
        <f>71.3226 * CHOOSE(CONTROL!$C$9, $D$9, 100%, $F$9) + CHOOSE(CONTROL!$C$27, 0.0021, 0)</f>
        <v>71.324699999999993</v>
      </c>
      <c r="D733" s="10">
        <f>71.3226 * CHOOSE(CONTROL!$C$9, $D$9, 100%, $F$9) + CHOOSE(CONTROL!$C$27, 0.0021, 0)</f>
        <v>71.324699999999993</v>
      </c>
      <c r="E733" s="10">
        <f>71.1859 * CHOOSE(CONTROL!$C$9, $D$9, 100%, $F$9) + CHOOSE(CONTROL!$C$27, 0.0021, 0)</f>
        <v>71.188000000000002</v>
      </c>
      <c r="F733" s="10">
        <f>71.1859 * CHOOSE(CONTROL!$C$9, $D$9, 100%, $F$9) + CHOOSE(CONTROL!$C$27, 0.0021, 0)</f>
        <v>71.188000000000002</v>
      </c>
      <c r="G733" s="10">
        <f>71.4573 * CHOOSE(CONTROL!$C$9, $D$9, 100%, $F$9) + CHOOSE(CONTROL!$C$27, 0.0021, 0)</f>
        <v>71.459400000000002</v>
      </c>
      <c r="H733" s="10">
        <f>71.3226 * CHOOSE(CONTROL!$C$9, $D$9, 100%, $F$9) + CHOOSE(CONTROL!$C$27, 0.0021, 0)</f>
        <v>71.324699999999993</v>
      </c>
      <c r="I733" s="10">
        <f>71.3226 * CHOOSE(CONTROL!$C$9, $D$9, 100%, $F$9) + CHOOSE(CONTROL!$C$27, 0.0021, 0)</f>
        <v>71.324699999999993</v>
      </c>
      <c r="J733" s="10">
        <f>71.3226 * CHOOSE(CONTROL!$C$9, $D$9, 100%, $F$9) + CHOOSE(CONTROL!$C$27, 0.0021, 0)</f>
        <v>71.324699999999993</v>
      </c>
      <c r="K733" s="10">
        <f>71.3226 * CHOOSE(CONTROL!$C$9, $D$9, 100%, $F$9) + CHOOSE(CONTROL!$C$27, 0.0021, 0)</f>
        <v>71.324699999999993</v>
      </c>
      <c r="L733" s="10"/>
    </row>
    <row r="734" spans="1:12" ht="15.75" x14ac:dyDescent="0.25">
      <c r="A734" s="13">
        <v>63279</v>
      </c>
      <c r="B734" s="10">
        <f>70.9202 * CHOOSE(CONTROL!$C$9, $D$9, 100%, $F$9) + CHOOSE(CONTROL!$C$27, 0.0021, 0)</f>
        <v>70.922299999999993</v>
      </c>
      <c r="C734" s="10">
        <f>70.4879 * CHOOSE(CONTROL!$C$9, $D$9, 100%, $F$9) + CHOOSE(CONTROL!$C$27, 0.0021, 0)</f>
        <v>70.489999999999995</v>
      </c>
      <c r="D734" s="10">
        <f>70.4879 * CHOOSE(CONTROL!$C$9, $D$9, 100%, $F$9) + CHOOSE(CONTROL!$C$27, 0.0021, 0)</f>
        <v>70.489999999999995</v>
      </c>
      <c r="E734" s="10">
        <f>70.3513 * CHOOSE(CONTROL!$C$9, $D$9, 100%, $F$9) + CHOOSE(CONTROL!$C$27, 0.0021, 0)</f>
        <v>70.353399999999993</v>
      </c>
      <c r="F734" s="10">
        <f>70.3513 * CHOOSE(CONTROL!$C$9, $D$9, 100%, $F$9) + CHOOSE(CONTROL!$C$27, 0.0021, 0)</f>
        <v>70.353399999999993</v>
      </c>
      <c r="G734" s="10">
        <f>70.6226 * CHOOSE(CONTROL!$C$9, $D$9, 100%, $F$9) + CHOOSE(CONTROL!$C$27, 0.0021, 0)</f>
        <v>70.624700000000004</v>
      </c>
      <c r="H734" s="10">
        <f>70.4879 * CHOOSE(CONTROL!$C$9, $D$9, 100%, $F$9) + CHOOSE(CONTROL!$C$27, 0.0021, 0)</f>
        <v>70.489999999999995</v>
      </c>
      <c r="I734" s="10">
        <f>70.4879 * CHOOSE(CONTROL!$C$9, $D$9, 100%, $F$9) + CHOOSE(CONTROL!$C$27, 0.0021, 0)</f>
        <v>70.489999999999995</v>
      </c>
      <c r="J734" s="10">
        <f>70.4879 * CHOOSE(CONTROL!$C$9, $D$9, 100%, $F$9) + CHOOSE(CONTROL!$C$27, 0.0021, 0)</f>
        <v>70.489999999999995</v>
      </c>
      <c r="K734" s="10">
        <f>70.4879 * CHOOSE(CONTROL!$C$9, $D$9, 100%, $F$9) + CHOOSE(CONTROL!$C$27, 0.0021, 0)</f>
        <v>70.489999999999995</v>
      </c>
      <c r="L734" s="10"/>
    </row>
    <row r="735" spans="1:12" ht="15.75" x14ac:dyDescent="0.25">
      <c r="A735" s="13">
        <v>63309</v>
      </c>
      <c r="B735" s="10">
        <f>69.9236 * CHOOSE(CONTROL!$C$9, $D$9, 100%, $F$9) + CHOOSE(CONTROL!$C$27, 0.0021, 0)</f>
        <v>69.925699999999992</v>
      </c>
      <c r="C735" s="10">
        <f>69.4913 * CHOOSE(CONTROL!$C$9, $D$9, 100%, $F$9) + CHOOSE(CONTROL!$C$27, 0.0021, 0)</f>
        <v>69.493399999999994</v>
      </c>
      <c r="D735" s="10">
        <f>69.4913 * CHOOSE(CONTROL!$C$9, $D$9, 100%, $F$9) + CHOOSE(CONTROL!$C$27, 0.0021, 0)</f>
        <v>69.493399999999994</v>
      </c>
      <c r="E735" s="10">
        <f>69.3546 * CHOOSE(CONTROL!$C$9, $D$9, 100%, $F$9) + CHOOSE(CONTROL!$C$27, 0.0021, 0)</f>
        <v>69.356700000000004</v>
      </c>
      <c r="F735" s="10">
        <f>69.3546 * CHOOSE(CONTROL!$C$9, $D$9, 100%, $F$9) + CHOOSE(CONTROL!$C$27, 0.0021, 0)</f>
        <v>69.356700000000004</v>
      </c>
      <c r="G735" s="10">
        <f>69.626 * CHOOSE(CONTROL!$C$9, $D$9, 100%, $F$9) + CHOOSE(CONTROL!$C$27, 0.0021, 0)</f>
        <v>69.628100000000003</v>
      </c>
      <c r="H735" s="10">
        <f>69.4913 * CHOOSE(CONTROL!$C$9, $D$9, 100%, $F$9) + CHOOSE(CONTROL!$C$27, 0.0021, 0)</f>
        <v>69.493399999999994</v>
      </c>
      <c r="I735" s="10">
        <f>69.4913 * CHOOSE(CONTROL!$C$9, $D$9, 100%, $F$9) + CHOOSE(CONTROL!$C$27, 0.0021, 0)</f>
        <v>69.493399999999994</v>
      </c>
      <c r="J735" s="10">
        <f>69.4913 * CHOOSE(CONTROL!$C$9, $D$9, 100%, $F$9) + CHOOSE(CONTROL!$C$27, 0.0021, 0)</f>
        <v>69.493399999999994</v>
      </c>
      <c r="K735" s="10">
        <f>69.4913 * CHOOSE(CONTROL!$C$9, $D$9, 100%, $F$9) + CHOOSE(CONTROL!$C$27, 0.0021, 0)</f>
        <v>69.493399999999994</v>
      </c>
      <c r="L735" s="10"/>
    </row>
    <row r="736" spans="1:12" ht="15.75" x14ac:dyDescent="0.25">
      <c r="A736" s="13">
        <v>63340</v>
      </c>
      <c r="B736" s="10">
        <f>71.3438 * CHOOSE(CONTROL!$C$9, $D$9, 100%, $F$9) + CHOOSE(CONTROL!$C$27, 0.0021, 0)</f>
        <v>71.3459</v>
      </c>
      <c r="C736" s="10">
        <f>70.9116 * CHOOSE(CONTROL!$C$9, $D$9, 100%, $F$9) + CHOOSE(CONTROL!$C$27, 0.0021, 0)</f>
        <v>70.913700000000006</v>
      </c>
      <c r="D736" s="10">
        <f>70.9116 * CHOOSE(CONTROL!$C$9, $D$9, 100%, $F$9) + CHOOSE(CONTROL!$C$27, 0.0021, 0)</f>
        <v>70.913700000000006</v>
      </c>
      <c r="E736" s="10">
        <f>70.7749 * CHOOSE(CONTROL!$C$9, $D$9, 100%, $F$9) + CHOOSE(CONTROL!$C$27, 0.0021, 0)</f>
        <v>70.777000000000001</v>
      </c>
      <c r="F736" s="10">
        <f>70.7749 * CHOOSE(CONTROL!$C$9, $D$9, 100%, $F$9) + CHOOSE(CONTROL!$C$27, 0.0021, 0)</f>
        <v>70.777000000000001</v>
      </c>
      <c r="G736" s="10">
        <f>71.0463 * CHOOSE(CONTROL!$C$9, $D$9, 100%, $F$9) + CHOOSE(CONTROL!$C$27, 0.0021, 0)</f>
        <v>71.048400000000001</v>
      </c>
      <c r="H736" s="10">
        <f>70.9116 * CHOOSE(CONTROL!$C$9, $D$9, 100%, $F$9) + CHOOSE(CONTROL!$C$27, 0.0021, 0)</f>
        <v>70.913700000000006</v>
      </c>
      <c r="I736" s="10">
        <f>70.9116 * CHOOSE(CONTROL!$C$9, $D$9, 100%, $F$9) + CHOOSE(CONTROL!$C$27, 0.0021, 0)</f>
        <v>70.913700000000006</v>
      </c>
      <c r="J736" s="10">
        <f>70.9116 * CHOOSE(CONTROL!$C$9, $D$9, 100%, $F$9) + CHOOSE(CONTROL!$C$27, 0.0021, 0)</f>
        <v>70.913700000000006</v>
      </c>
      <c r="K736" s="10">
        <f>70.9116 * CHOOSE(CONTROL!$C$9, $D$9, 100%, $F$9) + CHOOSE(CONTROL!$C$27, 0.0021, 0)</f>
        <v>70.913700000000006</v>
      </c>
      <c r="L736" s="10"/>
    </row>
    <row r="737" spans="1:12" ht="15.75" x14ac:dyDescent="0.25">
      <c r="A737" s="13">
        <v>63370</v>
      </c>
      <c r="B737" s="10">
        <f>72.1945 * CHOOSE(CONTROL!$C$9, $D$9, 100%, $F$9) + CHOOSE(CONTROL!$C$27, 0.0021, 0)</f>
        <v>72.196600000000004</v>
      </c>
      <c r="C737" s="10">
        <f>71.7623 * CHOOSE(CONTROL!$C$9, $D$9, 100%, $F$9) + CHOOSE(CONTROL!$C$27, 0.0021, 0)</f>
        <v>71.764399999999995</v>
      </c>
      <c r="D737" s="10">
        <f>71.7623 * CHOOSE(CONTROL!$C$9, $D$9, 100%, $F$9) + CHOOSE(CONTROL!$C$27, 0.0021, 0)</f>
        <v>71.764399999999995</v>
      </c>
      <c r="E737" s="10">
        <f>71.6256 * CHOOSE(CONTROL!$C$9, $D$9, 100%, $F$9) + CHOOSE(CONTROL!$C$27, 0.0021, 0)</f>
        <v>71.627700000000004</v>
      </c>
      <c r="F737" s="10">
        <f>71.6256 * CHOOSE(CONTROL!$C$9, $D$9, 100%, $F$9) + CHOOSE(CONTROL!$C$27, 0.0021, 0)</f>
        <v>71.627700000000004</v>
      </c>
      <c r="G737" s="10">
        <f>71.897 * CHOOSE(CONTROL!$C$9, $D$9, 100%, $F$9) + CHOOSE(CONTROL!$C$27, 0.0021, 0)</f>
        <v>71.899100000000004</v>
      </c>
      <c r="H737" s="10">
        <f>71.7623 * CHOOSE(CONTROL!$C$9, $D$9, 100%, $F$9) + CHOOSE(CONTROL!$C$27, 0.0021, 0)</f>
        <v>71.764399999999995</v>
      </c>
      <c r="I737" s="10">
        <f>71.7623 * CHOOSE(CONTROL!$C$9, $D$9, 100%, $F$9) + CHOOSE(CONTROL!$C$27, 0.0021, 0)</f>
        <v>71.764399999999995</v>
      </c>
      <c r="J737" s="10">
        <f>71.7623 * CHOOSE(CONTROL!$C$9, $D$9, 100%, $F$9) + CHOOSE(CONTROL!$C$27, 0.0021, 0)</f>
        <v>71.764399999999995</v>
      </c>
      <c r="K737" s="10">
        <f>71.7623 * CHOOSE(CONTROL!$C$9, $D$9, 100%, $F$9) + CHOOSE(CONTROL!$C$27, 0.0021, 0)</f>
        <v>71.764399999999995</v>
      </c>
      <c r="L737" s="10"/>
    </row>
    <row r="738" spans="1:12" ht="15.75" x14ac:dyDescent="0.25">
      <c r="A738" s="13">
        <v>63401</v>
      </c>
      <c r="B738" s="10">
        <f>73.5979 * CHOOSE(CONTROL!$C$9, $D$9, 100%, $F$9) + CHOOSE(CONTROL!$C$27, 0.0021, 0)</f>
        <v>73.599999999999994</v>
      </c>
      <c r="C738" s="10">
        <f>73.1656 * CHOOSE(CONTROL!$C$9, $D$9, 100%, $F$9) + CHOOSE(CONTROL!$C$27, 0.0021, 0)</f>
        <v>73.167699999999996</v>
      </c>
      <c r="D738" s="10">
        <f>73.1656 * CHOOSE(CONTROL!$C$9, $D$9, 100%, $F$9) + CHOOSE(CONTROL!$C$27, 0.0021, 0)</f>
        <v>73.167699999999996</v>
      </c>
      <c r="E738" s="10">
        <f>73.029 * CHOOSE(CONTROL!$C$9, $D$9, 100%, $F$9) + CHOOSE(CONTROL!$C$27, 0.0021, 0)</f>
        <v>73.031099999999995</v>
      </c>
      <c r="F738" s="10">
        <f>73.029 * CHOOSE(CONTROL!$C$9, $D$9, 100%, $F$9) + CHOOSE(CONTROL!$C$27, 0.0021, 0)</f>
        <v>73.031099999999995</v>
      </c>
      <c r="G738" s="10">
        <f>73.3003 * CHOOSE(CONTROL!$C$9, $D$9, 100%, $F$9) + CHOOSE(CONTROL!$C$27, 0.0021, 0)</f>
        <v>73.302399999999992</v>
      </c>
      <c r="H738" s="10">
        <f>73.1656 * CHOOSE(CONTROL!$C$9, $D$9, 100%, $F$9) + CHOOSE(CONTROL!$C$27, 0.0021, 0)</f>
        <v>73.167699999999996</v>
      </c>
      <c r="I738" s="10">
        <f>73.1656 * CHOOSE(CONTROL!$C$9, $D$9, 100%, $F$9) + CHOOSE(CONTROL!$C$27, 0.0021, 0)</f>
        <v>73.167699999999996</v>
      </c>
      <c r="J738" s="10">
        <f>73.1656 * CHOOSE(CONTROL!$C$9, $D$9, 100%, $F$9) + CHOOSE(CONTROL!$C$27, 0.0021, 0)</f>
        <v>73.167699999999996</v>
      </c>
      <c r="K738" s="10">
        <f>73.1656 * CHOOSE(CONTROL!$C$9, $D$9, 100%, $F$9) + CHOOSE(CONTROL!$C$27, 0.0021, 0)</f>
        <v>73.167699999999996</v>
      </c>
      <c r="L738" s="10"/>
    </row>
    <row r="739" spans="1:12" ht="15.75" x14ac:dyDescent="0.25">
      <c r="A739" s="13">
        <v>63432</v>
      </c>
      <c r="B739" s="10">
        <f>74.0262 * CHOOSE(CONTROL!$C$9, $D$9, 100%, $F$9) + CHOOSE(CONTROL!$C$27, 0.0021, 0)</f>
        <v>74.028300000000002</v>
      </c>
      <c r="C739" s="10">
        <f>73.594 * CHOOSE(CONTROL!$C$9, $D$9, 100%, $F$9) + CHOOSE(CONTROL!$C$27, 0.0021, 0)</f>
        <v>73.596099999999993</v>
      </c>
      <c r="D739" s="10">
        <f>73.594 * CHOOSE(CONTROL!$C$9, $D$9, 100%, $F$9) + CHOOSE(CONTROL!$C$27, 0.0021, 0)</f>
        <v>73.596099999999993</v>
      </c>
      <c r="E739" s="10">
        <f>73.4573 * CHOOSE(CONTROL!$C$9, $D$9, 100%, $F$9) + CHOOSE(CONTROL!$C$27, 0.0021, 0)</f>
        <v>73.459400000000002</v>
      </c>
      <c r="F739" s="10">
        <f>73.4573 * CHOOSE(CONTROL!$C$9, $D$9, 100%, $F$9) + CHOOSE(CONTROL!$C$27, 0.0021, 0)</f>
        <v>73.459400000000002</v>
      </c>
      <c r="G739" s="10">
        <f>73.7287 * CHOOSE(CONTROL!$C$9, $D$9, 100%, $F$9) + CHOOSE(CONTROL!$C$27, 0.0021, 0)</f>
        <v>73.730800000000002</v>
      </c>
      <c r="H739" s="10">
        <f>73.594 * CHOOSE(CONTROL!$C$9, $D$9, 100%, $F$9) + CHOOSE(CONTROL!$C$27, 0.0021, 0)</f>
        <v>73.596099999999993</v>
      </c>
      <c r="I739" s="10">
        <f>73.594 * CHOOSE(CONTROL!$C$9, $D$9, 100%, $F$9) + CHOOSE(CONTROL!$C$27, 0.0021, 0)</f>
        <v>73.596099999999993</v>
      </c>
      <c r="J739" s="10">
        <f>73.594 * CHOOSE(CONTROL!$C$9, $D$9, 100%, $F$9) + CHOOSE(CONTROL!$C$27, 0.0021, 0)</f>
        <v>73.596099999999993</v>
      </c>
      <c r="K739" s="10">
        <f>73.594 * CHOOSE(CONTROL!$C$9, $D$9, 100%, $F$9) + CHOOSE(CONTROL!$C$27, 0.0021, 0)</f>
        <v>73.596099999999993</v>
      </c>
      <c r="L739" s="10"/>
    </row>
    <row r="740" spans="1:12" ht="15.75" x14ac:dyDescent="0.25">
      <c r="A740" s="13">
        <v>63462</v>
      </c>
      <c r="B740" s="10">
        <f>75.4849 * CHOOSE(CONTROL!$C$9, $D$9, 100%, $F$9) + CHOOSE(CONTROL!$C$27, 0.0021, 0)</f>
        <v>75.486999999999995</v>
      </c>
      <c r="C740" s="10">
        <f>75.0527 * CHOOSE(CONTROL!$C$9, $D$9, 100%, $F$9) + CHOOSE(CONTROL!$C$27, 0.0021, 0)</f>
        <v>75.0548</v>
      </c>
      <c r="D740" s="10">
        <f>75.0527 * CHOOSE(CONTROL!$C$9, $D$9, 100%, $F$9) + CHOOSE(CONTROL!$C$27, 0.0021, 0)</f>
        <v>75.0548</v>
      </c>
      <c r="E740" s="10">
        <f>74.916 * CHOOSE(CONTROL!$C$9, $D$9, 100%, $F$9) + CHOOSE(CONTROL!$C$27, 0.0021, 0)</f>
        <v>74.918099999999995</v>
      </c>
      <c r="F740" s="10">
        <f>74.916 * CHOOSE(CONTROL!$C$9, $D$9, 100%, $F$9) + CHOOSE(CONTROL!$C$27, 0.0021, 0)</f>
        <v>74.918099999999995</v>
      </c>
      <c r="G740" s="10">
        <f>75.1874 * CHOOSE(CONTROL!$C$9, $D$9, 100%, $F$9) + CHOOSE(CONTROL!$C$27, 0.0021, 0)</f>
        <v>75.189499999999995</v>
      </c>
      <c r="H740" s="10">
        <f>75.0527 * CHOOSE(CONTROL!$C$9, $D$9, 100%, $F$9) + CHOOSE(CONTROL!$C$27, 0.0021, 0)</f>
        <v>75.0548</v>
      </c>
      <c r="I740" s="10">
        <f>75.0527 * CHOOSE(CONTROL!$C$9, $D$9, 100%, $F$9) + CHOOSE(CONTROL!$C$27, 0.0021, 0)</f>
        <v>75.0548</v>
      </c>
      <c r="J740" s="10">
        <f>75.0527 * CHOOSE(CONTROL!$C$9, $D$9, 100%, $F$9) + CHOOSE(CONTROL!$C$27, 0.0021, 0)</f>
        <v>75.0548</v>
      </c>
      <c r="K740" s="10">
        <f>75.0527 * CHOOSE(CONTROL!$C$9, $D$9, 100%, $F$9) + CHOOSE(CONTROL!$C$27, 0.0021, 0)</f>
        <v>75.0548</v>
      </c>
      <c r="L740" s="10"/>
    </row>
    <row r="741" spans="1:12" ht="15.75" x14ac:dyDescent="0.25">
      <c r="A741" s="13">
        <v>63493</v>
      </c>
      <c r="B741" s="10">
        <f>77.3314 * CHOOSE(CONTROL!$C$9, $D$9, 100%, $F$9) + CHOOSE(CONTROL!$C$27, 0.0021, 0)</f>
        <v>77.333500000000001</v>
      </c>
      <c r="C741" s="10">
        <f>76.8991 * CHOOSE(CONTROL!$C$9, $D$9, 100%, $F$9) + CHOOSE(CONTROL!$C$27, 0.0021, 0)</f>
        <v>76.901200000000003</v>
      </c>
      <c r="D741" s="10">
        <f>76.8991 * CHOOSE(CONTROL!$C$9, $D$9, 100%, $F$9) + CHOOSE(CONTROL!$C$27, 0.0021, 0)</f>
        <v>76.901200000000003</v>
      </c>
      <c r="E741" s="10">
        <f>76.7625 * CHOOSE(CONTROL!$C$9, $D$9, 100%, $F$9) + CHOOSE(CONTROL!$C$27, 0.0021, 0)</f>
        <v>76.764600000000002</v>
      </c>
      <c r="F741" s="10">
        <f>76.7625 * CHOOSE(CONTROL!$C$9, $D$9, 100%, $F$9) + CHOOSE(CONTROL!$C$27, 0.0021, 0)</f>
        <v>76.764600000000002</v>
      </c>
      <c r="G741" s="10">
        <f>77.0339 * CHOOSE(CONTROL!$C$9, $D$9, 100%, $F$9) + CHOOSE(CONTROL!$C$27, 0.0021, 0)</f>
        <v>77.036000000000001</v>
      </c>
      <c r="H741" s="10">
        <f>76.8991 * CHOOSE(CONTROL!$C$9, $D$9, 100%, $F$9) + CHOOSE(CONTROL!$C$27, 0.0021, 0)</f>
        <v>76.901200000000003</v>
      </c>
      <c r="I741" s="10">
        <f>76.8991 * CHOOSE(CONTROL!$C$9, $D$9, 100%, $F$9) + CHOOSE(CONTROL!$C$27, 0.0021, 0)</f>
        <v>76.901200000000003</v>
      </c>
      <c r="J741" s="10">
        <f>76.8991 * CHOOSE(CONTROL!$C$9, $D$9, 100%, $F$9) + CHOOSE(CONTROL!$C$27, 0.0021, 0)</f>
        <v>76.901200000000003</v>
      </c>
      <c r="K741" s="10">
        <f>76.8991 * CHOOSE(CONTROL!$C$9, $D$9, 100%, $F$9) + CHOOSE(CONTROL!$C$27, 0.0021, 0)</f>
        <v>76.901200000000003</v>
      </c>
      <c r="L741" s="10"/>
    </row>
    <row r="742" spans="1:12" ht="15.75" x14ac:dyDescent="0.25">
      <c r="A742" s="13">
        <v>63523</v>
      </c>
      <c r="B742" s="10">
        <f>77.5047 * CHOOSE(CONTROL!$C$9, $D$9, 100%, $F$9) + CHOOSE(CONTROL!$C$27, 0.0021, 0)</f>
        <v>77.506799999999998</v>
      </c>
      <c r="C742" s="10">
        <f>77.0725 * CHOOSE(CONTROL!$C$9, $D$9, 100%, $F$9) + CHOOSE(CONTROL!$C$27, 0.0021, 0)</f>
        <v>77.074600000000004</v>
      </c>
      <c r="D742" s="10">
        <f>77.0725 * CHOOSE(CONTROL!$C$9, $D$9, 100%, $F$9) + CHOOSE(CONTROL!$C$27, 0.0021, 0)</f>
        <v>77.074600000000004</v>
      </c>
      <c r="E742" s="10">
        <f>76.9358 * CHOOSE(CONTROL!$C$9, $D$9, 100%, $F$9) + CHOOSE(CONTROL!$C$27, 0.0021, 0)</f>
        <v>76.937899999999999</v>
      </c>
      <c r="F742" s="10">
        <f>76.9358 * CHOOSE(CONTROL!$C$9, $D$9, 100%, $F$9) + CHOOSE(CONTROL!$C$27, 0.0021, 0)</f>
        <v>76.937899999999999</v>
      </c>
      <c r="G742" s="10">
        <f>77.2072 * CHOOSE(CONTROL!$C$9, $D$9, 100%, $F$9) + CHOOSE(CONTROL!$C$27, 0.0021, 0)</f>
        <v>77.209299999999999</v>
      </c>
      <c r="H742" s="10">
        <f>77.0725 * CHOOSE(CONTROL!$C$9, $D$9, 100%, $F$9) + CHOOSE(CONTROL!$C$27, 0.0021, 0)</f>
        <v>77.074600000000004</v>
      </c>
      <c r="I742" s="10">
        <f>77.0725 * CHOOSE(CONTROL!$C$9, $D$9, 100%, $F$9) + CHOOSE(CONTROL!$C$27, 0.0021, 0)</f>
        <v>77.074600000000004</v>
      </c>
      <c r="J742" s="10">
        <f>77.0725 * CHOOSE(CONTROL!$C$9, $D$9, 100%, $F$9) + CHOOSE(CONTROL!$C$27, 0.0021, 0)</f>
        <v>77.074600000000004</v>
      </c>
      <c r="K742" s="10">
        <f>77.0725 * CHOOSE(CONTROL!$C$9, $D$9, 100%, $F$9) + CHOOSE(CONTROL!$C$27, 0.0021, 0)</f>
        <v>77.074600000000004</v>
      </c>
      <c r="L742" s="10"/>
    </row>
    <row r="743" spans="1:12" ht="15.75" x14ac:dyDescent="0.25">
      <c r="A743" s="13">
        <v>63554</v>
      </c>
      <c r="B743" s="10">
        <f>76.03 * CHOOSE(CONTROL!$C$9, $D$9, 100%, $F$9) + CHOOSE(CONTROL!$C$27, 0.0021, 0)</f>
        <v>76.0321</v>
      </c>
      <c r="C743" s="10">
        <f>75.5977 * CHOOSE(CONTROL!$C$9, $D$9, 100%, $F$9) + CHOOSE(CONTROL!$C$27, 0.0021, 0)</f>
        <v>75.599800000000002</v>
      </c>
      <c r="D743" s="10">
        <f>75.5977 * CHOOSE(CONTROL!$C$9, $D$9, 100%, $F$9) + CHOOSE(CONTROL!$C$27, 0.0021, 0)</f>
        <v>75.599800000000002</v>
      </c>
      <c r="E743" s="10">
        <f>75.4611 * CHOOSE(CONTROL!$C$9, $D$9, 100%, $F$9) + CHOOSE(CONTROL!$C$27, 0.0021, 0)</f>
        <v>75.463200000000001</v>
      </c>
      <c r="F743" s="10">
        <f>75.4611 * CHOOSE(CONTROL!$C$9, $D$9, 100%, $F$9) + CHOOSE(CONTROL!$C$27, 0.0021, 0)</f>
        <v>75.463200000000001</v>
      </c>
      <c r="G743" s="10">
        <f>75.7325 * CHOOSE(CONTROL!$C$9, $D$9, 100%, $F$9) + CHOOSE(CONTROL!$C$27, 0.0021, 0)</f>
        <v>75.7346</v>
      </c>
      <c r="H743" s="10">
        <f>75.5977 * CHOOSE(CONTROL!$C$9, $D$9, 100%, $F$9) + CHOOSE(CONTROL!$C$27, 0.0021, 0)</f>
        <v>75.599800000000002</v>
      </c>
      <c r="I743" s="10">
        <f>75.5977 * CHOOSE(CONTROL!$C$9, $D$9, 100%, $F$9) + CHOOSE(CONTROL!$C$27, 0.0021, 0)</f>
        <v>75.599800000000002</v>
      </c>
      <c r="J743" s="10">
        <f>75.5977 * CHOOSE(CONTROL!$C$9, $D$9, 100%, $F$9) + CHOOSE(CONTROL!$C$27, 0.0021, 0)</f>
        <v>75.599800000000002</v>
      </c>
      <c r="K743" s="10">
        <f>75.5977 * CHOOSE(CONTROL!$C$9, $D$9, 100%, $F$9) + CHOOSE(CONTROL!$C$27, 0.0021, 0)</f>
        <v>75.599800000000002</v>
      </c>
      <c r="L743" s="10"/>
    </row>
    <row r="744" spans="1:12" ht="15.75" x14ac:dyDescent="0.25">
      <c r="A744" s="13">
        <v>63585</v>
      </c>
      <c r="B744" s="10">
        <f>75.0639 * CHOOSE(CONTROL!$C$9, $D$9, 100%, $F$9) + CHOOSE(CONTROL!$C$27, 0.0021, 0)</f>
        <v>75.066000000000003</v>
      </c>
      <c r="C744" s="10">
        <f>74.6316 * CHOOSE(CONTROL!$C$9, $D$9, 100%, $F$9) + CHOOSE(CONTROL!$C$27, 0.0021, 0)</f>
        <v>74.633700000000005</v>
      </c>
      <c r="D744" s="10">
        <f>74.6316 * CHOOSE(CONTROL!$C$9, $D$9, 100%, $F$9) + CHOOSE(CONTROL!$C$27, 0.0021, 0)</f>
        <v>74.633700000000005</v>
      </c>
      <c r="E744" s="10">
        <f>74.495 * CHOOSE(CONTROL!$C$9, $D$9, 100%, $F$9) + CHOOSE(CONTROL!$C$27, 0.0021, 0)</f>
        <v>74.497100000000003</v>
      </c>
      <c r="F744" s="10">
        <f>74.495 * CHOOSE(CONTROL!$C$9, $D$9, 100%, $F$9) + CHOOSE(CONTROL!$C$27, 0.0021, 0)</f>
        <v>74.497100000000003</v>
      </c>
      <c r="G744" s="10">
        <f>74.7663 * CHOOSE(CONTROL!$C$9, $D$9, 100%, $F$9) + CHOOSE(CONTROL!$C$27, 0.0021, 0)</f>
        <v>74.7684</v>
      </c>
      <c r="H744" s="10">
        <f>74.6316 * CHOOSE(CONTROL!$C$9, $D$9, 100%, $F$9) + CHOOSE(CONTROL!$C$27, 0.0021, 0)</f>
        <v>74.633700000000005</v>
      </c>
      <c r="I744" s="10">
        <f>74.6316 * CHOOSE(CONTROL!$C$9, $D$9, 100%, $F$9) + CHOOSE(CONTROL!$C$27, 0.0021, 0)</f>
        <v>74.633700000000005</v>
      </c>
      <c r="J744" s="10">
        <f>74.6316 * CHOOSE(CONTROL!$C$9, $D$9, 100%, $F$9) + CHOOSE(CONTROL!$C$27, 0.0021, 0)</f>
        <v>74.633700000000005</v>
      </c>
      <c r="K744" s="10">
        <f>74.6316 * CHOOSE(CONTROL!$C$9, $D$9, 100%, $F$9) + CHOOSE(CONTROL!$C$27, 0.0021, 0)</f>
        <v>74.633700000000005</v>
      </c>
      <c r="L744" s="10"/>
    </row>
    <row r="745" spans="1:12" ht="15.75" x14ac:dyDescent="0.25">
      <c r="A745" s="13">
        <v>63613</v>
      </c>
      <c r="B745" s="10">
        <f>73.0055 * CHOOSE(CONTROL!$C$9, $D$9, 100%, $F$9) + CHOOSE(CONTROL!$C$27, 0.0021, 0)</f>
        <v>73.007599999999996</v>
      </c>
      <c r="C745" s="10">
        <f>72.5732 * CHOOSE(CONTROL!$C$9, $D$9, 100%, $F$9) + CHOOSE(CONTROL!$C$27, 0.0021, 0)</f>
        <v>72.575299999999999</v>
      </c>
      <c r="D745" s="10">
        <f>72.5732 * CHOOSE(CONTROL!$C$9, $D$9, 100%, $F$9) + CHOOSE(CONTROL!$C$27, 0.0021, 0)</f>
        <v>72.575299999999999</v>
      </c>
      <c r="E745" s="10">
        <f>72.4366 * CHOOSE(CONTROL!$C$9, $D$9, 100%, $F$9) + CHOOSE(CONTROL!$C$27, 0.0021, 0)</f>
        <v>72.438699999999997</v>
      </c>
      <c r="F745" s="10">
        <f>72.4366 * CHOOSE(CONTROL!$C$9, $D$9, 100%, $F$9) + CHOOSE(CONTROL!$C$27, 0.0021, 0)</f>
        <v>72.438699999999997</v>
      </c>
      <c r="G745" s="10">
        <f>72.708 * CHOOSE(CONTROL!$C$9, $D$9, 100%, $F$9) + CHOOSE(CONTROL!$C$27, 0.0021, 0)</f>
        <v>72.710099999999997</v>
      </c>
      <c r="H745" s="10">
        <f>72.5732 * CHOOSE(CONTROL!$C$9, $D$9, 100%, $F$9) + CHOOSE(CONTROL!$C$27, 0.0021, 0)</f>
        <v>72.575299999999999</v>
      </c>
      <c r="I745" s="10">
        <f>72.5732 * CHOOSE(CONTROL!$C$9, $D$9, 100%, $F$9) + CHOOSE(CONTROL!$C$27, 0.0021, 0)</f>
        <v>72.575299999999999</v>
      </c>
      <c r="J745" s="10">
        <f>72.5732 * CHOOSE(CONTROL!$C$9, $D$9, 100%, $F$9) + CHOOSE(CONTROL!$C$27, 0.0021, 0)</f>
        <v>72.575299999999999</v>
      </c>
      <c r="K745" s="10">
        <f>72.5732 * CHOOSE(CONTROL!$C$9, $D$9, 100%, $F$9) + CHOOSE(CONTROL!$C$27, 0.0021, 0)</f>
        <v>72.575299999999999</v>
      </c>
      <c r="L745" s="10"/>
    </row>
    <row r="746" spans="1:12" ht="15.75" x14ac:dyDescent="0.25">
      <c r="A746" s="13">
        <v>63644</v>
      </c>
      <c r="B746" s="10">
        <f>72.1558 * CHOOSE(CONTROL!$C$9, $D$9, 100%, $F$9) + CHOOSE(CONTROL!$C$27, 0.0021, 0)</f>
        <v>72.157899999999998</v>
      </c>
      <c r="C746" s="10">
        <f>71.7235 * CHOOSE(CONTROL!$C$9, $D$9, 100%, $F$9) + CHOOSE(CONTROL!$C$27, 0.0021, 0)</f>
        <v>71.7256</v>
      </c>
      <c r="D746" s="10">
        <f>71.7235 * CHOOSE(CONTROL!$C$9, $D$9, 100%, $F$9) + CHOOSE(CONTROL!$C$27, 0.0021, 0)</f>
        <v>71.7256</v>
      </c>
      <c r="E746" s="10">
        <f>71.5869 * CHOOSE(CONTROL!$C$9, $D$9, 100%, $F$9) + CHOOSE(CONTROL!$C$27, 0.0021, 0)</f>
        <v>71.588999999999999</v>
      </c>
      <c r="F746" s="10">
        <f>71.5869 * CHOOSE(CONTROL!$C$9, $D$9, 100%, $F$9) + CHOOSE(CONTROL!$C$27, 0.0021, 0)</f>
        <v>71.588999999999999</v>
      </c>
      <c r="G746" s="10">
        <f>71.8583 * CHOOSE(CONTROL!$C$9, $D$9, 100%, $F$9) + CHOOSE(CONTROL!$C$27, 0.0021, 0)</f>
        <v>71.860399999999998</v>
      </c>
      <c r="H746" s="10">
        <f>71.7235 * CHOOSE(CONTROL!$C$9, $D$9, 100%, $F$9) + CHOOSE(CONTROL!$C$27, 0.0021, 0)</f>
        <v>71.7256</v>
      </c>
      <c r="I746" s="10">
        <f>71.7235 * CHOOSE(CONTROL!$C$9, $D$9, 100%, $F$9) + CHOOSE(CONTROL!$C$27, 0.0021, 0)</f>
        <v>71.7256</v>
      </c>
      <c r="J746" s="10">
        <f>71.7235 * CHOOSE(CONTROL!$C$9, $D$9, 100%, $F$9) + CHOOSE(CONTROL!$C$27, 0.0021, 0)</f>
        <v>71.7256</v>
      </c>
      <c r="K746" s="10">
        <f>71.7235 * CHOOSE(CONTROL!$C$9, $D$9, 100%, $F$9) + CHOOSE(CONTROL!$C$27, 0.0021, 0)</f>
        <v>71.7256</v>
      </c>
      <c r="L746" s="10"/>
    </row>
    <row r="747" spans="1:12" ht="15.75" x14ac:dyDescent="0.25">
      <c r="A747" s="13">
        <v>63674</v>
      </c>
      <c r="B747" s="10">
        <f>71.1412 * CHOOSE(CONTROL!$C$9, $D$9, 100%, $F$9) + CHOOSE(CONTROL!$C$27, 0.0021, 0)</f>
        <v>71.143299999999996</v>
      </c>
      <c r="C747" s="10">
        <f>70.709 * CHOOSE(CONTROL!$C$9, $D$9, 100%, $F$9) + CHOOSE(CONTROL!$C$27, 0.0021, 0)</f>
        <v>70.711100000000002</v>
      </c>
      <c r="D747" s="10">
        <f>70.709 * CHOOSE(CONTROL!$C$9, $D$9, 100%, $F$9) + CHOOSE(CONTROL!$C$27, 0.0021, 0)</f>
        <v>70.711100000000002</v>
      </c>
      <c r="E747" s="10">
        <f>70.5723 * CHOOSE(CONTROL!$C$9, $D$9, 100%, $F$9) + CHOOSE(CONTROL!$C$27, 0.0021, 0)</f>
        <v>70.574399999999997</v>
      </c>
      <c r="F747" s="10">
        <f>70.5723 * CHOOSE(CONTROL!$C$9, $D$9, 100%, $F$9) + CHOOSE(CONTROL!$C$27, 0.0021, 0)</f>
        <v>70.574399999999997</v>
      </c>
      <c r="G747" s="10">
        <f>70.8437 * CHOOSE(CONTROL!$C$9, $D$9, 100%, $F$9) + CHOOSE(CONTROL!$C$27, 0.0021, 0)</f>
        <v>70.845799999999997</v>
      </c>
      <c r="H747" s="10">
        <f>70.709 * CHOOSE(CONTROL!$C$9, $D$9, 100%, $F$9) + CHOOSE(CONTROL!$C$27, 0.0021, 0)</f>
        <v>70.711100000000002</v>
      </c>
      <c r="I747" s="10">
        <f>70.709 * CHOOSE(CONTROL!$C$9, $D$9, 100%, $F$9) + CHOOSE(CONTROL!$C$27, 0.0021, 0)</f>
        <v>70.711100000000002</v>
      </c>
      <c r="J747" s="10">
        <f>70.709 * CHOOSE(CONTROL!$C$9, $D$9, 100%, $F$9) + CHOOSE(CONTROL!$C$27, 0.0021, 0)</f>
        <v>70.711100000000002</v>
      </c>
      <c r="K747" s="10">
        <f>70.709 * CHOOSE(CONTROL!$C$9, $D$9, 100%, $F$9) + CHOOSE(CONTROL!$C$27, 0.0021, 0)</f>
        <v>70.711100000000002</v>
      </c>
      <c r="L747" s="10"/>
    </row>
    <row r="748" spans="1:12" ht="15.75" x14ac:dyDescent="0.25">
      <c r="A748" s="13">
        <v>63705</v>
      </c>
      <c r="B748" s="10">
        <f>72.5871 * CHOOSE(CONTROL!$C$9, $D$9, 100%, $F$9) + CHOOSE(CONTROL!$C$27, 0.0021, 0)</f>
        <v>72.589200000000005</v>
      </c>
      <c r="C748" s="10">
        <f>72.1549 * CHOOSE(CONTROL!$C$9, $D$9, 100%, $F$9) + CHOOSE(CONTROL!$C$27, 0.0021, 0)</f>
        <v>72.156999999999996</v>
      </c>
      <c r="D748" s="10">
        <f>72.1549 * CHOOSE(CONTROL!$C$9, $D$9, 100%, $F$9) + CHOOSE(CONTROL!$C$27, 0.0021, 0)</f>
        <v>72.156999999999996</v>
      </c>
      <c r="E748" s="10">
        <f>72.0182 * CHOOSE(CONTROL!$C$9, $D$9, 100%, $F$9) + CHOOSE(CONTROL!$C$27, 0.0021, 0)</f>
        <v>72.020299999999992</v>
      </c>
      <c r="F748" s="10">
        <f>72.0182 * CHOOSE(CONTROL!$C$9, $D$9, 100%, $F$9) + CHOOSE(CONTROL!$C$27, 0.0021, 0)</f>
        <v>72.020299999999992</v>
      </c>
      <c r="G748" s="10">
        <f>72.2896 * CHOOSE(CONTROL!$C$9, $D$9, 100%, $F$9) + CHOOSE(CONTROL!$C$27, 0.0021, 0)</f>
        <v>72.291699999999992</v>
      </c>
      <c r="H748" s="10">
        <f>72.1549 * CHOOSE(CONTROL!$C$9, $D$9, 100%, $F$9) + CHOOSE(CONTROL!$C$27, 0.0021, 0)</f>
        <v>72.156999999999996</v>
      </c>
      <c r="I748" s="10">
        <f>72.1549 * CHOOSE(CONTROL!$C$9, $D$9, 100%, $F$9) + CHOOSE(CONTROL!$C$27, 0.0021, 0)</f>
        <v>72.156999999999996</v>
      </c>
      <c r="J748" s="10">
        <f>72.1549 * CHOOSE(CONTROL!$C$9, $D$9, 100%, $F$9) + CHOOSE(CONTROL!$C$27, 0.0021, 0)</f>
        <v>72.156999999999996</v>
      </c>
      <c r="K748" s="10">
        <f>72.1549 * CHOOSE(CONTROL!$C$9, $D$9, 100%, $F$9) + CHOOSE(CONTROL!$C$27, 0.0021, 0)</f>
        <v>72.156999999999996</v>
      </c>
      <c r="L748" s="10"/>
    </row>
    <row r="749" spans="1:12" ht="15.75" x14ac:dyDescent="0.25">
      <c r="A749" s="13">
        <v>63735</v>
      </c>
      <c r="B749" s="10">
        <f>73.4531 * CHOOSE(CONTROL!$C$9, $D$9, 100%, $F$9) + CHOOSE(CONTROL!$C$27, 0.0021, 0)</f>
        <v>73.455200000000005</v>
      </c>
      <c r="C749" s="10">
        <f>73.0209 * CHOOSE(CONTROL!$C$9, $D$9, 100%, $F$9) + CHOOSE(CONTROL!$C$27, 0.0021, 0)</f>
        <v>73.022999999999996</v>
      </c>
      <c r="D749" s="10">
        <f>73.0209 * CHOOSE(CONTROL!$C$9, $D$9, 100%, $F$9) + CHOOSE(CONTROL!$C$27, 0.0021, 0)</f>
        <v>73.022999999999996</v>
      </c>
      <c r="E749" s="10">
        <f>72.8842 * CHOOSE(CONTROL!$C$9, $D$9, 100%, $F$9) + CHOOSE(CONTROL!$C$27, 0.0021, 0)</f>
        <v>72.886300000000006</v>
      </c>
      <c r="F749" s="10">
        <f>72.8842 * CHOOSE(CONTROL!$C$9, $D$9, 100%, $F$9) + CHOOSE(CONTROL!$C$27, 0.0021, 0)</f>
        <v>72.886300000000006</v>
      </c>
      <c r="G749" s="10">
        <f>73.1556 * CHOOSE(CONTROL!$C$9, $D$9, 100%, $F$9) + CHOOSE(CONTROL!$C$27, 0.0021, 0)</f>
        <v>73.157700000000006</v>
      </c>
      <c r="H749" s="10">
        <f>73.0209 * CHOOSE(CONTROL!$C$9, $D$9, 100%, $F$9) + CHOOSE(CONTROL!$C$27, 0.0021, 0)</f>
        <v>73.022999999999996</v>
      </c>
      <c r="I749" s="10">
        <f>73.0209 * CHOOSE(CONTROL!$C$9, $D$9, 100%, $F$9) + CHOOSE(CONTROL!$C$27, 0.0021, 0)</f>
        <v>73.022999999999996</v>
      </c>
      <c r="J749" s="10">
        <f>73.0209 * CHOOSE(CONTROL!$C$9, $D$9, 100%, $F$9) + CHOOSE(CONTROL!$C$27, 0.0021, 0)</f>
        <v>73.022999999999996</v>
      </c>
      <c r="K749" s="10">
        <f>73.0209 * CHOOSE(CONTROL!$C$9, $D$9, 100%, $F$9) + CHOOSE(CONTROL!$C$27, 0.0021, 0)</f>
        <v>73.022999999999996</v>
      </c>
      <c r="L749" s="10"/>
    </row>
    <row r="750" spans="1:12" ht="15.75" x14ac:dyDescent="0.25">
      <c r="A750" s="13">
        <v>63766</v>
      </c>
      <c r="B750" s="10">
        <f>74.8817 * CHOOSE(CONTROL!$C$9, $D$9, 100%, $F$9) + CHOOSE(CONTROL!$C$27, 0.0021, 0)</f>
        <v>74.883799999999994</v>
      </c>
      <c r="C750" s="10">
        <f>74.4495 * CHOOSE(CONTROL!$C$9, $D$9, 100%, $F$9) + CHOOSE(CONTROL!$C$27, 0.0021, 0)</f>
        <v>74.451599999999999</v>
      </c>
      <c r="D750" s="10">
        <f>74.4495 * CHOOSE(CONTROL!$C$9, $D$9, 100%, $F$9) + CHOOSE(CONTROL!$C$27, 0.0021, 0)</f>
        <v>74.451599999999999</v>
      </c>
      <c r="E750" s="10">
        <f>74.3128 * CHOOSE(CONTROL!$C$9, $D$9, 100%, $F$9) + CHOOSE(CONTROL!$C$27, 0.0021, 0)</f>
        <v>74.314899999999994</v>
      </c>
      <c r="F750" s="10">
        <f>74.3128 * CHOOSE(CONTROL!$C$9, $D$9, 100%, $F$9) + CHOOSE(CONTROL!$C$27, 0.0021, 0)</f>
        <v>74.314899999999994</v>
      </c>
      <c r="G750" s="10">
        <f>74.5842 * CHOOSE(CONTROL!$C$9, $D$9, 100%, $F$9) + CHOOSE(CONTROL!$C$27, 0.0021, 0)</f>
        <v>74.586299999999994</v>
      </c>
      <c r="H750" s="10">
        <f>74.4495 * CHOOSE(CONTROL!$C$9, $D$9, 100%, $F$9) + CHOOSE(CONTROL!$C$27, 0.0021, 0)</f>
        <v>74.451599999999999</v>
      </c>
      <c r="I750" s="10">
        <f>74.4495 * CHOOSE(CONTROL!$C$9, $D$9, 100%, $F$9) + CHOOSE(CONTROL!$C$27, 0.0021, 0)</f>
        <v>74.451599999999999</v>
      </c>
      <c r="J750" s="10">
        <f>74.4495 * CHOOSE(CONTROL!$C$9, $D$9, 100%, $F$9) + CHOOSE(CONTROL!$C$27, 0.0021, 0)</f>
        <v>74.451599999999999</v>
      </c>
      <c r="K750" s="10">
        <f>74.4495 * CHOOSE(CONTROL!$C$9, $D$9, 100%, $F$9) + CHOOSE(CONTROL!$C$27, 0.0021, 0)</f>
        <v>74.451599999999999</v>
      </c>
      <c r="L750" s="10"/>
    </row>
    <row r="751" spans="1:12" ht="15.75" x14ac:dyDescent="0.25">
      <c r="A751" s="13">
        <v>63797</v>
      </c>
      <c r="B751" s="10">
        <f>75.3178 * CHOOSE(CONTROL!$C$9, $D$9, 100%, $F$9) + CHOOSE(CONTROL!$C$27, 0.0021, 0)</f>
        <v>75.319900000000004</v>
      </c>
      <c r="C751" s="10">
        <f>74.8855 * CHOOSE(CONTROL!$C$9, $D$9, 100%, $F$9) + CHOOSE(CONTROL!$C$27, 0.0021, 0)</f>
        <v>74.887599999999992</v>
      </c>
      <c r="D751" s="10">
        <f>74.8855 * CHOOSE(CONTROL!$C$9, $D$9, 100%, $F$9) + CHOOSE(CONTROL!$C$27, 0.0021, 0)</f>
        <v>74.887599999999992</v>
      </c>
      <c r="E751" s="10">
        <f>74.7489 * CHOOSE(CONTROL!$C$9, $D$9, 100%, $F$9) + CHOOSE(CONTROL!$C$27, 0.0021, 0)</f>
        <v>74.751000000000005</v>
      </c>
      <c r="F751" s="10">
        <f>74.7489 * CHOOSE(CONTROL!$C$9, $D$9, 100%, $F$9) + CHOOSE(CONTROL!$C$27, 0.0021, 0)</f>
        <v>74.751000000000005</v>
      </c>
      <c r="G751" s="10">
        <f>75.0202 * CHOOSE(CONTROL!$C$9, $D$9, 100%, $F$9) + CHOOSE(CONTROL!$C$27, 0.0021, 0)</f>
        <v>75.022300000000001</v>
      </c>
      <c r="H751" s="10">
        <f>74.8855 * CHOOSE(CONTROL!$C$9, $D$9, 100%, $F$9) + CHOOSE(CONTROL!$C$27, 0.0021, 0)</f>
        <v>74.887599999999992</v>
      </c>
      <c r="I751" s="10">
        <f>74.8855 * CHOOSE(CONTROL!$C$9, $D$9, 100%, $F$9) + CHOOSE(CONTROL!$C$27, 0.0021, 0)</f>
        <v>74.887599999999992</v>
      </c>
      <c r="J751" s="10">
        <f>74.8855 * CHOOSE(CONTROL!$C$9, $D$9, 100%, $F$9) + CHOOSE(CONTROL!$C$27, 0.0021, 0)</f>
        <v>74.887599999999992</v>
      </c>
      <c r="K751" s="10">
        <f>74.8855 * CHOOSE(CONTROL!$C$9, $D$9, 100%, $F$9) + CHOOSE(CONTROL!$C$27, 0.0021, 0)</f>
        <v>74.887599999999992</v>
      </c>
      <c r="L751" s="10"/>
    </row>
    <row r="752" spans="1:12" ht="15.75" x14ac:dyDescent="0.25">
      <c r="A752" s="13">
        <v>63827</v>
      </c>
      <c r="B752" s="10">
        <f>76.8027 * CHOOSE(CONTROL!$C$9, $D$9, 100%, $F$9) + CHOOSE(CONTROL!$C$27, 0.0021, 0)</f>
        <v>76.8048</v>
      </c>
      <c r="C752" s="10">
        <f>76.3705 * CHOOSE(CONTROL!$C$9, $D$9, 100%, $F$9) + CHOOSE(CONTROL!$C$27, 0.0021, 0)</f>
        <v>76.372600000000006</v>
      </c>
      <c r="D752" s="10">
        <f>76.3705 * CHOOSE(CONTROL!$C$9, $D$9, 100%, $F$9) + CHOOSE(CONTROL!$C$27, 0.0021, 0)</f>
        <v>76.372600000000006</v>
      </c>
      <c r="E752" s="10">
        <f>76.2338 * CHOOSE(CONTROL!$C$9, $D$9, 100%, $F$9) + CHOOSE(CONTROL!$C$27, 0.0021, 0)</f>
        <v>76.235900000000001</v>
      </c>
      <c r="F752" s="10">
        <f>76.2338 * CHOOSE(CONTROL!$C$9, $D$9, 100%, $F$9) + CHOOSE(CONTROL!$C$27, 0.0021, 0)</f>
        <v>76.235900000000001</v>
      </c>
      <c r="G752" s="10">
        <f>76.5052 * CHOOSE(CONTROL!$C$9, $D$9, 100%, $F$9) + CHOOSE(CONTROL!$C$27, 0.0021, 0)</f>
        <v>76.507300000000001</v>
      </c>
      <c r="H752" s="10">
        <f>76.3705 * CHOOSE(CONTROL!$C$9, $D$9, 100%, $F$9) + CHOOSE(CONTROL!$C$27, 0.0021, 0)</f>
        <v>76.372600000000006</v>
      </c>
      <c r="I752" s="10">
        <f>76.3705 * CHOOSE(CONTROL!$C$9, $D$9, 100%, $F$9) + CHOOSE(CONTROL!$C$27, 0.0021, 0)</f>
        <v>76.372600000000006</v>
      </c>
      <c r="J752" s="10">
        <f>76.3705 * CHOOSE(CONTROL!$C$9, $D$9, 100%, $F$9) + CHOOSE(CONTROL!$C$27, 0.0021, 0)</f>
        <v>76.372600000000006</v>
      </c>
      <c r="K752" s="10">
        <f>76.3705 * CHOOSE(CONTROL!$C$9, $D$9, 100%, $F$9) + CHOOSE(CONTROL!$C$27, 0.0021, 0)</f>
        <v>76.372600000000006</v>
      </c>
      <c r="L752" s="10"/>
    </row>
    <row r="753" spans="1:12" ht="15.75" x14ac:dyDescent="0.25">
      <c r="A753" s="13">
        <v>63858</v>
      </c>
      <c r="B753" s="10">
        <f>78.6824 * CHOOSE(CONTROL!$C$9, $D$9, 100%, $F$9) + CHOOSE(CONTROL!$C$27, 0.0021, 0)</f>
        <v>78.6845</v>
      </c>
      <c r="C753" s="10">
        <f>78.2502 * CHOOSE(CONTROL!$C$9, $D$9, 100%, $F$9) + CHOOSE(CONTROL!$C$27, 0.0021, 0)</f>
        <v>78.252300000000005</v>
      </c>
      <c r="D753" s="10">
        <f>78.2502 * CHOOSE(CONTROL!$C$9, $D$9, 100%, $F$9) + CHOOSE(CONTROL!$C$27, 0.0021, 0)</f>
        <v>78.252300000000005</v>
      </c>
      <c r="E753" s="10">
        <f>78.1135 * CHOOSE(CONTROL!$C$9, $D$9, 100%, $F$9) + CHOOSE(CONTROL!$C$27, 0.0021, 0)</f>
        <v>78.115600000000001</v>
      </c>
      <c r="F753" s="10">
        <f>78.1135 * CHOOSE(CONTROL!$C$9, $D$9, 100%, $F$9) + CHOOSE(CONTROL!$C$27, 0.0021, 0)</f>
        <v>78.115600000000001</v>
      </c>
      <c r="G753" s="10">
        <f>78.3849 * CHOOSE(CONTROL!$C$9, $D$9, 100%, $F$9) + CHOOSE(CONTROL!$C$27, 0.0021, 0)</f>
        <v>78.387</v>
      </c>
      <c r="H753" s="10">
        <f>78.2502 * CHOOSE(CONTROL!$C$9, $D$9, 100%, $F$9) + CHOOSE(CONTROL!$C$27, 0.0021, 0)</f>
        <v>78.252300000000005</v>
      </c>
      <c r="I753" s="10">
        <f>78.2502 * CHOOSE(CONTROL!$C$9, $D$9, 100%, $F$9) + CHOOSE(CONTROL!$C$27, 0.0021, 0)</f>
        <v>78.252300000000005</v>
      </c>
      <c r="J753" s="10">
        <f>78.2502 * CHOOSE(CONTROL!$C$9, $D$9, 100%, $F$9) + CHOOSE(CONTROL!$C$27, 0.0021, 0)</f>
        <v>78.252300000000005</v>
      </c>
      <c r="K753" s="10">
        <f>78.2502 * CHOOSE(CONTROL!$C$9, $D$9, 100%, $F$9) + CHOOSE(CONTROL!$C$27, 0.0021, 0)</f>
        <v>78.252300000000005</v>
      </c>
      <c r="L753" s="10"/>
    </row>
    <row r="754" spans="1:12" ht="15.75" x14ac:dyDescent="0.25">
      <c r="A754" s="13">
        <v>63888</v>
      </c>
      <c r="B754" s="10">
        <f>78.8589 * CHOOSE(CONTROL!$C$9, $D$9, 100%, $F$9) + CHOOSE(CONTROL!$C$27, 0.0021, 0)</f>
        <v>78.861000000000004</v>
      </c>
      <c r="C754" s="10">
        <f>78.4267 * CHOOSE(CONTROL!$C$9, $D$9, 100%, $F$9) + CHOOSE(CONTROL!$C$27, 0.0021, 0)</f>
        <v>78.428799999999995</v>
      </c>
      <c r="D754" s="10">
        <f>78.4267 * CHOOSE(CONTROL!$C$9, $D$9, 100%, $F$9) + CHOOSE(CONTROL!$C$27, 0.0021, 0)</f>
        <v>78.428799999999995</v>
      </c>
      <c r="E754" s="10">
        <f>78.29 * CHOOSE(CONTROL!$C$9, $D$9, 100%, $F$9) + CHOOSE(CONTROL!$C$27, 0.0021, 0)</f>
        <v>78.292100000000005</v>
      </c>
      <c r="F754" s="10">
        <f>78.29 * CHOOSE(CONTROL!$C$9, $D$9, 100%, $F$9) + CHOOSE(CONTROL!$C$27, 0.0021, 0)</f>
        <v>78.292100000000005</v>
      </c>
      <c r="G754" s="10">
        <f>78.5614 * CHOOSE(CONTROL!$C$9, $D$9, 100%, $F$9) + CHOOSE(CONTROL!$C$27, 0.0021, 0)</f>
        <v>78.563500000000005</v>
      </c>
      <c r="H754" s="10">
        <f>78.4267 * CHOOSE(CONTROL!$C$9, $D$9, 100%, $F$9) + CHOOSE(CONTROL!$C$27, 0.0021, 0)</f>
        <v>78.428799999999995</v>
      </c>
      <c r="I754" s="10">
        <f>78.4267 * CHOOSE(CONTROL!$C$9, $D$9, 100%, $F$9) + CHOOSE(CONTROL!$C$27, 0.0021, 0)</f>
        <v>78.428799999999995</v>
      </c>
      <c r="J754" s="10">
        <f>78.4267 * CHOOSE(CONTROL!$C$9, $D$9, 100%, $F$9) + CHOOSE(CONTROL!$C$27, 0.0021, 0)</f>
        <v>78.428799999999995</v>
      </c>
      <c r="K754" s="10">
        <f>78.4267 * CHOOSE(CONTROL!$C$9, $D$9, 100%, $F$9) + CHOOSE(CONTROL!$C$27, 0.0021, 0)</f>
        <v>78.428799999999995</v>
      </c>
      <c r="L754" s="10"/>
    </row>
    <row r="755" spans="1:12" ht="15.75" x14ac:dyDescent="0.25">
      <c r="A755" s="13">
        <v>63919</v>
      </c>
      <c r="B755" s="10">
        <f>77.3576 * CHOOSE(CONTROL!$C$9, $D$9, 100%, $F$9) + CHOOSE(CONTROL!$C$27, 0.0021, 0)</f>
        <v>77.359700000000004</v>
      </c>
      <c r="C755" s="10">
        <f>76.9254 * CHOOSE(CONTROL!$C$9, $D$9, 100%, $F$9) + CHOOSE(CONTROL!$C$27, 0.0021, 0)</f>
        <v>76.927499999999995</v>
      </c>
      <c r="D755" s="10">
        <f>76.9254 * CHOOSE(CONTROL!$C$9, $D$9, 100%, $F$9) + CHOOSE(CONTROL!$C$27, 0.0021, 0)</f>
        <v>76.927499999999995</v>
      </c>
      <c r="E755" s="10">
        <f>76.7887 * CHOOSE(CONTROL!$C$9, $D$9, 100%, $F$9) + CHOOSE(CONTROL!$C$27, 0.0021, 0)</f>
        <v>76.790800000000004</v>
      </c>
      <c r="F755" s="10">
        <f>76.7887 * CHOOSE(CONTROL!$C$9, $D$9, 100%, $F$9) + CHOOSE(CONTROL!$C$27, 0.0021, 0)</f>
        <v>76.790800000000004</v>
      </c>
      <c r="G755" s="10">
        <f>77.0601 * CHOOSE(CONTROL!$C$9, $D$9, 100%, $F$9) + CHOOSE(CONTROL!$C$27, 0.0021, 0)</f>
        <v>77.062200000000004</v>
      </c>
      <c r="H755" s="10">
        <f>76.9254 * CHOOSE(CONTROL!$C$9, $D$9, 100%, $F$9) + CHOOSE(CONTROL!$C$27, 0.0021, 0)</f>
        <v>76.927499999999995</v>
      </c>
      <c r="I755" s="10">
        <f>76.9254 * CHOOSE(CONTROL!$C$9, $D$9, 100%, $F$9) + CHOOSE(CONTROL!$C$27, 0.0021, 0)</f>
        <v>76.927499999999995</v>
      </c>
      <c r="J755" s="10">
        <f>76.9254 * CHOOSE(CONTROL!$C$9, $D$9, 100%, $F$9) + CHOOSE(CONTROL!$C$27, 0.0021, 0)</f>
        <v>76.927499999999995</v>
      </c>
      <c r="K755" s="10">
        <f>76.9254 * CHOOSE(CONTROL!$C$9, $D$9, 100%, $F$9) + CHOOSE(CONTROL!$C$27, 0.0021, 0)</f>
        <v>76.927499999999995</v>
      </c>
      <c r="L755" s="10"/>
    </row>
    <row r="756" spans="1:12" ht="15.75" x14ac:dyDescent="0.25">
      <c r="A756" s="13">
        <v>63950</v>
      </c>
      <c r="B756" s="10">
        <f>76.3741 * CHOOSE(CONTROL!$C$9, $D$9, 100%, $F$9) + CHOOSE(CONTROL!$C$27, 0.0021, 0)</f>
        <v>76.376199999999997</v>
      </c>
      <c r="C756" s="10">
        <f>75.9418 * CHOOSE(CONTROL!$C$9, $D$9, 100%, $F$9) + CHOOSE(CONTROL!$C$27, 0.0021, 0)</f>
        <v>75.943899999999999</v>
      </c>
      <c r="D756" s="10">
        <f>75.9418 * CHOOSE(CONTROL!$C$9, $D$9, 100%, $F$9) + CHOOSE(CONTROL!$C$27, 0.0021, 0)</f>
        <v>75.943899999999999</v>
      </c>
      <c r="E756" s="10">
        <f>75.8052 * CHOOSE(CONTROL!$C$9, $D$9, 100%, $F$9) + CHOOSE(CONTROL!$C$27, 0.0021, 0)</f>
        <v>75.807299999999998</v>
      </c>
      <c r="F756" s="10">
        <f>75.8052 * CHOOSE(CONTROL!$C$9, $D$9, 100%, $F$9) + CHOOSE(CONTROL!$C$27, 0.0021, 0)</f>
        <v>75.807299999999998</v>
      </c>
      <c r="G756" s="10">
        <f>76.0766 * CHOOSE(CONTROL!$C$9, $D$9, 100%, $F$9) + CHOOSE(CONTROL!$C$27, 0.0021, 0)</f>
        <v>76.078699999999998</v>
      </c>
      <c r="H756" s="10">
        <f>75.9418 * CHOOSE(CONTROL!$C$9, $D$9, 100%, $F$9) + CHOOSE(CONTROL!$C$27, 0.0021, 0)</f>
        <v>75.943899999999999</v>
      </c>
      <c r="I756" s="10">
        <f>75.9418 * CHOOSE(CONTROL!$C$9, $D$9, 100%, $F$9) + CHOOSE(CONTROL!$C$27, 0.0021, 0)</f>
        <v>75.943899999999999</v>
      </c>
      <c r="J756" s="10">
        <f>75.9418 * CHOOSE(CONTROL!$C$9, $D$9, 100%, $F$9) + CHOOSE(CONTROL!$C$27, 0.0021, 0)</f>
        <v>75.943899999999999</v>
      </c>
      <c r="K756" s="10">
        <f>75.9418 * CHOOSE(CONTROL!$C$9, $D$9, 100%, $F$9) + CHOOSE(CONTROL!$C$27, 0.0021, 0)</f>
        <v>75.943899999999999</v>
      </c>
      <c r="L756" s="10"/>
    </row>
    <row r="757" spans="1:12" ht="15.75" x14ac:dyDescent="0.25">
      <c r="A757" s="13">
        <v>63978</v>
      </c>
      <c r="B757" s="10">
        <f>74.2787 * CHOOSE(CONTROL!$C$9, $D$9, 100%, $F$9) + CHOOSE(CONTROL!$C$27, 0.0021, 0)</f>
        <v>74.280799999999999</v>
      </c>
      <c r="C757" s="10">
        <f>73.8464 * CHOOSE(CONTROL!$C$9, $D$9, 100%, $F$9) + CHOOSE(CONTROL!$C$27, 0.0021, 0)</f>
        <v>73.848500000000001</v>
      </c>
      <c r="D757" s="10">
        <f>73.8464 * CHOOSE(CONTROL!$C$9, $D$9, 100%, $F$9) + CHOOSE(CONTROL!$C$27, 0.0021, 0)</f>
        <v>73.848500000000001</v>
      </c>
      <c r="E757" s="10">
        <f>73.7098 * CHOOSE(CONTROL!$C$9, $D$9, 100%, $F$9) + CHOOSE(CONTROL!$C$27, 0.0021, 0)</f>
        <v>73.7119</v>
      </c>
      <c r="F757" s="10">
        <f>73.7098 * CHOOSE(CONTROL!$C$9, $D$9, 100%, $F$9) + CHOOSE(CONTROL!$C$27, 0.0021, 0)</f>
        <v>73.7119</v>
      </c>
      <c r="G757" s="10">
        <f>73.9811 * CHOOSE(CONTROL!$C$9, $D$9, 100%, $F$9) + CHOOSE(CONTROL!$C$27, 0.0021, 0)</f>
        <v>73.983199999999997</v>
      </c>
      <c r="H757" s="10">
        <f>73.8464 * CHOOSE(CONTROL!$C$9, $D$9, 100%, $F$9) + CHOOSE(CONTROL!$C$27, 0.0021, 0)</f>
        <v>73.848500000000001</v>
      </c>
      <c r="I757" s="10">
        <f>73.8464 * CHOOSE(CONTROL!$C$9, $D$9, 100%, $F$9) + CHOOSE(CONTROL!$C$27, 0.0021, 0)</f>
        <v>73.848500000000001</v>
      </c>
      <c r="J757" s="10">
        <f>73.8464 * CHOOSE(CONTROL!$C$9, $D$9, 100%, $F$9) + CHOOSE(CONTROL!$C$27, 0.0021, 0)</f>
        <v>73.848500000000001</v>
      </c>
      <c r="K757" s="10">
        <f>73.8464 * CHOOSE(CONTROL!$C$9, $D$9, 100%, $F$9) + CHOOSE(CONTROL!$C$27, 0.0021, 0)</f>
        <v>73.848500000000001</v>
      </c>
      <c r="L757" s="10"/>
    </row>
    <row r="758" spans="1:12" ht="15.75" x14ac:dyDescent="0.25">
      <c r="A758" s="13">
        <v>64009</v>
      </c>
      <c r="B758" s="10">
        <f>73.4137 * CHOOSE(CONTROL!$C$9, $D$9, 100%, $F$9) + CHOOSE(CONTROL!$C$27, 0.0021, 0)</f>
        <v>73.415800000000004</v>
      </c>
      <c r="C758" s="10">
        <f>72.9814 * CHOOSE(CONTROL!$C$9, $D$9, 100%, $F$9) + CHOOSE(CONTROL!$C$27, 0.0021, 0)</f>
        <v>72.983499999999992</v>
      </c>
      <c r="D758" s="10">
        <f>72.9814 * CHOOSE(CONTROL!$C$9, $D$9, 100%, $F$9) + CHOOSE(CONTROL!$C$27, 0.0021, 0)</f>
        <v>72.983499999999992</v>
      </c>
      <c r="E758" s="10">
        <f>72.8448 * CHOOSE(CONTROL!$C$9, $D$9, 100%, $F$9) + CHOOSE(CONTROL!$C$27, 0.0021, 0)</f>
        <v>72.846900000000005</v>
      </c>
      <c r="F758" s="10">
        <f>72.8448 * CHOOSE(CONTROL!$C$9, $D$9, 100%, $F$9) + CHOOSE(CONTROL!$C$27, 0.0021, 0)</f>
        <v>72.846900000000005</v>
      </c>
      <c r="G758" s="10">
        <f>73.1161 * CHOOSE(CONTROL!$C$9, $D$9, 100%, $F$9) + CHOOSE(CONTROL!$C$27, 0.0021, 0)</f>
        <v>73.118200000000002</v>
      </c>
      <c r="H758" s="10">
        <f>72.9814 * CHOOSE(CONTROL!$C$9, $D$9, 100%, $F$9) + CHOOSE(CONTROL!$C$27, 0.0021, 0)</f>
        <v>72.983499999999992</v>
      </c>
      <c r="I758" s="10">
        <f>72.9814 * CHOOSE(CONTROL!$C$9, $D$9, 100%, $F$9) + CHOOSE(CONTROL!$C$27, 0.0021, 0)</f>
        <v>72.983499999999992</v>
      </c>
      <c r="J758" s="10">
        <f>72.9814 * CHOOSE(CONTROL!$C$9, $D$9, 100%, $F$9) + CHOOSE(CONTROL!$C$27, 0.0021, 0)</f>
        <v>72.983499999999992</v>
      </c>
      <c r="K758" s="10">
        <f>72.9814 * CHOOSE(CONTROL!$C$9, $D$9, 100%, $F$9) + CHOOSE(CONTROL!$C$27, 0.0021, 0)</f>
        <v>72.983499999999992</v>
      </c>
      <c r="L758" s="10"/>
    </row>
    <row r="759" spans="1:12" ht="15.75" x14ac:dyDescent="0.25">
      <c r="A759" s="13">
        <v>64039</v>
      </c>
      <c r="B759" s="10">
        <f>72.3809 * CHOOSE(CONTROL!$C$9, $D$9, 100%, $F$9) + CHOOSE(CONTROL!$C$27, 0.0021, 0)</f>
        <v>72.382999999999996</v>
      </c>
      <c r="C759" s="10">
        <f>71.9486 * CHOOSE(CONTROL!$C$9, $D$9, 100%, $F$9) + CHOOSE(CONTROL!$C$27, 0.0021, 0)</f>
        <v>71.950699999999998</v>
      </c>
      <c r="D759" s="10">
        <f>71.9486 * CHOOSE(CONTROL!$C$9, $D$9, 100%, $F$9) + CHOOSE(CONTROL!$C$27, 0.0021, 0)</f>
        <v>71.950699999999998</v>
      </c>
      <c r="E759" s="10">
        <f>71.8119 * CHOOSE(CONTROL!$C$9, $D$9, 100%, $F$9) + CHOOSE(CONTROL!$C$27, 0.0021, 0)</f>
        <v>71.813999999999993</v>
      </c>
      <c r="F759" s="10">
        <f>71.8119 * CHOOSE(CONTROL!$C$9, $D$9, 100%, $F$9) + CHOOSE(CONTROL!$C$27, 0.0021, 0)</f>
        <v>71.813999999999993</v>
      </c>
      <c r="G759" s="10">
        <f>72.0833 * CHOOSE(CONTROL!$C$9, $D$9, 100%, $F$9) + CHOOSE(CONTROL!$C$27, 0.0021, 0)</f>
        <v>72.085399999999993</v>
      </c>
      <c r="H759" s="10">
        <f>71.9486 * CHOOSE(CONTROL!$C$9, $D$9, 100%, $F$9) + CHOOSE(CONTROL!$C$27, 0.0021, 0)</f>
        <v>71.950699999999998</v>
      </c>
      <c r="I759" s="10">
        <f>71.9486 * CHOOSE(CONTROL!$C$9, $D$9, 100%, $F$9) + CHOOSE(CONTROL!$C$27, 0.0021, 0)</f>
        <v>71.950699999999998</v>
      </c>
      <c r="J759" s="10">
        <f>71.9486 * CHOOSE(CONTROL!$C$9, $D$9, 100%, $F$9) + CHOOSE(CONTROL!$C$27, 0.0021, 0)</f>
        <v>71.950699999999998</v>
      </c>
      <c r="K759" s="10">
        <f>71.9486 * CHOOSE(CONTROL!$C$9, $D$9, 100%, $F$9) + CHOOSE(CONTROL!$C$27, 0.0021, 0)</f>
        <v>71.950699999999998</v>
      </c>
      <c r="L759" s="10"/>
    </row>
    <row r="760" spans="1:12" ht="15.75" x14ac:dyDescent="0.25">
      <c r="A760" s="13">
        <v>64070</v>
      </c>
      <c r="B760" s="10">
        <f>73.8527 * CHOOSE(CONTROL!$C$9, $D$9, 100%, $F$9) + CHOOSE(CONTROL!$C$27, 0.0021, 0)</f>
        <v>73.854799999999997</v>
      </c>
      <c r="C760" s="10">
        <f>73.4205 * CHOOSE(CONTROL!$C$9, $D$9, 100%, $F$9) + CHOOSE(CONTROL!$C$27, 0.0021, 0)</f>
        <v>73.422600000000003</v>
      </c>
      <c r="D760" s="10">
        <f>73.4205 * CHOOSE(CONTROL!$C$9, $D$9, 100%, $F$9) + CHOOSE(CONTROL!$C$27, 0.0021, 0)</f>
        <v>73.422600000000003</v>
      </c>
      <c r="E760" s="10">
        <f>73.2838 * CHOOSE(CONTROL!$C$9, $D$9, 100%, $F$9) + CHOOSE(CONTROL!$C$27, 0.0021, 0)</f>
        <v>73.285899999999998</v>
      </c>
      <c r="F760" s="10">
        <f>73.2838 * CHOOSE(CONTROL!$C$9, $D$9, 100%, $F$9) + CHOOSE(CONTROL!$C$27, 0.0021, 0)</f>
        <v>73.285899999999998</v>
      </c>
      <c r="G760" s="10">
        <f>73.5552 * CHOOSE(CONTROL!$C$9, $D$9, 100%, $F$9) + CHOOSE(CONTROL!$C$27, 0.0021, 0)</f>
        <v>73.557299999999998</v>
      </c>
      <c r="H760" s="10">
        <f>73.4205 * CHOOSE(CONTROL!$C$9, $D$9, 100%, $F$9) + CHOOSE(CONTROL!$C$27, 0.0021, 0)</f>
        <v>73.422600000000003</v>
      </c>
      <c r="I760" s="10">
        <f>73.4205 * CHOOSE(CONTROL!$C$9, $D$9, 100%, $F$9) + CHOOSE(CONTROL!$C$27, 0.0021, 0)</f>
        <v>73.422600000000003</v>
      </c>
      <c r="J760" s="10">
        <f>73.4205 * CHOOSE(CONTROL!$C$9, $D$9, 100%, $F$9) + CHOOSE(CONTROL!$C$27, 0.0021, 0)</f>
        <v>73.422600000000003</v>
      </c>
      <c r="K760" s="10">
        <f>73.4205 * CHOOSE(CONTROL!$C$9, $D$9, 100%, $F$9) + CHOOSE(CONTROL!$C$27, 0.0021, 0)</f>
        <v>73.422600000000003</v>
      </c>
      <c r="L760" s="10"/>
    </row>
    <row r="761" spans="1:12" ht="15.75" x14ac:dyDescent="0.25">
      <c r="A761" s="13">
        <v>64100</v>
      </c>
      <c r="B761" s="10">
        <f>74.7343 * CHOOSE(CONTROL!$C$9, $D$9, 100%, $F$9) + CHOOSE(CONTROL!$C$27, 0.0021, 0)</f>
        <v>74.736400000000003</v>
      </c>
      <c r="C761" s="10">
        <f>74.3021 * CHOOSE(CONTROL!$C$9, $D$9, 100%, $F$9) + CHOOSE(CONTROL!$C$27, 0.0021, 0)</f>
        <v>74.304199999999994</v>
      </c>
      <c r="D761" s="10">
        <f>74.3021 * CHOOSE(CONTROL!$C$9, $D$9, 100%, $F$9) + CHOOSE(CONTROL!$C$27, 0.0021, 0)</f>
        <v>74.304199999999994</v>
      </c>
      <c r="E761" s="10">
        <f>74.1654 * CHOOSE(CONTROL!$C$9, $D$9, 100%, $F$9) + CHOOSE(CONTROL!$C$27, 0.0021, 0)</f>
        <v>74.167500000000004</v>
      </c>
      <c r="F761" s="10">
        <f>74.1654 * CHOOSE(CONTROL!$C$9, $D$9, 100%, $F$9) + CHOOSE(CONTROL!$C$27, 0.0021, 0)</f>
        <v>74.167500000000004</v>
      </c>
      <c r="G761" s="10">
        <f>74.4368 * CHOOSE(CONTROL!$C$9, $D$9, 100%, $F$9) + CHOOSE(CONTROL!$C$27, 0.0021, 0)</f>
        <v>74.438900000000004</v>
      </c>
      <c r="H761" s="10">
        <f>74.3021 * CHOOSE(CONTROL!$C$9, $D$9, 100%, $F$9) + CHOOSE(CONTROL!$C$27, 0.0021, 0)</f>
        <v>74.304199999999994</v>
      </c>
      <c r="I761" s="10">
        <f>74.3021 * CHOOSE(CONTROL!$C$9, $D$9, 100%, $F$9) + CHOOSE(CONTROL!$C$27, 0.0021, 0)</f>
        <v>74.304199999999994</v>
      </c>
      <c r="J761" s="10">
        <f>74.3021 * CHOOSE(CONTROL!$C$9, $D$9, 100%, $F$9) + CHOOSE(CONTROL!$C$27, 0.0021, 0)</f>
        <v>74.304199999999994</v>
      </c>
      <c r="K761" s="10">
        <f>74.3021 * CHOOSE(CONTROL!$C$9, $D$9, 100%, $F$9) + CHOOSE(CONTROL!$C$27, 0.0021, 0)</f>
        <v>74.304199999999994</v>
      </c>
      <c r="L761" s="10"/>
    </row>
    <row r="762" spans="1:12" ht="15.75" x14ac:dyDescent="0.25">
      <c r="A762" s="13">
        <v>64131</v>
      </c>
      <c r="B762" s="10">
        <f>76.1887 * CHOOSE(CONTROL!$C$9, $D$9, 100%, $F$9) + CHOOSE(CONTROL!$C$27, 0.0021, 0)</f>
        <v>76.190799999999996</v>
      </c>
      <c r="C762" s="10">
        <f>75.7564 * CHOOSE(CONTROL!$C$9, $D$9, 100%, $F$9) + CHOOSE(CONTROL!$C$27, 0.0021, 0)</f>
        <v>75.758499999999998</v>
      </c>
      <c r="D762" s="10">
        <f>75.7564 * CHOOSE(CONTROL!$C$9, $D$9, 100%, $F$9) + CHOOSE(CONTROL!$C$27, 0.0021, 0)</f>
        <v>75.758499999999998</v>
      </c>
      <c r="E762" s="10">
        <f>75.6198 * CHOOSE(CONTROL!$C$9, $D$9, 100%, $F$9) + CHOOSE(CONTROL!$C$27, 0.0021, 0)</f>
        <v>75.621899999999997</v>
      </c>
      <c r="F762" s="10">
        <f>75.6198 * CHOOSE(CONTROL!$C$9, $D$9, 100%, $F$9) + CHOOSE(CONTROL!$C$27, 0.0021, 0)</f>
        <v>75.621899999999997</v>
      </c>
      <c r="G762" s="10">
        <f>75.8911 * CHOOSE(CONTROL!$C$9, $D$9, 100%, $F$9) + CHOOSE(CONTROL!$C$27, 0.0021, 0)</f>
        <v>75.893199999999993</v>
      </c>
      <c r="H762" s="10">
        <f>75.7564 * CHOOSE(CONTROL!$C$9, $D$9, 100%, $F$9) + CHOOSE(CONTROL!$C$27, 0.0021, 0)</f>
        <v>75.758499999999998</v>
      </c>
      <c r="I762" s="10">
        <f>75.7564 * CHOOSE(CONTROL!$C$9, $D$9, 100%, $F$9) + CHOOSE(CONTROL!$C$27, 0.0021, 0)</f>
        <v>75.758499999999998</v>
      </c>
      <c r="J762" s="10">
        <f>75.7564 * CHOOSE(CONTROL!$C$9, $D$9, 100%, $F$9) + CHOOSE(CONTROL!$C$27, 0.0021, 0)</f>
        <v>75.758499999999998</v>
      </c>
      <c r="K762" s="10">
        <f>75.7564 * CHOOSE(CONTROL!$C$9, $D$9, 100%, $F$9) + CHOOSE(CONTROL!$C$27, 0.0021, 0)</f>
        <v>75.758499999999998</v>
      </c>
      <c r="L762" s="10"/>
    </row>
    <row r="763" spans="1:12" ht="15.75" x14ac:dyDescent="0.25">
      <c r="A763" s="13">
        <v>64162</v>
      </c>
      <c r="B763" s="10">
        <f>76.6326 * CHOOSE(CONTROL!$C$9, $D$9, 100%, $F$9) + CHOOSE(CONTROL!$C$27, 0.0021, 0)</f>
        <v>76.634699999999995</v>
      </c>
      <c r="C763" s="10">
        <f>76.2003 * CHOOSE(CONTROL!$C$9, $D$9, 100%, $F$9) + CHOOSE(CONTROL!$C$27, 0.0021, 0)</f>
        <v>76.202399999999997</v>
      </c>
      <c r="D763" s="10">
        <f>76.2003 * CHOOSE(CONTROL!$C$9, $D$9, 100%, $F$9) + CHOOSE(CONTROL!$C$27, 0.0021, 0)</f>
        <v>76.202399999999997</v>
      </c>
      <c r="E763" s="10">
        <f>76.0637 * CHOOSE(CONTROL!$C$9, $D$9, 100%, $F$9) + CHOOSE(CONTROL!$C$27, 0.0021, 0)</f>
        <v>76.065799999999996</v>
      </c>
      <c r="F763" s="10">
        <f>76.0637 * CHOOSE(CONTROL!$C$9, $D$9, 100%, $F$9) + CHOOSE(CONTROL!$C$27, 0.0021, 0)</f>
        <v>76.065799999999996</v>
      </c>
      <c r="G763" s="10">
        <f>76.335 * CHOOSE(CONTROL!$C$9, $D$9, 100%, $F$9) + CHOOSE(CONTROL!$C$27, 0.0021, 0)</f>
        <v>76.337099999999992</v>
      </c>
      <c r="H763" s="10">
        <f>76.2003 * CHOOSE(CONTROL!$C$9, $D$9, 100%, $F$9) + CHOOSE(CONTROL!$C$27, 0.0021, 0)</f>
        <v>76.202399999999997</v>
      </c>
      <c r="I763" s="10">
        <f>76.2003 * CHOOSE(CONTROL!$C$9, $D$9, 100%, $F$9) + CHOOSE(CONTROL!$C$27, 0.0021, 0)</f>
        <v>76.202399999999997</v>
      </c>
      <c r="J763" s="10">
        <f>76.2003 * CHOOSE(CONTROL!$C$9, $D$9, 100%, $F$9) + CHOOSE(CONTROL!$C$27, 0.0021, 0)</f>
        <v>76.202399999999997</v>
      </c>
      <c r="K763" s="10">
        <f>76.2003 * CHOOSE(CONTROL!$C$9, $D$9, 100%, $F$9) + CHOOSE(CONTROL!$C$27, 0.0021, 0)</f>
        <v>76.202399999999997</v>
      </c>
      <c r="L763" s="10"/>
    </row>
    <row r="764" spans="1:12" ht="15.75" x14ac:dyDescent="0.25">
      <c r="A764" s="13">
        <v>64192</v>
      </c>
      <c r="B764" s="10">
        <f>78.1443 * CHOOSE(CONTROL!$C$9, $D$9, 100%, $F$9) + CHOOSE(CONTROL!$C$27, 0.0021, 0)</f>
        <v>78.1464</v>
      </c>
      <c r="C764" s="10">
        <f>77.712 * CHOOSE(CONTROL!$C$9, $D$9, 100%, $F$9) + CHOOSE(CONTROL!$C$27, 0.0021, 0)</f>
        <v>77.714100000000002</v>
      </c>
      <c r="D764" s="10">
        <f>77.712 * CHOOSE(CONTROL!$C$9, $D$9, 100%, $F$9) + CHOOSE(CONTROL!$C$27, 0.0021, 0)</f>
        <v>77.714100000000002</v>
      </c>
      <c r="E764" s="10">
        <f>77.5754 * CHOOSE(CONTROL!$C$9, $D$9, 100%, $F$9) + CHOOSE(CONTROL!$C$27, 0.0021, 0)</f>
        <v>77.577500000000001</v>
      </c>
      <c r="F764" s="10">
        <f>77.5754 * CHOOSE(CONTROL!$C$9, $D$9, 100%, $F$9) + CHOOSE(CONTROL!$C$27, 0.0021, 0)</f>
        <v>77.577500000000001</v>
      </c>
      <c r="G764" s="10">
        <f>77.8467 * CHOOSE(CONTROL!$C$9, $D$9, 100%, $F$9) + CHOOSE(CONTROL!$C$27, 0.0021, 0)</f>
        <v>77.848799999999997</v>
      </c>
      <c r="H764" s="10">
        <f>77.712 * CHOOSE(CONTROL!$C$9, $D$9, 100%, $F$9) + CHOOSE(CONTROL!$C$27, 0.0021, 0)</f>
        <v>77.714100000000002</v>
      </c>
      <c r="I764" s="10">
        <f>77.712 * CHOOSE(CONTROL!$C$9, $D$9, 100%, $F$9) + CHOOSE(CONTROL!$C$27, 0.0021, 0)</f>
        <v>77.714100000000002</v>
      </c>
      <c r="J764" s="10">
        <f>77.712 * CHOOSE(CONTROL!$C$9, $D$9, 100%, $F$9) + CHOOSE(CONTROL!$C$27, 0.0021, 0)</f>
        <v>77.714100000000002</v>
      </c>
      <c r="K764" s="10">
        <f>77.712 * CHOOSE(CONTROL!$C$9, $D$9, 100%, $F$9) + CHOOSE(CONTROL!$C$27, 0.0021, 0)</f>
        <v>77.714100000000002</v>
      </c>
      <c r="L764" s="10"/>
    </row>
    <row r="765" spans="1:12" ht="15.75" x14ac:dyDescent="0.25">
      <c r="A765" s="13">
        <v>64223</v>
      </c>
      <c r="B765" s="10">
        <f>80.0578 * CHOOSE(CONTROL!$C$9, $D$9, 100%, $F$9) + CHOOSE(CONTROL!$C$27, 0.0021, 0)</f>
        <v>80.059899999999999</v>
      </c>
      <c r="C765" s="10">
        <f>79.6256 * CHOOSE(CONTROL!$C$9, $D$9, 100%, $F$9) + CHOOSE(CONTROL!$C$27, 0.0021, 0)</f>
        <v>79.627700000000004</v>
      </c>
      <c r="D765" s="10">
        <f>79.6256 * CHOOSE(CONTROL!$C$9, $D$9, 100%, $F$9) + CHOOSE(CONTROL!$C$27, 0.0021, 0)</f>
        <v>79.627700000000004</v>
      </c>
      <c r="E765" s="10">
        <f>79.4889 * CHOOSE(CONTROL!$C$9, $D$9, 100%, $F$9) + CHOOSE(CONTROL!$C$27, 0.0021, 0)</f>
        <v>79.491</v>
      </c>
      <c r="F765" s="10">
        <f>79.4889 * CHOOSE(CONTROL!$C$9, $D$9, 100%, $F$9) + CHOOSE(CONTROL!$C$27, 0.0021, 0)</f>
        <v>79.491</v>
      </c>
      <c r="G765" s="10">
        <f>79.7603 * CHOOSE(CONTROL!$C$9, $D$9, 100%, $F$9) + CHOOSE(CONTROL!$C$27, 0.0021, 0)</f>
        <v>79.7624</v>
      </c>
      <c r="H765" s="10">
        <f>79.6256 * CHOOSE(CONTROL!$C$9, $D$9, 100%, $F$9) + CHOOSE(CONTROL!$C$27, 0.0021, 0)</f>
        <v>79.627700000000004</v>
      </c>
      <c r="I765" s="10">
        <f>79.6256 * CHOOSE(CONTROL!$C$9, $D$9, 100%, $F$9) + CHOOSE(CONTROL!$C$27, 0.0021, 0)</f>
        <v>79.627700000000004</v>
      </c>
      <c r="J765" s="10">
        <f>79.6256 * CHOOSE(CONTROL!$C$9, $D$9, 100%, $F$9) + CHOOSE(CONTROL!$C$27, 0.0021, 0)</f>
        <v>79.627700000000004</v>
      </c>
      <c r="K765" s="10">
        <f>79.6256 * CHOOSE(CONTROL!$C$9, $D$9, 100%, $F$9) + CHOOSE(CONTROL!$C$27, 0.0021, 0)</f>
        <v>79.627700000000004</v>
      </c>
      <c r="L765" s="10"/>
    </row>
    <row r="766" spans="1:12" ht="15.75" x14ac:dyDescent="0.25">
      <c r="A766" s="13">
        <v>64253</v>
      </c>
      <c r="B766" s="10">
        <f>80.2375 * CHOOSE(CONTROL!$C$9, $D$9, 100%, $F$9) + CHOOSE(CONTROL!$C$27, 0.0021, 0)</f>
        <v>80.239599999999996</v>
      </c>
      <c r="C766" s="10">
        <f>79.8052 * CHOOSE(CONTROL!$C$9, $D$9, 100%, $F$9) + CHOOSE(CONTROL!$C$27, 0.0021, 0)</f>
        <v>79.807299999999998</v>
      </c>
      <c r="D766" s="10">
        <f>79.8052 * CHOOSE(CONTROL!$C$9, $D$9, 100%, $F$9) + CHOOSE(CONTROL!$C$27, 0.0021, 0)</f>
        <v>79.807299999999998</v>
      </c>
      <c r="E766" s="10">
        <f>79.6686 * CHOOSE(CONTROL!$C$9, $D$9, 100%, $F$9) + CHOOSE(CONTROL!$C$27, 0.0021, 0)</f>
        <v>79.670699999999997</v>
      </c>
      <c r="F766" s="10">
        <f>79.6686 * CHOOSE(CONTROL!$C$9, $D$9, 100%, $F$9) + CHOOSE(CONTROL!$C$27, 0.0021, 0)</f>
        <v>79.670699999999997</v>
      </c>
      <c r="G766" s="10">
        <f>79.9399 * CHOOSE(CONTROL!$C$9, $D$9, 100%, $F$9) + CHOOSE(CONTROL!$C$27, 0.0021, 0)</f>
        <v>79.941999999999993</v>
      </c>
      <c r="H766" s="10">
        <f>79.8052 * CHOOSE(CONTROL!$C$9, $D$9, 100%, $F$9) + CHOOSE(CONTROL!$C$27, 0.0021, 0)</f>
        <v>79.807299999999998</v>
      </c>
      <c r="I766" s="10">
        <f>79.8052 * CHOOSE(CONTROL!$C$9, $D$9, 100%, $F$9) + CHOOSE(CONTROL!$C$27, 0.0021, 0)</f>
        <v>79.807299999999998</v>
      </c>
      <c r="J766" s="10">
        <f>79.8052 * CHOOSE(CONTROL!$C$9, $D$9, 100%, $F$9) + CHOOSE(CONTROL!$C$27, 0.0021, 0)</f>
        <v>79.807299999999998</v>
      </c>
      <c r="K766" s="10">
        <f>79.8052 * CHOOSE(CONTROL!$C$9, $D$9, 100%, $F$9) + CHOOSE(CONTROL!$C$27, 0.0021, 0)</f>
        <v>79.807299999999998</v>
      </c>
      <c r="L766" s="10"/>
    </row>
    <row r="767" spans="1:12" ht="15.75" x14ac:dyDescent="0.25">
      <c r="A767" s="13">
        <v>64284</v>
      </c>
      <c r="B767" s="10">
        <f>78.7092 * CHOOSE(CONTROL!$C$9, $D$9, 100%, $F$9) + CHOOSE(CONTROL!$C$27, 0.0021, 0)</f>
        <v>78.711299999999994</v>
      </c>
      <c r="C767" s="10">
        <f>78.2769 * CHOOSE(CONTROL!$C$9, $D$9, 100%, $F$9) + CHOOSE(CONTROL!$C$27, 0.0021, 0)</f>
        <v>78.278999999999996</v>
      </c>
      <c r="D767" s="10">
        <f>78.2769 * CHOOSE(CONTROL!$C$9, $D$9, 100%, $F$9) + CHOOSE(CONTROL!$C$27, 0.0021, 0)</f>
        <v>78.278999999999996</v>
      </c>
      <c r="E767" s="10">
        <f>78.1403 * CHOOSE(CONTROL!$C$9, $D$9, 100%, $F$9) + CHOOSE(CONTROL!$C$27, 0.0021, 0)</f>
        <v>78.142399999999995</v>
      </c>
      <c r="F767" s="10">
        <f>78.1403 * CHOOSE(CONTROL!$C$9, $D$9, 100%, $F$9) + CHOOSE(CONTROL!$C$27, 0.0021, 0)</f>
        <v>78.142399999999995</v>
      </c>
      <c r="G767" s="10">
        <f>78.4116 * CHOOSE(CONTROL!$C$9, $D$9, 100%, $F$9) + CHOOSE(CONTROL!$C$27, 0.0021, 0)</f>
        <v>78.413700000000006</v>
      </c>
      <c r="H767" s="10">
        <f>78.2769 * CHOOSE(CONTROL!$C$9, $D$9, 100%, $F$9) + CHOOSE(CONTROL!$C$27, 0.0021, 0)</f>
        <v>78.278999999999996</v>
      </c>
      <c r="I767" s="10">
        <f>78.2769 * CHOOSE(CONTROL!$C$9, $D$9, 100%, $F$9) + CHOOSE(CONTROL!$C$27, 0.0021, 0)</f>
        <v>78.278999999999996</v>
      </c>
      <c r="J767" s="10">
        <f>78.2769 * CHOOSE(CONTROL!$C$9, $D$9, 100%, $F$9) + CHOOSE(CONTROL!$C$27, 0.0021, 0)</f>
        <v>78.278999999999996</v>
      </c>
      <c r="K767" s="10">
        <f>78.2769 * CHOOSE(CONTROL!$C$9, $D$9, 100%, $F$9) + CHOOSE(CONTROL!$C$27, 0.0021, 0)</f>
        <v>78.278999999999996</v>
      </c>
      <c r="L767" s="10"/>
    </row>
    <row r="768" spans="1:12" ht="15.75" x14ac:dyDescent="0.25">
      <c r="A768" s="13">
        <v>64315</v>
      </c>
      <c r="B768" s="10">
        <f>77.7079 * CHOOSE(CONTROL!$C$9, $D$9, 100%, $F$9) + CHOOSE(CONTROL!$C$27, 0.0021, 0)</f>
        <v>77.709999999999994</v>
      </c>
      <c r="C768" s="10">
        <f>77.2757 * CHOOSE(CONTROL!$C$9, $D$9, 100%, $F$9) + CHOOSE(CONTROL!$C$27, 0.0021, 0)</f>
        <v>77.277799999999999</v>
      </c>
      <c r="D768" s="10">
        <f>77.2757 * CHOOSE(CONTROL!$C$9, $D$9, 100%, $F$9) + CHOOSE(CONTROL!$C$27, 0.0021, 0)</f>
        <v>77.277799999999999</v>
      </c>
      <c r="E768" s="10">
        <f>77.139 * CHOOSE(CONTROL!$C$9, $D$9, 100%, $F$9) + CHOOSE(CONTROL!$C$27, 0.0021, 0)</f>
        <v>77.141099999999994</v>
      </c>
      <c r="F768" s="10">
        <f>77.139 * CHOOSE(CONTROL!$C$9, $D$9, 100%, $F$9) + CHOOSE(CONTROL!$C$27, 0.0021, 0)</f>
        <v>77.141099999999994</v>
      </c>
      <c r="G768" s="10">
        <f>77.4104 * CHOOSE(CONTROL!$C$9, $D$9, 100%, $F$9) + CHOOSE(CONTROL!$C$27, 0.0021, 0)</f>
        <v>77.412499999999994</v>
      </c>
      <c r="H768" s="10">
        <f>77.2757 * CHOOSE(CONTROL!$C$9, $D$9, 100%, $F$9) + CHOOSE(CONTROL!$C$27, 0.0021, 0)</f>
        <v>77.277799999999999</v>
      </c>
      <c r="I768" s="10">
        <f>77.2757 * CHOOSE(CONTROL!$C$9, $D$9, 100%, $F$9) + CHOOSE(CONTROL!$C$27, 0.0021, 0)</f>
        <v>77.277799999999999</v>
      </c>
      <c r="J768" s="10">
        <f>77.2757 * CHOOSE(CONTROL!$C$9, $D$9, 100%, $F$9) + CHOOSE(CONTROL!$C$27, 0.0021, 0)</f>
        <v>77.277799999999999</v>
      </c>
      <c r="K768" s="10">
        <f>77.2757 * CHOOSE(CONTROL!$C$9, $D$9, 100%, $F$9) + CHOOSE(CONTROL!$C$27, 0.0021, 0)</f>
        <v>77.277799999999999</v>
      </c>
      <c r="L768" s="10"/>
    </row>
    <row r="769" spans="1:12" ht="15.75" x14ac:dyDescent="0.25">
      <c r="A769" s="13">
        <v>64344</v>
      </c>
      <c r="B769" s="10">
        <f>75.5748 * CHOOSE(CONTROL!$C$9, $D$9, 100%, $F$9) + CHOOSE(CONTROL!$C$27, 0.0021, 0)</f>
        <v>75.576899999999995</v>
      </c>
      <c r="C769" s="10">
        <f>75.1425 * CHOOSE(CONTROL!$C$9, $D$9, 100%, $F$9) + CHOOSE(CONTROL!$C$27, 0.0021, 0)</f>
        <v>75.144599999999997</v>
      </c>
      <c r="D769" s="10">
        <f>75.1425 * CHOOSE(CONTROL!$C$9, $D$9, 100%, $F$9) + CHOOSE(CONTROL!$C$27, 0.0021, 0)</f>
        <v>75.144599999999997</v>
      </c>
      <c r="E769" s="10">
        <f>75.0059 * CHOOSE(CONTROL!$C$9, $D$9, 100%, $F$9) + CHOOSE(CONTROL!$C$27, 0.0021, 0)</f>
        <v>75.007999999999996</v>
      </c>
      <c r="F769" s="10">
        <f>75.0059 * CHOOSE(CONTROL!$C$9, $D$9, 100%, $F$9) + CHOOSE(CONTROL!$C$27, 0.0021, 0)</f>
        <v>75.007999999999996</v>
      </c>
      <c r="G769" s="10">
        <f>75.2772 * CHOOSE(CONTROL!$C$9, $D$9, 100%, $F$9) + CHOOSE(CONTROL!$C$27, 0.0021, 0)</f>
        <v>75.279299999999992</v>
      </c>
      <c r="H769" s="10">
        <f>75.1425 * CHOOSE(CONTROL!$C$9, $D$9, 100%, $F$9) + CHOOSE(CONTROL!$C$27, 0.0021, 0)</f>
        <v>75.144599999999997</v>
      </c>
      <c r="I769" s="10">
        <f>75.1425 * CHOOSE(CONTROL!$C$9, $D$9, 100%, $F$9) + CHOOSE(CONTROL!$C$27, 0.0021, 0)</f>
        <v>75.144599999999997</v>
      </c>
      <c r="J769" s="10">
        <f>75.1425 * CHOOSE(CONTROL!$C$9, $D$9, 100%, $F$9) + CHOOSE(CONTROL!$C$27, 0.0021, 0)</f>
        <v>75.144599999999997</v>
      </c>
      <c r="K769" s="10">
        <f>75.1425 * CHOOSE(CONTROL!$C$9, $D$9, 100%, $F$9) + CHOOSE(CONTROL!$C$27, 0.0021, 0)</f>
        <v>75.144599999999997</v>
      </c>
      <c r="L769" s="10"/>
    </row>
    <row r="770" spans="1:12" ht="15.75" x14ac:dyDescent="0.25">
      <c r="A770" s="13">
        <v>64375</v>
      </c>
      <c r="B770" s="10">
        <f>74.6942 * CHOOSE(CONTROL!$C$9, $D$9, 100%, $F$9) + CHOOSE(CONTROL!$C$27, 0.0021, 0)</f>
        <v>74.696299999999994</v>
      </c>
      <c r="C770" s="10">
        <f>74.262 * CHOOSE(CONTROL!$C$9, $D$9, 100%, $F$9) + CHOOSE(CONTROL!$C$27, 0.0021, 0)</f>
        <v>74.264099999999999</v>
      </c>
      <c r="D770" s="10">
        <f>74.262 * CHOOSE(CONTROL!$C$9, $D$9, 100%, $F$9) + CHOOSE(CONTROL!$C$27, 0.0021, 0)</f>
        <v>74.264099999999999</v>
      </c>
      <c r="E770" s="10">
        <f>74.1253 * CHOOSE(CONTROL!$C$9, $D$9, 100%, $F$9) + CHOOSE(CONTROL!$C$27, 0.0021, 0)</f>
        <v>74.127399999999994</v>
      </c>
      <c r="F770" s="10">
        <f>74.1253 * CHOOSE(CONTROL!$C$9, $D$9, 100%, $F$9) + CHOOSE(CONTROL!$C$27, 0.0021, 0)</f>
        <v>74.127399999999994</v>
      </c>
      <c r="G770" s="10">
        <f>74.3967 * CHOOSE(CONTROL!$C$9, $D$9, 100%, $F$9) + CHOOSE(CONTROL!$C$27, 0.0021, 0)</f>
        <v>74.398799999999994</v>
      </c>
      <c r="H770" s="10">
        <f>74.262 * CHOOSE(CONTROL!$C$9, $D$9, 100%, $F$9) + CHOOSE(CONTROL!$C$27, 0.0021, 0)</f>
        <v>74.264099999999999</v>
      </c>
      <c r="I770" s="10">
        <f>74.262 * CHOOSE(CONTROL!$C$9, $D$9, 100%, $F$9) + CHOOSE(CONTROL!$C$27, 0.0021, 0)</f>
        <v>74.264099999999999</v>
      </c>
      <c r="J770" s="10">
        <f>74.262 * CHOOSE(CONTROL!$C$9, $D$9, 100%, $F$9) + CHOOSE(CONTROL!$C$27, 0.0021, 0)</f>
        <v>74.264099999999999</v>
      </c>
      <c r="K770" s="10">
        <f>74.262 * CHOOSE(CONTROL!$C$9, $D$9, 100%, $F$9) + CHOOSE(CONTROL!$C$27, 0.0021, 0)</f>
        <v>74.264099999999999</v>
      </c>
      <c r="L770" s="10"/>
    </row>
    <row r="771" spans="1:12" ht="15.75" x14ac:dyDescent="0.25">
      <c r="A771" s="13">
        <v>64405</v>
      </c>
      <c r="B771" s="10">
        <f>73.6428 * CHOOSE(CONTROL!$C$9, $D$9, 100%, $F$9) + CHOOSE(CONTROL!$C$27, 0.0021, 0)</f>
        <v>73.644899999999993</v>
      </c>
      <c r="C771" s="10">
        <f>73.2105 * CHOOSE(CONTROL!$C$9, $D$9, 100%, $F$9) + CHOOSE(CONTROL!$C$27, 0.0021, 0)</f>
        <v>73.212599999999995</v>
      </c>
      <c r="D771" s="10">
        <f>73.2105 * CHOOSE(CONTROL!$C$9, $D$9, 100%, $F$9) + CHOOSE(CONTROL!$C$27, 0.0021, 0)</f>
        <v>73.212599999999995</v>
      </c>
      <c r="E771" s="10">
        <f>73.0739 * CHOOSE(CONTROL!$C$9, $D$9, 100%, $F$9) + CHOOSE(CONTROL!$C$27, 0.0021, 0)</f>
        <v>73.075999999999993</v>
      </c>
      <c r="F771" s="10">
        <f>73.0739 * CHOOSE(CONTROL!$C$9, $D$9, 100%, $F$9) + CHOOSE(CONTROL!$C$27, 0.0021, 0)</f>
        <v>73.075999999999993</v>
      </c>
      <c r="G771" s="10">
        <f>73.3453 * CHOOSE(CONTROL!$C$9, $D$9, 100%, $F$9) + CHOOSE(CONTROL!$C$27, 0.0021, 0)</f>
        <v>73.347399999999993</v>
      </c>
      <c r="H771" s="10">
        <f>73.2105 * CHOOSE(CONTROL!$C$9, $D$9, 100%, $F$9) + CHOOSE(CONTROL!$C$27, 0.0021, 0)</f>
        <v>73.212599999999995</v>
      </c>
      <c r="I771" s="10">
        <f>73.2105 * CHOOSE(CONTROL!$C$9, $D$9, 100%, $F$9) + CHOOSE(CONTROL!$C$27, 0.0021, 0)</f>
        <v>73.212599999999995</v>
      </c>
      <c r="J771" s="10">
        <f>73.2105 * CHOOSE(CONTROL!$C$9, $D$9, 100%, $F$9) + CHOOSE(CONTROL!$C$27, 0.0021, 0)</f>
        <v>73.212599999999995</v>
      </c>
      <c r="K771" s="10">
        <f>73.2105 * CHOOSE(CONTROL!$C$9, $D$9, 100%, $F$9) + CHOOSE(CONTROL!$C$27, 0.0021, 0)</f>
        <v>73.212599999999995</v>
      </c>
      <c r="L771" s="10"/>
    </row>
    <row r="772" spans="1:12" ht="15.75" x14ac:dyDescent="0.25">
      <c r="A772" s="13">
        <v>64436</v>
      </c>
      <c r="B772" s="10">
        <f>75.1412 * CHOOSE(CONTROL!$C$9, $D$9, 100%, $F$9) + CHOOSE(CONTROL!$C$27, 0.0021, 0)</f>
        <v>75.143299999999996</v>
      </c>
      <c r="C772" s="10">
        <f>74.7089 * CHOOSE(CONTROL!$C$9, $D$9, 100%, $F$9) + CHOOSE(CONTROL!$C$27, 0.0021, 0)</f>
        <v>74.710999999999999</v>
      </c>
      <c r="D772" s="10">
        <f>74.7089 * CHOOSE(CONTROL!$C$9, $D$9, 100%, $F$9) + CHOOSE(CONTROL!$C$27, 0.0021, 0)</f>
        <v>74.710999999999999</v>
      </c>
      <c r="E772" s="10">
        <f>74.5723 * CHOOSE(CONTROL!$C$9, $D$9, 100%, $F$9) + CHOOSE(CONTROL!$C$27, 0.0021, 0)</f>
        <v>74.574399999999997</v>
      </c>
      <c r="F772" s="10">
        <f>74.5723 * CHOOSE(CONTROL!$C$9, $D$9, 100%, $F$9) + CHOOSE(CONTROL!$C$27, 0.0021, 0)</f>
        <v>74.574399999999997</v>
      </c>
      <c r="G772" s="10">
        <f>74.8436 * CHOOSE(CONTROL!$C$9, $D$9, 100%, $F$9) + CHOOSE(CONTROL!$C$27, 0.0021, 0)</f>
        <v>74.845699999999994</v>
      </c>
      <c r="H772" s="10">
        <f>74.7089 * CHOOSE(CONTROL!$C$9, $D$9, 100%, $F$9) + CHOOSE(CONTROL!$C$27, 0.0021, 0)</f>
        <v>74.710999999999999</v>
      </c>
      <c r="I772" s="10">
        <f>74.7089 * CHOOSE(CONTROL!$C$9, $D$9, 100%, $F$9) + CHOOSE(CONTROL!$C$27, 0.0021, 0)</f>
        <v>74.710999999999999</v>
      </c>
      <c r="J772" s="10">
        <f>74.7089 * CHOOSE(CONTROL!$C$9, $D$9, 100%, $F$9) + CHOOSE(CONTROL!$C$27, 0.0021, 0)</f>
        <v>74.710999999999999</v>
      </c>
      <c r="K772" s="10">
        <f>74.7089 * CHOOSE(CONTROL!$C$9, $D$9, 100%, $F$9) + CHOOSE(CONTROL!$C$27, 0.0021, 0)</f>
        <v>74.710999999999999</v>
      </c>
      <c r="L772" s="10"/>
    </row>
    <row r="773" spans="1:12" ht="15.75" x14ac:dyDescent="0.25">
      <c r="A773" s="13">
        <v>64466</v>
      </c>
      <c r="B773" s="10">
        <f>76.0387 * CHOOSE(CONTROL!$C$9, $D$9, 100%, $F$9) + CHOOSE(CONTROL!$C$27, 0.0021, 0)</f>
        <v>76.040800000000004</v>
      </c>
      <c r="C773" s="10">
        <f>75.6064 * CHOOSE(CONTROL!$C$9, $D$9, 100%, $F$9) + CHOOSE(CONTROL!$C$27, 0.0021, 0)</f>
        <v>75.608499999999992</v>
      </c>
      <c r="D773" s="10">
        <f>75.6064 * CHOOSE(CONTROL!$C$9, $D$9, 100%, $F$9) + CHOOSE(CONTROL!$C$27, 0.0021, 0)</f>
        <v>75.608499999999992</v>
      </c>
      <c r="E773" s="10">
        <f>75.4697 * CHOOSE(CONTROL!$C$9, $D$9, 100%, $F$9) + CHOOSE(CONTROL!$C$27, 0.0021, 0)</f>
        <v>75.471800000000002</v>
      </c>
      <c r="F773" s="10">
        <f>75.4697 * CHOOSE(CONTROL!$C$9, $D$9, 100%, $F$9) + CHOOSE(CONTROL!$C$27, 0.0021, 0)</f>
        <v>75.471800000000002</v>
      </c>
      <c r="G773" s="10">
        <f>75.7411 * CHOOSE(CONTROL!$C$9, $D$9, 100%, $F$9) + CHOOSE(CONTROL!$C$27, 0.0021, 0)</f>
        <v>75.743200000000002</v>
      </c>
      <c r="H773" s="10">
        <f>75.6064 * CHOOSE(CONTROL!$C$9, $D$9, 100%, $F$9) + CHOOSE(CONTROL!$C$27, 0.0021, 0)</f>
        <v>75.608499999999992</v>
      </c>
      <c r="I773" s="10">
        <f>75.6064 * CHOOSE(CONTROL!$C$9, $D$9, 100%, $F$9) + CHOOSE(CONTROL!$C$27, 0.0021, 0)</f>
        <v>75.608499999999992</v>
      </c>
      <c r="J773" s="10">
        <f>75.6064 * CHOOSE(CONTROL!$C$9, $D$9, 100%, $F$9) + CHOOSE(CONTROL!$C$27, 0.0021, 0)</f>
        <v>75.608499999999992</v>
      </c>
      <c r="K773" s="10">
        <f>75.6064 * CHOOSE(CONTROL!$C$9, $D$9, 100%, $F$9) + CHOOSE(CONTROL!$C$27, 0.0021, 0)</f>
        <v>75.608499999999992</v>
      </c>
      <c r="L773" s="10"/>
    </row>
    <row r="774" spans="1:12" ht="15.75" x14ac:dyDescent="0.25">
      <c r="A774" s="13">
        <v>64497</v>
      </c>
      <c r="B774" s="10">
        <f>77.5192 * CHOOSE(CONTROL!$C$9, $D$9, 100%, $F$9) + CHOOSE(CONTROL!$C$27, 0.0021, 0)</f>
        <v>77.521299999999997</v>
      </c>
      <c r="C774" s="10">
        <f>77.0869 * CHOOSE(CONTROL!$C$9, $D$9, 100%, $F$9) + CHOOSE(CONTROL!$C$27, 0.0021, 0)</f>
        <v>77.088999999999999</v>
      </c>
      <c r="D774" s="10">
        <f>77.0869 * CHOOSE(CONTROL!$C$9, $D$9, 100%, $F$9) + CHOOSE(CONTROL!$C$27, 0.0021, 0)</f>
        <v>77.088999999999999</v>
      </c>
      <c r="E774" s="10">
        <f>76.9503 * CHOOSE(CONTROL!$C$9, $D$9, 100%, $F$9) + CHOOSE(CONTROL!$C$27, 0.0021, 0)</f>
        <v>76.952399999999997</v>
      </c>
      <c r="F774" s="10">
        <f>76.9503 * CHOOSE(CONTROL!$C$9, $D$9, 100%, $F$9) + CHOOSE(CONTROL!$C$27, 0.0021, 0)</f>
        <v>76.952399999999997</v>
      </c>
      <c r="G774" s="10">
        <f>77.2216 * CHOOSE(CONTROL!$C$9, $D$9, 100%, $F$9) + CHOOSE(CONTROL!$C$27, 0.0021, 0)</f>
        <v>77.223699999999994</v>
      </c>
      <c r="H774" s="10">
        <f>77.0869 * CHOOSE(CONTROL!$C$9, $D$9, 100%, $F$9) + CHOOSE(CONTROL!$C$27, 0.0021, 0)</f>
        <v>77.088999999999999</v>
      </c>
      <c r="I774" s="10">
        <f>77.0869 * CHOOSE(CONTROL!$C$9, $D$9, 100%, $F$9) + CHOOSE(CONTROL!$C$27, 0.0021, 0)</f>
        <v>77.088999999999999</v>
      </c>
      <c r="J774" s="10">
        <f>77.0869 * CHOOSE(CONTROL!$C$9, $D$9, 100%, $F$9) + CHOOSE(CONTROL!$C$27, 0.0021, 0)</f>
        <v>77.088999999999999</v>
      </c>
      <c r="K774" s="10">
        <f>77.0869 * CHOOSE(CONTROL!$C$9, $D$9, 100%, $F$9) + CHOOSE(CONTROL!$C$27, 0.0021, 0)</f>
        <v>77.088999999999999</v>
      </c>
      <c r="L774" s="10"/>
    </row>
    <row r="775" spans="1:12" ht="15.75" x14ac:dyDescent="0.25">
      <c r="A775" s="13">
        <v>64528</v>
      </c>
      <c r="B775" s="10">
        <f>77.9711 * CHOOSE(CONTROL!$C$9, $D$9, 100%, $F$9) + CHOOSE(CONTROL!$C$27, 0.0021, 0)</f>
        <v>77.973200000000006</v>
      </c>
      <c r="C775" s="10">
        <f>77.5388 * CHOOSE(CONTROL!$C$9, $D$9, 100%, $F$9) + CHOOSE(CONTROL!$C$27, 0.0021, 0)</f>
        <v>77.540899999999993</v>
      </c>
      <c r="D775" s="10">
        <f>77.5388 * CHOOSE(CONTROL!$C$9, $D$9, 100%, $F$9) + CHOOSE(CONTROL!$C$27, 0.0021, 0)</f>
        <v>77.540899999999993</v>
      </c>
      <c r="E775" s="10">
        <f>77.4021 * CHOOSE(CONTROL!$C$9, $D$9, 100%, $F$9) + CHOOSE(CONTROL!$C$27, 0.0021, 0)</f>
        <v>77.404200000000003</v>
      </c>
      <c r="F775" s="10">
        <f>77.4021 * CHOOSE(CONTROL!$C$9, $D$9, 100%, $F$9) + CHOOSE(CONTROL!$C$27, 0.0021, 0)</f>
        <v>77.404200000000003</v>
      </c>
      <c r="G775" s="10">
        <f>77.6735 * CHOOSE(CONTROL!$C$9, $D$9, 100%, $F$9) + CHOOSE(CONTROL!$C$27, 0.0021, 0)</f>
        <v>77.675600000000003</v>
      </c>
      <c r="H775" s="10">
        <f>77.5388 * CHOOSE(CONTROL!$C$9, $D$9, 100%, $F$9) + CHOOSE(CONTROL!$C$27, 0.0021, 0)</f>
        <v>77.540899999999993</v>
      </c>
      <c r="I775" s="10">
        <f>77.5388 * CHOOSE(CONTROL!$C$9, $D$9, 100%, $F$9) + CHOOSE(CONTROL!$C$27, 0.0021, 0)</f>
        <v>77.540899999999993</v>
      </c>
      <c r="J775" s="10">
        <f>77.5388 * CHOOSE(CONTROL!$C$9, $D$9, 100%, $F$9) + CHOOSE(CONTROL!$C$27, 0.0021, 0)</f>
        <v>77.540899999999993</v>
      </c>
      <c r="K775" s="10">
        <f>77.5388 * CHOOSE(CONTROL!$C$9, $D$9, 100%, $F$9) + CHOOSE(CONTROL!$C$27, 0.0021, 0)</f>
        <v>77.540899999999993</v>
      </c>
      <c r="L775" s="10"/>
    </row>
    <row r="776" spans="1:12" ht="15.75" x14ac:dyDescent="0.25">
      <c r="A776" s="13">
        <v>64558</v>
      </c>
      <c r="B776" s="10">
        <f>79.51 * CHOOSE(CONTROL!$C$9, $D$9, 100%, $F$9) + CHOOSE(CONTROL!$C$27, 0.0021, 0)</f>
        <v>79.512100000000004</v>
      </c>
      <c r="C776" s="10">
        <f>79.0777 * CHOOSE(CONTROL!$C$9, $D$9, 100%, $F$9) + CHOOSE(CONTROL!$C$27, 0.0021, 0)</f>
        <v>79.079799999999992</v>
      </c>
      <c r="D776" s="10">
        <f>79.0777 * CHOOSE(CONTROL!$C$9, $D$9, 100%, $F$9) + CHOOSE(CONTROL!$C$27, 0.0021, 0)</f>
        <v>79.079799999999992</v>
      </c>
      <c r="E776" s="10">
        <f>78.9411 * CHOOSE(CONTROL!$C$9, $D$9, 100%, $F$9) + CHOOSE(CONTROL!$C$27, 0.0021, 0)</f>
        <v>78.943200000000004</v>
      </c>
      <c r="F776" s="10">
        <f>78.9411 * CHOOSE(CONTROL!$C$9, $D$9, 100%, $F$9) + CHOOSE(CONTROL!$C$27, 0.0021, 0)</f>
        <v>78.943200000000004</v>
      </c>
      <c r="G776" s="10">
        <f>79.2125 * CHOOSE(CONTROL!$C$9, $D$9, 100%, $F$9) + CHOOSE(CONTROL!$C$27, 0.0021, 0)</f>
        <v>79.214600000000004</v>
      </c>
      <c r="H776" s="10">
        <f>79.0777 * CHOOSE(CONTROL!$C$9, $D$9, 100%, $F$9) + CHOOSE(CONTROL!$C$27, 0.0021, 0)</f>
        <v>79.079799999999992</v>
      </c>
      <c r="I776" s="10">
        <f>79.0777 * CHOOSE(CONTROL!$C$9, $D$9, 100%, $F$9) + CHOOSE(CONTROL!$C$27, 0.0021, 0)</f>
        <v>79.079799999999992</v>
      </c>
      <c r="J776" s="10">
        <f>79.0777 * CHOOSE(CONTROL!$C$9, $D$9, 100%, $F$9) + CHOOSE(CONTROL!$C$27, 0.0021, 0)</f>
        <v>79.079799999999992</v>
      </c>
      <c r="K776" s="10">
        <f>79.0777 * CHOOSE(CONTROL!$C$9, $D$9, 100%, $F$9) + CHOOSE(CONTROL!$C$27, 0.0021, 0)</f>
        <v>79.079799999999992</v>
      </c>
      <c r="L776" s="10"/>
    </row>
    <row r="777" spans="1:12" ht="15.75" x14ac:dyDescent="0.25">
      <c r="A777" s="13">
        <v>64589</v>
      </c>
      <c r="B777" s="10">
        <f>81.458 * CHOOSE(CONTROL!$C$9, $D$9, 100%, $F$9) + CHOOSE(CONTROL!$C$27, 0.0021, 0)</f>
        <v>81.460099999999997</v>
      </c>
      <c r="C777" s="10">
        <f>81.0257 * CHOOSE(CONTROL!$C$9, $D$9, 100%, $F$9) + CHOOSE(CONTROL!$C$27, 0.0021, 0)</f>
        <v>81.027799999999999</v>
      </c>
      <c r="D777" s="10">
        <f>81.0257 * CHOOSE(CONTROL!$C$9, $D$9, 100%, $F$9) + CHOOSE(CONTROL!$C$27, 0.0021, 0)</f>
        <v>81.027799999999999</v>
      </c>
      <c r="E777" s="10">
        <f>80.8891 * CHOOSE(CONTROL!$C$9, $D$9, 100%, $F$9) + CHOOSE(CONTROL!$C$27, 0.0021, 0)</f>
        <v>80.891199999999998</v>
      </c>
      <c r="F777" s="10">
        <f>80.8891 * CHOOSE(CONTROL!$C$9, $D$9, 100%, $F$9) + CHOOSE(CONTROL!$C$27, 0.0021, 0)</f>
        <v>80.891199999999998</v>
      </c>
      <c r="G777" s="10">
        <f>81.1605 * CHOOSE(CONTROL!$C$9, $D$9, 100%, $F$9) + CHOOSE(CONTROL!$C$27, 0.0021, 0)</f>
        <v>81.162599999999998</v>
      </c>
      <c r="H777" s="10">
        <f>81.0257 * CHOOSE(CONTROL!$C$9, $D$9, 100%, $F$9) + CHOOSE(CONTROL!$C$27, 0.0021, 0)</f>
        <v>81.027799999999999</v>
      </c>
      <c r="I777" s="10">
        <f>81.0257 * CHOOSE(CONTROL!$C$9, $D$9, 100%, $F$9) + CHOOSE(CONTROL!$C$27, 0.0021, 0)</f>
        <v>81.027799999999999</v>
      </c>
      <c r="J777" s="10">
        <f>81.0257 * CHOOSE(CONTROL!$C$9, $D$9, 100%, $F$9) + CHOOSE(CONTROL!$C$27, 0.0021, 0)</f>
        <v>81.027799999999999</v>
      </c>
      <c r="K777" s="10">
        <f>81.0257 * CHOOSE(CONTROL!$C$9, $D$9, 100%, $F$9) + CHOOSE(CONTROL!$C$27, 0.0021, 0)</f>
        <v>81.027799999999999</v>
      </c>
      <c r="L777" s="10"/>
    </row>
    <row r="778" spans="1:12" ht="15.75" x14ac:dyDescent="0.25">
      <c r="A778" s="13">
        <v>64619</v>
      </c>
      <c r="B778" s="10">
        <f>81.6409 * CHOOSE(CONTROL!$C$9, $D$9, 100%, $F$9) + CHOOSE(CONTROL!$C$27, 0.0021, 0)</f>
        <v>81.643000000000001</v>
      </c>
      <c r="C778" s="10">
        <f>81.2086 * CHOOSE(CONTROL!$C$9, $D$9, 100%, $F$9) + CHOOSE(CONTROL!$C$27, 0.0021, 0)</f>
        <v>81.210700000000003</v>
      </c>
      <c r="D778" s="10">
        <f>81.2086 * CHOOSE(CONTROL!$C$9, $D$9, 100%, $F$9) + CHOOSE(CONTROL!$C$27, 0.0021, 0)</f>
        <v>81.210700000000003</v>
      </c>
      <c r="E778" s="10">
        <f>81.072 * CHOOSE(CONTROL!$C$9, $D$9, 100%, $F$9) + CHOOSE(CONTROL!$C$27, 0.0021, 0)</f>
        <v>81.074100000000001</v>
      </c>
      <c r="F778" s="10">
        <f>81.072 * CHOOSE(CONTROL!$C$9, $D$9, 100%, $F$9) + CHOOSE(CONTROL!$C$27, 0.0021, 0)</f>
        <v>81.074100000000001</v>
      </c>
      <c r="G778" s="10">
        <f>81.3433 * CHOOSE(CONTROL!$C$9, $D$9, 100%, $F$9) + CHOOSE(CONTROL!$C$27, 0.0021, 0)</f>
        <v>81.345399999999998</v>
      </c>
      <c r="H778" s="10">
        <f>81.2086 * CHOOSE(CONTROL!$C$9, $D$9, 100%, $F$9) + CHOOSE(CONTROL!$C$27, 0.0021, 0)</f>
        <v>81.210700000000003</v>
      </c>
      <c r="I778" s="10">
        <f>81.2086 * CHOOSE(CONTROL!$C$9, $D$9, 100%, $F$9) + CHOOSE(CONTROL!$C$27, 0.0021, 0)</f>
        <v>81.210700000000003</v>
      </c>
      <c r="J778" s="10">
        <f>81.2086 * CHOOSE(CONTROL!$C$9, $D$9, 100%, $F$9) + CHOOSE(CONTROL!$C$27, 0.0021, 0)</f>
        <v>81.210700000000003</v>
      </c>
      <c r="K778" s="10">
        <f>81.2086 * CHOOSE(CONTROL!$C$9, $D$9, 100%, $F$9) + CHOOSE(CONTROL!$C$27, 0.0021, 0)</f>
        <v>81.210700000000003</v>
      </c>
      <c r="L778" s="10"/>
    </row>
    <row r="779" spans="1:12" ht="15.75" x14ac:dyDescent="0.25">
      <c r="A779" s="13">
        <v>64650</v>
      </c>
      <c r="B779" s="10">
        <f>80.085 * CHOOSE(CONTROL!$C$9, $D$9, 100%, $F$9) + CHOOSE(CONTROL!$C$27, 0.0021, 0)</f>
        <v>80.087099999999992</v>
      </c>
      <c r="C779" s="10">
        <f>79.6528 * CHOOSE(CONTROL!$C$9, $D$9, 100%, $F$9) + CHOOSE(CONTROL!$C$27, 0.0021, 0)</f>
        <v>79.654899999999998</v>
      </c>
      <c r="D779" s="10">
        <f>79.6528 * CHOOSE(CONTROL!$C$9, $D$9, 100%, $F$9) + CHOOSE(CONTROL!$C$27, 0.0021, 0)</f>
        <v>79.654899999999998</v>
      </c>
      <c r="E779" s="10">
        <f>79.5161 * CHOOSE(CONTROL!$C$9, $D$9, 100%, $F$9) + CHOOSE(CONTROL!$C$27, 0.0021, 0)</f>
        <v>79.518199999999993</v>
      </c>
      <c r="F779" s="10">
        <f>79.5161 * CHOOSE(CONTROL!$C$9, $D$9, 100%, $F$9) + CHOOSE(CONTROL!$C$27, 0.0021, 0)</f>
        <v>79.518199999999993</v>
      </c>
      <c r="G779" s="10">
        <f>79.7875 * CHOOSE(CONTROL!$C$9, $D$9, 100%, $F$9) + CHOOSE(CONTROL!$C$27, 0.0021, 0)</f>
        <v>79.789599999999993</v>
      </c>
      <c r="H779" s="10">
        <f>79.6528 * CHOOSE(CONTROL!$C$9, $D$9, 100%, $F$9) + CHOOSE(CONTROL!$C$27, 0.0021, 0)</f>
        <v>79.654899999999998</v>
      </c>
      <c r="I779" s="10">
        <f>79.6528 * CHOOSE(CONTROL!$C$9, $D$9, 100%, $F$9) + CHOOSE(CONTROL!$C$27, 0.0021, 0)</f>
        <v>79.654899999999998</v>
      </c>
      <c r="J779" s="10">
        <f>79.6528 * CHOOSE(CONTROL!$C$9, $D$9, 100%, $F$9) + CHOOSE(CONTROL!$C$27, 0.0021, 0)</f>
        <v>79.654899999999998</v>
      </c>
      <c r="K779" s="10">
        <f>79.6528 * CHOOSE(CONTROL!$C$9, $D$9, 100%, $F$9) + CHOOSE(CONTROL!$C$27, 0.0021, 0)</f>
        <v>79.654899999999998</v>
      </c>
      <c r="L779" s="10"/>
    </row>
    <row r="780" spans="1:12" ht="15.75" x14ac:dyDescent="0.25">
      <c r="A780" s="13">
        <v>64681</v>
      </c>
      <c r="B780" s="10">
        <f>79.0658 * CHOOSE(CONTROL!$C$9, $D$9, 100%, $F$9) + CHOOSE(CONTROL!$C$27, 0.0021, 0)</f>
        <v>79.067899999999995</v>
      </c>
      <c r="C780" s="10">
        <f>78.6335 * CHOOSE(CONTROL!$C$9, $D$9, 100%, $F$9) + CHOOSE(CONTROL!$C$27, 0.0021, 0)</f>
        <v>78.635599999999997</v>
      </c>
      <c r="D780" s="10">
        <f>78.6335 * CHOOSE(CONTROL!$C$9, $D$9, 100%, $F$9) + CHOOSE(CONTROL!$C$27, 0.0021, 0)</f>
        <v>78.635599999999997</v>
      </c>
      <c r="E780" s="10">
        <f>78.4969 * CHOOSE(CONTROL!$C$9, $D$9, 100%, $F$9) + CHOOSE(CONTROL!$C$27, 0.0021, 0)</f>
        <v>78.498999999999995</v>
      </c>
      <c r="F780" s="10">
        <f>78.4969 * CHOOSE(CONTROL!$C$9, $D$9, 100%, $F$9) + CHOOSE(CONTROL!$C$27, 0.0021, 0)</f>
        <v>78.498999999999995</v>
      </c>
      <c r="G780" s="10">
        <f>78.7682 * CHOOSE(CONTROL!$C$9, $D$9, 100%, $F$9) + CHOOSE(CONTROL!$C$27, 0.0021, 0)</f>
        <v>78.770299999999992</v>
      </c>
      <c r="H780" s="10">
        <f>78.6335 * CHOOSE(CONTROL!$C$9, $D$9, 100%, $F$9) + CHOOSE(CONTROL!$C$27, 0.0021, 0)</f>
        <v>78.635599999999997</v>
      </c>
      <c r="I780" s="10">
        <f>78.6335 * CHOOSE(CONTROL!$C$9, $D$9, 100%, $F$9) + CHOOSE(CONTROL!$C$27, 0.0021, 0)</f>
        <v>78.635599999999997</v>
      </c>
      <c r="J780" s="10">
        <f>78.6335 * CHOOSE(CONTROL!$C$9, $D$9, 100%, $F$9) + CHOOSE(CONTROL!$C$27, 0.0021, 0)</f>
        <v>78.635599999999997</v>
      </c>
      <c r="K780" s="10">
        <f>78.6335 * CHOOSE(CONTROL!$C$9, $D$9, 100%, $F$9) + CHOOSE(CONTROL!$C$27, 0.0021, 0)</f>
        <v>78.635599999999997</v>
      </c>
      <c r="L780" s="10"/>
    </row>
    <row r="781" spans="1:12" ht="15.75" x14ac:dyDescent="0.25">
      <c r="A781" s="13">
        <v>64709</v>
      </c>
      <c r="B781" s="10">
        <f>76.8942 * CHOOSE(CONTROL!$C$9, $D$9, 100%, $F$9) + CHOOSE(CONTROL!$C$27, 0.0021, 0)</f>
        <v>76.896299999999997</v>
      </c>
      <c r="C781" s="10">
        <f>76.462 * CHOOSE(CONTROL!$C$9, $D$9, 100%, $F$9) + CHOOSE(CONTROL!$C$27, 0.0021, 0)</f>
        <v>76.464100000000002</v>
      </c>
      <c r="D781" s="10">
        <f>76.462 * CHOOSE(CONTROL!$C$9, $D$9, 100%, $F$9) + CHOOSE(CONTROL!$C$27, 0.0021, 0)</f>
        <v>76.464100000000002</v>
      </c>
      <c r="E781" s="10">
        <f>76.3253 * CHOOSE(CONTROL!$C$9, $D$9, 100%, $F$9) + CHOOSE(CONTROL!$C$27, 0.0021, 0)</f>
        <v>76.327399999999997</v>
      </c>
      <c r="F781" s="10">
        <f>76.3253 * CHOOSE(CONTROL!$C$9, $D$9, 100%, $F$9) + CHOOSE(CONTROL!$C$27, 0.0021, 0)</f>
        <v>76.327399999999997</v>
      </c>
      <c r="G781" s="10">
        <f>76.5967 * CHOOSE(CONTROL!$C$9, $D$9, 100%, $F$9) + CHOOSE(CONTROL!$C$27, 0.0021, 0)</f>
        <v>76.598799999999997</v>
      </c>
      <c r="H781" s="10">
        <f>76.462 * CHOOSE(CONTROL!$C$9, $D$9, 100%, $F$9) + CHOOSE(CONTROL!$C$27, 0.0021, 0)</f>
        <v>76.464100000000002</v>
      </c>
      <c r="I781" s="10">
        <f>76.462 * CHOOSE(CONTROL!$C$9, $D$9, 100%, $F$9) + CHOOSE(CONTROL!$C$27, 0.0021, 0)</f>
        <v>76.464100000000002</v>
      </c>
      <c r="J781" s="10">
        <f>76.462 * CHOOSE(CONTROL!$C$9, $D$9, 100%, $F$9) + CHOOSE(CONTROL!$C$27, 0.0021, 0)</f>
        <v>76.464100000000002</v>
      </c>
      <c r="K781" s="10">
        <f>76.462 * CHOOSE(CONTROL!$C$9, $D$9, 100%, $F$9) + CHOOSE(CONTROL!$C$27, 0.0021, 0)</f>
        <v>76.464100000000002</v>
      </c>
      <c r="L781" s="10"/>
    </row>
    <row r="782" spans="1:12" ht="15.75" x14ac:dyDescent="0.25">
      <c r="A782" s="13">
        <v>64740</v>
      </c>
      <c r="B782" s="10">
        <f>75.9978 * CHOOSE(CONTROL!$C$9, $D$9, 100%, $F$9) + CHOOSE(CONTROL!$C$27, 0.0021, 0)</f>
        <v>75.999899999999997</v>
      </c>
      <c r="C782" s="10">
        <f>75.5655 * CHOOSE(CONTROL!$C$9, $D$9, 100%, $F$9) + CHOOSE(CONTROL!$C$27, 0.0021, 0)</f>
        <v>75.567599999999999</v>
      </c>
      <c r="D782" s="10">
        <f>75.5655 * CHOOSE(CONTROL!$C$9, $D$9, 100%, $F$9) + CHOOSE(CONTROL!$C$27, 0.0021, 0)</f>
        <v>75.567599999999999</v>
      </c>
      <c r="E782" s="10">
        <f>75.4289 * CHOOSE(CONTROL!$C$9, $D$9, 100%, $F$9) + CHOOSE(CONTROL!$C$27, 0.0021, 0)</f>
        <v>75.430999999999997</v>
      </c>
      <c r="F782" s="10">
        <f>75.4289 * CHOOSE(CONTROL!$C$9, $D$9, 100%, $F$9) + CHOOSE(CONTROL!$C$27, 0.0021, 0)</f>
        <v>75.430999999999997</v>
      </c>
      <c r="G782" s="10">
        <f>75.7003 * CHOOSE(CONTROL!$C$9, $D$9, 100%, $F$9) + CHOOSE(CONTROL!$C$27, 0.0021, 0)</f>
        <v>75.702399999999997</v>
      </c>
      <c r="H782" s="10">
        <f>75.5655 * CHOOSE(CONTROL!$C$9, $D$9, 100%, $F$9) + CHOOSE(CONTROL!$C$27, 0.0021, 0)</f>
        <v>75.567599999999999</v>
      </c>
      <c r="I782" s="10">
        <f>75.5655 * CHOOSE(CONTROL!$C$9, $D$9, 100%, $F$9) + CHOOSE(CONTROL!$C$27, 0.0021, 0)</f>
        <v>75.567599999999999</v>
      </c>
      <c r="J782" s="10">
        <f>75.5655 * CHOOSE(CONTROL!$C$9, $D$9, 100%, $F$9) + CHOOSE(CONTROL!$C$27, 0.0021, 0)</f>
        <v>75.567599999999999</v>
      </c>
      <c r="K782" s="10">
        <f>75.5655 * CHOOSE(CONTROL!$C$9, $D$9, 100%, $F$9) + CHOOSE(CONTROL!$C$27, 0.0021, 0)</f>
        <v>75.567599999999999</v>
      </c>
      <c r="L782" s="10"/>
    </row>
    <row r="783" spans="1:12" ht="15.75" x14ac:dyDescent="0.25">
      <c r="A783" s="13">
        <v>64770</v>
      </c>
      <c r="B783" s="10">
        <f>74.9274 * CHOOSE(CONTROL!$C$9, $D$9, 100%, $F$9) + CHOOSE(CONTROL!$C$27, 0.0021, 0)</f>
        <v>74.929500000000004</v>
      </c>
      <c r="C783" s="10">
        <f>74.4952 * CHOOSE(CONTROL!$C$9, $D$9, 100%, $F$9) + CHOOSE(CONTROL!$C$27, 0.0021, 0)</f>
        <v>74.497299999999996</v>
      </c>
      <c r="D783" s="10">
        <f>74.4952 * CHOOSE(CONTROL!$C$9, $D$9, 100%, $F$9) + CHOOSE(CONTROL!$C$27, 0.0021, 0)</f>
        <v>74.497299999999996</v>
      </c>
      <c r="E783" s="10">
        <f>74.3585 * CHOOSE(CONTROL!$C$9, $D$9, 100%, $F$9) + CHOOSE(CONTROL!$C$27, 0.0021, 0)</f>
        <v>74.360600000000005</v>
      </c>
      <c r="F783" s="10">
        <f>74.3585 * CHOOSE(CONTROL!$C$9, $D$9, 100%, $F$9) + CHOOSE(CONTROL!$C$27, 0.0021, 0)</f>
        <v>74.360600000000005</v>
      </c>
      <c r="G783" s="10">
        <f>74.6299 * CHOOSE(CONTROL!$C$9, $D$9, 100%, $F$9) + CHOOSE(CONTROL!$C$27, 0.0021, 0)</f>
        <v>74.632000000000005</v>
      </c>
      <c r="H783" s="10">
        <f>74.4952 * CHOOSE(CONTROL!$C$9, $D$9, 100%, $F$9) + CHOOSE(CONTROL!$C$27, 0.0021, 0)</f>
        <v>74.497299999999996</v>
      </c>
      <c r="I783" s="10">
        <f>74.4952 * CHOOSE(CONTROL!$C$9, $D$9, 100%, $F$9) + CHOOSE(CONTROL!$C$27, 0.0021, 0)</f>
        <v>74.497299999999996</v>
      </c>
      <c r="J783" s="10">
        <f>74.4952 * CHOOSE(CONTROL!$C$9, $D$9, 100%, $F$9) + CHOOSE(CONTROL!$C$27, 0.0021, 0)</f>
        <v>74.497299999999996</v>
      </c>
      <c r="K783" s="10">
        <f>74.4952 * CHOOSE(CONTROL!$C$9, $D$9, 100%, $F$9) + CHOOSE(CONTROL!$C$27, 0.0021, 0)</f>
        <v>74.497299999999996</v>
      </c>
      <c r="L783" s="10"/>
    </row>
    <row r="784" spans="1:12" ht="15.75" x14ac:dyDescent="0.25">
      <c r="A784" s="13">
        <v>64801</v>
      </c>
      <c r="B784" s="10">
        <f>76.4528 * CHOOSE(CONTROL!$C$9, $D$9, 100%, $F$9) + CHOOSE(CONTROL!$C$27, 0.0021, 0)</f>
        <v>76.454899999999995</v>
      </c>
      <c r="C784" s="10">
        <f>76.0206 * CHOOSE(CONTROL!$C$9, $D$9, 100%, $F$9) + CHOOSE(CONTROL!$C$27, 0.0021, 0)</f>
        <v>76.0227</v>
      </c>
      <c r="D784" s="10">
        <f>76.0206 * CHOOSE(CONTROL!$C$9, $D$9, 100%, $F$9) + CHOOSE(CONTROL!$C$27, 0.0021, 0)</f>
        <v>76.0227</v>
      </c>
      <c r="E784" s="10">
        <f>75.8839 * CHOOSE(CONTROL!$C$9, $D$9, 100%, $F$9) + CHOOSE(CONTROL!$C$27, 0.0021, 0)</f>
        <v>75.885999999999996</v>
      </c>
      <c r="F784" s="10">
        <f>75.8839 * CHOOSE(CONTROL!$C$9, $D$9, 100%, $F$9) + CHOOSE(CONTROL!$C$27, 0.0021, 0)</f>
        <v>75.885999999999996</v>
      </c>
      <c r="G784" s="10">
        <f>76.1553 * CHOOSE(CONTROL!$C$9, $D$9, 100%, $F$9) + CHOOSE(CONTROL!$C$27, 0.0021, 0)</f>
        <v>76.157399999999996</v>
      </c>
      <c r="H784" s="10">
        <f>76.0206 * CHOOSE(CONTROL!$C$9, $D$9, 100%, $F$9) + CHOOSE(CONTROL!$C$27, 0.0021, 0)</f>
        <v>76.0227</v>
      </c>
      <c r="I784" s="10">
        <f>76.0206 * CHOOSE(CONTROL!$C$9, $D$9, 100%, $F$9) + CHOOSE(CONTROL!$C$27, 0.0021, 0)</f>
        <v>76.0227</v>
      </c>
      <c r="J784" s="10">
        <f>76.0206 * CHOOSE(CONTROL!$C$9, $D$9, 100%, $F$9) + CHOOSE(CONTROL!$C$27, 0.0021, 0)</f>
        <v>76.0227</v>
      </c>
      <c r="K784" s="10">
        <f>76.0206 * CHOOSE(CONTROL!$C$9, $D$9, 100%, $F$9) + CHOOSE(CONTROL!$C$27, 0.0021, 0)</f>
        <v>76.0227</v>
      </c>
      <c r="L784" s="10"/>
    </row>
    <row r="785" spans="1:12" ht="15.75" x14ac:dyDescent="0.25">
      <c r="A785" s="13">
        <v>64831</v>
      </c>
      <c r="B785" s="10">
        <f>77.3664 * CHOOSE(CONTROL!$C$9, $D$9, 100%, $F$9) + CHOOSE(CONTROL!$C$27, 0.0021, 0)</f>
        <v>77.368499999999997</v>
      </c>
      <c r="C785" s="10">
        <f>76.9342 * CHOOSE(CONTROL!$C$9, $D$9, 100%, $F$9) + CHOOSE(CONTROL!$C$27, 0.0021, 0)</f>
        <v>76.936300000000003</v>
      </c>
      <c r="D785" s="10">
        <f>76.9342 * CHOOSE(CONTROL!$C$9, $D$9, 100%, $F$9) + CHOOSE(CONTROL!$C$27, 0.0021, 0)</f>
        <v>76.936300000000003</v>
      </c>
      <c r="E785" s="10">
        <f>76.7975 * CHOOSE(CONTROL!$C$9, $D$9, 100%, $F$9) + CHOOSE(CONTROL!$C$27, 0.0021, 0)</f>
        <v>76.799599999999998</v>
      </c>
      <c r="F785" s="10">
        <f>76.7975 * CHOOSE(CONTROL!$C$9, $D$9, 100%, $F$9) + CHOOSE(CONTROL!$C$27, 0.0021, 0)</f>
        <v>76.799599999999998</v>
      </c>
      <c r="G785" s="10">
        <f>77.0689 * CHOOSE(CONTROL!$C$9, $D$9, 100%, $F$9) + CHOOSE(CONTROL!$C$27, 0.0021, 0)</f>
        <v>77.070999999999998</v>
      </c>
      <c r="H785" s="10">
        <f>76.9342 * CHOOSE(CONTROL!$C$9, $D$9, 100%, $F$9) + CHOOSE(CONTROL!$C$27, 0.0021, 0)</f>
        <v>76.936300000000003</v>
      </c>
      <c r="I785" s="10">
        <f>76.9342 * CHOOSE(CONTROL!$C$9, $D$9, 100%, $F$9) + CHOOSE(CONTROL!$C$27, 0.0021, 0)</f>
        <v>76.936300000000003</v>
      </c>
      <c r="J785" s="10">
        <f>76.9342 * CHOOSE(CONTROL!$C$9, $D$9, 100%, $F$9) + CHOOSE(CONTROL!$C$27, 0.0021, 0)</f>
        <v>76.936300000000003</v>
      </c>
      <c r="K785" s="10">
        <f>76.9342 * CHOOSE(CONTROL!$C$9, $D$9, 100%, $F$9) + CHOOSE(CONTROL!$C$27, 0.0021, 0)</f>
        <v>76.936300000000003</v>
      </c>
      <c r="L785" s="10"/>
    </row>
    <row r="786" spans="1:12" ht="15.75" x14ac:dyDescent="0.25">
      <c r="A786" s="13">
        <v>64862</v>
      </c>
      <c r="B786" s="10">
        <f>78.8736 * CHOOSE(CONTROL!$C$9, $D$9, 100%, $F$9) + CHOOSE(CONTROL!$C$27, 0.0021, 0)</f>
        <v>78.875699999999995</v>
      </c>
      <c r="C786" s="10">
        <f>78.4414 * CHOOSE(CONTROL!$C$9, $D$9, 100%, $F$9) + CHOOSE(CONTROL!$C$27, 0.0021, 0)</f>
        <v>78.4435</v>
      </c>
      <c r="D786" s="10">
        <f>78.4414 * CHOOSE(CONTROL!$C$9, $D$9, 100%, $F$9) + CHOOSE(CONTROL!$C$27, 0.0021, 0)</f>
        <v>78.4435</v>
      </c>
      <c r="E786" s="10">
        <f>78.3047 * CHOOSE(CONTROL!$C$9, $D$9, 100%, $F$9) + CHOOSE(CONTROL!$C$27, 0.0021, 0)</f>
        <v>78.306799999999996</v>
      </c>
      <c r="F786" s="10">
        <f>78.3047 * CHOOSE(CONTROL!$C$9, $D$9, 100%, $F$9) + CHOOSE(CONTROL!$C$27, 0.0021, 0)</f>
        <v>78.306799999999996</v>
      </c>
      <c r="G786" s="10">
        <f>78.5761 * CHOOSE(CONTROL!$C$9, $D$9, 100%, $F$9) + CHOOSE(CONTROL!$C$27, 0.0021, 0)</f>
        <v>78.578199999999995</v>
      </c>
      <c r="H786" s="10">
        <f>78.4414 * CHOOSE(CONTROL!$C$9, $D$9, 100%, $F$9) + CHOOSE(CONTROL!$C$27, 0.0021, 0)</f>
        <v>78.4435</v>
      </c>
      <c r="I786" s="10">
        <f>78.4414 * CHOOSE(CONTROL!$C$9, $D$9, 100%, $F$9) + CHOOSE(CONTROL!$C$27, 0.0021, 0)</f>
        <v>78.4435</v>
      </c>
      <c r="J786" s="10">
        <f>78.4414 * CHOOSE(CONTROL!$C$9, $D$9, 100%, $F$9) + CHOOSE(CONTROL!$C$27, 0.0021, 0)</f>
        <v>78.4435</v>
      </c>
      <c r="K786" s="10">
        <f>78.4414 * CHOOSE(CONTROL!$C$9, $D$9, 100%, $F$9) + CHOOSE(CONTROL!$C$27, 0.0021, 0)</f>
        <v>78.4435</v>
      </c>
      <c r="L786" s="10"/>
    </row>
    <row r="787" spans="1:12" ht="15.75" x14ac:dyDescent="0.25">
      <c r="A787" s="13">
        <v>64893</v>
      </c>
      <c r="B787" s="10">
        <f>79.3336 * CHOOSE(CONTROL!$C$9, $D$9, 100%, $F$9) + CHOOSE(CONTROL!$C$27, 0.0021, 0)</f>
        <v>79.335700000000003</v>
      </c>
      <c r="C787" s="10">
        <f>78.9014 * CHOOSE(CONTROL!$C$9, $D$9, 100%, $F$9) + CHOOSE(CONTROL!$C$27, 0.0021, 0)</f>
        <v>78.903499999999994</v>
      </c>
      <c r="D787" s="10">
        <f>78.9014 * CHOOSE(CONTROL!$C$9, $D$9, 100%, $F$9) + CHOOSE(CONTROL!$C$27, 0.0021, 0)</f>
        <v>78.903499999999994</v>
      </c>
      <c r="E787" s="10">
        <f>78.7647 * CHOOSE(CONTROL!$C$9, $D$9, 100%, $F$9) + CHOOSE(CONTROL!$C$27, 0.0021, 0)</f>
        <v>78.766800000000003</v>
      </c>
      <c r="F787" s="10">
        <f>78.7647 * CHOOSE(CONTROL!$C$9, $D$9, 100%, $F$9) + CHOOSE(CONTROL!$C$27, 0.0021, 0)</f>
        <v>78.766800000000003</v>
      </c>
      <c r="G787" s="10">
        <f>79.0361 * CHOOSE(CONTROL!$C$9, $D$9, 100%, $F$9) + CHOOSE(CONTROL!$C$27, 0.0021, 0)</f>
        <v>79.038200000000003</v>
      </c>
      <c r="H787" s="10">
        <f>78.9014 * CHOOSE(CONTROL!$C$9, $D$9, 100%, $F$9) + CHOOSE(CONTROL!$C$27, 0.0021, 0)</f>
        <v>78.903499999999994</v>
      </c>
      <c r="I787" s="10">
        <f>78.9014 * CHOOSE(CONTROL!$C$9, $D$9, 100%, $F$9) + CHOOSE(CONTROL!$C$27, 0.0021, 0)</f>
        <v>78.903499999999994</v>
      </c>
      <c r="J787" s="10">
        <f>78.9014 * CHOOSE(CONTROL!$C$9, $D$9, 100%, $F$9) + CHOOSE(CONTROL!$C$27, 0.0021, 0)</f>
        <v>78.903499999999994</v>
      </c>
      <c r="K787" s="10">
        <f>78.9014 * CHOOSE(CONTROL!$C$9, $D$9, 100%, $F$9) + CHOOSE(CONTROL!$C$27, 0.0021, 0)</f>
        <v>78.903499999999994</v>
      </c>
      <c r="L787" s="10"/>
    </row>
    <row r="788" spans="1:12" ht="15.75" x14ac:dyDescent="0.25">
      <c r="A788" s="13">
        <v>64923</v>
      </c>
      <c r="B788" s="10">
        <f>80.9003 * CHOOSE(CONTROL!$C$9, $D$9, 100%, $F$9) + CHOOSE(CONTROL!$C$27, 0.0021, 0)</f>
        <v>80.9024</v>
      </c>
      <c r="C788" s="10">
        <f>80.468 * CHOOSE(CONTROL!$C$9, $D$9, 100%, $F$9) + CHOOSE(CONTROL!$C$27, 0.0021, 0)</f>
        <v>80.470100000000002</v>
      </c>
      <c r="D788" s="10">
        <f>80.468 * CHOOSE(CONTROL!$C$9, $D$9, 100%, $F$9) + CHOOSE(CONTROL!$C$27, 0.0021, 0)</f>
        <v>80.470100000000002</v>
      </c>
      <c r="E788" s="10">
        <f>80.3314 * CHOOSE(CONTROL!$C$9, $D$9, 100%, $F$9) + CHOOSE(CONTROL!$C$27, 0.0021, 0)</f>
        <v>80.333500000000001</v>
      </c>
      <c r="F788" s="10">
        <f>80.3314 * CHOOSE(CONTROL!$C$9, $D$9, 100%, $F$9) + CHOOSE(CONTROL!$C$27, 0.0021, 0)</f>
        <v>80.333500000000001</v>
      </c>
      <c r="G788" s="10">
        <f>80.6027 * CHOOSE(CONTROL!$C$9, $D$9, 100%, $F$9) + CHOOSE(CONTROL!$C$27, 0.0021, 0)</f>
        <v>80.604799999999997</v>
      </c>
      <c r="H788" s="10">
        <f>80.468 * CHOOSE(CONTROL!$C$9, $D$9, 100%, $F$9) + CHOOSE(CONTROL!$C$27, 0.0021, 0)</f>
        <v>80.470100000000002</v>
      </c>
      <c r="I788" s="10">
        <f>80.468 * CHOOSE(CONTROL!$C$9, $D$9, 100%, $F$9) + CHOOSE(CONTROL!$C$27, 0.0021, 0)</f>
        <v>80.470100000000002</v>
      </c>
      <c r="J788" s="10">
        <f>80.468 * CHOOSE(CONTROL!$C$9, $D$9, 100%, $F$9) + CHOOSE(CONTROL!$C$27, 0.0021, 0)</f>
        <v>80.470100000000002</v>
      </c>
      <c r="K788" s="10">
        <f>80.468 * CHOOSE(CONTROL!$C$9, $D$9, 100%, $F$9) + CHOOSE(CONTROL!$C$27, 0.0021, 0)</f>
        <v>80.470100000000002</v>
      </c>
      <c r="L788" s="10"/>
    </row>
    <row r="789" spans="1:12" ht="15.75" x14ac:dyDescent="0.25">
      <c r="A789" s="13">
        <v>64954</v>
      </c>
      <c r="B789" s="10">
        <f>82.8834 * CHOOSE(CONTROL!$C$9, $D$9, 100%, $F$9) + CHOOSE(CONTROL!$C$27, 0.0021, 0)</f>
        <v>82.885499999999993</v>
      </c>
      <c r="C789" s="10">
        <f>82.4511 * CHOOSE(CONTROL!$C$9, $D$9, 100%, $F$9) + CHOOSE(CONTROL!$C$27, 0.0021, 0)</f>
        <v>82.453199999999995</v>
      </c>
      <c r="D789" s="10">
        <f>82.4511 * CHOOSE(CONTROL!$C$9, $D$9, 100%, $F$9) + CHOOSE(CONTROL!$C$27, 0.0021, 0)</f>
        <v>82.453199999999995</v>
      </c>
      <c r="E789" s="10">
        <f>82.3145 * CHOOSE(CONTROL!$C$9, $D$9, 100%, $F$9) + CHOOSE(CONTROL!$C$27, 0.0021, 0)</f>
        <v>82.316599999999994</v>
      </c>
      <c r="F789" s="10">
        <f>82.3145 * CHOOSE(CONTROL!$C$9, $D$9, 100%, $F$9) + CHOOSE(CONTROL!$C$27, 0.0021, 0)</f>
        <v>82.316599999999994</v>
      </c>
      <c r="G789" s="10">
        <f>82.5858 * CHOOSE(CONTROL!$C$9, $D$9, 100%, $F$9) + CHOOSE(CONTROL!$C$27, 0.0021, 0)</f>
        <v>82.587900000000005</v>
      </c>
      <c r="H789" s="10">
        <f>82.4511 * CHOOSE(CONTROL!$C$9, $D$9, 100%, $F$9) + CHOOSE(CONTROL!$C$27, 0.0021, 0)</f>
        <v>82.453199999999995</v>
      </c>
      <c r="I789" s="10">
        <f>82.4511 * CHOOSE(CONTROL!$C$9, $D$9, 100%, $F$9) + CHOOSE(CONTROL!$C$27, 0.0021, 0)</f>
        <v>82.453199999999995</v>
      </c>
      <c r="J789" s="10">
        <f>82.4511 * CHOOSE(CONTROL!$C$9, $D$9, 100%, $F$9) + CHOOSE(CONTROL!$C$27, 0.0021, 0)</f>
        <v>82.453199999999995</v>
      </c>
      <c r="K789" s="10">
        <f>82.4511 * CHOOSE(CONTROL!$C$9, $D$9, 100%, $F$9) + CHOOSE(CONTROL!$C$27, 0.0021, 0)</f>
        <v>82.453199999999995</v>
      </c>
      <c r="L789" s="10"/>
    </row>
    <row r="790" spans="1:12" ht="15.75" x14ac:dyDescent="0.25">
      <c r="A790" s="13">
        <v>64984</v>
      </c>
      <c r="B790" s="10">
        <f>83.0695 * CHOOSE(CONTROL!$C$9, $D$9, 100%, $F$9) + CHOOSE(CONTROL!$C$27, 0.0021, 0)</f>
        <v>83.071600000000004</v>
      </c>
      <c r="C790" s="10">
        <f>82.6373 * CHOOSE(CONTROL!$C$9, $D$9, 100%, $F$9) + CHOOSE(CONTROL!$C$27, 0.0021, 0)</f>
        <v>82.639399999999995</v>
      </c>
      <c r="D790" s="10">
        <f>82.6373 * CHOOSE(CONTROL!$C$9, $D$9, 100%, $F$9) + CHOOSE(CONTROL!$C$27, 0.0021, 0)</f>
        <v>82.639399999999995</v>
      </c>
      <c r="E790" s="10">
        <f>82.5006 * CHOOSE(CONTROL!$C$9, $D$9, 100%, $F$9) + CHOOSE(CONTROL!$C$27, 0.0021, 0)</f>
        <v>82.502700000000004</v>
      </c>
      <c r="F790" s="10">
        <f>82.5006 * CHOOSE(CONTROL!$C$9, $D$9, 100%, $F$9) + CHOOSE(CONTROL!$C$27, 0.0021, 0)</f>
        <v>82.502700000000004</v>
      </c>
      <c r="G790" s="10">
        <f>82.772 * CHOOSE(CONTROL!$C$9, $D$9, 100%, $F$9) + CHOOSE(CONTROL!$C$27, 0.0021, 0)</f>
        <v>82.774100000000004</v>
      </c>
      <c r="H790" s="10">
        <f>82.6373 * CHOOSE(CONTROL!$C$9, $D$9, 100%, $F$9) + CHOOSE(CONTROL!$C$27, 0.0021, 0)</f>
        <v>82.639399999999995</v>
      </c>
      <c r="I790" s="10">
        <f>82.6373 * CHOOSE(CONTROL!$C$9, $D$9, 100%, $F$9) + CHOOSE(CONTROL!$C$27, 0.0021, 0)</f>
        <v>82.639399999999995</v>
      </c>
      <c r="J790" s="10">
        <f>82.6373 * CHOOSE(CONTROL!$C$9, $D$9, 100%, $F$9) + CHOOSE(CONTROL!$C$27, 0.0021, 0)</f>
        <v>82.639399999999995</v>
      </c>
      <c r="K790" s="10">
        <f>82.6373 * CHOOSE(CONTROL!$C$9, $D$9, 100%, $F$9) + CHOOSE(CONTROL!$C$27, 0.0021, 0)</f>
        <v>82.639399999999995</v>
      </c>
      <c r="L790" s="10"/>
    </row>
    <row r="791" spans="1:12" ht="15.75" x14ac:dyDescent="0.25">
      <c r="A791" s="13">
        <v>65015</v>
      </c>
      <c r="B791" s="10">
        <f>81.4857 * CHOOSE(CONTROL!$C$9, $D$9, 100%, $F$9) + CHOOSE(CONTROL!$C$27, 0.0021, 0)</f>
        <v>81.487799999999993</v>
      </c>
      <c r="C791" s="10">
        <f>81.0534 * CHOOSE(CONTROL!$C$9, $D$9, 100%, $F$9) + CHOOSE(CONTROL!$C$27, 0.0021, 0)</f>
        <v>81.055499999999995</v>
      </c>
      <c r="D791" s="10">
        <f>81.0534 * CHOOSE(CONTROL!$C$9, $D$9, 100%, $F$9) + CHOOSE(CONTROL!$C$27, 0.0021, 0)</f>
        <v>81.055499999999995</v>
      </c>
      <c r="E791" s="10">
        <f>80.9168 * CHOOSE(CONTROL!$C$9, $D$9, 100%, $F$9) + CHOOSE(CONTROL!$C$27, 0.0021, 0)</f>
        <v>80.918899999999994</v>
      </c>
      <c r="F791" s="10">
        <f>80.9168 * CHOOSE(CONTROL!$C$9, $D$9, 100%, $F$9) + CHOOSE(CONTROL!$C$27, 0.0021, 0)</f>
        <v>80.918899999999994</v>
      </c>
      <c r="G791" s="10">
        <f>81.1881 * CHOOSE(CONTROL!$C$9, $D$9, 100%, $F$9) + CHOOSE(CONTROL!$C$27, 0.0021, 0)</f>
        <v>81.190200000000004</v>
      </c>
      <c r="H791" s="10">
        <f>81.0534 * CHOOSE(CONTROL!$C$9, $D$9, 100%, $F$9) + CHOOSE(CONTROL!$C$27, 0.0021, 0)</f>
        <v>81.055499999999995</v>
      </c>
      <c r="I791" s="10">
        <f>81.0534 * CHOOSE(CONTROL!$C$9, $D$9, 100%, $F$9) + CHOOSE(CONTROL!$C$27, 0.0021, 0)</f>
        <v>81.055499999999995</v>
      </c>
      <c r="J791" s="10">
        <f>81.0534 * CHOOSE(CONTROL!$C$9, $D$9, 100%, $F$9) + CHOOSE(CONTROL!$C$27, 0.0021, 0)</f>
        <v>81.055499999999995</v>
      </c>
      <c r="K791" s="10">
        <f>81.0534 * CHOOSE(CONTROL!$C$9, $D$9, 100%, $F$9) + CHOOSE(CONTROL!$C$27, 0.0021, 0)</f>
        <v>81.055499999999995</v>
      </c>
      <c r="L791" s="10"/>
    </row>
    <row r="792" spans="1:12" ht="15.75" x14ac:dyDescent="0.25">
      <c r="A792" s="13">
        <v>65046</v>
      </c>
      <c r="B792" s="10">
        <f>80.4481 * CHOOSE(CONTROL!$C$9, $D$9, 100%, $F$9) + CHOOSE(CONTROL!$C$27, 0.0021, 0)</f>
        <v>80.450199999999995</v>
      </c>
      <c r="C792" s="10">
        <f>80.0158 * CHOOSE(CONTROL!$C$9, $D$9, 100%, $F$9) + CHOOSE(CONTROL!$C$27, 0.0021, 0)</f>
        <v>80.017899999999997</v>
      </c>
      <c r="D792" s="10">
        <f>80.0158 * CHOOSE(CONTROL!$C$9, $D$9, 100%, $F$9) + CHOOSE(CONTROL!$C$27, 0.0021, 0)</f>
        <v>80.017899999999997</v>
      </c>
      <c r="E792" s="10">
        <f>79.8792 * CHOOSE(CONTROL!$C$9, $D$9, 100%, $F$9) + CHOOSE(CONTROL!$C$27, 0.0021, 0)</f>
        <v>79.881299999999996</v>
      </c>
      <c r="F792" s="10">
        <f>79.8792 * CHOOSE(CONTROL!$C$9, $D$9, 100%, $F$9) + CHOOSE(CONTROL!$C$27, 0.0021, 0)</f>
        <v>79.881299999999996</v>
      </c>
      <c r="G792" s="10">
        <f>80.1505 * CHOOSE(CONTROL!$C$9, $D$9, 100%, $F$9) + CHOOSE(CONTROL!$C$27, 0.0021, 0)</f>
        <v>80.152599999999993</v>
      </c>
      <c r="H792" s="10">
        <f>80.0158 * CHOOSE(CONTROL!$C$9, $D$9, 100%, $F$9) + CHOOSE(CONTROL!$C$27, 0.0021, 0)</f>
        <v>80.017899999999997</v>
      </c>
      <c r="I792" s="10">
        <f>80.0158 * CHOOSE(CONTROL!$C$9, $D$9, 100%, $F$9) + CHOOSE(CONTROL!$C$27, 0.0021, 0)</f>
        <v>80.017899999999997</v>
      </c>
      <c r="J792" s="10">
        <f>80.0158 * CHOOSE(CONTROL!$C$9, $D$9, 100%, $F$9) + CHOOSE(CONTROL!$C$27, 0.0021, 0)</f>
        <v>80.017899999999997</v>
      </c>
      <c r="K792" s="10">
        <f>80.0158 * CHOOSE(CONTROL!$C$9, $D$9, 100%, $F$9) + CHOOSE(CONTROL!$C$27, 0.0021, 0)</f>
        <v>80.017899999999997</v>
      </c>
      <c r="L792" s="10"/>
    </row>
    <row r="793" spans="1:12" ht="15.75" x14ac:dyDescent="0.25">
      <c r="A793" s="13">
        <v>65074</v>
      </c>
      <c r="B793" s="10">
        <f>78.2374 * CHOOSE(CONTROL!$C$9, $D$9, 100%, $F$9) + CHOOSE(CONTROL!$C$27, 0.0021, 0)</f>
        <v>78.239499999999992</v>
      </c>
      <c r="C793" s="10">
        <f>77.8051 * CHOOSE(CONTROL!$C$9, $D$9, 100%, $F$9) + CHOOSE(CONTROL!$C$27, 0.0021, 0)</f>
        <v>77.807199999999995</v>
      </c>
      <c r="D793" s="10">
        <f>77.8051 * CHOOSE(CONTROL!$C$9, $D$9, 100%, $F$9) + CHOOSE(CONTROL!$C$27, 0.0021, 0)</f>
        <v>77.807199999999995</v>
      </c>
      <c r="E793" s="10">
        <f>77.6685 * CHOOSE(CONTROL!$C$9, $D$9, 100%, $F$9) + CHOOSE(CONTROL!$C$27, 0.0021, 0)</f>
        <v>77.670599999999993</v>
      </c>
      <c r="F793" s="10">
        <f>77.6685 * CHOOSE(CONTROL!$C$9, $D$9, 100%, $F$9) + CHOOSE(CONTROL!$C$27, 0.0021, 0)</f>
        <v>77.670599999999993</v>
      </c>
      <c r="G793" s="10">
        <f>77.9399 * CHOOSE(CONTROL!$C$9, $D$9, 100%, $F$9) + CHOOSE(CONTROL!$C$27, 0.0021, 0)</f>
        <v>77.941999999999993</v>
      </c>
      <c r="H793" s="10">
        <f>77.8051 * CHOOSE(CONTROL!$C$9, $D$9, 100%, $F$9) + CHOOSE(CONTROL!$C$27, 0.0021, 0)</f>
        <v>77.807199999999995</v>
      </c>
      <c r="I793" s="10">
        <f>77.8051 * CHOOSE(CONTROL!$C$9, $D$9, 100%, $F$9) + CHOOSE(CONTROL!$C$27, 0.0021, 0)</f>
        <v>77.807199999999995</v>
      </c>
      <c r="J793" s="10">
        <f>77.8051 * CHOOSE(CONTROL!$C$9, $D$9, 100%, $F$9) + CHOOSE(CONTROL!$C$27, 0.0021, 0)</f>
        <v>77.807199999999995</v>
      </c>
      <c r="K793" s="10">
        <f>77.8051 * CHOOSE(CONTROL!$C$9, $D$9, 100%, $F$9) + CHOOSE(CONTROL!$C$27, 0.0021, 0)</f>
        <v>77.807199999999995</v>
      </c>
      <c r="L793" s="10"/>
    </row>
    <row r="794" spans="1:12" ht="15.75" x14ac:dyDescent="0.25">
      <c r="A794" s="13">
        <v>65105</v>
      </c>
      <c r="B794" s="10">
        <f>77.3248 * CHOOSE(CONTROL!$C$9, $D$9, 100%, $F$9) + CHOOSE(CONTROL!$C$27, 0.0021, 0)</f>
        <v>77.326899999999995</v>
      </c>
      <c r="C794" s="10">
        <f>76.8926 * CHOOSE(CONTROL!$C$9, $D$9, 100%, $F$9) + CHOOSE(CONTROL!$C$27, 0.0021, 0)</f>
        <v>76.8947</v>
      </c>
      <c r="D794" s="10">
        <f>76.8926 * CHOOSE(CONTROL!$C$9, $D$9, 100%, $F$9) + CHOOSE(CONTROL!$C$27, 0.0021, 0)</f>
        <v>76.8947</v>
      </c>
      <c r="E794" s="10">
        <f>76.7559 * CHOOSE(CONTROL!$C$9, $D$9, 100%, $F$9) + CHOOSE(CONTROL!$C$27, 0.0021, 0)</f>
        <v>76.757999999999996</v>
      </c>
      <c r="F794" s="10">
        <f>76.7559 * CHOOSE(CONTROL!$C$9, $D$9, 100%, $F$9) + CHOOSE(CONTROL!$C$27, 0.0021, 0)</f>
        <v>76.757999999999996</v>
      </c>
      <c r="G794" s="10">
        <f>77.0273 * CHOOSE(CONTROL!$C$9, $D$9, 100%, $F$9) + CHOOSE(CONTROL!$C$27, 0.0021, 0)</f>
        <v>77.029399999999995</v>
      </c>
      <c r="H794" s="10">
        <f>76.8926 * CHOOSE(CONTROL!$C$9, $D$9, 100%, $F$9) + CHOOSE(CONTROL!$C$27, 0.0021, 0)</f>
        <v>76.8947</v>
      </c>
      <c r="I794" s="10">
        <f>76.8926 * CHOOSE(CONTROL!$C$9, $D$9, 100%, $F$9) + CHOOSE(CONTROL!$C$27, 0.0021, 0)</f>
        <v>76.8947</v>
      </c>
      <c r="J794" s="10">
        <f>76.8926 * CHOOSE(CONTROL!$C$9, $D$9, 100%, $F$9) + CHOOSE(CONTROL!$C$27, 0.0021, 0)</f>
        <v>76.8947</v>
      </c>
      <c r="K794" s="10">
        <f>76.8926 * CHOOSE(CONTROL!$C$9, $D$9, 100%, $F$9) + CHOOSE(CONTROL!$C$27, 0.0021, 0)</f>
        <v>76.8947</v>
      </c>
      <c r="L794" s="10"/>
    </row>
    <row r="795" spans="1:12" ht="15.75" x14ac:dyDescent="0.25">
      <c r="A795" s="13">
        <v>65135</v>
      </c>
      <c r="B795" s="10">
        <f>76.2352 * CHOOSE(CONTROL!$C$9, $D$9, 100%, $F$9) + CHOOSE(CONTROL!$C$27, 0.0021, 0)</f>
        <v>76.237300000000005</v>
      </c>
      <c r="C795" s="10">
        <f>75.803 * CHOOSE(CONTROL!$C$9, $D$9, 100%, $F$9) + CHOOSE(CONTROL!$C$27, 0.0021, 0)</f>
        <v>75.805099999999996</v>
      </c>
      <c r="D795" s="10">
        <f>75.803 * CHOOSE(CONTROL!$C$9, $D$9, 100%, $F$9) + CHOOSE(CONTROL!$C$27, 0.0021, 0)</f>
        <v>75.805099999999996</v>
      </c>
      <c r="E795" s="10">
        <f>75.6663 * CHOOSE(CONTROL!$C$9, $D$9, 100%, $F$9) + CHOOSE(CONTROL!$C$27, 0.0021, 0)</f>
        <v>75.668400000000005</v>
      </c>
      <c r="F795" s="10">
        <f>75.6663 * CHOOSE(CONTROL!$C$9, $D$9, 100%, $F$9) + CHOOSE(CONTROL!$C$27, 0.0021, 0)</f>
        <v>75.668400000000005</v>
      </c>
      <c r="G795" s="10">
        <f>75.9377 * CHOOSE(CONTROL!$C$9, $D$9, 100%, $F$9) + CHOOSE(CONTROL!$C$27, 0.0021, 0)</f>
        <v>75.939800000000005</v>
      </c>
      <c r="H795" s="10">
        <f>75.803 * CHOOSE(CONTROL!$C$9, $D$9, 100%, $F$9) + CHOOSE(CONTROL!$C$27, 0.0021, 0)</f>
        <v>75.805099999999996</v>
      </c>
      <c r="I795" s="10">
        <f>75.803 * CHOOSE(CONTROL!$C$9, $D$9, 100%, $F$9) + CHOOSE(CONTROL!$C$27, 0.0021, 0)</f>
        <v>75.805099999999996</v>
      </c>
      <c r="J795" s="10">
        <f>75.803 * CHOOSE(CONTROL!$C$9, $D$9, 100%, $F$9) + CHOOSE(CONTROL!$C$27, 0.0021, 0)</f>
        <v>75.805099999999996</v>
      </c>
      <c r="K795" s="10">
        <f>75.803 * CHOOSE(CONTROL!$C$9, $D$9, 100%, $F$9) + CHOOSE(CONTROL!$C$27, 0.0021, 0)</f>
        <v>75.805099999999996</v>
      </c>
      <c r="L795" s="10"/>
    </row>
    <row r="796" spans="1:12" ht="15.75" x14ac:dyDescent="0.25">
      <c r="A796" s="13">
        <v>65166</v>
      </c>
      <c r="B796" s="10">
        <f>77.7881 * CHOOSE(CONTROL!$C$9, $D$9, 100%, $F$9) + CHOOSE(CONTROL!$C$27, 0.0021, 0)</f>
        <v>77.790199999999999</v>
      </c>
      <c r="C796" s="10">
        <f>77.3558 * CHOOSE(CONTROL!$C$9, $D$9, 100%, $F$9) + CHOOSE(CONTROL!$C$27, 0.0021, 0)</f>
        <v>77.357900000000001</v>
      </c>
      <c r="D796" s="10">
        <f>77.3558 * CHOOSE(CONTROL!$C$9, $D$9, 100%, $F$9) + CHOOSE(CONTROL!$C$27, 0.0021, 0)</f>
        <v>77.357900000000001</v>
      </c>
      <c r="E796" s="10">
        <f>77.2192 * CHOOSE(CONTROL!$C$9, $D$9, 100%, $F$9) + CHOOSE(CONTROL!$C$27, 0.0021, 0)</f>
        <v>77.221299999999999</v>
      </c>
      <c r="F796" s="10">
        <f>77.2192 * CHOOSE(CONTROL!$C$9, $D$9, 100%, $F$9) + CHOOSE(CONTROL!$C$27, 0.0021, 0)</f>
        <v>77.221299999999999</v>
      </c>
      <c r="G796" s="10">
        <f>77.4905 * CHOOSE(CONTROL!$C$9, $D$9, 100%, $F$9) + CHOOSE(CONTROL!$C$27, 0.0021, 0)</f>
        <v>77.492599999999996</v>
      </c>
      <c r="H796" s="10">
        <f>77.3558 * CHOOSE(CONTROL!$C$9, $D$9, 100%, $F$9) + CHOOSE(CONTROL!$C$27, 0.0021, 0)</f>
        <v>77.357900000000001</v>
      </c>
      <c r="I796" s="10">
        <f>77.3558 * CHOOSE(CONTROL!$C$9, $D$9, 100%, $F$9) + CHOOSE(CONTROL!$C$27, 0.0021, 0)</f>
        <v>77.357900000000001</v>
      </c>
      <c r="J796" s="10">
        <f>77.3558 * CHOOSE(CONTROL!$C$9, $D$9, 100%, $F$9) + CHOOSE(CONTROL!$C$27, 0.0021, 0)</f>
        <v>77.357900000000001</v>
      </c>
      <c r="K796" s="10">
        <f>77.3558 * CHOOSE(CONTROL!$C$9, $D$9, 100%, $F$9) + CHOOSE(CONTROL!$C$27, 0.0021, 0)</f>
        <v>77.357900000000001</v>
      </c>
      <c r="L796" s="10"/>
    </row>
    <row r="797" spans="1:12" ht="15.75" x14ac:dyDescent="0.25">
      <c r="A797" s="13">
        <v>65196</v>
      </c>
      <c r="B797" s="10">
        <f>78.7181 * CHOOSE(CONTROL!$C$9, $D$9, 100%, $F$9) + CHOOSE(CONTROL!$C$27, 0.0021, 0)</f>
        <v>78.720200000000006</v>
      </c>
      <c r="C797" s="10">
        <f>78.2859 * CHOOSE(CONTROL!$C$9, $D$9, 100%, $F$9) + CHOOSE(CONTROL!$C$27, 0.0021, 0)</f>
        <v>78.287999999999997</v>
      </c>
      <c r="D797" s="10">
        <f>78.2859 * CHOOSE(CONTROL!$C$9, $D$9, 100%, $F$9) + CHOOSE(CONTROL!$C$27, 0.0021, 0)</f>
        <v>78.287999999999997</v>
      </c>
      <c r="E797" s="10">
        <f>78.1492 * CHOOSE(CONTROL!$C$9, $D$9, 100%, $F$9) + CHOOSE(CONTROL!$C$27, 0.0021, 0)</f>
        <v>78.151299999999992</v>
      </c>
      <c r="F797" s="10">
        <f>78.1492 * CHOOSE(CONTROL!$C$9, $D$9, 100%, $F$9) + CHOOSE(CONTROL!$C$27, 0.0021, 0)</f>
        <v>78.151299999999992</v>
      </c>
      <c r="G797" s="10">
        <f>78.4206 * CHOOSE(CONTROL!$C$9, $D$9, 100%, $F$9) + CHOOSE(CONTROL!$C$27, 0.0021, 0)</f>
        <v>78.422699999999992</v>
      </c>
      <c r="H797" s="10">
        <f>78.2859 * CHOOSE(CONTROL!$C$9, $D$9, 100%, $F$9) + CHOOSE(CONTROL!$C$27, 0.0021, 0)</f>
        <v>78.287999999999997</v>
      </c>
      <c r="I797" s="10">
        <f>78.2859 * CHOOSE(CONTROL!$C$9, $D$9, 100%, $F$9) + CHOOSE(CONTROL!$C$27, 0.0021, 0)</f>
        <v>78.287999999999997</v>
      </c>
      <c r="J797" s="10">
        <f>78.2859 * CHOOSE(CONTROL!$C$9, $D$9, 100%, $F$9) + CHOOSE(CONTROL!$C$27, 0.0021, 0)</f>
        <v>78.287999999999997</v>
      </c>
      <c r="K797" s="10">
        <f>78.2859 * CHOOSE(CONTROL!$C$9, $D$9, 100%, $F$9) + CHOOSE(CONTROL!$C$27, 0.0021, 0)</f>
        <v>78.287999999999997</v>
      </c>
      <c r="L797" s="10"/>
    </row>
    <row r="798" spans="1:12" ht="15.75" x14ac:dyDescent="0.25">
      <c r="A798" s="13">
        <v>65227</v>
      </c>
      <c r="B798" s="10">
        <f>80.2524 * CHOOSE(CONTROL!$C$9, $D$9, 100%, $F$9) + CHOOSE(CONTROL!$C$27, 0.0021, 0)</f>
        <v>80.254499999999993</v>
      </c>
      <c r="C798" s="10">
        <f>79.8202 * CHOOSE(CONTROL!$C$9, $D$9, 100%, $F$9) + CHOOSE(CONTROL!$C$27, 0.0021, 0)</f>
        <v>79.822299999999998</v>
      </c>
      <c r="D798" s="10">
        <f>79.8202 * CHOOSE(CONTROL!$C$9, $D$9, 100%, $F$9) + CHOOSE(CONTROL!$C$27, 0.0021, 0)</f>
        <v>79.822299999999998</v>
      </c>
      <c r="E798" s="10">
        <f>79.6835 * CHOOSE(CONTROL!$C$9, $D$9, 100%, $F$9) + CHOOSE(CONTROL!$C$27, 0.0021, 0)</f>
        <v>79.685599999999994</v>
      </c>
      <c r="F798" s="10">
        <f>79.6835 * CHOOSE(CONTROL!$C$9, $D$9, 100%, $F$9) + CHOOSE(CONTROL!$C$27, 0.0021, 0)</f>
        <v>79.685599999999994</v>
      </c>
      <c r="G798" s="10">
        <f>79.9549 * CHOOSE(CONTROL!$C$9, $D$9, 100%, $F$9) + CHOOSE(CONTROL!$C$27, 0.0021, 0)</f>
        <v>79.956999999999994</v>
      </c>
      <c r="H798" s="10">
        <f>79.8202 * CHOOSE(CONTROL!$C$9, $D$9, 100%, $F$9) + CHOOSE(CONTROL!$C$27, 0.0021, 0)</f>
        <v>79.822299999999998</v>
      </c>
      <c r="I798" s="10">
        <f>79.8202 * CHOOSE(CONTROL!$C$9, $D$9, 100%, $F$9) + CHOOSE(CONTROL!$C$27, 0.0021, 0)</f>
        <v>79.822299999999998</v>
      </c>
      <c r="J798" s="10">
        <f>79.8202 * CHOOSE(CONTROL!$C$9, $D$9, 100%, $F$9) + CHOOSE(CONTROL!$C$27, 0.0021, 0)</f>
        <v>79.822299999999998</v>
      </c>
      <c r="K798" s="10">
        <f>79.8202 * CHOOSE(CONTROL!$C$9, $D$9, 100%, $F$9) + CHOOSE(CONTROL!$C$27, 0.0021, 0)</f>
        <v>79.822299999999998</v>
      </c>
      <c r="L798" s="10"/>
    </row>
    <row r="799" spans="1:12" ht="15.75" x14ac:dyDescent="0.25">
      <c r="A799" s="13">
        <v>65258</v>
      </c>
      <c r="B799" s="10">
        <f>80.7208 * CHOOSE(CONTROL!$C$9, $D$9, 100%, $F$9) + CHOOSE(CONTROL!$C$27, 0.0021, 0)</f>
        <v>80.722899999999996</v>
      </c>
      <c r="C799" s="10">
        <f>80.2885 * CHOOSE(CONTROL!$C$9, $D$9, 100%, $F$9) + CHOOSE(CONTROL!$C$27, 0.0021, 0)</f>
        <v>80.290599999999998</v>
      </c>
      <c r="D799" s="10">
        <f>80.2885 * CHOOSE(CONTROL!$C$9, $D$9, 100%, $F$9) + CHOOSE(CONTROL!$C$27, 0.0021, 0)</f>
        <v>80.290599999999998</v>
      </c>
      <c r="E799" s="10">
        <f>80.1518 * CHOOSE(CONTROL!$C$9, $D$9, 100%, $F$9) + CHOOSE(CONTROL!$C$27, 0.0021, 0)</f>
        <v>80.153899999999993</v>
      </c>
      <c r="F799" s="10">
        <f>80.1518 * CHOOSE(CONTROL!$C$9, $D$9, 100%, $F$9) + CHOOSE(CONTROL!$C$27, 0.0021, 0)</f>
        <v>80.153899999999993</v>
      </c>
      <c r="G799" s="10">
        <f>80.4232 * CHOOSE(CONTROL!$C$9, $D$9, 100%, $F$9) + CHOOSE(CONTROL!$C$27, 0.0021, 0)</f>
        <v>80.425299999999993</v>
      </c>
      <c r="H799" s="10">
        <f>80.2885 * CHOOSE(CONTROL!$C$9, $D$9, 100%, $F$9) + CHOOSE(CONTROL!$C$27, 0.0021, 0)</f>
        <v>80.290599999999998</v>
      </c>
      <c r="I799" s="10">
        <f>80.2885 * CHOOSE(CONTROL!$C$9, $D$9, 100%, $F$9) + CHOOSE(CONTROL!$C$27, 0.0021, 0)</f>
        <v>80.290599999999998</v>
      </c>
      <c r="J799" s="10">
        <f>80.2885 * CHOOSE(CONTROL!$C$9, $D$9, 100%, $F$9) + CHOOSE(CONTROL!$C$27, 0.0021, 0)</f>
        <v>80.290599999999998</v>
      </c>
      <c r="K799" s="10">
        <f>80.2885 * CHOOSE(CONTROL!$C$9, $D$9, 100%, $F$9) + CHOOSE(CONTROL!$C$27, 0.0021, 0)</f>
        <v>80.290599999999998</v>
      </c>
      <c r="L799" s="10"/>
    </row>
    <row r="800" spans="1:12" ht="15.75" x14ac:dyDescent="0.25">
      <c r="A800" s="13">
        <v>65288</v>
      </c>
      <c r="B800" s="10">
        <f>82.3156 * CHOOSE(CONTROL!$C$9, $D$9, 100%, $F$9) + CHOOSE(CONTROL!$C$27, 0.0021, 0)</f>
        <v>82.317700000000002</v>
      </c>
      <c r="C800" s="10">
        <f>81.8833 * CHOOSE(CONTROL!$C$9, $D$9, 100%, $F$9) + CHOOSE(CONTROL!$C$27, 0.0021, 0)</f>
        <v>81.885400000000004</v>
      </c>
      <c r="D800" s="10">
        <f>81.8833 * CHOOSE(CONTROL!$C$9, $D$9, 100%, $F$9) + CHOOSE(CONTROL!$C$27, 0.0021, 0)</f>
        <v>81.885400000000004</v>
      </c>
      <c r="E800" s="10">
        <f>81.7467 * CHOOSE(CONTROL!$C$9, $D$9, 100%, $F$9) + CHOOSE(CONTROL!$C$27, 0.0021, 0)</f>
        <v>81.748800000000003</v>
      </c>
      <c r="F800" s="10">
        <f>81.7467 * CHOOSE(CONTROL!$C$9, $D$9, 100%, $F$9) + CHOOSE(CONTROL!$C$27, 0.0021, 0)</f>
        <v>81.748800000000003</v>
      </c>
      <c r="G800" s="10">
        <f>82.0181 * CHOOSE(CONTROL!$C$9, $D$9, 100%, $F$9) + CHOOSE(CONTROL!$C$27, 0.0021, 0)</f>
        <v>82.020200000000003</v>
      </c>
      <c r="H800" s="10">
        <f>81.8833 * CHOOSE(CONTROL!$C$9, $D$9, 100%, $F$9) + CHOOSE(CONTROL!$C$27, 0.0021, 0)</f>
        <v>81.885400000000004</v>
      </c>
      <c r="I800" s="10">
        <f>81.8833 * CHOOSE(CONTROL!$C$9, $D$9, 100%, $F$9) + CHOOSE(CONTROL!$C$27, 0.0021, 0)</f>
        <v>81.885400000000004</v>
      </c>
      <c r="J800" s="10">
        <f>81.8833 * CHOOSE(CONTROL!$C$9, $D$9, 100%, $F$9) + CHOOSE(CONTROL!$C$27, 0.0021, 0)</f>
        <v>81.885400000000004</v>
      </c>
      <c r="K800" s="10">
        <f>81.8833 * CHOOSE(CONTROL!$C$9, $D$9, 100%, $F$9) + CHOOSE(CONTROL!$C$27, 0.0021, 0)</f>
        <v>81.885400000000004</v>
      </c>
      <c r="L800" s="10"/>
    </row>
    <row r="801" spans="1:12" ht="15.75" x14ac:dyDescent="0.25">
      <c r="A801" s="13">
        <v>65319</v>
      </c>
      <c r="B801" s="10">
        <f>84.3344 * CHOOSE(CONTROL!$C$9, $D$9, 100%, $F$9) + CHOOSE(CONTROL!$C$27, 0.0021, 0)</f>
        <v>84.336500000000001</v>
      </c>
      <c r="C801" s="10">
        <f>83.9021 * CHOOSE(CONTROL!$C$9, $D$9, 100%, $F$9) + CHOOSE(CONTROL!$C$27, 0.0021, 0)</f>
        <v>83.904200000000003</v>
      </c>
      <c r="D801" s="10">
        <f>83.9021 * CHOOSE(CONTROL!$C$9, $D$9, 100%, $F$9) + CHOOSE(CONTROL!$C$27, 0.0021, 0)</f>
        <v>83.904200000000003</v>
      </c>
      <c r="E801" s="10">
        <f>83.7655 * CHOOSE(CONTROL!$C$9, $D$9, 100%, $F$9) + CHOOSE(CONTROL!$C$27, 0.0021, 0)</f>
        <v>83.767600000000002</v>
      </c>
      <c r="F801" s="10">
        <f>83.7655 * CHOOSE(CONTROL!$C$9, $D$9, 100%, $F$9) + CHOOSE(CONTROL!$C$27, 0.0021, 0)</f>
        <v>83.767600000000002</v>
      </c>
      <c r="G801" s="10">
        <f>84.0369 * CHOOSE(CONTROL!$C$9, $D$9, 100%, $F$9) + CHOOSE(CONTROL!$C$27, 0.0021, 0)</f>
        <v>84.039000000000001</v>
      </c>
      <c r="H801" s="10">
        <f>83.9021 * CHOOSE(CONTROL!$C$9, $D$9, 100%, $F$9) + CHOOSE(CONTROL!$C$27, 0.0021, 0)</f>
        <v>83.904200000000003</v>
      </c>
      <c r="I801" s="10">
        <f>83.9021 * CHOOSE(CONTROL!$C$9, $D$9, 100%, $F$9) + CHOOSE(CONTROL!$C$27, 0.0021, 0)</f>
        <v>83.904200000000003</v>
      </c>
      <c r="J801" s="10">
        <f>83.9021 * CHOOSE(CONTROL!$C$9, $D$9, 100%, $F$9) + CHOOSE(CONTROL!$C$27, 0.0021, 0)</f>
        <v>83.904200000000003</v>
      </c>
      <c r="K801" s="10">
        <f>83.9021 * CHOOSE(CONTROL!$C$9, $D$9, 100%, $F$9) + CHOOSE(CONTROL!$C$27, 0.0021, 0)</f>
        <v>83.904200000000003</v>
      </c>
      <c r="L801" s="10"/>
    </row>
    <row r="802" spans="1:12" ht="15.75" x14ac:dyDescent="0.25">
      <c r="A802" s="13">
        <v>65349</v>
      </c>
      <c r="B802" s="10">
        <f>84.5239 * CHOOSE(CONTROL!$C$9, $D$9, 100%, $F$9) + CHOOSE(CONTROL!$C$27, 0.0021, 0)</f>
        <v>84.525999999999996</v>
      </c>
      <c r="C802" s="10">
        <f>84.0917 * CHOOSE(CONTROL!$C$9, $D$9, 100%, $F$9) + CHOOSE(CONTROL!$C$27, 0.0021, 0)</f>
        <v>84.093800000000002</v>
      </c>
      <c r="D802" s="10">
        <f>84.0917 * CHOOSE(CONTROL!$C$9, $D$9, 100%, $F$9) + CHOOSE(CONTROL!$C$27, 0.0021, 0)</f>
        <v>84.093800000000002</v>
      </c>
      <c r="E802" s="10">
        <f>83.955 * CHOOSE(CONTROL!$C$9, $D$9, 100%, $F$9) + CHOOSE(CONTROL!$C$27, 0.0021, 0)</f>
        <v>83.957099999999997</v>
      </c>
      <c r="F802" s="10">
        <f>83.955 * CHOOSE(CONTROL!$C$9, $D$9, 100%, $F$9) + CHOOSE(CONTROL!$C$27, 0.0021, 0)</f>
        <v>83.957099999999997</v>
      </c>
      <c r="G802" s="10">
        <f>84.2264 * CHOOSE(CONTROL!$C$9, $D$9, 100%, $F$9) + CHOOSE(CONTROL!$C$27, 0.0021, 0)</f>
        <v>84.228499999999997</v>
      </c>
      <c r="H802" s="10">
        <f>84.0917 * CHOOSE(CONTROL!$C$9, $D$9, 100%, $F$9) + CHOOSE(CONTROL!$C$27, 0.0021, 0)</f>
        <v>84.093800000000002</v>
      </c>
      <c r="I802" s="10">
        <f>84.0917 * CHOOSE(CONTROL!$C$9, $D$9, 100%, $F$9) + CHOOSE(CONTROL!$C$27, 0.0021, 0)</f>
        <v>84.093800000000002</v>
      </c>
      <c r="J802" s="10">
        <f>84.0917 * CHOOSE(CONTROL!$C$9, $D$9, 100%, $F$9) + CHOOSE(CONTROL!$C$27, 0.0021, 0)</f>
        <v>84.093800000000002</v>
      </c>
      <c r="K802" s="10">
        <f>84.0917 * CHOOSE(CONTROL!$C$9, $D$9, 100%, $F$9) + CHOOSE(CONTROL!$C$27, 0.0021, 0)</f>
        <v>84.093800000000002</v>
      </c>
      <c r="L802" s="10"/>
    </row>
    <row r="803" spans="1:12" ht="15.75" x14ac:dyDescent="0.25">
      <c r="A803" s="13">
        <v>65380</v>
      </c>
      <c r="B803" s="10">
        <f>82.9115 * CHOOSE(CONTROL!$C$9, $D$9, 100%, $F$9) + CHOOSE(CONTROL!$C$27, 0.0021, 0)</f>
        <v>82.913600000000002</v>
      </c>
      <c r="C803" s="10">
        <f>82.4793 * CHOOSE(CONTROL!$C$9, $D$9, 100%, $F$9) + CHOOSE(CONTROL!$C$27, 0.0021, 0)</f>
        <v>82.481399999999994</v>
      </c>
      <c r="D803" s="10">
        <f>82.4793 * CHOOSE(CONTROL!$C$9, $D$9, 100%, $F$9) + CHOOSE(CONTROL!$C$27, 0.0021, 0)</f>
        <v>82.481399999999994</v>
      </c>
      <c r="E803" s="10">
        <f>82.3426 * CHOOSE(CONTROL!$C$9, $D$9, 100%, $F$9) + CHOOSE(CONTROL!$C$27, 0.0021, 0)</f>
        <v>82.344700000000003</v>
      </c>
      <c r="F803" s="10">
        <f>82.3426 * CHOOSE(CONTROL!$C$9, $D$9, 100%, $F$9) + CHOOSE(CONTROL!$C$27, 0.0021, 0)</f>
        <v>82.344700000000003</v>
      </c>
      <c r="G803" s="10">
        <f>82.614 * CHOOSE(CONTROL!$C$9, $D$9, 100%, $F$9) + CHOOSE(CONTROL!$C$27, 0.0021, 0)</f>
        <v>82.616100000000003</v>
      </c>
      <c r="H803" s="10">
        <f>82.4793 * CHOOSE(CONTROL!$C$9, $D$9, 100%, $F$9) + CHOOSE(CONTROL!$C$27, 0.0021, 0)</f>
        <v>82.481399999999994</v>
      </c>
      <c r="I803" s="10">
        <f>82.4793 * CHOOSE(CONTROL!$C$9, $D$9, 100%, $F$9) + CHOOSE(CONTROL!$C$27, 0.0021, 0)</f>
        <v>82.481399999999994</v>
      </c>
      <c r="J803" s="10">
        <f>82.4793 * CHOOSE(CONTROL!$C$9, $D$9, 100%, $F$9) + CHOOSE(CONTROL!$C$27, 0.0021, 0)</f>
        <v>82.481399999999994</v>
      </c>
      <c r="K803" s="10">
        <f>82.4793 * CHOOSE(CONTROL!$C$9, $D$9, 100%, $F$9) + CHOOSE(CONTROL!$C$27, 0.0021, 0)</f>
        <v>82.481399999999994</v>
      </c>
      <c r="L803" s="10"/>
    </row>
    <row r="804" spans="1:12" ht="15.75" x14ac:dyDescent="0.25">
      <c r="A804" s="13">
        <v>65411</v>
      </c>
      <c r="B804" s="10">
        <f>81.8552 * CHOOSE(CONTROL!$C$9, $D$9, 100%, $F$9) + CHOOSE(CONTROL!$C$27, 0.0021, 0)</f>
        <v>81.857299999999995</v>
      </c>
      <c r="C804" s="10">
        <f>81.423 * CHOOSE(CONTROL!$C$9, $D$9, 100%, $F$9) + CHOOSE(CONTROL!$C$27, 0.0021, 0)</f>
        <v>81.4251</v>
      </c>
      <c r="D804" s="10">
        <f>81.423 * CHOOSE(CONTROL!$C$9, $D$9, 100%, $F$9) + CHOOSE(CONTROL!$C$27, 0.0021, 0)</f>
        <v>81.4251</v>
      </c>
      <c r="E804" s="10">
        <f>81.2863 * CHOOSE(CONTROL!$C$9, $D$9, 100%, $F$9) + CHOOSE(CONTROL!$C$27, 0.0021, 0)</f>
        <v>81.288399999999996</v>
      </c>
      <c r="F804" s="10">
        <f>81.2863 * CHOOSE(CONTROL!$C$9, $D$9, 100%, $F$9) + CHOOSE(CONTROL!$C$27, 0.0021, 0)</f>
        <v>81.288399999999996</v>
      </c>
      <c r="G804" s="10">
        <f>81.5577 * CHOOSE(CONTROL!$C$9, $D$9, 100%, $F$9) + CHOOSE(CONTROL!$C$27, 0.0021, 0)</f>
        <v>81.559799999999996</v>
      </c>
      <c r="H804" s="10">
        <f>81.423 * CHOOSE(CONTROL!$C$9, $D$9, 100%, $F$9) + CHOOSE(CONTROL!$C$27, 0.0021, 0)</f>
        <v>81.4251</v>
      </c>
      <c r="I804" s="10">
        <f>81.423 * CHOOSE(CONTROL!$C$9, $D$9, 100%, $F$9) + CHOOSE(CONTROL!$C$27, 0.0021, 0)</f>
        <v>81.4251</v>
      </c>
      <c r="J804" s="10">
        <f>81.423 * CHOOSE(CONTROL!$C$9, $D$9, 100%, $F$9) + CHOOSE(CONTROL!$C$27, 0.0021, 0)</f>
        <v>81.4251</v>
      </c>
      <c r="K804" s="10">
        <f>81.423 * CHOOSE(CONTROL!$C$9, $D$9, 100%, $F$9) + CHOOSE(CONTROL!$C$27, 0.0021, 0)</f>
        <v>81.4251</v>
      </c>
      <c r="L804" s="10"/>
    </row>
    <row r="805" spans="1:12" ht="15.75" x14ac:dyDescent="0.25">
      <c r="A805" s="13">
        <v>65439</v>
      </c>
      <c r="B805" s="10">
        <f>79.6048 * CHOOSE(CONTROL!$C$9, $D$9, 100%, $F$9) + CHOOSE(CONTROL!$C$27, 0.0021, 0)</f>
        <v>79.606899999999996</v>
      </c>
      <c r="C805" s="10">
        <f>79.1725 * CHOOSE(CONTROL!$C$9, $D$9, 100%, $F$9) + CHOOSE(CONTROL!$C$27, 0.0021, 0)</f>
        <v>79.174599999999998</v>
      </c>
      <c r="D805" s="10">
        <f>79.1725 * CHOOSE(CONTROL!$C$9, $D$9, 100%, $F$9) + CHOOSE(CONTROL!$C$27, 0.0021, 0)</f>
        <v>79.174599999999998</v>
      </c>
      <c r="E805" s="10">
        <f>79.0359 * CHOOSE(CONTROL!$C$9, $D$9, 100%, $F$9) + CHOOSE(CONTROL!$C$27, 0.0021, 0)</f>
        <v>79.037999999999997</v>
      </c>
      <c r="F805" s="10">
        <f>79.0359 * CHOOSE(CONTROL!$C$9, $D$9, 100%, $F$9) + CHOOSE(CONTROL!$C$27, 0.0021, 0)</f>
        <v>79.037999999999997</v>
      </c>
      <c r="G805" s="10">
        <f>79.3072 * CHOOSE(CONTROL!$C$9, $D$9, 100%, $F$9) + CHOOSE(CONTROL!$C$27, 0.0021, 0)</f>
        <v>79.309299999999993</v>
      </c>
      <c r="H805" s="10">
        <f>79.1725 * CHOOSE(CONTROL!$C$9, $D$9, 100%, $F$9) + CHOOSE(CONTROL!$C$27, 0.0021, 0)</f>
        <v>79.174599999999998</v>
      </c>
      <c r="I805" s="10">
        <f>79.1725 * CHOOSE(CONTROL!$C$9, $D$9, 100%, $F$9) + CHOOSE(CONTROL!$C$27, 0.0021, 0)</f>
        <v>79.174599999999998</v>
      </c>
      <c r="J805" s="10">
        <f>79.1725 * CHOOSE(CONTROL!$C$9, $D$9, 100%, $F$9) + CHOOSE(CONTROL!$C$27, 0.0021, 0)</f>
        <v>79.174599999999998</v>
      </c>
      <c r="K805" s="10">
        <f>79.1725 * CHOOSE(CONTROL!$C$9, $D$9, 100%, $F$9) + CHOOSE(CONTROL!$C$27, 0.0021, 0)</f>
        <v>79.174599999999998</v>
      </c>
      <c r="L805" s="10"/>
    </row>
    <row r="806" spans="1:12" ht="15.75" x14ac:dyDescent="0.25">
      <c r="A806" s="13">
        <v>65470</v>
      </c>
      <c r="B806" s="10">
        <f>78.6758 * CHOOSE(CONTROL!$C$9, $D$9, 100%, $F$9) + CHOOSE(CONTROL!$C$27, 0.0021, 0)</f>
        <v>78.677899999999994</v>
      </c>
      <c r="C806" s="10">
        <f>78.2435 * CHOOSE(CONTROL!$C$9, $D$9, 100%, $F$9) + CHOOSE(CONTROL!$C$27, 0.0021, 0)</f>
        <v>78.245599999999996</v>
      </c>
      <c r="D806" s="10">
        <f>78.2435 * CHOOSE(CONTROL!$C$9, $D$9, 100%, $F$9) + CHOOSE(CONTROL!$C$27, 0.0021, 0)</f>
        <v>78.245599999999996</v>
      </c>
      <c r="E806" s="10">
        <f>78.1069 * CHOOSE(CONTROL!$C$9, $D$9, 100%, $F$9) + CHOOSE(CONTROL!$C$27, 0.0021, 0)</f>
        <v>78.108999999999995</v>
      </c>
      <c r="F806" s="10">
        <f>78.1069 * CHOOSE(CONTROL!$C$9, $D$9, 100%, $F$9) + CHOOSE(CONTROL!$C$27, 0.0021, 0)</f>
        <v>78.108999999999995</v>
      </c>
      <c r="G806" s="10">
        <f>78.3783 * CHOOSE(CONTROL!$C$9, $D$9, 100%, $F$9) + CHOOSE(CONTROL!$C$27, 0.0021, 0)</f>
        <v>78.380399999999995</v>
      </c>
      <c r="H806" s="10">
        <f>78.2435 * CHOOSE(CONTROL!$C$9, $D$9, 100%, $F$9) + CHOOSE(CONTROL!$C$27, 0.0021, 0)</f>
        <v>78.245599999999996</v>
      </c>
      <c r="I806" s="10">
        <f>78.2435 * CHOOSE(CONTROL!$C$9, $D$9, 100%, $F$9) + CHOOSE(CONTROL!$C$27, 0.0021, 0)</f>
        <v>78.245599999999996</v>
      </c>
      <c r="J806" s="10">
        <f>78.2435 * CHOOSE(CONTROL!$C$9, $D$9, 100%, $F$9) + CHOOSE(CONTROL!$C$27, 0.0021, 0)</f>
        <v>78.245599999999996</v>
      </c>
      <c r="K806" s="10">
        <f>78.2435 * CHOOSE(CONTROL!$C$9, $D$9, 100%, $F$9) + CHOOSE(CONTROL!$C$27, 0.0021, 0)</f>
        <v>78.245599999999996</v>
      </c>
      <c r="L806" s="10"/>
    </row>
    <row r="807" spans="1:12" ht="15.75" x14ac:dyDescent="0.25">
      <c r="A807" s="13">
        <v>65500</v>
      </c>
      <c r="B807" s="10">
        <f>77.5666 * CHOOSE(CONTROL!$C$9, $D$9, 100%, $F$9) + CHOOSE(CONTROL!$C$27, 0.0021, 0)</f>
        <v>77.568699999999993</v>
      </c>
      <c r="C807" s="10">
        <f>77.1343 * CHOOSE(CONTROL!$C$9, $D$9, 100%, $F$9) + CHOOSE(CONTROL!$C$27, 0.0021, 0)</f>
        <v>77.136399999999995</v>
      </c>
      <c r="D807" s="10">
        <f>77.1343 * CHOOSE(CONTROL!$C$9, $D$9, 100%, $F$9) + CHOOSE(CONTROL!$C$27, 0.0021, 0)</f>
        <v>77.136399999999995</v>
      </c>
      <c r="E807" s="10">
        <f>76.9976 * CHOOSE(CONTROL!$C$9, $D$9, 100%, $F$9) + CHOOSE(CONTROL!$C$27, 0.0021, 0)</f>
        <v>76.999700000000004</v>
      </c>
      <c r="F807" s="10">
        <f>76.9976 * CHOOSE(CONTROL!$C$9, $D$9, 100%, $F$9) + CHOOSE(CONTROL!$C$27, 0.0021, 0)</f>
        <v>76.999700000000004</v>
      </c>
      <c r="G807" s="10">
        <f>77.269 * CHOOSE(CONTROL!$C$9, $D$9, 100%, $F$9) + CHOOSE(CONTROL!$C$27, 0.0021, 0)</f>
        <v>77.271100000000004</v>
      </c>
      <c r="H807" s="10">
        <f>77.1343 * CHOOSE(CONTROL!$C$9, $D$9, 100%, $F$9) + CHOOSE(CONTROL!$C$27, 0.0021, 0)</f>
        <v>77.136399999999995</v>
      </c>
      <c r="I807" s="10">
        <f>77.1343 * CHOOSE(CONTROL!$C$9, $D$9, 100%, $F$9) + CHOOSE(CONTROL!$C$27, 0.0021, 0)</f>
        <v>77.136399999999995</v>
      </c>
      <c r="J807" s="10">
        <f>77.1343 * CHOOSE(CONTROL!$C$9, $D$9, 100%, $F$9) + CHOOSE(CONTROL!$C$27, 0.0021, 0)</f>
        <v>77.136399999999995</v>
      </c>
      <c r="K807" s="10">
        <f>77.1343 * CHOOSE(CONTROL!$C$9, $D$9, 100%, $F$9) + CHOOSE(CONTROL!$C$27, 0.0021, 0)</f>
        <v>77.136399999999995</v>
      </c>
      <c r="L807" s="10"/>
    </row>
    <row r="808" spans="1:12" ht="15.75" x14ac:dyDescent="0.25">
      <c r="A808" s="13">
        <v>65531</v>
      </c>
      <c r="B808" s="10">
        <f>79.1473 * CHOOSE(CONTROL!$C$9, $D$9, 100%, $F$9) + CHOOSE(CONTROL!$C$27, 0.0021, 0)</f>
        <v>79.1494</v>
      </c>
      <c r="C808" s="10">
        <f>78.7151 * CHOOSE(CONTROL!$C$9, $D$9, 100%, $F$9) + CHOOSE(CONTROL!$C$27, 0.0021, 0)</f>
        <v>78.717200000000005</v>
      </c>
      <c r="D808" s="10">
        <f>78.7151 * CHOOSE(CONTROL!$C$9, $D$9, 100%, $F$9) + CHOOSE(CONTROL!$C$27, 0.0021, 0)</f>
        <v>78.717200000000005</v>
      </c>
      <c r="E808" s="10">
        <f>78.5784 * CHOOSE(CONTROL!$C$9, $D$9, 100%, $F$9) + CHOOSE(CONTROL!$C$27, 0.0021, 0)</f>
        <v>78.580500000000001</v>
      </c>
      <c r="F808" s="10">
        <f>78.5784 * CHOOSE(CONTROL!$C$9, $D$9, 100%, $F$9) + CHOOSE(CONTROL!$C$27, 0.0021, 0)</f>
        <v>78.580500000000001</v>
      </c>
      <c r="G808" s="10">
        <f>78.8498 * CHOOSE(CONTROL!$C$9, $D$9, 100%, $F$9) + CHOOSE(CONTROL!$C$27, 0.0021, 0)</f>
        <v>78.851900000000001</v>
      </c>
      <c r="H808" s="10">
        <f>78.7151 * CHOOSE(CONTROL!$C$9, $D$9, 100%, $F$9) + CHOOSE(CONTROL!$C$27, 0.0021, 0)</f>
        <v>78.717200000000005</v>
      </c>
      <c r="I808" s="10">
        <f>78.7151 * CHOOSE(CONTROL!$C$9, $D$9, 100%, $F$9) + CHOOSE(CONTROL!$C$27, 0.0021, 0)</f>
        <v>78.717200000000005</v>
      </c>
      <c r="J808" s="10">
        <f>78.7151 * CHOOSE(CONTROL!$C$9, $D$9, 100%, $F$9) + CHOOSE(CONTROL!$C$27, 0.0021, 0)</f>
        <v>78.717200000000005</v>
      </c>
      <c r="K808" s="10">
        <f>78.7151 * CHOOSE(CONTROL!$C$9, $D$9, 100%, $F$9) + CHOOSE(CONTROL!$C$27, 0.0021, 0)</f>
        <v>78.717200000000005</v>
      </c>
      <c r="L808" s="10"/>
    </row>
    <row r="809" spans="1:12" ht="15.75" x14ac:dyDescent="0.25">
      <c r="A809" s="13">
        <v>65561</v>
      </c>
      <c r="B809" s="10">
        <f>80.0942 * CHOOSE(CONTROL!$C$9, $D$9, 100%, $F$9) + CHOOSE(CONTROL!$C$27, 0.0021, 0)</f>
        <v>80.096299999999999</v>
      </c>
      <c r="C809" s="10">
        <f>79.6619 * CHOOSE(CONTROL!$C$9, $D$9, 100%, $F$9) + CHOOSE(CONTROL!$C$27, 0.0021, 0)</f>
        <v>79.664000000000001</v>
      </c>
      <c r="D809" s="10">
        <f>79.6619 * CHOOSE(CONTROL!$C$9, $D$9, 100%, $F$9) + CHOOSE(CONTROL!$C$27, 0.0021, 0)</f>
        <v>79.664000000000001</v>
      </c>
      <c r="E809" s="10">
        <f>79.5253 * CHOOSE(CONTROL!$C$9, $D$9, 100%, $F$9) + CHOOSE(CONTROL!$C$27, 0.0021, 0)</f>
        <v>79.5274</v>
      </c>
      <c r="F809" s="10">
        <f>79.5253 * CHOOSE(CONTROL!$C$9, $D$9, 100%, $F$9) + CHOOSE(CONTROL!$C$27, 0.0021, 0)</f>
        <v>79.5274</v>
      </c>
      <c r="G809" s="10">
        <f>79.7966 * CHOOSE(CONTROL!$C$9, $D$9, 100%, $F$9) + CHOOSE(CONTROL!$C$27, 0.0021, 0)</f>
        <v>79.798699999999997</v>
      </c>
      <c r="H809" s="10">
        <f>79.6619 * CHOOSE(CONTROL!$C$9, $D$9, 100%, $F$9) + CHOOSE(CONTROL!$C$27, 0.0021, 0)</f>
        <v>79.664000000000001</v>
      </c>
      <c r="I809" s="10">
        <f>79.6619 * CHOOSE(CONTROL!$C$9, $D$9, 100%, $F$9) + CHOOSE(CONTROL!$C$27, 0.0021, 0)</f>
        <v>79.664000000000001</v>
      </c>
      <c r="J809" s="10">
        <f>79.6619 * CHOOSE(CONTROL!$C$9, $D$9, 100%, $F$9) + CHOOSE(CONTROL!$C$27, 0.0021, 0)</f>
        <v>79.664000000000001</v>
      </c>
      <c r="K809" s="10">
        <f>79.6619 * CHOOSE(CONTROL!$C$9, $D$9, 100%, $F$9) + CHOOSE(CONTROL!$C$27, 0.0021, 0)</f>
        <v>79.664000000000001</v>
      </c>
      <c r="L809" s="10"/>
    </row>
    <row r="810" spans="1:12" ht="15.75" x14ac:dyDescent="0.25">
      <c r="A810" s="13">
        <v>65592</v>
      </c>
      <c r="B810" s="10">
        <f>81.6561 * CHOOSE(CONTROL!$C$9, $D$9, 100%, $F$9) + CHOOSE(CONTROL!$C$27, 0.0021, 0)</f>
        <v>81.658199999999994</v>
      </c>
      <c r="C810" s="10">
        <f>81.2239 * CHOOSE(CONTROL!$C$9, $D$9, 100%, $F$9) + CHOOSE(CONTROL!$C$27, 0.0021, 0)</f>
        <v>81.225999999999999</v>
      </c>
      <c r="D810" s="10">
        <f>81.2239 * CHOOSE(CONTROL!$C$9, $D$9, 100%, $F$9) + CHOOSE(CONTROL!$C$27, 0.0021, 0)</f>
        <v>81.225999999999999</v>
      </c>
      <c r="E810" s="10">
        <f>81.0872 * CHOOSE(CONTROL!$C$9, $D$9, 100%, $F$9) + CHOOSE(CONTROL!$C$27, 0.0021, 0)</f>
        <v>81.089299999999994</v>
      </c>
      <c r="F810" s="10">
        <f>81.0872 * CHOOSE(CONTROL!$C$9, $D$9, 100%, $F$9) + CHOOSE(CONTROL!$C$27, 0.0021, 0)</f>
        <v>81.089299999999994</v>
      </c>
      <c r="G810" s="10">
        <f>81.3586 * CHOOSE(CONTROL!$C$9, $D$9, 100%, $F$9) + CHOOSE(CONTROL!$C$27, 0.0021, 0)</f>
        <v>81.360699999999994</v>
      </c>
      <c r="H810" s="10">
        <f>81.2239 * CHOOSE(CONTROL!$C$9, $D$9, 100%, $F$9) + CHOOSE(CONTROL!$C$27, 0.0021, 0)</f>
        <v>81.225999999999999</v>
      </c>
      <c r="I810" s="10">
        <f>81.2239 * CHOOSE(CONTROL!$C$9, $D$9, 100%, $F$9) + CHOOSE(CONTROL!$C$27, 0.0021, 0)</f>
        <v>81.225999999999999</v>
      </c>
      <c r="J810" s="10">
        <f>81.2239 * CHOOSE(CONTROL!$C$9, $D$9, 100%, $F$9) + CHOOSE(CONTROL!$C$27, 0.0021, 0)</f>
        <v>81.225999999999999</v>
      </c>
      <c r="K810" s="10">
        <f>81.2239 * CHOOSE(CONTROL!$C$9, $D$9, 100%, $F$9) + CHOOSE(CONTROL!$C$27, 0.0021, 0)</f>
        <v>81.225999999999999</v>
      </c>
      <c r="L810" s="10"/>
    </row>
    <row r="811" spans="1:12" ht="15.75" x14ac:dyDescent="0.25">
      <c r="A811" s="13">
        <v>65623</v>
      </c>
      <c r="B811" s="10">
        <f>82.1328 * CHOOSE(CONTROL!$C$9, $D$9, 100%, $F$9) + CHOOSE(CONTROL!$C$27, 0.0021, 0)</f>
        <v>82.134900000000002</v>
      </c>
      <c r="C811" s="10">
        <f>81.7006 * CHOOSE(CONTROL!$C$9, $D$9, 100%, $F$9) + CHOOSE(CONTROL!$C$27, 0.0021, 0)</f>
        <v>81.702699999999993</v>
      </c>
      <c r="D811" s="10">
        <f>81.7006 * CHOOSE(CONTROL!$C$9, $D$9, 100%, $F$9) + CHOOSE(CONTROL!$C$27, 0.0021, 0)</f>
        <v>81.702699999999993</v>
      </c>
      <c r="E811" s="10">
        <f>81.5639 * CHOOSE(CONTROL!$C$9, $D$9, 100%, $F$9) + CHOOSE(CONTROL!$C$27, 0.0021, 0)</f>
        <v>81.566000000000003</v>
      </c>
      <c r="F811" s="10">
        <f>81.5639 * CHOOSE(CONTROL!$C$9, $D$9, 100%, $F$9) + CHOOSE(CONTROL!$C$27, 0.0021, 0)</f>
        <v>81.566000000000003</v>
      </c>
      <c r="G811" s="10">
        <f>81.8353 * CHOOSE(CONTROL!$C$9, $D$9, 100%, $F$9) + CHOOSE(CONTROL!$C$27, 0.0021, 0)</f>
        <v>81.837400000000002</v>
      </c>
      <c r="H811" s="10">
        <f>81.7006 * CHOOSE(CONTROL!$C$9, $D$9, 100%, $F$9) + CHOOSE(CONTROL!$C$27, 0.0021, 0)</f>
        <v>81.702699999999993</v>
      </c>
      <c r="I811" s="10">
        <f>81.7006 * CHOOSE(CONTROL!$C$9, $D$9, 100%, $F$9) + CHOOSE(CONTROL!$C$27, 0.0021, 0)</f>
        <v>81.702699999999993</v>
      </c>
      <c r="J811" s="10">
        <f>81.7006 * CHOOSE(CONTROL!$C$9, $D$9, 100%, $F$9) + CHOOSE(CONTROL!$C$27, 0.0021, 0)</f>
        <v>81.702699999999993</v>
      </c>
      <c r="K811" s="10">
        <f>81.7006 * CHOOSE(CONTROL!$C$9, $D$9, 100%, $F$9) + CHOOSE(CONTROL!$C$27, 0.0021, 0)</f>
        <v>81.702699999999993</v>
      </c>
      <c r="L811" s="10"/>
    </row>
    <row r="812" spans="1:12" ht="15.75" x14ac:dyDescent="0.25">
      <c r="A812" s="13">
        <v>65653</v>
      </c>
      <c r="B812" s="10">
        <f>83.7564 * CHOOSE(CONTROL!$C$9, $D$9, 100%, $F$9) + CHOOSE(CONTROL!$C$27, 0.0021, 0)</f>
        <v>83.758499999999998</v>
      </c>
      <c r="C812" s="10">
        <f>83.3242 * CHOOSE(CONTROL!$C$9, $D$9, 100%, $F$9) + CHOOSE(CONTROL!$C$27, 0.0021, 0)</f>
        <v>83.326300000000003</v>
      </c>
      <c r="D812" s="10">
        <f>83.3242 * CHOOSE(CONTROL!$C$9, $D$9, 100%, $F$9) + CHOOSE(CONTROL!$C$27, 0.0021, 0)</f>
        <v>83.326300000000003</v>
      </c>
      <c r="E812" s="10">
        <f>83.1875 * CHOOSE(CONTROL!$C$9, $D$9, 100%, $F$9) + CHOOSE(CONTROL!$C$27, 0.0021, 0)</f>
        <v>83.189599999999999</v>
      </c>
      <c r="F812" s="10">
        <f>83.1875 * CHOOSE(CONTROL!$C$9, $D$9, 100%, $F$9) + CHOOSE(CONTROL!$C$27, 0.0021, 0)</f>
        <v>83.189599999999999</v>
      </c>
      <c r="G812" s="10">
        <f>83.4589 * CHOOSE(CONTROL!$C$9, $D$9, 100%, $F$9) + CHOOSE(CONTROL!$C$27, 0.0021, 0)</f>
        <v>83.460999999999999</v>
      </c>
      <c r="H812" s="10">
        <f>83.3242 * CHOOSE(CONTROL!$C$9, $D$9, 100%, $F$9) + CHOOSE(CONTROL!$C$27, 0.0021, 0)</f>
        <v>83.326300000000003</v>
      </c>
      <c r="I812" s="10">
        <f>83.3242 * CHOOSE(CONTROL!$C$9, $D$9, 100%, $F$9) + CHOOSE(CONTROL!$C$27, 0.0021, 0)</f>
        <v>83.326300000000003</v>
      </c>
      <c r="J812" s="10">
        <f>83.3242 * CHOOSE(CONTROL!$C$9, $D$9, 100%, $F$9) + CHOOSE(CONTROL!$C$27, 0.0021, 0)</f>
        <v>83.326300000000003</v>
      </c>
      <c r="K812" s="10">
        <f>83.3242 * CHOOSE(CONTROL!$C$9, $D$9, 100%, $F$9) + CHOOSE(CONTROL!$C$27, 0.0021, 0)</f>
        <v>83.326300000000003</v>
      </c>
      <c r="L812" s="10"/>
    </row>
    <row r="813" spans="1:12" ht="15.75" x14ac:dyDescent="0.25">
      <c r="A813" s="13">
        <v>65684</v>
      </c>
      <c r="B813" s="10">
        <f>85.8115 * CHOOSE(CONTROL!$C$9, $D$9, 100%, $F$9) + CHOOSE(CONTROL!$C$27, 0.0021, 0)</f>
        <v>85.813599999999994</v>
      </c>
      <c r="C813" s="10">
        <f>85.3793 * CHOOSE(CONTROL!$C$9, $D$9, 100%, $F$9) + CHOOSE(CONTROL!$C$27, 0.0021, 0)</f>
        <v>85.381399999999999</v>
      </c>
      <c r="D813" s="10">
        <f>85.3793 * CHOOSE(CONTROL!$C$9, $D$9, 100%, $F$9) + CHOOSE(CONTROL!$C$27, 0.0021, 0)</f>
        <v>85.381399999999999</v>
      </c>
      <c r="E813" s="10">
        <f>85.2426 * CHOOSE(CONTROL!$C$9, $D$9, 100%, $F$9) + CHOOSE(CONTROL!$C$27, 0.0021, 0)</f>
        <v>85.244699999999995</v>
      </c>
      <c r="F813" s="10">
        <f>85.2426 * CHOOSE(CONTROL!$C$9, $D$9, 100%, $F$9) + CHOOSE(CONTROL!$C$27, 0.0021, 0)</f>
        <v>85.244699999999995</v>
      </c>
      <c r="G813" s="10">
        <f>85.514 * CHOOSE(CONTROL!$C$9, $D$9, 100%, $F$9) + CHOOSE(CONTROL!$C$27, 0.0021, 0)</f>
        <v>85.516099999999994</v>
      </c>
      <c r="H813" s="10">
        <f>85.3793 * CHOOSE(CONTROL!$C$9, $D$9, 100%, $F$9) + CHOOSE(CONTROL!$C$27, 0.0021, 0)</f>
        <v>85.381399999999999</v>
      </c>
      <c r="I813" s="10">
        <f>85.3793 * CHOOSE(CONTROL!$C$9, $D$9, 100%, $F$9) + CHOOSE(CONTROL!$C$27, 0.0021, 0)</f>
        <v>85.381399999999999</v>
      </c>
      <c r="J813" s="10">
        <f>85.3793 * CHOOSE(CONTROL!$C$9, $D$9, 100%, $F$9) + CHOOSE(CONTROL!$C$27, 0.0021, 0)</f>
        <v>85.381399999999999</v>
      </c>
      <c r="K813" s="10">
        <f>85.3793 * CHOOSE(CONTROL!$C$9, $D$9, 100%, $F$9) + CHOOSE(CONTROL!$C$27, 0.0021, 0)</f>
        <v>85.381399999999999</v>
      </c>
      <c r="L813" s="10"/>
    </row>
    <row r="814" spans="1:12" ht="15.75" x14ac:dyDescent="0.25">
      <c r="A814" s="13">
        <v>65714</v>
      </c>
      <c r="B814" s="10">
        <f>86.0045 * CHOOSE(CONTROL!$C$9, $D$9, 100%, $F$9) + CHOOSE(CONTROL!$C$27, 0.0021, 0)</f>
        <v>86.006599999999992</v>
      </c>
      <c r="C814" s="10">
        <f>85.5722 * CHOOSE(CONTROL!$C$9, $D$9, 100%, $F$9) + CHOOSE(CONTROL!$C$27, 0.0021, 0)</f>
        <v>85.574299999999994</v>
      </c>
      <c r="D814" s="10">
        <f>85.5722 * CHOOSE(CONTROL!$C$9, $D$9, 100%, $F$9) + CHOOSE(CONTROL!$C$27, 0.0021, 0)</f>
        <v>85.574299999999994</v>
      </c>
      <c r="E814" s="10">
        <f>85.4356 * CHOOSE(CONTROL!$C$9, $D$9, 100%, $F$9) + CHOOSE(CONTROL!$C$27, 0.0021, 0)</f>
        <v>85.437699999999992</v>
      </c>
      <c r="F814" s="10">
        <f>85.4356 * CHOOSE(CONTROL!$C$9, $D$9, 100%, $F$9) + CHOOSE(CONTROL!$C$27, 0.0021, 0)</f>
        <v>85.437699999999992</v>
      </c>
      <c r="G814" s="10">
        <f>85.7069 * CHOOSE(CONTROL!$C$9, $D$9, 100%, $F$9) + CHOOSE(CONTROL!$C$27, 0.0021, 0)</f>
        <v>85.709000000000003</v>
      </c>
      <c r="H814" s="10">
        <f>85.5722 * CHOOSE(CONTROL!$C$9, $D$9, 100%, $F$9) + CHOOSE(CONTROL!$C$27, 0.0021, 0)</f>
        <v>85.574299999999994</v>
      </c>
      <c r="I814" s="10">
        <f>85.5722 * CHOOSE(CONTROL!$C$9, $D$9, 100%, $F$9) + CHOOSE(CONTROL!$C$27, 0.0021, 0)</f>
        <v>85.574299999999994</v>
      </c>
      <c r="J814" s="10">
        <f>85.5722 * CHOOSE(CONTROL!$C$9, $D$9, 100%, $F$9) + CHOOSE(CONTROL!$C$27, 0.0021, 0)</f>
        <v>85.574299999999994</v>
      </c>
      <c r="K814" s="10">
        <f>85.5722 * CHOOSE(CONTROL!$C$9, $D$9, 100%, $F$9) + CHOOSE(CONTROL!$C$27, 0.0021, 0)</f>
        <v>85.574299999999994</v>
      </c>
      <c r="L814" s="10"/>
    </row>
    <row r="815" spans="1:12" ht="15.75" x14ac:dyDescent="0.25">
      <c r="A815" s="13">
        <v>65745</v>
      </c>
      <c r="B815" s="10">
        <f>84.3631 * CHOOSE(CONTROL!$C$9, $D$9, 100%, $F$9) + CHOOSE(CONTROL!$C$27, 0.0021, 0)</f>
        <v>84.365200000000002</v>
      </c>
      <c r="C815" s="10">
        <f>83.9308 * CHOOSE(CONTROL!$C$9, $D$9, 100%, $F$9) + CHOOSE(CONTROL!$C$27, 0.0021, 0)</f>
        <v>83.932900000000004</v>
      </c>
      <c r="D815" s="10">
        <f>83.9308 * CHOOSE(CONTROL!$C$9, $D$9, 100%, $F$9) + CHOOSE(CONTROL!$C$27, 0.0021, 0)</f>
        <v>83.932900000000004</v>
      </c>
      <c r="E815" s="10">
        <f>83.7942 * CHOOSE(CONTROL!$C$9, $D$9, 100%, $F$9) + CHOOSE(CONTROL!$C$27, 0.0021, 0)</f>
        <v>83.796300000000002</v>
      </c>
      <c r="F815" s="10">
        <f>83.7942 * CHOOSE(CONTROL!$C$9, $D$9, 100%, $F$9) + CHOOSE(CONTROL!$C$27, 0.0021, 0)</f>
        <v>83.796300000000002</v>
      </c>
      <c r="G815" s="10">
        <f>84.0655 * CHOOSE(CONTROL!$C$9, $D$9, 100%, $F$9) + CHOOSE(CONTROL!$C$27, 0.0021, 0)</f>
        <v>84.067599999999999</v>
      </c>
      <c r="H815" s="10">
        <f>83.9308 * CHOOSE(CONTROL!$C$9, $D$9, 100%, $F$9) + CHOOSE(CONTROL!$C$27, 0.0021, 0)</f>
        <v>83.932900000000004</v>
      </c>
      <c r="I815" s="10">
        <f>83.9308 * CHOOSE(CONTROL!$C$9, $D$9, 100%, $F$9) + CHOOSE(CONTROL!$C$27, 0.0021, 0)</f>
        <v>83.932900000000004</v>
      </c>
      <c r="J815" s="10">
        <f>83.9308 * CHOOSE(CONTROL!$C$9, $D$9, 100%, $F$9) + CHOOSE(CONTROL!$C$27, 0.0021, 0)</f>
        <v>83.932900000000004</v>
      </c>
      <c r="K815" s="10">
        <f>83.9308 * CHOOSE(CONTROL!$C$9, $D$9, 100%, $F$9) + CHOOSE(CONTROL!$C$27, 0.0021, 0)</f>
        <v>83.932900000000004</v>
      </c>
      <c r="L815" s="10"/>
    </row>
    <row r="816" spans="1:12" ht="15.75" x14ac:dyDescent="0.25">
      <c r="A816" s="13">
        <v>65776</v>
      </c>
      <c r="B816" s="10">
        <f>83.2878 * CHOOSE(CONTROL!$C$9, $D$9, 100%, $F$9) + CHOOSE(CONTROL!$C$27, 0.0021, 0)</f>
        <v>83.289900000000003</v>
      </c>
      <c r="C816" s="10">
        <f>82.8555 * CHOOSE(CONTROL!$C$9, $D$9, 100%, $F$9) + CHOOSE(CONTROL!$C$27, 0.0021, 0)</f>
        <v>82.857600000000005</v>
      </c>
      <c r="D816" s="10">
        <f>82.8555 * CHOOSE(CONTROL!$C$9, $D$9, 100%, $F$9) + CHOOSE(CONTROL!$C$27, 0.0021, 0)</f>
        <v>82.857600000000005</v>
      </c>
      <c r="E816" s="10">
        <f>82.7189 * CHOOSE(CONTROL!$C$9, $D$9, 100%, $F$9) + CHOOSE(CONTROL!$C$27, 0.0021, 0)</f>
        <v>82.721000000000004</v>
      </c>
      <c r="F816" s="10">
        <f>82.7189 * CHOOSE(CONTROL!$C$9, $D$9, 100%, $F$9) + CHOOSE(CONTROL!$C$27, 0.0021, 0)</f>
        <v>82.721000000000004</v>
      </c>
      <c r="G816" s="10">
        <f>82.9902 * CHOOSE(CONTROL!$C$9, $D$9, 100%, $F$9) + CHOOSE(CONTROL!$C$27, 0.0021, 0)</f>
        <v>82.9923</v>
      </c>
      <c r="H816" s="10">
        <f>82.8555 * CHOOSE(CONTROL!$C$9, $D$9, 100%, $F$9) + CHOOSE(CONTROL!$C$27, 0.0021, 0)</f>
        <v>82.857600000000005</v>
      </c>
      <c r="I816" s="10">
        <f>82.8555 * CHOOSE(CONTROL!$C$9, $D$9, 100%, $F$9) + CHOOSE(CONTROL!$C$27, 0.0021, 0)</f>
        <v>82.857600000000005</v>
      </c>
      <c r="J816" s="10">
        <f>82.8555 * CHOOSE(CONTROL!$C$9, $D$9, 100%, $F$9) + CHOOSE(CONTROL!$C$27, 0.0021, 0)</f>
        <v>82.857600000000005</v>
      </c>
      <c r="K816" s="10">
        <f>82.8555 * CHOOSE(CONTROL!$C$9, $D$9, 100%, $F$9) + CHOOSE(CONTROL!$C$27, 0.0021, 0)</f>
        <v>82.857600000000005</v>
      </c>
      <c r="L816" s="10"/>
    </row>
    <row r="817" spans="1:12" ht="15.75" x14ac:dyDescent="0.25">
      <c r="A817" s="13">
        <v>65805</v>
      </c>
      <c r="B817" s="10">
        <f>80.9968 * CHOOSE(CONTROL!$C$9, $D$9, 100%, $F$9) + CHOOSE(CONTROL!$C$27, 0.0021, 0)</f>
        <v>80.998899999999992</v>
      </c>
      <c r="C817" s="10">
        <f>80.5645 * CHOOSE(CONTROL!$C$9, $D$9, 100%, $F$9) + CHOOSE(CONTROL!$C$27, 0.0021, 0)</f>
        <v>80.566599999999994</v>
      </c>
      <c r="D817" s="10">
        <f>80.5645 * CHOOSE(CONTROL!$C$9, $D$9, 100%, $F$9) + CHOOSE(CONTROL!$C$27, 0.0021, 0)</f>
        <v>80.566599999999994</v>
      </c>
      <c r="E817" s="10">
        <f>80.4279 * CHOOSE(CONTROL!$C$9, $D$9, 100%, $F$9) + CHOOSE(CONTROL!$C$27, 0.0021, 0)</f>
        <v>80.429999999999993</v>
      </c>
      <c r="F817" s="10">
        <f>80.4279 * CHOOSE(CONTROL!$C$9, $D$9, 100%, $F$9) + CHOOSE(CONTROL!$C$27, 0.0021, 0)</f>
        <v>80.429999999999993</v>
      </c>
      <c r="G817" s="10">
        <f>80.6992 * CHOOSE(CONTROL!$C$9, $D$9, 100%, $F$9) + CHOOSE(CONTROL!$C$27, 0.0021, 0)</f>
        <v>80.701300000000003</v>
      </c>
      <c r="H817" s="10">
        <f>80.5645 * CHOOSE(CONTROL!$C$9, $D$9, 100%, $F$9) + CHOOSE(CONTROL!$C$27, 0.0021, 0)</f>
        <v>80.566599999999994</v>
      </c>
      <c r="I817" s="10">
        <f>80.5645 * CHOOSE(CONTROL!$C$9, $D$9, 100%, $F$9) + CHOOSE(CONTROL!$C$27, 0.0021, 0)</f>
        <v>80.566599999999994</v>
      </c>
      <c r="J817" s="10">
        <f>80.5645 * CHOOSE(CONTROL!$C$9, $D$9, 100%, $F$9) + CHOOSE(CONTROL!$C$27, 0.0021, 0)</f>
        <v>80.566599999999994</v>
      </c>
      <c r="K817" s="10">
        <f>80.5645 * CHOOSE(CONTROL!$C$9, $D$9, 100%, $F$9) + CHOOSE(CONTROL!$C$27, 0.0021, 0)</f>
        <v>80.566599999999994</v>
      </c>
      <c r="L817" s="10"/>
    </row>
    <row r="818" spans="1:12" ht="15.75" x14ac:dyDescent="0.25">
      <c r="A818" s="13">
        <v>65836</v>
      </c>
      <c r="B818" s="10">
        <f>80.0511 * CHOOSE(CONTROL!$C$9, $D$9, 100%, $F$9) + CHOOSE(CONTROL!$C$27, 0.0021, 0)</f>
        <v>80.053200000000004</v>
      </c>
      <c r="C818" s="10">
        <f>79.6188 * CHOOSE(CONTROL!$C$9, $D$9, 100%, $F$9) + CHOOSE(CONTROL!$C$27, 0.0021, 0)</f>
        <v>79.620899999999992</v>
      </c>
      <c r="D818" s="10">
        <f>79.6188 * CHOOSE(CONTROL!$C$9, $D$9, 100%, $F$9) + CHOOSE(CONTROL!$C$27, 0.0021, 0)</f>
        <v>79.620899999999992</v>
      </c>
      <c r="E818" s="10">
        <f>79.4822 * CHOOSE(CONTROL!$C$9, $D$9, 100%, $F$9) + CHOOSE(CONTROL!$C$27, 0.0021, 0)</f>
        <v>79.484300000000005</v>
      </c>
      <c r="F818" s="10">
        <f>79.4822 * CHOOSE(CONTROL!$C$9, $D$9, 100%, $F$9) + CHOOSE(CONTROL!$C$27, 0.0021, 0)</f>
        <v>79.484300000000005</v>
      </c>
      <c r="G818" s="10">
        <f>79.7535 * CHOOSE(CONTROL!$C$9, $D$9, 100%, $F$9) + CHOOSE(CONTROL!$C$27, 0.0021, 0)</f>
        <v>79.755600000000001</v>
      </c>
      <c r="H818" s="10">
        <f>79.6188 * CHOOSE(CONTROL!$C$9, $D$9, 100%, $F$9) + CHOOSE(CONTROL!$C$27, 0.0021, 0)</f>
        <v>79.620899999999992</v>
      </c>
      <c r="I818" s="10">
        <f>79.6188 * CHOOSE(CONTROL!$C$9, $D$9, 100%, $F$9) + CHOOSE(CONTROL!$C$27, 0.0021, 0)</f>
        <v>79.620899999999992</v>
      </c>
      <c r="J818" s="10">
        <f>79.6188 * CHOOSE(CONTROL!$C$9, $D$9, 100%, $F$9) + CHOOSE(CONTROL!$C$27, 0.0021, 0)</f>
        <v>79.620899999999992</v>
      </c>
      <c r="K818" s="10">
        <f>79.6188 * CHOOSE(CONTROL!$C$9, $D$9, 100%, $F$9) + CHOOSE(CONTROL!$C$27, 0.0021, 0)</f>
        <v>79.620899999999992</v>
      </c>
      <c r="L818" s="10"/>
    </row>
    <row r="819" spans="1:12" ht="15.75" x14ac:dyDescent="0.25">
      <c r="A819" s="13">
        <v>65866</v>
      </c>
      <c r="B819" s="10">
        <f>78.9219 * CHOOSE(CONTROL!$C$9, $D$9, 100%, $F$9) + CHOOSE(CONTROL!$C$27, 0.0021, 0)</f>
        <v>78.923999999999992</v>
      </c>
      <c r="C819" s="10">
        <f>78.4896 * CHOOSE(CONTROL!$C$9, $D$9, 100%, $F$9) + CHOOSE(CONTROL!$C$27, 0.0021, 0)</f>
        <v>78.491699999999994</v>
      </c>
      <c r="D819" s="10">
        <f>78.4896 * CHOOSE(CONTROL!$C$9, $D$9, 100%, $F$9) + CHOOSE(CONTROL!$C$27, 0.0021, 0)</f>
        <v>78.491699999999994</v>
      </c>
      <c r="E819" s="10">
        <f>78.3529 * CHOOSE(CONTROL!$C$9, $D$9, 100%, $F$9) + CHOOSE(CONTROL!$C$27, 0.0021, 0)</f>
        <v>78.355000000000004</v>
      </c>
      <c r="F819" s="10">
        <f>78.3529 * CHOOSE(CONTROL!$C$9, $D$9, 100%, $F$9) + CHOOSE(CONTROL!$C$27, 0.0021, 0)</f>
        <v>78.355000000000004</v>
      </c>
      <c r="G819" s="10">
        <f>78.6243 * CHOOSE(CONTROL!$C$9, $D$9, 100%, $F$9) + CHOOSE(CONTROL!$C$27, 0.0021, 0)</f>
        <v>78.626400000000004</v>
      </c>
      <c r="H819" s="10">
        <f>78.4896 * CHOOSE(CONTROL!$C$9, $D$9, 100%, $F$9) + CHOOSE(CONTROL!$C$27, 0.0021, 0)</f>
        <v>78.491699999999994</v>
      </c>
      <c r="I819" s="10">
        <f>78.4896 * CHOOSE(CONTROL!$C$9, $D$9, 100%, $F$9) + CHOOSE(CONTROL!$C$27, 0.0021, 0)</f>
        <v>78.491699999999994</v>
      </c>
      <c r="J819" s="10">
        <f>78.4896 * CHOOSE(CONTROL!$C$9, $D$9, 100%, $F$9) + CHOOSE(CONTROL!$C$27, 0.0021, 0)</f>
        <v>78.491699999999994</v>
      </c>
      <c r="K819" s="10">
        <f>78.4896 * CHOOSE(CONTROL!$C$9, $D$9, 100%, $F$9) + CHOOSE(CONTROL!$C$27, 0.0021, 0)</f>
        <v>78.491699999999994</v>
      </c>
      <c r="L819" s="10"/>
    </row>
    <row r="820" spans="1:12" ht="15.75" x14ac:dyDescent="0.25">
      <c r="A820" s="13">
        <v>65897</v>
      </c>
      <c r="B820" s="10">
        <f>80.5311 * CHOOSE(CONTROL!$C$9, $D$9, 100%, $F$9) + CHOOSE(CONTROL!$C$27, 0.0021, 0)</f>
        <v>80.533199999999994</v>
      </c>
      <c r="C820" s="10">
        <f>80.0989 * CHOOSE(CONTROL!$C$9, $D$9, 100%, $F$9) + CHOOSE(CONTROL!$C$27, 0.0021, 0)</f>
        <v>80.100999999999999</v>
      </c>
      <c r="D820" s="10">
        <f>80.0989 * CHOOSE(CONTROL!$C$9, $D$9, 100%, $F$9) + CHOOSE(CONTROL!$C$27, 0.0021, 0)</f>
        <v>80.100999999999999</v>
      </c>
      <c r="E820" s="10">
        <f>79.9622 * CHOOSE(CONTROL!$C$9, $D$9, 100%, $F$9) + CHOOSE(CONTROL!$C$27, 0.0021, 0)</f>
        <v>79.964299999999994</v>
      </c>
      <c r="F820" s="10">
        <f>79.9622 * CHOOSE(CONTROL!$C$9, $D$9, 100%, $F$9) + CHOOSE(CONTROL!$C$27, 0.0021, 0)</f>
        <v>79.964299999999994</v>
      </c>
      <c r="G820" s="10">
        <f>80.2336 * CHOOSE(CONTROL!$C$9, $D$9, 100%, $F$9) + CHOOSE(CONTROL!$C$27, 0.0021, 0)</f>
        <v>80.235699999999994</v>
      </c>
      <c r="H820" s="10">
        <f>80.0989 * CHOOSE(CONTROL!$C$9, $D$9, 100%, $F$9) + CHOOSE(CONTROL!$C$27, 0.0021, 0)</f>
        <v>80.100999999999999</v>
      </c>
      <c r="I820" s="10">
        <f>80.0989 * CHOOSE(CONTROL!$C$9, $D$9, 100%, $F$9) + CHOOSE(CONTROL!$C$27, 0.0021, 0)</f>
        <v>80.100999999999999</v>
      </c>
      <c r="J820" s="10">
        <f>80.0989 * CHOOSE(CONTROL!$C$9, $D$9, 100%, $F$9) + CHOOSE(CONTROL!$C$27, 0.0021, 0)</f>
        <v>80.100999999999999</v>
      </c>
      <c r="K820" s="10">
        <f>80.0989 * CHOOSE(CONTROL!$C$9, $D$9, 100%, $F$9) + CHOOSE(CONTROL!$C$27, 0.0021, 0)</f>
        <v>80.100999999999999</v>
      </c>
      <c r="L820" s="10"/>
    </row>
    <row r="821" spans="1:12" ht="15.75" x14ac:dyDescent="0.25">
      <c r="A821" s="13">
        <v>65927</v>
      </c>
      <c r="B821" s="10">
        <f>81.495 * CHOOSE(CONTROL!$C$9, $D$9, 100%, $F$9) + CHOOSE(CONTROL!$C$27, 0.0021, 0)</f>
        <v>81.497100000000003</v>
      </c>
      <c r="C821" s="10">
        <f>81.0627 * CHOOSE(CONTROL!$C$9, $D$9, 100%, $F$9) + CHOOSE(CONTROL!$C$27, 0.0021, 0)</f>
        <v>81.064800000000005</v>
      </c>
      <c r="D821" s="10">
        <f>81.0627 * CHOOSE(CONTROL!$C$9, $D$9, 100%, $F$9) + CHOOSE(CONTROL!$C$27, 0.0021, 0)</f>
        <v>81.064800000000005</v>
      </c>
      <c r="E821" s="10">
        <f>80.9261 * CHOOSE(CONTROL!$C$9, $D$9, 100%, $F$9) + CHOOSE(CONTROL!$C$27, 0.0021, 0)</f>
        <v>80.928200000000004</v>
      </c>
      <c r="F821" s="10">
        <f>80.9261 * CHOOSE(CONTROL!$C$9, $D$9, 100%, $F$9) + CHOOSE(CONTROL!$C$27, 0.0021, 0)</f>
        <v>80.928200000000004</v>
      </c>
      <c r="G821" s="10">
        <f>81.1975 * CHOOSE(CONTROL!$C$9, $D$9, 100%, $F$9) + CHOOSE(CONTROL!$C$27, 0.0021, 0)</f>
        <v>81.199600000000004</v>
      </c>
      <c r="H821" s="10">
        <f>81.0627 * CHOOSE(CONTROL!$C$9, $D$9, 100%, $F$9) + CHOOSE(CONTROL!$C$27, 0.0021, 0)</f>
        <v>81.064800000000005</v>
      </c>
      <c r="I821" s="10">
        <f>81.0627 * CHOOSE(CONTROL!$C$9, $D$9, 100%, $F$9) + CHOOSE(CONTROL!$C$27, 0.0021, 0)</f>
        <v>81.064800000000005</v>
      </c>
      <c r="J821" s="10">
        <f>81.0627 * CHOOSE(CONTROL!$C$9, $D$9, 100%, $F$9) + CHOOSE(CONTROL!$C$27, 0.0021, 0)</f>
        <v>81.064800000000005</v>
      </c>
      <c r="K821" s="10">
        <f>81.0627 * CHOOSE(CONTROL!$C$9, $D$9, 100%, $F$9) + CHOOSE(CONTROL!$C$27, 0.0021, 0)</f>
        <v>81.064800000000005</v>
      </c>
      <c r="L821" s="10"/>
    </row>
    <row r="822" spans="1:12" ht="15.75" x14ac:dyDescent="0.25">
      <c r="A822" s="13">
        <v>65958</v>
      </c>
      <c r="B822" s="10">
        <f>83.085 * CHOOSE(CONTROL!$C$9, $D$9, 100%, $F$9) + CHOOSE(CONTROL!$C$27, 0.0021, 0)</f>
        <v>83.087099999999992</v>
      </c>
      <c r="C822" s="10">
        <f>82.6528 * CHOOSE(CONTROL!$C$9, $D$9, 100%, $F$9) + CHOOSE(CONTROL!$C$27, 0.0021, 0)</f>
        <v>82.654899999999998</v>
      </c>
      <c r="D822" s="10">
        <f>82.6528 * CHOOSE(CONTROL!$C$9, $D$9, 100%, $F$9) + CHOOSE(CONTROL!$C$27, 0.0021, 0)</f>
        <v>82.654899999999998</v>
      </c>
      <c r="E822" s="10">
        <f>82.5161 * CHOOSE(CONTROL!$C$9, $D$9, 100%, $F$9) + CHOOSE(CONTROL!$C$27, 0.0021, 0)</f>
        <v>82.518199999999993</v>
      </c>
      <c r="F822" s="10">
        <f>82.5161 * CHOOSE(CONTROL!$C$9, $D$9, 100%, $F$9) + CHOOSE(CONTROL!$C$27, 0.0021, 0)</f>
        <v>82.518199999999993</v>
      </c>
      <c r="G822" s="10">
        <f>82.7875 * CHOOSE(CONTROL!$C$9, $D$9, 100%, $F$9) + CHOOSE(CONTROL!$C$27, 0.0021, 0)</f>
        <v>82.789599999999993</v>
      </c>
      <c r="H822" s="10">
        <f>82.6528 * CHOOSE(CONTROL!$C$9, $D$9, 100%, $F$9) + CHOOSE(CONTROL!$C$27, 0.0021, 0)</f>
        <v>82.654899999999998</v>
      </c>
      <c r="I822" s="10">
        <f>82.6528 * CHOOSE(CONTROL!$C$9, $D$9, 100%, $F$9) + CHOOSE(CONTROL!$C$27, 0.0021, 0)</f>
        <v>82.654899999999998</v>
      </c>
      <c r="J822" s="10">
        <f>82.6528 * CHOOSE(CONTROL!$C$9, $D$9, 100%, $F$9) + CHOOSE(CONTROL!$C$27, 0.0021, 0)</f>
        <v>82.654899999999998</v>
      </c>
      <c r="K822" s="10">
        <f>82.6528 * CHOOSE(CONTROL!$C$9, $D$9, 100%, $F$9) + CHOOSE(CONTROL!$C$27, 0.0021, 0)</f>
        <v>82.654899999999998</v>
      </c>
      <c r="L822" s="10"/>
    </row>
    <row r="823" spans="1:12" ht="15.75" x14ac:dyDescent="0.25">
      <c r="A823" s="13">
        <v>65989</v>
      </c>
      <c r="B823" s="10">
        <f>83.5704 * CHOOSE(CONTROL!$C$9, $D$9, 100%, $F$9) + CHOOSE(CONTROL!$C$27, 0.0021, 0)</f>
        <v>83.572500000000005</v>
      </c>
      <c r="C823" s="10">
        <f>83.1381 * CHOOSE(CONTROL!$C$9, $D$9, 100%, $F$9) + CHOOSE(CONTROL!$C$27, 0.0021, 0)</f>
        <v>83.140199999999993</v>
      </c>
      <c r="D823" s="10">
        <f>83.1381 * CHOOSE(CONTROL!$C$9, $D$9, 100%, $F$9) + CHOOSE(CONTROL!$C$27, 0.0021, 0)</f>
        <v>83.140199999999993</v>
      </c>
      <c r="E823" s="10">
        <f>83.0015 * CHOOSE(CONTROL!$C$9, $D$9, 100%, $F$9) + CHOOSE(CONTROL!$C$27, 0.0021, 0)</f>
        <v>83.003599999999992</v>
      </c>
      <c r="F823" s="10">
        <f>83.0015 * CHOOSE(CONTROL!$C$9, $D$9, 100%, $F$9) + CHOOSE(CONTROL!$C$27, 0.0021, 0)</f>
        <v>83.003599999999992</v>
      </c>
      <c r="G823" s="10">
        <f>83.2728 * CHOOSE(CONTROL!$C$9, $D$9, 100%, $F$9) + CHOOSE(CONTROL!$C$27, 0.0021, 0)</f>
        <v>83.274900000000002</v>
      </c>
      <c r="H823" s="10">
        <f>83.1381 * CHOOSE(CONTROL!$C$9, $D$9, 100%, $F$9) + CHOOSE(CONTROL!$C$27, 0.0021, 0)</f>
        <v>83.140199999999993</v>
      </c>
      <c r="I823" s="10">
        <f>83.1381 * CHOOSE(CONTROL!$C$9, $D$9, 100%, $F$9) + CHOOSE(CONTROL!$C$27, 0.0021, 0)</f>
        <v>83.140199999999993</v>
      </c>
      <c r="J823" s="10">
        <f>83.1381 * CHOOSE(CONTROL!$C$9, $D$9, 100%, $F$9) + CHOOSE(CONTROL!$C$27, 0.0021, 0)</f>
        <v>83.140199999999993</v>
      </c>
      <c r="K823" s="10">
        <f>83.1381 * CHOOSE(CONTROL!$C$9, $D$9, 100%, $F$9) + CHOOSE(CONTROL!$C$27, 0.0021, 0)</f>
        <v>83.140199999999993</v>
      </c>
      <c r="L823" s="10"/>
    </row>
    <row r="824" spans="1:12" ht="15.75" x14ac:dyDescent="0.25">
      <c r="A824" s="13">
        <v>66019</v>
      </c>
      <c r="B824" s="10">
        <f>85.2231 * CHOOSE(CONTROL!$C$9, $D$9, 100%, $F$9) + CHOOSE(CONTROL!$C$27, 0.0021, 0)</f>
        <v>85.225200000000001</v>
      </c>
      <c r="C824" s="10">
        <f>84.7909 * CHOOSE(CONTROL!$C$9, $D$9, 100%, $F$9) + CHOOSE(CONTROL!$C$27, 0.0021, 0)</f>
        <v>84.792999999999992</v>
      </c>
      <c r="D824" s="10">
        <f>84.7909 * CHOOSE(CONTROL!$C$9, $D$9, 100%, $F$9) + CHOOSE(CONTROL!$C$27, 0.0021, 0)</f>
        <v>84.792999999999992</v>
      </c>
      <c r="E824" s="10">
        <f>84.6542 * CHOOSE(CONTROL!$C$9, $D$9, 100%, $F$9) + CHOOSE(CONTROL!$C$27, 0.0021, 0)</f>
        <v>84.656300000000002</v>
      </c>
      <c r="F824" s="10">
        <f>84.6542 * CHOOSE(CONTROL!$C$9, $D$9, 100%, $F$9) + CHOOSE(CONTROL!$C$27, 0.0021, 0)</f>
        <v>84.656300000000002</v>
      </c>
      <c r="G824" s="10">
        <f>84.9256 * CHOOSE(CONTROL!$C$9, $D$9, 100%, $F$9) + CHOOSE(CONTROL!$C$27, 0.0021, 0)</f>
        <v>84.927700000000002</v>
      </c>
      <c r="H824" s="10">
        <f>84.7909 * CHOOSE(CONTROL!$C$9, $D$9, 100%, $F$9) + CHOOSE(CONTROL!$C$27, 0.0021, 0)</f>
        <v>84.792999999999992</v>
      </c>
      <c r="I824" s="10">
        <f>84.7909 * CHOOSE(CONTROL!$C$9, $D$9, 100%, $F$9) + CHOOSE(CONTROL!$C$27, 0.0021, 0)</f>
        <v>84.792999999999992</v>
      </c>
      <c r="J824" s="10">
        <f>84.7909 * CHOOSE(CONTROL!$C$9, $D$9, 100%, $F$9) + CHOOSE(CONTROL!$C$27, 0.0021, 0)</f>
        <v>84.792999999999992</v>
      </c>
      <c r="K824" s="10">
        <f>84.7909 * CHOOSE(CONTROL!$C$9, $D$9, 100%, $F$9) + CHOOSE(CONTROL!$C$27, 0.0021, 0)</f>
        <v>84.792999999999992</v>
      </c>
      <c r="L824" s="10"/>
    </row>
    <row r="825" spans="1:12" ht="15.75" x14ac:dyDescent="0.25">
      <c r="A825" s="13">
        <v>66050</v>
      </c>
      <c r="B825" s="10">
        <f>87.3153 * CHOOSE(CONTROL!$C$9, $D$9, 100%, $F$9) + CHOOSE(CONTROL!$C$27, 0.0021, 0)</f>
        <v>87.317399999999992</v>
      </c>
      <c r="C825" s="10">
        <f>86.883 * CHOOSE(CONTROL!$C$9, $D$9, 100%, $F$9) + CHOOSE(CONTROL!$C$27, 0.0021, 0)</f>
        <v>86.885099999999994</v>
      </c>
      <c r="D825" s="10">
        <f>86.883 * CHOOSE(CONTROL!$C$9, $D$9, 100%, $F$9) + CHOOSE(CONTROL!$C$27, 0.0021, 0)</f>
        <v>86.885099999999994</v>
      </c>
      <c r="E825" s="10">
        <f>86.7464 * CHOOSE(CONTROL!$C$9, $D$9, 100%, $F$9) + CHOOSE(CONTROL!$C$27, 0.0021, 0)</f>
        <v>86.748499999999993</v>
      </c>
      <c r="F825" s="10">
        <f>86.7464 * CHOOSE(CONTROL!$C$9, $D$9, 100%, $F$9) + CHOOSE(CONTROL!$C$27, 0.0021, 0)</f>
        <v>86.748499999999993</v>
      </c>
      <c r="G825" s="10">
        <f>87.0178 * CHOOSE(CONTROL!$C$9, $D$9, 100%, $F$9) + CHOOSE(CONTROL!$C$27, 0.0021, 0)</f>
        <v>87.019899999999993</v>
      </c>
      <c r="H825" s="10">
        <f>86.883 * CHOOSE(CONTROL!$C$9, $D$9, 100%, $F$9) + CHOOSE(CONTROL!$C$27, 0.0021, 0)</f>
        <v>86.885099999999994</v>
      </c>
      <c r="I825" s="10">
        <f>86.883 * CHOOSE(CONTROL!$C$9, $D$9, 100%, $F$9) + CHOOSE(CONTROL!$C$27, 0.0021, 0)</f>
        <v>86.885099999999994</v>
      </c>
      <c r="J825" s="10">
        <f>86.883 * CHOOSE(CONTROL!$C$9, $D$9, 100%, $F$9) + CHOOSE(CONTROL!$C$27, 0.0021, 0)</f>
        <v>86.885099999999994</v>
      </c>
      <c r="K825" s="10">
        <f>86.883 * CHOOSE(CONTROL!$C$9, $D$9, 100%, $F$9) + CHOOSE(CONTROL!$C$27, 0.0021, 0)</f>
        <v>86.885099999999994</v>
      </c>
      <c r="L825" s="10"/>
    </row>
    <row r="826" spans="1:12" ht="15.75" x14ac:dyDescent="0.25">
      <c r="A826" s="13">
        <v>66080</v>
      </c>
      <c r="B826" s="10">
        <f>87.5117 * CHOOSE(CONTROL!$C$9, $D$9, 100%, $F$9) + CHOOSE(CONTROL!$C$27, 0.0021, 0)</f>
        <v>87.513800000000003</v>
      </c>
      <c r="C826" s="10">
        <f>87.0794 * CHOOSE(CONTROL!$C$9, $D$9, 100%, $F$9) + CHOOSE(CONTROL!$C$27, 0.0021, 0)</f>
        <v>87.081500000000005</v>
      </c>
      <c r="D826" s="10">
        <f>87.0794 * CHOOSE(CONTROL!$C$9, $D$9, 100%, $F$9) + CHOOSE(CONTROL!$C$27, 0.0021, 0)</f>
        <v>87.081500000000005</v>
      </c>
      <c r="E826" s="10">
        <f>86.9428 * CHOOSE(CONTROL!$C$9, $D$9, 100%, $F$9) + CHOOSE(CONTROL!$C$27, 0.0021, 0)</f>
        <v>86.944900000000004</v>
      </c>
      <c r="F826" s="10">
        <f>86.9428 * CHOOSE(CONTROL!$C$9, $D$9, 100%, $F$9) + CHOOSE(CONTROL!$C$27, 0.0021, 0)</f>
        <v>86.944900000000004</v>
      </c>
      <c r="G826" s="10">
        <f>87.2142 * CHOOSE(CONTROL!$C$9, $D$9, 100%, $F$9) + CHOOSE(CONTROL!$C$27, 0.0021, 0)</f>
        <v>87.216300000000004</v>
      </c>
      <c r="H826" s="10">
        <f>87.0794 * CHOOSE(CONTROL!$C$9, $D$9, 100%, $F$9) + CHOOSE(CONTROL!$C$27, 0.0021, 0)</f>
        <v>87.081500000000005</v>
      </c>
      <c r="I826" s="10">
        <f>87.0794 * CHOOSE(CONTROL!$C$9, $D$9, 100%, $F$9) + CHOOSE(CONTROL!$C$27, 0.0021, 0)</f>
        <v>87.081500000000005</v>
      </c>
      <c r="J826" s="10">
        <f>87.0794 * CHOOSE(CONTROL!$C$9, $D$9, 100%, $F$9) + CHOOSE(CONTROL!$C$27, 0.0021, 0)</f>
        <v>87.081500000000005</v>
      </c>
      <c r="K826" s="10">
        <f>87.0794 * CHOOSE(CONTROL!$C$9, $D$9, 100%, $F$9) + CHOOSE(CONTROL!$C$27, 0.0021, 0)</f>
        <v>87.081500000000005</v>
      </c>
      <c r="L826" s="10"/>
    </row>
    <row r="827" spans="1:12" ht="15.75" x14ac:dyDescent="0.25">
      <c r="A827" s="13">
        <v>66111</v>
      </c>
      <c r="B827" s="10">
        <f>85.8407 * CHOOSE(CONTROL!$C$9, $D$9, 100%, $F$9) + CHOOSE(CONTROL!$C$27, 0.0021, 0)</f>
        <v>85.842799999999997</v>
      </c>
      <c r="C827" s="10">
        <f>85.4085 * CHOOSE(CONTROL!$C$9, $D$9, 100%, $F$9) + CHOOSE(CONTROL!$C$27, 0.0021, 0)</f>
        <v>85.410600000000002</v>
      </c>
      <c r="D827" s="10">
        <f>85.4085 * CHOOSE(CONTROL!$C$9, $D$9, 100%, $F$9) + CHOOSE(CONTROL!$C$27, 0.0021, 0)</f>
        <v>85.410600000000002</v>
      </c>
      <c r="E827" s="10">
        <f>85.2718 * CHOOSE(CONTROL!$C$9, $D$9, 100%, $F$9) + CHOOSE(CONTROL!$C$27, 0.0021, 0)</f>
        <v>85.273899999999998</v>
      </c>
      <c r="F827" s="10">
        <f>85.2718 * CHOOSE(CONTROL!$C$9, $D$9, 100%, $F$9) + CHOOSE(CONTROL!$C$27, 0.0021, 0)</f>
        <v>85.273899999999998</v>
      </c>
      <c r="G827" s="10">
        <f>85.5432 * CHOOSE(CONTROL!$C$9, $D$9, 100%, $F$9) + CHOOSE(CONTROL!$C$27, 0.0021, 0)</f>
        <v>85.545299999999997</v>
      </c>
      <c r="H827" s="10">
        <f>85.4085 * CHOOSE(CONTROL!$C$9, $D$9, 100%, $F$9) + CHOOSE(CONTROL!$C$27, 0.0021, 0)</f>
        <v>85.410600000000002</v>
      </c>
      <c r="I827" s="10">
        <f>85.4085 * CHOOSE(CONTROL!$C$9, $D$9, 100%, $F$9) + CHOOSE(CONTROL!$C$27, 0.0021, 0)</f>
        <v>85.410600000000002</v>
      </c>
      <c r="J827" s="10">
        <f>85.4085 * CHOOSE(CONTROL!$C$9, $D$9, 100%, $F$9) + CHOOSE(CONTROL!$C$27, 0.0021, 0)</f>
        <v>85.410600000000002</v>
      </c>
      <c r="K827" s="10">
        <f>85.4085 * CHOOSE(CONTROL!$C$9, $D$9, 100%, $F$9) + CHOOSE(CONTROL!$C$27, 0.0021, 0)</f>
        <v>85.410600000000002</v>
      </c>
      <c r="L827" s="10"/>
    </row>
    <row r="828" spans="1:12" ht="15.75" x14ac:dyDescent="0.25">
      <c r="A828" s="13">
        <v>66142</v>
      </c>
      <c r="B828" s="10">
        <f>84.7461 * CHOOSE(CONTROL!$C$9, $D$9, 100%, $F$9) + CHOOSE(CONTROL!$C$27, 0.0021, 0)</f>
        <v>84.748199999999997</v>
      </c>
      <c r="C828" s="10">
        <f>84.3138 * CHOOSE(CONTROL!$C$9, $D$9, 100%, $F$9) + CHOOSE(CONTROL!$C$27, 0.0021, 0)</f>
        <v>84.315899999999999</v>
      </c>
      <c r="D828" s="10">
        <f>84.3138 * CHOOSE(CONTROL!$C$9, $D$9, 100%, $F$9) + CHOOSE(CONTROL!$C$27, 0.0021, 0)</f>
        <v>84.315899999999999</v>
      </c>
      <c r="E828" s="10">
        <f>84.1772 * CHOOSE(CONTROL!$C$9, $D$9, 100%, $F$9) + CHOOSE(CONTROL!$C$27, 0.0021, 0)</f>
        <v>84.179299999999998</v>
      </c>
      <c r="F828" s="10">
        <f>84.1772 * CHOOSE(CONTROL!$C$9, $D$9, 100%, $F$9) + CHOOSE(CONTROL!$C$27, 0.0021, 0)</f>
        <v>84.179299999999998</v>
      </c>
      <c r="G828" s="10">
        <f>84.4485 * CHOOSE(CONTROL!$C$9, $D$9, 100%, $F$9) + CHOOSE(CONTROL!$C$27, 0.0021, 0)</f>
        <v>84.450599999999994</v>
      </c>
      <c r="H828" s="10">
        <f>84.3138 * CHOOSE(CONTROL!$C$9, $D$9, 100%, $F$9) + CHOOSE(CONTROL!$C$27, 0.0021, 0)</f>
        <v>84.315899999999999</v>
      </c>
      <c r="I828" s="10">
        <f>84.3138 * CHOOSE(CONTROL!$C$9, $D$9, 100%, $F$9) + CHOOSE(CONTROL!$C$27, 0.0021, 0)</f>
        <v>84.315899999999999</v>
      </c>
      <c r="J828" s="10">
        <f>84.3138 * CHOOSE(CONTROL!$C$9, $D$9, 100%, $F$9) + CHOOSE(CONTROL!$C$27, 0.0021, 0)</f>
        <v>84.315899999999999</v>
      </c>
      <c r="K828" s="10">
        <f>84.3138 * CHOOSE(CONTROL!$C$9, $D$9, 100%, $F$9) + CHOOSE(CONTROL!$C$27, 0.0021, 0)</f>
        <v>84.315899999999999</v>
      </c>
      <c r="L828" s="10"/>
    </row>
    <row r="829" spans="1:12" ht="15.75" x14ac:dyDescent="0.25">
      <c r="A829" s="13">
        <v>66170</v>
      </c>
      <c r="B829" s="10">
        <f>82.4138 * CHOOSE(CONTROL!$C$9, $D$9, 100%, $F$9) + CHOOSE(CONTROL!$C$27, 0.0021, 0)</f>
        <v>82.415899999999993</v>
      </c>
      <c r="C829" s="10">
        <f>81.9816 * CHOOSE(CONTROL!$C$9, $D$9, 100%, $F$9) + CHOOSE(CONTROL!$C$27, 0.0021, 0)</f>
        <v>81.983699999999999</v>
      </c>
      <c r="D829" s="10">
        <f>81.9816 * CHOOSE(CONTROL!$C$9, $D$9, 100%, $F$9) + CHOOSE(CONTROL!$C$27, 0.0021, 0)</f>
        <v>81.983699999999999</v>
      </c>
      <c r="E829" s="10">
        <f>81.8449 * CHOOSE(CONTROL!$C$9, $D$9, 100%, $F$9) + CHOOSE(CONTROL!$C$27, 0.0021, 0)</f>
        <v>81.846999999999994</v>
      </c>
      <c r="F829" s="10">
        <f>81.8449 * CHOOSE(CONTROL!$C$9, $D$9, 100%, $F$9) + CHOOSE(CONTROL!$C$27, 0.0021, 0)</f>
        <v>81.846999999999994</v>
      </c>
      <c r="G829" s="10">
        <f>82.1163 * CHOOSE(CONTROL!$C$9, $D$9, 100%, $F$9) + CHOOSE(CONTROL!$C$27, 0.0021, 0)</f>
        <v>82.118399999999994</v>
      </c>
      <c r="H829" s="10">
        <f>81.9816 * CHOOSE(CONTROL!$C$9, $D$9, 100%, $F$9) + CHOOSE(CONTROL!$C$27, 0.0021, 0)</f>
        <v>81.983699999999999</v>
      </c>
      <c r="I829" s="10">
        <f>81.9816 * CHOOSE(CONTROL!$C$9, $D$9, 100%, $F$9) + CHOOSE(CONTROL!$C$27, 0.0021, 0)</f>
        <v>81.983699999999999</v>
      </c>
      <c r="J829" s="10">
        <f>81.9816 * CHOOSE(CONTROL!$C$9, $D$9, 100%, $F$9) + CHOOSE(CONTROL!$C$27, 0.0021, 0)</f>
        <v>81.983699999999999</v>
      </c>
      <c r="K829" s="10">
        <f>81.9816 * CHOOSE(CONTROL!$C$9, $D$9, 100%, $F$9) + CHOOSE(CONTROL!$C$27, 0.0021, 0)</f>
        <v>81.983699999999999</v>
      </c>
      <c r="L829" s="10"/>
    </row>
    <row r="830" spans="1:12" ht="15.75" x14ac:dyDescent="0.25">
      <c r="A830" s="13">
        <v>66201</v>
      </c>
      <c r="B830" s="10">
        <f>81.4511 * CHOOSE(CONTROL!$C$9, $D$9, 100%, $F$9) + CHOOSE(CONTROL!$C$27, 0.0021, 0)</f>
        <v>81.453199999999995</v>
      </c>
      <c r="C830" s="10">
        <f>81.0188 * CHOOSE(CONTROL!$C$9, $D$9, 100%, $F$9) + CHOOSE(CONTROL!$C$27, 0.0021, 0)</f>
        <v>81.020899999999997</v>
      </c>
      <c r="D830" s="10">
        <f>81.0188 * CHOOSE(CONTROL!$C$9, $D$9, 100%, $F$9) + CHOOSE(CONTROL!$C$27, 0.0021, 0)</f>
        <v>81.020899999999997</v>
      </c>
      <c r="E830" s="10">
        <f>80.8822 * CHOOSE(CONTROL!$C$9, $D$9, 100%, $F$9) + CHOOSE(CONTROL!$C$27, 0.0021, 0)</f>
        <v>80.884299999999996</v>
      </c>
      <c r="F830" s="10">
        <f>80.8822 * CHOOSE(CONTROL!$C$9, $D$9, 100%, $F$9) + CHOOSE(CONTROL!$C$27, 0.0021, 0)</f>
        <v>80.884299999999996</v>
      </c>
      <c r="G830" s="10">
        <f>81.1536 * CHOOSE(CONTROL!$C$9, $D$9, 100%, $F$9) + CHOOSE(CONTROL!$C$27, 0.0021, 0)</f>
        <v>81.155699999999996</v>
      </c>
      <c r="H830" s="10">
        <f>81.0188 * CHOOSE(CONTROL!$C$9, $D$9, 100%, $F$9) + CHOOSE(CONTROL!$C$27, 0.0021, 0)</f>
        <v>81.020899999999997</v>
      </c>
      <c r="I830" s="10">
        <f>81.0188 * CHOOSE(CONTROL!$C$9, $D$9, 100%, $F$9) + CHOOSE(CONTROL!$C$27, 0.0021, 0)</f>
        <v>81.020899999999997</v>
      </c>
      <c r="J830" s="10">
        <f>81.0188 * CHOOSE(CONTROL!$C$9, $D$9, 100%, $F$9) + CHOOSE(CONTROL!$C$27, 0.0021, 0)</f>
        <v>81.020899999999997</v>
      </c>
      <c r="K830" s="10">
        <f>81.0188 * CHOOSE(CONTROL!$C$9, $D$9, 100%, $F$9) + CHOOSE(CONTROL!$C$27, 0.0021, 0)</f>
        <v>81.020899999999997</v>
      </c>
      <c r="L830" s="10"/>
    </row>
    <row r="831" spans="1:12" ht="15.75" x14ac:dyDescent="0.25">
      <c r="A831" s="13">
        <v>66231</v>
      </c>
      <c r="B831" s="10">
        <f>80.3016 * CHOOSE(CONTROL!$C$9, $D$9, 100%, $F$9) + CHOOSE(CONTROL!$C$27, 0.0021, 0)</f>
        <v>80.303699999999992</v>
      </c>
      <c r="C831" s="10">
        <f>79.8693 * CHOOSE(CONTROL!$C$9, $D$9, 100%, $F$9) + CHOOSE(CONTROL!$C$27, 0.0021, 0)</f>
        <v>79.871399999999994</v>
      </c>
      <c r="D831" s="10">
        <f>79.8693 * CHOOSE(CONTROL!$C$9, $D$9, 100%, $F$9) + CHOOSE(CONTROL!$C$27, 0.0021, 0)</f>
        <v>79.871399999999994</v>
      </c>
      <c r="E831" s="10">
        <f>79.7326 * CHOOSE(CONTROL!$C$9, $D$9, 100%, $F$9) + CHOOSE(CONTROL!$C$27, 0.0021, 0)</f>
        <v>79.734700000000004</v>
      </c>
      <c r="F831" s="10">
        <f>79.7326 * CHOOSE(CONTROL!$C$9, $D$9, 100%, $F$9) + CHOOSE(CONTROL!$C$27, 0.0021, 0)</f>
        <v>79.734700000000004</v>
      </c>
      <c r="G831" s="10">
        <f>80.004 * CHOOSE(CONTROL!$C$9, $D$9, 100%, $F$9) + CHOOSE(CONTROL!$C$27, 0.0021, 0)</f>
        <v>80.006100000000004</v>
      </c>
      <c r="H831" s="10">
        <f>79.8693 * CHOOSE(CONTROL!$C$9, $D$9, 100%, $F$9) + CHOOSE(CONTROL!$C$27, 0.0021, 0)</f>
        <v>79.871399999999994</v>
      </c>
      <c r="I831" s="10">
        <f>79.8693 * CHOOSE(CONTROL!$C$9, $D$9, 100%, $F$9) + CHOOSE(CONTROL!$C$27, 0.0021, 0)</f>
        <v>79.871399999999994</v>
      </c>
      <c r="J831" s="10">
        <f>79.8693 * CHOOSE(CONTROL!$C$9, $D$9, 100%, $F$9) + CHOOSE(CONTROL!$C$27, 0.0021, 0)</f>
        <v>79.871399999999994</v>
      </c>
      <c r="K831" s="10">
        <f>79.8693 * CHOOSE(CONTROL!$C$9, $D$9, 100%, $F$9) + CHOOSE(CONTROL!$C$27, 0.0021, 0)</f>
        <v>79.871399999999994</v>
      </c>
      <c r="L831" s="10"/>
    </row>
    <row r="832" spans="1:12" ht="15.75" x14ac:dyDescent="0.25">
      <c r="A832" s="13">
        <v>66262</v>
      </c>
      <c r="B832" s="10">
        <f>81.9398 * CHOOSE(CONTROL!$C$9, $D$9, 100%, $F$9) + CHOOSE(CONTROL!$C$27, 0.0021, 0)</f>
        <v>81.941900000000004</v>
      </c>
      <c r="C832" s="10">
        <f>81.5075 * CHOOSE(CONTROL!$C$9, $D$9, 100%, $F$9) + CHOOSE(CONTROL!$C$27, 0.0021, 0)</f>
        <v>81.509599999999992</v>
      </c>
      <c r="D832" s="10">
        <f>81.5075 * CHOOSE(CONTROL!$C$9, $D$9, 100%, $F$9) + CHOOSE(CONTROL!$C$27, 0.0021, 0)</f>
        <v>81.509599999999992</v>
      </c>
      <c r="E832" s="10">
        <f>81.3709 * CHOOSE(CONTROL!$C$9, $D$9, 100%, $F$9) + CHOOSE(CONTROL!$C$27, 0.0021, 0)</f>
        <v>81.373000000000005</v>
      </c>
      <c r="F832" s="10">
        <f>81.3709 * CHOOSE(CONTROL!$C$9, $D$9, 100%, $F$9) + CHOOSE(CONTROL!$C$27, 0.0021, 0)</f>
        <v>81.373000000000005</v>
      </c>
      <c r="G832" s="10">
        <f>81.6423 * CHOOSE(CONTROL!$C$9, $D$9, 100%, $F$9) + CHOOSE(CONTROL!$C$27, 0.0021, 0)</f>
        <v>81.644400000000005</v>
      </c>
      <c r="H832" s="10">
        <f>81.5075 * CHOOSE(CONTROL!$C$9, $D$9, 100%, $F$9) + CHOOSE(CONTROL!$C$27, 0.0021, 0)</f>
        <v>81.509599999999992</v>
      </c>
      <c r="I832" s="10">
        <f>81.5075 * CHOOSE(CONTROL!$C$9, $D$9, 100%, $F$9) + CHOOSE(CONTROL!$C$27, 0.0021, 0)</f>
        <v>81.509599999999992</v>
      </c>
      <c r="J832" s="10">
        <f>81.5075 * CHOOSE(CONTROL!$C$9, $D$9, 100%, $F$9) + CHOOSE(CONTROL!$C$27, 0.0021, 0)</f>
        <v>81.509599999999992</v>
      </c>
      <c r="K832" s="10">
        <f>81.5075 * CHOOSE(CONTROL!$C$9, $D$9, 100%, $F$9) + CHOOSE(CONTROL!$C$27, 0.0021, 0)</f>
        <v>81.509599999999992</v>
      </c>
      <c r="L832" s="10"/>
    </row>
    <row r="833" spans="1:12" ht="15.75" x14ac:dyDescent="0.25">
      <c r="A833" s="13">
        <v>66292</v>
      </c>
      <c r="B833" s="10">
        <f>82.921 * CHOOSE(CONTROL!$C$9, $D$9, 100%, $F$9) + CHOOSE(CONTROL!$C$27, 0.0021, 0)</f>
        <v>82.923100000000005</v>
      </c>
      <c r="C833" s="10">
        <f>82.4888 * CHOOSE(CONTROL!$C$9, $D$9, 100%, $F$9) + CHOOSE(CONTROL!$C$27, 0.0021, 0)</f>
        <v>82.490899999999996</v>
      </c>
      <c r="D833" s="10">
        <f>82.4888 * CHOOSE(CONTROL!$C$9, $D$9, 100%, $F$9) + CHOOSE(CONTROL!$C$27, 0.0021, 0)</f>
        <v>82.490899999999996</v>
      </c>
      <c r="E833" s="10">
        <f>82.3521 * CHOOSE(CONTROL!$C$9, $D$9, 100%, $F$9) + CHOOSE(CONTROL!$C$27, 0.0021, 0)</f>
        <v>82.354199999999992</v>
      </c>
      <c r="F833" s="10">
        <f>82.3521 * CHOOSE(CONTROL!$C$9, $D$9, 100%, $F$9) + CHOOSE(CONTROL!$C$27, 0.0021, 0)</f>
        <v>82.354199999999992</v>
      </c>
      <c r="G833" s="10">
        <f>82.6235 * CHOOSE(CONTROL!$C$9, $D$9, 100%, $F$9) + CHOOSE(CONTROL!$C$27, 0.0021, 0)</f>
        <v>82.625600000000006</v>
      </c>
      <c r="H833" s="10">
        <f>82.4888 * CHOOSE(CONTROL!$C$9, $D$9, 100%, $F$9) + CHOOSE(CONTROL!$C$27, 0.0021, 0)</f>
        <v>82.490899999999996</v>
      </c>
      <c r="I833" s="10">
        <f>82.4888 * CHOOSE(CONTROL!$C$9, $D$9, 100%, $F$9) + CHOOSE(CONTROL!$C$27, 0.0021, 0)</f>
        <v>82.490899999999996</v>
      </c>
      <c r="J833" s="10">
        <f>82.4888 * CHOOSE(CONTROL!$C$9, $D$9, 100%, $F$9) + CHOOSE(CONTROL!$C$27, 0.0021, 0)</f>
        <v>82.490899999999996</v>
      </c>
      <c r="K833" s="10">
        <f>82.4888 * CHOOSE(CONTROL!$C$9, $D$9, 100%, $F$9) + CHOOSE(CONTROL!$C$27, 0.0021, 0)</f>
        <v>82.490899999999996</v>
      </c>
      <c r="L833" s="10"/>
    </row>
    <row r="834" spans="1:12" ht="15.75" x14ac:dyDescent="0.25">
      <c r="A834" s="13">
        <v>66323</v>
      </c>
      <c r="B834" s="10">
        <f>84.5397 * CHOOSE(CONTROL!$C$9, $D$9, 100%, $F$9) + CHOOSE(CONTROL!$C$27, 0.0021, 0)</f>
        <v>84.541799999999995</v>
      </c>
      <c r="C834" s="10">
        <f>84.1074 * CHOOSE(CONTROL!$C$9, $D$9, 100%, $F$9) + CHOOSE(CONTROL!$C$27, 0.0021, 0)</f>
        <v>84.109499999999997</v>
      </c>
      <c r="D834" s="10">
        <f>84.1074 * CHOOSE(CONTROL!$C$9, $D$9, 100%, $F$9) + CHOOSE(CONTROL!$C$27, 0.0021, 0)</f>
        <v>84.109499999999997</v>
      </c>
      <c r="E834" s="10">
        <f>83.9708 * CHOOSE(CONTROL!$C$9, $D$9, 100%, $F$9) + CHOOSE(CONTROL!$C$27, 0.0021, 0)</f>
        <v>83.972899999999996</v>
      </c>
      <c r="F834" s="10">
        <f>83.9708 * CHOOSE(CONTROL!$C$9, $D$9, 100%, $F$9) + CHOOSE(CONTROL!$C$27, 0.0021, 0)</f>
        <v>83.972899999999996</v>
      </c>
      <c r="G834" s="10">
        <f>84.2422 * CHOOSE(CONTROL!$C$9, $D$9, 100%, $F$9) + CHOOSE(CONTROL!$C$27, 0.0021, 0)</f>
        <v>84.244299999999996</v>
      </c>
      <c r="H834" s="10">
        <f>84.1074 * CHOOSE(CONTROL!$C$9, $D$9, 100%, $F$9) + CHOOSE(CONTROL!$C$27, 0.0021, 0)</f>
        <v>84.109499999999997</v>
      </c>
      <c r="I834" s="10">
        <f>84.1074 * CHOOSE(CONTROL!$C$9, $D$9, 100%, $F$9) + CHOOSE(CONTROL!$C$27, 0.0021, 0)</f>
        <v>84.109499999999997</v>
      </c>
      <c r="J834" s="10">
        <f>84.1074 * CHOOSE(CONTROL!$C$9, $D$9, 100%, $F$9) + CHOOSE(CONTROL!$C$27, 0.0021, 0)</f>
        <v>84.109499999999997</v>
      </c>
      <c r="K834" s="10">
        <f>84.1074 * CHOOSE(CONTROL!$C$9, $D$9, 100%, $F$9) + CHOOSE(CONTROL!$C$27, 0.0021, 0)</f>
        <v>84.109499999999997</v>
      </c>
      <c r="L834" s="10"/>
    </row>
    <row r="835" spans="1:12" ht="15.75" x14ac:dyDescent="0.25">
      <c r="A835" s="13">
        <v>66354</v>
      </c>
      <c r="B835" s="10">
        <f>85.0338 * CHOOSE(CONTROL!$C$9, $D$9, 100%, $F$9) + CHOOSE(CONTROL!$C$27, 0.0021, 0)</f>
        <v>85.035899999999998</v>
      </c>
      <c r="C835" s="10">
        <f>84.6015 * CHOOSE(CONTROL!$C$9, $D$9, 100%, $F$9) + CHOOSE(CONTROL!$C$27, 0.0021, 0)</f>
        <v>84.6036</v>
      </c>
      <c r="D835" s="10">
        <f>84.6015 * CHOOSE(CONTROL!$C$9, $D$9, 100%, $F$9) + CHOOSE(CONTROL!$C$27, 0.0021, 0)</f>
        <v>84.6036</v>
      </c>
      <c r="E835" s="10">
        <f>84.4649 * CHOOSE(CONTROL!$C$9, $D$9, 100%, $F$9) + CHOOSE(CONTROL!$C$27, 0.0021, 0)</f>
        <v>84.466999999999999</v>
      </c>
      <c r="F835" s="10">
        <f>84.4649 * CHOOSE(CONTROL!$C$9, $D$9, 100%, $F$9) + CHOOSE(CONTROL!$C$27, 0.0021, 0)</f>
        <v>84.466999999999999</v>
      </c>
      <c r="G835" s="10">
        <f>84.7362 * CHOOSE(CONTROL!$C$9, $D$9, 100%, $F$9) + CHOOSE(CONTROL!$C$27, 0.0021, 0)</f>
        <v>84.738299999999995</v>
      </c>
      <c r="H835" s="10">
        <f>84.6015 * CHOOSE(CONTROL!$C$9, $D$9, 100%, $F$9) + CHOOSE(CONTROL!$C$27, 0.0021, 0)</f>
        <v>84.6036</v>
      </c>
      <c r="I835" s="10">
        <f>84.6015 * CHOOSE(CONTROL!$C$9, $D$9, 100%, $F$9) + CHOOSE(CONTROL!$C$27, 0.0021, 0)</f>
        <v>84.6036</v>
      </c>
      <c r="J835" s="10">
        <f>84.6015 * CHOOSE(CONTROL!$C$9, $D$9, 100%, $F$9) + CHOOSE(CONTROL!$C$27, 0.0021, 0)</f>
        <v>84.6036</v>
      </c>
      <c r="K835" s="10">
        <f>84.6015 * CHOOSE(CONTROL!$C$9, $D$9, 100%, $F$9) + CHOOSE(CONTROL!$C$27, 0.0021, 0)</f>
        <v>84.6036</v>
      </c>
      <c r="L835" s="10"/>
    </row>
    <row r="836" spans="1:12" ht="15.75" x14ac:dyDescent="0.25">
      <c r="A836" s="13">
        <v>66384</v>
      </c>
      <c r="B836" s="10">
        <f>86.7163 * CHOOSE(CONTROL!$C$9, $D$9, 100%, $F$9) + CHOOSE(CONTROL!$C$27, 0.0021, 0)</f>
        <v>86.718400000000003</v>
      </c>
      <c r="C836" s="10">
        <f>86.2841 * CHOOSE(CONTROL!$C$9, $D$9, 100%, $F$9) + CHOOSE(CONTROL!$C$27, 0.0021, 0)</f>
        <v>86.286199999999994</v>
      </c>
      <c r="D836" s="10">
        <f>86.2841 * CHOOSE(CONTROL!$C$9, $D$9, 100%, $F$9) + CHOOSE(CONTROL!$C$27, 0.0021, 0)</f>
        <v>86.286199999999994</v>
      </c>
      <c r="E836" s="10">
        <f>86.1474 * CHOOSE(CONTROL!$C$9, $D$9, 100%, $F$9) + CHOOSE(CONTROL!$C$27, 0.0021, 0)</f>
        <v>86.149500000000003</v>
      </c>
      <c r="F836" s="10">
        <f>86.1474 * CHOOSE(CONTROL!$C$9, $D$9, 100%, $F$9) + CHOOSE(CONTROL!$C$27, 0.0021, 0)</f>
        <v>86.149500000000003</v>
      </c>
      <c r="G836" s="10">
        <f>86.4188 * CHOOSE(CONTROL!$C$9, $D$9, 100%, $F$9) + CHOOSE(CONTROL!$C$27, 0.0021, 0)</f>
        <v>86.420900000000003</v>
      </c>
      <c r="H836" s="10">
        <f>86.2841 * CHOOSE(CONTROL!$C$9, $D$9, 100%, $F$9) + CHOOSE(CONTROL!$C$27, 0.0021, 0)</f>
        <v>86.286199999999994</v>
      </c>
      <c r="I836" s="10">
        <f>86.2841 * CHOOSE(CONTROL!$C$9, $D$9, 100%, $F$9) + CHOOSE(CONTROL!$C$27, 0.0021, 0)</f>
        <v>86.286199999999994</v>
      </c>
      <c r="J836" s="10">
        <f>86.2841 * CHOOSE(CONTROL!$C$9, $D$9, 100%, $F$9) + CHOOSE(CONTROL!$C$27, 0.0021, 0)</f>
        <v>86.286199999999994</v>
      </c>
      <c r="K836" s="10">
        <f>86.2841 * CHOOSE(CONTROL!$C$9, $D$9, 100%, $F$9) + CHOOSE(CONTROL!$C$27, 0.0021, 0)</f>
        <v>86.286199999999994</v>
      </c>
      <c r="L836" s="10"/>
    </row>
    <row r="837" spans="1:12" ht="15.75" x14ac:dyDescent="0.25">
      <c r="A837" s="13">
        <v>66415</v>
      </c>
      <c r="B837" s="10">
        <f>88.8461 * CHOOSE(CONTROL!$C$9, $D$9, 100%, $F$9) + CHOOSE(CONTROL!$C$27, 0.0021, 0)</f>
        <v>88.848200000000006</v>
      </c>
      <c r="C837" s="10">
        <f>88.4139 * CHOOSE(CONTROL!$C$9, $D$9, 100%, $F$9) + CHOOSE(CONTROL!$C$27, 0.0021, 0)</f>
        <v>88.415999999999997</v>
      </c>
      <c r="D837" s="10">
        <f>88.4139 * CHOOSE(CONTROL!$C$9, $D$9, 100%, $F$9) + CHOOSE(CONTROL!$C$27, 0.0021, 0)</f>
        <v>88.415999999999997</v>
      </c>
      <c r="E837" s="10">
        <f>88.2772 * CHOOSE(CONTROL!$C$9, $D$9, 100%, $F$9) + CHOOSE(CONTROL!$C$27, 0.0021, 0)</f>
        <v>88.279299999999992</v>
      </c>
      <c r="F837" s="10">
        <f>88.2772 * CHOOSE(CONTROL!$C$9, $D$9, 100%, $F$9) + CHOOSE(CONTROL!$C$27, 0.0021, 0)</f>
        <v>88.279299999999992</v>
      </c>
      <c r="G837" s="10">
        <f>88.5486 * CHOOSE(CONTROL!$C$9, $D$9, 100%, $F$9) + CHOOSE(CONTROL!$C$27, 0.0021, 0)</f>
        <v>88.550699999999992</v>
      </c>
      <c r="H837" s="10">
        <f>88.4139 * CHOOSE(CONTROL!$C$9, $D$9, 100%, $F$9) + CHOOSE(CONTROL!$C$27, 0.0021, 0)</f>
        <v>88.415999999999997</v>
      </c>
      <c r="I837" s="10">
        <f>88.4139 * CHOOSE(CONTROL!$C$9, $D$9, 100%, $F$9) + CHOOSE(CONTROL!$C$27, 0.0021, 0)</f>
        <v>88.415999999999997</v>
      </c>
      <c r="J837" s="10">
        <f>88.4139 * CHOOSE(CONTROL!$C$9, $D$9, 100%, $F$9) + CHOOSE(CONTROL!$C$27, 0.0021, 0)</f>
        <v>88.415999999999997</v>
      </c>
      <c r="K837" s="10">
        <f>88.4139 * CHOOSE(CONTROL!$C$9, $D$9, 100%, $F$9) + CHOOSE(CONTROL!$C$27, 0.0021, 0)</f>
        <v>88.415999999999997</v>
      </c>
      <c r="L837" s="10"/>
    </row>
    <row r="838" spans="1:12" ht="15.75" x14ac:dyDescent="0.25">
      <c r="A838" s="13">
        <v>66445</v>
      </c>
      <c r="B838" s="10">
        <f>89.0461 * CHOOSE(CONTROL!$C$9, $D$9, 100%, $F$9) + CHOOSE(CONTROL!$C$27, 0.0021, 0)</f>
        <v>89.048199999999994</v>
      </c>
      <c r="C838" s="10">
        <f>88.6138 * CHOOSE(CONTROL!$C$9, $D$9, 100%, $F$9) + CHOOSE(CONTROL!$C$27, 0.0021, 0)</f>
        <v>88.615899999999996</v>
      </c>
      <c r="D838" s="10">
        <f>88.6138 * CHOOSE(CONTROL!$C$9, $D$9, 100%, $F$9) + CHOOSE(CONTROL!$C$27, 0.0021, 0)</f>
        <v>88.615899999999996</v>
      </c>
      <c r="E838" s="10">
        <f>88.4771 * CHOOSE(CONTROL!$C$9, $D$9, 100%, $F$9) + CHOOSE(CONTROL!$C$27, 0.0021, 0)</f>
        <v>88.479199999999992</v>
      </c>
      <c r="F838" s="10">
        <f>88.4771 * CHOOSE(CONTROL!$C$9, $D$9, 100%, $F$9) + CHOOSE(CONTROL!$C$27, 0.0021, 0)</f>
        <v>88.479199999999992</v>
      </c>
      <c r="G838" s="10">
        <f>88.7485 * CHOOSE(CONTROL!$C$9, $D$9, 100%, $F$9) + CHOOSE(CONTROL!$C$27, 0.0021, 0)</f>
        <v>88.750600000000006</v>
      </c>
      <c r="H838" s="10">
        <f>88.6138 * CHOOSE(CONTROL!$C$9, $D$9, 100%, $F$9) + CHOOSE(CONTROL!$C$27, 0.0021, 0)</f>
        <v>88.615899999999996</v>
      </c>
      <c r="I838" s="10">
        <f>88.6138 * CHOOSE(CONTROL!$C$9, $D$9, 100%, $F$9) + CHOOSE(CONTROL!$C$27, 0.0021, 0)</f>
        <v>88.615899999999996</v>
      </c>
      <c r="J838" s="10">
        <f>88.6138 * CHOOSE(CONTROL!$C$9, $D$9, 100%, $F$9) + CHOOSE(CONTROL!$C$27, 0.0021, 0)</f>
        <v>88.615899999999996</v>
      </c>
      <c r="K838" s="10">
        <f>88.6138 * CHOOSE(CONTROL!$C$9, $D$9, 100%, $F$9) + CHOOSE(CONTROL!$C$27, 0.0021, 0)</f>
        <v>88.615899999999996</v>
      </c>
      <c r="L838" s="10"/>
    </row>
    <row r="839" spans="1:12" ht="15.75" x14ac:dyDescent="0.25">
      <c r="A839" s="13">
        <v>66476</v>
      </c>
      <c r="B839" s="10">
        <f>87.345 * CHOOSE(CONTROL!$C$9, $D$9, 100%, $F$9) + CHOOSE(CONTROL!$C$27, 0.0021, 0)</f>
        <v>87.347099999999998</v>
      </c>
      <c r="C839" s="10">
        <f>86.9128 * CHOOSE(CONTROL!$C$9, $D$9, 100%, $F$9) + CHOOSE(CONTROL!$C$27, 0.0021, 0)</f>
        <v>86.914900000000003</v>
      </c>
      <c r="D839" s="10">
        <f>86.9128 * CHOOSE(CONTROL!$C$9, $D$9, 100%, $F$9) + CHOOSE(CONTROL!$C$27, 0.0021, 0)</f>
        <v>86.914900000000003</v>
      </c>
      <c r="E839" s="10">
        <f>86.7761 * CHOOSE(CONTROL!$C$9, $D$9, 100%, $F$9) + CHOOSE(CONTROL!$C$27, 0.0021, 0)</f>
        <v>86.778199999999998</v>
      </c>
      <c r="F839" s="10">
        <f>86.7761 * CHOOSE(CONTROL!$C$9, $D$9, 100%, $F$9) + CHOOSE(CONTROL!$C$27, 0.0021, 0)</f>
        <v>86.778199999999998</v>
      </c>
      <c r="G839" s="10">
        <f>87.0475 * CHOOSE(CONTROL!$C$9, $D$9, 100%, $F$9) + CHOOSE(CONTROL!$C$27, 0.0021, 0)</f>
        <v>87.049599999999998</v>
      </c>
      <c r="H839" s="10">
        <f>86.9128 * CHOOSE(CONTROL!$C$9, $D$9, 100%, $F$9) + CHOOSE(CONTROL!$C$27, 0.0021, 0)</f>
        <v>86.914900000000003</v>
      </c>
      <c r="I839" s="10">
        <f>86.9128 * CHOOSE(CONTROL!$C$9, $D$9, 100%, $F$9) + CHOOSE(CONTROL!$C$27, 0.0021, 0)</f>
        <v>86.914900000000003</v>
      </c>
      <c r="J839" s="10">
        <f>86.9128 * CHOOSE(CONTROL!$C$9, $D$9, 100%, $F$9) + CHOOSE(CONTROL!$C$27, 0.0021, 0)</f>
        <v>86.914900000000003</v>
      </c>
      <c r="K839" s="10">
        <f>86.9128 * CHOOSE(CONTROL!$C$9, $D$9, 100%, $F$9) + CHOOSE(CONTROL!$C$27, 0.0021, 0)</f>
        <v>86.914900000000003</v>
      </c>
      <c r="L839" s="10"/>
    </row>
    <row r="840" spans="1:12" ht="15.75" x14ac:dyDescent="0.25">
      <c r="A840" s="13">
        <v>66507</v>
      </c>
      <c r="B840" s="10">
        <f>86.2306 * CHOOSE(CONTROL!$C$9, $D$9, 100%, $F$9) + CHOOSE(CONTROL!$C$27, 0.0021, 0)</f>
        <v>86.232699999999994</v>
      </c>
      <c r="C840" s="10">
        <f>85.7984 * CHOOSE(CONTROL!$C$9, $D$9, 100%, $F$9) + CHOOSE(CONTROL!$C$27, 0.0021, 0)</f>
        <v>85.8005</v>
      </c>
      <c r="D840" s="10">
        <f>85.7984 * CHOOSE(CONTROL!$C$9, $D$9, 100%, $F$9) + CHOOSE(CONTROL!$C$27, 0.0021, 0)</f>
        <v>85.8005</v>
      </c>
      <c r="E840" s="10">
        <f>85.6617 * CHOOSE(CONTROL!$C$9, $D$9, 100%, $F$9) + CHOOSE(CONTROL!$C$27, 0.0021, 0)</f>
        <v>85.663799999999995</v>
      </c>
      <c r="F840" s="10">
        <f>85.6617 * CHOOSE(CONTROL!$C$9, $D$9, 100%, $F$9) + CHOOSE(CONTROL!$C$27, 0.0021, 0)</f>
        <v>85.663799999999995</v>
      </c>
      <c r="G840" s="10">
        <f>85.9331 * CHOOSE(CONTROL!$C$9, $D$9, 100%, $F$9) + CHOOSE(CONTROL!$C$27, 0.0021, 0)</f>
        <v>85.935199999999995</v>
      </c>
      <c r="H840" s="10">
        <f>85.7984 * CHOOSE(CONTROL!$C$9, $D$9, 100%, $F$9) + CHOOSE(CONTROL!$C$27, 0.0021, 0)</f>
        <v>85.8005</v>
      </c>
      <c r="I840" s="10">
        <f>85.7984 * CHOOSE(CONTROL!$C$9, $D$9, 100%, $F$9) + CHOOSE(CONTROL!$C$27, 0.0021, 0)</f>
        <v>85.8005</v>
      </c>
      <c r="J840" s="10">
        <f>85.7984 * CHOOSE(CONTROL!$C$9, $D$9, 100%, $F$9) + CHOOSE(CONTROL!$C$27, 0.0021, 0)</f>
        <v>85.8005</v>
      </c>
      <c r="K840" s="10">
        <f>85.7984 * CHOOSE(CONTROL!$C$9, $D$9, 100%, $F$9) + CHOOSE(CONTROL!$C$27, 0.0021, 0)</f>
        <v>85.8005</v>
      </c>
      <c r="L840" s="10"/>
    </row>
    <row r="841" spans="1:12" ht="15.75" x14ac:dyDescent="0.25">
      <c r="A841" s="13">
        <v>66535</v>
      </c>
      <c r="B841" s="10">
        <f>83.8564 * CHOOSE(CONTROL!$C$9, $D$9, 100%, $F$9) + CHOOSE(CONTROL!$C$27, 0.0021, 0)</f>
        <v>83.858499999999992</v>
      </c>
      <c r="C841" s="10">
        <f>83.4242 * CHOOSE(CONTROL!$C$9, $D$9, 100%, $F$9) + CHOOSE(CONTROL!$C$27, 0.0021, 0)</f>
        <v>83.426299999999998</v>
      </c>
      <c r="D841" s="10">
        <f>83.4242 * CHOOSE(CONTROL!$C$9, $D$9, 100%, $F$9) + CHOOSE(CONTROL!$C$27, 0.0021, 0)</f>
        <v>83.426299999999998</v>
      </c>
      <c r="E841" s="10">
        <f>83.2875 * CHOOSE(CONTROL!$C$9, $D$9, 100%, $F$9) + CHOOSE(CONTROL!$C$27, 0.0021, 0)</f>
        <v>83.289599999999993</v>
      </c>
      <c r="F841" s="10">
        <f>83.2875 * CHOOSE(CONTROL!$C$9, $D$9, 100%, $F$9) + CHOOSE(CONTROL!$C$27, 0.0021, 0)</f>
        <v>83.289599999999993</v>
      </c>
      <c r="G841" s="10">
        <f>83.5589 * CHOOSE(CONTROL!$C$9, $D$9, 100%, $F$9) + CHOOSE(CONTROL!$C$27, 0.0021, 0)</f>
        <v>83.560999999999993</v>
      </c>
      <c r="H841" s="10">
        <f>83.4242 * CHOOSE(CONTROL!$C$9, $D$9, 100%, $F$9) + CHOOSE(CONTROL!$C$27, 0.0021, 0)</f>
        <v>83.426299999999998</v>
      </c>
      <c r="I841" s="10">
        <f>83.4242 * CHOOSE(CONTROL!$C$9, $D$9, 100%, $F$9) + CHOOSE(CONTROL!$C$27, 0.0021, 0)</f>
        <v>83.426299999999998</v>
      </c>
      <c r="J841" s="10">
        <f>83.4242 * CHOOSE(CONTROL!$C$9, $D$9, 100%, $F$9) + CHOOSE(CONTROL!$C$27, 0.0021, 0)</f>
        <v>83.426299999999998</v>
      </c>
      <c r="K841" s="10">
        <f>83.4242 * CHOOSE(CONTROL!$C$9, $D$9, 100%, $F$9) + CHOOSE(CONTROL!$C$27, 0.0021, 0)</f>
        <v>83.426299999999998</v>
      </c>
      <c r="L841" s="10"/>
    </row>
    <row r="842" spans="1:12" ht="15.75" x14ac:dyDescent="0.25">
      <c r="A842" s="13">
        <v>66566</v>
      </c>
      <c r="B842" s="10">
        <f>82.8763 * CHOOSE(CONTROL!$C$9, $D$9, 100%, $F$9) + CHOOSE(CONTROL!$C$27, 0.0021, 0)</f>
        <v>82.878399999999999</v>
      </c>
      <c r="C842" s="10">
        <f>82.4441 * CHOOSE(CONTROL!$C$9, $D$9, 100%, $F$9) + CHOOSE(CONTROL!$C$27, 0.0021, 0)</f>
        <v>82.446200000000005</v>
      </c>
      <c r="D842" s="10">
        <f>82.4441 * CHOOSE(CONTROL!$C$9, $D$9, 100%, $F$9) + CHOOSE(CONTROL!$C$27, 0.0021, 0)</f>
        <v>82.446200000000005</v>
      </c>
      <c r="E842" s="10">
        <f>82.3074 * CHOOSE(CONTROL!$C$9, $D$9, 100%, $F$9) + CHOOSE(CONTROL!$C$27, 0.0021, 0)</f>
        <v>82.3095</v>
      </c>
      <c r="F842" s="10">
        <f>82.3074 * CHOOSE(CONTROL!$C$9, $D$9, 100%, $F$9) + CHOOSE(CONTROL!$C$27, 0.0021, 0)</f>
        <v>82.3095</v>
      </c>
      <c r="G842" s="10">
        <f>82.5788 * CHOOSE(CONTROL!$C$9, $D$9, 100%, $F$9) + CHOOSE(CONTROL!$C$27, 0.0021, 0)</f>
        <v>82.5809</v>
      </c>
      <c r="H842" s="10">
        <f>82.4441 * CHOOSE(CONTROL!$C$9, $D$9, 100%, $F$9) + CHOOSE(CONTROL!$C$27, 0.0021, 0)</f>
        <v>82.446200000000005</v>
      </c>
      <c r="I842" s="10">
        <f>82.4441 * CHOOSE(CONTROL!$C$9, $D$9, 100%, $F$9) + CHOOSE(CONTROL!$C$27, 0.0021, 0)</f>
        <v>82.446200000000005</v>
      </c>
      <c r="J842" s="10">
        <f>82.4441 * CHOOSE(CONTROL!$C$9, $D$9, 100%, $F$9) + CHOOSE(CONTROL!$C$27, 0.0021, 0)</f>
        <v>82.446200000000005</v>
      </c>
      <c r="K842" s="10">
        <f>82.4441 * CHOOSE(CONTROL!$C$9, $D$9, 100%, $F$9) + CHOOSE(CONTROL!$C$27, 0.0021, 0)</f>
        <v>82.446200000000005</v>
      </c>
      <c r="L842" s="10"/>
    </row>
    <row r="843" spans="1:12" ht="15.75" x14ac:dyDescent="0.25">
      <c r="A843" s="13">
        <v>66596</v>
      </c>
      <c r="B843" s="10">
        <f>81.7061 * CHOOSE(CONTROL!$C$9, $D$9, 100%, $F$9) + CHOOSE(CONTROL!$C$27, 0.0021, 0)</f>
        <v>81.708200000000005</v>
      </c>
      <c r="C843" s="10">
        <f>81.2738 * CHOOSE(CONTROL!$C$9, $D$9, 100%, $F$9) + CHOOSE(CONTROL!$C$27, 0.0021, 0)</f>
        <v>81.275899999999993</v>
      </c>
      <c r="D843" s="10">
        <f>81.2738 * CHOOSE(CONTROL!$C$9, $D$9, 100%, $F$9) + CHOOSE(CONTROL!$C$27, 0.0021, 0)</f>
        <v>81.275899999999993</v>
      </c>
      <c r="E843" s="10">
        <f>81.1372 * CHOOSE(CONTROL!$C$9, $D$9, 100%, $F$9) + CHOOSE(CONTROL!$C$27, 0.0021, 0)</f>
        <v>81.139300000000006</v>
      </c>
      <c r="F843" s="10">
        <f>81.1372 * CHOOSE(CONTROL!$C$9, $D$9, 100%, $F$9) + CHOOSE(CONTROL!$C$27, 0.0021, 0)</f>
        <v>81.139300000000006</v>
      </c>
      <c r="G843" s="10">
        <f>81.4086 * CHOOSE(CONTROL!$C$9, $D$9, 100%, $F$9) + CHOOSE(CONTROL!$C$27, 0.0021, 0)</f>
        <v>81.410700000000006</v>
      </c>
      <c r="H843" s="10">
        <f>81.2738 * CHOOSE(CONTROL!$C$9, $D$9, 100%, $F$9) + CHOOSE(CONTROL!$C$27, 0.0021, 0)</f>
        <v>81.275899999999993</v>
      </c>
      <c r="I843" s="10">
        <f>81.2738 * CHOOSE(CONTROL!$C$9, $D$9, 100%, $F$9) + CHOOSE(CONTROL!$C$27, 0.0021, 0)</f>
        <v>81.275899999999993</v>
      </c>
      <c r="J843" s="10">
        <f>81.2738 * CHOOSE(CONTROL!$C$9, $D$9, 100%, $F$9) + CHOOSE(CONTROL!$C$27, 0.0021, 0)</f>
        <v>81.275899999999993</v>
      </c>
      <c r="K843" s="10">
        <f>81.2738 * CHOOSE(CONTROL!$C$9, $D$9, 100%, $F$9) + CHOOSE(CONTROL!$C$27, 0.0021, 0)</f>
        <v>81.275899999999993</v>
      </c>
      <c r="L843" s="10"/>
    </row>
    <row r="844" spans="1:12" ht="15.75" x14ac:dyDescent="0.25">
      <c r="A844" s="13">
        <v>66627</v>
      </c>
      <c r="B844" s="10">
        <f>83.3738 * CHOOSE(CONTROL!$C$9, $D$9, 100%, $F$9) + CHOOSE(CONTROL!$C$27, 0.0021, 0)</f>
        <v>83.375900000000001</v>
      </c>
      <c r="C844" s="10">
        <f>82.9416 * CHOOSE(CONTROL!$C$9, $D$9, 100%, $F$9) + CHOOSE(CONTROL!$C$27, 0.0021, 0)</f>
        <v>82.943699999999993</v>
      </c>
      <c r="D844" s="10">
        <f>82.9416 * CHOOSE(CONTROL!$C$9, $D$9, 100%, $F$9) + CHOOSE(CONTROL!$C$27, 0.0021, 0)</f>
        <v>82.943699999999993</v>
      </c>
      <c r="E844" s="10">
        <f>82.8049 * CHOOSE(CONTROL!$C$9, $D$9, 100%, $F$9) + CHOOSE(CONTROL!$C$27, 0.0021, 0)</f>
        <v>82.807000000000002</v>
      </c>
      <c r="F844" s="10">
        <f>82.8049 * CHOOSE(CONTROL!$C$9, $D$9, 100%, $F$9) + CHOOSE(CONTROL!$C$27, 0.0021, 0)</f>
        <v>82.807000000000002</v>
      </c>
      <c r="G844" s="10">
        <f>83.0763 * CHOOSE(CONTROL!$C$9, $D$9, 100%, $F$9) + CHOOSE(CONTROL!$C$27, 0.0021, 0)</f>
        <v>83.078400000000002</v>
      </c>
      <c r="H844" s="10">
        <f>82.9416 * CHOOSE(CONTROL!$C$9, $D$9, 100%, $F$9) + CHOOSE(CONTROL!$C$27, 0.0021, 0)</f>
        <v>82.943699999999993</v>
      </c>
      <c r="I844" s="10">
        <f>82.9416 * CHOOSE(CONTROL!$C$9, $D$9, 100%, $F$9) + CHOOSE(CONTROL!$C$27, 0.0021, 0)</f>
        <v>82.943699999999993</v>
      </c>
      <c r="J844" s="10">
        <f>82.9416 * CHOOSE(CONTROL!$C$9, $D$9, 100%, $F$9) + CHOOSE(CONTROL!$C$27, 0.0021, 0)</f>
        <v>82.943699999999993</v>
      </c>
      <c r="K844" s="10">
        <f>82.9416 * CHOOSE(CONTROL!$C$9, $D$9, 100%, $F$9) + CHOOSE(CONTROL!$C$27, 0.0021, 0)</f>
        <v>82.943699999999993</v>
      </c>
      <c r="L844" s="10"/>
    </row>
    <row r="845" spans="1:12" ht="15.75" x14ac:dyDescent="0.25">
      <c r="A845" s="13">
        <v>66657</v>
      </c>
      <c r="B845" s="10">
        <f>84.3727 * CHOOSE(CONTROL!$C$9, $D$9, 100%, $F$9) + CHOOSE(CONTROL!$C$27, 0.0021, 0)</f>
        <v>84.374799999999993</v>
      </c>
      <c r="C845" s="10">
        <f>83.9405 * CHOOSE(CONTROL!$C$9, $D$9, 100%, $F$9) + CHOOSE(CONTROL!$C$27, 0.0021, 0)</f>
        <v>83.942599999999999</v>
      </c>
      <c r="D845" s="10">
        <f>83.9405 * CHOOSE(CONTROL!$C$9, $D$9, 100%, $F$9) + CHOOSE(CONTROL!$C$27, 0.0021, 0)</f>
        <v>83.942599999999999</v>
      </c>
      <c r="E845" s="10">
        <f>83.8038 * CHOOSE(CONTROL!$C$9, $D$9, 100%, $F$9) + CHOOSE(CONTROL!$C$27, 0.0021, 0)</f>
        <v>83.805899999999994</v>
      </c>
      <c r="F845" s="10">
        <f>83.8038 * CHOOSE(CONTROL!$C$9, $D$9, 100%, $F$9) + CHOOSE(CONTROL!$C$27, 0.0021, 0)</f>
        <v>83.805899999999994</v>
      </c>
      <c r="G845" s="10">
        <f>84.0752 * CHOOSE(CONTROL!$C$9, $D$9, 100%, $F$9) + CHOOSE(CONTROL!$C$27, 0.0021, 0)</f>
        <v>84.077299999999994</v>
      </c>
      <c r="H845" s="10">
        <f>83.9405 * CHOOSE(CONTROL!$C$9, $D$9, 100%, $F$9) + CHOOSE(CONTROL!$C$27, 0.0021, 0)</f>
        <v>83.942599999999999</v>
      </c>
      <c r="I845" s="10">
        <f>83.9405 * CHOOSE(CONTROL!$C$9, $D$9, 100%, $F$9) + CHOOSE(CONTROL!$C$27, 0.0021, 0)</f>
        <v>83.942599999999999</v>
      </c>
      <c r="J845" s="10">
        <f>83.9405 * CHOOSE(CONTROL!$C$9, $D$9, 100%, $F$9) + CHOOSE(CONTROL!$C$27, 0.0021, 0)</f>
        <v>83.942599999999999</v>
      </c>
      <c r="K845" s="10">
        <f>83.9405 * CHOOSE(CONTROL!$C$9, $D$9, 100%, $F$9) + CHOOSE(CONTROL!$C$27, 0.0021, 0)</f>
        <v>83.942599999999999</v>
      </c>
      <c r="L845" s="10"/>
    </row>
    <row r="846" spans="1:12" ht="15.75" x14ac:dyDescent="0.25">
      <c r="A846" s="13">
        <v>66688</v>
      </c>
      <c r="B846" s="10">
        <f>86.0205 * CHOOSE(CONTROL!$C$9, $D$9, 100%, $F$9) + CHOOSE(CONTROL!$C$27, 0.0021, 0)</f>
        <v>86.022599999999997</v>
      </c>
      <c r="C846" s="10">
        <f>85.5883 * CHOOSE(CONTROL!$C$9, $D$9, 100%, $F$9) + CHOOSE(CONTROL!$C$27, 0.0021, 0)</f>
        <v>85.590400000000002</v>
      </c>
      <c r="D846" s="10">
        <f>85.5883 * CHOOSE(CONTROL!$C$9, $D$9, 100%, $F$9) + CHOOSE(CONTROL!$C$27, 0.0021, 0)</f>
        <v>85.590400000000002</v>
      </c>
      <c r="E846" s="10">
        <f>85.4516 * CHOOSE(CONTROL!$C$9, $D$9, 100%, $F$9) + CHOOSE(CONTROL!$C$27, 0.0021, 0)</f>
        <v>85.453699999999998</v>
      </c>
      <c r="F846" s="10">
        <f>85.4516 * CHOOSE(CONTROL!$C$9, $D$9, 100%, $F$9) + CHOOSE(CONTROL!$C$27, 0.0021, 0)</f>
        <v>85.453699999999998</v>
      </c>
      <c r="G846" s="10">
        <f>85.723 * CHOOSE(CONTROL!$C$9, $D$9, 100%, $F$9) + CHOOSE(CONTROL!$C$27, 0.0021, 0)</f>
        <v>85.725099999999998</v>
      </c>
      <c r="H846" s="10">
        <f>85.5883 * CHOOSE(CONTROL!$C$9, $D$9, 100%, $F$9) + CHOOSE(CONTROL!$C$27, 0.0021, 0)</f>
        <v>85.590400000000002</v>
      </c>
      <c r="I846" s="10">
        <f>85.5883 * CHOOSE(CONTROL!$C$9, $D$9, 100%, $F$9) + CHOOSE(CONTROL!$C$27, 0.0021, 0)</f>
        <v>85.590400000000002</v>
      </c>
      <c r="J846" s="10">
        <f>85.5883 * CHOOSE(CONTROL!$C$9, $D$9, 100%, $F$9) + CHOOSE(CONTROL!$C$27, 0.0021, 0)</f>
        <v>85.590400000000002</v>
      </c>
      <c r="K846" s="10">
        <f>85.5883 * CHOOSE(CONTROL!$C$9, $D$9, 100%, $F$9) + CHOOSE(CONTROL!$C$27, 0.0021, 0)</f>
        <v>85.590400000000002</v>
      </c>
      <c r="L846" s="10"/>
    </row>
    <row r="847" spans="1:12" ht="15.75" x14ac:dyDescent="0.25">
      <c r="A847" s="13">
        <v>66719</v>
      </c>
      <c r="B847" s="10">
        <f>86.5235 * CHOOSE(CONTROL!$C$9, $D$9, 100%, $F$9) + CHOOSE(CONTROL!$C$27, 0.0021, 0)</f>
        <v>86.525599999999997</v>
      </c>
      <c r="C847" s="10">
        <f>86.0913 * CHOOSE(CONTROL!$C$9, $D$9, 100%, $F$9) + CHOOSE(CONTROL!$C$27, 0.0021, 0)</f>
        <v>86.093400000000003</v>
      </c>
      <c r="D847" s="10">
        <f>86.0913 * CHOOSE(CONTROL!$C$9, $D$9, 100%, $F$9) + CHOOSE(CONTROL!$C$27, 0.0021, 0)</f>
        <v>86.093400000000003</v>
      </c>
      <c r="E847" s="10">
        <f>85.9546 * CHOOSE(CONTROL!$C$9, $D$9, 100%, $F$9) + CHOOSE(CONTROL!$C$27, 0.0021, 0)</f>
        <v>85.956699999999998</v>
      </c>
      <c r="F847" s="10">
        <f>85.9546 * CHOOSE(CONTROL!$C$9, $D$9, 100%, $F$9) + CHOOSE(CONTROL!$C$27, 0.0021, 0)</f>
        <v>85.956699999999998</v>
      </c>
      <c r="G847" s="10">
        <f>86.226 * CHOOSE(CONTROL!$C$9, $D$9, 100%, $F$9) + CHOOSE(CONTROL!$C$27, 0.0021, 0)</f>
        <v>86.228099999999998</v>
      </c>
      <c r="H847" s="10">
        <f>86.0913 * CHOOSE(CONTROL!$C$9, $D$9, 100%, $F$9) + CHOOSE(CONTROL!$C$27, 0.0021, 0)</f>
        <v>86.093400000000003</v>
      </c>
      <c r="I847" s="10">
        <f>86.0913 * CHOOSE(CONTROL!$C$9, $D$9, 100%, $F$9) + CHOOSE(CONTROL!$C$27, 0.0021, 0)</f>
        <v>86.093400000000003</v>
      </c>
      <c r="J847" s="10">
        <f>86.0913 * CHOOSE(CONTROL!$C$9, $D$9, 100%, $F$9) + CHOOSE(CONTROL!$C$27, 0.0021, 0)</f>
        <v>86.093400000000003</v>
      </c>
      <c r="K847" s="10">
        <f>86.0913 * CHOOSE(CONTROL!$C$9, $D$9, 100%, $F$9) + CHOOSE(CONTROL!$C$27, 0.0021, 0)</f>
        <v>86.093400000000003</v>
      </c>
      <c r="L847" s="10"/>
    </row>
    <row r="848" spans="1:12" ht="15.75" x14ac:dyDescent="0.25">
      <c r="A848" s="13">
        <v>66749</v>
      </c>
      <c r="B848" s="10">
        <f>88.2363 * CHOOSE(CONTROL!$C$9, $D$9, 100%, $F$9) + CHOOSE(CONTROL!$C$27, 0.0021, 0)</f>
        <v>88.238399999999999</v>
      </c>
      <c r="C848" s="10">
        <f>87.8041 * CHOOSE(CONTROL!$C$9, $D$9, 100%, $F$9) + CHOOSE(CONTROL!$C$27, 0.0021, 0)</f>
        <v>87.806200000000004</v>
      </c>
      <c r="D848" s="10">
        <f>87.8041 * CHOOSE(CONTROL!$C$9, $D$9, 100%, $F$9) + CHOOSE(CONTROL!$C$27, 0.0021, 0)</f>
        <v>87.806200000000004</v>
      </c>
      <c r="E848" s="10">
        <f>87.6674 * CHOOSE(CONTROL!$C$9, $D$9, 100%, $F$9) + CHOOSE(CONTROL!$C$27, 0.0021, 0)</f>
        <v>87.669499999999999</v>
      </c>
      <c r="F848" s="10">
        <f>87.6674 * CHOOSE(CONTROL!$C$9, $D$9, 100%, $F$9) + CHOOSE(CONTROL!$C$27, 0.0021, 0)</f>
        <v>87.669499999999999</v>
      </c>
      <c r="G848" s="10">
        <f>87.9388 * CHOOSE(CONTROL!$C$9, $D$9, 100%, $F$9) + CHOOSE(CONTROL!$C$27, 0.0021, 0)</f>
        <v>87.940899999999999</v>
      </c>
      <c r="H848" s="10">
        <f>87.8041 * CHOOSE(CONTROL!$C$9, $D$9, 100%, $F$9) + CHOOSE(CONTROL!$C$27, 0.0021, 0)</f>
        <v>87.806200000000004</v>
      </c>
      <c r="I848" s="10">
        <f>87.8041 * CHOOSE(CONTROL!$C$9, $D$9, 100%, $F$9) + CHOOSE(CONTROL!$C$27, 0.0021, 0)</f>
        <v>87.806200000000004</v>
      </c>
      <c r="J848" s="10">
        <f>87.8041 * CHOOSE(CONTROL!$C$9, $D$9, 100%, $F$9) + CHOOSE(CONTROL!$C$27, 0.0021, 0)</f>
        <v>87.806200000000004</v>
      </c>
      <c r="K848" s="10">
        <f>87.8041 * CHOOSE(CONTROL!$C$9, $D$9, 100%, $F$9) + CHOOSE(CONTROL!$C$27, 0.0021, 0)</f>
        <v>87.806200000000004</v>
      </c>
      <c r="L848" s="10"/>
    </row>
    <row r="849" spans="1:12" ht="15.75" x14ac:dyDescent="0.25">
      <c r="A849" s="13">
        <v>66780</v>
      </c>
      <c r="B849" s="10">
        <f>90.4045 * CHOOSE(CONTROL!$C$9, $D$9, 100%, $F$9) + CHOOSE(CONTROL!$C$27, 0.0021, 0)</f>
        <v>90.406599999999997</v>
      </c>
      <c r="C849" s="10">
        <f>89.9723 * CHOOSE(CONTROL!$C$9, $D$9, 100%, $F$9) + CHOOSE(CONTROL!$C$27, 0.0021, 0)</f>
        <v>89.974400000000003</v>
      </c>
      <c r="D849" s="10">
        <f>89.9723 * CHOOSE(CONTROL!$C$9, $D$9, 100%, $F$9) + CHOOSE(CONTROL!$C$27, 0.0021, 0)</f>
        <v>89.974400000000003</v>
      </c>
      <c r="E849" s="10">
        <f>89.8356 * CHOOSE(CONTROL!$C$9, $D$9, 100%, $F$9) + CHOOSE(CONTROL!$C$27, 0.0021, 0)</f>
        <v>89.837699999999998</v>
      </c>
      <c r="F849" s="10">
        <f>89.8356 * CHOOSE(CONTROL!$C$9, $D$9, 100%, $F$9) + CHOOSE(CONTROL!$C$27, 0.0021, 0)</f>
        <v>89.837699999999998</v>
      </c>
      <c r="G849" s="10">
        <f>90.107 * CHOOSE(CONTROL!$C$9, $D$9, 100%, $F$9) + CHOOSE(CONTROL!$C$27, 0.0021, 0)</f>
        <v>90.109099999999998</v>
      </c>
      <c r="H849" s="10">
        <f>89.9723 * CHOOSE(CONTROL!$C$9, $D$9, 100%, $F$9) + CHOOSE(CONTROL!$C$27, 0.0021, 0)</f>
        <v>89.974400000000003</v>
      </c>
      <c r="I849" s="10">
        <f>89.9723 * CHOOSE(CONTROL!$C$9, $D$9, 100%, $F$9) + CHOOSE(CONTROL!$C$27, 0.0021, 0)</f>
        <v>89.974400000000003</v>
      </c>
      <c r="J849" s="10">
        <f>89.9723 * CHOOSE(CONTROL!$C$9, $D$9, 100%, $F$9) + CHOOSE(CONTROL!$C$27, 0.0021, 0)</f>
        <v>89.974400000000003</v>
      </c>
      <c r="K849" s="10">
        <f>89.9723 * CHOOSE(CONTROL!$C$9, $D$9, 100%, $F$9) + CHOOSE(CONTROL!$C$27, 0.0021, 0)</f>
        <v>89.974400000000003</v>
      </c>
      <c r="L849" s="10"/>
    </row>
    <row r="850" spans="1:12" ht="15.75" x14ac:dyDescent="0.25">
      <c r="A850" s="13">
        <v>66810</v>
      </c>
      <c r="B850" s="10">
        <f>90.608 * CHOOSE(CONTROL!$C$9, $D$9, 100%, $F$9) + CHOOSE(CONTROL!$C$27, 0.0021, 0)</f>
        <v>90.610100000000003</v>
      </c>
      <c r="C850" s="10">
        <f>90.1758 * CHOOSE(CONTROL!$C$9, $D$9, 100%, $F$9) + CHOOSE(CONTROL!$C$27, 0.0021, 0)</f>
        <v>90.177899999999994</v>
      </c>
      <c r="D850" s="10">
        <f>90.1758 * CHOOSE(CONTROL!$C$9, $D$9, 100%, $F$9) + CHOOSE(CONTROL!$C$27, 0.0021, 0)</f>
        <v>90.177899999999994</v>
      </c>
      <c r="E850" s="10">
        <f>90.0391 * CHOOSE(CONTROL!$C$9, $D$9, 100%, $F$9) + CHOOSE(CONTROL!$C$27, 0.0021, 0)</f>
        <v>90.041200000000003</v>
      </c>
      <c r="F850" s="10">
        <f>90.0391 * CHOOSE(CONTROL!$C$9, $D$9, 100%, $F$9) + CHOOSE(CONTROL!$C$27, 0.0021, 0)</f>
        <v>90.041200000000003</v>
      </c>
      <c r="G850" s="10">
        <f>90.3105 * CHOOSE(CONTROL!$C$9, $D$9, 100%, $F$9) + CHOOSE(CONTROL!$C$27, 0.0021, 0)</f>
        <v>90.312600000000003</v>
      </c>
      <c r="H850" s="10">
        <f>90.1758 * CHOOSE(CONTROL!$C$9, $D$9, 100%, $F$9) + CHOOSE(CONTROL!$C$27, 0.0021, 0)</f>
        <v>90.177899999999994</v>
      </c>
      <c r="I850" s="10">
        <f>90.1758 * CHOOSE(CONTROL!$C$9, $D$9, 100%, $F$9) + CHOOSE(CONTROL!$C$27, 0.0021, 0)</f>
        <v>90.177899999999994</v>
      </c>
      <c r="J850" s="10">
        <f>90.1758 * CHOOSE(CONTROL!$C$9, $D$9, 100%, $F$9) + CHOOSE(CONTROL!$C$27, 0.0021, 0)</f>
        <v>90.177899999999994</v>
      </c>
      <c r="K850" s="10">
        <f>90.1758 * CHOOSE(CONTROL!$C$9, $D$9, 100%, $F$9) + CHOOSE(CONTROL!$C$27, 0.0021, 0)</f>
        <v>90.177899999999994</v>
      </c>
      <c r="L850" s="10"/>
    </row>
    <row r="851" spans="1:12" ht="15.75" x14ac:dyDescent="0.25">
      <c r="A851" s="13">
        <v>66841</v>
      </c>
      <c r="B851" s="10">
        <f>88.8764 * CHOOSE(CONTROL!$C$9, $D$9, 100%, $F$9) + CHOOSE(CONTROL!$C$27, 0.0021, 0)</f>
        <v>88.878500000000003</v>
      </c>
      <c r="C851" s="10">
        <f>88.4441 * CHOOSE(CONTROL!$C$9, $D$9, 100%, $F$9) + CHOOSE(CONTROL!$C$27, 0.0021, 0)</f>
        <v>88.446200000000005</v>
      </c>
      <c r="D851" s="10">
        <f>88.4441 * CHOOSE(CONTROL!$C$9, $D$9, 100%, $F$9) + CHOOSE(CONTROL!$C$27, 0.0021, 0)</f>
        <v>88.446200000000005</v>
      </c>
      <c r="E851" s="10">
        <f>88.3075 * CHOOSE(CONTROL!$C$9, $D$9, 100%, $F$9) + CHOOSE(CONTROL!$C$27, 0.0021, 0)</f>
        <v>88.309600000000003</v>
      </c>
      <c r="F851" s="10">
        <f>88.3075 * CHOOSE(CONTROL!$C$9, $D$9, 100%, $F$9) + CHOOSE(CONTROL!$C$27, 0.0021, 0)</f>
        <v>88.309600000000003</v>
      </c>
      <c r="G851" s="10">
        <f>88.5788 * CHOOSE(CONTROL!$C$9, $D$9, 100%, $F$9) + CHOOSE(CONTROL!$C$27, 0.0021, 0)</f>
        <v>88.5809</v>
      </c>
      <c r="H851" s="10">
        <f>88.4441 * CHOOSE(CONTROL!$C$9, $D$9, 100%, $F$9) + CHOOSE(CONTROL!$C$27, 0.0021, 0)</f>
        <v>88.446200000000005</v>
      </c>
      <c r="I851" s="10">
        <f>88.4441 * CHOOSE(CONTROL!$C$9, $D$9, 100%, $F$9) + CHOOSE(CONTROL!$C$27, 0.0021, 0)</f>
        <v>88.446200000000005</v>
      </c>
      <c r="J851" s="10">
        <f>88.4441 * CHOOSE(CONTROL!$C$9, $D$9, 100%, $F$9) + CHOOSE(CONTROL!$C$27, 0.0021, 0)</f>
        <v>88.446200000000005</v>
      </c>
      <c r="K851" s="10">
        <f>88.4441 * CHOOSE(CONTROL!$C$9, $D$9, 100%, $F$9) + CHOOSE(CONTROL!$C$27, 0.0021, 0)</f>
        <v>88.446200000000005</v>
      </c>
      <c r="L851" s="10"/>
    </row>
    <row r="852" spans="1:12" ht="15.75" x14ac:dyDescent="0.25">
      <c r="A852" s="13">
        <v>66872</v>
      </c>
      <c r="B852" s="10">
        <f>87.7419 * CHOOSE(CONTROL!$C$9, $D$9, 100%, $F$9) + CHOOSE(CONTROL!$C$27, 0.0021, 0)</f>
        <v>87.744</v>
      </c>
      <c r="C852" s="10">
        <f>87.3097 * CHOOSE(CONTROL!$C$9, $D$9, 100%, $F$9) + CHOOSE(CONTROL!$C$27, 0.0021, 0)</f>
        <v>87.311800000000005</v>
      </c>
      <c r="D852" s="10">
        <f>87.3097 * CHOOSE(CONTROL!$C$9, $D$9, 100%, $F$9) + CHOOSE(CONTROL!$C$27, 0.0021, 0)</f>
        <v>87.311800000000005</v>
      </c>
      <c r="E852" s="10">
        <f>87.173 * CHOOSE(CONTROL!$C$9, $D$9, 100%, $F$9) + CHOOSE(CONTROL!$C$27, 0.0021, 0)</f>
        <v>87.1751</v>
      </c>
      <c r="F852" s="10">
        <f>87.173 * CHOOSE(CONTROL!$C$9, $D$9, 100%, $F$9) + CHOOSE(CONTROL!$C$27, 0.0021, 0)</f>
        <v>87.1751</v>
      </c>
      <c r="G852" s="10">
        <f>87.4444 * CHOOSE(CONTROL!$C$9, $D$9, 100%, $F$9) + CHOOSE(CONTROL!$C$27, 0.0021, 0)</f>
        <v>87.4465</v>
      </c>
      <c r="H852" s="10">
        <f>87.3097 * CHOOSE(CONTROL!$C$9, $D$9, 100%, $F$9) + CHOOSE(CONTROL!$C$27, 0.0021, 0)</f>
        <v>87.311800000000005</v>
      </c>
      <c r="I852" s="10">
        <f>87.3097 * CHOOSE(CONTROL!$C$9, $D$9, 100%, $F$9) + CHOOSE(CONTROL!$C$27, 0.0021, 0)</f>
        <v>87.311800000000005</v>
      </c>
      <c r="J852" s="10">
        <f>87.3097 * CHOOSE(CONTROL!$C$9, $D$9, 100%, $F$9) + CHOOSE(CONTROL!$C$27, 0.0021, 0)</f>
        <v>87.311800000000005</v>
      </c>
      <c r="K852" s="10">
        <f>87.3097 * CHOOSE(CONTROL!$C$9, $D$9, 100%, $F$9) + CHOOSE(CONTROL!$C$27, 0.0021, 0)</f>
        <v>87.311800000000005</v>
      </c>
      <c r="L852" s="10"/>
    </row>
    <row r="853" spans="1:12" ht="15.75" x14ac:dyDescent="0.25">
      <c r="A853" s="13">
        <v>66900</v>
      </c>
      <c r="B853" s="10">
        <f>85.325 * CHOOSE(CONTROL!$C$9, $D$9, 100%, $F$9) + CHOOSE(CONTROL!$C$27, 0.0021, 0)</f>
        <v>85.327100000000002</v>
      </c>
      <c r="C853" s="10">
        <f>84.8927 * CHOOSE(CONTROL!$C$9, $D$9, 100%, $F$9) + CHOOSE(CONTROL!$C$27, 0.0021, 0)</f>
        <v>84.894800000000004</v>
      </c>
      <c r="D853" s="10">
        <f>84.8927 * CHOOSE(CONTROL!$C$9, $D$9, 100%, $F$9) + CHOOSE(CONTROL!$C$27, 0.0021, 0)</f>
        <v>84.894800000000004</v>
      </c>
      <c r="E853" s="10">
        <f>84.756 * CHOOSE(CONTROL!$C$9, $D$9, 100%, $F$9) + CHOOSE(CONTROL!$C$27, 0.0021, 0)</f>
        <v>84.758099999999999</v>
      </c>
      <c r="F853" s="10">
        <f>84.756 * CHOOSE(CONTROL!$C$9, $D$9, 100%, $F$9) + CHOOSE(CONTROL!$C$27, 0.0021, 0)</f>
        <v>84.758099999999999</v>
      </c>
      <c r="G853" s="10">
        <f>85.0274 * CHOOSE(CONTROL!$C$9, $D$9, 100%, $F$9) + CHOOSE(CONTROL!$C$27, 0.0021, 0)</f>
        <v>85.029499999999999</v>
      </c>
      <c r="H853" s="10">
        <f>84.8927 * CHOOSE(CONTROL!$C$9, $D$9, 100%, $F$9) + CHOOSE(CONTROL!$C$27, 0.0021, 0)</f>
        <v>84.894800000000004</v>
      </c>
      <c r="I853" s="10">
        <f>84.8927 * CHOOSE(CONTROL!$C$9, $D$9, 100%, $F$9) + CHOOSE(CONTROL!$C$27, 0.0021, 0)</f>
        <v>84.894800000000004</v>
      </c>
      <c r="J853" s="10">
        <f>84.8927 * CHOOSE(CONTROL!$C$9, $D$9, 100%, $F$9) + CHOOSE(CONTROL!$C$27, 0.0021, 0)</f>
        <v>84.894800000000004</v>
      </c>
      <c r="K853" s="10">
        <f>84.8927 * CHOOSE(CONTROL!$C$9, $D$9, 100%, $F$9) + CHOOSE(CONTROL!$C$27, 0.0021, 0)</f>
        <v>84.894800000000004</v>
      </c>
      <c r="L853" s="10"/>
    </row>
    <row r="854" spans="1:12" ht="15.75" x14ac:dyDescent="0.25">
      <c r="A854" s="13">
        <v>66931</v>
      </c>
      <c r="B854" s="10">
        <f>84.3272 * CHOOSE(CONTROL!$C$9, $D$9, 100%, $F$9) + CHOOSE(CONTROL!$C$27, 0.0021, 0)</f>
        <v>84.329300000000003</v>
      </c>
      <c r="C854" s="10">
        <f>83.895 * CHOOSE(CONTROL!$C$9, $D$9, 100%, $F$9) + CHOOSE(CONTROL!$C$27, 0.0021, 0)</f>
        <v>83.897099999999995</v>
      </c>
      <c r="D854" s="10">
        <f>83.895 * CHOOSE(CONTROL!$C$9, $D$9, 100%, $F$9) + CHOOSE(CONTROL!$C$27, 0.0021, 0)</f>
        <v>83.897099999999995</v>
      </c>
      <c r="E854" s="10">
        <f>83.7583 * CHOOSE(CONTROL!$C$9, $D$9, 100%, $F$9) + CHOOSE(CONTROL!$C$27, 0.0021, 0)</f>
        <v>83.760400000000004</v>
      </c>
      <c r="F854" s="10">
        <f>83.7583 * CHOOSE(CONTROL!$C$9, $D$9, 100%, $F$9) + CHOOSE(CONTROL!$C$27, 0.0021, 0)</f>
        <v>83.760400000000004</v>
      </c>
      <c r="G854" s="10">
        <f>84.0297 * CHOOSE(CONTROL!$C$9, $D$9, 100%, $F$9) + CHOOSE(CONTROL!$C$27, 0.0021, 0)</f>
        <v>84.031800000000004</v>
      </c>
      <c r="H854" s="10">
        <f>83.895 * CHOOSE(CONTROL!$C$9, $D$9, 100%, $F$9) + CHOOSE(CONTROL!$C$27, 0.0021, 0)</f>
        <v>83.897099999999995</v>
      </c>
      <c r="I854" s="10">
        <f>83.895 * CHOOSE(CONTROL!$C$9, $D$9, 100%, $F$9) + CHOOSE(CONTROL!$C$27, 0.0021, 0)</f>
        <v>83.897099999999995</v>
      </c>
      <c r="J854" s="10">
        <f>83.895 * CHOOSE(CONTROL!$C$9, $D$9, 100%, $F$9) + CHOOSE(CONTROL!$C$27, 0.0021, 0)</f>
        <v>83.897099999999995</v>
      </c>
      <c r="K854" s="10">
        <f>83.895 * CHOOSE(CONTROL!$C$9, $D$9, 100%, $F$9) + CHOOSE(CONTROL!$C$27, 0.0021, 0)</f>
        <v>83.897099999999995</v>
      </c>
      <c r="L854" s="10"/>
    </row>
    <row r="855" spans="1:12" ht="15.75" x14ac:dyDescent="0.25">
      <c r="A855" s="13">
        <v>66961</v>
      </c>
      <c r="B855" s="10">
        <f>83.1359 * CHOOSE(CONTROL!$C$9, $D$9, 100%, $F$9) + CHOOSE(CONTROL!$C$27, 0.0021, 0)</f>
        <v>83.138000000000005</v>
      </c>
      <c r="C855" s="10">
        <f>82.7037 * CHOOSE(CONTROL!$C$9, $D$9, 100%, $F$9) + CHOOSE(CONTROL!$C$27, 0.0021, 0)</f>
        <v>82.705799999999996</v>
      </c>
      <c r="D855" s="10">
        <f>82.7037 * CHOOSE(CONTROL!$C$9, $D$9, 100%, $F$9) + CHOOSE(CONTROL!$C$27, 0.0021, 0)</f>
        <v>82.705799999999996</v>
      </c>
      <c r="E855" s="10">
        <f>82.567 * CHOOSE(CONTROL!$C$9, $D$9, 100%, $F$9) + CHOOSE(CONTROL!$C$27, 0.0021, 0)</f>
        <v>82.569099999999992</v>
      </c>
      <c r="F855" s="10">
        <f>82.567 * CHOOSE(CONTROL!$C$9, $D$9, 100%, $F$9) + CHOOSE(CONTROL!$C$27, 0.0021, 0)</f>
        <v>82.569099999999992</v>
      </c>
      <c r="G855" s="10">
        <f>82.8384 * CHOOSE(CONTROL!$C$9, $D$9, 100%, $F$9) + CHOOSE(CONTROL!$C$27, 0.0021, 0)</f>
        <v>82.840499999999992</v>
      </c>
      <c r="H855" s="10">
        <f>82.7037 * CHOOSE(CONTROL!$C$9, $D$9, 100%, $F$9) + CHOOSE(CONTROL!$C$27, 0.0021, 0)</f>
        <v>82.705799999999996</v>
      </c>
      <c r="I855" s="10">
        <f>82.7037 * CHOOSE(CONTROL!$C$9, $D$9, 100%, $F$9) + CHOOSE(CONTROL!$C$27, 0.0021, 0)</f>
        <v>82.705799999999996</v>
      </c>
      <c r="J855" s="10">
        <f>82.7037 * CHOOSE(CONTROL!$C$9, $D$9, 100%, $F$9) + CHOOSE(CONTROL!$C$27, 0.0021, 0)</f>
        <v>82.705799999999996</v>
      </c>
      <c r="K855" s="10">
        <f>82.7037 * CHOOSE(CONTROL!$C$9, $D$9, 100%, $F$9) + CHOOSE(CONTROL!$C$27, 0.0021, 0)</f>
        <v>82.705799999999996</v>
      </c>
      <c r="L855" s="10"/>
    </row>
    <row r="856" spans="1:12" ht="15.75" x14ac:dyDescent="0.25">
      <c r="A856" s="13">
        <v>66992</v>
      </c>
      <c r="B856" s="10">
        <f>84.8337 * CHOOSE(CONTROL!$C$9, $D$9, 100%, $F$9) + CHOOSE(CONTROL!$C$27, 0.0021, 0)</f>
        <v>84.835799999999992</v>
      </c>
      <c r="C856" s="10">
        <f>84.4014 * CHOOSE(CONTROL!$C$9, $D$9, 100%, $F$9) + CHOOSE(CONTROL!$C$27, 0.0021, 0)</f>
        <v>84.403499999999994</v>
      </c>
      <c r="D856" s="10">
        <f>84.4014 * CHOOSE(CONTROL!$C$9, $D$9, 100%, $F$9) + CHOOSE(CONTROL!$C$27, 0.0021, 0)</f>
        <v>84.403499999999994</v>
      </c>
      <c r="E856" s="10">
        <f>84.2648 * CHOOSE(CONTROL!$C$9, $D$9, 100%, $F$9) + CHOOSE(CONTROL!$C$27, 0.0021, 0)</f>
        <v>84.266899999999993</v>
      </c>
      <c r="F856" s="10">
        <f>84.2648 * CHOOSE(CONTROL!$C$9, $D$9, 100%, $F$9) + CHOOSE(CONTROL!$C$27, 0.0021, 0)</f>
        <v>84.266899999999993</v>
      </c>
      <c r="G856" s="10">
        <f>84.5361 * CHOOSE(CONTROL!$C$9, $D$9, 100%, $F$9) + CHOOSE(CONTROL!$C$27, 0.0021, 0)</f>
        <v>84.538200000000003</v>
      </c>
      <c r="H856" s="10">
        <f>84.4014 * CHOOSE(CONTROL!$C$9, $D$9, 100%, $F$9) + CHOOSE(CONTROL!$C$27, 0.0021, 0)</f>
        <v>84.403499999999994</v>
      </c>
      <c r="I856" s="10">
        <f>84.4014 * CHOOSE(CONTROL!$C$9, $D$9, 100%, $F$9) + CHOOSE(CONTROL!$C$27, 0.0021, 0)</f>
        <v>84.403499999999994</v>
      </c>
      <c r="J856" s="10">
        <f>84.4014 * CHOOSE(CONTROL!$C$9, $D$9, 100%, $F$9) + CHOOSE(CONTROL!$C$27, 0.0021, 0)</f>
        <v>84.403499999999994</v>
      </c>
      <c r="K856" s="10">
        <f>84.4014 * CHOOSE(CONTROL!$C$9, $D$9, 100%, $F$9) + CHOOSE(CONTROL!$C$27, 0.0021, 0)</f>
        <v>84.403499999999994</v>
      </c>
      <c r="L856" s="10"/>
    </row>
    <row r="857" spans="1:12" ht="15.75" x14ac:dyDescent="0.25">
      <c r="A857" s="13">
        <v>67022</v>
      </c>
      <c r="B857" s="10">
        <f>85.8506 * CHOOSE(CONTROL!$C$9, $D$9, 100%, $F$9) + CHOOSE(CONTROL!$C$27, 0.0021, 0)</f>
        <v>85.852699999999999</v>
      </c>
      <c r="C857" s="10">
        <f>85.4183 * CHOOSE(CONTROL!$C$9, $D$9, 100%, $F$9) + CHOOSE(CONTROL!$C$27, 0.0021, 0)</f>
        <v>85.420400000000001</v>
      </c>
      <c r="D857" s="10">
        <f>85.4183 * CHOOSE(CONTROL!$C$9, $D$9, 100%, $F$9) + CHOOSE(CONTROL!$C$27, 0.0021, 0)</f>
        <v>85.420400000000001</v>
      </c>
      <c r="E857" s="10">
        <f>85.2817 * CHOOSE(CONTROL!$C$9, $D$9, 100%, $F$9) + CHOOSE(CONTROL!$C$27, 0.0021, 0)</f>
        <v>85.283799999999999</v>
      </c>
      <c r="F857" s="10">
        <f>85.2817 * CHOOSE(CONTROL!$C$9, $D$9, 100%, $F$9) + CHOOSE(CONTROL!$C$27, 0.0021, 0)</f>
        <v>85.283799999999999</v>
      </c>
      <c r="G857" s="10">
        <f>85.553 * CHOOSE(CONTROL!$C$9, $D$9, 100%, $F$9) + CHOOSE(CONTROL!$C$27, 0.0021, 0)</f>
        <v>85.555099999999996</v>
      </c>
      <c r="H857" s="10">
        <f>85.4183 * CHOOSE(CONTROL!$C$9, $D$9, 100%, $F$9) + CHOOSE(CONTROL!$C$27, 0.0021, 0)</f>
        <v>85.420400000000001</v>
      </c>
      <c r="I857" s="10">
        <f>85.4183 * CHOOSE(CONTROL!$C$9, $D$9, 100%, $F$9) + CHOOSE(CONTROL!$C$27, 0.0021, 0)</f>
        <v>85.420400000000001</v>
      </c>
      <c r="J857" s="10">
        <f>85.4183 * CHOOSE(CONTROL!$C$9, $D$9, 100%, $F$9) + CHOOSE(CONTROL!$C$27, 0.0021, 0)</f>
        <v>85.420400000000001</v>
      </c>
      <c r="K857" s="10">
        <f>85.4183 * CHOOSE(CONTROL!$C$9, $D$9, 100%, $F$9) + CHOOSE(CONTROL!$C$27, 0.0021, 0)</f>
        <v>85.420400000000001</v>
      </c>
      <c r="L857" s="10"/>
    </row>
    <row r="858" spans="1:12" ht="15.75" x14ac:dyDescent="0.25">
      <c r="A858" s="13">
        <v>67053</v>
      </c>
      <c r="B858" s="10">
        <f>87.5281 * CHOOSE(CONTROL!$C$9, $D$9, 100%, $F$9) + CHOOSE(CONTROL!$C$27, 0.0021, 0)</f>
        <v>87.530199999999994</v>
      </c>
      <c r="C858" s="10">
        <f>87.0958 * CHOOSE(CONTROL!$C$9, $D$9, 100%, $F$9) + CHOOSE(CONTROL!$C$27, 0.0021, 0)</f>
        <v>87.097899999999996</v>
      </c>
      <c r="D858" s="10">
        <f>87.0958 * CHOOSE(CONTROL!$C$9, $D$9, 100%, $F$9) + CHOOSE(CONTROL!$C$27, 0.0021, 0)</f>
        <v>87.097899999999996</v>
      </c>
      <c r="E858" s="10">
        <f>86.9591 * CHOOSE(CONTROL!$C$9, $D$9, 100%, $F$9) + CHOOSE(CONTROL!$C$27, 0.0021, 0)</f>
        <v>86.961200000000005</v>
      </c>
      <c r="F858" s="10">
        <f>86.9591 * CHOOSE(CONTROL!$C$9, $D$9, 100%, $F$9) + CHOOSE(CONTROL!$C$27, 0.0021, 0)</f>
        <v>86.961200000000005</v>
      </c>
      <c r="G858" s="10">
        <f>87.2305 * CHOOSE(CONTROL!$C$9, $D$9, 100%, $F$9) + CHOOSE(CONTROL!$C$27, 0.0021, 0)</f>
        <v>87.232600000000005</v>
      </c>
      <c r="H858" s="10">
        <f>87.0958 * CHOOSE(CONTROL!$C$9, $D$9, 100%, $F$9) + CHOOSE(CONTROL!$C$27, 0.0021, 0)</f>
        <v>87.097899999999996</v>
      </c>
      <c r="I858" s="10">
        <f>87.0958 * CHOOSE(CONTROL!$C$9, $D$9, 100%, $F$9) + CHOOSE(CONTROL!$C$27, 0.0021, 0)</f>
        <v>87.097899999999996</v>
      </c>
      <c r="J858" s="10">
        <f>87.0958 * CHOOSE(CONTROL!$C$9, $D$9, 100%, $F$9) + CHOOSE(CONTROL!$C$27, 0.0021, 0)</f>
        <v>87.097899999999996</v>
      </c>
      <c r="K858" s="10">
        <f>87.0958 * CHOOSE(CONTROL!$C$9, $D$9, 100%, $F$9) + CHOOSE(CONTROL!$C$27, 0.0021, 0)</f>
        <v>87.097899999999996</v>
      </c>
      <c r="L858" s="10"/>
    </row>
    <row r="859" spans="1:12" ht="15.75" x14ac:dyDescent="0.25">
      <c r="A859" s="13">
        <v>67084</v>
      </c>
      <c r="B859" s="10">
        <f>88.0401 * CHOOSE(CONTROL!$C$9, $D$9, 100%, $F$9) + CHOOSE(CONTROL!$C$27, 0.0021, 0)</f>
        <v>88.042199999999994</v>
      </c>
      <c r="C859" s="10">
        <f>87.6078 * CHOOSE(CONTROL!$C$9, $D$9, 100%, $F$9) + CHOOSE(CONTROL!$C$27, 0.0021, 0)</f>
        <v>87.609899999999996</v>
      </c>
      <c r="D859" s="10">
        <f>87.6078 * CHOOSE(CONTROL!$C$9, $D$9, 100%, $F$9) + CHOOSE(CONTROL!$C$27, 0.0021, 0)</f>
        <v>87.609899999999996</v>
      </c>
      <c r="E859" s="10">
        <f>87.4712 * CHOOSE(CONTROL!$C$9, $D$9, 100%, $F$9) + CHOOSE(CONTROL!$C$27, 0.0021, 0)</f>
        <v>87.473299999999995</v>
      </c>
      <c r="F859" s="10">
        <f>87.4712 * CHOOSE(CONTROL!$C$9, $D$9, 100%, $F$9) + CHOOSE(CONTROL!$C$27, 0.0021, 0)</f>
        <v>87.473299999999995</v>
      </c>
      <c r="G859" s="10">
        <f>87.7425 * CHOOSE(CONTROL!$C$9, $D$9, 100%, $F$9) + CHOOSE(CONTROL!$C$27, 0.0021, 0)</f>
        <v>87.744600000000005</v>
      </c>
      <c r="H859" s="10">
        <f>87.6078 * CHOOSE(CONTROL!$C$9, $D$9, 100%, $F$9) + CHOOSE(CONTROL!$C$27, 0.0021, 0)</f>
        <v>87.609899999999996</v>
      </c>
      <c r="I859" s="10">
        <f>87.6078 * CHOOSE(CONTROL!$C$9, $D$9, 100%, $F$9) + CHOOSE(CONTROL!$C$27, 0.0021, 0)</f>
        <v>87.609899999999996</v>
      </c>
      <c r="J859" s="10">
        <f>87.6078 * CHOOSE(CONTROL!$C$9, $D$9, 100%, $F$9) + CHOOSE(CONTROL!$C$27, 0.0021, 0)</f>
        <v>87.609899999999996</v>
      </c>
      <c r="K859" s="10">
        <f>87.6078 * CHOOSE(CONTROL!$C$9, $D$9, 100%, $F$9) + CHOOSE(CONTROL!$C$27, 0.0021, 0)</f>
        <v>87.609899999999996</v>
      </c>
      <c r="L859" s="10"/>
    </row>
    <row r="860" spans="1:12" ht="15.75" x14ac:dyDescent="0.25">
      <c r="A860" s="13">
        <v>67114</v>
      </c>
      <c r="B860" s="10">
        <f>89.7837 * CHOOSE(CONTROL!$C$9, $D$9, 100%, $F$9) + CHOOSE(CONTROL!$C$27, 0.0021, 0)</f>
        <v>89.785799999999995</v>
      </c>
      <c r="C860" s="10">
        <f>89.3515 * CHOOSE(CONTROL!$C$9, $D$9, 100%, $F$9) + CHOOSE(CONTROL!$C$27, 0.0021, 0)</f>
        <v>89.3536</v>
      </c>
      <c r="D860" s="10">
        <f>89.3515 * CHOOSE(CONTROL!$C$9, $D$9, 100%, $F$9) + CHOOSE(CONTROL!$C$27, 0.0021, 0)</f>
        <v>89.3536</v>
      </c>
      <c r="E860" s="10">
        <f>89.2148 * CHOOSE(CONTROL!$C$9, $D$9, 100%, $F$9) + CHOOSE(CONTROL!$C$27, 0.0021, 0)</f>
        <v>89.216899999999995</v>
      </c>
      <c r="F860" s="10">
        <f>89.2148 * CHOOSE(CONTROL!$C$9, $D$9, 100%, $F$9) + CHOOSE(CONTROL!$C$27, 0.0021, 0)</f>
        <v>89.216899999999995</v>
      </c>
      <c r="G860" s="10">
        <f>89.4862 * CHOOSE(CONTROL!$C$9, $D$9, 100%, $F$9) + CHOOSE(CONTROL!$C$27, 0.0021, 0)</f>
        <v>89.488299999999995</v>
      </c>
      <c r="H860" s="10">
        <f>89.3515 * CHOOSE(CONTROL!$C$9, $D$9, 100%, $F$9) + CHOOSE(CONTROL!$C$27, 0.0021, 0)</f>
        <v>89.3536</v>
      </c>
      <c r="I860" s="10">
        <f>89.3515 * CHOOSE(CONTROL!$C$9, $D$9, 100%, $F$9) + CHOOSE(CONTROL!$C$27, 0.0021, 0)</f>
        <v>89.3536</v>
      </c>
      <c r="J860" s="10">
        <f>89.3515 * CHOOSE(CONTROL!$C$9, $D$9, 100%, $F$9) + CHOOSE(CONTROL!$C$27, 0.0021, 0)</f>
        <v>89.3536</v>
      </c>
      <c r="K860" s="10">
        <f>89.3515 * CHOOSE(CONTROL!$C$9, $D$9, 100%, $F$9) + CHOOSE(CONTROL!$C$27, 0.0021, 0)</f>
        <v>89.3536</v>
      </c>
      <c r="L860" s="10"/>
    </row>
    <row r="861" spans="1:12" ht="15.75" x14ac:dyDescent="0.25">
      <c r="A861" s="13">
        <v>67145</v>
      </c>
      <c r="B861" s="10">
        <f>91.9909 * CHOOSE(CONTROL!$C$9, $D$9, 100%, $F$9) + CHOOSE(CONTROL!$C$27, 0.0021, 0)</f>
        <v>91.992999999999995</v>
      </c>
      <c r="C861" s="10">
        <f>91.5587 * CHOOSE(CONTROL!$C$9, $D$9, 100%, $F$9) + CHOOSE(CONTROL!$C$27, 0.0021, 0)</f>
        <v>91.5608</v>
      </c>
      <c r="D861" s="10">
        <f>91.5587 * CHOOSE(CONTROL!$C$9, $D$9, 100%, $F$9) + CHOOSE(CONTROL!$C$27, 0.0021, 0)</f>
        <v>91.5608</v>
      </c>
      <c r="E861" s="10">
        <f>91.422 * CHOOSE(CONTROL!$C$9, $D$9, 100%, $F$9) + CHOOSE(CONTROL!$C$27, 0.0021, 0)</f>
        <v>91.424099999999996</v>
      </c>
      <c r="F861" s="10">
        <f>91.422 * CHOOSE(CONTROL!$C$9, $D$9, 100%, $F$9) + CHOOSE(CONTROL!$C$27, 0.0021, 0)</f>
        <v>91.424099999999996</v>
      </c>
      <c r="G861" s="10">
        <f>91.6934 * CHOOSE(CONTROL!$C$9, $D$9, 100%, $F$9) + CHOOSE(CONTROL!$C$27, 0.0021, 0)</f>
        <v>91.695499999999996</v>
      </c>
      <c r="H861" s="10">
        <f>91.5587 * CHOOSE(CONTROL!$C$9, $D$9, 100%, $F$9) + CHOOSE(CONTROL!$C$27, 0.0021, 0)</f>
        <v>91.5608</v>
      </c>
      <c r="I861" s="10">
        <f>91.5587 * CHOOSE(CONTROL!$C$9, $D$9, 100%, $F$9) + CHOOSE(CONTROL!$C$27, 0.0021, 0)</f>
        <v>91.5608</v>
      </c>
      <c r="J861" s="10">
        <f>91.5587 * CHOOSE(CONTROL!$C$9, $D$9, 100%, $F$9) + CHOOSE(CONTROL!$C$27, 0.0021, 0)</f>
        <v>91.5608</v>
      </c>
      <c r="K861" s="10">
        <f>91.5587 * CHOOSE(CONTROL!$C$9, $D$9, 100%, $F$9) + CHOOSE(CONTROL!$C$27, 0.0021, 0)</f>
        <v>91.5608</v>
      </c>
      <c r="L861" s="10"/>
    </row>
    <row r="862" spans="1:12" ht="15.75" x14ac:dyDescent="0.25">
      <c r="A862" s="13">
        <v>67175</v>
      </c>
      <c r="B862" s="10">
        <f>92.1982 * CHOOSE(CONTROL!$C$9, $D$9, 100%, $F$9) + CHOOSE(CONTROL!$C$27, 0.0021, 0)</f>
        <v>92.200299999999999</v>
      </c>
      <c r="C862" s="10">
        <f>91.7659 * CHOOSE(CONTROL!$C$9, $D$9, 100%, $F$9) + CHOOSE(CONTROL!$C$27, 0.0021, 0)</f>
        <v>91.768000000000001</v>
      </c>
      <c r="D862" s="10">
        <f>91.7659 * CHOOSE(CONTROL!$C$9, $D$9, 100%, $F$9) + CHOOSE(CONTROL!$C$27, 0.0021, 0)</f>
        <v>91.768000000000001</v>
      </c>
      <c r="E862" s="10">
        <f>91.6292 * CHOOSE(CONTROL!$C$9, $D$9, 100%, $F$9) + CHOOSE(CONTROL!$C$27, 0.0021, 0)</f>
        <v>91.631299999999996</v>
      </c>
      <c r="F862" s="10">
        <f>91.6292 * CHOOSE(CONTROL!$C$9, $D$9, 100%, $F$9) + CHOOSE(CONTROL!$C$27, 0.0021, 0)</f>
        <v>91.631299999999996</v>
      </c>
      <c r="G862" s="10">
        <f>91.9006 * CHOOSE(CONTROL!$C$9, $D$9, 100%, $F$9) + CHOOSE(CONTROL!$C$27, 0.0021, 0)</f>
        <v>91.902699999999996</v>
      </c>
      <c r="H862" s="10">
        <f>91.7659 * CHOOSE(CONTROL!$C$9, $D$9, 100%, $F$9) + CHOOSE(CONTROL!$C$27, 0.0021, 0)</f>
        <v>91.768000000000001</v>
      </c>
      <c r="I862" s="10">
        <f>91.7659 * CHOOSE(CONTROL!$C$9, $D$9, 100%, $F$9) + CHOOSE(CONTROL!$C$27, 0.0021, 0)</f>
        <v>91.768000000000001</v>
      </c>
      <c r="J862" s="10">
        <f>91.7659 * CHOOSE(CONTROL!$C$9, $D$9, 100%, $F$9) + CHOOSE(CONTROL!$C$27, 0.0021, 0)</f>
        <v>91.768000000000001</v>
      </c>
      <c r="K862" s="10">
        <f>91.7659 * CHOOSE(CONTROL!$C$9, $D$9, 100%, $F$9) + CHOOSE(CONTROL!$C$27, 0.0021, 0)</f>
        <v>91.768000000000001</v>
      </c>
      <c r="L862" s="10"/>
    </row>
    <row r="863" spans="1:12" ht="15.75" x14ac:dyDescent="0.25">
      <c r="A863" s="13">
        <v>67206</v>
      </c>
      <c r="B863" s="10">
        <f>90.4353 * CHOOSE(CONTROL!$C$9, $D$9, 100%, $F$9) + CHOOSE(CONTROL!$C$27, 0.0021, 0)</f>
        <v>90.437399999999997</v>
      </c>
      <c r="C863" s="10">
        <f>90.0031 * CHOOSE(CONTROL!$C$9, $D$9, 100%, $F$9) + CHOOSE(CONTROL!$C$27, 0.0021, 0)</f>
        <v>90.005200000000002</v>
      </c>
      <c r="D863" s="10">
        <f>90.0031 * CHOOSE(CONTROL!$C$9, $D$9, 100%, $F$9) + CHOOSE(CONTROL!$C$27, 0.0021, 0)</f>
        <v>90.005200000000002</v>
      </c>
      <c r="E863" s="10">
        <f>89.8664 * CHOOSE(CONTROL!$C$9, $D$9, 100%, $F$9) + CHOOSE(CONTROL!$C$27, 0.0021, 0)</f>
        <v>89.868499999999997</v>
      </c>
      <c r="F863" s="10">
        <f>89.8664 * CHOOSE(CONTROL!$C$9, $D$9, 100%, $F$9) + CHOOSE(CONTROL!$C$27, 0.0021, 0)</f>
        <v>89.868499999999997</v>
      </c>
      <c r="G863" s="10">
        <f>90.1378 * CHOOSE(CONTROL!$C$9, $D$9, 100%, $F$9) + CHOOSE(CONTROL!$C$27, 0.0021, 0)</f>
        <v>90.139899999999997</v>
      </c>
      <c r="H863" s="10">
        <f>90.0031 * CHOOSE(CONTROL!$C$9, $D$9, 100%, $F$9) + CHOOSE(CONTROL!$C$27, 0.0021, 0)</f>
        <v>90.005200000000002</v>
      </c>
      <c r="I863" s="10">
        <f>90.0031 * CHOOSE(CONTROL!$C$9, $D$9, 100%, $F$9) + CHOOSE(CONTROL!$C$27, 0.0021, 0)</f>
        <v>90.005200000000002</v>
      </c>
      <c r="J863" s="10">
        <f>90.0031 * CHOOSE(CONTROL!$C$9, $D$9, 100%, $F$9) + CHOOSE(CONTROL!$C$27, 0.0021, 0)</f>
        <v>90.005200000000002</v>
      </c>
      <c r="K863" s="10">
        <f>90.0031 * CHOOSE(CONTROL!$C$9, $D$9, 100%, $F$9) + CHOOSE(CONTROL!$C$27, 0.0021, 0)</f>
        <v>90.005200000000002</v>
      </c>
      <c r="L863" s="10"/>
    </row>
    <row r="864" spans="1:12" ht="15.75" x14ac:dyDescent="0.25">
      <c r="A864" s="13">
        <v>67237</v>
      </c>
      <c r="B864" s="10">
        <f>89.2804 * CHOOSE(CONTROL!$C$9, $D$9, 100%, $F$9) + CHOOSE(CONTROL!$C$27, 0.0021, 0)</f>
        <v>89.282499999999999</v>
      </c>
      <c r="C864" s="10">
        <f>88.8482 * CHOOSE(CONTROL!$C$9, $D$9, 100%, $F$9) + CHOOSE(CONTROL!$C$27, 0.0021, 0)</f>
        <v>88.850300000000004</v>
      </c>
      <c r="D864" s="10">
        <f>88.8482 * CHOOSE(CONTROL!$C$9, $D$9, 100%, $F$9) + CHOOSE(CONTROL!$C$27, 0.0021, 0)</f>
        <v>88.850300000000004</v>
      </c>
      <c r="E864" s="10">
        <f>88.7115 * CHOOSE(CONTROL!$C$9, $D$9, 100%, $F$9) + CHOOSE(CONTROL!$C$27, 0.0021, 0)</f>
        <v>88.7136</v>
      </c>
      <c r="F864" s="10">
        <f>88.7115 * CHOOSE(CONTROL!$C$9, $D$9, 100%, $F$9) + CHOOSE(CONTROL!$C$27, 0.0021, 0)</f>
        <v>88.7136</v>
      </c>
      <c r="G864" s="10">
        <f>88.9829 * CHOOSE(CONTROL!$C$9, $D$9, 100%, $F$9) + CHOOSE(CONTROL!$C$27, 0.0021, 0)</f>
        <v>88.984999999999999</v>
      </c>
      <c r="H864" s="10">
        <f>88.8482 * CHOOSE(CONTROL!$C$9, $D$9, 100%, $F$9) + CHOOSE(CONTROL!$C$27, 0.0021, 0)</f>
        <v>88.850300000000004</v>
      </c>
      <c r="I864" s="10">
        <f>88.8482 * CHOOSE(CONTROL!$C$9, $D$9, 100%, $F$9) + CHOOSE(CONTROL!$C$27, 0.0021, 0)</f>
        <v>88.850300000000004</v>
      </c>
      <c r="J864" s="10">
        <f>88.8482 * CHOOSE(CONTROL!$C$9, $D$9, 100%, $F$9) + CHOOSE(CONTROL!$C$27, 0.0021, 0)</f>
        <v>88.850300000000004</v>
      </c>
      <c r="K864" s="10">
        <f>88.8482 * CHOOSE(CONTROL!$C$9, $D$9, 100%, $F$9) + CHOOSE(CONTROL!$C$27, 0.0021, 0)</f>
        <v>88.850300000000004</v>
      </c>
      <c r="L864" s="10"/>
    </row>
    <row r="865" spans="1:12" ht="15.75" x14ac:dyDescent="0.25">
      <c r="A865" s="13">
        <v>67266</v>
      </c>
      <c r="B865" s="10">
        <f>86.8199 * CHOOSE(CONTROL!$C$9, $D$9, 100%, $F$9) + CHOOSE(CONTROL!$C$27, 0.0021, 0)</f>
        <v>86.822000000000003</v>
      </c>
      <c r="C865" s="10">
        <f>86.3877 * CHOOSE(CONTROL!$C$9, $D$9, 100%, $F$9) + CHOOSE(CONTROL!$C$27, 0.0021, 0)</f>
        <v>86.389799999999994</v>
      </c>
      <c r="D865" s="10">
        <f>86.3877 * CHOOSE(CONTROL!$C$9, $D$9, 100%, $F$9) + CHOOSE(CONTROL!$C$27, 0.0021, 0)</f>
        <v>86.389799999999994</v>
      </c>
      <c r="E865" s="10">
        <f>86.251 * CHOOSE(CONTROL!$C$9, $D$9, 100%, $F$9) + CHOOSE(CONTROL!$C$27, 0.0021, 0)</f>
        <v>86.253100000000003</v>
      </c>
      <c r="F865" s="10">
        <f>86.251 * CHOOSE(CONTROL!$C$9, $D$9, 100%, $F$9) + CHOOSE(CONTROL!$C$27, 0.0021, 0)</f>
        <v>86.253100000000003</v>
      </c>
      <c r="G865" s="10">
        <f>86.5224 * CHOOSE(CONTROL!$C$9, $D$9, 100%, $F$9) + CHOOSE(CONTROL!$C$27, 0.0021, 0)</f>
        <v>86.524500000000003</v>
      </c>
      <c r="H865" s="10">
        <f>86.3877 * CHOOSE(CONTROL!$C$9, $D$9, 100%, $F$9) + CHOOSE(CONTROL!$C$27, 0.0021, 0)</f>
        <v>86.389799999999994</v>
      </c>
      <c r="I865" s="10">
        <f>86.3877 * CHOOSE(CONTROL!$C$9, $D$9, 100%, $F$9) + CHOOSE(CONTROL!$C$27, 0.0021, 0)</f>
        <v>86.389799999999994</v>
      </c>
      <c r="J865" s="10">
        <f>86.3877 * CHOOSE(CONTROL!$C$9, $D$9, 100%, $F$9) + CHOOSE(CONTROL!$C$27, 0.0021, 0)</f>
        <v>86.389799999999994</v>
      </c>
      <c r="K865" s="10">
        <f>86.3877 * CHOOSE(CONTROL!$C$9, $D$9, 100%, $F$9) + CHOOSE(CONTROL!$C$27, 0.0021, 0)</f>
        <v>86.389799999999994</v>
      </c>
      <c r="L865" s="10"/>
    </row>
    <row r="866" spans="1:12" ht="15.75" x14ac:dyDescent="0.25">
      <c r="A866" s="13">
        <v>67297</v>
      </c>
      <c r="B866" s="10">
        <f>85.8043 * CHOOSE(CONTROL!$C$9, $D$9, 100%, $F$9) + CHOOSE(CONTROL!$C$27, 0.0021, 0)</f>
        <v>85.806399999999996</v>
      </c>
      <c r="C866" s="10">
        <f>85.372 * CHOOSE(CONTROL!$C$9, $D$9, 100%, $F$9) + CHOOSE(CONTROL!$C$27, 0.0021, 0)</f>
        <v>85.374099999999999</v>
      </c>
      <c r="D866" s="10">
        <f>85.372 * CHOOSE(CONTROL!$C$9, $D$9, 100%, $F$9) + CHOOSE(CONTROL!$C$27, 0.0021, 0)</f>
        <v>85.374099999999999</v>
      </c>
      <c r="E866" s="10">
        <f>85.2354 * CHOOSE(CONTROL!$C$9, $D$9, 100%, $F$9) + CHOOSE(CONTROL!$C$27, 0.0021, 0)</f>
        <v>85.237499999999997</v>
      </c>
      <c r="F866" s="10">
        <f>85.2354 * CHOOSE(CONTROL!$C$9, $D$9, 100%, $F$9) + CHOOSE(CONTROL!$C$27, 0.0021, 0)</f>
        <v>85.237499999999997</v>
      </c>
      <c r="G866" s="10">
        <f>85.5067 * CHOOSE(CONTROL!$C$9, $D$9, 100%, $F$9) + CHOOSE(CONTROL!$C$27, 0.0021, 0)</f>
        <v>85.508799999999994</v>
      </c>
      <c r="H866" s="10">
        <f>85.372 * CHOOSE(CONTROL!$C$9, $D$9, 100%, $F$9) + CHOOSE(CONTROL!$C$27, 0.0021, 0)</f>
        <v>85.374099999999999</v>
      </c>
      <c r="I866" s="10">
        <f>85.372 * CHOOSE(CONTROL!$C$9, $D$9, 100%, $F$9) + CHOOSE(CONTROL!$C$27, 0.0021, 0)</f>
        <v>85.374099999999999</v>
      </c>
      <c r="J866" s="10">
        <f>85.372 * CHOOSE(CONTROL!$C$9, $D$9, 100%, $F$9) + CHOOSE(CONTROL!$C$27, 0.0021, 0)</f>
        <v>85.374099999999999</v>
      </c>
      <c r="K866" s="10">
        <f>85.372 * CHOOSE(CONTROL!$C$9, $D$9, 100%, $F$9) + CHOOSE(CONTROL!$C$27, 0.0021, 0)</f>
        <v>85.374099999999999</v>
      </c>
      <c r="L866" s="10"/>
    </row>
    <row r="867" spans="1:12" ht="15.75" x14ac:dyDescent="0.25">
      <c r="A867" s="13">
        <v>67327</v>
      </c>
      <c r="B867" s="10">
        <f>84.5915 * CHOOSE(CONTROL!$C$9, $D$9, 100%, $F$9) + CHOOSE(CONTROL!$C$27, 0.0021, 0)</f>
        <v>84.593599999999995</v>
      </c>
      <c r="C867" s="10">
        <f>84.1593 * CHOOSE(CONTROL!$C$9, $D$9, 100%, $F$9) + CHOOSE(CONTROL!$C$27, 0.0021, 0)</f>
        <v>84.1614</v>
      </c>
      <c r="D867" s="10">
        <f>84.1593 * CHOOSE(CONTROL!$C$9, $D$9, 100%, $F$9) + CHOOSE(CONTROL!$C$27, 0.0021, 0)</f>
        <v>84.1614</v>
      </c>
      <c r="E867" s="10">
        <f>84.0226 * CHOOSE(CONTROL!$C$9, $D$9, 100%, $F$9) + CHOOSE(CONTROL!$C$27, 0.0021, 0)</f>
        <v>84.024699999999996</v>
      </c>
      <c r="F867" s="10">
        <f>84.0226 * CHOOSE(CONTROL!$C$9, $D$9, 100%, $F$9) + CHOOSE(CONTROL!$C$27, 0.0021, 0)</f>
        <v>84.024699999999996</v>
      </c>
      <c r="G867" s="10">
        <f>84.294 * CHOOSE(CONTROL!$C$9, $D$9, 100%, $F$9) + CHOOSE(CONTROL!$C$27, 0.0021, 0)</f>
        <v>84.296099999999996</v>
      </c>
      <c r="H867" s="10">
        <f>84.1593 * CHOOSE(CONTROL!$C$9, $D$9, 100%, $F$9) + CHOOSE(CONTROL!$C$27, 0.0021, 0)</f>
        <v>84.1614</v>
      </c>
      <c r="I867" s="10">
        <f>84.1593 * CHOOSE(CONTROL!$C$9, $D$9, 100%, $F$9) + CHOOSE(CONTROL!$C$27, 0.0021, 0)</f>
        <v>84.1614</v>
      </c>
      <c r="J867" s="10">
        <f>84.1593 * CHOOSE(CONTROL!$C$9, $D$9, 100%, $F$9) + CHOOSE(CONTROL!$C$27, 0.0021, 0)</f>
        <v>84.1614</v>
      </c>
      <c r="K867" s="10">
        <f>84.1593 * CHOOSE(CONTROL!$C$9, $D$9, 100%, $F$9) + CHOOSE(CONTROL!$C$27, 0.0021, 0)</f>
        <v>84.1614</v>
      </c>
      <c r="L867" s="10"/>
    </row>
    <row r="868" spans="1:12" ht="15.75" x14ac:dyDescent="0.25">
      <c r="A868" s="13">
        <v>67358</v>
      </c>
      <c r="B868" s="10">
        <f>86.3198 * CHOOSE(CONTROL!$C$9, $D$9, 100%, $F$9) + CHOOSE(CONTROL!$C$27, 0.0021, 0)</f>
        <v>86.321899999999999</v>
      </c>
      <c r="C868" s="10">
        <f>85.8876 * CHOOSE(CONTROL!$C$9, $D$9, 100%, $F$9) + CHOOSE(CONTROL!$C$27, 0.0021, 0)</f>
        <v>85.889700000000005</v>
      </c>
      <c r="D868" s="10">
        <f>85.8876 * CHOOSE(CONTROL!$C$9, $D$9, 100%, $F$9) + CHOOSE(CONTROL!$C$27, 0.0021, 0)</f>
        <v>85.889700000000005</v>
      </c>
      <c r="E868" s="10">
        <f>85.7509 * CHOOSE(CONTROL!$C$9, $D$9, 100%, $F$9) + CHOOSE(CONTROL!$C$27, 0.0021, 0)</f>
        <v>85.753</v>
      </c>
      <c r="F868" s="10">
        <f>85.7509 * CHOOSE(CONTROL!$C$9, $D$9, 100%, $F$9) + CHOOSE(CONTROL!$C$27, 0.0021, 0)</f>
        <v>85.753</v>
      </c>
      <c r="G868" s="10">
        <f>86.0223 * CHOOSE(CONTROL!$C$9, $D$9, 100%, $F$9) + CHOOSE(CONTROL!$C$27, 0.0021, 0)</f>
        <v>86.0244</v>
      </c>
      <c r="H868" s="10">
        <f>85.8876 * CHOOSE(CONTROL!$C$9, $D$9, 100%, $F$9) + CHOOSE(CONTROL!$C$27, 0.0021, 0)</f>
        <v>85.889700000000005</v>
      </c>
      <c r="I868" s="10">
        <f>85.8876 * CHOOSE(CONTROL!$C$9, $D$9, 100%, $F$9) + CHOOSE(CONTROL!$C$27, 0.0021, 0)</f>
        <v>85.889700000000005</v>
      </c>
      <c r="J868" s="10">
        <f>85.8876 * CHOOSE(CONTROL!$C$9, $D$9, 100%, $F$9) + CHOOSE(CONTROL!$C$27, 0.0021, 0)</f>
        <v>85.889700000000005</v>
      </c>
      <c r="K868" s="10">
        <f>85.8876 * CHOOSE(CONTROL!$C$9, $D$9, 100%, $F$9) + CHOOSE(CONTROL!$C$27, 0.0021, 0)</f>
        <v>85.889700000000005</v>
      </c>
      <c r="L868" s="10"/>
    </row>
    <row r="869" spans="1:12" ht="15.75" x14ac:dyDescent="0.25">
      <c r="A869" s="13">
        <v>67388</v>
      </c>
      <c r="B869" s="10">
        <f>87.355 * CHOOSE(CONTROL!$C$9, $D$9, 100%, $F$9) + CHOOSE(CONTROL!$C$27, 0.0021, 0)</f>
        <v>87.357100000000003</v>
      </c>
      <c r="C869" s="10">
        <f>86.9228 * CHOOSE(CONTROL!$C$9, $D$9, 100%, $F$9) + CHOOSE(CONTROL!$C$27, 0.0021, 0)</f>
        <v>86.924899999999994</v>
      </c>
      <c r="D869" s="10">
        <f>86.9228 * CHOOSE(CONTROL!$C$9, $D$9, 100%, $F$9) + CHOOSE(CONTROL!$C$27, 0.0021, 0)</f>
        <v>86.924899999999994</v>
      </c>
      <c r="E869" s="10">
        <f>86.7861 * CHOOSE(CONTROL!$C$9, $D$9, 100%, $F$9) + CHOOSE(CONTROL!$C$27, 0.0021, 0)</f>
        <v>86.788200000000003</v>
      </c>
      <c r="F869" s="10">
        <f>86.7861 * CHOOSE(CONTROL!$C$9, $D$9, 100%, $F$9) + CHOOSE(CONTROL!$C$27, 0.0021, 0)</f>
        <v>86.788200000000003</v>
      </c>
      <c r="G869" s="10">
        <f>87.0575 * CHOOSE(CONTROL!$C$9, $D$9, 100%, $F$9) + CHOOSE(CONTROL!$C$27, 0.0021, 0)</f>
        <v>87.059600000000003</v>
      </c>
      <c r="H869" s="10">
        <f>86.9228 * CHOOSE(CONTROL!$C$9, $D$9, 100%, $F$9) + CHOOSE(CONTROL!$C$27, 0.0021, 0)</f>
        <v>86.924899999999994</v>
      </c>
      <c r="I869" s="10">
        <f>86.9228 * CHOOSE(CONTROL!$C$9, $D$9, 100%, $F$9) + CHOOSE(CONTROL!$C$27, 0.0021, 0)</f>
        <v>86.924899999999994</v>
      </c>
      <c r="J869" s="10">
        <f>86.9228 * CHOOSE(CONTROL!$C$9, $D$9, 100%, $F$9) + CHOOSE(CONTROL!$C$27, 0.0021, 0)</f>
        <v>86.924899999999994</v>
      </c>
      <c r="K869" s="10">
        <f>86.9228 * CHOOSE(CONTROL!$C$9, $D$9, 100%, $F$9) + CHOOSE(CONTROL!$C$27, 0.0021, 0)</f>
        <v>86.924899999999994</v>
      </c>
      <c r="L869" s="10"/>
    </row>
    <row r="870" spans="1:12" ht="15.75" x14ac:dyDescent="0.25">
      <c r="A870" s="13">
        <v>67419</v>
      </c>
      <c r="B870" s="10">
        <f>89.0627 * CHOOSE(CONTROL!$C$9, $D$9, 100%, $F$9) + CHOOSE(CONTROL!$C$27, 0.0021, 0)</f>
        <v>89.064800000000005</v>
      </c>
      <c r="C870" s="10">
        <f>88.6305 * CHOOSE(CONTROL!$C$9, $D$9, 100%, $F$9) + CHOOSE(CONTROL!$C$27, 0.0021, 0)</f>
        <v>88.632599999999996</v>
      </c>
      <c r="D870" s="10">
        <f>88.6305 * CHOOSE(CONTROL!$C$9, $D$9, 100%, $F$9) + CHOOSE(CONTROL!$C$27, 0.0021, 0)</f>
        <v>88.632599999999996</v>
      </c>
      <c r="E870" s="10">
        <f>88.4938 * CHOOSE(CONTROL!$C$9, $D$9, 100%, $F$9) + CHOOSE(CONTROL!$C$27, 0.0021, 0)</f>
        <v>88.495899999999992</v>
      </c>
      <c r="F870" s="10">
        <f>88.4938 * CHOOSE(CONTROL!$C$9, $D$9, 100%, $F$9) + CHOOSE(CONTROL!$C$27, 0.0021, 0)</f>
        <v>88.495899999999992</v>
      </c>
      <c r="G870" s="10">
        <f>88.7652 * CHOOSE(CONTROL!$C$9, $D$9, 100%, $F$9) + CHOOSE(CONTROL!$C$27, 0.0021, 0)</f>
        <v>88.767299999999992</v>
      </c>
      <c r="H870" s="10">
        <f>88.6305 * CHOOSE(CONTROL!$C$9, $D$9, 100%, $F$9) + CHOOSE(CONTROL!$C$27, 0.0021, 0)</f>
        <v>88.632599999999996</v>
      </c>
      <c r="I870" s="10">
        <f>88.6305 * CHOOSE(CONTROL!$C$9, $D$9, 100%, $F$9) + CHOOSE(CONTROL!$C$27, 0.0021, 0)</f>
        <v>88.632599999999996</v>
      </c>
      <c r="J870" s="10">
        <f>88.6305 * CHOOSE(CONTROL!$C$9, $D$9, 100%, $F$9) + CHOOSE(CONTROL!$C$27, 0.0021, 0)</f>
        <v>88.632599999999996</v>
      </c>
      <c r="K870" s="10">
        <f>88.6305 * CHOOSE(CONTROL!$C$9, $D$9, 100%, $F$9) + CHOOSE(CONTROL!$C$27, 0.0021, 0)</f>
        <v>88.632599999999996</v>
      </c>
      <c r="L870" s="10"/>
    </row>
    <row r="871" spans="1:12" ht="15.75" x14ac:dyDescent="0.25">
      <c r="A871" s="13">
        <v>67450</v>
      </c>
      <c r="B871" s="10">
        <f>89.5839 * CHOOSE(CONTROL!$C$9, $D$9, 100%, $F$9) + CHOOSE(CONTROL!$C$27, 0.0021, 0)</f>
        <v>89.585999999999999</v>
      </c>
      <c r="C871" s="10">
        <f>89.1517 * CHOOSE(CONTROL!$C$9, $D$9, 100%, $F$9) + CHOOSE(CONTROL!$C$27, 0.0021, 0)</f>
        <v>89.153800000000004</v>
      </c>
      <c r="D871" s="10">
        <f>89.1517 * CHOOSE(CONTROL!$C$9, $D$9, 100%, $F$9) + CHOOSE(CONTROL!$C$27, 0.0021, 0)</f>
        <v>89.153800000000004</v>
      </c>
      <c r="E871" s="10">
        <f>89.015 * CHOOSE(CONTROL!$C$9, $D$9, 100%, $F$9) + CHOOSE(CONTROL!$C$27, 0.0021, 0)</f>
        <v>89.017099999999999</v>
      </c>
      <c r="F871" s="10">
        <f>89.015 * CHOOSE(CONTROL!$C$9, $D$9, 100%, $F$9) + CHOOSE(CONTROL!$C$27, 0.0021, 0)</f>
        <v>89.017099999999999</v>
      </c>
      <c r="G871" s="10">
        <f>89.2864 * CHOOSE(CONTROL!$C$9, $D$9, 100%, $F$9) + CHOOSE(CONTROL!$C$27, 0.0021, 0)</f>
        <v>89.288499999999999</v>
      </c>
      <c r="H871" s="10">
        <f>89.1517 * CHOOSE(CONTROL!$C$9, $D$9, 100%, $F$9) + CHOOSE(CONTROL!$C$27, 0.0021, 0)</f>
        <v>89.153800000000004</v>
      </c>
      <c r="I871" s="10">
        <f>89.1517 * CHOOSE(CONTROL!$C$9, $D$9, 100%, $F$9) + CHOOSE(CONTROL!$C$27, 0.0021, 0)</f>
        <v>89.153800000000004</v>
      </c>
      <c r="J871" s="10">
        <f>89.1517 * CHOOSE(CONTROL!$C$9, $D$9, 100%, $F$9) + CHOOSE(CONTROL!$C$27, 0.0021, 0)</f>
        <v>89.153800000000004</v>
      </c>
      <c r="K871" s="10">
        <f>89.1517 * CHOOSE(CONTROL!$C$9, $D$9, 100%, $F$9) + CHOOSE(CONTROL!$C$27, 0.0021, 0)</f>
        <v>89.153800000000004</v>
      </c>
      <c r="L871" s="10"/>
    </row>
    <row r="872" spans="1:12" ht="15.75" x14ac:dyDescent="0.25">
      <c r="A872" s="13">
        <v>67480</v>
      </c>
      <c r="B872" s="10">
        <f>91.359 * CHOOSE(CONTROL!$C$9, $D$9, 100%, $F$9) + CHOOSE(CONTROL!$C$27, 0.0021, 0)</f>
        <v>91.361099999999993</v>
      </c>
      <c r="C872" s="10">
        <f>90.9268 * CHOOSE(CONTROL!$C$9, $D$9, 100%, $F$9) + CHOOSE(CONTROL!$C$27, 0.0021, 0)</f>
        <v>90.928899999999999</v>
      </c>
      <c r="D872" s="10">
        <f>90.9268 * CHOOSE(CONTROL!$C$9, $D$9, 100%, $F$9) + CHOOSE(CONTROL!$C$27, 0.0021, 0)</f>
        <v>90.928899999999999</v>
      </c>
      <c r="E872" s="10">
        <f>90.7901 * CHOOSE(CONTROL!$C$9, $D$9, 100%, $F$9) + CHOOSE(CONTROL!$C$27, 0.0021, 0)</f>
        <v>90.792199999999994</v>
      </c>
      <c r="F872" s="10">
        <f>90.7901 * CHOOSE(CONTROL!$C$9, $D$9, 100%, $F$9) + CHOOSE(CONTROL!$C$27, 0.0021, 0)</f>
        <v>90.792199999999994</v>
      </c>
      <c r="G872" s="10">
        <f>91.0615 * CHOOSE(CONTROL!$C$9, $D$9, 100%, $F$9) + CHOOSE(CONTROL!$C$27, 0.0021, 0)</f>
        <v>91.063599999999994</v>
      </c>
      <c r="H872" s="10">
        <f>90.9268 * CHOOSE(CONTROL!$C$9, $D$9, 100%, $F$9) + CHOOSE(CONTROL!$C$27, 0.0021, 0)</f>
        <v>90.928899999999999</v>
      </c>
      <c r="I872" s="10">
        <f>90.9268 * CHOOSE(CONTROL!$C$9, $D$9, 100%, $F$9) + CHOOSE(CONTROL!$C$27, 0.0021, 0)</f>
        <v>90.928899999999999</v>
      </c>
      <c r="J872" s="10">
        <f>90.9268 * CHOOSE(CONTROL!$C$9, $D$9, 100%, $F$9) + CHOOSE(CONTROL!$C$27, 0.0021, 0)</f>
        <v>90.928899999999999</v>
      </c>
      <c r="K872" s="10">
        <f>90.9268 * CHOOSE(CONTROL!$C$9, $D$9, 100%, $F$9) + CHOOSE(CONTROL!$C$27, 0.0021, 0)</f>
        <v>90.928899999999999</v>
      </c>
      <c r="L872" s="10"/>
    </row>
    <row r="873" spans="1:12" ht="15.75" x14ac:dyDescent="0.25">
      <c r="A873" s="13">
        <v>67511</v>
      </c>
      <c r="B873" s="10">
        <f>93.606 * CHOOSE(CONTROL!$C$9, $D$9, 100%, $F$9) + CHOOSE(CONTROL!$C$27, 0.0021, 0)</f>
        <v>93.608099999999993</v>
      </c>
      <c r="C873" s="10">
        <f>93.1737 * CHOOSE(CONTROL!$C$9, $D$9, 100%, $F$9) + CHOOSE(CONTROL!$C$27, 0.0021, 0)</f>
        <v>93.175799999999995</v>
      </c>
      <c r="D873" s="10">
        <f>93.1737 * CHOOSE(CONTROL!$C$9, $D$9, 100%, $F$9) + CHOOSE(CONTROL!$C$27, 0.0021, 0)</f>
        <v>93.175799999999995</v>
      </c>
      <c r="E873" s="10">
        <f>93.037 * CHOOSE(CONTROL!$C$9, $D$9, 100%, $F$9) + CHOOSE(CONTROL!$C$27, 0.0021, 0)</f>
        <v>93.039100000000005</v>
      </c>
      <c r="F873" s="10">
        <f>93.037 * CHOOSE(CONTROL!$C$9, $D$9, 100%, $F$9) + CHOOSE(CONTROL!$C$27, 0.0021, 0)</f>
        <v>93.039100000000005</v>
      </c>
      <c r="G873" s="10">
        <f>93.3084 * CHOOSE(CONTROL!$C$9, $D$9, 100%, $F$9) + CHOOSE(CONTROL!$C$27, 0.0021, 0)</f>
        <v>93.310500000000005</v>
      </c>
      <c r="H873" s="10">
        <f>93.1737 * CHOOSE(CONTROL!$C$9, $D$9, 100%, $F$9) + CHOOSE(CONTROL!$C$27, 0.0021, 0)</f>
        <v>93.175799999999995</v>
      </c>
      <c r="I873" s="10">
        <f>93.1737 * CHOOSE(CONTROL!$C$9, $D$9, 100%, $F$9) + CHOOSE(CONTROL!$C$27, 0.0021, 0)</f>
        <v>93.175799999999995</v>
      </c>
      <c r="J873" s="10">
        <f>93.1737 * CHOOSE(CONTROL!$C$9, $D$9, 100%, $F$9) + CHOOSE(CONTROL!$C$27, 0.0021, 0)</f>
        <v>93.175799999999995</v>
      </c>
      <c r="K873" s="10">
        <f>93.1737 * CHOOSE(CONTROL!$C$9, $D$9, 100%, $F$9) + CHOOSE(CONTROL!$C$27, 0.0021, 0)</f>
        <v>93.175799999999995</v>
      </c>
      <c r="L873" s="10"/>
    </row>
    <row r="874" spans="1:12" ht="15.75" x14ac:dyDescent="0.25">
      <c r="A874" s="13">
        <v>67541</v>
      </c>
      <c r="B874" s="10">
        <f>93.8169 * CHOOSE(CONTROL!$C$9, $D$9, 100%, $F$9) + CHOOSE(CONTROL!$C$27, 0.0021, 0)</f>
        <v>93.819000000000003</v>
      </c>
      <c r="C874" s="10">
        <f>93.3846 * CHOOSE(CONTROL!$C$9, $D$9, 100%, $F$9) + CHOOSE(CONTROL!$C$27, 0.0021, 0)</f>
        <v>93.386700000000005</v>
      </c>
      <c r="D874" s="10">
        <f>93.3846 * CHOOSE(CONTROL!$C$9, $D$9, 100%, $F$9) + CHOOSE(CONTROL!$C$27, 0.0021, 0)</f>
        <v>93.386700000000005</v>
      </c>
      <c r="E874" s="10">
        <f>93.248 * CHOOSE(CONTROL!$C$9, $D$9, 100%, $F$9) + CHOOSE(CONTROL!$C$27, 0.0021, 0)</f>
        <v>93.250100000000003</v>
      </c>
      <c r="F874" s="10">
        <f>93.248 * CHOOSE(CONTROL!$C$9, $D$9, 100%, $F$9) + CHOOSE(CONTROL!$C$27, 0.0021, 0)</f>
        <v>93.250100000000003</v>
      </c>
      <c r="G874" s="10">
        <f>93.5194 * CHOOSE(CONTROL!$C$9, $D$9, 100%, $F$9) + CHOOSE(CONTROL!$C$27, 0.0021, 0)</f>
        <v>93.521500000000003</v>
      </c>
      <c r="H874" s="10">
        <f>93.3846 * CHOOSE(CONTROL!$C$9, $D$9, 100%, $F$9) + CHOOSE(CONTROL!$C$27, 0.0021, 0)</f>
        <v>93.386700000000005</v>
      </c>
      <c r="I874" s="10">
        <f>93.3846 * CHOOSE(CONTROL!$C$9, $D$9, 100%, $F$9) + CHOOSE(CONTROL!$C$27, 0.0021, 0)</f>
        <v>93.386700000000005</v>
      </c>
      <c r="J874" s="10">
        <f>93.3846 * CHOOSE(CONTROL!$C$9, $D$9, 100%, $F$9) + CHOOSE(CONTROL!$C$27, 0.0021, 0)</f>
        <v>93.386700000000005</v>
      </c>
      <c r="K874" s="10">
        <f>93.3846 * CHOOSE(CONTROL!$C$9, $D$9, 100%, $F$9) + CHOOSE(CONTROL!$C$27, 0.0021, 0)</f>
        <v>93.386700000000005</v>
      </c>
      <c r="L874" s="10"/>
    </row>
    <row r="875" spans="1:12" ht="15.75" x14ac:dyDescent="0.25">
      <c r="A875" s="13">
        <v>67572</v>
      </c>
      <c r="B875" s="10">
        <f>92.0223 * CHOOSE(CONTROL!$C$9, $D$9, 100%, $F$9) + CHOOSE(CONTROL!$C$27, 0.0021, 0)</f>
        <v>92.0244</v>
      </c>
      <c r="C875" s="10">
        <f>91.5901 * CHOOSE(CONTROL!$C$9, $D$9, 100%, $F$9) + CHOOSE(CONTROL!$C$27, 0.0021, 0)</f>
        <v>91.592200000000005</v>
      </c>
      <c r="D875" s="10">
        <f>91.5901 * CHOOSE(CONTROL!$C$9, $D$9, 100%, $F$9) + CHOOSE(CONTROL!$C$27, 0.0021, 0)</f>
        <v>91.592200000000005</v>
      </c>
      <c r="E875" s="10">
        <f>91.4534 * CHOOSE(CONTROL!$C$9, $D$9, 100%, $F$9) + CHOOSE(CONTROL!$C$27, 0.0021, 0)</f>
        <v>91.455500000000001</v>
      </c>
      <c r="F875" s="10">
        <f>91.4534 * CHOOSE(CONTROL!$C$9, $D$9, 100%, $F$9) + CHOOSE(CONTROL!$C$27, 0.0021, 0)</f>
        <v>91.455500000000001</v>
      </c>
      <c r="G875" s="10">
        <f>91.7248 * CHOOSE(CONTROL!$C$9, $D$9, 100%, $F$9) + CHOOSE(CONTROL!$C$27, 0.0021, 0)</f>
        <v>91.726900000000001</v>
      </c>
      <c r="H875" s="10">
        <f>91.5901 * CHOOSE(CONTROL!$C$9, $D$9, 100%, $F$9) + CHOOSE(CONTROL!$C$27, 0.0021, 0)</f>
        <v>91.592200000000005</v>
      </c>
      <c r="I875" s="10">
        <f>91.5901 * CHOOSE(CONTROL!$C$9, $D$9, 100%, $F$9) + CHOOSE(CONTROL!$C$27, 0.0021, 0)</f>
        <v>91.592200000000005</v>
      </c>
      <c r="J875" s="10">
        <f>91.5901 * CHOOSE(CONTROL!$C$9, $D$9, 100%, $F$9) + CHOOSE(CONTROL!$C$27, 0.0021, 0)</f>
        <v>91.592200000000005</v>
      </c>
      <c r="K875" s="10">
        <f>91.5901 * CHOOSE(CONTROL!$C$9, $D$9, 100%, $F$9) + CHOOSE(CONTROL!$C$27, 0.0021, 0)</f>
        <v>91.592200000000005</v>
      </c>
      <c r="L875" s="10"/>
    </row>
    <row r="876" spans="1:12" ht="15.75" x14ac:dyDescent="0.25">
      <c r="A876" s="13">
        <v>67603</v>
      </c>
      <c r="B876" s="10">
        <f>90.8466 * CHOOSE(CONTROL!$C$9, $D$9, 100%, $F$9) + CHOOSE(CONTROL!$C$27, 0.0021, 0)</f>
        <v>90.848699999999994</v>
      </c>
      <c r="C876" s="10">
        <f>90.4144 * CHOOSE(CONTROL!$C$9, $D$9, 100%, $F$9) + CHOOSE(CONTROL!$C$27, 0.0021, 0)</f>
        <v>90.416499999999999</v>
      </c>
      <c r="D876" s="10">
        <f>90.4144 * CHOOSE(CONTROL!$C$9, $D$9, 100%, $F$9) + CHOOSE(CONTROL!$C$27, 0.0021, 0)</f>
        <v>90.416499999999999</v>
      </c>
      <c r="E876" s="10">
        <f>90.2777 * CHOOSE(CONTROL!$C$9, $D$9, 100%, $F$9) + CHOOSE(CONTROL!$C$27, 0.0021, 0)</f>
        <v>90.279799999999994</v>
      </c>
      <c r="F876" s="10">
        <f>90.2777 * CHOOSE(CONTROL!$C$9, $D$9, 100%, $F$9) + CHOOSE(CONTROL!$C$27, 0.0021, 0)</f>
        <v>90.279799999999994</v>
      </c>
      <c r="G876" s="10">
        <f>90.5491 * CHOOSE(CONTROL!$C$9, $D$9, 100%, $F$9) + CHOOSE(CONTROL!$C$27, 0.0021, 0)</f>
        <v>90.551199999999994</v>
      </c>
      <c r="H876" s="10">
        <f>90.4144 * CHOOSE(CONTROL!$C$9, $D$9, 100%, $F$9) + CHOOSE(CONTROL!$C$27, 0.0021, 0)</f>
        <v>90.416499999999999</v>
      </c>
      <c r="I876" s="10">
        <f>90.4144 * CHOOSE(CONTROL!$C$9, $D$9, 100%, $F$9) + CHOOSE(CONTROL!$C$27, 0.0021, 0)</f>
        <v>90.416499999999999</v>
      </c>
      <c r="J876" s="10">
        <f>90.4144 * CHOOSE(CONTROL!$C$9, $D$9, 100%, $F$9) + CHOOSE(CONTROL!$C$27, 0.0021, 0)</f>
        <v>90.416499999999999</v>
      </c>
      <c r="K876" s="10">
        <f>90.4144 * CHOOSE(CONTROL!$C$9, $D$9, 100%, $F$9) + CHOOSE(CONTROL!$C$27, 0.0021, 0)</f>
        <v>90.416499999999999</v>
      </c>
      <c r="L876" s="10"/>
    </row>
    <row r="877" spans="1:12" ht="15.75" x14ac:dyDescent="0.25">
      <c r="A877" s="13">
        <v>67631</v>
      </c>
      <c r="B877" s="10">
        <f>88.3418 * CHOOSE(CONTROL!$C$9, $D$9, 100%, $F$9) + CHOOSE(CONTROL!$C$27, 0.0021, 0)</f>
        <v>88.343900000000005</v>
      </c>
      <c r="C877" s="10">
        <f>87.9096 * CHOOSE(CONTROL!$C$9, $D$9, 100%, $F$9) + CHOOSE(CONTROL!$C$27, 0.0021, 0)</f>
        <v>87.911699999999996</v>
      </c>
      <c r="D877" s="10">
        <f>87.9096 * CHOOSE(CONTROL!$C$9, $D$9, 100%, $F$9) + CHOOSE(CONTROL!$C$27, 0.0021, 0)</f>
        <v>87.911699999999996</v>
      </c>
      <c r="E877" s="10">
        <f>87.7729 * CHOOSE(CONTROL!$C$9, $D$9, 100%, $F$9) + CHOOSE(CONTROL!$C$27, 0.0021, 0)</f>
        <v>87.775000000000006</v>
      </c>
      <c r="F877" s="10">
        <f>87.7729 * CHOOSE(CONTROL!$C$9, $D$9, 100%, $F$9) + CHOOSE(CONTROL!$C$27, 0.0021, 0)</f>
        <v>87.775000000000006</v>
      </c>
      <c r="G877" s="10">
        <f>88.0443 * CHOOSE(CONTROL!$C$9, $D$9, 100%, $F$9) + CHOOSE(CONTROL!$C$27, 0.0021, 0)</f>
        <v>88.046400000000006</v>
      </c>
      <c r="H877" s="10">
        <f>87.9096 * CHOOSE(CONTROL!$C$9, $D$9, 100%, $F$9) + CHOOSE(CONTROL!$C$27, 0.0021, 0)</f>
        <v>87.911699999999996</v>
      </c>
      <c r="I877" s="10">
        <f>87.9096 * CHOOSE(CONTROL!$C$9, $D$9, 100%, $F$9) + CHOOSE(CONTROL!$C$27, 0.0021, 0)</f>
        <v>87.911699999999996</v>
      </c>
      <c r="J877" s="10">
        <f>87.9096 * CHOOSE(CONTROL!$C$9, $D$9, 100%, $F$9) + CHOOSE(CONTROL!$C$27, 0.0021, 0)</f>
        <v>87.911699999999996</v>
      </c>
      <c r="K877" s="10">
        <f>87.9096 * CHOOSE(CONTROL!$C$9, $D$9, 100%, $F$9) + CHOOSE(CONTROL!$C$27, 0.0021, 0)</f>
        <v>87.911699999999996</v>
      </c>
      <c r="L877" s="10"/>
    </row>
    <row r="878" spans="1:12" ht="15.75" x14ac:dyDescent="0.25">
      <c r="A878" s="13">
        <v>67662</v>
      </c>
      <c r="B878" s="10">
        <f>87.3079 * CHOOSE(CONTROL!$C$9, $D$9, 100%, $F$9) + CHOOSE(CONTROL!$C$27, 0.0021, 0)</f>
        <v>87.31</v>
      </c>
      <c r="C878" s="10">
        <f>86.8756 * CHOOSE(CONTROL!$C$9, $D$9, 100%, $F$9) + CHOOSE(CONTROL!$C$27, 0.0021, 0)</f>
        <v>86.877700000000004</v>
      </c>
      <c r="D878" s="10">
        <f>86.8756 * CHOOSE(CONTROL!$C$9, $D$9, 100%, $F$9) + CHOOSE(CONTROL!$C$27, 0.0021, 0)</f>
        <v>86.877700000000004</v>
      </c>
      <c r="E878" s="10">
        <f>86.739 * CHOOSE(CONTROL!$C$9, $D$9, 100%, $F$9) + CHOOSE(CONTROL!$C$27, 0.0021, 0)</f>
        <v>86.741100000000003</v>
      </c>
      <c r="F878" s="10">
        <f>86.739 * CHOOSE(CONTROL!$C$9, $D$9, 100%, $F$9) + CHOOSE(CONTROL!$C$27, 0.0021, 0)</f>
        <v>86.741100000000003</v>
      </c>
      <c r="G878" s="10">
        <f>87.0103 * CHOOSE(CONTROL!$C$9, $D$9, 100%, $F$9) + CHOOSE(CONTROL!$C$27, 0.0021, 0)</f>
        <v>87.0124</v>
      </c>
      <c r="H878" s="10">
        <f>86.8756 * CHOOSE(CONTROL!$C$9, $D$9, 100%, $F$9) + CHOOSE(CONTROL!$C$27, 0.0021, 0)</f>
        <v>86.877700000000004</v>
      </c>
      <c r="I878" s="10">
        <f>86.8756 * CHOOSE(CONTROL!$C$9, $D$9, 100%, $F$9) + CHOOSE(CONTROL!$C$27, 0.0021, 0)</f>
        <v>86.877700000000004</v>
      </c>
      <c r="J878" s="10">
        <f>86.8756 * CHOOSE(CONTROL!$C$9, $D$9, 100%, $F$9) + CHOOSE(CONTROL!$C$27, 0.0021, 0)</f>
        <v>86.877700000000004</v>
      </c>
      <c r="K878" s="10">
        <f>86.8756 * CHOOSE(CONTROL!$C$9, $D$9, 100%, $F$9) + CHOOSE(CONTROL!$C$27, 0.0021, 0)</f>
        <v>86.877700000000004</v>
      </c>
      <c r="L878" s="10"/>
    </row>
    <row r="879" spans="1:12" ht="15.75" x14ac:dyDescent="0.25">
      <c r="A879" s="13">
        <v>67692</v>
      </c>
      <c r="B879" s="10">
        <f>86.0733 * CHOOSE(CONTROL!$C$9, $D$9, 100%, $F$9) + CHOOSE(CONTROL!$C$27, 0.0021, 0)</f>
        <v>86.075400000000002</v>
      </c>
      <c r="C879" s="10">
        <f>85.641 * CHOOSE(CONTROL!$C$9, $D$9, 100%, $F$9) + CHOOSE(CONTROL!$C$27, 0.0021, 0)</f>
        <v>85.643100000000004</v>
      </c>
      <c r="D879" s="10">
        <f>85.641 * CHOOSE(CONTROL!$C$9, $D$9, 100%, $F$9) + CHOOSE(CONTROL!$C$27, 0.0021, 0)</f>
        <v>85.643100000000004</v>
      </c>
      <c r="E879" s="10">
        <f>85.5044 * CHOOSE(CONTROL!$C$9, $D$9, 100%, $F$9) + CHOOSE(CONTROL!$C$27, 0.0021, 0)</f>
        <v>85.506500000000003</v>
      </c>
      <c r="F879" s="10">
        <f>85.5044 * CHOOSE(CONTROL!$C$9, $D$9, 100%, $F$9) + CHOOSE(CONTROL!$C$27, 0.0021, 0)</f>
        <v>85.506500000000003</v>
      </c>
      <c r="G879" s="10">
        <f>85.7758 * CHOOSE(CONTROL!$C$9, $D$9, 100%, $F$9) + CHOOSE(CONTROL!$C$27, 0.0021, 0)</f>
        <v>85.777900000000002</v>
      </c>
      <c r="H879" s="10">
        <f>85.641 * CHOOSE(CONTROL!$C$9, $D$9, 100%, $F$9) + CHOOSE(CONTROL!$C$27, 0.0021, 0)</f>
        <v>85.643100000000004</v>
      </c>
      <c r="I879" s="10">
        <f>85.641 * CHOOSE(CONTROL!$C$9, $D$9, 100%, $F$9) + CHOOSE(CONTROL!$C$27, 0.0021, 0)</f>
        <v>85.643100000000004</v>
      </c>
      <c r="J879" s="10">
        <f>85.641 * CHOOSE(CONTROL!$C$9, $D$9, 100%, $F$9) + CHOOSE(CONTROL!$C$27, 0.0021, 0)</f>
        <v>85.643100000000004</v>
      </c>
      <c r="K879" s="10">
        <f>85.641 * CHOOSE(CONTROL!$C$9, $D$9, 100%, $F$9) + CHOOSE(CONTROL!$C$27, 0.0021, 0)</f>
        <v>85.643100000000004</v>
      </c>
      <c r="L879" s="10"/>
    </row>
    <row r="880" spans="1:12" ht="15.75" x14ac:dyDescent="0.25">
      <c r="A880" s="13">
        <v>67723</v>
      </c>
      <c r="B880" s="10">
        <f>87.8327 * CHOOSE(CONTROL!$C$9, $D$9, 100%, $F$9) + CHOOSE(CONTROL!$C$27, 0.0021, 0)</f>
        <v>87.834800000000001</v>
      </c>
      <c r="C880" s="10">
        <f>87.4005 * CHOOSE(CONTROL!$C$9, $D$9, 100%, $F$9) + CHOOSE(CONTROL!$C$27, 0.0021, 0)</f>
        <v>87.402599999999993</v>
      </c>
      <c r="D880" s="10">
        <f>87.4005 * CHOOSE(CONTROL!$C$9, $D$9, 100%, $F$9) + CHOOSE(CONTROL!$C$27, 0.0021, 0)</f>
        <v>87.402599999999993</v>
      </c>
      <c r="E880" s="10">
        <f>87.2638 * CHOOSE(CONTROL!$C$9, $D$9, 100%, $F$9) + CHOOSE(CONTROL!$C$27, 0.0021, 0)</f>
        <v>87.265900000000002</v>
      </c>
      <c r="F880" s="10">
        <f>87.2638 * CHOOSE(CONTROL!$C$9, $D$9, 100%, $F$9) + CHOOSE(CONTROL!$C$27, 0.0021, 0)</f>
        <v>87.265900000000002</v>
      </c>
      <c r="G880" s="10">
        <f>87.5352 * CHOOSE(CONTROL!$C$9, $D$9, 100%, $F$9) + CHOOSE(CONTROL!$C$27, 0.0021, 0)</f>
        <v>87.537300000000002</v>
      </c>
      <c r="H880" s="10">
        <f>87.4005 * CHOOSE(CONTROL!$C$9, $D$9, 100%, $F$9) + CHOOSE(CONTROL!$C$27, 0.0021, 0)</f>
        <v>87.402599999999993</v>
      </c>
      <c r="I880" s="10">
        <f>87.4005 * CHOOSE(CONTROL!$C$9, $D$9, 100%, $F$9) + CHOOSE(CONTROL!$C$27, 0.0021, 0)</f>
        <v>87.402599999999993</v>
      </c>
      <c r="J880" s="10">
        <f>87.4005 * CHOOSE(CONTROL!$C$9, $D$9, 100%, $F$9) + CHOOSE(CONTROL!$C$27, 0.0021, 0)</f>
        <v>87.402599999999993</v>
      </c>
      <c r="K880" s="10">
        <f>87.4005 * CHOOSE(CONTROL!$C$9, $D$9, 100%, $F$9) + CHOOSE(CONTROL!$C$27, 0.0021, 0)</f>
        <v>87.402599999999993</v>
      </c>
      <c r="L880" s="10"/>
    </row>
    <row r="881" spans="1:12" ht="15.75" x14ac:dyDescent="0.25">
      <c r="A881" s="13">
        <v>67753</v>
      </c>
      <c r="B881" s="10">
        <f>88.8866 * CHOOSE(CONTROL!$C$9, $D$9, 100%, $F$9) + CHOOSE(CONTROL!$C$27, 0.0021, 0)</f>
        <v>88.8887</v>
      </c>
      <c r="C881" s="10">
        <f>88.4543 * CHOOSE(CONTROL!$C$9, $D$9, 100%, $F$9) + CHOOSE(CONTROL!$C$27, 0.0021, 0)</f>
        <v>88.456400000000002</v>
      </c>
      <c r="D881" s="10">
        <f>88.4543 * CHOOSE(CONTROL!$C$9, $D$9, 100%, $F$9) + CHOOSE(CONTROL!$C$27, 0.0021, 0)</f>
        <v>88.456400000000002</v>
      </c>
      <c r="E881" s="10">
        <f>88.3177 * CHOOSE(CONTROL!$C$9, $D$9, 100%, $F$9) + CHOOSE(CONTROL!$C$27, 0.0021, 0)</f>
        <v>88.319800000000001</v>
      </c>
      <c r="F881" s="10">
        <f>88.3177 * CHOOSE(CONTROL!$C$9, $D$9, 100%, $F$9) + CHOOSE(CONTROL!$C$27, 0.0021, 0)</f>
        <v>88.319800000000001</v>
      </c>
      <c r="G881" s="10">
        <f>88.589 * CHOOSE(CONTROL!$C$9, $D$9, 100%, $F$9) + CHOOSE(CONTROL!$C$27, 0.0021, 0)</f>
        <v>88.591099999999997</v>
      </c>
      <c r="H881" s="10">
        <f>88.4543 * CHOOSE(CONTROL!$C$9, $D$9, 100%, $F$9) + CHOOSE(CONTROL!$C$27, 0.0021, 0)</f>
        <v>88.456400000000002</v>
      </c>
      <c r="I881" s="10">
        <f>88.4543 * CHOOSE(CONTROL!$C$9, $D$9, 100%, $F$9) + CHOOSE(CONTROL!$C$27, 0.0021, 0)</f>
        <v>88.456400000000002</v>
      </c>
      <c r="J881" s="10">
        <f>88.4543 * CHOOSE(CONTROL!$C$9, $D$9, 100%, $F$9) + CHOOSE(CONTROL!$C$27, 0.0021, 0)</f>
        <v>88.456400000000002</v>
      </c>
      <c r="K881" s="10">
        <f>88.4543 * CHOOSE(CONTROL!$C$9, $D$9, 100%, $F$9) + CHOOSE(CONTROL!$C$27, 0.0021, 0)</f>
        <v>88.456400000000002</v>
      </c>
      <c r="L881" s="10"/>
    </row>
    <row r="882" spans="1:12" ht="15.75" x14ac:dyDescent="0.25">
      <c r="A882" s="13">
        <v>67784</v>
      </c>
      <c r="B882" s="10">
        <f>90.625 * CHOOSE(CONTROL!$C$9, $D$9, 100%, $F$9) + CHOOSE(CONTROL!$C$27, 0.0021, 0)</f>
        <v>90.627099999999999</v>
      </c>
      <c r="C882" s="10">
        <f>90.1927 * CHOOSE(CONTROL!$C$9, $D$9, 100%, $F$9) + CHOOSE(CONTROL!$C$27, 0.0021, 0)</f>
        <v>90.194800000000001</v>
      </c>
      <c r="D882" s="10">
        <f>90.1927 * CHOOSE(CONTROL!$C$9, $D$9, 100%, $F$9) + CHOOSE(CONTROL!$C$27, 0.0021, 0)</f>
        <v>90.194800000000001</v>
      </c>
      <c r="E882" s="10">
        <f>90.0561 * CHOOSE(CONTROL!$C$9, $D$9, 100%, $F$9) + CHOOSE(CONTROL!$C$27, 0.0021, 0)</f>
        <v>90.058199999999999</v>
      </c>
      <c r="F882" s="10">
        <f>90.0561 * CHOOSE(CONTROL!$C$9, $D$9, 100%, $F$9) + CHOOSE(CONTROL!$C$27, 0.0021, 0)</f>
        <v>90.058199999999999</v>
      </c>
      <c r="G882" s="10">
        <f>90.3275 * CHOOSE(CONTROL!$C$9, $D$9, 100%, $F$9) + CHOOSE(CONTROL!$C$27, 0.0021, 0)</f>
        <v>90.329599999999999</v>
      </c>
      <c r="H882" s="10">
        <f>90.1927 * CHOOSE(CONTROL!$C$9, $D$9, 100%, $F$9) + CHOOSE(CONTROL!$C$27, 0.0021, 0)</f>
        <v>90.194800000000001</v>
      </c>
      <c r="I882" s="10">
        <f>90.1927 * CHOOSE(CONTROL!$C$9, $D$9, 100%, $F$9) + CHOOSE(CONTROL!$C$27, 0.0021, 0)</f>
        <v>90.194800000000001</v>
      </c>
      <c r="J882" s="10">
        <f>90.1927 * CHOOSE(CONTROL!$C$9, $D$9, 100%, $F$9) + CHOOSE(CONTROL!$C$27, 0.0021, 0)</f>
        <v>90.194800000000001</v>
      </c>
      <c r="K882" s="10">
        <f>90.1927 * CHOOSE(CONTROL!$C$9, $D$9, 100%, $F$9) + CHOOSE(CONTROL!$C$27, 0.0021, 0)</f>
        <v>90.194800000000001</v>
      </c>
      <c r="L882" s="10"/>
    </row>
    <row r="883" spans="1:12" ht="15.75" x14ac:dyDescent="0.25">
      <c r="A883" s="13">
        <v>67815</v>
      </c>
      <c r="B883" s="10">
        <f>91.1556 * CHOOSE(CONTROL!$C$9, $D$9, 100%, $F$9) + CHOOSE(CONTROL!$C$27, 0.0021, 0)</f>
        <v>91.157700000000006</v>
      </c>
      <c r="C883" s="10">
        <f>90.7234 * CHOOSE(CONTROL!$C$9, $D$9, 100%, $F$9) + CHOOSE(CONTROL!$C$27, 0.0021, 0)</f>
        <v>90.725499999999997</v>
      </c>
      <c r="D883" s="10">
        <f>90.7234 * CHOOSE(CONTROL!$C$9, $D$9, 100%, $F$9) + CHOOSE(CONTROL!$C$27, 0.0021, 0)</f>
        <v>90.725499999999997</v>
      </c>
      <c r="E883" s="10">
        <f>90.5867 * CHOOSE(CONTROL!$C$9, $D$9, 100%, $F$9) + CHOOSE(CONTROL!$C$27, 0.0021, 0)</f>
        <v>90.588799999999992</v>
      </c>
      <c r="F883" s="10">
        <f>90.5867 * CHOOSE(CONTROL!$C$9, $D$9, 100%, $F$9) + CHOOSE(CONTROL!$C$27, 0.0021, 0)</f>
        <v>90.588799999999992</v>
      </c>
      <c r="G883" s="10">
        <f>90.8581 * CHOOSE(CONTROL!$C$9, $D$9, 100%, $F$9) + CHOOSE(CONTROL!$C$27, 0.0021, 0)</f>
        <v>90.860199999999992</v>
      </c>
      <c r="H883" s="10">
        <f>90.7234 * CHOOSE(CONTROL!$C$9, $D$9, 100%, $F$9) + CHOOSE(CONTROL!$C$27, 0.0021, 0)</f>
        <v>90.725499999999997</v>
      </c>
      <c r="I883" s="10">
        <f>90.7234 * CHOOSE(CONTROL!$C$9, $D$9, 100%, $F$9) + CHOOSE(CONTROL!$C$27, 0.0021, 0)</f>
        <v>90.725499999999997</v>
      </c>
      <c r="J883" s="10">
        <f>90.7234 * CHOOSE(CONTROL!$C$9, $D$9, 100%, $F$9) + CHOOSE(CONTROL!$C$27, 0.0021, 0)</f>
        <v>90.725499999999997</v>
      </c>
      <c r="K883" s="10">
        <f>90.7234 * CHOOSE(CONTROL!$C$9, $D$9, 100%, $F$9) + CHOOSE(CONTROL!$C$27, 0.0021, 0)</f>
        <v>90.725499999999997</v>
      </c>
      <c r="L883" s="10"/>
    </row>
    <row r="884" spans="1:12" ht="15.75" x14ac:dyDescent="0.25">
      <c r="A884" s="13">
        <v>67845</v>
      </c>
      <c r="B884" s="10">
        <f>92.9626 * CHOOSE(CONTROL!$C$9, $D$9, 100%, $F$9) + CHOOSE(CONTROL!$C$27, 0.0021, 0)</f>
        <v>92.964699999999993</v>
      </c>
      <c r="C884" s="10">
        <f>92.5304 * CHOOSE(CONTROL!$C$9, $D$9, 100%, $F$9) + CHOOSE(CONTROL!$C$27, 0.0021, 0)</f>
        <v>92.532499999999999</v>
      </c>
      <c r="D884" s="10">
        <f>92.5304 * CHOOSE(CONTROL!$C$9, $D$9, 100%, $F$9) + CHOOSE(CONTROL!$C$27, 0.0021, 0)</f>
        <v>92.532499999999999</v>
      </c>
      <c r="E884" s="10">
        <f>92.3937 * CHOOSE(CONTROL!$C$9, $D$9, 100%, $F$9) + CHOOSE(CONTROL!$C$27, 0.0021, 0)</f>
        <v>92.395799999999994</v>
      </c>
      <c r="F884" s="10">
        <f>92.3937 * CHOOSE(CONTROL!$C$9, $D$9, 100%, $F$9) + CHOOSE(CONTROL!$C$27, 0.0021, 0)</f>
        <v>92.395799999999994</v>
      </c>
      <c r="G884" s="10">
        <f>92.6651 * CHOOSE(CONTROL!$C$9, $D$9, 100%, $F$9) + CHOOSE(CONTROL!$C$27, 0.0021, 0)</f>
        <v>92.667199999999994</v>
      </c>
      <c r="H884" s="10">
        <f>92.5304 * CHOOSE(CONTROL!$C$9, $D$9, 100%, $F$9) + CHOOSE(CONTROL!$C$27, 0.0021, 0)</f>
        <v>92.532499999999999</v>
      </c>
      <c r="I884" s="10">
        <f>92.5304 * CHOOSE(CONTROL!$C$9, $D$9, 100%, $F$9) + CHOOSE(CONTROL!$C$27, 0.0021, 0)</f>
        <v>92.532499999999999</v>
      </c>
      <c r="J884" s="10">
        <f>92.5304 * CHOOSE(CONTROL!$C$9, $D$9, 100%, $F$9) + CHOOSE(CONTROL!$C$27, 0.0021, 0)</f>
        <v>92.532499999999999</v>
      </c>
      <c r="K884" s="10">
        <f>92.5304 * CHOOSE(CONTROL!$C$9, $D$9, 100%, $F$9) + CHOOSE(CONTROL!$C$27, 0.0021, 0)</f>
        <v>92.532499999999999</v>
      </c>
      <c r="L884" s="10"/>
    </row>
    <row r="885" spans="1:12" ht="15.75" x14ac:dyDescent="0.25">
      <c r="A885" s="13">
        <v>67876</v>
      </c>
      <c r="B885" s="10">
        <f>95.25 * CHOOSE(CONTROL!$C$9, $D$9, 100%, $F$9) + CHOOSE(CONTROL!$C$27, 0.0021, 0)</f>
        <v>95.252099999999999</v>
      </c>
      <c r="C885" s="10">
        <f>94.8178 * CHOOSE(CONTROL!$C$9, $D$9, 100%, $F$9) + CHOOSE(CONTROL!$C$27, 0.0021, 0)</f>
        <v>94.819900000000004</v>
      </c>
      <c r="D885" s="10">
        <f>94.8178 * CHOOSE(CONTROL!$C$9, $D$9, 100%, $F$9) + CHOOSE(CONTROL!$C$27, 0.0021, 0)</f>
        <v>94.819900000000004</v>
      </c>
      <c r="E885" s="10">
        <f>94.6811 * CHOOSE(CONTROL!$C$9, $D$9, 100%, $F$9) + CHOOSE(CONTROL!$C$27, 0.0021, 0)</f>
        <v>94.683199999999999</v>
      </c>
      <c r="F885" s="10">
        <f>94.6811 * CHOOSE(CONTROL!$C$9, $D$9, 100%, $F$9) + CHOOSE(CONTROL!$C$27, 0.0021, 0)</f>
        <v>94.683199999999999</v>
      </c>
      <c r="G885" s="10">
        <f>94.9525 * CHOOSE(CONTROL!$C$9, $D$9, 100%, $F$9) + CHOOSE(CONTROL!$C$27, 0.0021, 0)</f>
        <v>94.954599999999999</v>
      </c>
      <c r="H885" s="10">
        <f>94.8178 * CHOOSE(CONTROL!$C$9, $D$9, 100%, $F$9) + CHOOSE(CONTROL!$C$27, 0.0021, 0)</f>
        <v>94.819900000000004</v>
      </c>
      <c r="I885" s="10">
        <f>94.8178 * CHOOSE(CONTROL!$C$9, $D$9, 100%, $F$9) + CHOOSE(CONTROL!$C$27, 0.0021, 0)</f>
        <v>94.819900000000004</v>
      </c>
      <c r="J885" s="10">
        <f>94.8178 * CHOOSE(CONTROL!$C$9, $D$9, 100%, $F$9) + CHOOSE(CONTROL!$C$27, 0.0021, 0)</f>
        <v>94.819900000000004</v>
      </c>
      <c r="K885" s="10">
        <f>94.8178 * CHOOSE(CONTROL!$C$9, $D$9, 100%, $F$9) + CHOOSE(CONTROL!$C$27, 0.0021, 0)</f>
        <v>94.819900000000004</v>
      </c>
      <c r="L885" s="10"/>
    </row>
    <row r="886" spans="1:12" ht="15.75" x14ac:dyDescent="0.25">
      <c r="A886" s="13">
        <v>67906</v>
      </c>
      <c r="B886" s="10">
        <f>95.4648 * CHOOSE(CONTROL!$C$9, $D$9, 100%, $F$9) + CHOOSE(CONTROL!$C$27, 0.0021, 0)</f>
        <v>95.466899999999995</v>
      </c>
      <c r="C886" s="10">
        <f>95.0325 * CHOOSE(CONTROL!$C$9, $D$9, 100%, $F$9) + CHOOSE(CONTROL!$C$27, 0.0021, 0)</f>
        <v>95.034599999999998</v>
      </c>
      <c r="D886" s="10">
        <f>95.0325 * CHOOSE(CONTROL!$C$9, $D$9, 100%, $F$9) + CHOOSE(CONTROL!$C$27, 0.0021, 0)</f>
        <v>95.034599999999998</v>
      </c>
      <c r="E886" s="10">
        <f>94.8959 * CHOOSE(CONTROL!$C$9, $D$9, 100%, $F$9) + CHOOSE(CONTROL!$C$27, 0.0021, 0)</f>
        <v>94.897999999999996</v>
      </c>
      <c r="F886" s="10">
        <f>94.8959 * CHOOSE(CONTROL!$C$9, $D$9, 100%, $F$9) + CHOOSE(CONTROL!$C$27, 0.0021, 0)</f>
        <v>94.897999999999996</v>
      </c>
      <c r="G886" s="10">
        <f>95.1672 * CHOOSE(CONTROL!$C$9, $D$9, 100%, $F$9) + CHOOSE(CONTROL!$C$27, 0.0021, 0)</f>
        <v>95.169299999999993</v>
      </c>
      <c r="H886" s="10">
        <f>95.0325 * CHOOSE(CONTROL!$C$9, $D$9, 100%, $F$9) + CHOOSE(CONTROL!$C$27, 0.0021, 0)</f>
        <v>95.034599999999998</v>
      </c>
      <c r="I886" s="10">
        <f>95.0325 * CHOOSE(CONTROL!$C$9, $D$9, 100%, $F$9) + CHOOSE(CONTROL!$C$27, 0.0021, 0)</f>
        <v>95.034599999999998</v>
      </c>
      <c r="J886" s="10">
        <f>95.0325 * CHOOSE(CONTROL!$C$9, $D$9, 100%, $F$9) + CHOOSE(CONTROL!$C$27, 0.0021, 0)</f>
        <v>95.034599999999998</v>
      </c>
      <c r="K886" s="10">
        <f>95.0325 * CHOOSE(CONTROL!$C$9, $D$9, 100%, $F$9) + CHOOSE(CONTROL!$C$27, 0.0021, 0)</f>
        <v>95.034599999999998</v>
      </c>
      <c r="L886" s="10"/>
    </row>
    <row r="887" spans="1:12" ht="15.75" x14ac:dyDescent="0.25">
      <c r="A887" s="13">
        <v>67937</v>
      </c>
      <c r="B887" s="10">
        <f>93.6379 * CHOOSE(CONTROL!$C$9, $D$9, 100%, $F$9) + CHOOSE(CONTROL!$C$27, 0.0021, 0)</f>
        <v>93.64</v>
      </c>
      <c r="C887" s="10">
        <f>93.2056 * CHOOSE(CONTROL!$C$9, $D$9, 100%, $F$9) + CHOOSE(CONTROL!$C$27, 0.0021, 0)</f>
        <v>93.207700000000003</v>
      </c>
      <c r="D887" s="10">
        <f>93.2056 * CHOOSE(CONTROL!$C$9, $D$9, 100%, $F$9) + CHOOSE(CONTROL!$C$27, 0.0021, 0)</f>
        <v>93.207700000000003</v>
      </c>
      <c r="E887" s="10">
        <f>93.069 * CHOOSE(CONTROL!$C$9, $D$9, 100%, $F$9) + CHOOSE(CONTROL!$C$27, 0.0021, 0)</f>
        <v>93.071100000000001</v>
      </c>
      <c r="F887" s="10">
        <f>93.069 * CHOOSE(CONTROL!$C$9, $D$9, 100%, $F$9) + CHOOSE(CONTROL!$C$27, 0.0021, 0)</f>
        <v>93.071100000000001</v>
      </c>
      <c r="G887" s="10">
        <f>93.3404 * CHOOSE(CONTROL!$C$9, $D$9, 100%, $F$9) + CHOOSE(CONTROL!$C$27, 0.0021, 0)</f>
        <v>93.342500000000001</v>
      </c>
      <c r="H887" s="10">
        <f>93.2056 * CHOOSE(CONTROL!$C$9, $D$9, 100%, $F$9) + CHOOSE(CONTROL!$C$27, 0.0021, 0)</f>
        <v>93.207700000000003</v>
      </c>
      <c r="I887" s="10">
        <f>93.2056 * CHOOSE(CONTROL!$C$9, $D$9, 100%, $F$9) + CHOOSE(CONTROL!$C$27, 0.0021, 0)</f>
        <v>93.207700000000003</v>
      </c>
      <c r="J887" s="10">
        <f>93.2056 * CHOOSE(CONTROL!$C$9, $D$9, 100%, $F$9) + CHOOSE(CONTROL!$C$27, 0.0021, 0)</f>
        <v>93.207700000000003</v>
      </c>
      <c r="K887" s="10">
        <f>93.2056 * CHOOSE(CONTROL!$C$9, $D$9, 100%, $F$9) + CHOOSE(CONTROL!$C$27, 0.0021, 0)</f>
        <v>93.207700000000003</v>
      </c>
      <c r="L887" s="10"/>
    </row>
    <row r="888" spans="1:12" ht="15.75" x14ac:dyDescent="0.25">
      <c r="A888" s="13">
        <v>67968</v>
      </c>
      <c r="B888" s="10">
        <f>92.441 * CHOOSE(CONTROL!$C$9, $D$9, 100%, $F$9) + CHOOSE(CONTROL!$C$27, 0.0021, 0)</f>
        <v>92.443100000000001</v>
      </c>
      <c r="C888" s="10">
        <f>92.0088 * CHOOSE(CONTROL!$C$9, $D$9, 100%, $F$9) + CHOOSE(CONTROL!$C$27, 0.0021, 0)</f>
        <v>92.010899999999992</v>
      </c>
      <c r="D888" s="10">
        <f>92.0088 * CHOOSE(CONTROL!$C$9, $D$9, 100%, $F$9) + CHOOSE(CONTROL!$C$27, 0.0021, 0)</f>
        <v>92.010899999999992</v>
      </c>
      <c r="E888" s="10">
        <f>91.8721 * CHOOSE(CONTROL!$C$9, $D$9, 100%, $F$9) + CHOOSE(CONTROL!$C$27, 0.0021, 0)</f>
        <v>91.874200000000002</v>
      </c>
      <c r="F888" s="10">
        <f>91.8721 * CHOOSE(CONTROL!$C$9, $D$9, 100%, $F$9) + CHOOSE(CONTROL!$C$27, 0.0021, 0)</f>
        <v>91.874200000000002</v>
      </c>
      <c r="G888" s="10">
        <f>92.1435 * CHOOSE(CONTROL!$C$9, $D$9, 100%, $F$9) + CHOOSE(CONTROL!$C$27, 0.0021, 0)</f>
        <v>92.145600000000002</v>
      </c>
      <c r="H888" s="10">
        <f>92.0088 * CHOOSE(CONTROL!$C$9, $D$9, 100%, $F$9) + CHOOSE(CONTROL!$C$27, 0.0021, 0)</f>
        <v>92.010899999999992</v>
      </c>
      <c r="I888" s="10">
        <f>92.0088 * CHOOSE(CONTROL!$C$9, $D$9, 100%, $F$9) + CHOOSE(CONTROL!$C$27, 0.0021, 0)</f>
        <v>92.010899999999992</v>
      </c>
      <c r="J888" s="10">
        <f>92.0088 * CHOOSE(CONTROL!$C$9, $D$9, 100%, $F$9) + CHOOSE(CONTROL!$C$27, 0.0021, 0)</f>
        <v>92.010899999999992</v>
      </c>
      <c r="K888" s="10">
        <f>92.0088 * CHOOSE(CONTROL!$C$9, $D$9, 100%, $F$9) + CHOOSE(CONTROL!$C$27, 0.0021, 0)</f>
        <v>92.010899999999992</v>
      </c>
      <c r="L888" s="10"/>
    </row>
    <row r="889" spans="1:12" ht="15.75" x14ac:dyDescent="0.25">
      <c r="A889" s="13">
        <v>67996</v>
      </c>
      <c r="B889" s="10">
        <f>89.8912 * CHOOSE(CONTROL!$C$9, $D$9, 100%, $F$9) + CHOOSE(CONTROL!$C$27, 0.0021, 0)</f>
        <v>89.893299999999996</v>
      </c>
      <c r="C889" s="10">
        <f>89.4589 * CHOOSE(CONTROL!$C$9, $D$9, 100%, $F$9) + CHOOSE(CONTROL!$C$27, 0.0021, 0)</f>
        <v>89.460999999999999</v>
      </c>
      <c r="D889" s="10">
        <f>89.4589 * CHOOSE(CONTROL!$C$9, $D$9, 100%, $F$9) + CHOOSE(CONTROL!$C$27, 0.0021, 0)</f>
        <v>89.460999999999999</v>
      </c>
      <c r="E889" s="10">
        <f>89.3223 * CHOOSE(CONTROL!$C$9, $D$9, 100%, $F$9) + CHOOSE(CONTROL!$C$27, 0.0021, 0)</f>
        <v>89.324399999999997</v>
      </c>
      <c r="F889" s="10">
        <f>89.3223 * CHOOSE(CONTROL!$C$9, $D$9, 100%, $F$9) + CHOOSE(CONTROL!$C$27, 0.0021, 0)</f>
        <v>89.324399999999997</v>
      </c>
      <c r="G889" s="10">
        <f>89.5936 * CHOOSE(CONTROL!$C$9, $D$9, 100%, $F$9) + CHOOSE(CONTROL!$C$27, 0.0021, 0)</f>
        <v>89.595699999999994</v>
      </c>
      <c r="H889" s="10">
        <f>89.4589 * CHOOSE(CONTROL!$C$9, $D$9, 100%, $F$9) + CHOOSE(CONTROL!$C$27, 0.0021, 0)</f>
        <v>89.460999999999999</v>
      </c>
      <c r="I889" s="10">
        <f>89.4589 * CHOOSE(CONTROL!$C$9, $D$9, 100%, $F$9) + CHOOSE(CONTROL!$C$27, 0.0021, 0)</f>
        <v>89.460999999999999</v>
      </c>
      <c r="J889" s="10">
        <f>89.4589 * CHOOSE(CONTROL!$C$9, $D$9, 100%, $F$9) + CHOOSE(CONTROL!$C$27, 0.0021, 0)</f>
        <v>89.460999999999999</v>
      </c>
      <c r="K889" s="10">
        <f>89.4589 * CHOOSE(CONTROL!$C$9, $D$9, 100%, $F$9) + CHOOSE(CONTROL!$C$27, 0.0021, 0)</f>
        <v>89.460999999999999</v>
      </c>
      <c r="L889" s="10"/>
    </row>
    <row r="890" spans="1:12" ht="15.75" x14ac:dyDescent="0.25">
      <c r="A890" s="13">
        <v>68027</v>
      </c>
      <c r="B890" s="10">
        <f>88.8386 * CHOOSE(CONTROL!$C$9, $D$9, 100%, $F$9) + CHOOSE(CONTROL!$C$27, 0.0021, 0)</f>
        <v>88.840699999999998</v>
      </c>
      <c r="C890" s="10">
        <f>88.4063 * CHOOSE(CONTROL!$C$9, $D$9, 100%, $F$9) + CHOOSE(CONTROL!$C$27, 0.0021, 0)</f>
        <v>88.4084</v>
      </c>
      <c r="D890" s="10">
        <f>88.4063 * CHOOSE(CONTROL!$C$9, $D$9, 100%, $F$9) + CHOOSE(CONTROL!$C$27, 0.0021, 0)</f>
        <v>88.4084</v>
      </c>
      <c r="E890" s="10">
        <f>88.2697 * CHOOSE(CONTROL!$C$9, $D$9, 100%, $F$9) + CHOOSE(CONTROL!$C$27, 0.0021, 0)</f>
        <v>88.271799999999999</v>
      </c>
      <c r="F890" s="10">
        <f>88.2697 * CHOOSE(CONTROL!$C$9, $D$9, 100%, $F$9) + CHOOSE(CONTROL!$C$27, 0.0021, 0)</f>
        <v>88.271799999999999</v>
      </c>
      <c r="G890" s="10">
        <f>88.541 * CHOOSE(CONTROL!$C$9, $D$9, 100%, $F$9) + CHOOSE(CONTROL!$C$27, 0.0021, 0)</f>
        <v>88.543099999999995</v>
      </c>
      <c r="H890" s="10">
        <f>88.4063 * CHOOSE(CONTROL!$C$9, $D$9, 100%, $F$9) + CHOOSE(CONTROL!$C$27, 0.0021, 0)</f>
        <v>88.4084</v>
      </c>
      <c r="I890" s="10">
        <f>88.4063 * CHOOSE(CONTROL!$C$9, $D$9, 100%, $F$9) + CHOOSE(CONTROL!$C$27, 0.0021, 0)</f>
        <v>88.4084</v>
      </c>
      <c r="J890" s="10">
        <f>88.4063 * CHOOSE(CONTROL!$C$9, $D$9, 100%, $F$9) + CHOOSE(CONTROL!$C$27, 0.0021, 0)</f>
        <v>88.4084</v>
      </c>
      <c r="K890" s="10">
        <f>88.4063 * CHOOSE(CONTROL!$C$9, $D$9, 100%, $F$9) + CHOOSE(CONTROL!$C$27, 0.0021, 0)</f>
        <v>88.4084</v>
      </c>
      <c r="L890" s="10"/>
    </row>
    <row r="891" spans="1:12" ht="15.75" x14ac:dyDescent="0.25">
      <c r="A891" s="13">
        <v>68057</v>
      </c>
      <c r="B891" s="10">
        <f>87.5817 * CHOOSE(CONTROL!$C$9, $D$9, 100%, $F$9) + CHOOSE(CONTROL!$C$27, 0.0021, 0)</f>
        <v>87.583799999999997</v>
      </c>
      <c r="C891" s="10">
        <f>87.1495 * CHOOSE(CONTROL!$C$9, $D$9, 100%, $F$9) + CHOOSE(CONTROL!$C$27, 0.0021, 0)</f>
        <v>87.151600000000002</v>
      </c>
      <c r="D891" s="10">
        <f>87.1495 * CHOOSE(CONTROL!$C$9, $D$9, 100%, $F$9) + CHOOSE(CONTROL!$C$27, 0.0021, 0)</f>
        <v>87.151600000000002</v>
      </c>
      <c r="E891" s="10">
        <f>87.0128 * CHOOSE(CONTROL!$C$9, $D$9, 100%, $F$9) + CHOOSE(CONTROL!$C$27, 0.0021, 0)</f>
        <v>87.014899999999997</v>
      </c>
      <c r="F891" s="10">
        <f>87.0128 * CHOOSE(CONTROL!$C$9, $D$9, 100%, $F$9) + CHOOSE(CONTROL!$C$27, 0.0021, 0)</f>
        <v>87.014899999999997</v>
      </c>
      <c r="G891" s="10">
        <f>87.2842 * CHOOSE(CONTROL!$C$9, $D$9, 100%, $F$9) + CHOOSE(CONTROL!$C$27, 0.0021, 0)</f>
        <v>87.286299999999997</v>
      </c>
      <c r="H891" s="10">
        <f>87.1495 * CHOOSE(CONTROL!$C$9, $D$9, 100%, $F$9) + CHOOSE(CONTROL!$C$27, 0.0021, 0)</f>
        <v>87.151600000000002</v>
      </c>
      <c r="I891" s="10">
        <f>87.1495 * CHOOSE(CONTROL!$C$9, $D$9, 100%, $F$9) + CHOOSE(CONTROL!$C$27, 0.0021, 0)</f>
        <v>87.151600000000002</v>
      </c>
      <c r="J891" s="10">
        <f>87.1495 * CHOOSE(CONTROL!$C$9, $D$9, 100%, $F$9) + CHOOSE(CONTROL!$C$27, 0.0021, 0)</f>
        <v>87.151600000000002</v>
      </c>
      <c r="K891" s="10">
        <f>87.1495 * CHOOSE(CONTROL!$C$9, $D$9, 100%, $F$9) + CHOOSE(CONTROL!$C$27, 0.0021, 0)</f>
        <v>87.151600000000002</v>
      </c>
      <c r="L891" s="10"/>
    </row>
    <row r="892" spans="1:12" ht="15.75" x14ac:dyDescent="0.25">
      <c r="A892" s="13">
        <v>68088</v>
      </c>
      <c r="B892" s="10">
        <f>89.3729 * CHOOSE(CONTROL!$C$9, $D$9, 100%, $F$9) + CHOOSE(CONTROL!$C$27, 0.0021, 0)</f>
        <v>89.375</v>
      </c>
      <c r="C892" s="10">
        <f>88.9406 * CHOOSE(CONTROL!$C$9, $D$9, 100%, $F$9) + CHOOSE(CONTROL!$C$27, 0.0021, 0)</f>
        <v>88.942700000000002</v>
      </c>
      <c r="D892" s="10">
        <f>88.9406 * CHOOSE(CONTROL!$C$9, $D$9, 100%, $F$9) + CHOOSE(CONTROL!$C$27, 0.0021, 0)</f>
        <v>88.942700000000002</v>
      </c>
      <c r="E892" s="10">
        <f>88.804 * CHOOSE(CONTROL!$C$9, $D$9, 100%, $F$9) + CHOOSE(CONTROL!$C$27, 0.0021, 0)</f>
        <v>88.806100000000001</v>
      </c>
      <c r="F892" s="10">
        <f>88.804 * CHOOSE(CONTROL!$C$9, $D$9, 100%, $F$9) + CHOOSE(CONTROL!$C$27, 0.0021, 0)</f>
        <v>88.806100000000001</v>
      </c>
      <c r="G892" s="10">
        <f>89.0753 * CHOOSE(CONTROL!$C$9, $D$9, 100%, $F$9) + CHOOSE(CONTROL!$C$27, 0.0021, 0)</f>
        <v>89.077399999999997</v>
      </c>
      <c r="H892" s="10">
        <f>88.9406 * CHOOSE(CONTROL!$C$9, $D$9, 100%, $F$9) + CHOOSE(CONTROL!$C$27, 0.0021, 0)</f>
        <v>88.942700000000002</v>
      </c>
      <c r="I892" s="10">
        <f>88.9406 * CHOOSE(CONTROL!$C$9, $D$9, 100%, $F$9) + CHOOSE(CONTROL!$C$27, 0.0021, 0)</f>
        <v>88.942700000000002</v>
      </c>
      <c r="J892" s="10">
        <f>88.9406 * CHOOSE(CONTROL!$C$9, $D$9, 100%, $F$9) + CHOOSE(CONTROL!$C$27, 0.0021, 0)</f>
        <v>88.942700000000002</v>
      </c>
      <c r="K892" s="10">
        <f>88.9406 * CHOOSE(CONTROL!$C$9, $D$9, 100%, $F$9) + CHOOSE(CONTROL!$C$27, 0.0021, 0)</f>
        <v>88.942700000000002</v>
      </c>
      <c r="L892" s="10"/>
    </row>
    <row r="893" spans="1:12" ht="15.75" x14ac:dyDescent="0.25">
      <c r="A893" s="13">
        <v>68118</v>
      </c>
      <c r="B893" s="10">
        <f>90.4457 * CHOOSE(CONTROL!$C$9, $D$9, 100%, $F$9) + CHOOSE(CONTROL!$C$27, 0.0021, 0)</f>
        <v>90.447800000000001</v>
      </c>
      <c r="C893" s="10">
        <f>90.0134 * CHOOSE(CONTROL!$C$9, $D$9, 100%, $F$9) + CHOOSE(CONTROL!$C$27, 0.0021, 0)</f>
        <v>90.015500000000003</v>
      </c>
      <c r="D893" s="10">
        <f>90.0134 * CHOOSE(CONTROL!$C$9, $D$9, 100%, $F$9) + CHOOSE(CONTROL!$C$27, 0.0021, 0)</f>
        <v>90.015500000000003</v>
      </c>
      <c r="E893" s="10">
        <f>89.8768 * CHOOSE(CONTROL!$C$9, $D$9, 100%, $F$9) + CHOOSE(CONTROL!$C$27, 0.0021, 0)</f>
        <v>89.878900000000002</v>
      </c>
      <c r="F893" s="10">
        <f>89.8768 * CHOOSE(CONTROL!$C$9, $D$9, 100%, $F$9) + CHOOSE(CONTROL!$C$27, 0.0021, 0)</f>
        <v>89.878900000000002</v>
      </c>
      <c r="G893" s="10">
        <f>90.1481 * CHOOSE(CONTROL!$C$9, $D$9, 100%, $F$9) + CHOOSE(CONTROL!$C$27, 0.0021, 0)</f>
        <v>90.150199999999998</v>
      </c>
      <c r="H893" s="10">
        <f>90.0134 * CHOOSE(CONTROL!$C$9, $D$9, 100%, $F$9) + CHOOSE(CONTROL!$C$27, 0.0021, 0)</f>
        <v>90.015500000000003</v>
      </c>
      <c r="I893" s="10">
        <f>90.0134 * CHOOSE(CONTROL!$C$9, $D$9, 100%, $F$9) + CHOOSE(CONTROL!$C$27, 0.0021, 0)</f>
        <v>90.015500000000003</v>
      </c>
      <c r="J893" s="10">
        <f>90.0134 * CHOOSE(CONTROL!$C$9, $D$9, 100%, $F$9) + CHOOSE(CONTROL!$C$27, 0.0021, 0)</f>
        <v>90.015500000000003</v>
      </c>
      <c r="K893" s="10">
        <f>90.0134 * CHOOSE(CONTROL!$C$9, $D$9, 100%, $F$9) + CHOOSE(CONTROL!$C$27, 0.0021, 0)</f>
        <v>90.015500000000003</v>
      </c>
      <c r="L893" s="10"/>
    </row>
    <row r="894" spans="1:12" ht="15.75" x14ac:dyDescent="0.25">
      <c r="A894" s="13">
        <v>68149</v>
      </c>
      <c r="B894" s="10">
        <f>92.2154 * CHOOSE(CONTROL!$C$9, $D$9, 100%, $F$9) + CHOOSE(CONTROL!$C$27, 0.0021, 0)</f>
        <v>92.217500000000001</v>
      </c>
      <c r="C894" s="10">
        <f>91.7832 * CHOOSE(CONTROL!$C$9, $D$9, 100%, $F$9) + CHOOSE(CONTROL!$C$27, 0.0021, 0)</f>
        <v>91.785299999999992</v>
      </c>
      <c r="D894" s="10">
        <f>91.7832 * CHOOSE(CONTROL!$C$9, $D$9, 100%, $F$9) + CHOOSE(CONTROL!$C$27, 0.0021, 0)</f>
        <v>91.785299999999992</v>
      </c>
      <c r="E894" s="10">
        <f>91.6465 * CHOOSE(CONTROL!$C$9, $D$9, 100%, $F$9) + CHOOSE(CONTROL!$C$27, 0.0021, 0)</f>
        <v>91.648600000000002</v>
      </c>
      <c r="F894" s="10">
        <f>91.6465 * CHOOSE(CONTROL!$C$9, $D$9, 100%, $F$9) + CHOOSE(CONTROL!$C$27, 0.0021, 0)</f>
        <v>91.648600000000002</v>
      </c>
      <c r="G894" s="10">
        <f>91.9179 * CHOOSE(CONTROL!$C$9, $D$9, 100%, $F$9) + CHOOSE(CONTROL!$C$27, 0.0021, 0)</f>
        <v>91.92</v>
      </c>
      <c r="H894" s="10">
        <f>91.7832 * CHOOSE(CONTROL!$C$9, $D$9, 100%, $F$9) + CHOOSE(CONTROL!$C$27, 0.0021, 0)</f>
        <v>91.785299999999992</v>
      </c>
      <c r="I894" s="10">
        <f>91.7832 * CHOOSE(CONTROL!$C$9, $D$9, 100%, $F$9) + CHOOSE(CONTROL!$C$27, 0.0021, 0)</f>
        <v>91.785299999999992</v>
      </c>
      <c r="J894" s="10">
        <f>91.7832 * CHOOSE(CONTROL!$C$9, $D$9, 100%, $F$9) + CHOOSE(CONTROL!$C$27, 0.0021, 0)</f>
        <v>91.785299999999992</v>
      </c>
      <c r="K894" s="10">
        <f>91.7832 * CHOOSE(CONTROL!$C$9, $D$9, 100%, $F$9) + CHOOSE(CONTROL!$C$27, 0.0021, 0)</f>
        <v>91.785299999999992</v>
      </c>
      <c r="L894" s="10"/>
    </row>
    <row r="895" spans="1:12" ht="15.75" x14ac:dyDescent="0.25">
      <c r="A895" s="13">
        <v>68180</v>
      </c>
      <c r="B895" s="10">
        <f>92.7556 * CHOOSE(CONTROL!$C$9, $D$9, 100%, $F$9) + CHOOSE(CONTROL!$C$27, 0.0021, 0)</f>
        <v>92.7577</v>
      </c>
      <c r="C895" s="10">
        <f>92.3233 * CHOOSE(CONTROL!$C$9, $D$9, 100%, $F$9) + CHOOSE(CONTROL!$C$27, 0.0021, 0)</f>
        <v>92.325400000000002</v>
      </c>
      <c r="D895" s="10">
        <f>92.3233 * CHOOSE(CONTROL!$C$9, $D$9, 100%, $F$9) + CHOOSE(CONTROL!$C$27, 0.0021, 0)</f>
        <v>92.325400000000002</v>
      </c>
      <c r="E895" s="10">
        <f>92.1867 * CHOOSE(CONTROL!$C$9, $D$9, 100%, $F$9) + CHOOSE(CONTROL!$C$27, 0.0021, 0)</f>
        <v>92.188800000000001</v>
      </c>
      <c r="F895" s="10">
        <f>92.1867 * CHOOSE(CONTROL!$C$9, $D$9, 100%, $F$9) + CHOOSE(CONTROL!$C$27, 0.0021, 0)</f>
        <v>92.188800000000001</v>
      </c>
      <c r="G895" s="10">
        <f>92.4581 * CHOOSE(CONTROL!$C$9, $D$9, 100%, $F$9) + CHOOSE(CONTROL!$C$27, 0.0021, 0)</f>
        <v>92.4602</v>
      </c>
      <c r="H895" s="10">
        <f>92.3233 * CHOOSE(CONTROL!$C$9, $D$9, 100%, $F$9) + CHOOSE(CONTROL!$C$27, 0.0021, 0)</f>
        <v>92.325400000000002</v>
      </c>
      <c r="I895" s="10">
        <f>92.3233 * CHOOSE(CONTROL!$C$9, $D$9, 100%, $F$9) + CHOOSE(CONTROL!$C$27, 0.0021, 0)</f>
        <v>92.325400000000002</v>
      </c>
      <c r="J895" s="10">
        <f>92.3233 * CHOOSE(CONTROL!$C$9, $D$9, 100%, $F$9) + CHOOSE(CONTROL!$C$27, 0.0021, 0)</f>
        <v>92.325400000000002</v>
      </c>
      <c r="K895" s="10">
        <f>92.3233 * CHOOSE(CONTROL!$C$9, $D$9, 100%, $F$9) + CHOOSE(CONTROL!$C$27, 0.0021, 0)</f>
        <v>92.325400000000002</v>
      </c>
      <c r="L895" s="10"/>
    </row>
    <row r="896" spans="1:12" ht="15.75" x14ac:dyDescent="0.25">
      <c r="A896" s="13">
        <v>68210</v>
      </c>
      <c r="B896" s="10">
        <f>94.5952 * CHOOSE(CONTROL!$C$9, $D$9, 100%, $F$9) + CHOOSE(CONTROL!$C$27, 0.0021, 0)</f>
        <v>94.597300000000004</v>
      </c>
      <c r="C896" s="10">
        <f>94.1629 * CHOOSE(CONTROL!$C$9, $D$9, 100%, $F$9) + CHOOSE(CONTROL!$C$27, 0.0021, 0)</f>
        <v>94.164999999999992</v>
      </c>
      <c r="D896" s="10">
        <f>94.1629 * CHOOSE(CONTROL!$C$9, $D$9, 100%, $F$9) + CHOOSE(CONTROL!$C$27, 0.0021, 0)</f>
        <v>94.164999999999992</v>
      </c>
      <c r="E896" s="10">
        <f>94.0262 * CHOOSE(CONTROL!$C$9, $D$9, 100%, $F$9) + CHOOSE(CONTROL!$C$27, 0.0021, 0)</f>
        <v>94.028300000000002</v>
      </c>
      <c r="F896" s="10">
        <f>94.0262 * CHOOSE(CONTROL!$C$9, $D$9, 100%, $F$9) + CHOOSE(CONTROL!$C$27, 0.0021, 0)</f>
        <v>94.028300000000002</v>
      </c>
      <c r="G896" s="10">
        <f>94.2976 * CHOOSE(CONTROL!$C$9, $D$9, 100%, $F$9) + CHOOSE(CONTROL!$C$27, 0.0021, 0)</f>
        <v>94.299700000000001</v>
      </c>
      <c r="H896" s="10">
        <f>94.1629 * CHOOSE(CONTROL!$C$9, $D$9, 100%, $F$9) + CHOOSE(CONTROL!$C$27, 0.0021, 0)</f>
        <v>94.164999999999992</v>
      </c>
      <c r="I896" s="10">
        <f>94.1629 * CHOOSE(CONTROL!$C$9, $D$9, 100%, $F$9) + CHOOSE(CONTROL!$C$27, 0.0021, 0)</f>
        <v>94.164999999999992</v>
      </c>
      <c r="J896" s="10">
        <f>94.1629 * CHOOSE(CONTROL!$C$9, $D$9, 100%, $F$9) + CHOOSE(CONTROL!$C$27, 0.0021, 0)</f>
        <v>94.164999999999992</v>
      </c>
      <c r="K896" s="10">
        <f>94.1629 * CHOOSE(CONTROL!$C$9, $D$9, 100%, $F$9) + CHOOSE(CONTROL!$C$27, 0.0021, 0)</f>
        <v>94.164999999999992</v>
      </c>
      <c r="L896" s="10"/>
    </row>
    <row r="897" spans="1:12" ht="15.75" x14ac:dyDescent="0.25">
      <c r="A897" s="13">
        <v>68241</v>
      </c>
      <c r="B897" s="10">
        <f>96.9237 * CHOOSE(CONTROL!$C$9, $D$9, 100%, $F$9) + CHOOSE(CONTROL!$C$27, 0.0021, 0)</f>
        <v>96.925799999999995</v>
      </c>
      <c r="C897" s="10">
        <f>96.4915 * CHOOSE(CONTROL!$C$9, $D$9, 100%, $F$9) + CHOOSE(CONTROL!$C$27, 0.0021, 0)</f>
        <v>96.493600000000001</v>
      </c>
      <c r="D897" s="10">
        <f>96.4915 * CHOOSE(CONTROL!$C$9, $D$9, 100%, $F$9) + CHOOSE(CONTROL!$C$27, 0.0021, 0)</f>
        <v>96.493600000000001</v>
      </c>
      <c r="E897" s="10">
        <f>96.3548 * CHOOSE(CONTROL!$C$9, $D$9, 100%, $F$9) + CHOOSE(CONTROL!$C$27, 0.0021, 0)</f>
        <v>96.356899999999996</v>
      </c>
      <c r="F897" s="10">
        <f>96.3548 * CHOOSE(CONTROL!$C$9, $D$9, 100%, $F$9) + CHOOSE(CONTROL!$C$27, 0.0021, 0)</f>
        <v>96.356899999999996</v>
      </c>
      <c r="G897" s="10">
        <f>96.6262 * CHOOSE(CONTROL!$C$9, $D$9, 100%, $F$9) + CHOOSE(CONTROL!$C$27, 0.0021, 0)</f>
        <v>96.628299999999996</v>
      </c>
      <c r="H897" s="10">
        <f>96.4915 * CHOOSE(CONTROL!$C$9, $D$9, 100%, $F$9) + CHOOSE(CONTROL!$C$27, 0.0021, 0)</f>
        <v>96.493600000000001</v>
      </c>
      <c r="I897" s="10">
        <f>96.4915 * CHOOSE(CONTROL!$C$9, $D$9, 100%, $F$9) + CHOOSE(CONTROL!$C$27, 0.0021, 0)</f>
        <v>96.493600000000001</v>
      </c>
      <c r="J897" s="10">
        <f>96.4915 * CHOOSE(CONTROL!$C$9, $D$9, 100%, $F$9) + CHOOSE(CONTROL!$C$27, 0.0021, 0)</f>
        <v>96.493600000000001</v>
      </c>
      <c r="K897" s="10">
        <f>96.4915 * CHOOSE(CONTROL!$C$9, $D$9, 100%, $F$9) + CHOOSE(CONTROL!$C$27, 0.0021, 0)</f>
        <v>96.493600000000001</v>
      </c>
      <c r="L897" s="10"/>
    </row>
    <row r="898" spans="1:12" ht="15.75" x14ac:dyDescent="0.25">
      <c r="A898" s="13">
        <v>68271</v>
      </c>
      <c r="B898" s="10">
        <f>97.1423 * CHOOSE(CONTROL!$C$9, $D$9, 100%, $F$9) + CHOOSE(CONTROL!$C$27, 0.0021, 0)</f>
        <v>97.144400000000005</v>
      </c>
      <c r="C898" s="10">
        <f>96.7101 * CHOOSE(CONTROL!$C$9, $D$9, 100%, $F$9) + CHOOSE(CONTROL!$C$27, 0.0021, 0)</f>
        <v>96.712199999999996</v>
      </c>
      <c r="D898" s="10">
        <f>96.7101 * CHOOSE(CONTROL!$C$9, $D$9, 100%, $F$9) + CHOOSE(CONTROL!$C$27, 0.0021, 0)</f>
        <v>96.712199999999996</v>
      </c>
      <c r="E898" s="10">
        <f>96.5734 * CHOOSE(CONTROL!$C$9, $D$9, 100%, $F$9) + CHOOSE(CONTROL!$C$27, 0.0021, 0)</f>
        <v>96.575500000000005</v>
      </c>
      <c r="F898" s="10">
        <f>96.5734 * CHOOSE(CONTROL!$C$9, $D$9, 100%, $F$9) + CHOOSE(CONTROL!$C$27, 0.0021, 0)</f>
        <v>96.575500000000005</v>
      </c>
      <c r="G898" s="10">
        <f>96.8448 * CHOOSE(CONTROL!$C$9, $D$9, 100%, $F$9) + CHOOSE(CONTROL!$C$27, 0.0021, 0)</f>
        <v>96.846900000000005</v>
      </c>
      <c r="H898" s="10">
        <f>96.7101 * CHOOSE(CONTROL!$C$9, $D$9, 100%, $F$9) + CHOOSE(CONTROL!$C$27, 0.0021, 0)</f>
        <v>96.712199999999996</v>
      </c>
      <c r="I898" s="10">
        <f>96.7101 * CHOOSE(CONTROL!$C$9, $D$9, 100%, $F$9) + CHOOSE(CONTROL!$C$27, 0.0021, 0)</f>
        <v>96.712199999999996</v>
      </c>
      <c r="J898" s="10">
        <f>96.7101 * CHOOSE(CONTROL!$C$9, $D$9, 100%, $F$9) + CHOOSE(CONTROL!$C$27, 0.0021, 0)</f>
        <v>96.712199999999996</v>
      </c>
      <c r="K898" s="10">
        <f>96.7101 * CHOOSE(CONTROL!$C$9, $D$9, 100%, $F$9) + CHOOSE(CONTROL!$C$27, 0.0021, 0)</f>
        <v>96.712199999999996</v>
      </c>
      <c r="L898" s="10"/>
    </row>
    <row r="899" spans="1:12" ht="15.75" x14ac:dyDescent="0.25">
      <c r="A899" s="13">
        <v>68302</v>
      </c>
      <c r="B899" s="10">
        <f>95.2825 * CHOOSE(CONTROL!$C$9, $D$9, 100%, $F$9) + CHOOSE(CONTROL!$C$27, 0.0021, 0)</f>
        <v>95.284599999999998</v>
      </c>
      <c r="C899" s="10">
        <f>94.8503 * CHOOSE(CONTROL!$C$9, $D$9, 100%, $F$9) + CHOOSE(CONTROL!$C$27, 0.0021, 0)</f>
        <v>94.852400000000003</v>
      </c>
      <c r="D899" s="10">
        <f>94.8503 * CHOOSE(CONTROL!$C$9, $D$9, 100%, $F$9) + CHOOSE(CONTROL!$C$27, 0.0021, 0)</f>
        <v>94.852400000000003</v>
      </c>
      <c r="E899" s="10">
        <f>94.7136 * CHOOSE(CONTROL!$C$9, $D$9, 100%, $F$9) + CHOOSE(CONTROL!$C$27, 0.0021, 0)</f>
        <v>94.715699999999998</v>
      </c>
      <c r="F899" s="10">
        <f>94.7136 * CHOOSE(CONTROL!$C$9, $D$9, 100%, $F$9) + CHOOSE(CONTROL!$C$27, 0.0021, 0)</f>
        <v>94.715699999999998</v>
      </c>
      <c r="G899" s="10">
        <f>94.985 * CHOOSE(CONTROL!$C$9, $D$9, 100%, $F$9) + CHOOSE(CONTROL!$C$27, 0.0021, 0)</f>
        <v>94.987099999999998</v>
      </c>
      <c r="H899" s="10">
        <f>94.8503 * CHOOSE(CONTROL!$C$9, $D$9, 100%, $F$9) + CHOOSE(CONTROL!$C$27, 0.0021, 0)</f>
        <v>94.852400000000003</v>
      </c>
      <c r="I899" s="10">
        <f>94.8503 * CHOOSE(CONTROL!$C$9, $D$9, 100%, $F$9) + CHOOSE(CONTROL!$C$27, 0.0021, 0)</f>
        <v>94.852400000000003</v>
      </c>
      <c r="J899" s="10">
        <f>94.8503 * CHOOSE(CONTROL!$C$9, $D$9, 100%, $F$9) + CHOOSE(CONTROL!$C$27, 0.0021, 0)</f>
        <v>94.852400000000003</v>
      </c>
      <c r="K899" s="10">
        <f>94.8503 * CHOOSE(CONTROL!$C$9, $D$9, 100%, $F$9) + CHOOSE(CONTROL!$C$27, 0.0021, 0)</f>
        <v>94.852400000000003</v>
      </c>
      <c r="L899" s="10"/>
    </row>
    <row r="900" spans="1:12" ht="15.75" x14ac:dyDescent="0.25">
      <c r="A900" s="13">
        <v>68333</v>
      </c>
      <c r="B900" s="10">
        <f>94.0642 * CHOOSE(CONTROL!$C$9, $D$9, 100%, $F$9) + CHOOSE(CONTROL!$C$27, 0.0021, 0)</f>
        <v>94.066299999999998</v>
      </c>
      <c r="C900" s="10">
        <f>93.6319 * CHOOSE(CONTROL!$C$9, $D$9, 100%, $F$9) + CHOOSE(CONTROL!$C$27, 0.0021, 0)</f>
        <v>93.634</v>
      </c>
      <c r="D900" s="10">
        <f>93.6319 * CHOOSE(CONTROL!$C$9, $D$9, 100%, $F$9) + CHOOSE(CONTROL!$C$27, 0.0021, 0)</f>
        <v>93.634</v>
      </c>
      <c r="E900" s="10">
        <f>93.4953 * CHOOSE(CONTROL!$C$9, $D$9, 100%, $F$9) + CHOOSE(CONTROL!$C$27, 0.0021, 0)</f>
        <v>93.497399999999999</v>
      </c>
      <c r="F900" s="10">
        <f>93.4953 * CHOOSE(CONTROL!$C$9, $D$9, 100%, $F$9) + CHOOSE(CONTROL!$C$27, 0.0021, 0)</f>
        <v>93.497399999999999</v>
      </c>
      <c r="G900" s="10">
        <f>93.7666 * CHOOSE(CONTROL!$C$9, $D$9, 100%, $F$9) + CHOOSE(CONTROL!$C$27, 0.0021, 0)</f>
        <v>93.768699999999995</v>
      </c>
      <c r="H900" s="10">
        <f>93.6319 * CHOOSE(CONTROL!$C$9, $D$9, 100%, $F$9) + CHOOSE(CONTROL!$C$27, 0.0021, 0)</f>
        <v>93.634</v>
      </c>
      <c r="I900" s="10">
        <f>93.6319 * CHOOSE(CONTROL!$C$9, $D$9, 100%, $F$9) + CHOOSE(CONTROL!$C$27, 0.0021, 0)</f>
        <v>93.634</v>
      </c>
      <c r="J900" s="10">
        <f>93.6319 * CHOOSE(CONTROL!$C$9, $D$9, 100%, $F$9) + CHOOSE(CONTROL!$C$27, 0.0021, 0)</f>
        <v>93.634</v>
      </c>
      <c r="K900" s="10">
        <f>93.6319 * CHOOSE(CONTROL!$C$9, $D$9, 100%, $F$9) + CHOOSE(CONTROL!$C$27, 0.0021, 0)</f>
        <v>93.634</v>
      </c>
      <c r="L900" s="10"/>
    </row>
    <row r="901" spans="1:12" ht="15.75" x14ac:dyDescent="0.25">
      <c r="A901" s="13">
        <v>68361</v>
      </c>
      <c r="B901" s="10">
        <f>91.4684 * CHOOSE(CONTROL!$C$9, $D$9, 100%, $F$9) + CHOOSE(CONTROL!$C$27, 0.0021, 0)</f>
        <v>91.470500000000001</v>
      </c>
      <c r="C901" s="10">
        <f>91.0361 * CHOOSE(CONTROL!$C$9, $D$9, 100%, $F$9) + CHOOSE(CONTROL!$C$27, 0.0021, 0)</f>
        <v>91.038200000000003</v>
      </c>
      <c r="D901" s="10">
        <f>91.0361 * CHOOSE(CONTROL!$C$9, $D$9, 100%, $F$9) + CHOOSE(CONTROL!$C$27, 0.0021, 0)</f>
        <v>91.038200000000003</v>
      </c>
      <c r="E901" s="10">
        <f>90.8995 * CHOOSE(CONTROL!$C$9, $D$9, 100%, $F$9) + CHOOSE(CONTROL!$C$27, 0.0021, 0)</f>
        <v>90.901600000000002</v>
      </c>
      <c r="F901" s="10">
        <f>90.8995 * CHOOSE(CONTROL!$C$9, $D$9, 100%, $F$9) + CHOOSE(CONTROL!$C$27, 0.0021, 0)</f>
        <v>90.901600000000002</v>
      </c>
      <c r="G901" s="10">
        <f>91.1708 * CHOOSE(CONTROL!$C$9, $D$9, 100%, $F$9) + CHOOSE(CONTROL!$C$27, 0.0021, 0)</f>
        <v>91.172899999999998</v>
      </c>
      <c r="H901" s="10">
        <f>91.0361 * CHOOSE(CONTROL!$C$9, $D$9, 100%, $F$9) + CHOOSE(CONTROL!$C$27, 0.0021, 0)</f>
        <v>91.038200000000003</v>
      </c>
      <c r="I901" s="10">
        <f>91.0361 * CHOOSE(CONTROL!$C$9, $D$9, 100%, $F$9) + CHOOSE(CONTROL!$C$27, 0.0021, 0)</f>
        <v>91.038200000000003</v>
      </c>
      <c r="J901" s="10">
        <f>91.0361 * CHOOSE(CONTROL!$C$9, $D$9, 100%, $F$9) + CHOOSE(CONTROL!$C$27, 0.0021, 0)</f>
        <v>91.038200000000003</v>
      </c>
      <c r="K901" s="10">
        <f>91.0361 * CHOOSE(CONTROL!$C$9, $D$9, 100%, $F$9) + CHOOSE(CONTROL!$C$27, 0.0021, 0)</f>
        <v>91.038200000000003</v>
      </c>
      <c r="L901" s="10"/>
    </row>
    <row r="902" spans="1:12" ht="15.75" x14ac:dyDescent="0.25">
      <c r="A902" s="13">
        <v>68392</v>
      </c>
      <c r="B902" s="10">
        <f>90.3968 * CHOOSE(CONTROL!$C$9, $D$9, 100%, $F$9) + CHOOSE(CONTROL!$C$27, 0.0021, 0)</f>
        <v>90.398899999999998</v>
      </c>
      <c r="C902" s="10">
        <f>89.9646 * CHOOSE(CONTROL!$C$9, $D$9, 100%, $F$9) + CHOOSE(CONTROL!$C$27, 0.0021, 0)</f>
        <v>89.966700000000003</v>
      </c>
      <c r="D902" s="10">
        <f>89.9646 * CHOOSE(CONTROL!$C$9, $D$9, 100%, $F$9) + CHOOSE(CONTROL!$C$27, 0.0021, 0)</f>
        <v>89.966700000000003</v>
      </c>
      <c r="E902" s="10">
        <f>89.8279 * CHOOSE(CONTROL!$C$9, $D$9, 100%, $F$9) + CHOOSE(CONTROL!$C$27, 0.0021, 0)</f>
        <v>89.83</v>
      </c>
      <c r="F902" s="10">
        <f>89.8279 * CHOOSE(CONTROL!$C$9, $D$9, 100%, $F$9) + CHOOSE(CONTROL!$C$27, 0.0021, 0)</f>
        <v>89.83</v>
      </c>
      <c r="G902" s="10">
        <f>90.0993 * CHOOSE(CONTROL!$C$9, $D$9, 100%, $F$9) + CHOOSE(CONTROL!$C$27, 0.0021, 0)</f>
        <v>90.101399999999998</v>
      </c>
      <c r="H902" s="10">
        <f>89.9646 * CHOOSE(CONTROL!$C$9, $D$9, 100%, $F$9) + CHOOSE(CONTROL!$C$27, 0.0021, 0)</f>
        <v>89.966700000000003</v>
      </c>
      <c r="I902" s="10">
        <f>89.9646 * CHOOSE(CONTROL!$C$9, $D$9, 100%, $F$9) + CHOOSE(CONTROL!$C$27, 0.0021, 0)</f>
        <v>89.966700000000003</v>
      </c>
      <c r="J902" s="10">
        <f>89.9646 * CHOOSE(CONTROL!$C$9, $D$9, 100%, $F$9) + CHOOSE(CONTROL!$C$27, 0.0021, 0)</f>
        <v>89.966700000000003</v>
      </c>
      <c r="K902" s="10">
        <f>89.9646 * CHOOSE(CONTROL!$C$9, $D$9, 100%, $F$9) + CHOOSE(CONTROL!$C$27, 0.0021, 0)</f>
        <v>89.966700000000003</v>
      </c>
      <c r="L902" s="10"/>
    </row>
    <row r="903" spans="1:12" ht="15.75" x14ac:dyDescent="0.25">
      <c r="A903" s="13">
        <v>68422</v>
      </c>
      <c r="B903" s="10">
        <f>89.1174 * CHOOSE(CONTROL!$C$9, $D$9, 100%, $F$9) + CHOOSE(CONTROL!$C$27, 0.0021, 0)</f>
        <v>89.119500000000002</v>
      </c>
      <c r="C903" s="10">
        <f>88.6851 * CHOOSE(CONTROL!$C$9, $D$9, 100%, $F$9) + CHOOSE(CONTROL!$C$27, 0.0021, 0)</f>
        <v>88.687200000000004</v>
      </c>
      <c r="D903" s="10">
        <f>88.6851 * CHOOSE(CONTROL!$C$9, $D$9, 100%, $F$9) + CHOOSE(CONTROL!$C$27, 0.0021, 0)</f>
        <v>88.687200000000004</v>
      </c>
      <c r="E903" s="10">
        <f>88.5485 * CHOOSE(CONTROL!$C$9, $D$9, 100%, $F$9) + CHOOSE(CONTROL!$C$27, 0.0021, 0)</f>
        <v>88.550600000000003</v>
      </c>
      <c r="F903" s="10">
        <f>88.5485 * CHOOSE(CONTROL!$C$9, $D$9, 100%, $F$9) + CHOOSE(CONTROL!$C$27, 0.0021, 0)</f>
        <v>88.550600000000003</v>
      </c>
      <c r="G903" s="10">
        <f>88.8198 * CHOOSE(CONTROL!$C$9, $D$9, 100%, $F$9) + CHOOSE(CONTROL!$C$27, 0.0021, 0)</f>
        <v>88.821899999999999</v>
      </c>
      <c r="H903" s="10">
        <f>88.6851 * CHOOSE(CONTROL!$C$9, $D$9, 100%, $F$9) + CHOOSE(CONTROL!$C$27, 0.0021, 0)</f>
        <v>88.687200000000004</v>
      </c>
      <c r="I903" s="10">
        <f>88.6851 * CHOOSE(CONTROL!$C$9, $D$9, 100%, $F$9) + CHOOSE(CONTROL!$C$27, 0.0021, 0)</f>
        <v>88.687200000000004</v>
      </c>
      <c r="J903" s="10">
        <f>88.6851 * CHOOSE(CONTROL!$C$9, $D$9, 100%, $F$9) + CHOOSE(CONTROL!$C$27, 0.0021, 0)</f>
        <v>88.687200000000004</v>
      </c>
      <c r="K903" s="10">
        <f>88.6851 * CHOOSE(CONTROL!$C$9, $D$9, 100%, $F$9) + CHOOSE(CONTROL!$C$27, 0.0021, 0)</f>
        <v>88.687200000000004</v>
      </c>
      <c r="L903" s="10"/>
    </row>
    <row r="904" spans="1:12" ht="15.75" x14ac:dyDescent="0.25">
      <c r="A904" s="13">
        <v>68453</v>
      </c>
      <c r="B904" s="10">
        <f>90.9407 * CHOOSE(CONTROL!$C$9, $D$9, 100%, $F$9) + CHOOSE(CONTROL!$C$27, 0.0021, 0)</f>
        <v>90.942800000000005</v>
      </c>
      <c r="C904" s="10">
        <f>90.5085 * CHOOSE(CONTROL!$C$9, $D$9, 100%, $F$9) + CHOOSE(CONTROL!$C$27, 0.0021, 0)</f>
        <v>90.510599999999997</v>
      </c>
      <c r="D904" s="10">
        <f>90.5085 * CHOOSE(CONTROL!$C$9, $D$9, 100%, $F$9) + CHOOSE(CONTROL!$C$27, 0.0021, 0)</f>
        <v>90.510599999999997</v>
      </c>
      <c r="E904" s="10">
        <f>90.3718 * CHOOSE(CONTROL!$C$9, $D$9, 100%, $F$9) + CHOOSE(CONTROL!$C$27, 0.0021, 0)</f>
        <v>90.373899999999992</v>
      </c>
      <c r="F904" s="10">
        <f>90.3718 * CHOOSE(CONTROL!$C$9, $D$9, 100%, $F$9) + CHOOSE(CONTROL!$C$27, 0.0021, 0)</f>
        <v>90.373899999999992</v>
      </c>
      <c r="G904" s="10">
        <f>90.6432 * CHOOSE(CONTROL!$C$9, $D$9, 100%, $F$9) + CHOOSE(CONTROL!$C$27, 0.0021, 0)</f>
        <v>90.645299999999992</v>
      </c>
      <c r="H904" s="10">
        <f>90.5085 * CHOOSE(CONTROL!$C$9, $D$9, 100%, $F$9) + CHOOSE(CONTROL!$C$27, 0.0021, 0)</f>
        <v>90.510599999999997</v>
      </c>
      <c r="I904" s="10">
        <f>90.5085 * CHOOSE(CONTROL!$C$9, $D$9, 100%, $F$9) + CHOOSE(CONTROL!$C$27, 0.0021, 0)</f>
        <v>90.510599999999997</v>
      </c>
      <c r="J904" s="10">
        <f>90.5085 * CHOOSE(CONTROL!$C$9, $D$9, 100%, $F$9) + CHOOSE(CONTROL!$C$27, 0.0021, 0)</f>
        <v>90.510599999999997</v>
      </c>
      <c r="K904" s="10">
        <f>90.5085 * CHOOSE(CONTROL!$C$9, $D$9, 100%, $F$9) + CHOOSE(CONTROL!$C$27, 0.0021, 0)</f>
        <v>90.510599999999997</v>
      </c>
      <c r="L904" s="10"/>
    </row>
    <row r="905" spans="1:12" ht="15.75" x14ac:dyDescent="0.25">
      <c r="A905" s="13">
        <v>68483</v>
      </c>
      <c r="B905" s="10">
        <f>92.0329 * CHOOSE(CONTROL!$C$9, $D$9, 100%, $F$9) + CHOOSE(CONTROL!$C$27, 0.0021, 0)</f>
        <v>92.034999999999997</v>
      </c>
      <c r="C905" s="10">
        <f>91.6006 * CHOOSE(CONTROL!$C$9, $D$9, 100%, $F$9) + CHOOSE(CONTROL!$C$27, 0.0021, 0)</f>
        <v>91.602699999999999</v>
      </c>
      <c r="D905" s="10">
        <f>91.6006 * CHOOSE(CONTROL!$C$9, $D$9, 100%, $F$9) + CHOOSE(CONTROL!$C$27, 0.0021, 0)</f>
        <v>91.602699999999999</v>
      </c>
      <c r="E905" s="10">
        <f>91.464 * CHOOSE(CONTROL!$C$9, $D$9, 100%, $F$9) + CHOOSE(CONTROL!$C$27, 0.0021, 0)</f>
        <v>91.466099999999997</v>
      </c>
      <c r="F905" s="10">
        <f>91.464 * CHOOSE(CONTROL!$C$9, $D$9, 100%, $F$9) + CHOOSE(CONTROL!$C$27, 0.0021, 0)</f>
        <v>91.466099999999997</v>
      </c>
      <c r="G905" s="10">
        <f>91.7353 * CHOOSE(CONTROL!$C$9, $D$9, 100%, $F$9) + CHOOSE(CONTROL!$C$27, 0.0021, 0)</f>
        <v>91.737399999999994</v>
      </c>
      <c r="H905" s="10">
        <f>91.6006 * CHOOSE(CONTROL!$C$9, $D$9, 100%, $F$9) + CHOOSE(CONTROL!$C$27, 0.0021, 0)</f>
        <v>91.602699999999999</v>
      </c>
      <c r="I905" s="10">
        <f>91.6006 * CHOOSE(CONTROL!$C$9, $D$9, 100%, $F$9) + CHOOSE(CONTROL!$C$27, 0.0021, 0)</f>
        <v>91.602699999999999</v>
      </c>
      <c r="J905" s="10">
        <f>91.6006 * CHOOSE(CONTROL!$C$9, $D$9, 100%, $F$9) + CHOOSE(CONTROL!$C$27, 0.0021, 0)</f>
        <v>91.602699999999999</v>
      </c>
      <c r="K905" s="10">
        <f>91.6006 * CHOOSE(CONTROL!$C$9, $D$9, 100%, $F$9) + CHOOSE(CONTROL!$C$27, 0.0021, 0)</f>
        <v>91.602699999999999</v>
      </c>
      <c r="L905" s="10"/>
    </row>
    <row r="906" spans="1:12" ht="15.75" x14ac:dyDescent="0.25">
      <c r="A906" s="13">
        <v>68514</v>
      </c>
      <c r="B906" s="10">
        <f>93.8345 * CHOOSE(CONTROL!$C$9, $D$9, 100%, $F$9) + CHOOSE(CONTROL!$C$27, 0.0021, 0)</f>
        <v>93.836600000000004</v>
      </c>
      <c r="C906" s="10">
        <f>93.4022 * CHOOSE(CONTROL!$C$9, $D$9, 100%, $F$9) + CHOOSE(CONTROL!$C$27, 0.0021, 0)</f>
        <v>93.404299999999992</v>
      </c>
      <c r="D906" s="10">
        <f>93.4022 * CHOOSE(CONTROL!$C$9, $D$9, 100%, $F$9) + CHOOSE(CONTROL!$C$27, 0.0021, 0)</f>
        <v>93.404299999999992</v>
      </c>
      <c r="E906" s="10">
        <f>93.2656 * CHOOSE(CONTROL!$C$9, $D$9, 100%, $F$9) + CHOOSE(CONTROL!$C$27, 0.0021, 0)</f>
        <v>93.267700000000005</v>
      </c>
      <c r="F906" s="10">
        <f>93.2656 * CHOOSE(CONTROL!$C$9, $D$9, 100%, $F$9) + CHOOSE(CONTROL!$C$27, 0.0021, 0)</f>
        <v>93.267700000000005</v>
      </c>
      <c r="G906" s="10">
        <f>93.5369 * CHOOSE(CONTROL!$C$9, $D$9, 100%, $F$9) + CHOOSE(CONTROL!$C$27, 0.0021, 0)</f>
        <v>93.539000000000001</v>
      </c>
      <c r="H906" s="10">
        <f>93.4022 * CHOOSE(CONTROL!$C$9, $D$9, 100%, $F$9) + CHOOSE(CONTROL!$C$27, 0.0021, 0)</f>
        <v>93.404299999999992</v>
      </c>
      <c r="I906" s="10">
        <f>93.4022 * CHOOSE(CONTROL!$C$9, $D$9, 100%, $F$9) + CHOOSE(CONTROL!$C$27, 0.0021, 0)</f>
        <v>93.404299999999992</v>
      </c>
      <c r="J906" s="10">
        <f>93.4022 * CHOOSE(CONTROL!$C$9, $D$9, 100%, $F$9) + CHOOSE(CONTROL!$C$27, 0.0021, 0)</f>
        <v>93.404299999999992</v>
      </c>
      <c r="K906" s="10">
        <f>93.4022 * CHOOSE(CONTROL!$C$9, $D$9, 100%, $F$9) + CHOOSE(CONTROL!$C$27, 0.0021, 0)</f>
        <v>93.404299999999992</v>
      </c>
      <c r="L906" s="10"/>
    </row>
    <row r="907" spans="1:12" ht="15.75" x14ac:dyDescent="0.25">
      <c r="A907" s="13">
        <v>68545</v>
      </c>
      <c r="B907" s="10">
        <f>94.3844 * CHOOSE(CONTROL!$C$9, $D$9, 100%, $F$9) + CHOOSE(CONTROL!$C$27, 0.0021, 0)</f>
        <v>94.386499999999998</v>
      </c>
      <c r="C907" s="10">
        <f>93.9521 * CHOOSE(CONTROL!$C$9, $D$9, 100%, $F$9) + CHOOSE(CONTROL!$C$27, 0.0021, 0)</f>
        <v>93.9542</v>
      </c>
      <c r="D907" s="10">
        <f>93.9521 * CHOOSE(CONTROL!$C$9, $D$9, 100%, $F$9) + CHOOSE(CONTROL!$C$27, 0.0021, 0)</f>
        <v>93.9542</v>
      </c>
      <c r="E907" s="10">
        <f>93.8155 * CHOOSE(CONTROL!$C$9, $D$9, 100%, $F$9) + CHOOSE(CONTROL!$C$27, 0.0021, 0)</f>
        <v>93.817599999999999</v>
      </c>
      <c r="F907" s="10">
        <f>93.8155 * CHOOSE(CONTROL!$C$9, $D$9, 100%, $F$9) + CHOOSE(CONTROL!$C$27, 0.0021, 0)</f>
        <v>93.817599999999999</v>
      </c>
      <c r="G907" s="10">
        <f>94.0868 * CHOOSE(CONTROL!$C$9, $D$9, 100%, $F$9) + CHOOSE(CONTROL!$C$27, 0.0021, 0)</f>
        <v>94.088899999999995</v>
      </c>
      <c r="H907" s="10">
        <f>93.9521 * CHOOSE(CONTROL!$C$9, $D$9, 100%, $F$9) + CHOOSE(CONTROL!$C$27, 0.0021, 0)</f>
        <v>93.9542</v>
      </c>
      <c r="I907" s="10">
        <f>93.9521 * CHOOSE(CONTROL!$C$9, $D$9, 100%, $F$9) + CHOOSE(CONTROL!$C$27, 0.0021, 0)</f>
        <v>93.9542</v>
      </c>
      <c r="J907" s="10">
        <f>93.9521 * CHOOSE(CONTROL!$C$9, $D$9, 100%, $F$9) + CHOOSE(CONTROL!$C$27, 0.0021, 0)</f>
        <v>93.9542</v>
      </c>
      <c r="K907" s="10">
        <f>93.9521 * CHOOSE(CONTROL!$C$9, $D$9, 100%, $F$9) + CHOOSE(CONTROL!$C$27, 0.0021, 0)</f>
        <v>93.9542</v>
      </c>
      <c r="L907" s="10"/>
    </row>
    <row r="908" spans="1:12" ht="15.75" x14ac:dyDescent="0.25">
      <c r="A908" s="13">
        <v>68575</v>
      </c>
      <c r="B908" s="10">
        <f>96.257 * CHOOSE(CONTROL!$C$9, $D$9, 100%, $F$9) + CHOOSE(CONTROL!$C$27, 0.0021, 0)</f>
        <v>96.259100000000004</v>
      </c>
      <c r="C908" s="10">
        <f>95.8248 * CHOOSE(CONTROL!$C$9, $D$9, 100%, $F$9) + CHOOSE(CONTROL!$C$27, 0.0021, 0)</f>
        <v>95.826899999999995</v>
      </c>
      <c r="D908" s="10">
        <f>95.8248 * CHOOSE(CONTROL!$C$9, $D$9, 100%, $F$9) + CHOOSE(CONTROL!$C$27, 0.0021, 0)</f>
        <v>95.826899999999995</v>
      </c>
      <c r="E908" s="10">
        <f>95.6881 * CHOOSE(CONTROL!$C$9, $D$9, 100%, $F$9) + CHOOSE(CONTROL!$C$27, 0.0021, 0)</f>
        <v>95.690200000000004</v>
      </c>
      <c r="F908" s="10">
        <f>95.6881 * CHOOSE(CONTROL!$C$9, $D$9, 100%, $F$9) + CHOOSE(CONTROL!$C$27, 0.0021, 0)</f>
        <v>95.690200000000004</v>
      </c>
      <c r="G908" s="10">
        <f>95.9595 * CHOOSE(CONTROL!$C$9, $D$9, 100%, $F$9) + CHOOSE(CONTROL!$C$27, 0.0021, 0)</f>
        <v>95.961600000000004</v>
      </c>
      <c r="H908" s="10">
        <f>95.8248 * CHOOSE(CONTROL!$C$9, $D$9, 100%, $F$9) + CHOOSE(CONTROL!$C$27, 0.0021, 0)</f>
        <v>95.826899999999995</v>
      </c>
      <c r="I908" s="10">
        <f>95.8248 * CHOOSE(CONTROL!$C$9, $D$9, 100%, $F$9) + CHOOSE(CONTROL!$C$27, 0.0021, 0)</f>
        <v>95.826899999999995</v>
      </c>
      <c r="J908" s="10">
        <f>95.8248 * CHOOSE(CONTROL!$C$9, $D$9, 100%, $F$9) + CHOOSE(CONTROL!$C$27, 0.0021, 0)</f>
        <v>95.826899999999995</v>
      </c>
      <c r="K908" s="10">
        <f>95.8248 * CHOOSE(CONTROL!$C$9, $D$9, 100%, $F$9) + CHOOSE(CONTROL!$C$27, 0.0021, 0)</f>
        <v>95.826899999999995</v>
      </c>
      <c r="L908" s="10"/>
    </row>
    <row r="909" spans="1:12" ht="15.75" x14ac:dyDescent="0.25">
      <c r="A909" s="13">
        <v>68606</v>
      </c>
      <c r="B909" s="10">
        <f>98.6275 * CHOOSE(CONTROL!$C$9, $D$9, 100%, $F$9) + CHOOSE(CONTROL!$C$27, 0.0021, 0)</f>
        <v>98.629599999999996</v>
      </c>
      <c r="C909" s="10">
        <f>98.1953 * CHOOSE(CONTROL!$C$9, $D$9, 100%, $F$9) + CHOOSE(CONTROL!$C$27, 0.0021, 0)</f>
        <v>98.197400000000002</v>
      </c>
      <c r="D909" s="10">
        <f>98.1953 * CHOOSE(CONTROL!$C$9, $D$9, 100%, $F$9) + CHOOSE(CONTROL!$C$27, 0.0021, 0)</f>
        <v>98.197400000000002</v>
      </c>
      <c r="E909" s="10">
        <f>98.0586 * CHOOSE(CONTROL!$C$9, $D$9, 100%, $F$9) + CHOOSE(CONTROL!$C$27, 0.0021, 0)</f>
        <v>98.060699999999997</v>
      </c>
      <c r="F909" s="10">
        <f>98.0586 * CHOOSE(CONTROL!$C$9, $D$9, 100%, $F$9) + CHOOSE(CONTROL!$C$27, 0.0021, 0)</f>
        <v>98.060699999999997</v>
      </c>
      <c r="G909" s="10">
        <f>98.33 * CHOOSE(CONTROL!$C$9, $D$9, 100%, $F$9) + CHOOSE(CONTROL!$C$27, 0.0021, 0)</f>
        <v>98.332099999999997</v>
      </c>
      <c r="H909" s="10">
        <f>98.1953 * CHOOSE(CONTROL!$C$9, $D$9, 100%, $F$9) + CHOOSE(CONTROL!$C$27, 0.0021, 0)</f>
        <v>98.197400000000002</v>
      </c>
      <c r="I909" s="10">
        <f>98.1953 * CHOOSE(CONTROL!$C$9, $D$9, 100%, $F$9) + CHOOSE(CONTROL!$C$27, 0.0021, 0)</f>
        <v>98.197400000000002</v>
      </c>
      <c r="J909" s="10">
        <f>98.1953 * CHOOSE(CONTROL!$C$9, $D$9, 100%, $F$9) + CHOOSE(CONTROL!$C$27, 0.0021, 0)</f>
        <v>98.197400000000002</v>
      </c>
      <c r="K909" s="10">
        <f>98.1953 * CHOOSE(CONTROL!$C$9, $D$9, 100%, $F$9) + CHOOSE(CONTROL!$C$27, 0.0021, 0)</f>
        <v>98.197400000000002</v>
      </c>
      <c r="L909" s="10"/>
    </row>
    <row r="910" spans="1:12" ht="15.75" x14ac:dyDescent="0.25">
      <c r="A910" s="13">
        <v>68636</v>
      </c>
      <c r="B910" s="10">
        <f>98.8501 * CHOOSE(CONTROL!$C$9, $D$9, 100%, $F$9) + CHOOSE(CONTROL!$C$27, 0.0021, 0)</f>
        <v>98.852199999999996</v>
      </c>
      <c r="C910" s="10">
        <f>98.4178 * CHOOSE(CONTROL!$C$9, $D$9, 100%, $F$9) + CHOOSE(CONTROL!$C$27, 0.0021, 0)</f>
        <v>98.419899999999998</v>
      </c>
      <c r="D910" s="10">
        <f>98.4178 * CHOOSE(CONTROL!$C$9, $D$9, 100%, $F$9) + CHOOSE(CONTROL!$C$27, 0.0021, 0)</f>
        <v>98.419899999999998</v>
      </c>
      <c r="E910" s="10">
        <f>98.2812 * CHOOSE(CONTROL!$C$9, $D$9, 100%, $F$9) + CHOOSE(CONTROL!$C$27, 0.0021, 0)</f>
        <v>98.283299999999997</v>
      </c>
      <c r="F910" s="10">
        <f>98.2812 * CHOOSE(CONTROL!$C$9, $D$9, 100%, $F$9) + CHOOSE(CONTROL!$C$27, 0.0021, 0)</f>
        <v>98.283299999999997</v>
      </c>
      <c r="G910" s="10">
        <f>98.5526 * CHOOSE(CONTROL!$C$9, $D$9, 100%, $F$9) + CHOOSE(CONTROL!$C$27, 0.0021, 0)</f>
        <v>98.554699999999997</v>
      </c>
      <c r="H910" s="10">
        <f>98.4178 * CHOOSE(CONTROL!$C$9, $D$9, 100%, $F$9) + CHOOSE(CONTROL!$C$27, 0.0021, 0)</f>
        <v>98.419899999999998</v>
      </c>
      <c r="I910" s="10">
        <f>98.4178 * CHOOSE(CONTROL!$C$9, $D$9, 100%, $F$9) + CHOOSE(CONTROL!$C$27, 0.0021, 0)</f>
        <v>98.419899999999998</v>
      </c>
      <c r="J910" s="10">
        <f>98.4178 * CHOOSE(CONTROL!$C$9, $D$9, 100%, $F$9) + CHOOSE(CONTROL!$C$27, 0.0021, 0)</f>
        <v>98.419899999999998</v>
      </c>
      <c r="K910" s="10">
        <f>98.4178 * CHOOSE(CONTROL!$C$9, $D$9, 100%, $F$9) + CHOOSE(CONTROL!$C$27, 0.0021, 0)</f>
        <v>98.419899999999998</v>
      </c>
      <c r="L910" s="10"/>
    </row>
    <row r="911" spans="1:12" ht="15.75" x14ac:dyDescent="0.25">
      <c r="A911" s="13">
        <v>68667</v>
      </c>
      <c r="B911" s="10">
        <f>96.9568 * CHOOSE(CONTROL!$C$9, $D$9, 100%, $F$9) + CHOOSE(CONTROL!$C$27, 0.0021, 0)</f>
        <v>96.9589</v>
      </c>
      <c r="C911" s="10">
        <f>96.5246 * CHOOSE(CONTROL!$C$9, $D$9, 100%, $F$9) + CHOOSE(CONTROL!$C$27, 0.0021, 0)</f>
        <v>96.526700000000005</v>
      </c>
      <c r="D911" s="10">
        <f>96.5246 * CHOOSE(CONTROL!$C$9, $D$9, 100%, $F$9) + CHOOSE(CONTROL!$C$27, 0.0021, 0)</f>
        <v>96.526700000000005</v>
      </c>
      <c r="E911" s="10">
        <f>96.3879 * CHOOSE(CONTROL!$C$9, $D$9, 100%, $F$9) + CHOOSE(CONTROL!$C$27, 0.0021, 0)</f>
        <v>96.39</v>
      </c>
      <c r="F911" s="10">
        <f>96.3879 * CHOOSE(CONTROL!$C$9, $D$9, 100%, $F$9) + CHOOSE(CONTROL!$C$27, 0.0021, 0)</f>
        <v>96.39</v>
      </c>
      <c r="G911" s="10">
        <f>96.6593 * CHOOSE(CONTROL!$C$9, $D$9, 100%, $F$9) + CHOOSE(CONTROL!$C$27, 0.0021, 0)</f>
        <v>96.6614</v>
      </c>
      <c r="H911" s="10">
        <f>96.5246 * CHOOSE(CONTROL!$C$9, $D$9, 100%, $F$9) + CHOOSE(CONTROL!$C$27, 0.0021, 0)</f>
        <v>96.526700000000005</v>
      </c>
      <c r="I911" s="10">
        <f>96.5246 * CHOOSE(CONTROL!$C$9, $D$9, 100%, $F$9) + CHOOSE(CONTROL!$C$27, 0.0021, 0)</f>
        <v>96.526700000000005</v>
      </c>
      <c r="J911" s="10">
        <f>96.5246 * CHOOSE(CONTROL!$C$9, $D$9, 100%, $F$9) + CHOOSE(CONTROL!$C$27, 0.0021, 0)</f>
        <v>96.526700000000005</v>
      </c>
      <c r="K911" s="10">
        <f>96.5246 * CHOOSE(CONTROL!$C$9, $D$9, 100%, $F$9) + CHOOSE(CONTROL!$C$27, 0.0021, 0)</f>
        <v>96.526700000000005</v>
      </c>
      <c r="L911" s="10"/>
    </row>
    <row r="912" spans="1:12" ht="15.75" x14ac:dyDescent="0.25">
      <c r="A912" s="13">
        <v>68698</v>
      </c>
      <c r="B912" s="10">
        <f>95.7165 * CHOOSE(CONTROL!$C$9, $D$9, 100%, $F$9) + CHOOSE(CONTROL!$C$27, 0.0021, 0)</f>
        <v>95.718599999999995</v>
      </c>
      <c r="C912" s="10">
        <f>95.2843 * CHOOSE(CONTROL!$C$9, $D$9, 100%, $F$9) + CHOOSE(CONTROL!$C$27, 0.0021, 0)</f>
        <v>95.2864</v>
      </c>
      <c r="D912" s="10">
        <f>95.2843 * CHOOSE(CONTROL!$C$9, $D$9, 100%, $F$9) + CHOOSE(CONTROL!$C$27, 0.0021, 0)</f>
        <v>95.2864</v>
      </c>
      <c r="E912" s="10">
        <f>95.1476 * CHOOSE(CONTROL!$C$9, $D$9, 100%, $F$9) + CHOOSE(CONTROL!$C$27, 0.0021, 0)</f>
        <v>95.149699999999996</v>
      </c>
      <c r="F912" s="10">
        <f>95.1476 * CHOOSE(CONTROL!$C$9, $D$9, 100%, $F$9) + CHOOSE(CONTROL!$C$27, 0.0021, 0)</f>
        <v>95.149699999999996</v>
      </c>
      <c r="G912" s="10">
        <f>95.419 * CHOOSE(CONTROL!$C$9, $D$9, 100%, $F$9) + CHOOSE(CONTROL!$C$27, 0.0021, 0)</f>
        <v>95.421099999999996</v>
      </c>
      <c r="H912" s="10">
        <f>95.2843 * CHOOSE(CONTROL!$C$9, $D$9, 100%, $F$9) + CHOOSE(CONTROL!$C$27, 0.0021, 0)</f>
        <v>95.2864</v>
      </c>
      <c r="I912" s="10">
        <f>95.2843 * CHOOSE(CONTROL!$C$9, $D$9, 100%, $F$9) + CHOOSE(CONTROL!$C$27, 0.0021, 0)</f>
        <v>95.2864</v>
      </c>
      <c r="J912" s="10">
        <f>95.2843 * CHOOSE(CONTROL!$C$9, $D$9, 100%, $F$9) + CHOOSE(CONTROL!$C$27, 0.0021, 0)</f>
        <v>95.2864</v>
      </c>
      <c r="K912" s="10">
        <f>95.2843 * CHOOSE(CONTROL!$C$9, $D$9, 100%, $F$9) + CHOOSE(CONTROL!$C$27, 0.0021, 0)</f>
        <v>95.2864</v>
      </c>
      <c r="L912" s="10"/>
    </row>
    <row r="913" spans="1:12" ht="15.75" x14ac:dyDescent="0.25">
      <c r="A913" s="13">
        <v>68727</v>
      </c>
      <c r="B913" s="10">
        <f>93.074 * CHOOSE(CONTROL!$C$9, $D$9, 100%, $F$9) + CHOOSE(CONTROL!$C$27, 0.0021, 0)</f>
        <v>93.076099999999997</v>
      </c>
      <c r="C913" s="10">
        <f>92.6417 * CHOOSE(CONTROL!$C$9, $D$9, 100%, $F$9) + CHOOSE(CONTROL!$C$27, 0.0021, 0)</f>
        <v>92.643799999999999</v>
      </c>
      <c r="D913" s="10">
        <f>92.6417 * CHOOSE(CONTROL!$C$9, $D$9, 100%, $F$9) + CHOOSE(CONTROL!$C$27, 0.0021, 0)</f>
        <v>92.643799999999999</v>
      </c>
      <c r="E913" s="10">
        <f>92.5051 * CHOOSE(CONTROL!$C$9, $D$9, 100%, $F$9) + CHOOSE(CONTROL!$C$27, 0.0021, 0)</f>
        <v>92.507199999999997</v>
      </c>
      <c r="F913" s="10">
        <f>92.5051 * CHOOSE(CONTROL!$C$9, $D$9, 100%, $F$9) + CHOOSE(CONTROL!$C$27, 0.0021, 0)</f>
        <v>92.507199999999997</v>
      </c>
      <c r="G913" s="10">
        <f>92.7764 * CHOOSE(CONTROL!$C$9, $D$9, 100%, $F$9) + CHOOSE(CONTROL!$C$27, 0.0021, 0)</f>
        <v>92.778499999999994</v>
      </c>
      <c r="H913" s="10">
        <f>92.6417 * CHOOSE(CONTROL!$C$9, $D$9, 100%, $F$9) + CHOOSE(CONTROL!$C$27, 0.0021, 0)</f>
        <v>92.643799999999999</v>
      </c>
      <c r="I913" s="10">
        <f>92.6417 * CHOOSE(CONTROL!$C$9, $D$9, 100%, $F$9) + CHOOSE(CONTROL!$C$27, 0.0021, 0)</f>
        <v>92.643799999999999</v>
      </c>
      <c r="J913" s="10">
        <f>92.6417 * CHOOSE(CONTROL!$C$9, $D$9, 100%, $F$9) + CHOOSE(CONTROL!$C$27, 0.0021, 0)</f>
        <v>92.643799999999999</v>
      </c>
      <c r="K913" s="10">
        <f>92.6417 * CHOOSE(CONTROL!$C$9, $D$9, 100%, $F$9) + CHOOSE(CONTROL!$C$27, 0.0021, 0)</f>
        <v>92.643799999999999</v>
      </c>
      <c r="L913" s="10"/>
    </row>
    <row r="914" spans="1:12" ht="15.75" x14ac:dyDescent="0.25">
      <c r="A914" s="13">
        <v>68758</v>
      </c>
      <c r="B914" s="10">
        <f>91.9831 * CHOOSE(CONTROL!$C$9, $D$9, 100%, $F$9) + CHOOSE(CONTROL!$C$27, 0.0021, 0)</f>
        <v>91.985199999999992</v>
      </c>
      <c r="C914" s="10">
        <f>91.5509 * CHOOSE(CONTROL!$C$9, $D$9, 100%, $F$9) + CHOOSE(CONTROL!$C$27, 0.0021, 0)</f>
        <v>91.552999999999997</v>
      </c>
      <c r="D914" s="10">
        <f>91.5509 * CHOOSE(CONTROL!$C$9, $D$9, 100%, $F$9) + CHOOSE(CONTROL!$C$27, 0.0021, 0)</f>
        <v>91.552999999999997</v>
      </c>
      <c r="E914" s="10">
        <f>91.4142 * CHOOSE(CONTROL!$C$9, $D$9, 100%, $F$9) + CHOOSE(CONTROL!$C$27, 0.0021, 0)</f>
        <v>91.416299999999993</v>
      </c>
      <c r="F914" s="10">
        <f>91.4142 * CHOOSE(CONTROL!$C$9, $D$9, 100%, $F$9) + CHOOSE(CONTROL!$C$27, 0.0021, 0)</f>
        <v>91.416299999999993</v>
      </c>
      <c r="G914" s="10">
        <f>91.6856 * CHOOSE(CONTROL!$C$9, $D$9, 100%, $F$9) + CHOOSE(CONTROL!$C$27, 0.0021, 0)</f>
        <v>91.687699999999992</v>
      </c>
      <c r="H914" s="10">
        <f>91.5509 * CHOOSE(CONTROL!$C$9, $D$9, 100%, $F$9) + CHOOSE(CONTROL!$C$27, 0.0021, 0)</f>
        <v>91.552999999999997</v>
      </c>
      <c r="I914" s="10">
        <f>91.5509 * CHOOSE(CONTROL!$C$9, $D$9, 100%, $F$9) + CHOOSE(CONTROL!$C$27, 0.0021, 0)</f>
        <v>91.552999999999997</v>
      </c>
      <c r="J914" s="10">
        <f>91.5509 * CHOOSE(CONTROL!$C$9, $D$9, 100%, $F$9) + CHOOSE(CONTROL!$C$27, 0.0021, 0)</f>
        <v>91.552999999999997</v>
      </c>
      <c r="K914" s="10">
        <f>91.5509 * CHOOSE(CONTROL!$C$9, $D$9, 100%, $F$9) + CHOOSE(CONTROL!$C$27, 0.0021, 0)</f>
        <v>91.552999999999997</v>
      </c>
      <c r="L914" s="10"/>
    </row>
    <row r="915" spans="1:12" ht="15.75" x14ac:dyDescent="0.25">
      <c r="A915" s="13">
        <v>68788</v>
      </c>
      <c r="B915" s="10">
        <f>90.6806 * CHOOSE(CONTROL!$C$9, $D$9, 100%, $F$9) + CHOOSE(CONTROL!$C$27, 0.0021, 0)</f>
        <v>90.682699999999997</v>
      </c>
      <c r="C915" s="10">
        <f>90.2484 * CHOOSE(CONTROL!$C$9, $D$9, 100%, $F$9) + CHOOSE(CONTROL!$C$27, 0.0021, 0)</f>
        <v>90.250500000000002</v>
      </c>
      <c r="D915" s="10">
        <f>90.2484 * CHOOSE(CONTROL!$C$9, $D$9, 100%, $F$9) + CHOOSE(CONTROL!$C$27, 0.0021, 0)</f>
        <v>90.250500000000002</v>
      </c>
      <c r="E915" s="10">
        <f>90.1117 * CHOOSE(CONTROL!$C$9, $D$9, 100%, $F$9) + CHOOSE(CONTROL!$C$27, 0.0021, 0)</f>
        <v>90.113799999999998</v>
      </c>
      <c r="F915" s="10">
        <f>90.1117 * CHOOSE(CONTROL!$C$9, $D$9, 100%, $F$9) + CHOOSE(CONTROL!$C$27, 0.0021, 0)</f>
        <v>90.113799999999998</v>
      </c>
      <c r="G915" s="10">
        <f>90.3831 * CHOOSE(CONTROL!$C$9, $D$9, 100%, $F$9) + CHOOSE(CONTROL!$C$27, 0.0021, 0)</f>
        <v>90.385199999999998</v>
      </c>
      <c r="H915" s="10">
        <f>90.2484 * CHOOSE(CONTROL!$C$9, $D$9, 100%, $F$9) + CHOOSE(CONTROL!$C$27, 0.0021, 0)</f>
        <v>90.250500000000002</v>
      </c>
      <c r="I915" s="10">
        <f>90.2484 * CHOOSE(CONTROL!$C$9, $D$9, 100%, $F$9) + CHOOSE(CONTROL!$C$27, 0.0021, 0)</f>
        <v>90.250500000000002</v>
      </c>
      <c r="J915" s="10">
        <f>90.2484 * CHOOSE(CONTROL!$C$9, $D$9, 100%, $F$9) + CHOOSE(CONTROL!$C$27, 0.0021, 0)</f>
        <v>90.250500000000002</v>
      </c>
      <c r="K915" s="10">
        <f>90.2484 * CHOOSE(CONTROL!$C$9, $D$9, 100%, $F$9) + CHOOSE(CONTROL!$C$27, 0.0021, 0)</f>
        <v>90.250500000000002</v>
      </c>
      <c r="L915" s="10"/>
    </row>
    <row r="916" spans="1:12" ht="15.75" x14ac:dyDescent="0.25">
      <c r="A916" s="13">
        <v>68819</v>
      </c>
      <c r="B916" s="10">
        <f>92.5368 * CHOOSE(CONTROL!$C$9, $D$9, 100%, $F$9) + CHOOSE(CONTROL!$C$27, 0.0021, 0)</f>
        <v>92.538899999999998</v>
      </c>
      <c r="C916" s="10">
        <f>92.1046 * CHOOSE(CONTROL!$C$9, $D$9, 100%, $F$9) + CHOOSE(CONTROL!$C$27, 0.0021, 0)</f>
        <v>92.106700000000004</v>
      </c>
      <c r="D916" s="10">
        <f>92.1046 * CHOOSE(CONTROL!$C$9, $D$9, 100%, $F$9) + CHOOSE(CONTROL!$C$27, 0.0021, 0)</f>
        <v>92.106700000000004</v>
      </c>
      <c r="E916" s="10">
        <f>91.9679 * CHOOSE(CONTROL!$C$9, $D$9, 100%, $F$9) + CHOOSE(CONTROL!$C$27, 0.0021, 0)</f>
        <v>91.97</v>
      </c>
      <c r="F916" s="10">
        <f>91.9679 * CHOOSE(CONTROL!$C$9, $D$9, 100%, $F$9) + CHOOSE(CONTROL!$C$27, 0.0021, 0)</f>
        <v>91.97</v>
      </c>
      <c r="G916" s="10">
        <f>92.2393 * CHOOSE(CONTROL!$C$9, $D$9, 100%, $F$9) + CHOOSE(CONTROL!$C$27, 0.0021, 0)</f>
        <v>92.241399999999999</v>
      </c>
      <c r="H916" s="10">
        <f>92.1046 * CHOOSE(CONTROL!$C$9, $D$9, 100%, $F$9) + CHOOSE(CONTROL!$C$27, 0.0021, 0)</f>
        <v>92.106700000000004</v>
      </c>
      <c r="I916" s="10">
        <f>92.1046 * CHOOSE(CONTROL!$C$9, $D$9, 100%, $F$9) + CHOOSE(CONTROL!$C$27, 0.0021, 0)</f>
        <v>92.106700000000004</v>
      </c>
      <c r="J916" s="10">
        <f>92.1046 * CHOOSE(CONTROL!$C$9, $D$9, 100%, $F$9) + CHOOSE(CONTROL!$C$27, 0.0021, 0)</f>
        <v>92.106700000000004</v>
      </c>
      <c r="K916" s="10">
        <f>92.1046 * CHOOSE(CONTROL!$C$9, $D$9, 100%, $F$9) + CHOOSE(CONTROL!$C$27, 0.0021, 0)</f>
        <v>92.106700000000004</v>
      </c>
      <c r="L916" s="10"/>
    </row>
    <row r="917" spans="1:12" ht="15.75" x14ac:dyDescent="0.25">
      <c r="A917" s="13">
        <v>68849</v>
      </c>
      <c r="B917" s="10">
        <f>93.6486 * CHOOSE(CONTROL!$C$9, $D$9, 100%, $F$9) + CHOOSE(CONTROL!$C$27, 0.0021, 0)</f>
        <v>93.650700000000001</v>
      </c>
      <c r="C917" s="10">
        <f>93.2164 * CHOOSE(CONTROL!$C$9, $D$9, 100%, $F$9) + CHOOSE(CONTROL!$C$27, 0.0021, 0)</f>
        <v>93.218499999999992</v>
      </c>
      <c r="D917" s="10">
        <f>93.2164 * CHOOSE(CONTROL!$C$9, $D$9, 100%, $F$9) + CHOOSE(CONTROL!$C$27, 0.0021, 0)</f>
        <v>93.218499999999992</v>
      </c>
      <c r="E917" s="10">
        <f>93.0797 * CHOOSE(CONTROL!$C$9, $D$9, 100%, $F$9) + CHOOSE(CONTROL!$C$27, 0.0021, 0)</f>
        <v>93.081800000000001</v>
      </c>
      <c r="F917" s="10">
        <f>93.0797 * CHOOSE(CONTROL!$C$9, $D$9, 100%, $F$9) + CHOOSE(CONTROL!$C$27, 0.0021, 0)</f>
        <v>93.081800000000001</v>
      </c>
      <c r="G917" s="10">
        <f>93.3511 * CHOOSE(CONTROL!$C$9, $D$9, 100%, $F$9) + CHOOSE(CONTROL!$C$27, 0.0021, 0)</f>
        <v>93.353200000000001</v>
      </c>
      <c r="H917" s="10">
        <f>93.2164 * CHOOSE(CONTROL!$C$9, $D$9, 100%, $F$9) + CHOOSE(CONTROL!$C$27, 0.0021, 0)</f>
        <v>93.218499999999992</v>
      </c>
      <c r="I917" s="10">
        <f>93.2164 * CHOOSE(CONTROL!$C$9, $D$9, 100%, $F$9) + CHOOSE(CONTROL!$C$27, 0.0021, 0)</f>
        <v>93.218499999999992</v>
      </c>
      <c r="J917" s="10">
        <f>93.2164 * CHOOSE(CONTROL!$C$9, $D$9, 100%, $F$9) + CHOOSE(CONTROL!$C$27, 0.0021, 0)</f>
        <v>93.218499999999992</v>
      </c>
      <c r="K917" s="10">
        <f>93.2164 * CHOOSE(CONTROL!$C$9, $D$9, 100%, $F$9) + CHOOSE(CONTROL!$C$27, 0.0021, 0)</f>
        <v>93.218499999999992</v>
      </c>
      <c r="L917" s="10"/>
    </row>
    <row r="918" spans="1:12" ht="15.75" x14ac:dyDescent="0.25">
      <c r="A918" s="13">
        <v>68880</v>
      </c>
      <c r="B918" s="10">
        <f>95.4827 * CHOOSE(CONTROL!$C$9, $D$9, 100%, $F$9) + CHOOSE(CONTROL!$C$27, 0.0021, 0)</f>
        <v>95.484799999999993</v>
      </c>
      <c r="C918" s="10">
        <f>95.0504 * CHOOSE(CONTROL!$C$9, $D$9, 100%, $F$9) + CHOOSE(CONTROL!$C$27, 0.0021, 0)</f>
        <v>95.052499999999995</v>
      </c>
      <c r="D918" s="10">
        <f>95.0504 * CHOOSE(CONTROL!$C$9, $D$9, 100%, $F$9) + CHOOSE(CONTROL!$C$27, 0.0021, 0)</f>
        <v>95.052499999999995</v>
      </c>
      <c r="E918" s="10">
        <f>94.9138 * CHOOSE(CONTROL!$C$9, $D$9, 100%, $F$9) + CHOOSE(CONTROL!$C$27, 0.0021, 0)</f>
        <v>94.915899999999993</v>
      </c>
      <c r="F918" s="10">
        <f>94.9138 * CHOOSE(CONTROL!$C$9, $D$9, 100%, $F$9) + CHOOSE(CONTROL!$C$27, 0.0021, 0)</f>
        <v>94.915899999999993</v>
      </c>
      <c r="G918" s="10">
        <f>95.1851 * CHOOSE(CONTROL!$C$9, $D$9, 100%, $F$9) + CHOOSE(CONTROL!$C$27, 0.0021, 0)</f>
        <v>95.187200000000004</v>
      </c>
      <c r="H918" s="10">
        <f>95.0504 * CHOOSE(CONTROL!$C$9, $D$9, 100%, $F$9) + CHOOSE(CONTROL!$C$27, 0.0021, 0)</f>
        <v>95.052499999999995</v>
      </c>
      <c r="I918" s="10">
        <f>95.0504 * CHOOSE(CONTROL!$C$9, $D$9, 100%, $F$9) + CHOOSE(CONTROL!$C$27, 0.0021, 0)</f>
        <v>95.052499999999995</v>
      </c>
      <c r="J918" s="10">
        <f>95.0504 * CHOOSE(CONTROL!$C$9, $D$9, 100%, $F$9) + CHOOSE(CONTROL!$C$27, 0.0021, 0)</f>
        <v>95.052499999999995</v>
      </c>
      <c r="K918" s="10">
        <f>95.0504 * CHOOSE(CONTROL!$C$9, $D$9, 100%, $F$9) + CHOOSE(CONTROL!$C$27, 0.0021, 0)</f>
        <v>95.052499999999995</v>
      </c>
      <c r="L918" s="10"/>
    </row>
    <row r="919" spans="1:12" ht="15.75" x14ac:dyDescent="0.25">
      <c r="A919" s="13">
        <v>68911</v>
      </c>
      <c r="B919" s="10">
        <f>96.0425 * CHOOSE(CONTROL!$C$9, $D$9, 100%, $F$9) + CHOOSE(CONTROL!$C$27, 0.0021, 0)</f>
        <v>96.044600000000003</v>
      </c>
      <c r="C919" s="10">
        <f>95.6102 * CHOOSE(CONTROL!$C$9, $D$9, 100%, $F$9) + CHOOSE(CONTROL!$C$27, 0.0021, 0)</f>
        <v>95.612300000000005</v>
      </c>
      <c r="D919" s="10">
        <f>95.6102 * CHOOSE(CONTROL!$C$9, $D$9, 100%, $F$9) + CHOOSE(CONTROL!$C$27, 0.0021, 0)</f>
        <v>95.612300000000005</v>
      </c>
      <c r="E919" s="10">
        <f>95.4736 * CHOOSE(CONTROL!$C$9, $D$9, 100%, $F$9) + CHOOSE(CONTROL!$C$27, 0.0021, 0)</f>
        <v>95.475700000000003</v>
      </c>
      <c r="F919" s="10">
        <f>95.4736 * CHOOSE(CONTROL!$C$9, $D$9, 100%, $F$9) + CHOOSE(CONTROL!$C$27, 0.0021, 0)</f>
        <v>95.475700000000003</v>
      </c>
      <c r="G919" s="10">
        <f>95.7449 * CHOOSE(CONTROL!$C$9, $D$9, 100%, $F$9) + CHOOSE(CONTROL!$C$27, 0.0021, 0)</f>
        <v>95.747</v>
      </c>
      <c r="H919" s="10">
        <f>95.6102 * CHOOSE(CONTROL!$C$9, $D$9, 100%, $F$9) + CHOOSE(CONTROL!$C$27, 0.0021, 0)</f>
        <v>95.612300000000005</v>
      </c>
      <c r="I919" s="10">
        <f>95.6102 * CHOOSE(CONTROL!$C$9, $D$9, 100%, $F$9) + CHOOSE(CONTROL!$C$27, 0.0021, 0)</f>
        <v>95.612300000000005</v>
      </c>
      <c r="J919" s="10">
        <f>95.6102 * CHOOSE(CONTROL!$C$9, $D$9, 100%, $F$9) + CHOOSE(CONTROL!$C$27, 0.0021, 0)</f>
        <v>95.612300000000005</v>
      </c>
      <c r="K919" s="10">
        <f>95.6102 * CHOOSE(CONTROL!$C$9, $D$9, 100%, $F$9) + CHOOSE(CONTROL!$C$27, 0.0021, 0)</f>
        <v>95.612300000000005</v>
      </c>
      <c r="L919" s="10"/>
    </row>
    <row r="920" spans="1:12" ht="15.75" x14ac:dyDescent="0.25">
      <c r="A920" s="13">
        <v>68941</v>
      </c>
      <c r="B920" s="10">
        <f>97.9489 * CHOOSE(CONTROL!$C$9, $D$9, 100%, $F$9) + CHOOSE(CONTROL!$C$27, 0.0021, 0)</f>
        <v>97.950999999999993</v>
      </c>
      <c r="C920" s="10">
        <f>97.5166 * CHOOSE(CONTROL!$C$9, $D$9, 100%, $F$9) + CHOOSE(CONTROL!$C$27, 0.0021, 0)</f>
        <v>97.518699999999995</v>
      </c>
      <c r="D920" s="10">
        <f>97.5166 * CHOOSE(CONTROL!$C$9, $D$9, 100%, $F$9) + CHOOSE(CONTROL!$C$27, 0.0021, 0)</f>
        <v>97.518699999999995</v>
      </c>
      <c r="E920" s="10">
        <f>97.38 * CHOOSE(CONTROL!$C$9, $D$9, 100%, $F$9) + CHOOSE(CONTROL!$C$27, 0.0021, 0)</f>
        <v>97.382099999999994</v>
      </c>
      <c r="F920" s="10">
        <f>97.38 * CHOOSE(CONTROL!$C$9, $D$9, 100%, $F$9) + CHOOSE(CONTROL!$C$27, 0.0021, 0)</f>
        <v>97.382099999999994</v>
      </c>
      <c r="G920" s="10">
        <f>97.6513 * CHOOSE(CONTROL!$C$9, $D$9, 100%, $F$9) + CHOOSE(CONTROL!$C$27, 0.0021, 0)</f>
        <v>97.653400000000005</v>
      </c>
      <c r="H920" s="10">
        <f>97.5166 * CHOOSE(CONTROL!$C$9, $D$9, 100%, $F$9) + CHOOSE(CONTROL!$C$27, 0.0021, 0)</f>
        <v>97.518699999999995</v>
      </c>
      <c r="I920" s="10">
        <f>97.5166 * CHOOSE(CONTROL!$C$9, $D$9, 100%, $F$9) + CHOOSE(CONTROL!$C$27, 0.0021, 0)</f>
        <v>97.518699999999995</v>
      </c>
      <c r="J920" s="10">
        <f>97.5166 * CHOOSE(CONTROL!$C$9, $D$9, 100%, $F$9) + CHOOSE(CONTROL!$C$27, 0.0021, 0)</f>
        <v>97.518699999999995</v>
      </c>
      <c r="K920" s="10">
        <f>97.5166 * CHOOSE(CONTROL!$C$9, $D$9, 100%, $F$9) + CHOOSE(CONTROL!$C$27, 0.0021, 0)</f>
        <v>97.518699999999995</v>
      </c>
      <c r="L920" s="10"/>
    </row>
    <row r="921" spans="1:12" ht="15.75" x14ac:dyDescent="0.25">
      <c r="A921" s="13">
        <v>68972</v>
      </c>
      <c r="B921" s="10">
        <f>100.362 * CHOOSE(CONTROL!$C$9, $D$9, 100%, $F$9) + CHOOSE(CONTROL!$C$27, 0.0021, 0)</f>
        <v>100.36409999999999</v>
      </c>
      <c r="C921" s="10">
        <f>99.9298 * CHOOSE(CONTROL!$C$9, $D$9, 100%, $F$9) + CHOOSE(CONTROL!$C$27, 0.0021, 0)</f>
        <v>99.931899999999999</v>
      </c>
      <c r="D921" s="10">
        <f>99.9298 * CHOOSE(CONTROL!$C$9, $D$9, 100%, $F$9) + CHOOSE(CONTROL!$C$27, 0.0021, 0)</f>
        <v>99.931899999999999</v>
      </c>
      <c r="E921" s="10">
        <f>99.7931 * CHOOSE(CONTROL!$C$9, $D$9, 100%, $F$9) + CHOOSE(CONTROL!$C$27, 0.0021, 0)</f>
        <v>99.795199999999994</v>
      </c>
      <c r="F921" s="10">
        <f>99.7931 * CHOOSE(CONTROL!$C$9, $D$9, 100%, $F$9) + CHOOSE(CONTROL!$C$27, 0.0021, 0)</f>
        <v>99.795199999999994</v>
      </c>
      <c r="G921" s="10">
        <f>100.0645 * CHOOSE(CONTROL!$C$9, $D$9, 100%, $F$9) + CHOOSE(CONTROL!$C$27, 0.0021, 0)</f>
        <v>100.06659999999999</v>
      </c>
      <c r="H921" s="10">
        <f>99.9298 * CHOOSE(CONTROL!$C$9, $D$9, 100%, $F$9) + CHOOSE(CONTROL!$C$27, 0.0021, 0)</f>
        <v>99.931899999999999</v>
      </c>
      <c r="I921" s="10">
        <f>99.9298 * CHOOSE(CONTROL!$C$9, $D$9, 100%, $F$9) + CHOOSE(CONTROL!$C$27, 0.0021, 0)</f>
        <v>99.931899999999999</v>
      </c>
      <c r="J921" s="10">
        <f>99.9298 * CHOOSE(CONTROL!$C$9, $D$9, 100%, $F$9) + CHOOSE(CONTROL!$C$27, 0.0021, 0)</f>
        <v>99.931899999999999</v>
      </c>
      <c r="K921" s="10">
        <f>99.9298 * CHOOSE(CONTROL!$C$9, $D$9, 100%, $F$9) + CHOOSE(CONTROL!$C$27, 0.0021, 0)</f>
        <v>99.931899999999999</v>
      </c>
      <c r="L921" s="10"/>
    </row>
    <row r="922" spans="1:12" ht="15.75" x14ac:dyDescent="0.25">
      <c r="A922" s="13">
        <v>69002</v>
      </c>
      <c r="B922" s="10">
        <f>100.5886 * CHOOSE(CONTROL!$C$9, $D$9, 100%, $F$9) + CHOOSE(CONTROL!$C$27, 0.0021, 0)</f>
        <v>100.5907</v>
      </c>
      <c r="C922" s="10">
        <f>100.1563 * CHOOSE(CONTROL!$C$9, $D$9, 100%, $F$9) + CHOOSE(CONTROL!$C$27, 0.0021, 0)</f>
        <v>100.1584</v>
      </c>
      <c r="D922" s="10">
        <f>100.1563 * CHOOSE(CONTROL!$C$9, $D$9, 100%, $F$9) + CHOOSE(CONTROL!$C$27, 0.0021, 0)</f>
        <v>100.1584</v>
      </c>
      <c r="E922" s="10">
        <f>100.0197 * CHOOSE(CONTROL!$C$9, $D$9, 100%, $F$9) + CHOOSE(CONTROL!$C$27, 0.0021, 0)</f>
        <v>100.0218</v>
      </c>
      <c r="F922" s="10">
        <f>100.0197 * CHOOSE(CONTROL!$C$9, $D$9, 100%, $F$9) + CHOOSE(CONTROL!$C$27, 0.0021, 0)</f>
        <v>100.0218</v>
      </c>
      <c r="G922" s="10">
        <f>100.2911 * CHOOSE(CONTROL!$C$9, $D$9, 100%, $F$9) + CHOOSE(CONTROL!$C$27, 0.0021, 0)</f>
        <v>100.2932</v>
      </c>
      <c r="H922" s="10">
        <f>100.1563 * CHOOSE(CONTROL!$C$9, $D$9, 100%, $F$9) + CHOOSE(CONTROL!$C$27, 0.0021, 0)</f>
        <v>100.1584</v>
      </c>
      <c r="I922" s="10">
        <f>100.1563 * CHOOSE(CONTROL!$C$9, $D$9, 100%, $F$9) + CHOOSE(CONTROL!$C$27, 0.0021, 0)</f>
        <v>100.1584</v>
      </c>
      <c r="J922" s="10">
        <f>100.1563 * CHOOSE(CONTROL!$C$9, $D$9, 100%, $F$9) + CHOOSE(CONTROL!$C$27, 0.0021, 0)</f>
        <v>100.1584</v>
      </c>
      <c r="K922" s="10">
        <f>100.1563 * CHOOSE(CONTROL!$C$9, $D$9, 100%, $F$9) + CHOOSE(CONTROL!$C$27, 0.0021, 0)</f>
        <v>100.1584</v>
      </c>
      <c r="L922" s="10"/>
    </row>
    <row r="923" spans="1:12" ht="15.75" x14ac:dyDescent="0.25">
      <c r="A923" s="13">
        <v>69033</v>
      </c>
      <c r="B923" s="10">
        <f>98.6612 * CHOOSE(CONTROL!$C$9, $D$9, 100%, $F$9) + CHOOSE(CONTROL!$C$27, 0.0021, 0)</f>
        <v>98.663299999999992</v>
      </c>
      <c r="C923" s="10">
        <f>98.229 * CHOOSE(CONTROL!$C$9, $D$9, 100%, $F$9) + CHOOSE(CONTROL!$C$27, 0.0021, 0)</f>
        <v>98.231099999999998</v>
      </c>
      <c r="D923" s="10">
        <f>98.229 * CHOOSE(CONTROL!$C$9, $D$9, 100%, $F$9) + CHOOSE(CONTROL!$C$27, 0.0021, 0)</f>
        <v>98.231099999999998</v>
      </c>
      <c r="E923" s="10">
        <f>98.0923 * CHOOSE(CONTROL!$C$9, $D$9, 100%, $F$9) + CHOOSE(CONTROL!$C$27, 0.0021, 0)</f>
        <v>98.094399999999993</v>
      </c>
      <c r="F923" s="10">
        <f>98.0923 * CHOOSE(CONTROL!$C$9, $D$9, 100%, $F$9) + CHOOSE(CONTROL!$C$27, 0.0021, 0)</f>
        <v>98.094399999999993</v>
      </c>
      <c r="G923" s="10">
        <f>98.3637 * CHOOSE(CONTROL!$C$9, $D$9, 100%, $F$9) + CHOOSE(CONTROL!$C$27, 0.0021, 0)</f>
        <v>98.365799999999993</v>
      </c>
      <c r="H923" s="10">
        <f>98.229 * CHOOSE(CONTROL!$C$9, $D$9, 100%, $F$9) + CHOOSE(CONTROL!$C$27, 0.0021, 0)</f>
        <v>98.231099999999998</v>
      </c>
      <c r="I923" s="10">
        <f>98.229 * CHOOSE(CONTROL!$C$9, $D$9, 100%, $F$9) + CHOOSE(CONTROL!$C$27, 0.0021, 0)</f>
        <v>98.231099999999998</v>
      </c>
      <c r="J923" s="10">
        <f>98.229 * CHOOSE(CONTROL!$C$9, $D$9, 100%, $F$9) + CHOOSE(CONTROL!$C$27, 0.0021, 0)</f>
        <v>98.231099999999998</v>
      </c>
      <c r="K923" s="10">
        <f>98.229 * CHOOSE(CONTROL!$C$9, $D$9, 100%, $F$9) + CHOOSE(CONTROL!$C$27, 0.0021, 0)</f>
        <v>98.231099999999998</v>
      </c>
      <c r="L923" s="10"/>
    </row>
    <row r="924" spans="1:12" ht="15.75" x14ac:dyDescent="0.25">
      <c r="A924" s="13">
        <v>69064</v>
      </c>
      <c r="B924" s="10">
        <f>97.3986 * CHOOSE(CONTROL!$C$9, $D$9, 100%, $F$9) + CHOOSE(CONTROL!$C$27, 0.0021, 0)</f>
        <v>97.400700000000001</v>
      </c>
      <c r="C924" s="10">
        <f>96.9663 * CHOOSE(CONTROL!$C$9, $D$9, 100%, $F$9) + CHOOSE(CONTROL!$C$27, 0.0021, 0)</f>
        <v>96.968400000000003</v>
      </c>
      <c r="D924" s="10">
        <f>96.9663 * CHOOSE(CONTROL!$C$9, $D$9, 100%, $F$9) + CHOOSE(CONTROL!$C$27, 0.0021, 0)</f>
        <v>96.968400000000003</v>
      </c>
      <c r="E924" s="10">
        <f>96.8297 * CHOOSE(CONTROL!$C$9, $D$9, 100%, $F$9) + CHOOSE(CONTROL!$C$27, 0.0021, 0)</f>
        <v>96.831800000000001</v>
      </c>
      <c r="F924" s="10">
        <f>96.8297 * CHOOSE(CONTROL!$C$9, $D$9, 100%, $F$9) + CHOOSE(CONTROL!$C$27, 0.0021, 0)</f>
        <v>96.831800000000001</v>
      </c>
      <c r="G924" s="10">
        <f>97.1011 * CHOOSE(CONTROL!$C$9, $D$9, 100%, $F$9) + CHOOSE(CONTROL!$C$27, 0.0021, 0)</f>
        <v>97.103200000000001</v>
      </c>
      <c r="H924" s="10">
        <f>96.9663 * CHOOSE(CONTROL!$C$9, $D$9, 100%, $F$9) + CHOOSE(CONTROL!$C$27, 0.0021, 0)</f>
        <v>96.968400000000003</v>
      </c>
      <c r="I924" s="10">
        <f>96.9663 * CHOOSE(CONTROL!$C$9, $D$9, 100%, $F$9) + CHOOSE(CONTROL!$C$27, 0.0021, 0)</f>
        <v>96.968400000000003</v>
      </c>
      <c r="J924" s="10">
        <f>96.9663 * CHOOSE(CONTROL!$C$9, $D$9, 100%, $F$9) + CHOOSE(CONTROL!$C$27, 0.0021, 0)</f>
        <v>96.968400000000003</v>
      </c>
      <c r="K924" s="10">
        <f>96.9663 * CHOOSE(CONTROL!$C$9, $D$9, 100%, $F$9) + CHOOSE(CONTROL!$C$27, 0.0021, 0)</f>
        <v>96.968400000000003</v>
      </c>
      <c r="L924" s="10"/>
    </row>
    <row r="925" spans="1:12" ht="15.75" x14ac:dyDescent="0.25">
      <c r="A925" s="13">
        <v>69092</v>
      </c>
      <c r="B925" s="10">
        <f>94.7085 * CHOOSE(CONTROL!$C$9, $D$9, 100%, $F$9) + CHOOSE(CONTROL!$C$27, 0.0021, 0)</f>
        <v>94.710599999999999</v>
      </c>
      <c r="C925" s="10">
        <f>94.2762 * CHOOSE(CONTROL!$C$9, $D$9, 100%, $F$9) + CHOOSE(CONTROL!$C$27, 0.0021, 0)</f>
        <v>94.278300000000002</v>
      </c>
      <c r="D925" s="10">
        <f>94.2762 * CHOOSE(CONTROL!$C$9, $D$9, 100%, $F$9) + CHOOSE(CONTROL!$C$27, 0.0021, 0)</f>
        <v>94.278300000000002</v>
      </c>
      <c r="E925" s="10">
        <f>94.1396 * CHOOSE(CONTROL!$C$9, $D$9, 100%, $F$9) + CHOOSE(CONTROL!$C$27, 0.0021, 0)</f>
        <v>94.1417</v>
      </c>
      <c r="F925" s="10">
        <f>94.1396 * CHOOSE(CONTROL!$C$9, $D$9, 100%, $F$9) + CHOOSE(CONTROL!$C$27, 0.0021, 0)</f>
        <v>94.1417</v>
      </c>
      <c r="G925" s="10">
        <f>94.4109 * CHOOSE(CONTROL!$C$9, $D$9, 100%, $F$9) + CHOOSE(CONTROL!$C$27, 0.0021, 0)</f>
        <v>94.412999999999997</v>
      </c>
      <c r="H925" s="10">
        <f>94.2762 * CHOOSE(CONTROL!$C$9, $D$9, 100%, $F$9) + CHOOSE(CONTROL!$C$27, 0.0021, 0)</f>
        <v>94.278300000000002</v>
      </c>
      <c r="I925" s="10">
        <f>94.2762 * CHOOSE(CONTROL!$C$9, $D$9, 100%, $F$9) + CHOOSE(CONTROL!$C$27, 0.0021, 0)</f>
        <v>94.278300000000002</v>
      </c>
      <c r="J925" s="10">
        <f>94.2762 * CHOOSE(CONTROL!$C$9, $D$9, 100%, $F$9) + CHOOSE(CONTROL!$C$27, 0.0021, 0)</f>
        <v>94.278300000000002</v>
      </c>
      <c r="K925" s="10">
        <f>94.2762 * CHOOSE(CONTROL!$C$9, $D$9, 100%, $F$9) + CHOOSE(CONTROL!$C$27, 0.0021, 0)</f>
        <v>94.278300000000002</v>
      </c>
      <c r="L925" s="10"/>
    </row>
    <row r="926" spans="1:12" ht="15.75" x14ac:dyDescent="0.25">
      <c r="A926" s="13">
        <v>69123</v>
      </c>
      <c r="B926" s="10">
        <f>93.598 * CHOOSE(CONTROL!$C$9, $D$9, 100%, $F$9) + CHOOSE(CONTROL!$C$27, 0.0021, 0)</f>
        <v>93.600099999999998</v>
      </c>
      <c r="C926" s="10">
        <f>93.1657 * CHOOSE(CONTROL!$C$9, $D$9, 100%, $F$9) + CHOOSE(CONTROL!$C$27, 0.0021, 0)</f>
        <v>93.1678</v>
      </c>
      <c r="D926" s="10">
        <f>93.1657 * CHOOSE(CONTROL!$C$9, $D$9, 100%, $F$9) + CHOOSE(CONTROL!$C$27, 0.0021, 0)</f>
        <v>93.1678</v>
      </c>
      <c r="E926" s="10">
        <f>93.0291 * CHOOSE(CONTROL!$C$9, $D$9, 100%, $F$9) + CHOOSE(CONTROL!$C$27, 0.0021, 0)</f>
        <v>93.031199999999998</v>
      </c>
      <c r="F926" s="10">
        <f>93.0291 * CHOOSE(CONTROL!$C$9, $D$9, 100%, $F$9) + CHOOSE(CONTROL!$C$27, 0.0021, 0)</f>
        <v>93.031199999999998</v>
      </c>
      <c r="G926" s="10">
        <f>93.3005 * CHOOSE(CONTROL!$C$9, $D$9, 100%, $F$9) + CHOOSE(CONTROL!$C$27, 0.0021, 0)</f>
        <v>93.302599999999998</v>
      </c>
      <c r="H926" s="10">
        <f>93.1657 * CHOOSE(CONTROL!$C$9, $D$9, 100%, $F$9) + CHOOSE(CONTROL!$C$27, 0.0021, 0)</f>
        <v>93.1678</v>
      </c>
      <c r="I926" s="10">
        <f>93.1657 * CHOOSE(CONTROL!$C$9, $D$9, 100%, $F$9) + CHOOSE(CONTROL!$C$27, 0.0021, 0)</f>
        <v>93.1678</v>
      </c>
      <c r="J926" s="10">
        <f>93.1657 * CHOOSE(CONTROL!$C$9, $D$9, 100%, $F$9) + CHOOSE(CONTROL!$C$27, 0.0021, 0)</f>
        <v>93.1678</v>
      </c>
      <c r="K926" s="10">
        <f>93.1657 * CHOOSE(CONTROL!$C$9, $D$9, 100%, $F$9) + CHOOSE(CONTROL!$C$27, 0.0021, 0)</f>
        <v>93.1678</v>
      </c>
      <c r="L926" s="10"/>
    </row>
    <row r="927" spans="1:12" ht="15.75" x14ac:dyDescent="0.25">
      <c r="A927" s="13">
        <v>69153</v>
      </c>
      <c r="B927" s="10">
        <f>92.2721 * CHOOSE(CONTROL!$C$9, $D$9, 100%, $F$9) + CHOOSE(CONTROL!$C$27, 0.0021, 0)</f>
        <v>92.274199999999993</v>
      </c>
      <c r="C927" s="10">
        <f>91.8398 * CHOOSE(CONTROL!$C$9, $D$9, 100%, $F$9) + CHOOSE(CONTROL!$C$27, 0.0021, 0)</f>
        <v>91.841899999999995</v>
      </c>
      <c r="D927" s="10">
        <f>91.8398 * CHOOSE(CONTROL!$C$9, $D$9, 100%, $F$9) + CHOOSE(CONTROL!$C$27, 0.0021, 0)</f>
        <v>91.841899999999995</v>
      </c>
      <c r="E927" s="10">
        <f>91.7032 * CHOOSE(CONTROL!$C$9, $D$9, 100%, $F$9) + CHOOSE(CONTROL!$C$27, 0.0021, 0)</f>
        <v>91.705299999999994</v>
      </c>
      <c r="F927" s="10">
        <f>91.7032 * CHOOSE(CONTROL!$C$9, $D$9, 100%, $F$9) + CHOOSE(CONTROL!$C$27, 0.0021, 0)</f>
        <v>91.705299999999994</v>
      </c>
      <c r="G927" s="10">
        <f>91.9745 * CHOOSE(CONTROL!$C$9, $D$9, 100%, $F$9) + CHOOSE(CONTROL!$C$27, 0.0021, 0)</f>
        <v>91.976600000000005</v>
      </c>
      <c r="H927" s="10">
        <f>91.8398 * CHOOSE(CONTROL!$C$9, $D$9, 100%, $F$9) + CHOOSE(CONTROL!$C$27, 0.0021, 0)</f>
        <v>91.841899999999995</v>
      </c>
      <c r="I927" s="10">
        <f>91.8398 * CHOOSE(CONTROL!$C$9, $D$9, 100%, $F$9) + CHOOSE(CONTROL!$C$27, 0.0021, 0)</f>
        <v>91.841899999999995</v>
      </c>
      <c r="J927" s="10">
        <f>91.8398 * CHOOSE(CONTROL!$C$9, $D$9, 100%, $F$9) + CHOOSE(CONTROL!$C$27, 0.0021, 0)</f>
        <v>91.841899999999995</v>
      </c>
      <c r="K927" s="10">
        <f>91.8398 * CHOOSE(CONTROL!$C$9, $D$9, 100%, $F$9) + CHOOSE(CONTROL!$C$27, 0.0021, 0)</f>
        <v>91.841899999999995</v>
      </c>
      <c r="L927" s="10"/>
    </row>
    <row r="928" spans="1:12" ht="15.75" x14ac:dyDescent="0.25">
      <c r="A928" s="13">
        <v>69184</v>
      </c>
      <c r="B928" s="10">
        <f>94.1617 * CHOOSE(CONTROL!$C$9, $D$9, 100%, $F$9) + CHOOSE(CONTROL!$C$27, 0.0021, 0)</f>
        <v>94.163799999999995</v>
      </c>
      <c r="C928" s="10">
        <f>93.7294 * CHOOSE(CONTROL!$C$9, $D$9, 100%, $F$9) + CHOOSE(CONTROL!$C$27, 0.0021, 0)</f>
        <v>93.731499999999997</v>
      </c>
      <c r="D928" s="10">
        <f>93.7294 * CHOOSE(CONTROL!$C$9, $D$9, 100%, $F$9) + CHOOSE(CONTROL!$C$27, 0.0021, 0)</f>
        <v>93.731499999999997</v>
      </c>
      <c r="E928" s="10">
        <f>93.5928 * CHOOSE(CONTROL!$C$9, $D$9, 100%, $F$9) + CHOOSE(CONTROL!$C$27, 0.0021, 0)</f>
        <v>93.594899999999996</v>
      </c>
      <c r="F928" s="10">
        <f>93.5928 * CHOOSE(CONTROL!$C$9, $D$9, 100%, $F$9) + CHOOSE(CONTROL!$C$27, 0.0021, 0)</f>
        <v>93.594899999999996</v>
      </c>
      <c r="G928" s="10">
        <f>93.8641 * CHOOSE(CONTROL!$C$9, $D$9, 100%, $F$9) + CHOOSE(CONTROL!$C$27, 0.0021, 0)</f>
        <v>93.866199999999992</v>
      </c>
      <c r="H928" s="10">
        <f>93.7294 * CHOOSE(CONTROL!$C$9, $D$9, 100%, $F$9) + CHOOSE(CONTROL!$C$27, 0.0021, 0)</f>
        <v>93.731499999999997</v>
      </c>
      <c r="I928" s="10">
        <f>93.7294 * CHOOSE(CONTROL!$C$9, $D$9, 100%, $F$9) + CHOOSE(CONTROL!$C$27, 0.0021, 0)</f>
        <v>93.731499999999997</v>
      </c>
      <c r="J928" s="10">
        <f>93.7294 * CHOOSE(CONTROL!$C$9, $D$9, 100%, $F$9) + CHOOSE(CONTROL!$C$27, 0.0021, 0)</f>
        <v>93.731499999999997</v>
      </c>
      <c r="K928" s="10">
        <f>93.7294 * CHOOSE(CONTROL!$C$9, $D$9, 100%, $F$9) + CHOOSE(CONTROL!$C$27, 0.0021, 0)</f>
        <v>93.731499999999997</v>
      </c>
      <c r="L928" s="10"/>
    </row>
    <row r="929" spans="1:12" ht="15.75" x14ac:dyDescent="0.25">
      <c r="A929" s="13">
        <v>69214</v>
      </c>
      <c r="B929" s="10">
        <f>95.2935 * CHOOSE(CONTROL!$C$9, $D$9, 100%, $F$9) + CHOOSE(CONTROL!$C$27, 0.0021, 0)</f>
        <v>95.295599999999993</v>
      </c>
      <c r="C929" s="10">
        <f>94.8612 * CHOOSE(CONTROL!$C$9, $D$9, 100%, $F$9) + CHOOSE(CONTROL!$C$27, 0.0021, 0)</f>
        <v>94.863299999999995</v>
      </c>
      <c r="D929" s="10">
        <f>94.8612 * CHOOSE(CONTROL!$C$9, $D$9, 100%, $F$9) + CHOOSE(CONTROL!$C$27, 0.0021, 0)</f>
        <v>94.863299999999995</v>
      </c>
      <c r="E929" s="10">
        <f>94.7246 * CHOOSE(CONTROL!$C$9, $D$9, 100%, $F$9) + CHOOSE(CONTROL!$C$27, 0.0021, 0)</f>
        <v>94.726699999999994</v>
      </c>
      <c r="F929" s="10">
        <f>94.7246 * CHOOSE(CONTROL!$C$9, $D$9, 100%, $F$9) + CHOOSE(CONTROL!$C$27, 0.0021, 0)</f>
        <v>94.726699999999994</v>
      </c>
      <c r="G929" s="10">
        <f>94.9959 * CHOOSE(CONTROL!$C$9, $D$9, 100%, $F$9) + CHOOSE(CONTROL!$C$27, 0.0021, 0)</f>
        <v>94.998000000000005</v>
      </c>
      <c r="H929" s="10">
        <f>94.8612 * CHOOSE(CONTROL!$C$9, $D$9, 100%, $F$9) + CHOOSE(CONTROL!$C$27, 0.0021, 0)</f>
        <v>94.863299999999995</v>
      </c>
      <c r="I929" s="10">
        <f>94.8612 * CHOOSE(CONTROL!$C$9, $D$9, 100%, $F$9) + CHOOSE(CONTROL!$C$27, 0.0021, 0)</f>
        <v>94.863299999999995</v>
      </c>
      <c r="J929" s="10">
        <f>94.8612 * CHOOSE(CONTROL!$C$9, $D$9, 100%, $F$9) + CHOOSE(CONTROL!$C$27, 0.0021, 0)</f>
        <v>94.863299999999995</v>
      </c>
      <c r="K929" s="10">
        <f>94.8612 * CHOOSE(CONTROL!$C$9, $D$9, 100%, $F$9) + CHOOSE(CONTROL!$C$27, 0.0021, 0)</f>
        <v>94.863299999999995</v>
      </c>
      <c r="L929" s="10"/>
    </row>
    <row r="930" spans="1:12" ht="15.75" x14ac:dyDescent="0.25">
      <c r="A930" s="13">
        <v>69245</v>
      </c>
      <c r="B930" s="10">
        <f>97.1605 * CHOOSE(CONTROL!$C$9, $D$9, 100%, $F$9) + CHOOSE(CONTROL!$C$27, 0.0021, 0)</f>
        <v>97.162599999999998</v>
      </c>
      <c r="C930" s="10">
        <f>96.7283 * CHOOSE(CONTROL!$C$9, $D$9, 100%, $F$9) + CHOOSE(CONTROL!$C$27, 0.0021, 0)</f>
        <v>96.730400000000003</v>
      </c>
      <c r="D930" s="10">
        <f>96.7283 * CHOOSE(CONTROL!$C$9, $D$9, 100%, $F$9) + CHOOSE(CONTROL!$C$27, 0.0021, 0)</f>
        <v>96.730400000000003</v>
      </c>
      <c r="E930" s="10">
        <f>96.5916 * CHOOSE(CONTROL!$C$9, $D$9, 100%, $F$9) + CHOOSE(CONTROL!$C$27, 0.0021, 0)</f>
        <v>96.593699999999998</v>
      </c>
      <c r="F930" s="10">
        <f>96.5916 * CHOOSE(CONTROL!$C$9, $D$9, 100%, $F$9) + CHOOSE(CONTROL!$C$27, 0.0021, 0)</f>
        <v>96.593699999999998</v>
      </c>
      <c r="G930" s="10">
        <f>96.863 * CHOOSE(CONTROL!$C$9, $D$9, 100%, $F$9) + CHOOSE(CONTROL!$C$27, 0.0021, 0)</f>
        <v>96.865099999999998</v>
      </c>
      <c r="H930" s="10">
        <f>96.7283 * CHOOSE(CONTROL!$C$9, $D$9, 100%, $F$9) + CHOOSE(CONTROL!$C$27, 0.0021, 0)</f>
        <v>96.730400000000003</v>
      </c>
      <c r="I930" s="10">
        <f>96.7283 * CHOOSE(CONTROL!$C$9, $D$9, 100%, $F$9) + CHOOSE(CONTROL!$C$27, 0.0021, 0)</f>
        <v>96.730400000000003</v>
      </c>
      <c r="J930" s="10">
        <f>96.7283 * CHOOSE(CONTROL!$C$9, $D$9, 100%, $F$9) + CHOOSE(CONTROL!$C$27, 0.0021, 0)</f>
        <v>96.730400000000003</v>
      </c>
      <c r="K930" s="10">
        <f>96.7283 * CHOOSE(CONTROL!$C$9, $D$9, 100%, $F$9) + CHOOSE(CONTROL!$C$27, 0.0021, 0)</f>
        <v>96.730400000000003</v>
      </c>
      <c r="L930" s="10"/>
    </row>
    <row r="931" spans="1:12" ht="15.75" x14ac:dyDescent="0.25">
      <c r="A931" s="13">
        <v>69276</v>
      </c>
      <c r="B931" s="10">
        <f>97.7304 * CHOOSE(CONTROL!$C$9, $D$9, 100%, $F$9) + CHOOSE(CONTROL!$C$27, 0.0021, 0)</f>
        <v>97.732500000000002</v>
      </c>
      <c r="C931" s="10">
        <f>97.2982 * CHOOSE(CONTROL!$C$9, $D$9, 100%, $F$9) + CHOOSE(CONTROL!$C$27, 0.0021, 0)</f>
        <v>97.300299999999993</v>
      </c>
      <c r="D931" s="10">
        <f>97.2982 * CHOOSE(CONTROL!$C$9, $D$9, 100%, $F$9) + CHOOSE(CONTROL!$C$27, 0.0021, 0)</f>
        <v>97.300299999999993</v>
      </c>
      <c r="E931" s="10">
        <f>97.1615 * CHOOSE(CONTROL!$C$9, $D$9, 100%, $F$9) + CHOOSE(CONTROL!$C$27, 0.0021, 0)</f>
        <v>97.163600000000002</v>
      </c>
      <c r="F931" s="10">
        <f>97.1615 * CHOOSE(CONTROL!$C$9, $D$9, 100%, $F$9) + CHOOSE(CONTROL!$C$27, 0.0021, 0)</f>
        <v>97.163600000000002</v>
      </c>
      <c r="G931" s="10">
        <f>97.4329 * CHOOSE(CONTROL!$C$9, $D$9, 100%, $F$9) + CHOOSE(CONTROL!$C$27, 0.0021, 0)</f>
        <v>97.435000000000002</v>
      </c>
      <c r="H931" s="10">
        <f>97.2982 * CHOOSE(CONTROL!$C$9, $D$9, 100%, $F$9) + CHOOSE(CONTROL!$C$27, 0.0021, 0)</f>
        <v>97.300299999999993</v>
      </c>
      <c r="I931" s="10">
        <f>97.2982 * CHOOSE(CONTROL!$C$9, $D$9, 100%, $F$9) + CHOOSE(CONTROL!$C$27, 0.0021, 0)</f>
        <v>97.300299999999993</v>
      </c>
      <c r="J931" s="10">
        <f>97.2982 * CHOOSE(CONTROL!$C$9, $D$9, 100%, $F$9) + CHOOSE(CONTROL!$C$27, 0.0021, 0)</f>
        <v>97.300299999999993</v>
      </c>
      <c r="K931" s="10">
        <f>97.2982 * CHOOSE(CONTROL!$C$9, $D$9, 100%, $F$9) + CHOOSE(CONTROL!$C$27, 0.0021, 0)</f>
        <v>97.300299999999993</v>
      </c>
      <c r="L931" s="10"/>
    </row>
    <row r="932" spans="1:12" ht="15.75" x14ac:dyDescent="0.25">
      <c r="A932" s="13">
        <v>69306</v>
      </c>
      <c r="B932" s="10">
        <f>99.6711 * CHOOSE(CONTROL!$C$9, $D$9, 100%, $F$9) + CHOOSE(CONTROL!$C$27, 0.0021, 0)</f>
        <v>99.673199999999994</v>
      </c>
      <c r="C932" s="10">
        <f>99.2389 * CHOOSE(CONTROL!$C$9, $D$9, 100%, $F$9) + CHOOSE(CONTROL!$C$27, 0.0021, 0)</f>
        <v>99.241</v>
      </c>
      <c r="D932" s="10">
        <f>99.2389 * CHOOSE(CONTROL!$C$9, $D$9, 100%, $F$9) + CHOOSE(CONTROL!$C$27, 0.0021, 0)</f>
        <v>99.241</v>
      </c>
      <c r="E932" s="10">
        <f>99.1022 * CHOOSE(CONTROL!$C$9, $D$9, 100%, $F$9) + CHOOSE(CONTROL!$C$27, 0.0021, 0)</f>
        <v>99.104299999999995</v>
      </c>
      <c r="F932" s="10">
        <f>99.1022 * CHOOSE(CONTROL!$C$9, $D$9, 100%, $F$9) + CHOOSE(CONTROL!$C$27, 0.0021, 0)</f>
        <v>99.104299999999995</v>
      </c>
      <c r="G932" s="10">
        <f>99.3736 * CHOOSE(CONTROL!$C$9, $D$9, 100%, $F$9) + CHOOSE(CONTROL!$C$27, 0.0021, 0)</f>
        <v>99.375699999999995</v>
      </c>
      <c r="H932" s="10">
        <f>99.2389 * CHOOSE(CONTROL!$C$9, $D$9, 100%, $F$9) + CHOOSE(CONTROL!$C$27, 0.0021, 0)</f>
        <v>99.241</v>
      </c>
      <c r="I932" s="10">
        <f>99.2389 * CHOOSE(CONTROL!$C$9, $D$9, 100%, $F$9) + CHOOSE(CONTROL!$C$27, 0.0021, 0)</f>
        <v>99.241</v>
      </c>
      <c r="J932" s="10">
        <f>99.2389 * CHOOSE(CONTROL!$C$9, $D$9, 100%, $F$9) + CHOOSE(CONTROL!$C$27, 0.0021, 0)</f>
        <v>99.241</v>
      </c>
      <c r="K932" s="10">
        <f>99.2389 * CHOOSE(CONTROL!$C$9, $D$9, 100%, $F$9) + CHOOSE(CONTROL!$C$27, 0.0021, 0)</f>
        <v>99.241</v>
      </c>
      <c r="L932" s="10"/>
    </row>
    <row r="933" spans="1:12" ht="15.75" x14ac:dyDescent="0.25">
      <c r="A933" s="13">
        <v>69337</v>
      </c>
      <c r="B933" s="10">
        <f>102.1278 * CHOOSE(CONTROL!$C$9, $D$9, 100%, $F$9) + CHOOSE(CONTROL!$C$27, 0.0021, 0)</f>
        <v>102.12989999999999</v>
      </c>
      <c r="C933" s="10">
        <f>101.6955 * CHOOSE(CONTROL!$C$9, $D$9, 100%, $F$9) + CHOOSE(CONTROL!$C$27, 0.0021, 0)</f>
        <v>101.69759999999999</v>
      </c>
      <c r="D933" s="10">
        <f>101.6955 * CHOOSE(CONTROL!$C$9, $D$9, 100%, $F$9) + CHOOSE(CONTROL!$C$27, 0.0021, 0)</f>
        <v>101.69759999999999</v>
      </c>
      <c r="E933" s="10">
        <f>101.5589 * CHOOSE(CONTROL!$C$9, $D$9, 100%, $F$9) + CHOOSE(CONTROL!$C$27, 0.0021, 0)</f>
        <v>101.56099999999999</v>
      </c>
      <c r="F933" s="10">
        <f>101.5589 * CHOOSE(CONTROL!$C$9, $D$9, 100%, $F$9) + CHOOSE(CONTROL!$C$27, 0.0021, 0)</f>
        <v>101.56099999999999</v>
      </c>
      <c r="G933" s="10">
        <f>101.8302 * CHOOSE(CONTROL!$C$9, $D$9, 100%, $F$9) + CHOOSE(CONTROL!$C$27, 0.0021, 0)</f>
        <v>101.8323</v>
      </c>
      <c r="H933" s="10">
        <f>101.6955 * CHOOSE(CONTROL!$C$9, $D$9, 100%, $F$9) + CHOOSE(CONTROL!$C$27, 0.0021, 0)</f>
        <v>101.69759999999999</v>
      </c>
      <c r="I933" s="10">
        <f>101.6955 * CHOOSE(CONTROL!$C$9, $D$9, 100%, $F$9) + CHOOSE(CONTROL!$C$27, 0.0021, 0)</f>
        <v>101.69759999999999</v>
      </c>
      <c r="J933" s="10">
        <f>101.6955 * CHOOSE(CONTROL!$C$9, $D$9, 100%, $F$9) + CHOOSE(CONTROL!$C$27, 0.0021, 0)</f>
        <v>101.69759999999999</v>
      </c>
      <c r="K933" s="10">
        <f>101.6955 * CHOOSE(CONTROL!$C$9, $D$9, 100%, $F$9) + CHOOSE(CONTROL!$C$27, 0.0021, 0)</f>
        <v>101.69759999999999</v>
      </c>
      <c r="L933" s="10"/>
    </row>
    <row r="934" spans="1:12" ht="15.75" x14ac:dyDescent="0.25">
      <c r="A934" s="13">
        <v>69367</v>
      </c>
      <c r="B934" s="10">
        <f>102.3584 * CHOOSE(CONTROL!$C$9, $D$9, 100%, $F$9) + CHOOSE(CONTROL!$C$27, 0.0021, 0)</f>
        <v>102.3605</v>
      </c>
      <c r="C934" s="10">
        <f>101.9262 * CHOOSE(CONTROL!$C$9, $D$9, 100%, $F$9) + CHOOSE(CONTROL!$C$27, 0.0021, 0)</f>
        <v>101.92829999999999</v>
      </c>
      <c r="D934" s="10">
        <f>101.9262 * CHOOSE(CONTROL!$C$9, $D$9, 100%, $F$9) + CHOOSE(CONTROL!$C$27, 0.0021, 0)</f>
        <v>101.92829999999999</v>
      </c>
      <c r="E934" s="10">
        <f>101.7895 * CHOOSE(CONTROL!$C$9, $D$9, 100%, $F$9) + CHOOSE(CONTROL!$C$27, 0.0021, 0)</f>
        <v>101.7916</v>
      </c>
      <c r="F934" s="10">
        <f>101.7895 * CHOOSE(CONTROL!$C$9, $D$9, 100%, $F$9) + CHOOSE(CONTROL!$C$27, 0.0021, 0)</f>
        <v>101.7916</v>
      </c>
      <c r="G934" s="10">
        <f>102.0609 * CHOOSE(CONTROL!$C$9, $D$9, 100%, $F$9) + CHOOSE(CONTROL!$C$27, 0.0021, 0)</f>
        <v>102.063</v>
      </c>
      <c r="H934" s="10">
        <f>101.9262 * CHOOSE(CONTROL!$C$9, $D$9, 100%, $F$9) + CHOOSE(CONTROL!$C$27, 0.0021, 0)</f>
        <v>101.92829999999999</v>
      </c>
      <c r="I934" s="10">
        <f>101.9262 * CHOOSE(CONTROL!$C$9, $D$9, 100%, $F$9) + CHOOSE(CONTROL!$C$27, 0.0021, 0)</f>
        <v>101.92829999999999</v>
      </c>
      <c r="J934" s="10">
        <f>101.9262 * CHOOSE(CONTROL!$C$9, $D$9, 100%, $F$9) + CHOOSE(CONTROL!$C$27, 0.0021, 0)</f>
        <v>101.92829999999999</v>
      </c>
      <c r="K934" s="10">
        <f>101.9262 * CHOOSE(CONTROL!$C$9, $D$9, 100%, $F$9) + CHOOSE(CONTROL!$C$27, 0.0021, 0)</f>
        <v>101.92829999999999</v>
      </c>
      <c r="L934" s="10"/>
    </row>
    <row r="935" spans="1:12" ht="15.75" x14ac:dyDescent="0.25">
      <c r="A935" s="13">
        <v>69398</v>
      </c>
      <c r="B935" s="10">
        <f>100.3963 * CHOOSE(CONTROL!$C$9, $D$9, 100%, $F$9) + CHOOSE(CONTROL!$C$27, 0.0021, 0)</f>
        <v>100.3984</v>
      </c>
      <c r="C935" s="10">
        <f>99.9641 * CHOOSE(CONTROL!$C$9, $D$9, 100%, $F$9) + CHOOSE(CONTROL!$C$27, 0.0021, 0)</f>
        <v>99.966200000000001</v>
      </c>
      <c r="D935" s="10">
        <f>99.9641 * CHOOSE(CONTROL!$C$9, $D$9, 100%, $F$9) + CHOOSE(CONTROL!$C$27, 0.0021, 0)</f>
        <v>99.966200000000001</v>
      </c>
      <c r="E935" s="10">
        <f>99.8274 * CHOOSE(CONTROL!$C$9, $D$9, 100%, $F$9) + CHOOSE(CONTROL!$C$27, 0.0021, 0)</f>
        <v>99.829499999999996</v>
      </c>
      <c r="F935" s="10">
        <f>99.8274 * CHOOSE(CONTROL!$C$9, $D$9, 100%, $F$9) + CHOOSE(CONTROL!$C$27, 0.0021, 0)</f>
        <v>99.829499999999996</v>
      </c>
      <c r="G935" s="10">
        <f>100.0988 * CHOOSE(CONTROL!$C$9, $D$9, 100%, $F$9) + CHOOSE(CONTROL!$C$27, 0.0021, 0)</f>
        <v>100.1009</v>
      </c>
      <c r="H935" s="10">
        <f>99.9641 * CHOOSE(CONTROL!$C$9, $D$9, 100%, $F$9) + CHOOSE(CONTROL!$C$27, 0.0021, 0)</f>
        <v>99.966200000000001</v>
      </c>
      <c r="I935" s="10">
        <f>99.9641 * CHOOSE(CONTROL!$C$9, $D$9, 100%, $F$9) + CHOOSE(CONTROL!$C$27, 0.0021, 0)</f>
        <v>99.966200000000001</v>
      </c>
      <c r="J935" s="10">
        <f>99.9641 * CHOOSE(CONTROL!$C$9, $D$9, 100%, $F$9) + CHOOSE(CONTROL!$C$27, 0.0021, 0)</f>
        <v>99.966200000000001</v>
      </c>
      <c r="K935" s="10">
        <f>99.9641 * CHOOSE(CONTROL!$C$9, $D$9, 100%, $F$9) + CHOOSE(CONTROL!$C$27, 0.0021, 0)</f>
        <v>99.966200000000001</v>
      </c>
      <c r="L935" s="10"/>
    </row>
    <row r="936" spans="1:12" ht="15.75" x14ac:dyDescent="0.25">
      <c r="A936" s="13">
        <v>69429</v>
      </c>
      <c r="B936" s="10">
        <f>99.111 * CHOOSE(CONTROL!$C$9, $D$9, 100%, $F$9) + CHOOSE(CONTROL!$C$27, 0.0021, 0)</f>
        <v>99.113100000000003</v>
      </c>
      <c r="C936" s="10">
        <f>98.6787 * CHOOSE(CONTROL!$C$9, $D$9, 100%, $F$9) + CHOOSE(CONTROL!$C$27, 0.0021, 0)</f>
        <v>98.680800000000005</v>
      </c>
      <c r="D936" s="10">
        <f>98.6787 * CHOOSE(CONTROL!$C$9, $D$9, 100%, $F$9) + CHOOSE(CONTROL!$C$27, 0.0021, 0)</f>
        <v>98.680800000000005</v>
      </c>
      <c r="E936" s="10">
        <f>98.5421 * CHOOSE(CONTROL!$C$9, $D$9, 100%, $F$9) + CHOOSE(CONTROL!$C$27, 0.0021, 0)</f>
        <v>98.544200000000004</v>
      </c>
      <c r="F936" s="10">
        <f>98.5421 * CHOOSE(CONTROL!$C$9, $D$9, 100%, $F$9) + CHOOSE(CONTROL!$C$27, 0.0021, 0)</f>
        <v>98.544200000000004</v>
      </c>
      <c r="G936" s="10">
        <f>98.8134 * CHOOSE(CONTROL!$C$9, $D$9, 100%, $F$9) + CHOOSE(CONTROL!$C$27, 0.0021, 0)</f>
        <v>98.8155</v>
      </c>
      <c r="H936" s="10">
        <f>98.6787 * CHOOSE(CONTROL!$C$9, $D$9, 100%, $F$9) + CHOOSE(CONTROL!$C$27, 0.0021, 0)</f>
        <v>98.680800000000005</v>
      </c>
      <c r="I936" s="10">
        <f>98.6787 * CHOOSE(CONTROL!$C$9, $D$9, 100%, $F$9) + CHOOSE(CONTROL!$C$27, 0.0021, 0)</f>
        <v>98.680800000000005</v>
      </c>
      <c r="J936" s="10">
        <f>98.6787 * CHOOSE(CONTROL!$C$9, $D$9, 100%, $F$9) + CHOOSE(CONTROL!$C$27, 0.0021, 0)</f>
        <v>98.680800000000005</v>
      </c>
      <c r="K936" s="10">
        <f>98.6787 * CHOOSE(CONTROL!$C$9, $D$9, 100%, $F$9) + CHOOSE(CONTROL!$C$27, 0.0021, 0)</f>
        <v>98.680800000000005</v>
      </c>
      <c r="L936" s="10"/>
    </row>
    <row r="937" spans="1:12" ht="15.75" x14ac:dyDescent="0.25">
      <c r="A937" s="13">
        <v>69457</v>
      </c>
      <c r="B937" s="10">
        <f>96.3724 * CHOOSE(CONTROL!$C$9, $D$9, 100%, $F$9) + CHOOSE(CONTROL!$C$27, 0.0021, 0)</f>
        <v>96.374499999999998</v>
      </c>
      <c r="C937" s="10">
        <f>95.9402 * CHOOSE(CONTROL!$C$9, $D$9, 100%, $F$9) + CHOOSE(CONTROL!$C$27, 0.0021, 0)</f>
        <v>95.942300000000003</v>
      </c>
      <c r="D937" s="10">
        <f>95.9402 * CHOOSE(CONTROL!$C$9, $D$9, 100%, $F$9) + CHOOSE(CONTROL!$C$27, 0.0021, 0)</f>
        <v>95.942300000000003</v>
      </c>
      <c r="E937" s="10">
        <f>95.8035 * CHOOSE(CONTROL!$C$9, $D$9, 100%, $F$9) + CHOOSE(CONTROL!$C$27, 0.0021, 0)</f>
        <v>95.805599999999998</v>
      </c>
      <c r="F937" s="10">
        <f>95.8035 * CHOOSE(CONTROL!$C$9, $D$9, 100%, $F$9) + CHOOSE(CONTROL!$C$27, 0.0021, 0)</f>
        <v>95.805599999999998</v>
      </c>
      <c r="G937" s="10">
        <f>96.0749 * CHOOSE(CONTROL!$C$9, $D$9, 100%, $F$9) + CHOOSE(CONTROL!$C$27, 0.0021, 0)</f>
        <v>96.076999999999998</v>
      </c>
      <c r="H937" s="10">
        <f>95.9402 * CHOOSE(CONTROL!$C$9, $D$9, 100%, $F$9) + CHOOSE(CONTROL!$C$27, 0.0021, 0)</f>
        <v>95.942300000000003</v>
      </c>
      <c r="I937" s="10">
        <f>95.9402 * CHOOSE(CONTROL!$C$9, $D$9, 100%, $F$9) + CHOOSE(CONTROL!$C$27, 0.0021, 0)</f>
        <v>95.942300000000003</v>
      </c>
      <c r="J937" s="10">
        <f>95.9402 * CHOOSE(CONTROL!$C$9, $D$9, 100%, $F$9) + CHOOSE(CONTROL!$C$27, 0.0021, 0)</f>
        <v>95.942300000000003</v>
      </c>
      <c r="K937" s="10">
        <f>95.9402 * CHOOSE(CONTROL!$C$9, $D$9, 100%, $F$9) + CHOOSE(CONTROL!$C$27, 0.0021, 0)</f>
        <v>95.942300000000003</v>
      </c>
      <c r="L937" s="10"/>
    </row>
    <row r="938" spans="1:12" ht="15.75" x14ac:dyDescent="0.25">
      <c r="A938" s="13">
        <v>69488</v>
      </c>
      <c r="B938" s="10">
        <f>95.2419 * CHOOSE(CONTROL!$C$9, $D$9, 100%, $F$9) + CHOOSE(CONTROL!$C$27, 0.0021, 0)</f>
        <v>95.244</v>
      </c>
      <c r="C938" s="10">
        <f>94.8097 * CHOOSE(CONTROL!$C$9, $D$9, 100%, $F$9) + CHOOSE(CONTROL!$C$27, 0.0021, 0)</f>
        <v>94.811800000000005</v>
      </c>
      <c r="D938" s="10">
        <f>94.8097 * CHOOSE(CONTROL!$C$9, $D$9, 100%, $F$9) + CHOOSE(CONTROL!$C$27, 0.0021, 0)</f>
        <v>94.811800000000005</v>
      </c>
      <c r="E938" s="10">
        <f>94.673 * CHOOSE(CONTROL!$C$9, $D$9, 100%, $F$9) + CHOOSE(CONTROL!$C$27, 0.0021, 0)</f>
        <v>94.6751</v>
      </c>
      <c r="F938" s="10">
        <f>94.673 * CHOOSE(CONTROL!$C$9, $D$9, 100%, $F$9) + CHOOSE(CONTROL!$C$27, 0.0021, 0)</f>
        <v>94.6751</v>
      </c>
      <c r="G938" s="10">
        <f>94.9444 * CHOOSE(CONTROL!$C$9, $D$9, 100%, $F$9) + CHOOSE(CONTROL!$C$27, 0.0021, 0)</f>
        <v>94.9465</v>
      </c>
      <c r="H938" s="10">
        <f>94.8097 * CHOOSE(CONTROL!$C$9, $D$9, 100%, $F$9) + CHOOSE(CONTROL!$C$27, 0.0021, 0)</f>
        <v>94.811800000000005</v>
      </c>
      <c r="I938" s="10">
        <f>94.8097 * CHOOSE(CONTROL!$C$9, $D$9, 100%, $F$9) + CHOOSE(CONTROL!$C$27, 0.0021, 0)</f>
        <v>94.811800000000005</v>
      </c>
      <c r="J938" s="10">
        <f>94.8097 * CHOOSE(CONTROL!$C$9, $D$9, 100%, $F$9) + CHOOSE(CONTROL!$C$27, 0.0021, 0)</f>
        <v>94.811800000000005</v>
      </c>
      <c r="K938" s="10">
        <f>94.8097 * CHOOSE(CONTROL!$C$9, $D$9, 100%, $F$9) + CHOOSE(CONTROL!$C$27, 0.0021, 0)</f>
        <v>94.811800000000005</v>
      </c>
      <c r="L938" s="10"/>
    </row>
    <row r="939" spans="1:12" ht="15.75" x14ac:dyDescent="0.25">
      <c r="A939" s="13">
        <v>69518</v>
      </c>
      <c r="B939" s="10">
        <f>93.8921 * CHOOSE(CONTROL!$C$9, $D$9, 100%, $F$9) + CHOOSE(CONTROL!$C$27, 0.0021, 0)</f>
        <v>93.894199999999998</v>
      </c>
      <c r="C939" s="10">
        <f>93.4599 * CHOOSE(CONTROL!$C$9, $D$9, 100%, $F$9) + CHOOSE(CONTROL!$C$27, 0.0021, 0)</f>
        <v>93.462000000000003</v>
      </c>
      <c r="D939" s="10">
        <f>93.4599 * CHOOSE(CONTROL!$C$9, $D$9, 100%, $F$9) + CHOOSE(CONTROL!$C$27, 0.0021, 0)</f>
        <v>93.462000000000003</v>
      </c>
      <c r="E939" s="10">
        <f>93.3232 * CHOOSE(CONTROL!$C$9, $D$9, 100%, $F$9) + CHOOSE(CONTROL!$C$27, 0.0021, 0)</f>
        <v>93.325299999999999</v>
      </c>
      <c r="F939" s="10">
        <f>93.3232 * CHOOSE(CONTROL!$C$9, $D$9, 100%, $F$9) + CHOOSE(CONTROL!$C$27, 0.0021, 0)</f>
        <v>93.325299999999999</v>
      </c>
      <c r="G939" s="10">
        <f>93.5946 * CHOOSE(CONTROL!$C$9, $D$9, 100%, $F$9) + CHOOSE(CONTROL!$C$27, 0.0021, 0)</f>
        <v>93.596699999999998</v>
      </c>
      <c r="H939" s="10">
        <f>93.4599 * CHOOSE(CONTROL!$C$9, $D$9, 100%, $F$9) + CHOOSE(CONTROL!$C$27, 0.0021, 0)</f>
        <v>93.462000000000003</v>
      </c>
      <c r="I939" s="10">
        <f>93.4599 * CHOOSE(CONTROL!$C$9, $D$9, 100%, $F$9) + CHOOSE(CONTROL!$C$27, 0.0021, 0)</f>
        <v>93.462000000000003</v>
      </c>
      <c r="J939" s="10">
        <f>93.4599 * CHOOSE(CONTROL!$C$9, $D$9, 100%, $F$9) + CHOOSE(CONTROL!$C$27, 0.0021, 0)</f>
        <v>93.462000000000003</v>
      </c>
      <c r="K939" s="10">
        <f>93.4599 * CHOOSE(CONTROL!$C$9, $D$9, 100%, $F$9) + CHOOSE(CONTROL!$C$27, 0.0021, 0)</f>
        <v>93.462000000000003</v>
      </c>
      <c r="L939" s="10"/>
    </row>
    <row r="940" spans="1:12" ht="15.75" x14ac:dyDescent="0.25">
      <c r="A940" s="13">
        <v>69549</v>
      </c>
      <c r="B940" s="10">
        <f>95.8158 * CHOOSE(CONTROL!$C$9, $D$9, 100%, $F$9) + CHOOSE(CONTROL!$C$27, 0.0021, 0)</f>
        <v>95.817899999999995</v>
      </c>
      <c r="C940" s="10">
        <f>95.3835 * CHOOSE(CONTROL!$C$9, $D$9, 100%, $F$9) + CHOOSE(CONTROL!$C$27, 0.0021, 0)</f>
        <v>95.385599999999997</v>
      </c>
      <c r="D940" s="10">
        <f>95.3835 * CHOOSE(CONTROL!$C$9, $D$9, 100%, $F$9) + CHOOSE(CONTROL!$C$27, 0.0021, 0)</f>
        <v>95.385599999999997</v>
      </c>
      <c r="E940" s="10">
        <f>95.2469 * CHOOSE(CONTROL!$C$9, $D$9, 100%, $F$9) + CHOOSE(CONTROL!$C$27, 0.0021, 0)</f>
        <v>95.248999999999995</v>
      </c>
      <c r="F940" s="10">
        <f>95.2469 * CHOOSE(CONTROL!$C$9, $D$9, 100%, $F$9) + CHOOSE(CONTROL!$C$27, 0.0021, 0)</f>
        <v>95.248999999999995</v>
      </c>
      <c r="G940" s="10">
        <f>95.5182 * CHOOSE(CONTROL!$C$9, $D$9, 100%, $F$9) + CHOOSE(CONTROL!$C$27, 0.0021, 0)</f>
        <v>95.520299999999992</v>
      </c>
      <c r="H940" s="10">
        <f>95.3835 * CHOOSE(CONTROL!$C$9, $D$9, 100%, $F$9) + CHOOSE(CONTROL!$C$27, 0.0021, 0)</f>
        <v>95.385599999999997</v>
      </c>
      <c r="I940" s="10">
        <f>95.3835 * CHOOSE(CONTROL!$C$9, $D$9, 100%, $F$9) + CHOOSE(CONTROL!$C$27, 0.0021, 0)</f>
        <v>95.385599999999997</v>
      </c>
      <c r="J940" s="10">
        <f>95.3835 * CHOOSE(CONTROL!$C$9, $D$9, 100%, $F$9) + CHOOSE(CONTROL!$C$27, 0.0021, 0)</f>
        <v>95.385599999999997</v>
      </c>
      <c r="K940" s="10">
        <f>95.3835 * CHOOSE(CONTROL!$C$9, $D$9, 100%, $F$9) + CHOOSE(CONTROL!$C$27, 0.0021, 0)</f>
        <v>95.385599999999997</v>
      </c>
      <c r="L940" s="10"/>
    </row>
    <row r="941" spans="1:12" ht="15.75" x14ac:dyDescent="0.25">
      <c r="A941" s="13">
        <v>69579</v>
      </c>
      <c r="B941" s="10">
        <f>96.9679 * CHOOSE(CONTROL!$C$9, $D$9, 100%, $F$9) + CHOOSE(CONTROL!$C$27, 0.0021, 0)</f>
        <v>96.97</v>
      </c>
      <c r="C941" s="10">
        <f>96.5357 * CHOOSE(CONTROL!$C$9, $D$9, 100%, $F$9) + CHOOSE(CONTROL!$C$27, 0.0021, 0)</f>
        <v>96.537800000000004</v>
      </c>
      <c r="D941" s="10">
        <f>96.5357 * CHOOSE(CONTROL!$C$9, $D$9, 100%, $F$9) + CHOOSE(CONTROL!$C$27, 0.0021, 0)</f>
        <v>96.537800000000004</v>
      </c>
      <c r="E941" s="10">
        <f>96.399 * CHOOSE(CONTROL!$C$9, $D$9, 100%, $F$9) + CHOOSE(CONTROL!$C$27, 0.0021, 0)</f>
        <v>96.4011</v>
      </c>
      <c r="F941" s="10">
        <f>96.399 * CHOOSE(CONTROL!$C$9, $D$9, 100%, $F$9) + CHOOSE(CONTROL!$C$27, 0.0021, 0)</f>
        <v>96.4011</v>
      </c>
      <c r="G941" s="10">
        <f>96.6704 * CHOOSE(CONTROL!$C$9, $D$9, 100%, $F$9) + CHOOSE(CONTROL!$C$27, 0.0021, 0)</f>
        <v>96.672499999999999</v>
      </c>
      <c r="H941" s="10">
        <f>96.5357 * CHOOSE(CONTROL!$C$9, $D$9, 100%, $F$9) + CHOOSE(CONTROL!$C$27, 0.0021, 0)</f>
        <v>96.537800000000004</v>
      </c>
      <c r="I941" s="10">
        <f>96.5357 * CHOOSE(CONTROL!$C$9, $D$9, 100%, $F$9) + CHOOSE(CONTROL!$C$27, 0.0021, 0)</f>
        <v>96.537800000000004</v>
      </c>
      <c r="J941" s="10">
        <f>96.5357 * CHOOSE(CONTROL!$C$9, $D$9, 100%, $F$9) + CHOOSE(CONTROL!$C$27, 0.0021, 0)</f>
        <v>96.537800000000004</v>
      </c>
      <c r="K941" s="10">
        <f>96.5357 * CHOOSE(CONTROL!$C$9, $D$9, 100%, $F$9) + CHOOSE(CONTROL!$C$27, 0.0021, 0)</f>
        <v>96.537800000000004</v>
      </c>
      <c r="L941" s="10"/>
    </row>
    <row r="942" spans="1:12" ht="15.75" x14ac:dyDescent="0.25">
      <c r="A942" s="13">
        <v>69610</v>
      </c>
      <c r="B942" s="10">
        <f>98.8686 * CHOOSE(CONTROL!$C$9, $D$9, 100%, $F$9) + CHOOSE(CONTROL!$C$27, 0.0021, 0)</f>
        <v>98.870699999999999</v>
      </c>
      <c r="C942" s="10">
        <f>98.4364 * CHOOSE(CONTROL!$C$9, $D$9, 100%, $F$9) + CHOOSE(CONTROL!$C$27, 0.0021, 0)</f>
        <v>98.438500000000005</v>
      </c>
      <c r="D942" s="10">
        <f>98.4364 * CHOOSE(CONTROL!$C$9, $D$9, 100%, $F$9) + CHOOSE(CONTROL!$C$27, 0.0021, 0)</f>
        <v>98.438500000000005</v>
      </c>
      <c r="E942" s="10">
        <f>98.2997 * CHOOSE(CONTROL!$C$9, $D$9, 100%, $F$9) + CHOOSE(CONTROL!$C$27, 0.0021, 0)</f>
        <v>98.3018</v>
      </c>
      <c r="F942" s="10">
        <f>98.2997 * CHOOSE(CONTROL!$C$9, $D$9, 100%, $F$9) + CHOOSE(CONTROL!$C$27, 0.0021, 0)</f>
        <v>98.3018</v>
      </c>
      <c r="G942" s="10">
        <f>98.5711 * CHOOSE(CONTROL!$C$9, $D$9, 100%, $F$9) + CHOOSE(CONTROL!$C$27, 0.0021, 0)</f>
        <v>98.5732</v>
      </c>
      <c r="H942" s="10">
        <f>98.4364 * CHOOSE(CONTROL!$C$9, $D$9, 100%, $F$9) + CHOOSE(CONTROL!$C$27, 0.0021, 0)</f>
        <v>98.438500000000005</v>
      </c>
      <c r="I942" s="10">
        <f>98.4364 * CHOOSE(CONTROL!$C$9, $D$9, 100%, $F$9) + CHOOSE(CONTROL!$C$27, 0.0021, 0)</f>
        <v>98.438500000000005</v>
      </c>
      <c r="J942" s="10">
        <f>98.4364 * CHOOSE(CONTROL!$C$9, $D$9, 100%, $F$9) + CHOOSE(CONTROL!$C$27, 0.0021, 0)</f>
        <v>98.438500000000005</v>
      </c>
      <c r="K942" s="10">
        <f>98.4364 * CHOOSE(CONTROL!$C$9, $D$9, 100%, $F$9) + CHOOSE(CONTROL!$C$27, 0.0021, 0)</f>
        <v>98.438500000000005</v>
      </c>
      <c r="L942" s="10"/>
    </row>
    <row r="943" spans="1:12" ht="15.75" x14ac:dyDescent="0.25">
      <c r="A943" s="13">
        <v>69641</v>
      </c>
      <c r="B943" s="10">
        <f>99.4488 * CHOOSE(CONTROL!$C$9, $D$9, 100%, $F$9) + CHOOSE(CONTROL!$C$27, 0.0021, 0)</f>
        <v>99.450900000000004</v>
      </c>
      <c r="C943" s="10">
        <f>99.0165 * CHOOSE(CONTROL!$C$9, $D$9, 100%, $F$9) + CHOOSE(CONTROL!$C$27, 0.0021, 0)</f>
        <v>99.018599999999992</v>
      </c>
      <c r="D943" s="10">
        <f>99.0165 * CHOOSE(CONTROL!$C$9, $D$9, 100%, $F$9) + CHOOSE(CONTROL!$C$27, 0.0021, 0)</f>
        <v>99.018599999999992</v>
      </c>
      <c r="E943" s="10">
        <f>98.8799 * CHOOSE(CONTROL!$C$9, $D$9, 100%, $F$9) + CHOOSE(CONTROL!$C$27, 0.0021, 0)</f>
        <v>98.882000000000005</v>
      </c>
      <c r="F943" s="10">
        <f>98.8799 * CHOOSE(CONTROL!$C$9, $D$9, 100%, $F$9) + CHOOSE(CONTROL!$C$27, 0.0021, 0)</f>
        <v>98.882000000000005</v>
      </c>
      <c r="G943" s="10">
        <f>99.1512 * CHOOSE(CONTROL!$C$9, $D$9, 100%, $F$9) + CHOOSE(CONTROL!$C$27, 0.0021, 0)</f>
        <v>99.153300000000002</v>
      </c>
      <c r="H943" s="10">
        <f>99.0165 * CHOOSE(CONTROL!$C$9, $D$9, 100%, $F$9) + CHOOSE(CONTROL!$C$27, 0.0021, 0)</f>
        <v>99.018599999999992</v>
      </c>
      <c r="I943" s="10">
        <f>99.0165 * CHOOSE(CONTROL!$C$9, $D$9, 100%, $F$9) + CHOOSE(CONTROL!$C$27, 0.0021, 0)</f>
        <v>99.018599999999992</v>
      </c>
      <c r="J943" s="10">
        <f>99.0165 * CHOOSE(CONTROL!$C$9, $D$9, 100%, $F$9) + CHOOSE(CONTROL!$C$27, 0.0021, 0)</f>
        <v>99.018599999999992</v>
      </c>
      <c r="K943" s="10">
        <f>99.0165 * CHOOSE(CONTROL!$C$9, $D$9, 100%, $F$9) + CHOOSE(CONTROL!$C$27, 0.0021, 0)</f>
        <v>99.018599999999992</v>
      </c>
      <c r="L943" s="10"/>
    </row>
    <row r="944" spans="1:12" ht="15.75" x14ac:dyDescent="0.25">
      <c r="A944" s="13">
        <v>69671</v>
      </c>
      <c r="B944" s="10">
        <f>101.4244 * CHOOSE(CONTROL!$C$9, $D$9, 100%, $F$9) + CHOOSE(CONTROL!$C$27, 0.0021, 0)</f>
        <v>101.4265</v>
      </c>
      <c r="C944" s="10">
        <f>100.9922 * CHOOSE(CONTROL!$C$9, $D$9, 100%, $F$9) + CHOOSE(CONTROL!$C$27, 0.0021, 0)</f>
        <v>100.9943</v>
      </c>
      <c r="D944" s="10">
        <f>100.9922 * CHOOSE(CONTROL!$C$9, $D$9, 100%, $F$9) + CHOOSE(CONTROL!$C$27, 0.0021, 0)</f>
        <v>100.9943</v>
      </c>
      <c r="E944" s="10">
        <f>100.8555 * CHOOSE(CONTROL!$C$9, $D$9, 100%, $F$9) + CHOOSE(CONTROL!$C$27, 0.0021, 0)</f>
        <v>100.85760000000001</v>
      </c>
      <c r="F944" s="10">
        <f>100.8555 * CHOOSE(CONTROL!$C$9, $D$9, 100%, $F$9) + CHOOSE(CONTROL!$C$27, 0.0021, 0)</f>
        <v>100.85760000000001</v>
      </c>
      <c r="G944" s="10">
        <f>101.1269 * CHOOSE(CONTROL!$C$9, $D$9, 100%, $F$9) + CHOOSE(CONTROL!$C$27, 0.0021, 0)</f>
        <v>101.129</v>
      </c>
      <c r="H944" s="10">
        <f>100.9922 * CHOOSE(CONTROL!$C$9, $D$9, 100%, $F$9) + CHOOSE(CONTROL!$C$27, 0.0021, 0)</f>
        <v>100.9943</v>
      </c>
      <c r="I944" s="10">
        <f>100.9922 * CHOOSE(CONTROL!$C$9, $D$9, 100%, $F$9) + CHOOSE(CONTROL!$C$27, 0.0021, 0)</f>
        <v>100.9943</v>
      </c>
      <c r="J944" s="10">
        <f>100.9922 * CHOOSE(CONTROL!$C$9, $D$9, 100%, $F$9) + CHOOSE(CONTROL!$C$27, 0.0021, 0)</f>
        <v>100.9943</v>
      </c>
      <c r="K944" s="10">
        <f>100.9922 * CHOOSE(CONTROL!$C$9, $D$9, 100%, $F$9) + CHOOSE(CONTROL!$C$27, 0.0021, 0)</f>
        <v>100.9943</v>
      </c>
      <c r="L944" s="10"/>
    </row>
    <row r="945" spans="1:12" ht="15.75" x14ac:dyDescent="0.25">
      <c r="A945" s="13">
        <v>69702</v>
      </c>
      <c r="B945" s="10">
        <f>103.9253 * CHOOSE(CONTROL!$C$9, $D$9, 100%, $F$9) + CHOOSE(CONTROL!$C$27, 0.0021, 0)</f>
        <v>103.92739999999999</v>
      </c>
      <c r="C945" s="10">
        <f>103.4931 * CHOOSE(CONTROL!$C$9, $D$9, 100%, $F$9) + CHOOSE(CONTROL!$C$27, 0.0021, 0)</f>
        <v>103.4952</v>
      </c>
      <c r="D945" s="10">
        <f>103.4931 * CHOOSE(CONTROL!$C$9, $D$9, 100%, $F$9) + CHOOSE(CONTROL!$C$27, 0.0021, 0)</f>
        <v>103.4952</v>
      </c>
      <c r="E945" s="10">
        <f>103.3564 * CHOOSE(CONTROL!$C$9, $D$9, 100%, $F$9) + CHOOSE(CONTROL!$C$27, 0.0021, 0)</f>
        <v>103.35849999999999</v>
      </c>
      <c r="F945" s="10">
        <f>103.3564 * CHOOSE(CONTROL!$C$9, $D$9, 100%, $F$9) + CHOOSE(CONTROL!$C$27, 0.0021, 0)</f>
        <v>103.35849999999999</v>
      </c>
      <c r="G945" s="10">
        <f>103.6278 * CHOOSE(CONTROL!$C$9, $D$9, 100%, $F$9) + CHOOSE(CONTROL!$C$27, 0.0021, 0)</f>
        <v>103.62989999999999</v>
      </c>
      <c r="H945" s="10">
        <f>103.4931 * CHOOSE(CONTROL!$C$9, $D$9, 100%, $F$9) + CHOOSE(CONTROL!$C$27, 0.0021, 0)</f>
        <v>103.4952</v>
      </c>
      <c r="I945" s="10">
        <f>103.4931 * CHOOSE(CONTROL!$C$9, $D$9, 100%, $F$9) + CHOOSE(CONTROL!$C$27, 0.0021, 0)</f>
        <v>103.4952</v>
      </c>
      <c r="J945" s="10">
        <f>103.4931 * CHOOSE(CONTROL!$C$9, $D$9, 100%, $F$9) + CHOOSE(CONTROL!$C$27, 0.0021, 0)</f>
        <v>103.4952</v>
      </c>
      <c r="K945" s="10">
        <f>103.4931 * CHOOSE(CONTROL!$C$9, $D$9, 100%, $F$9) + CHOOSE(CONTROL!$C$27, 0.0021, 0)</f>
        <v>103.4952</v>
      </c>
      <c r="L945" s="10"/>
    </row>
    <row r="946" spans="1:12" ht="15.75" x14ac:dyDescent="0.25">
      <c r="A946" s="13">
        <v>69732</v>
      </c>
      <c r="B946" s="10">
        <f>104.1601 * CHOOSE(CONTROL!$C$9, $D$9, 100%, $F$9) + CHOOSE(CONTROL!$C$27, 0.0021, 0)</f>
        <v>104.1622</v>
      </c>
      <c r="C946" s="10">
        <f>103.7278 * CHOOSE(CONTROL!$C$9, $D$9, 100%, $F$9) + CHOOSE(CONTROL!$C$27, 0.0021, 0)</f>
        <v>103.7299</v>
      </c>
      <c r="D946" s="10">
        <f>103.7278 * CHOOSE(CONTROL!$C$9, $D$9, 100%, $F$9) + CHOOSE(CONTROL!$C$27, 0.0021, 0)</f>
        <v>103.7299</v>
      </c>
      <c r="E946" s="10">
        <f>103.5912 * CHOOSE(CONTROL!$C$9, $D$9, 100%, $F$9) + CHOOSE(CONTROL!$C$27, 0.0021, 0)</f>
        <v>103.5933</v>
      </c>
      <c r="F946" s="10">
        <f>103.5912 * CHOOSE(CONTROL!$C$9, $D$9, 100%, $F$9) + CHOOSE(CONTROL!$C$27, 0.0021, 0)</f>
        <v>103.5933</v>
      </c>
      <c r="G946" s="10">
        <f>103.8625 * CHOOSE(CONTROL!$C$9, $D$9, 100%, $F$9) + CHOOSE(CONTROL!$C$27, 0.0021, 0)</f>
        <v>103.8646</v>
      </c>
      <c r="H946" s="10">
        <f>103.7278 * CHOOSE(CONTROL!$C$9, $D$9, 100%, $F$9) + CHOOSE(CONTROL!$C$27, 0.0021, 0)</f>
        <v>103.7299</v>
      </c>
      <c r="I946" s="10">
        <f>103.7278 * CHOOSE(CONTROL!$C$9, $D$9, 100%, $F$9) + CHOOSE(CONTROL!$C$27, 0.0021, 0)</f>
        <v>103.7299</v>
      </c>
      <c r="J946" s="10">
        <f>103.7278 * CHOOSE(CONTROL!$C$9, $D$9, 100%, $F$9) + CHOOSE(CONTROL!$C$27, 0.0021, 0)</f>
        <v>103.7299</v>
      </c>
      <c r="K946" s="10">
        <f>103.7278 * CHOOSE(CONTROL!$C$9, $D$9, 100%, $F$9) + CHOOSE(CONTROL!$C$27, 0.0021, 0)</f>
        <v>103.7299</v>
      </c>
      <c r="L946" s="10"/>
    </row>
    <row r="947" spans="1:12" ht="15.75" x14ac:dyDescent="0.25">
      <c r="A947" s="13">
        <v>69763</v>
      </c>
      <c r="B947" s="10">
        <f>102.1627 * CHOOSE(CONTROL!$C$9, $D$9, 100%, $F$9) + CHOOSE(CONTROL!$C$27, 0.0021, 0)</f>
        <v>102.1648</v>
      </c>
      <c r="C947" s="10">
        <f>101.7304 * CHOOSE(CONTROL!$C$9, $D$9, 100%, $F$9) + CHOOSE(CONTROL!$C$27, 0.0021, 0)</f>
        <v>101.7325</v>
      </c>
      <c r="D947" s="10">
        <f>101.7304 * CHOOSE(CONTROL!$C$9, $D$9, 100%, $F$9) + CHOOSE(CONTROL!$C$27, 0.0021, 0)</f>
        <v>101.7325</v>
      </c>
      <c r="E947" s="10">
        <f>101.5938 * CHOOSE(CONTROL!$C$9, $D$9, 100%, $F$9) + CHOOSE(CONTROL!$C$27, 0.0021, 0)</f>
        <v>101.5959</v>
      </c>
      <c r="F947" s="10">
        <f>101.5938 * CHOOSE(CONTROL!$C$9, $D$9, 100%, $F$9) + CHOOSE(CONTROL!$C$27, 0.0021, 0)</f>
        <v>101.5959</v>
      </c>
      <c r="G947" s="10">
        <f>101.8652 * CHOOSE(CONTROL!$C$9, $D$9, 100%, $F$9) + CHOOSE(CONTROL!$C$27, 0.0021, 0)</f>
        <v>101.8673</v>
      </c>
      <c r="H947" s="10">
        <f>101.7304 * CHOOSE(CONTROL!$C$9, $D$9, 100%, $F$9) + CHOOSE(CONTROL!$C$27, 0.0021, 0)</f>
        <v>101.7325</v>
      </c>
      <c r="I947" s="10">
        <f>101.7304 * CHOOSE(CONTROL!$C$9, $D$9, 100%, $F$9) + CHOOSE(CONTROL!$C$27, 0.0021, 0)</f>
        <v>101.7325</v>
      </c>
      <c r="J947" s="10">
        <f>101.7304 * CHOOSE(CONTROL!$C$9, $D$9, 100%, $F$9) + CHOOSE(CONTROL!$C$27, 0.0021, 0)</f>
        <v>101.7325</v>
      </c>
      <c r="K947" s="10">
        <f>101.7304 * CHOOSE(CONTROL!$C$9, $D$9, 100%, $F$9) + CHOOSE(CONTROL!$C$27, 0.0021, 0)</f>
        <v>101.7325</v>
      </c>
      <c r="L947" s="10"/>
    </row>
    <row r="948" spans="1:12" ht="15.75" x14ac:dyDescent="0.25">
      <c r="A948" s="13">
        <v>69794</v>
      </c>
      <c r="B948" s="10">
        <f>100.8542 * CHOOSE(CONTROL!$C$9, $D$9, 100%, $F$9) + CHOOSE(CONTROL!$C$27, 0.0021, 0)</f>
        <v>100.8563</v>
      </c>
      <c r="C948" s="10">
        <f>100.4219 * CHOOSE(CONTROL!$C$9, $D$9, 100%, $F$9) + CHOOSE(CONTROL!$C$27, 0.0021, 0)</f>
        <v>100.42399999999999</v>
      </c>
      <c r="D948" s="10">
        <f>100.4219 * CHOOSE(CONTROL!$C$9, $D$9, 100%, $F$9) + CHOOSE(CONTROL!$C$27, 0.0021, 0)</f>
        <v>100.42399999999999</v>
      </c>
      <c r="E948" s="10">
        <f>100.2853 * CHOOSE(CONTROL!$C$9, $D$9, 100%, $F$9) + CHOOSE(CONTROL!$C$27, 0.0021, 0)</f>
        <v>100.28740000000001</v>
      </c>
      <c r="F948" s="10">
        <f>100.2853 * CHOOSE(CONTROL!$C$9, $D$9, 100%, $F$9) + CHOOSE(CONTROL!$C$27, 0.0021, 0)</f>
        <v>100.28740000000001</v>
      </c>
      <c r="G948" s="10">
        <f>100.5566 * CHOOSE(CONTROL!$C$9, $D$9, 100%, $F$9) + CHOOSE(CONTROL!$C$27, 0.0021, 0)</f>
        <v>100.5587</v>
      </c>
      <c r="H948" s="10">
        <f>100.4219 * CHOOSE(CONTROL!$C$9, $D$9, 100%, $F$9) + CHOOSE(CONTROL!$C$27, 0.0021, 0)</f>
        <v>100.42399999999999</v>
      </c>
      <c r="I948" s="10">
        <f>100.4219 * CHOOSE(CONTROL!$C$9, $D$9, 100%, $F$9) + CHOOSE(CONTROL!$C$27, 0.0021, 0)</f>
        <v>100.42399999999999</v>
      </c>
      <c r="J948" s="10">
        <f>100.4219 * CHOOSE(CONTROL!$C$9, $D$9, 100%, $F$9) + CHOOSE(CONTROL!$C$27, 0.0021, 0)</f>
        <v>100.42399999999999</v>
      </c>
      <c r="K948" s="10">
        <f>100.4219 * CHOOSE(CONTROL!$C$9, $D$9, 100%, $F$9) + CHOOSE(CONTROL!$C$27, 0.0021, 0)</f>
        <v>100.42399999999999</v>
      </c>
      <c r="L948" s="10"/>
    </row>
    <row r="949" spans="1:12" ht="15.75" x14ac:dyDescent="0.25">
      <c r="A949" s="13">
        <v>69822</v>
      </c>
      <c r="B949" s="10">
        <f>98.0663 * CHOOSE(CONTROL!$C$9, $D$9, 100%, $F$9) + CHOOSE(CONTROL!$C$27, 0.0021, 0)</f>
        <v>98.068399999999997</v>
      </c>
      <c r="C949" s="10">
        <f>97.6341 * CHOOSE(CONTROL!$C$9, $D$9, 100%, $F$9) + CHOOSE(CONTROL!$C$27, 0.0021, 0)</f>
        <v>97.636200000000002</v>
      </c>
      <c r="D949" s="10">
        <f>97.6341 * CHOOSE(CONTROL!$C$9, $D$9, 100%, $F$9) + CHOOSE(CONTROL!$C$27, 0.0021, 0)</f>
        <v>97.636200000000002</v>
      </c>
      <c r="E949" s="10">
        <f>97.4974 * CHOOSE(CONTROL!$C$9, $D$9, 100%, $F$9) + CHOOSE(CONTROL!$C$27, 0.0021, 0)</f>
        <v>97.499499999999998</v>
      </c>
      <c r="F949" s="10">
        <f>97.4974 * CHOOSE(CONTROL!$C$9, $D$9, 100%, $F$9) + CHOOSE(CONTROL!$C$27, 0.0021, 0)</f>
        <v>97.499499999999998</v>
      </c>
      <c r="G949" s="10">
        <f>97.7688 * CHOOSE(CONTROL!$C$9, $D$9, 100%, $F$9) + CHOOSE(CONTROL!$C$27, 0.0021, 0)</f>
        <v>97.770899999999997</v>
      </c>
      <c r="H949" s="10">
        <f>97.6341 * CHOOSE(CONTROL!$C$9, $D$9, 100%, $F$9) + CHOOSE(CONTROL!$C$27, 0.0021, 0)</f>
        <v>97.636200000000002</v>
      </c>
      <c r="I949" s="10">
        <f>97.6341 * CHOOSE(CONTROL!$C$9, $D$9, 100%, $F$9) + CHOOSE(CONTROL!$C$27, 0.0021, 0)</f>
        <v>97.636200000000002</v>
      </c>
      <c r="J949" s="10">
        <f>97.6341 * CHOOSE(CONTROL!$C$9, $D$9, 100%, $F$9) + CHOOSE(CONTROL!$C$27, 0.0021, 0)</f>
        <v>97.636200000000002</v>
      </c>
      <c r="K949" s="10">
        <f>97.6341 * CHOOSE(CONTROL!$C$9, $D$9, 100%, $F$9) + CHOOSE(CONTROL!$C$27, 0.0021, 0)</f>
        <v>97.636200000000002</v>
      </c>
      <c r="L949" s="10"/>
    </row>
    <row r="950" spans="1:12" ht="15.75" x14ac:dyDescent="0.25">
      <c r="A950" s="13">
        <v>69853</v>
      </c>
      <c r="B950" s="10">
        <f>96.9155 * CHOOSE(CONTROL!$C$9, $D$9, 100%, $F$9) + CHOOSE(CONTROL!$C$27, 0.0021, 0)</f>
        <v>96.917599999999993</v>
      </c>
      <c r="C950" s="10">
        <f>96.4832 * CHOOSE(CONTROL!$C$9, $D$9, 100%, $F$9) + CHOOSE(CONTROL!$C$27, 0.0021, 0)</f>
        <v>96.485299999999995</v>
      </c>
      <c r="D950" s="10">
        <f>96.4832 * CHOOSE(CONTROL!$C$9, $D$9, 100%, $F$9) + CHOOSE(CONTROL!$C$27, 0.0021, 0)</f>
        <v>96.485299999999995</v>
      </c>
      <c r="E950" s="10">
        <f>96.3466 * CHOOSE(CONTROL!$C$9, $D$9, 100%, $F$9) + CHOOSE(CONTROL!$C$27, 0.0021, 0)</f>
        <v>96.348699999999994</v>
      </c>
      <c r="F950" s="10">
        <f>96.3466 * CHOOSE(CONTROL!$C$9, $D$9, 100%, $F$9) + CHOOSE(CONTROL!$C$27, 0.0021, 0)</f>
        <v>96.348699999999994</v>
      </c>
      <c r="G950" s="10">
        <f>96.6179 * CHOOSE(CONTROL!$C$9, $D$9, 100%, $F$9) + CHOOSE(CONTROL!$C$27, 0.0021, 0)</f>
        <v>96.62</v>
      </c>
      <c r="H950" s="10">
        <f>96.4832 * CHOOSE(CONTROL!$C$9, $D$9, 100%, $F$9) + CHOOSE(CONTROL!$C$27, 0.0021, 0)</f>
        <v>96.485299999999995</v>
      </c>
      <c r="I950" s="10">
        <f>96.4832 * CHOOSE(CONTROL!$C$9, $D$9, 100%, $F$9) + CHOOSE(CONTROL!$C$27, 0.0021, 0)</f>
        <v>96.485299999999995</v>
      </c>
      <c r="J950" s="10">
        <f>96.4832 * CHOOSE(CONTROL!$C$9, $D$9, 100%, $F$9) + CHOOSE(CONTROL!$C$27, 0.0021, 0)</f>
        <v>96.485299999999995</v>
      </c>
      <c r="K950" s="10">
        <f>96.4832 * CHOOSE(CONTROL!$C$9, $D$9, 100%, $F$9) + CHOOSE(CONTROL!$C$27, 0.0021, 0)</f>
        <v>96.485299999999995</v>
      </c>
      <c r="L950" s="10"/>
    </row>
    <row r="951" spans="1:12" ht="15.75" x14ac:dyDescent="0.25">
      <c r="A951" s="13">
        <v>69883</v>
      </c>
      <c r="B951" s="10">
        <f>95.5414 * CHOOSE(CONTROL!$C$9, $D$9, 100%, $F$9) + CHOOSE(CONTROL!$C$27, 0.0021, 0)</f>
        <v>95.543499999999995</v>
      </c>
      <c r="C951" s="10">
        <f>95.1091 * CHOOSE(CONTROL!$C$9, $D$9, 100%, $F$9) + CHOOSE(CONTROL!$C$27, 0.0021, 0)</f>
        <v>95.111199999999997</v>
      </c>
      <c r="D951" s="10">
        <f>95.1091 * CHOOSE(CONTROL!$C$9, $D$9, 100%, $F$9) + CHOOSE(CONTROL!$C$27, 0.0021, 0)</f>
        <v>95.111199999999997</v>
      </c>
      <c r="E951" s="10">
        <f>94.9725 * CHOOSE(CONTROL!$C$9, $D$9, 100%, $F$9) + CHOOSE(CONTROL!$C$27, 0.0021, 0)</f>
        <v>94.974599999999995</v>
      </c>
      <c r="F951" s="10">
        <f>94.9725 * CHOOSE(CONTROL!$C$9, $D$9, 100%, $F$9) + CHOOSE(CONTROL!$C$27, 0.0021, 0)</f>
        <v>94.974599999999995</v>
      </c>
      <c r="G951" s="10">
        <f>95.2438 * CHOOSE(CONTROL!$C$9, $D$9, 100%, $F$9) + CHOOSE(CONTROL!$C$27, 0.0021, 0)</f>
        <v>95.245899999999992</v>
      </c>
      <c r="H951" s="10">
        <f>95.1091 * CHOOSE(CONTROL!$C$9, $D$9, 100%, $F$9) + CHOOSE(CONTROL!$C$27, 0.0021, 0)</f>
        <v>95.111199999999997</v>
      </c>
      <c r="I951" s="10">
        <f>95.1091 * CHOOSE(CONTROL!$C$9, $D$9, 100%, $F$9) + CHOOSE(CONTROL!$C$27, 0.0021, 0)</f>
        <v>95.111199999999997</v>
      </c>
      <c r="J951" s="10">
        <f>95.1091 * CHOOSE(CONTROL!$C$9, $D$9, 100%, $F$9) + CHOOSE(CONTROL!$C$27, 0.0021, 0)</f>
        <v>95.111199999999997</v>
      </c>
      <c r="K951" s="10">
        <f>95.1091 * CHOOSE(CONTROL!$C$9, $D$9, 100%, $F$9) + CHOOSE(CONTROL!$C$27, 0.0021, 0)</f>
        <v>95.111199999999997</v>
      </c>
      <c r="L951" s="10"/>
    </row>
    <row r="952" spans="1:12" ht="15.75" x14ac:dyDescent="0.25">
      <c r="A952" s="13">
        <v>69914</v>
      </c>
      <c r="B952" s="10">
        <f>97.4996 * CHOOSE(CONTROL!$C$9, $D$9, 100%, $F$9) + CHOOSE(CONTROL!$C$27, 0.0021, 0)</f>
        <v>97.5017</v>
      </c>
      <c r="C952" s="10">
        <f>97.0674 * CHOOSE(CONTROL!$C$9, $D$9, 100%, $F$9) + CHOOSE(CONTROL!$C$27, 0.0021, 0)</f>
        <v>97.069500000000005</v>
      </c>
      <c r="D952" s="10">
        <f>97.0674 * CHOOSE(CONTROL!$C$9, $D$9, 100%, $F$9) + CHOOSE(CONTROL!$C$27, 0.0021, 0)</f>
        <v>97.069500000000005</v>
      </c>
      <c r="E952" s="10">
        <f>96.9307 * CHOOSE(CONTROL!$C$9, $D$9, 100%, $F$9) + CHOOSE(CONTROL!$C$27, 0.0021, 0)</f>
        <v>96.9328</v>
      </c>
      <c r="F952" s="10">
        <f>96.9307 * CHOOSE(CONTROL!$C$9, $D$9, 100%, $F$9) + CHOOSE(CONTROL!$C$27, 0.0021, 0)</f>
        <v>96.9328</v>
      </c>
      <c r="G952" s="10">
        <f>97.2021 * CHOOSE(CONTROL!$C$9, $D$9, 100%, $F$9) + CHOOSE(CONTROL!$C$27, 0.0021, 0)</f>
        <v>97.2042</v>
      </c>
      <c r="H952" s="10">
        <f>97.0674 * CHOOSE(CONTROL!$C$9, $D$9, 100%, $F$9) + CHOOSE(CONTROL!$C$27, 0.0021, 0)</f>
        <v>97.069500000000005</v>
      </c>
      <c r="I952" s="10">
        <f>97.0674 * CHOOSE(CONTROL!$C$9, $D$9, 100%, $F$9) + CHOOSE(CONTROL!$C$27, 0.0021, 0)</f>
        <v>97.069500000000005</v>
      </c>
      <c r="J952" s="10">
        <f>97.0674 * CHOOSE(CONTROL!$C$9, $D$9, 100%, $F$9) + CHOOSE(CONTROL!$C$27, 0.0021, 0)</f>
        <v>97.069500000000005</v>
      </c>
      <c r="K952" s="10">
        <f>97.0674 * CHOOSE(CONTROL!$C$9, $D$9, 100%, $F$9) + CHOOSE(CONTROL!$C$27, 0.0021, 0)</f>
        <v>97.069500000000005</v>
      </c>
      <c r="L952" s="10"/>
    </row>
    <row r="953" spans="1:12" ht="15.75" x14ac:dyDescent="0.25">
      <c r="A953" s="13">
        <v>69944</v>
      </c>
      <c r="B953" s="10">
        <f>98.6726 * CHOOSE(CONTROL!$C$9, $D$9, 100%, $F$9) + CHOOSE(CONTROL!$C$27, 0.0021, 0)</f>
        <v>98.674700000000001</v>
      </c>
      <c r="C953" s="10">
        <f>98.2403 * CHOOSE(CONTROL!$C$9, $D$9, 100%, $F$9) + CHOOSE(CONTROL!$C$27, 0.0021, 0)</f>
        <v>98.242400000000004</v>
      </c>
      <c r="D953" s="10">
        <f>98.2403 * CHOOSE(CONTROL!$C$9, $D$9, 100%, $F$9) + CHOOSE(CONTROL!$C$27, 0.0021, 0)</f>
        <v>98.242400000000004</v>
      </c>
      <c r="E953" s="10">
        <f>98.1037 * CHOOSE(CONTROL!$C$9, $D$9, 100%, $F$9) + CHOOSE(CONTROL!$C$27, 0.0021, 0)</f>
        <v>98.105800000000002</v>
      </c>
      <c r="F953" s="10">
        <f>98.1037 * CHOOSE(CONTROL!$C$9, $D$9, 100%, $F$9) + CHOOSE(CONTROL!$C$27, 0.0021, 0)</f>
        <v>98.105800000000002</v>
      </c>
      <c r="G953" s="10">
        <f>98.375 * CHOOSE(CONTROL!$C$9, $D$9, 100%, $F$9) + CHOOSE(CONTROL!$C$27, 0.0021, 0)</f>
        <v>98.377099999999999</v>
      </c>
      <c r="H953" s="10">
        <f>98.2403 * CHOOSE(CONTROL!$C$9, $D$9, 100%, $F$9) + CHOOSE(CONTROL!$C$27, 0.0021, 0)</f>
        <v>98.242400000000004</v>
      </c>
      <c r="I953" s="10">
        <f>98.2403 * CHOOSE(CONTROL!$C$9, $D$9, 100%, $F$9) + CHOOSE(CONTROL!$C$27, 0.0021, 0)</f>
        <v>98.242400000000004</v>
      </c>
      <c r="J953" s="10">
        <f>98.2403 * CHOOSE(CONTROL!$C$9, $D$9, 100%, $F$9) + CHOOSE(CONTROL!$C$27, 0.0021, 0)</f>
        <v>98.242400000000004</v>
      </c>
      <c r="K953" s="10">
        <f>98.2403 * CHOOSE(CONTROL!$C$9, $D$9, 100%, $F$9) + CHOOSE(CONTROL!$C$27, 0.0021, 0)</f>
        <v>98.242400000000004</v>
      </c>
      <c r="L953" s="10"/>
    </row>
    <row r="954" spans="1:12" ht="15.75" x14ac:dyDescent="0.25">
      <c r="A954" s="13">
        <v>69975</v>
      </c>
      <c r="B954" s="10">
        <f>100.6075 * CHOOSE(CONTROL!$C$9, $D$9, 100%, $F$9) + CHOOSE(CONTROL!$C$27, 0.0021, 0)</f>
        <v>100.6096</v>
      </c>
      <c r="C954" s="10">
        <f>100.1752 * CHOOSE(CONTROL!$C$9, $D$9, 100%, $F$9) + CHOOSE(CONTROL!$C$27, 0.0021, 0)</f>
        <v>100.1773</v>
      </c>
      <c r="D954" s="10">
        <f>100.1752 * CHOOSE(CONTROL!$C$9, $D$9, 100%, $F$9) + CHOOSE(CONTROL!$C$27, 0.0021, 0)</f>
        <v>100.1773</v>
      </c>
      <c r="E954" s="10">
        <f>100.0386 * CHOOSE(CONTROL!$C$9, $D$9, 100%, $F$9) + CHOOSE(CONTROL!$C$27, 0.0021, 0)</f>
        <v>100.0407</v>
      </c>
      <c r="F954" s="10">
        <f>100.0386 * CHOOSE(CONTROL!$C$9, $D$9, 100%, $F$9) + CHOOSE(CONTROL!$C$27, 0.0021, 0)</f>
        <v>100.0407</v>
      </c>
      <c r="G954" s="10">
        <f>100.3099 * CHOOSE(CONTROL!$C$9, $D$9, 100%, $F$9) + CHOOSE(CONTROL!$C$27, 0.0021, 0)</f>
        <v>100.312</v>
      </c>
      <c r="H954" s="10">
        <f>100.1752 * CHOOSE(CONTROL!$C$9, $D$9, 100%, $F$9) + CHOOSE(CONTROL!$C$27, 0.0021, 0)</f>
        <v>100.1773</v>
      </c>
      <c r="I954" s="10">
        <f>100.1752 * CHOOSE(CONTROL!$C$9, $D$9, 100%, $F$9) + CHOOSE(CONTROL!$C$27, 0.0021, 0)</f>
        <v>100.1773</v>
      </c>
      <c r="J954" s="10">
        <f>100.1752 * CHOOSE(CONTROL!$C$9, $D$9, 100%, $F$9) + CHOOSE(CONTROL!$C$27, 0.0021, 0)</f>
        <v>100.1773</v>
      </c>
      <c r="K954" s="10">
        <f>100.1752 * CHOOSE(CONTROL!$C$9, $D$9, 100%, $F$9) + CHOOSE(CONTROL!$C$27, 0.0021, 0)</f>
        <v>100.1773</v>
      </c>
      <c r="L954" s="10"/>
    </row>
    <row r="955" spans="1:12" ht="15.75" x14ac:dyDescent="0.25">
      <c r="A955" s="13">
        <v>70006</v>
      </c>
      <c r="B955" s="10">
        <f>101.198 * CHOOSE(CONTROL!$C$9, $D$9, 100%, $F$9) + CHOOSE(CONTROL!$C$27, 0.0021, 0)</f>
        <v>101.20009999999999</v>
      </c>
      <c r="C955" s="10">
        <f>100.7658 * CHOOSE(CONTROL!$C$9, $D$9, 100%, $F$9) + CHOOSE(CONTROL!$C$27, 0.0021, 0)</f>
        <v>100.7679</v>
      </c>
      <c r="D955" s="10">
        <f>100.7658 * CHOOSE(CONTROL!$C$9, $D$9, 100%, $F$9) + CHOOSE(CONTROL!$C$27, 0.0021, 0)</f>
        <v>100.7679</v>
      </c>
      <c r="E955" s="10">
        <f>100.6291 * CHOOSE(CONTROL!$C$9, $D$9, 100%, $F$9) + CHOOSE(CONTROL!$C$27, 0.0021, 0)</f>
        <v>100.63119999999999</v>
      </c>
      <c r="F955" s="10">
        <f>100.6291 * CHOOSE(CONTROL!$C$9, $D$9, 100%, $F$9) + CHOOSE(CONTROL!$C$27, 0.0021, 0)</f>
        <v>100.63119999999999</v>
      </c>
      <c r="G955" s="10">
        <f>100.9005 * CHOOSE(CONTROL!$C$9, $D$9, 100%, $F$9) + CHOOSE(CONTROL!$C$27, 0.0021, 0)</f>
        <v>100.90259999999999</v>
      </c>
      <c r="H955" s="10">
        <f>100.7658 * CHOOSE(CONTROL!$C$9, $D$9, 100%, $F$9) + CHOOSE(CONTROL!$C$27, 0.0021, 0)</f>
        <v>100.7679</v>
      </c>
      <c r="I955" s="10">
        <f>100.7658 * CHOOSE(CONTROL!$C$9, $D$9, 100%, $F$9) + CHOOSE(CONTROL!$C$27, 0.0021, 0)</f>
        <v>100.7679</v>
      </c>
      <c r="J955" s="10">
        <f>100.7658 * CHOOSE(CONTROL!$C$9, $D$9, 100%, $F$9) + CHOOSE(CONTROL!$C$27, 0.0021, 0)</f>
        <v>100.7679</v>
      </c>
      <c r="K955" s="10">
        <f>100.7658 * CHOOSE(CONTROL!$C$9, $D$9, 100%, $F$9) + CHOOSE(CONTROL!$C$27, 0.0021, 0)</f>
        <v>100.7679</v>
      </c>
      <c r="L955" s="10"/>
    </row>
    <row r="956" spans="1:12" ht="15.75" x14ac:dyDescent="0.25">
      <c r="A956" s="13">
        <v>70036</v>
      </c>
      <c r="B956" s="10">
        <f>103.2093 * CHOOSE(CONTROL!$C$9, $D$9, 100%, $F$9) + CHOOSE(CONTROL!$C$27, 0.0021, 0)</f>
        <v>103.2114</v>
      </c>
      <c r="C956" s="10">
        <f>102.777 * CHOOSE(CONTROL!$C$9, $D$9, 100%, $F$9) + CHOOSE(CONTROL!$C$27, 0.0021, 0)</f>
        <v>102.7791</v>
      </c>
      <c r="D956" s="10">
        <f>102.777 * CHOOSE(CONTROL!$C$9, $D$9, 100%, $F$9) + CHOOSE(CONTROL!$C$27, 0.0021, 0)</f>
        <v>102.7791</v>
      </c>
      <c r="E956" s="10">
        <f>102.6404 * CHOOSE(CONTROL!$C$9, $D$9, 100%, $F$9) + CHOOSE(CONTROL!$C$27, 0.0021, 0)</f>
        <v>102.6425</v>
      </c>
      <c r="F956" s="10">
        <f>102.6404 * CHOOSE(CONTROL!$C$9, $D$9, 100%, $F$9) + CHOOSE(CONTROL!$C$27, 0.0021, 0)</f>
        <v>102.6425</v>
      </c>
      <c r="G956" s="10">
        <f>102.9118 * CHOOSE(CONTROL!$C$9, $D$9, 100%, $F$9) + CHOOSE(CONTROL!$C$27, 0.0021, 0)</f>
        <v>102.9139</v>
      </c>
      <c r="H956" s="10">
        <f>102.777 * CHOOSE(CONTROL!$C$9, $D$9, 100%, $F$9) + CHOOSE(CONTROL!$C$27, 0.0021, 0)</f>
        <v>102.7791</v>
      </c>
      <c r="I956" s="10">
        <f>102.777 * CHOOSE(CONTROL!$C$9, $D$9, 100%, $F$9) + CHOOSE(CONTROL!$C$27, 0.0021, 0)</f>
        <v>102.7791</v>
      </c>
      <c r="J956" s="10">
        <f>102.777 * CHOOSE(CONTROL!$C$9, $D$9, 100%, $F$9) + CHOOSE(CONTROL!$C$27, 0.0021, 0)</f>
        <v>102.7791</v>
      </c>
      <c r="K956" s="10">
        <f>102.777 * CHOOSE(CONTROL!$C$9, $D$9, 100%, $F$9) + CHOOSE(CONTROL!$C$27, 0.0021, 0)</f>
        <v>102.7791</v>
      </c>
      <c r="L956" s="10"/>
    </row>
    <row r="957" spans="1:12" ht="15.75" x14ac:dyDescent="0.25">
      <c r="A957" s="13">
        <v>70067</v>
      </c>
      <c r="B957" s="10">
        <f>105.7552 * CHOOSE(CONTROL!$C$9, $D$9, 100%, $F$9) + CHOOSE(CONTROL!$C$27, 0.0021, 0)</f>
        <v>105.7573</v>
      </c>
      <c r="C957" s="10">
        <f>105.3229 * CHOOSE(CONTROL!$C$9, $D$9, 100%, $F$9) + CHOOSE(CONTROL!$C$27, 0.0021, 0)</f>
        <v>105.325</v>
      </c>
      <c r="D957" s="10">
        <f>105.3229 * CHOOSE(CONTROL!$C$9, $D$9, 100%, $F$9) + CHOOSE(CONTROL!$C$27, 0.0021, 0)</f>
        <v>105.325</v>
      </c>
      <c r="E957" s="10">
        <f>105.1863 * CHOOSE(CONTROL!$C$9, $D$9, 100%, $F$9) + CHOOSE(CONTROL!$C$27, 0.0021, 0)</f>
        <v>105.1884</v>
      </c>
      <c r="F957" s="10">
        <f>105.1863 * CHOOSE(CONTROL!$C$9, $D$9, 100%, $F$9) + CHOOSE(CONTROL!$C$27, 0.0021, 0)</f>
        <v>105.1884</v>
      </c>
      <c r="G957" s="10">
        <f>105.4577 * CHOOSE(CONTROL!$C$9, $D$9, 100%, $F$9) + CHOOSE(CONTROL!$C$27, 0.0021, 0)</f>
        <v>105.4598</v>
      </c>
      <c r="H957" s="10">
        <f>105.3229 * CHOOSE(CONTROL!$C$9, $D$9, 100%, $F$9) + CHOOSE(CONTROL!$C$27, 0.0021, 0)</f>
        <v>105.325</v>
      </c>
      <c r="I957" s="10">
        <f>105.3229 * CHOOSE(CONTROL!$C$9, $D$9, 100%, $F$9) + CHOOSE(CONTROL!$C$27, 0.0021, 0)</f>
        <v>105.325</v>
      </c>
      <c r="J957" s="10">
        <f>105.3229 * CHOOSE(CONTROL!$C$9, $D$9, 100%, $F$9) + CHOOSE(CONTROL!$C$27, 0.0021, 0)</f>
        <v>105.325</v>
      </c>
      <c r="K957" s="10">
        <f>105.3229 * CHOOSE(CONTROL!$C$9, $D$9, 100%, $F$9) + CHOOSE(CONTROL!$C$27, 0.0021, 0)</f>
        <v>105.325</v>
      </c>
      <c r="L957" s="10"/>
    </row>
    <row r="958" spans="1:12" ht="15.75" x14ac:dyDescent="0.25">
      <c r="A958" s="13">
        <v>70097</v>
      </c>
      <c r="B958" s="10">
        <f>105.9942 * CHOOSE(CONTROL!$C$9, $D$9, 100%, $F$9) + CHOOSE(CONTROL!$C$27, 0.0021, 0)</f>
        <v>105.99630000000001</v>
      </c>
      <c r="C958" s="10">
        <f>105.5619 * CHOOSE(CONTROL!$C$9, $D$9, 100%, $F$9) + CHOOSE(CONTROL!$C$27, 0.0021, 0)</f>
        <v>105.56399999999999</v>
      </c>
      <c r="D958" s="10">
        <f>105.5619 * CHOOSE(CONTROL!$C$9, $D$9, 100%, $F$9) + CHOOSE(CONTROL!$C$27, 0.0021, 0)</f>
        <v>105.56399999999999</v>
      </c>
      <c r="E958" s="10">
        <f>105.4253 * CHOOSE(CONTROL!$C$9, $D$9, 100%, $F$9) + CHOOSE(CONTROL!$C$27, 0.0021, 0)</f>
        <v>105.42739999999999</v>
      </c>
      <c r="F958" s="10">
        <f>105.4253 * CHOOSE(CONTROL!$C$9, $D$9, 100%, $F$9) + CHOOSE(CONTROL!$C$27, 0.0021, 0)</f>
        <v>105.42739999999999</v>
      </c>
      <c r="G958" s="10">
        <f>105.6967 * CHOOSE(CONTROL!$C$9, $D$9, 100%, $F$9) + CHOOSE(CONTROL!$C$27, 0.0021, 0)</f>
        <v>105.69880000000001</v>
      </c>
      <c r="H958" s="10">
        <f>105.5619 * CHOOSE(CONTROL!$C$9, $D$9, 100%, $F$9) + CHOOSE(CONTROL!$C$27, 0.0021, 0)</f>
        <v>105.56399999999999</v>
      </c>
      <c r="I958" s="10">
        <f>105.5619 * CHOOSE(CONTROL!$C$9, $D$9, 100%, $F$9) + CHOOSE(CONTROL!$C$27, 0.0021, 0)</f>
        <v>105.56399999999999</v>
      </c>
      <c r="J958" s="10">
        <f>105.5619 * CHOOSE(CONTROL!$C$9, $D$9, 100%, $F$9) + CHOOSE(CONTROL!$C$27, 0.0021, 0)</f>
        <v>105.56399999999999</v>
      </c>
      <c r="K958" s="10">
        <f>105.5619 * CHOOSE(CONTROL!$C$9, $D$9, 100%, $F$9) + CHOOSE(CONTROL!$C$27, 0.0021, 0)</f>
        <v>105.56399999999999</v>
      </c>
      <c r="L958" s="10"/>
    </row>
    <row r="959" spans="1:12" ht="15.75" x14ac:dyDescent="0.25">
      <c r="A959" s="13">
        <v>70128</v>
      </c>
      <c r="B959" s="10">
        <f>103.9608 * CHOOSE(CONTROL!$C$9, $D$9, 100%, $F$9) + CHOOSE(CONTROL!$C$27, 0.0021, 0)</f>
        <v>103.9629</v>
      </c>
      <c r="C959" s="10">
        <f>103.5286 * CHOOSE(CONTROL!$C$9, $D$9, 100%, $F$9) + CHOOSE(CONTROL!$C$27, 0.0021, 0)</f>
        <v>103.5307</v>
      </c>
      <c r="D959" s="10">
        <f>103.5286 * CHOOSE(CONTROL!$C$9, $D$9, 100%, $F$9) + CHOOSE(CONTROL!$C$27, 0.0021, 0)</f>
        <v>103.5307</v>
      </c>
      <c r="E959" s="10">
        <f>103.3919 * CHOOSE(CONTROL!$C$9, $D$9, 100%, $F$9) + CHOOSE(CONTROL!$C$27, 0.0021, 0)</f>
        <v>103.39400000000001</v>
      </c>
      <c r="F959" s="10">
        <f>103.3919 * CHOOSE(CONTROL!$C$9, $D$9, 100%, $F$9) + CHOOSE(CONTROL!$C$27, 0.0021, 0)</f>
        <v>103.39400000000001</v>
      </c>
      <c r="G959" s="10">
        <f>103.6633 * CHOOSE(CONTROL!$C$9, $D$9, 100%, $F$9) + CHOOSE(CONTROL!$C$27, 0.0021, 0)</f>
        <v>103.66540000000001</v>
      </c>
      <c r="H959" s="10">
        <f>103.5286 * CHOOSE(CONTROL!$C$9, $D$9, 100%, $F$9) + CHOOSE(CONTROL!$C$27, 0.0021, 0)</f>
        <v>103.5307</v>
      </c>
      <c r="I959" s="10">
        <f>103.5286 * CHOOSE(CONTROL!$C$9, $D$9, 100%, $F$9) + CHOOSE(CONTROL!$C$27, 0.0021, 0)</f>
        <v>103.5307</v>
      </c>
      <c r="J959" s="10">
        <f>103.5286 * CHOOSE(CONTROL!$C$9, $D$9, 100%, $F$9) + CHOOSE(CONTROL!$C$27, 0.0021, 0)</f>
        <v>103.5307</v>
      </c>
      <c r="K959" s="10">
        <f>103.5286 * CHOOSE(CONTROL!$C$9, $D$9, 100%, $F$9) + CHOOSE(CONTROL!$C$27, 0.0021, 0)</f>
        <v>103.5307</v>
      </c>
      <c r="L959" s="10"/>
    </row>
    <row r="960" spans="1:12" ht="15.75" x14ac:dyDescent="0.25">
      <c r="A960" s="13">
        <v>70159</v>
      </c>
      <c r="B960" s="10">
        <f>102.6288 * CHOOSE(CONTROL!$C$9, $D$9, 100%, $F$9) + CHOOSE(CONTROL!$C$27, 0.0021, 0)</f>
        <v>102.6309</v>
      </c>
      <c r="C960" s="10">
        <f>102.1965 * CHOOSE(CONTROL!$C$9, $D$9, 100%, $F$9) + CHOOSE(CONTROL!$C$27, 0.0021, 0)</f>
        <v>102.1986</v>
      </c>
      <c r="D960" s="10">
        <f>102.1965 * CHOOSE(CONTROL!$C$9, $D$9, 100%, $F$9) + CHOOSE(CONTROL!$C$27, 0.0021, 0)</f>
        <v>102.1986</v>
      </c>
      <c r="E960" s="10">
        <f>102.0598 * CHOOSE(CONTROL!$C$9, $D$9, 100%, $F$9) + CHOOSE(CONTROL!$C$27, 0.0021, 0)</f>
        <v>102.06189999999999</v>
      </c>
      <c r="F960" s="10">
        <f>102.0598 * CHOOSE(CONTROL!$C$9, $D$9, 100%, $F$9) + CHOOSE(CONTROL!$C$27, 0.0021, 0)</f>
        <v>102.06189999999999</v>
      </c>
      <c r="G960" s="10">
        <f>102.3312 * CHOOSE(CONTROL!$C$9, $D$9, 100%, $F$9) + CHOOSE(CONTROL!$C$27, 0.0021, 0)</f>
        <v>102.33329999999999</v>
      </c>
      <c r="H960" s="10">
        <f>102.1965 * CHOOSE(CONTROL!$C$9, $D$9, 100%, $F$9) + CHOOSE(CONTROL!$C$27, 0.0021, 0)</f>
        <v>102.1986</v>
      </c>
      <c r="I960" s="10">
        <f>102.1965 * CHOOSE(CONTROL!$C$9, $D$9, 100%, $F$9) + CHOOSE(CONTROL!$C$27, 0.0021, 0)</f>
        <v>102.1986</v>
      </c>
      <c r="J960" s="10">
        <f>102.1965 * CHOOSE(CONTROL!$C$9, $D$9, 100%, $F$9) + CHOOSE(CONTROL!$C$27, 0.0021, 0)</f>
        <v>102.1986</v>
      </c>
      <c r="K960" s="10">
        <f>102.1965 * CHOOSE(CONTROL!$C$9, $D$9, 100%, $F$9) + CHOOSE(CONTROL!$C$27, 0.0021, 0)</f>
        <v>102.1986</v>
      </c>
      <c r="L960" s="10"/>
    </row>
    <row r="961" spans="1:12" ht="15.75" x14ac:dyDescent="0.25">
      <c r="A961" s="13">
        <v>70188</v>
      </c>
      <c r="B961" s="10">
        <f>99.7907 * CHOOSE(CONTROL!$C$9, $D$9, 100%, $F$9) + CHOOSE(CONTROL!$C$27, 0.0021, 0)</f>
        <v>99.7928</v>
      </c>
      <c r="C961" s="10">
        <f>99.3584 * CHOOSE(CONTROL!$C$9, $D$9, 100%, $F$9) + CHOOSE(CONTROL!$C$27, 0.0021, 0)</f>
        <v>99.360500000000002</v>
      </c>
      <c r="D961" s="10">
        <f>99.3584 * CHOOSE(CONTROL!$C$9, $D$9, 100%, $F$9) + CHOOSE(CONTROL!$C$27, 0.0021, 0)</f>
        <v>99.360500000000002</v>
      </c>
      <c r="E961" s="10">
        <f>99.2218 * CHOOSE(CONTROL!$C$9, $D$9, 100%, $F$9) + CHOOSE(CONTROL!$C$27, 0.0021, 0)</f>
        <v>99.2239</v>
      </c>
      <c r="F961" s="10">
        <f>99.2218 * CHOOSE(CONTROL!$C$9, $D$9, 100%, $F$9) + CHOOSE(CONTROL!$C$27, 0.0021, 0)</f>
        <v>99.2239</v>
      </c>
      <c r="G961" s="10">
        <f>99.4932 * CHOOSE(CONTROL!$C$9, $D$9, 100%, $F$9) + CHOOSE(CONTROL!$C$27, 0.0021, 0)</f>
        <v>99.4953</v>
      </c>
      <c r="H961" s="10">
        <f>99.3584 * CHOOSE(CONTROL!$C$9, $D$9, 100%, $F$9) + CHOOSE(CONTROL!$C$27, 0.0021, 0)</f>
        <v>99.360500000000002</v>
      </c>
      <c r="I961" s="10">
        <f>99.3584 * CHOOSE(CONTROL!$C$9, $D$9, 100%, $F$9) + CHOOSE(CONTROL!$C$27, 0.0021, 0)</f>
        <v>99.360500000000002</v>
      </c>
      <c r="J961" s="10">
        <f>99.3584 * CHOOSE(CONTROL!$C$9, $D$9, 100%, $F$9) + CHOOSE(CONTROL!$C$27, 0.0021, 0)</f>
        <v>99.360500000000002</v>
      </c>
      <c r="K961" s="10">
        <f>99.3584 * CHOOSE(CONTROL!$C$9, $D$9, 100%, $F$9) + CHOOSE(CONTROL!$C$27, 0.0021, 0)</f>
        <v>99.360500000000002</v>
      </c>
      <c r="L961" s="10"/>
    </row>
    <row r="962" spans="1:12" ht="15.75" x14ac:dyDescent="0.25">
      <c r="A962" s="13">
        <v>70219</v>
      </c>
      <c r="B962" s="10">
        <f>98.6191 * CHOOSE(CONTROL!$C$9, $D$9, 100%, $F$9) + CHOOSE(CONTROL!$C$27, 0.0021, 0)</f>
        <v>98.621200000000002</v>
      </c>
      <c r="C962" s="10">
        <f>98.1869 * CHOOSE(CONTROL!$C$9, $D$9, 100%, $F$9) + CHOOSE(CONTROL!$C$27, 0.0021, 0)</f>
        <v>98.188999999999993</v>
      </c>
      <c r="D962" s="10">
        <f>98.1869 * CHOOSE(CONTROL!$C$9, $D$9, 100%, $F$9) + CHOOSE(CONTROL!$C$27, 0.0021, 0)</f>
        <v>98.188999999999993</v>
      </c>
      <c r="E962" s="10">
        <f>98.0502 * CHOOSE(CONTROL!$C$9, $D$9, 100%, $F$9) + CHOOSE(CONTROL!$C$27, 0.0021, 0)</f>
        <v>98.052300000000002</v>
      </c>
      <c r="F962" s="10">
        <f>98.0502 * CHOOSE(CONTROL!$C$9, $D$9, 100%, $F$9) + CHOOSE(CONTROL!$C$27, 0.0021, 0)</f>
        <v>98.052300000000002</v>
      </c>
      <c r="G962" s="10">
        <f>98.3216 * CHOOSE(CONTROL!$C$9, $D$9, 100%, $F$9) + CHOOSE(CONTROL!$C$27, 0.0021, 0)</f>
        <v>98.323700000000002</v>
      </c>
      <c r="H962" s="10">
        <f>98.1869 * CHOOSE(CONTROL!$C$9, $D$9, 100%, $F$9) + CHOOSE(CONTROL!$C$27, 0.0021, 0)</f>
        <v>98.188999999999993</v>
      </c>
      <c r="I962" s="10">
        <f>98.1869 * CHOOSE(CONTROL!$C$9, $D$9, 100%, $F$9) + CHOOSE(CONTROL!$C$27, 0.0021, 0)</f>
        <v>98.188999999999993</v>
      </c>
      <c r="J962" s="10">
        <f>98.1869 * CHOOSE(CONTROL!$C$9, $D$9, 100%, $F$9) + CHOOSE(CONTROL!$C$27, 0.0021, 0)</f>
        <v>98.188999999999993</v>
      </c>
      <c r="K962" s="10">
        <f>98.1869 * CHOOSE(CONTROL!$C$9, $D$9, 100%, $F$9) + CHOOSE(CONTROL!$C$27, 0.0021, 0)</f>
        <v>98.188999999999993</v>
      </c>
      <c r="L962" s="10"/>
    </row>
    <row r="963" spans="1:12" ht="15.75" x14ac:dyDescent="0.25">
      <c r="A963" s="13">
        <v>70249</v>
      </c>
      <c r="B963" s="10">
        <f>97.2203 * CHOOSE(CONTROL!$C$9, $D$9, 100%, $F$9) + CHOOSE(CONTROL!$C$27, 0.0021, 0)</f>
        <v>97.222399999999993</v>
      </c>
      <c r="C963" s="10">
        <f>96.7881 * CHOOSE(CONTROL!$C$9, $D$9, 100%, $F$9) + CHOOSE(CONTROL!$C$27, 0.0021, 0)</f>
        <v>96.790199999999999</v>
      </c>
      <c r="D963" s="10">
        <f>96.7881 * CHOOSE(CONTROL!$C$9, $D$9, 100%, $F$9) + CHOOSE(CONTROL!$C$27, 0.0021, 0)</f>
        <v>96.790199999999999</v>
      </c>
      <c r="E963" s="10">
        <f>96.6514 * CHOOSE(CONTROL!$C$9, $D$9, 100%, $F$9) + CHOOSE(CONTROL!$C$27, 0.0021, 0)</f>
        <v>96.653499999999994</v>
      </c>
      <c r="F963" s="10">
        <f>96.6514 * CHOOSE(CONTROL!$C$9, $D$9, 100%, $F$9) + CHOOSE(CONTROL!$C$27, 0.0021, 0)</f>
        <v>96.653499999999994</v>
      </c>
      <c r="G963" s="10">
        <f>96.9228 * CHOOSE(CONTROL!$C$9, $D$9, 100%, $F$9) + CHOOSE(CONTROL!$C$27, 0.0021, 0)</f>
        <v>96.924899999999994</v>
      </c>
      <c r="H963" s="10">
        <f>96.7881 * CHOOSE(CONTROL!$C$9, $D$9, 100%, $F$9) + CHOOSE(CONTROL!$C$27, 0.0021, 0)</f>
        <v>96.790199999999999</v>
      </c>
      <c r="I963" s="10">
        <f>96.7881 * CHOOSE(CONTROL!$C$9, $D$9, 100%, $F$9) + CHOOSE(CONTROL!$C$27, 0.0021, 0)</f>
        <v>96.790199999999999</v>
      </c>
      <c r="J963" s="10">
        <f>96.7881 * CHOOSE(CONTROL!$C$9, $D$9, 100%, $F$9) + CHOOSE(CONTROL!$C$27, 0.0021, 0)</f>
        <v>96.790199999999999</v>
      </c>
      <c r="K963" s="10">
        <f>96.7881 * CHOOSE(CONTROL!$C$9, $D$9, 100%, $F$9) + CHOOSE(CONTROL!$C$27, 0.0021, 0)</f>
        <v>96.790199999999999</v>
      </c>
      <c r="L963" s="10"/>
    </row>
    <row r="964" spans="1:12" ht="15.75" x14ac:dyDescent="0.25">
      <c r="A964" s="13">
        <v>70280</v>
      </c>
      <c r="B964" s="10">
        <f>99.2138 * CHOOSE(CONTROL!$C$9, $D$9, 100%, $F$9) + CHOOSE(CONTROL!$C$27, 0.0021, 0)</f>
        <v>99.215900000000005</v>
      </c>
      <c r="C964" s="10">
        <f>98.7816 * CHOOSE(CONTROL!$C$9, $D$9, 100%, $F$9) + CHOOSE(CONTROL!$C$27, 0.0021, 0)</f>
        <v>98.783699999999996</v>
      </c>
      <c r="D964" s="10">
        <f>98.7816 * CHOOSE(CONTROL!$C$9, $D$9, 100%, $F$9) + CHOOSE(CONTROL!$C$27, 0.0021, 0)</f>
        <v>98.783699999999996</v>
      </c>
      <c r="E964" s="10">
        <f>98.6449 * CHOOSE(CONTROL!$C$9, $D$9, 100%, $F$9) + CHOOSE(CONTROL!$C$27, 0.0021, 0)</f>
        <v>98.647000000000006</v>
      </c>
      <c r="F964" s="10">
        <f>98.6449 * CHOOSE(CONTROL!$C$9, $D$9, 100%, $F$9) + CHOOSE(CONTROL!$C$27, 0.0021, 0)</f>
        <v>98.647000000000006</v>
      </c>
      <c r="G964" s="10">
        <f>98.9163 * CHOOSE(CONTROL!$C$9, $D$9, 100%, $F$9) + CHOOSE(CONTROL!$C$27, 0.0021, 0)</f>
        <v>98.918400000000005</v>
      </c>
      <c r="H964" s="10">
        <f>98.7816 * CHOOSE(CONTROL!$C$9, $D$9, 100%, $F$9) + CHOOSE(CONTROL!$C$27, 0.0021, 0)</f>
        <v>98.783699999999996</v>
      </c>
      <c r="I964" s="10">
        <f>98.7816 * CHOOSE(CONTROL!$C$9, $D$9, 100%, $F$9) + CHOOSE(CONTROL!$C$27, 0.0021, 0)</f>
        <v>98.783699999999996</v>
      </c>
      <c r="J964" s="10">
        <f>98.7816 * CHOOSE(CONTROL!$C$9, $D$9, 100%, $F$9) + CHOOSE(CONTROL!$C$27, 0.0021, 0)</f>
        <v>98.783699999999996</v>
      </c>
      <c r="K964" s="10">
        <f>98.7816 * CHOOSE(CONTROL!$C$9, $D$9, 100%, $F$9) + CHOOSE(CONTROL!$C$27, 0.0021, 0)</f>
        <v>98.783699999999996</v>
      </c>
      <c r="L964" s="10"/>
    </row>
    <row r="965" spans="1:12" ht="15.75" x14ac:dyDescent="0.25">
      <c r="A965" s="13">
        <v>70310</v>
      </c>
      <c r="B965" s="10">
        <f>100.4079 * CHOOSE(CONTROL!$C$9, $D$9, 100%, $F$9) + CHOOSE(CONTROL!$C$27, 0.0021, 0)</f>
        <v>100.41</v>
      </c>
      <c r="C965" s="10">
        <f>99.9756 * CHOOSE(CONTROL!$C$9, $D$9, 100%, $F$9) + CHOOSE(CONTROL!$C$27, 0.0021, 0)</f>
        <v>99.977699999999999</v>
      </c>
      <c r="D965" s="10">
        <f>99.9756 * CHOOSE(CONTROL!$C$9, $D$9, 100%, $F$9) + CHOOSE(CONTROL!$C$27, 0.0021, 0)</f>
        <v>99.977699999999999</v>
      </c>
      <c r="E965" s="10">
        <f>99.839 * CHOOSE(CONTROL!$C$9, $D$9, 100%, $F$9) + CHOOSE(CONTROL!$C$27, 0.0021, 0)</f>
        <v>99.841099999999997</v>
      </c>
      <c r="F965" s="10">
        <f>99.839 * CHOOSE(CONTROL!$C$9, $D$9, 100%, $F$9) + CHOOSE(CONTROL!$C$27, 0.0021, 0)</f>
        <v>99.841099999999997</v>
      </c>
      <c r="G965" s="10">
        <f>100.1103 * CHOOSE(CONTROL!$C$9, $D$9, 100%, $F$9) + CHOOSE(CONTROL!$C$27, 0.0021, 0)</f>
        <v>100.11239999999999</v>
      </c>
      <c r="H965" s="10">
        <f>99.9756 * CHOOSE(CONTROL!$C$9, $D$9, 100%, $F$9) + CHOOSE(CONTROL!$C$27, 0.0021, 0)</f>
        <v>99.977699999999999</v>
      </c>
      <c r="I965" s="10">
        <f>99.9756 * CHOOSE(CONTROL!$C$9, $D$9, 100%, $F$9) + CHOOSE(CONTROL!$C$27, 0.0021, 0)</f>
        <v>99.977699999999999</v>
      </c>
      <c r="J965" s="10">
        <f>99.9756 * CHOOSE(CONTROL!$C$9, $D$9, 100%, $F$9) + CHOOSE(CONTROL!$C$27, 0.0021, 0)</f>
        <v>99.977699999999999</v>
      </c>
      <c r="K965" s="10">
        <f>99.9756 * CHOOSE(CONTROL!$C$9, $D$9, 100%, $F$9) + CHOOSE(CONTROL!$C$27, 0.0021, 0)</f>
        <v>99.977699999999999</v>
      </c>
      <c r="L965" s="10"/>
    </row>
    <row r="966" spans="1:12" ht="15.75" x14ac:dyDescent="0.25">
      <c r="A966" s="13">
        <v>70341</v>
      </c>
      <c r="B966" s="10">
        <f>102.3776 * CHOOSE(CONTROL!$C$9, $D$9, 100%, $F$9) + CHOOSE(CONTROL!$C$27, 0.0021, 0)</f>
        <v>102.3797</v>
      </c>
      <c r="C966" s="10">
        <f>101.9454 * CHOOSE(CONTROL!$C$9, $D$9, 100%, $F$9) + CHOOSE(CONTROL!$C$27, 0.0021, 0)</f>
        <v>101.94750000000001</v>
      </c>
      <c r="D966" s="10">
        <f>101.9454 * CHOOSE(CONTROL!$C$9, $D$9, 100%, $F$9) + CHOOSE(CONTROL!$C$27, 0.0021, 0)</f>
        <v>101.94750000000001</v>
      </c>
      <c r="E966" s="10">
        <f>101.8087 * CHOOSE(CONTROL!$C$9, $D$9, 100%, $F$9) + CHOOSE(CONTROL!$C$27, 0.0021, 0)</f>
        <v>101.8108</v>
      </c>
      <c r="F966" s="10">
        <f>101.8087 * CHOOSE(CONTROL!$C$9, $D$9, 100%, $F$9) + CHOOSE(CONTROL!$C$27, 0.0021, 0)</f>
        <v>101.8108</v>
      </c>
      <c r="G966" s="10">
        <f>102.0801 * CHOOSE(CONTROL!$C$9, $D$9, 100%, $F$9) + CHOOSE(CONTROL!$C$27, 0.0021, 0)</f>
        <v>102.0822</v>
      </c>
      <c r="H966" s="10">
        <f>101.9454 * CHOOSE(CONTROL!$C$9, $D$9, 100%, $F$9) + CHOOSE(CONTROL!$C$27, 0.0021, 0)</f>
        <v>101.94750000000001</v>
      </c>
      <c r="I966" s="10">
        <f>101.9454 * CHOOSE(CONTROL!$C$9, $D$9, 100%, $F$9) + CHOOSE(CONTROL!$C$27, 0.0021, 0)</f>
        <v>101.94750000000001</v>
      </c>
      <c r="J966" s="10">
        <f>101.9454 * CHOOSE(CONTROL!$C$9, $D$9, 100%, $F$9) + CHOOSE(CONTROL!$C$27, 0.0021, 0)</f>
        <v>101.94750000000001</v>
      </c>
      <c r="K966" s="10">
        <f>101.9454 * CHOOSE(CONTROL!$C$9, $D$9, 100%, $F$9) + CHOOSE(CONTROL!$C$27, 0.0021, 0)</f>
        <v>101.94750000000001</v>
      </c>
      <c r="L966" s="10"/>
    </row>
    <row r="967" spans="1:12" ht="15.75" x14ac:dyDescent="0.25">
      <c r="A967" s="13">
        <v>70372</v>
      </c>
      <c r="B967" s="10">
        <f>102.9788 * CHOOSE(CONTROL!$C$9, $D$9, 100%, $F$9) + CHOOSE(CONTROL!$C$27, 0.0021, 0)</f>
        <v>102.98090000000001</v>
      </c>
      <c r="C967" s="10">
        <f>102.5466 * CHOOSE(CONTROL!$C$9, $D$9, 100%, $F$9) + CHOOSE(CONTROL!$C$27, 0.0021, 0)</f>
        <v>102.5487</v>
      </c>
      <c r="D967" s="10">
        <f>102.5466 * CHOOSE(CONTROL!$C$9, $D$9, 100%, $F$9) + CHOOSE(CONTROL!$C$27, 0.0021, 0)</f>
        <v>102.5487</v>
      </c>
      <c r="E967" s="10">
        <f>102.4099 * CHOOSE(CONTROL!$C$9, $D$9, 100%, $F$9) + CHOOSE(CONTROL!$C$27, 0.0021, 0)</f>
        <v>102.41199999999999</v>
      </c>
      <c r="F967" s="10">
        <f>102.4099 * CHOOSE(CONTROL!$C$9, $D$9, 100%, $F$9) + CHOOSE(CONTROL!$C$27, 0.0021, 0)</f>
        <v>102.41199999999999</v>
      </c>
      <c r="G967" s="10">
        <f>102.6813 * CHOOSE(CONTROL!$C$9, $D$9, 100%, $F$9) + CHOOSE(CONTROL!$C$27, 0.0021, 0)</f>
        <v>102.68339999999999</v>
      </c>
      <c r="H967" s="10">
        <f>102.5466 * CHOOSE(CONTROL!$C$9, $D$9, 100%, $F$9) + CHOOSE(CONTROL!$C$27, 0.0021, 0)</f>
        <v>102.5487</v>
      </c>
      <c r="I967" s="10">
        <f>102.5466 * CHOOSE(CONTROL!$C$9, $D$9, 100%, $F$9) + CHOOSE(CONTROL!$C$27, 0.0021, 0)</f>
        <v>102.5487</v>
      </c>
      <c r="J967" s="10">
        <f>102.5466 * CHOOSE(CONTROL!$C$9, $D$9, 100%, $F$9) + CHOOSE(CONTROL!$C$27, 0.0021, 0)</f>
        <v>102.5487</v>
      </c>
      <c r="K967" s="10">
        <f>102.5466 * CHOOSE(CONTROL!$C$9, $D$9, 100%, $F$9) + CHOOSE(CONTROL!$C$27, 0.0021, 0)</f>
        <v>102.5487</v>
      </c>
      <c r="L967" s="10"/>
    </row>
    <row r="968" spans="1:12" ht="15.75" x14ac:dyDescent="0.25">
      <c r="A968" s="13">
        <v>70402</v>
      </c>
      <c r="B968" s="10">
        <f>105.0263 * CHOOSE(CONTROL!$C$9, $D$9, 100%, $F$9) + CHOOSE(CONTROL!$C$27, 0.0021, 0)</f>
        <v>105.0284</v>
      </c>
      <c r="C968" s="10">
        <f>104.594 * CHOOSE(CONTROL!$C$9, $D$9, 100%, $F$9) + CHOOSE(CONTROL!$C$27, 0.0021, 0)</f>
        <v>104.59609999999999</v>
      </c>
      <c r="D968" s="10">
        <f>104.594 * CHOOSE(CONTROL!$C$9, $D$9, 100%, $F$9) + CHOOSE(CONTROL!$C$27, 0.0021, 0)</f>
        <v>104.59609999999999</v>
      </c>
      <c r="E968" s="10">
        <f>104.4574 * CHOOSE(CONTROL!$C$9, $D$9, 100%, $F$9) + CHOOSE(CONTROL!$C$27, 0.0021, 0)</f>
        <v>104.45950000000001</v>
      </c>
      <c r="F968" s="10">
        <f>104.4574 * CHOOSE(CONTROL!$C$9, $D$9, 100%, $F$9) + CHOOSE(CONTROL!$C$27, 0.0021, 0)</f>
        <v>104.45950000000001</v>
      </c>
      <c r="G968" s="10">
        <f>104.7288 * CHOOSE(CONTROL!$C$9, $D$9, 100%, $F$9) + CHOOSE(CONTROL!$C$27, 0.0021, 0)</f>
        <v>104.73090000000001</v>
      </c>
      <c r="H968" s="10">
        <f>104.594 * CHOOSE(CONTROL!$C$9, $D$9, 100%, $F$9) + CHOOSE(CONTROL!$C$27, 0.0021, 0)</f>
        <v>104.59609999999999</v>
      </c>
      <c r="I968" s="10">
        <f>104.594 * CHOOSE(CONTROL!$C$9, $D$9, 100%, $F$9) + CHOOSE(CONTROL!$C$27, 0.0021, 0)</f>
        <v>104.59609999999999</v>
      </c>
      <c r="J968" s="10">
        <f>104.594 * CHOOSE(CONTROL!$C$9, $D$9, 100%, $F$9) + CHOOSE(CONTROL!$C$27, 0.0021, 0)</f>
        <v>104.59609999999999</v>
      </c>
      <c r="K968" s="10">
        <f>104.594 * CHOOSE(CONTROL!$C$9, $D$9, 100%, $F$9) + CHOOSE(CONTROL!$C$27, 0.0021, 0)</f>
        <v>104.59609999999999</v>
      </c>
      <c r="L968" s="10"/>
    </row>
    <row r="969" spans="1:12" ht="15.75" x14ac:dyDescent="0.25">
      <c r="A969" s="13">
        <v>70433</v>
      </c>
      <c r="B969" s="10">
        <f>107.618 * CHOOSE(CONTROL!$C$9, $D$9, 100%, $F$9) + CHOOSE(CONTROL!$C$27, 0.0021, 0)</f>
        <v>107.62009999999999</v>
      </c>
      <c r="C969" s="10">
        <f>107.1858 * CHOOSE(CONTROL!$C$9, $D$9, 100%, $F$9) + CHOOSE(CONTROL!$C$27, 0.0021, 0)</f>
        <v>107.1879</v>
      </c>
      <c r="D969" s="10">
        <f>107.1858 * CHOOSE(CONTROL!$C$9, $D$9, 100%, $F$9) + CHOOSE(CONTROL!$C$27, 0.0021, 0)</f>
        <v>107.1879</v>
      </c>
      <c r="E969" s="10">
        <f>107.0491 * CHOOSE(CONTROL!$C$9, $D$9, 100%, $F$9) + CHOOSE(CONTROL!$C$27, 0.0021, 0)</f>
        <v>107.05119999999999</v>
      </c>
      <c r="F969" s="10">
        <f>107.0491 * CHOOSE(CONTROL!$C$9, $D$9, 100%, $F$9) + CHOOSE(CONTROL!$C$27, 0.0021, 0)</f>
        <v>107.05119999999999</v>
      </c>
      <c r="G969" s="10">
        <f>107.3205 * CHOOSE(CONTROL!$C$9, $D$9, 100%, $F$9) + CHOOSE(CONTROL!$C$27, 0.0021, 0)</f>
        <v>107.32259999999999</v>
      </c>
      <c r="H969" s="10">
        <f>107.1858 * CHOOSE(CONTROL!$C$9, $D$9, 100%, $F$9) + CHOOSE(CONTROL!$C$27, 0.0021, 0)</f>
        <v>107.1879</v>
      </c>
      <c r="I969" s="10">
        <f>107.1858 * CHOOSE(CONTROL!$C$9, $D$9, 100%, $F$9) + CHOOSE(CONTROL!$C$27, 0.0021, 0)</f>
        <v>107.1879</v>
      </c>
      <c r="J969" s="10">
        <f>107.1858 * CHOOSE(CONTROL!$C$9, $D$9, 100%, $F$9) + CHOOSE(CONTROL!$C$27, 0.0021, 0)</f>
        <v>107.1879</v>
      </c>
      <c r="K969" s="10">
        <f>107.1858 * CHOOSE(CONTROL!$C$9, $D$9, 100%, $F$9) + CHOOSE(CONTROL!$C$27, 0.0021, 0)</f>
        <v>107.1879</v>
      </c>
      <c r="L969" s="10"/>
    </row>
    <row r="970" spans="1:12" ht="15.75" x14ac:dyDescent="0.25">
      <c r="A970" s="13">
        <v>70463</v>
      </c>
      <c r="B970" s="10">
        <f>107.8613 * CHOOSE(CONTROL!$C$9, $D$9, 100%, $F$9) + CHOOSE(CONTROL!$C$27, 0.0021, 0)</f>
        <v>107.8634</v>
      </c>
      <c r="C970" s="10">
        <f>107.4291 * CHOOSE(CONTROL!$C$9, $D$9, 100%, $F$9) + CHOOSE(CONTROL!$C$27, 0.0021, 0)</f>
        <v>107.4312</v>
      </c>
      <c r="D970" s="10">
        <f>107.4291 * CHOOSE(CONTROL!$C$9, $D$9, 100%, $F$9) + CHOOSE(CONTROL!$C$27, 0.0021, 0)</f>
        <v>107.4312</v>
      </c>
      <c r="E970" s="10">
        <f>107.2924 * CHOOSE(CONTROL!$C$9, $D$9, 100%, $F$9) + CHOOSE(CONTROL!$C$27, 0.0021, 0)</f>
        <v>107.2945</v>
      </c>
      <c r="F970" s="10">
        <f>107.2924 * CHOOSE(CONTROL!$C$9, $D$9, 100%, $F$9) + CHOOSE(CONTROL!$C$27, 0.0021, 0)</f>
        <v>107.2945</v>
      </c>
      <c r="G970" s="10">
        <f>107.5638 * CHOOSE(CONTROL!$C$9, $D$9, 100%, $F$9) + CHOOSE(CONTROL!$C$27, 0.0021, 0)</f>
        <v>107.5659</v>
      </c>
      <c r="H970" s="10">
        <f>107.4291 * CHOOSE(CONTROL!$C$9, $D$9, 100%, $F$9) + CHOOSE(CONTROL!$C$27, 0.0021, 0)</f>
        <v>107.4312</v>
      </c>
      <c r="I970" s="10">
        <f>107.4291 * CHOOSE(CONTROL!$C$9, $D$9, 100%, $F$9) + CHOOSE(CONTROL!$C$27, 0.0021, 0)</f>
        <v>107.4312</v>
      </c>
      <c r="J970" s="10">
        <f>107.4291 * CHOOSE(CONTROL!$C$9, $D$9, 100%, $F$9) + CHOOSE(CONTROL!$C$27, 0.0021, 0)</f>
        <v>107.4312</v>
      </c>
      <c r="K970" s="10">
        <f>107.4291 * CHOOSE(CONTROL!$C$9, $D$9, 100%, $F$9) + CHOOSE(CONTROL!$C$27, 0.0021, 0)</f>
        <v>107.4312</v>
      </c>
      <c r="L970" s="10"/>
    </row>
    <row r="971" spans="1:12" ht="15.75" x14ac:dyDescent="0.25">
      <c r="A971" s="13">
        <v>70494</v>
      </c>
      <c r="B971" s="10">
        <f>105.7914 * CHOOSE(CONTROL!$C$9, $D$9, 100%, $F$9) + CHOOSE(CONTROL!$C$27, 0.0021, 0)</f>
        <v>105.79349999999999</v>
      </c>
      <c r="C971" s="10">
        <f>105.3591 * CHOOSE(CONTROL!$C$9, $D$9, 100%, $F$9) + CHOOSE(CONTROL!$C$27, 0.0021, 0)</f>
        <v>105.3612</v>
      </c>
      <c r="D971" s="10">
        <f>105.3591 * CHOOSE(CONTROL!$C$9, $D$9, 100%, $F$9) + CHOOSE(CONTROL!$C$27, 0.0021, 0)</f>
        <v>105.3612</v>
      </c>
      <c r="E971" s="10">
        <f>105.2225 * CHOOSE(CONTROL!$C$9, $D$9, 100%, $F$9) + CHOOSE(CONTROL!$C$27, 0.0021, 0)</f>
        <v>105.2246</v>
      </c>
      <c r="F971" s="10">
        <f>105.2225 * CHOOSE(CONTROL!$C$9, $D$9, 100%, $F$9) + CHOOSE(CONTROL!$C$27, 0.0021, 0)</f>
        <v>105.2246</v>
      </c>
      <c r="G971" s="10">
        <f>105.4938 * CHOOSE(CONTROL!$C$9, $D$9, 100%, $F$9) + CHOOSE(CONTROL!$C$27, 0.0021, 0)</f>
        <v>105.49589999999999</v>
      </c>
      <c r="H971" s="10">
        <f>105.3591 * CHOOSE(CONTROL!$C$9, $D$9, 100%, $F$9) + CHOOSE(CONTROL!$C$27, 0.0021, 0)</f>
        <v>105.3612</v>
      </c>
      <c r="I971" s="10">
        <f>105.3591 * CHOOSE(CONTROL!$C$9, $D$9, 100%, $F$9) + CHOOSE(CONTROL!$C$27, 0.0021, 0)</f>
        <v>105.3612</v>
      </c>
      <c r="J971" s="10">
        <f>105.3591 * CHOOSE(CONTROL!$C$9, $D$9, 100%, $F$9) + CHOOSE(CONTROL!$C$27, 0.0021, 0)</f>
        <v>105.3612</v>
      </c>
      <c r="K971" s="10">
        <f>105.3591 * CHOOSE(CONTROL!$C$9, $D$9, 100%, $F$9) + CHOOSE(CONTROL!$C$27, 0.0021, 0)</f>
        <v>105.3612</v>
      </c>
      <c r="L971" s="10"/>
    </row>
    <row r="972" spans="1:12" ht="15.75" x14ac:dyDescent="0.25">
      <c r="A972" s="13">
        <v>70525</v>
      </c>
      <c r="B972" s="10">
        <f>104.4353 * CHOOSE(CONTROL!$C$9, $D$9, 100%, $F$9) + CHOOSE(CONTROL!$C$27, 0.0021, 0)</f>
        <v>104.4374</v>
      </c>
      <c r="C972" s="10">
        <f>104.003 * CHOOSE(CONTROL!$C$9, $D$9, 100%, $F$9) + CHOOSE(CONTROL!$C$27, 0.0021, 0)</f>
        <v>104.0051</v>
      </c>
      <c r="D972" s="10">
        <f>104.003 * CHOOSE(CONTROL!$C$9, $D$9, 100%, $F$9) + CHOOSE(CONTROL!$C$27, 0.0021, 0)</f>
        <v>104.0051</v>
      </c>
      <c r="E972" s="10">
        <f>103.8664 * CHOOSE(CONTROL!$C$9, $D$9, 100%, $F$9) + CHOOSE(CONTROL!$C$27, 0.0021, 0)</f>
        <v>103.8685</v>
      </c>
      <c r="F972" s="10">
        <f>103.8664 * CHOOSE(CONTROL!$C$9, $D$9, 100%, $F$9) + CHOOSE(CONTROL!$C$27, 0.0021, 0)</f>
        <v>103.8685</v>
      </c>
      <c r="G972" s="10">
        <f>104.1378 * CHOOSE(CONTROL!$C$9, $D$9, 100%, $F$9) + CHOOSE(CONTROL!$C$27, 0.0021, 0)</f>
        <v>104.1399</v>
      </c>
      <c r="H972" s="10">
        <f>104.003 * CHOOSE(CONTROL!$C$9, $D$9, 100%, $F$9) + CHOOSE(CONTROL!$C$27, 0.0021, 0)</f>
        <v>104.0051</v>
      </c>
      <c r="I972" s="10">
        <f>104.003 * CHOOSE(CONTROL!$C$9, $D$9, 100%, $F$9) + CHOOSE(CONTROL!$C$27, 0.0021, 0)</f>
        <v>104.0051</v>
      </c>
      <c r="J972" s="10">
        <f>104.003 * CHOOSE(CONTROL!$C$9, $D$9, 100%, $F$9) + CHOOSE(CONTROL!$C$27, 0.0021, 0)</f>
        <v>104.0051</v>
      </c>
      <c r="K972" s="10">
        <f>104.003 * CHOOSE(CONTROL!$C$9, $D$9, 100%, $F$9) + CHOOSE(CONTROL!$C$27, 0.0021, 0)</f>
        <v>104.0051</v>
      </c>
      <c r="L972" s="10"/>
    </row>
    <row r="973" spans="1:12" ht="15.75" x14ac:dyDescent="0.25">
      <c r="A973" s="13">
        <v>70553</v>
      </c>
      <c r="B973" s="10">
        <f>101.5461 * CHOOSE(CONTROL!$C$9, $D$9, 100%, $F$9) + CHOOSE(CONTROL!$C$27, 0.0021, 0)</f>
        <v>101.54819999999999</v>
      </c>
      <c r="C973" s="10">
        <f>101.1139 * CHOOSE(CONTROL!$C$9, $D$9, 100%, $F$9) + CHOOSE(CONTROL!$C$27, 0.0021, 0)</f>
        <v>101.116</v>
      </c>
      <c r="D973" s="10">
        <f>101.1139 * CHOOSE(CONTROL!$C$9, $D$9, 100%, $F$9) + CHOOSE(CONTROL!$C$27, 0.0021, 0)</f>
        <v>101.116</v>
      </c>
      <c r="E973" s="10">
        <f>100.9772 * CHOOSE(CONTROL!$C$9, $D$9, 100%, $F$9) + CHOOSE(CONTROL!$C$27, 0.0021, 0)</f>
        <v>100.97929999999999</v>
      </c>
      <c r="F973" s="10">
        <f>100.9772 * CHOOSE(CONTROL!$C$9, $D$9, 100%, $F$9) + CHOOSE(CONTROL!$C$27, 0.0021, 0)</f>
        <v>100.97929999999999</v>
      </c>
      <c r="G973" s="10">
        <f>101.2486 * CHOOSE(CONTROL!$C$9, $D$9, 100%, $F$9) + CHOOSE(CONTROL!$C$27, 0.0021, 0)</f>
        <v>101.25069999999999</v>
      </c>
      <c r="H973" s="10">
        <f>101.1139 * CHOOSE(CONTROL!$C$9, $D$9, 100%, $F$9) + CHOOSE(CONTROL!$C$27, 0.0021, 0)</f>
        <v>101.116</v>
      </c>
      <c r="I973" s="10">
        <f>101.1139 * CHOOSE(CONTROL!$C$9, $D$9, 100%, $F$9) + CHOOSE(CONTROL!$C$27, 0.0021, 0)</f>
        <v>101.116</v>
      </c>
      <c r="J973" s="10">
        <f>101.1139 * CHOOSE(CONTROL!$C$9, $D$9, 100%, $F$9) + CHOOSE(CONTROL!$C$27, 0.0021, 0)</f>
        <v>101.116</v>
      </c>
      <c r="K973" s="10">
        <f>101.1139 * CHOOSE(CONTROL!$C$9, $D$9, 100%, $F$9) + CHOOSE(CONTROL!$C$27, 0.0021, 0)</f>
        <v>101.116</v>
      </c>
      <c r="L973" s="10"/>
    </row>
    <row r="974" spans="1:12" ht="15.75" x14ac:dyDescent="0.25">
      <c r="A974" s="13">
        <v>70584</v>
      </c>
      <c r="B974" s="10">
        <f>100.3535 * CHOOSE(CONTROL!$C$9, $D$9, 100%, $F$9) + CHOOSE(CONTROL!$C$27, 0.0021, 0)</f>
        <v>100.3556</v>
      </c>
      <c r="C974" s="10">
        <f>99.9213 * CHOOSE(CONTROL!$C$9, $D$9, 100%, $F$9) + CHOOSE(CONTROL!$C$27, 0.0021, 0)</f>
        <v>99.923400000000001</v>
      </c>
      <c r="D974" s="10">
        <f>99.9213 * CHOOSE(CONTROL!$C$9, $D$9, 100%, $F$9) + CHOOSE(CONTROL!$C$27, 0.0021, 0)</f>
        <v>99.923400000000001</v>
      </c>
      <c r="E974" s="10">
        <f>99.7846 * CHOOSE(CONTROL!$C$9, $D$9, 100%, $F$9) + CHOOSE(CONTROL!$C$27, 0.0021, 0)</f>
        <v>99.786699999999996</v>
      </c>
      <c r="F974" s="10">
        <f>99.7846 * CHOOSE(CONTROL!$C$9, $D$9, 100%, $F$9) + CHOOSE(CONTROL!$C$27, 0.0021, 0)</f>
        <v>99.786699999999996</v>
      </c>
      <c r="G974" s="10">
        <f>100.056 * CHOOSE(CONTROL!$C$9, $D$9, 100%, $F$9) + CHOOSE(CONTROL!$C$27, 0.0021, 0)</f>
        <v>100.0581</v>
      </c>
      <c r="H974" s="10">
        <f>99.9213 * CHOOSE(CONTROL!$C$9, $D$9, 100%, $F$9) + CHOOSE(CONTROL!$C$27, 0.0021, 0)</f>
        <v>99.923400000000001</v>
      </c>
      <c r="I974" s="10">
        <f>99.9213 * CHOOSE(CONTROL!$C$9, $D$9, 100%, $F$9) + CHOOSE(CONTROL!$C$27, 0.0021, 0)</f>
        <v>99.923400000000001</v>
      </c>
      <c r="J974" s="10">
        <f>99.9213 * CHOOSE(CONTROL!$C$9, $D$9, 100%, $F$9) + CHOOSE(CONTROL!$C$27, 0.0021, 0)</f>
        <v>99.923400000000001</v>
      </c>
      <c r="K974" s="10">
        <f>99.9213 * CHOOSE(CONTROL!$C$9, $D$9, 100%, $F$9) + CHOOSE(CONTROL!$C$27, 0.0021, 0)</f>
        <v>99.923400000000001</v>
      </c>
      <c r="L974" s="10"/>
    </row>
    <row r="975" spans="1:12" ht="15.75" x14ac:dyDescent="0.25">
      <c r="A975" s="13">
        <v>70614</v>
      </c>
      <c r="B975" s="10">
        <f>98.9295 * CHOOSE(CONTROL!$C$9, $D$9, 100%, $F$9) + CHOOSE(CONTROL!$C$27, 0.0021, 0)</f>
        <v>98.931600000000003</v>
      </c>
      <c r="C975" s="10">
        <f>98.4972 * CHOOSE(CONTROL!$C$9, $D$9, 100%, $F$9) + CHOOSE(CONTROL!$C$27, 0.0021, 0)</f>
        <v>98.499300000000005</v>
      </c>
      <c r="D975" s="10">
        <f>98.4972 * CHOOSE(CONTROL!$C$9, $D$9, 100%, $F$9) + CHOOSE(CONTROL!$C$27, 0.0021, 0)</f>
        <v>98.499300000000005</v>
      </c>
      <c r="E975" s="10">
        <f>98.3606 * CHOOSE(CONTROL!$C$9, $D$9, 100%, $F$9) + CHOOSE(CONTROL!$C$27, 0.0021, 0)</f>
        <v>98.362700000000004</v>
      </c>
      <c r="F975" s="10">
        <f>98.3606 * CHOOSE(CONTROL!$C$9, $D$9, 100%, $F$9) + CHOOSE(CONTROL!$C$27, 0.0021, 0)</f>
        <v>98.362700000000004</v>
      </c>
      <c r="G975" s="10">
        <f>98.6319 * CHOOSE(CONTROL!$C$9, $D$9, 100%, $F$9) + CHOOSE(CONTROL!$C$27, 0.0021, 0)</f>
        <v>98.634</v>
      </c>
      <c r="H975" s="10">
        <f>98.4972 * CHOOSE(CONTROL!$C$9, $D$9, 100%, $F$9) + CHOOSE(CONTROL!$C$27, 0.0021, 0)</f>
        <v>98.499300000000005</v>
      </c>
      <c r="I975" s="10">
        <f>98.4972 * CHOOSE(CONTROL!$C$9, $D$9, 100%, $F$9) + CHOOSE(CONTROL!$C$27, 0.0021, 0)</f>
        <v>98.499300000000005</v>
      </c>
      <c r="J975" s="10">
        <f>98.4972 * CHOOSE(CONTROL!$C$9, $D$9, 100%, $F$9) + CHOOSE(CONTROL!$C$27, 0.0021, 0)</f>
        <v>98.499300000000005</v>
      </c>
      <c r="K975" s="10">
        <f>98.4972 * CHOOSE(CONTROL!$C$9, $D$9, 100%, $F$9) + CHOOSE(CONTROL!$C$27, 0.0021, 0)</f>
        <v>98.499300000000005</v>
      </c>
      <c r="L975" s="10"/>
    </row>
    <row r="976" spans="1:12" ht="15.75" x14ac:dyDescent="0.25">
      <c r="A976" s="13">
        <v>70645</v>
      </c>
      <c r="B976" s="10">
        <f>100.9589 * CHOOSE(CONTROL!$C$9, $D$9, 100%, $F$9) + CHOOSE(CONTROL!$C$27, 0.0021, 0)</f>
        <v>100.961</v>
      </c>
      <c r="C976" s="10">
        <f>100.5266 * CHOOSE(CONTROL!$C$9, $D$9, 100%, $F$9) + CHOOSE(CONTROL!$C$27, 0.0021, 0)</f>
        <v>100.5287</v>
      </c>
      <c r="D976" s="10">
        <f>100.5266 * CHOOSE(CONTROL!$C$9, $D$9, 100%, $F$9) + CHOOSE(CONTROL!$C$27, 0.0021, 0)</f>
        <v>100.5287</v>
      </c>
      <c r="E976" s="10">
        <f>100.39 * CHOOSE(CONTROL!$C$9, $D$9, 100%, $F$9) + CHOOSE(CONTROL!$C$27, 0.0021, 0)</f>
        <v>100.3921</v>
      </c>
      <c r="F976" s="10">
        <f>100.39 * CHOOSE(CONTROL!$C$9, $D$9, 100%, $F$9) + CHOOSE(CONTROL!$C$27, 0.0021, 0)</f>
        <v>100.3921</v>
      </c>
      <c r="G976" s="10">
        <f>100.6614 * CHOOSE(CONTROL!$C$9, $D$9, 100%, $F$9) + CHOOSE(CONTROL!$C$27, 0.0021, 0)</f>
        <v>100.6635</v>
      </c>
      <c r="H976" s="10">
        <f>100.5266 * CHOOSE(CONTROL!$C$9, $D$9, 100%, $F$9) + CHOOSE(CONTROL!$C$27, 0.0021, 0)</f>
        <v>100.5287</v>
      </c>
      <c r="I976" s="10">
        <f>100.5266 * CHOOSE(CONTROL!$C$9, $D$9, 100%, $F$9) + CHOOSE(CONTROL!$C$27, 0.0021, 0)</f>
        <v>100.5287</v>
      </c>
      <c r="J976" s="10">
        <f>100.5266 * CHOOSE(CONTROL!$C$9, $D$9, 100%, $F$9) + CHOOSE(CONTROL!$C$27, 0.0021, 0)</f>
        <v>100.5287</v>
      </c>
      <c r="K976" s="10">
        <f>100.5266 * CHOOSE(CONTROL!$C$9, $D$9, 100%, $F$9) + CHOOSE(CONTROL!$C$27, 0.0021, 0)</f>
        <v>100.5287</v>
      </c>
      <c r="L976" s="10"/>
    </row>
    <row r="977" spans="1:12" ht="15.75" x14ac:dyDescent="0.25">
      <c r="A977" s="13">
        <v>70675</v>
      </c>
      <c r="B977" s="10">
        <f>102.1744 * CHOOSE(CONTROL!$C$9, $D$9, 100%, $F$9) + CHOOSE(CONTROL!$C$27, 0.0021, 0)</f>
        <v>102.1765</v>
      </c>
      <c r="C977" s="10">
        <f>101.7422 * CHOOSE(CONTROL!$C$9, $D$9, 100%, $F$9) + CHOOSE(CONTROL!$C$27, 0.0021, 0)</f>
        <v>101.7443</v>
      </c>
      <c r="D977" s="10">
        <f>101.7422 * CHOOSE(CONTROL!$C$9, $D$9, 100%, $F$9) + CHOOSE(CONTROL!$C$27, 0.0021, 0)</f>
        <v>101.7443</v>
      </c>
      <c r="E977" s="10">
        <f>101.6055 * CHOOSE(CONTROL!$C$9, $D$9, 100%, $F$9) + CHOOSE(CONTROL!$C$27, 0.0021, 0)</f>
        <v>101.60760000000001</v>
      </c>
      <c r="F977" s="10">
        <f>101.6055 * CHOOSE(CONTROL!$C$9, $D$9, 100%, $F$9) + CHOOSE(CONTROL!$C$27, 0.0021, 0)</f>
        <v>101.60760000000001</v>
      </c>
      <c r="G977" s="10">
        <f>101.8769 * CHOOSE(CONTROL!$C$9, $D$9, 100%, $F$9) + CHOOSE(CONTROL!$C$27, 0.0021, 0)</f>
        <v>101.879</v>
      </c>
      <c r="H977" s="10">
        <f>101.7422 * CHOOSE(CONTROL!$C$9, $D$9, 100%, $F$9) + CHOOSE(CONTROL!$C$27, 0.0021, 0)</f>
        <v>101.7443</v>
      </c>
      <c r="I977" s="10">
        <f>101.7422 * CHOOSE(CONTROL!$C$9, $D$9, 100%, $F$9) + CHOOSE(CONTROL!$C$27, 0.0021, 0)</f>
        <v>101.7443</v>
      </c>
      <c r="J977" s="10">
        <f>101.7422 * CHOOSE(CONTROL!$C$9, $D$9, 100%, $F$9) + CHOOSE(CONTROL!$C$27, 0.0021, 0)</f>
        <v>101.7443</v>
      </c>
      <c r="K977" s="10">
        <f>101.7422 * CHOOSE(CONTROL!$C$9, $D$9, 100%, $F$9) + CHOOSE(CONTROL!$C$27, 0.0021, 0)</f>
        <v>101.7443</v>
      </c>
      <c r="L977" s="10"/>
    </row>
    <row r="978" spans="1:12" ht="15.75" x14ac:dyDescent="0.25">
      <c r="A978" s="13">
        <v>70706</v>
      </c>
      <c r="B978" s="10">
        <f>104.1796 * CHOOSE(CONTROL!$C$9, $D$9, 100%, $F$9) + CHOOSE(CONTROL!$C$27, 0.0021, 0)</f>
        <v>104.18169999999999</v>
      </c>
      <c r="C978" s="10">
        <f>103.7474 * CHOOSE(CONTROL!$C$9, $D$9, 100%, $F$9) + CHOOSE(CONTROL!$C$27, 0.0021, 0)</f>
        <v>103.7495</v>
      </c>
      <c r="D978" s="10">
        <f>103.7474 * CHOOSE(CONTROL!$C$9, $D$9, 100%, $F$9) + CHOOSE(CONTROL!$C$27, 0.0021, 0)</f>
        <v>103.7495</v>
      </c>
      <c r="E978" s="10">
        <f>103.6107 * CHOOSE(CONTROL!$C$9, $D$9, 100%, $F$9) + CHOOSE(CONTROL!$C$27, 0.0021, 0)</f>
        <v>103.61279999999999</v>
      </c>
      <c r="F978" s="10">
        <f>103.6107 * CHOOSE(CONTROL!$C$9, $D$9, 100%, $F$9) + CHOOSE(CONTROL!$C$27, 0.0021, 0)</f>
        <v>103.61279999999999</v>
      </c>
      <c r="G978" s="10">
        <f>103.8821 * CHOOSE(CONTROL!$C$9, $D$9, 100%, $F$9) + CHOOSE(CONTROL!$C$27, 0.0021, 0)</f>
        <v>103.88419999999999</v>
      </c>
      <c r="H978" s="10">
        <f>103.7474 * CHOOSE(CONTROL!$C$9, $D$9, 100%, $F$9) + CHOOSE(CONTROL!$C$27, 0.0021, 0)</f>
        <v>103.7495</v>
      </c>
      <c r="I978" s="10">
        <f>103.7474 * CHOOSE(CONTROL!$C$9, $D$9, 100%, $F$9) + CHOOSE(CONTROL!$C$27, 0.0021, 0)</f>
        <v>103.7495</v>
      </c>
      <c r="J978" s="10">
        <f>103.7474 * CHOOSE(CONTROL!$C$9, $D$9, 100%, $F$9) + CHOOSE(CONTROL!$C$27, 0.0021, 0)</f>
        <v>103.7495</v>
      </c>
      <c r="K978" s="10">
        <f>103.7474 * CHOOSE(CONTROL!$C$9, $D$9, 100%, $F$9) + CHOOSE(CONTROL!$C$27, 0.0021, 0)</f>
        <v>103.7495</v>
      </c>
      <c r="L978" s="10"/>
    </row>
    <row r="979" spans="1:12" ht="15.75" x14ac:dyDescent="0.25">
      <c r="A979" s="13">
        <v>70737</v>
      </c>
      <c r="B979" s="10">
        <f>104.7917 * CHOOSE(CONTROL!$C$9, $D$9, 100%, $F$9) + CHOOSE(CONTROL!$C$27, 0.0021, 0)</f>
        <v>104.7938</v>
      </c>
      <c r="C979" s="10">
        <f>104.3594 * CHOOSE(CONTROL!$C$9, $D$9, 100%, $F$9) + CHOOSE(CONTROL!$C$27, 0.0021, 0)</f>
        <v>104.36149999999999</v>
      </c>
      <c r="D979" s="10">
        <f>104.3594 * CHOOSE(CONTROL!$C$9, $D$9, 100%, $F$9) + CHOOSE(CONTROL!$C$27, 0.0021, 0)</f>
        <v>104.36149999999999</v>
      </c>
      <c r="E979" s="10">
        <f>104.2228 * CHOOSE(CONTROL!$C$9, $D$9, 100%, $F$9) + CHOOSE(CONTROL!$C$27, 0.0021, 0)</f>
        <v>104.22490000000001</v>
      </c>
      <c r="F979" s="10">
        <f>104.2228 * CHOOSE(CONTROL!$C$9, $D$9, 100%, $F$9) + CHOOSE(CONTROL!$C$27, 0.0021, 0)</f>
        <v>104.22490000000001</v>
      </c>
      <c r="G979" s="10">
        <f>104.4941 * CHOOSE(CONTROL!$C$9, $D$9, 100%, $F$9) + CHOOSE(CONTROL!$C$27, 0.0021, 0)</f>
        <v>104.4962</v>
      </c>
      <c r="H979" s="10">
        <f>104.3594 * CHOOSE(CONTROL!$C$9, $D$9, 100%, $F$9) + CHOOSE(CONTROL!$C$27, 0.0021, 0)</f>
        <v>104.36149999999999</v>
      </c>
      <c r="I979" s="10">
        <f>104.3594 * CHOOSE(CONTROL!$C$9, $D$9, 100%, $F$9) + CHOOSE(CONTROL!$C$27, 0.0021, 0)</f>
        <v>104.36149999999999</v>
      </c>
      <c r="J979" s="10">
        <f>104.3594 * CHOOSE(CONTROL!$C$9, $D$9, 100%, $F$9) + CHOOSE(CONTROL!$C$27, 0.0021, 0)</f>
        <v>104.36149999999999</v>
      </c>
      <c r="K979" s="10">
        <f>104.3594 * CHOOSE(CONTROL!$C$9, $D$9, 100%, $F$9) + CHOOSE(CONTROL!$C$27, 0.0021, 0)</f>
        <v>104.36149999999999</v>
      </c>
      <c r="L979" s="10"/>
    </row>
    <row r="980" spans="1:12" ht="15.75" x14ac:dyDescent="0.25">
      <c r="A980" s="13">
        <v>70767</v>
      </c>
      <c r="B980" s="10">
        <f>106.876 * CHOOSE(CONTROL!$C$9, $D$9, 100%, $F$9) + CHOOSE(CONTROL!$C$27, 0.0021, 0)</f>
        <v>106.8781</v>
      </c>
      <c r="C980" s="10">
        <f>106.4437 * CHOOSE(CONTROL!$C$9, $D$9, 100%, $F$9) + CHOOSE(CONTROL!$C$27, 0.0021, 0)</f>
        <v>106.44580000000001</v>
      </c>
      <c r="D980" s="10">
        <f>106.4437 * CHOOSE(CONTROL!$C$9, $D$9, 100%, $F$9) + CHOOSE(CONTROL!$C$27, 0.0021, 0)</f>
        <v>106.44580000000001</v>
      </c>
      <c r="E980" s="10">
        <f>106.3071 * CHOOSE(CONTROL!$C$9, $D$9, 100%, $F$9) + CHOOSE(CONTROL!$C$27, 0.0021, 0)</f>
        <v>106.3092</v>
      </c>
      <c r="F980" s="10">
        <f>106.3071 * CHOOSE(CONTROL!$C$9, $D$9, 100%, $F$9) + CHOOSE(CONTROL!$C$27, 0.0021, 0)</f>
        <v>106.3092</v>
      </c>
      <c r="G980" s="10">
        <f>106.5785 * CHOOSE(CONTROL!$C$9, $D$9, 100%, $F$9) + CHOOSE(CONTROL!$C$27, 0.0021, 0)</f>
        <v>106.5806</v>
      </c>
      <c r="H980" s="10">
        <f>106.4437 * CHOOSE(CONTROL!$C$9, $D$9, 100%, $F$9) + CHOOSE(CONTROL!$C$27, 0.0021, 0)</f>
        <v>106.44580000000001</v>
      </c>
      <c r="I980" s="10">
        <f>106.4437 * CHOOSE(CONTROL!$C$9, $D$9, 100%, $F$9) + CHOOSE(CONTROL!$C$27, 0.0021, 0)</f>
        <v>106.44580000000001</v>
      </c>
      <c r="J980" s="10">
        <f>106.4437 * CHOOSE(CONTROL!$C$9, $D$9, 100%, $F$9) + CHOOSE(CONTROL!$C$27, 0.0021, 0)</f>
        <v>106.44580000000001</v>
      </c>
      <c r="K980" s="10">
        <f>106.4437 * CHOOSE(CONTROL!$C$9, $D$9, 100%, $F$9) + CHOOSE(CONTROL!$C$27, 0.0021, 0)</f>
        <v>106.44580000000001</v>
      </c>
      <c r="L980" s="10"/>
    </row>
    <row r="981" spans="1:12" ht="15.75" x14ac:dyDescent="0.25">
      <c r="A981" s="13">
        <v>70798</v>
      </c>
      <c r="B981" s="10">
        <f>109.5144 * CHOOSE(CONTROL!$C$9, $D$9, 100%, $F$9) + CHOOSE(CONTROL!$C$27, 0.0021, 0)</f>
        <v>109.51649999999999</v>
      </c>
      <c r="C981" s="10">
        <f>109.0821 * CHOOSE(CONTROL!$C$9, $D$9, 100%, $F$9) + CHOOSE(CONTROL!$C$27, 0.0021, 0)</f>
        <v>109.0842</v>
      </c>
      <c r="D981" s="10">
        <f>109.0821 * CHOOSE(CONTROL!$C$9, $D$9, 100%, $F$9) + CHOOSE(CONTROL!$C$27, 0.0021, 0)</f>
        <v>109.0842</v>
      </c>
      <c r="E981" s="10">
        <f>108.9455 * CHOOSE(CONTROL!$C$9, $D$9, 100%, $F$9) + CHOOSE(CONTROL!$C$27, 0.0021, 0)</f>
        <v>108.94759999999999</v>
      </c>
      <c r="F981" s="10">
        <f>108.9455 * CHOOSE(CONTROL!$C$9, $D$9, 100%, $F$9) + CHOOSE(CONTROL!$C$27, 0.0021, 0)</f>
        <v>108.94759999999999</v>
      </c>
      <c r="G981" s="10">
        <f>109.2169 * CHOOSE(CONTROL!$C$9, $D$9, 100%, $F$9) + CHOOSE(CONTROL!$C$27, 0.0021, 0)</f>
        <v>109.21899999999999</v>
      </c>
      <c r="H981" s="10">
        <f>109.0821 * CHOOSE(CONTROL!$C$9, $D$9, 100%, $F$9) + CHOOSE(CONTROL!$C$27, 0.0021, 0)</f>
        <v>109.0842</v>
      </c>
      <c r="I981" s="10">
        <f>109.0821 * CHOOSE(CONTROL!$C$9, $D$9, 100%, $F$9) + CHOOSE(CONTROL!$C$27, 0.0021, 0)</f>
        <v>109.0842</v>
      </c>
      <c r="J981" s="10">
        <f>109.0821 * CHOOSE(CONTROL!$C$9, $D$9, 100%, $F$9) + CHOOSE(CONTROL!$C$27, 0.0021, 0)</f>
        <v>109.0842</v>
      </c>
      <c r="K981" s="10">
        <f>109.0821 * CHOOSE(CONTROL!$C$9, $D$9, 100%, $F$9) + CHOOSE(CONTROL!$C$27, 0.0021, 0)</f>
        <v>109.0842</v>
      </c>
      <c r="L981" s="10"/>
    </row>
    <row r="982" spans="1:12" ht="15.75" x14ac:dyDescent="0.25">
      <c r="A982" s="13">
        <v>70828</v>
      </c>
      <c r="B982" s="10">
        <f>109.7621 * CHOOSE(CONTROL!$C$9, $D$9, 100%, $F$9) + CHOOSE(CONTROL!$C$27, 0.0021, 0)</f>
        <v>109.7642</v>
      </c>
      <c r="C982" s="10">
        <f>109.3298 * CHOOSE(CONTROL!$C$9, $D$9, 100%, $F$9) + CHOOSE(CONTROL!$C$27, 0.0021, 0)</f>
        <v>109.3319</v>
      </c>
      <c r="D982" s="10">
        <f>109.3298 * CHOOSE(CONTROL!$C$9, $D$9, 100%, $F$9) + CHOOSE(CONTROL!$C$27, 0.0021, 0)</f>
        <v>109.3319</v>
      </c>
      <c r="E982" s="10">
        <f>109.1932 * CHOOSE(CONTROL!$C$9, $D$9, 100%, $F$9) + CHOOSE(CONTROL!$C$27, 0.0021, 0)</f>
        <v>109.1953</v>
      </c>
      <c r="F982" s="10">
        <f>109.1932 * CHOOSE(CONTROL!$C$9, $D$9, 100%, $F$9) + CHOOSE(CONTROL!$C$27, 0.0021, 0)</f>
        <v>109.1953</v>
      </c>
      <c r="G982" s="10">
        <f>109.4645 * CHOOSE(CONTROL!$C$9, $D$9, 100%, $F$9) + CHOOSE(CONTROL!$C$27, 0.0021, 0)</f>
        <v>109.4666</v>
      </c>
      <c r="H982" s="10">
        <f>109.3298 * CHOOSE(CONTROL!$C$9, $D$9, 100%, $F$9) + CHOOSE(CONTROL!$C$27, 0.0021, 0)</f>
        <v>109.3319</v>
      </c>
      <c r="I982" s="10">
        <f>109.3298 * CHOOSE(CONTROL!$C$9, $D$9, 100%, $F$9) + CHOOSE(CONTROL!$C$27, 0.0021, 0)</f>
        <v>109.3319</v>
      </c>
      <c r="J982" s="10">
        <f>109.3298 * CHOOSE(CONTROL!$C$9, $D$9, 100%, $F$9) + CHOOSE(CONTROL!$C$27, 0.0021, 0)</f>
        <v>109.3319</v>
      </c>
      <c r="K982" s="10">
        <f>109.3298 * CHOOSE(CONTROL!$C$9, $D$9, 100%, $F$9) + CHOOSE(CONTROL!$C$27, 0.0021, 0)</f>
        <v>109.3319</v>
      </c>
      <c r="L982" s="10"/>
    </row>
    <row r="983" spans="1:12" ht="15.75" x14ac:dyDescent="0.25">
      <c r="A983" s="13">
        <v>70859</v>
      </c>
      <c r="B983" s="10">
        <f>107.6548 * CHOOSE(CONTROL!$C$9, $D$9, 100%, $F$9) + CHOOSE(CONTROL!$C$27, 0.0021, 0)</f>
        <v>107.65689999999999</v>
      </c>
      <c r="C983" s="10">
        <f>107.2226 * CHOOSE(CONTROL!$C$9, $D$9, 100%, $F$9) + CHOOSE(CONTROL!$C$27, 0.0021, 0)</f>
        <v>107.2247</v>
      </c>
      <c r="D983" s="10">
        <f>107.2226 * CHOOSE(CONTROL!$C$9, $D$9, 100%, $F$9) + CHOOSE(CONTROL!$C$27, 0.0021, 0)</f>
        <v>107.2247</v>
      </c>
      <c r="E983" s="10">
        <f>107.0859 * CHOOSE(CONTROL!$C$9, $D$9, 100%, $F$9) + CHOOSE(CONTROL!$C$27, 0.0021, 0)</f>
        <v>107.08799999999999</v>
      </c>
      <c r="F983" s="10">
        <f>107.0859 * CHOOSE(CONTROL!$C$9, $D$9, 100%, $F$9) + CHOOSE(CONTROL!$C$27, 0.0021, 0)</f>
        <v>107.08799999999999</v>
      </c>
      <c r="G983" s="10">
        <f>107.3573 * CHOOSE(CONTROL!$C$9, $D$9, 100%, $F$9) + CHOOSE(CONTROL!$C$27, 0.0021, 0)</f>
        <v>107.35939999999999</v>
      </c>
      <c r="H983" s="10">
        <f>107.2226 * CHOOSE(CONTROL!$C$9, $D$9, 100%, $F$9) + CHOOSE(CONTROL!$C$27, 0.0021, 0)</f>
        <v>107.2247</v>
      </c>
      <c r="I983" s="10">
        <f>107.2226 * CHOOSE(CONTROL!$C$9, $D$9, 100%, $F$9) + CHOOSE(CONTROL!$C$27, 0.0021, 0)</f>
        <v>107.2247</v>
      </c>
      <c r="J983" s="10">
        <f>107.2226 * CHOOSE(CONTROL!$C$9, $D$9, 100%, $F$9) + CHOOSE(CONTROL!$C$27, 0.0021, 0)</f>
        <v>107.2247</v>
      </c>
      <c r="K983" s="10">
        <f>107.2226 * CHOOSE(CONTROL!$C$9, $D$9, 100%, $F$9) + CHOOSE(CONTROL!$C$27, 0.0021, 0)</f>
        <v>107.2247</v>
      </c>
      <c r="L983" s="10"/>
    </row>
    <row r="984" spans="1:12" ht="15.75" x14ac:dyDescent="0.25">
      <c r="A984" s="13">
        <v>70890</v>
      </c>
      <c r="B984" s="10">
        <f>106.2744 * CHOOSE(CONTROL!$C$9, $D$9, 100%, $F$9) + CHOOSE(CONTROL!$C$27, 0.0021, 0)</f>
        <v>106.2765</v>
      </c>
      <c r="C984" s="10">
        <f>105.8421 * CHOOSE(CONTROL!$C$9, $D$9, 100%, $F$9) + CHOOSE(CONTROL!$C$27, 0.0021, 0)</f>
        <v>105.8442</v>
      </c>
      <c r="D984" s="10">
        <f>105.8421 * CHOOSE(CONTROL!$C$9, $D$9, 100%, $F$9) + CHOOSE(CONTROL!$C$27, 0.0021, 0)</f>
        <v>105.8442</v>
      </c>
      <c r="E984" s="10">
        <f>105.7055 * CHOOSE(CONTROL!$C$9, $D$9, 100%, $F$9) + CHOOSE(CONTROL!$C$27, 0.0021, 0)</f>
        <v>105.7076</v>
      </c>
      <c r="F984" s="10">
        <f>105.7055 * CHOOSE(CONTROL!$C$9, $D$9, 100%, $F$9) + CHOOSE(CONTROL!$C$27, 0.0021, 0)</f>
        <v>105.7076</v>
      </c>
      <c r="G984" s="10">
        <f>105.9768 * CHOOSE(CONTROL!$C$9, $D$9, 100%, $F$9) + CHOOSE(CONTROL!$C$27, 0.0021, 0)</f>
        <v>105.9789</v>
      </c>
      <c r="H984" s="10">
        <f>105.8421 * CHOOSE(CONTROL!$C$9, $D$9, 100%, $F$9) + CHOOSE(CONTROL!$C$27, 0.0021, 0)</f>
        <v>105.8442</v>
      </c>
      <c r="I984" s="10">
        <f>105.8421 * CHOOSE(CONTROL!$C$9, $D$9, 100%, $F$9) + CHOOSE(CONTROL!$C$27, 0.0021, 0)</f>
        <v>105.8442</v>
      </c>
      <c r="J984" s="10">
        <f>105.8421 * CHOOSE(CONTROL!$C$9, $D$9, 100%, $F$9) + CHOOSE(CONTROL!$C$27, 0.0021, 0)</f>
        <v>105.8442</v>
      </c>
      <c r="K984" s="10">
        <f>105.8421 * CHOOSE(CONTROL!$C$9, $D$9, 100%, $F$9) + CHOOSE(CONTROL!$C$27, 0.0021, 0)</f>
        <v>105.8442</v>
      </c>
      <c r="L984" s="10"/>
    </row>
    <row r="985" spans="1:12" ht="15.75" x14ac:dyDescent="0.25">
      <c r="A985" s="13">
        <v>70918</v>
      </c>
      <c r="B985" s="10">
        <f>103.3332 * CHOOSE(CONTROL!$C$9, $D$9, 100%, $F$9) + CHOOSE(CONTROL!$C$27, 0.0021, 0)</f>
        <v>103.3353</v>
      </c>
      <c r="C985" s="10">
        <f>102.9009 * CHOOSE(CONTROL!$C$9, $D$9, 100%, $F$9) + CHOOSE(CONTROL!$C$27, 0.0021, 0)</f>
        <v>102.90299999999999</v>
      </c>
      <c r="D985" s="10">
        <f>102.9009 * CHOOSE(CONTROL!$C$9, $D$9, 100%, $F$9) + CHOOSE(CONTROL!$C$27, 0.0021, 0)</f>
        <v>102.90299999999999</v>
      </c>
      <c r="E985" s="10">
        <f>102.7643 * CHOOSE(CONTROL!$C$9, $D$9, 100%, $F$9) + CHOOSE(CONTROL!$C$27, 0.0021, 0)</f>
        <v>102.7664</v>
      </c>
      <c r="F985" s="10">
        <f>102.7643 * CHOOSE(CONTROL!$C$9, $D$9, 100%, $F$9) + CHOOSE(CONTROL!$C$27, 0.0021, 0)</f>
        <v>102.7664</v>
      </c>
      <c r="G985" s="10">
        <f>103.0357 * CHOOSE(CONTROL!$C$9, $D$9, 100%, $F$9) + CHOOSE(CONTROL!$C$27, 0.0021, 0)</f>
        <v>103.0378</v>
      </c>
      <c r="H985" s="10">
        <f>102.9009 * CHOOSE(CONTROL!$C$9, $D$9, 100%, $F$9) + CHOOSE(CONTROL!$C$27, 0.0021, 0)</f>
        <v>102.90299999999999</v>
      </c>
      <c r="I985" s="10">
        <f>102.9009 * CHOOSE(CONTROL!$C$9, $D$9, 100%, $F$9) + CHOOSE(CONTROL!$C$27, 0.0021, 0)</f>
        <v>102.90299999999999</v>
      </c>
      <c r="J985" s="10">
        <f>102.9009 * CHOOSE(CONTROL!$C$9, $D$9, 100%, $F$9) + CHOOSE(CONTROL!$C$27, 0.0021, 0)</f>
        <v>102.90299999999999</v>
      </c>
      <c r="K985" s="10">
        <f>102.9009 * CHOOSE(CONTROL!$C$9, $D$9, 100%, $F$9) + CHOOSE(CONTROL!$C$27, 0.0021, 0)</f>
        <v>102.90299999999999</v>
      </c>
      <c r="L985" s="10"/>
    </row>
    <row r="986" spans="1:12" ht="15.75" x14ac:dyDescent="0.25">
      <c r="A986" s="13">
        <v>70949</v>
      </c>
      <c r="B986" s="10">
        <f>102.1191 * CHOOSE(CONTROL!$C$9, $D$9, 100%, $F$9) + CHOOSE(CONTROL!$C$27, 0.0021, 0)</f>
        <v>102.1212</v>
      </c>
      <c r="C986" s="10">
        <f>101.6868 * CHOOSE(CONTROL!$C$9, $D$9, 100%, $F$9) + CHOOSE(CONTROL!$C$27, 0.0021, 0)</f>
        <v>101.6889</v>
      </c>
      <c r="D986" s="10">
        <f>101.6868 * CHOOSE(CONTROL!$C$9, $D$9, 100%, $F$9) + CHOOSE(CONTROL!$C$27, 0.0021, 0)</f>
        <v>101.6889</v>
      </c>
      <c r="E986" s="10">
        <f>101.5502 * CHOOSE(CONTROL!$C$9, $D$9, 100%, $F$9) + CHOOSE(CONTROL!$C$27, 0.0021, 0)</f>
        <v>101.5523</v>
      </c>
      <c r="F986" s="10">
        <f>101.5502 * CHOOSE(CONTROL!$C$9, $D$9, 100%, $F$9) + CHOOSE(CONTROL!$C$27, 0.0021, 0)</f>
        <v>101.5523</v>
      </c>
      <c r="G986" s="10">
        <f>101.8215 * CHOOSE(CONTROL!$C$9, $D$9, 100%, $F$9) + CHOOSE(CONTROL!$C$27, 0.0021, 0)</f>
        <v>101.8236</v>
      </c>
      <c r="H986" s="10">
        <f>101.6868 * CHOOSE(CONTROL!$C$9, $D$9, 100%, $F$9) + CHOOSE(CONTROL!$C$27, 0.0021, 0)</f>
        <v>101.6889</v>
      </c>
      <c r="I986" s="10">
        <f>101.6868 * CHOOSE(CONTROL!$C$9, $D$9, 100%, $F$9) + CHOOSE(CONTROL!$C$27, 0.0021, 0)</f>
        <v>101.6889</v>
      </c>
      <c r="J986" s="10">
        <f>101.6868 * CHOOSE(CONTROL!$C$9, $D$9, 100%, $F$9) + CHOOSE(CONTROL!$C$27, 0.0021, 0)</f>
        <v>101.6889</v>
      </c>
      <c r="K986" s="10">
        <f>101.6868 * CHOOSE(CONTROL!$C$9, $D$9, 100%, $F$9) + CHOOSE(CONTROL!$C$27, 0.0021, 0)</f>
        <v>101.6889</v>
      </c>
      <c r="L986" s="10"/>
    </row>
    <row r="987" spans="1:12" ht="15.75" x14ac:dyDescent="0.25">
      <c r="A987" s="13">
        <v>70979</v>
      </c>
      <c r="B987" s="10">
        <f>100.6694 * CHOOSE(CONTROL!$C$9, $D$9, 100%, $F$9) + CHOOSE(CONTROL!$C$27, 0.0021, 0)</f>
        <v>100.67149999999999</v>
      </c>
      <c r="C987" s="10">
        <f>100.2371 * CHOOSE(CONTROL!$C$9, $D$9, 100%, $F$9) + CHOOSE(CONTROL!$C$27, 0.0021, 0)</f>
        <v>100.2392</v>
      </c>
      <c r="D987" s="10">
        <f>100.2371 * CHOOSE(CONTROL!$C$9, $D$9, 100%, $F$9) + CHOOSE(CONTROL!$C$27, 0.0021, 0)</f>
        <v>100.2392</v>
      </c>
      <c r="E987" s="10">
        <f>100.1005 * CHOOSE(CONTROL!$C$9, $D$9, 100%, $F$9) + CHOOSE(CONTROL!$C$27, 0.0021, 0)</f>
        <v>100.1026</v>
      </c>
      <c r="F987" s="10">
        <f>100.1005 * CHOOSE(CONTROL!$C$9, $D$9, 100%, $F$9) + CHOOSE(CONTROL!$C$27, 0.0021, 0)</f>
        <v>100.1026</v>
      </c>
      <c r="G987" s="10">
        <f>100.3719 * CHOOSE(CONTROL!$C$9, $D$9, 100%, $F$9) + CHOOSE(CONTROL!$C$27, 0.0021, 0)</f>
        <v>100.374</v>
      </c>
      <c r="H987" s="10">
        <f>100.2371 * CHOOSE(CONTROL!$C$9, $D$9, 100%, $F$9) + CHOOSE(CONTROL!$C$27, 0.0021, 0)</f>
        <v>100.2392</v>
      </c>
      <c r="I987" s="10">
        <f>100.2371 * CHOOSE(CONTROL!$C$9, $D$9, 100%, $F$9) + CHOOSE(CONTROL!$C$27, 0.0021, 0)</f>
        <v>100.2392</v>
      </c>
      <c r="J987" s="10">
        <f>100.2371 * CHOOSE(CONTROL!$C$9, $D$9, 100%, $F$9) + CHOOSE(CONTROL!$C$27, 0.0021, 0)</f>
        <v>100.2392</v>
      </c>
      <c r="K987" s="10">
        <f>100.2371 * CHOOSE(CONTROL!$C$9, $D$9, 100%, $F$9) + CHOOSE(CONTROL!$C$27, 0.0021, 0)</f>
        <v>100.2392</v>
      </c>
      <c r="L987" s="10"/>
    </row>
    <row r="988" spans="1:12" ht="15.75" x14ac:dyDescent="0.25">
      <c r="A988" s="13">
        <v>71010</v>
      </c>
      <c r="B988" s="10">
        <f>102.7354 * CHOOSE(CONTROL!$C$9, $D$9, 100%, $F$9) + CHOOSE(CONTROL!$C$27, 0.0021, 0)</f>
        <v>102.7375</v>
      </c>
      <c r="C988" s="10">
        <f>102.3031 * CHOOSE(CONTROL!$C$9, $D$9, 100%, $F$9) + CHOOSE(CONTROL!$C$27, 0.0021, 0)</f>
        <v>102.3052</v>
      </c>
      <c r="D988" s="10">
        <f>102.3031 * CHOOSE(CONTROL!$C$9, $D$9, 100%, $F$9) + CHOOSE(CONTROL!$C$27, 0.0021, 0)</f>
        <v>102.3052</v>
      </c>
      <c r="E988" s="10">
        <f>102.1665 * CHOOSE(CONTROL!$C$9, $D$9, 100%, $F$9) + CHOOSE(CONTROL!$C$27, 0.0021, 0)</f>
        <v>102.1686</v>
      </c>
      <c r="F988" s="10">
        <f>102.1665 * CHOOSE(CONTROL!$C$9, $D$9, 100%, $F$9) + CHOOSE(CONTROL!$C$27, 0.0021, 0)</f>
        <v>102.1686</v>
      </c>
      <c r="G988" s="10">
        <f>102.4378 * CHOOSE(CONTROL!$C$9, $D$9, 100%, $F$9) + CHOOSE(CONTROL!$C$27, 0.0021, 0)</f>
        <v>102.43989999999999</v>
      </c>
      <c r="H988" s="10">
        <f>102.3031 * CHOOSE(CONTROL!$C$9, $D$9, 100%, $F$9) + CHOOSE(CONTROL!$C$27, 0.0021, 0)</f>
        <v>102.3052</v>
      </c>
      <c r="I988" s="10">
        <f>102.3031 * CHOOSE(CONTROL!$C$9, $D$9, 100%, $F$9) + CHOOSE(CONTROL!$C$27, 0.0021, 0)</f>
        <v>102.3052</v>
      </c>
      <c r="J988" s="10">
        <f>102.3031 * CHOOSE(CONTROL!$C$9, $D$9, 100%, $F$9) + CHOOSE(CONTROL!$C$27, 0.0021, 0)</f>
        <v>102.3052</v>
      </c>
      <c r="K988" s="10">
        <f>102.3031 * CHOOSE(CONTROL!$C$9, $D$9, 100%, $F$9) + CHOOSE(CONTROL!$C$27, 0.0021, 0)</f>
        <v>102.3052</v>
      </c>
      <c r="L988" s="10"/>
    </row>
    <row r="989" spans="1:12" ht="15.75" x14ac:dyDescent="0.25">
      <c r="A989" s="13">
        <v>71040</v>
      </c>
      <c r="B989" s="10">
        <f>103.9728 * CHOOSE(CONTROL!$C$9, $D$9, 100%, $F$9) + CHOOSE(CONTROL!$C$27, 0.0021, 0)</f>
        <v>103.97490000000001</v>
      </c>
      <c r="C989" s="10">
        <f>103.5405 * CHOOSE(CONTROL!$C$9, $D$9, 100%, $F$9) + CHOOSE(CONTROL!$C$27, 0.0021, 0)</f>
        <v>103.54259999999999</v>
      </c>
      <c r="D989" s="10">
        <f>103.5405 * CHOOSE(CONTROL!$C$9, $D$9, 100%, $F$9) + CHOOSE(CONTROL!$C$27, 0.0021, 0)</f>
        <v>103.54259999999999</v>
      </c>
      <c r="E989" s="10">
        <f>103.4039 * CHOOSE(CONTROL!$C$9, $D$9, 100%, $F$9) + CHOOSE(CONTROL!$C$27, 0.0021, 0)</f>
        <v>103.40599999999999</v>
      </c>
      <c r="F989" s="10">
        <f>103.4039 * CHOOSE(CONTROL!$C$9, $D$9, 100%, $F$9) + CHOOSE(CONTROL!$C$27, 0.0021, 0)</f>
        <v>103.40599999999999</v>
      </c>
      <c r="G989" s="10">
        <f>103.6753 * CHOOSE(CONTROL!$C$9, $D$9, 100%, $F$9) + CHOOSE(CONTROL!$C$27, 0.0021, 0)</f>
        <v>103.67739999999999</v>
      </c>
      <c r="H989" s="10">
        <f>103.5405 * CHOOSE(CONTROL!$C$9, $D$9, 100%, $F$9) + CHOOSE(CONTROL!$C$27, 0.0021, 0)</f>
        <v>103.54259999999999</v>
      </c>
      <c r="I989" s="10">
        <f>103.5405 * CHOOSE(CONTROL!$C$9, $D$9, 100%, $F$9) + CHOOSE(CONTROL!$C$27, 0.0021, 0)</f>
        <v>103.54259999999999</v>
      </c>
      <c r="J989" s="10">
        <f>103.5405 * CHOOSE(CONTROL!$C$9, $D$9, 100%, $F$9) + CHOOSE(CONTROL!$C$27, 0.0021, 0)</f>
        <v>103.54259999999999</v>
      </c>
      <c r="K989" s="10">
        <f>103.5405 * CHOOSE(CONTROL!$C$9, $D$9, 100%, $F$9) + CHOOSE(CONTROL!$C$27, 0.0021, 0)</f>
        <v>103.54259999999999</v>
      </c>
      <c r="L989" s="10"/>
    </row>
    <row r="990" spans="1:12" ht="15.75" x14ac:dyDescent="0.25">
      <c r="A990" s="13">
        <v>71071</v>
      </c>
      <c r="B990" s="10">
        <f>106.0141 * CHOOSE(CONTROL!$C$9, $D$9, 100%, $F$9) + CHOOSE(CONTROL!$C$27, 0.0021, 0)</f>
        <v>106.0162</v>
      </c>
      <c r="C990" s="10">
        <f>105.5818 * CHOOSE(CONTROL!$C$9, $D$9, 100%, $F$9) + CHOOSE(CONTROL!$C$27, 0.0021, 0)</f>
        <v>105.5839</v>
      </c>
      <c r="D990" s="10">
        <f>105.5818 * CHOOSE(CONTROL!$C$9, $D$9, 100%, $F$9) + CHOOSE(CONTROL!$C$27, 0.0021, 0)</f>
        <v>105.5839</v>
      </c>
      <c r="E990" s="10">
        <f>105.4452 * CHOOSE(CONTROL!$C$9, $D$9, 100%, $F$9) + CHOOSE(CONTROL!$C$27, 0.0021, 0)</f>
        <v>105.4473</v>
      </c>
      <c r="F990" s="10">
        <f>105.4452 * CHOOSE(CONTROL!$C$9, $D$9, 100%, $F$9) + CHOOSE(CONTROL!$C$27, 0.0021, 0)</f>
        <v>105.4473</v>
      </c>
      <c r="G990" s="10">
        <f>105.7166 * CHOOSE(CONTROL!$C$9, $D$9, 100%, $F$9) + CHOOSE(CONTROL!$C$27, 0.0021, 0)</f>
        <v>105.7187</v>
      </c>
      <c r="H990" s="10">
        <f>105.5818 * CHOOSE(CONTROL!$C$9, $D$9, 100%, $F$9) + CHOOSE(CONTROL!$C$27, 0.0021, 0)</f>
        <v>105.5839</v>
      </c>
      <c r="I990" s="10">
        <f>105.5818 * CHOOSE(CONTROL!$C$9, $D$9, 100%, $F$9) + CHOOSE(CONTROL!$C$27, 0.0021, 0)</f>
        <v>105.5839</v>
      </c>
      <c r="J990" s="10">
        <f>105.5818 * CHOOSE(CONTROL!$C$9, $D$9, 100%, $F$9) + CHOOSE(CONTROL!$C$27, 0.0021, 0)</f>
        <v>105.5839</v>
      </c>
      <c r="K990" s="10">
        <f>105.5818 * CHOOSE(CONTROL!$C$9, $D$9, 100%, $F$9) + CHOOSE(CONTROL!$C$27, 0.0021, 0)</f>
        <v>105.5839</v>
      </c>
      <c r="L990" s="10"/>
    </row>
    <row r="991" spans="1:12" ht="15.75" x14ac:dyDescent="0.25">
      <c r="A991" s="13">
        <v>71102</v>
      </c>
      <c r="B991" s="10">
        <f>106.6372 * CHOOSE(CONTROL!$C$9, $D$9, 100%, $F$9) + CHOOSE(CONTROL!$C$27, 0.0021, 0)</f>
        <v>106.63930000000001</v>
      </c>
      <c r="C991" s="10">
        <f>106.2049 * CHOOSE(CONTROL!$C$9, $D$9, 100%, $F$9) + CHOOSE(CONTROL!$C$27, 0.0021, 0)</f>
        <v>106.20699999999999</v>
      </c>
      <c r="D991" s="10">
        <f>106.2049 * CHOOSE(CONTROL!$C$9, $D$9, 100%, $F$9) + CHOOSE(CONTROL!$C$27, 0.0021, 0)</f>
        <v>106.20699999999999</v>
      </c>
      <c r="E991" s="10">
        <f>106.0683 * CHOOSE(CONTROL!$C$9, $D$9, 100%, $F$9) + CHOOSE(CONTROL!$C$27, 0.0021, 0)</f>
        <v>106.07039999999999</v>
      </c>
      <c r="F991" s="10">
        <f>106.0683 * CHOOSE(CONTROL!$C$9, $D$9, 100%, $F$9) + CHOOSE(CONTROL!$C$27, 0.0021, 0)</f>
        <v>106.07039999999999</v>
      </c>
      <c r="G991" s="10">
        <f>106.3396 * CHOOSE(CONTROL!$C$9, $D$9, 100%, $F$9) + CHOOSE(CONTROL!$C$27, 0.0021, 0)</f>
        <v>106.3417</v>
      </c>
      <c r="H991" s="10">
        <f>106.2049 * CHOOSE(CONTROL!$C$9, $D$9, 100%, $F$9) + CHOOSE(CONTROL!$C$27, 0.0021, 0)</f>
        <v>106.20699999999999</v>
      </c>
      <c r="I991" s="10">
        <f>106.2049 * CHOOSE(CONTROL!$C$9, $D$9, 100%, $F$9) + CHOOSE(CONTROL!$C$27, 0.0021, 0)</f>
        <v>106.20699999999999</v>
      </c>
      <c r="J991" s="10">
        <f>106.2049 * CHOOSE(CONTROL!$C$9, $D$9, 100%, $F$9) + CHOOSE(CONTROL!$C$27, 0.0021, 0)</f>
        <v>106.20699999999999</v>
      </c>
      <c r="K991" s="10">
        <f>106.2049 * CHOOSE(CONTROL!$C$9, $D$9, 100%, $F$9) + CHOOSE(CONTROL!$C$27, 0.0021, 0)</f>
        <v>106.20699999999999</v>
      </c>
      <c r="L991" s="10"/>
    </row>
    <row r="992" spans="1:12" ht="15.75" x14ac:dyDescent="0.25">
      <c r="A992" s="13">
        <v>71132</v>
      </c>
      <c r="B992" s="10">
        <f>108.759 * CHOOSE(CONTROL!$C$9, $D$9, 100%, $F$9) + CHOOSE(CONTROL!$C$27, 0.0021, 0)</f>
        <v>108.7611</v>
      </c>
      <c r="C992" s="10">
        <f>108.3268 * CHOOSE(CONTROL!$C$9, $D$9, 100%, $F$9) + CHOOSE(CONTROL!$C$27, 0.0021, 0)</f>
        <v>108.3289</v>
      </c>
      <c r="D992" s="10">
        <f>108.3268 * CHOOSE(CONTROL!$C$9, $D$9, 100%, $F$9) + CHOOSE(CONTROL!$C$27, 0.0021, 0)</f>
        <v>108.3289</v>
      </c>
      <c r="E992" s="10">
        <f>108.1901 * CHOOSE(CONTROL!$C$9, $D$9, 100%, $F$9) + CHOOSE(CONTROL!$C$27, 0.0021, 0)</f>
        <v>108.1922</v>
      </c>
      <c r="F992" s="10">
        <f>108.1901 * CHOOSE(CONTROL!$C$9, $D$9, 100%, $F$9) + CHOOSE(CONTROL!$C$27, 0.0021, 0)</f>
        <v>108.1922</v>
      </c>
      <c r="G992" s="10">
        <f>108.4615 * CHOOSE(CONTROL!$C$9, $D$9, 100%, $F$9) + CHOOSE(CONTROL!$C$27, 0.0021, 0)</f>
        <v>108.4636</v>
      </c>
      <c r="H992" s="10">
        <f>108.3268 * CHOOSE(CONTROL!$C$9, $D$9, 100%, $F$9) + CHOOSE(CONTROL!$C$27, 0.0021, 0)</f>
        <v>108.3289</v>
      </c>
      <c r="I992" s="10">
        <f>108.3268 * CHOOSE(CONTROL!$C$9, $D$9, 100%, $F$9) + CHOOSE(CONTROL!$C$27, 0.0021, 0)</f>
        <v>108.3289</v>
      </c>
      <c r="J992" s="10">
        <f>108.3268 * CHOOSE(CONTROL!$C$9, $D$9, 100%, $F$9) + CHOOSE(CONTROL!$C$27, 0.0021, 0)</f>
        <v>108.3289</v>
      </c>
      <c r="K992" s="10">
        <f>108.3268 * CHOOSE(CONTROL!$C$9, $D$9, 100%, $F$9) + CHOOSE(CONTROL!$C$27, 0.0021, 0)</f>
        <v>108.3289</v>
      </c>
      <c r="L992" s="10"/>
    </row>
    <row r="993" spans="1:12" ht="15.75" x14ac:dyDescent="0.25">
      <c r="A993" s="13">
        <v>71163</v>
      </c>
      <c r="B993" s="10">
        <f>111.4449 * CHOOSE(CONTROL!$C$9, $D$9, 100%, $F$9) + CHOOSE(CONTROL!$C$27, 0.0021, 0)</f>
        <v>111.447</v>
      </c>
      <c r="C993" s="10">
        <f>111.0127 * CHOOSE(CONTROL!$C$9, $D$9, 100%, $F$9) + CHOOSE(CONTROL!$C$27, 0.0021, 0)</f>
        <v>111.01479999999999</v>
      </c>
      <c r="D993" s="10">
        <f>111.0127 * CHOOSE(CONTROL!$C$9, $D$9, 100%, $F$9) + CHOOSE(CONTROL!$C$27, 0.0021, 0)</f>
        <v>111.01479999999999</v>
      </c>
      <c r="E993" s="10">
        <f>110.876 * CHOOSE(CONTROL!$C$9, $D$9, 100%, $F$9) + CHOOSE(CONTROL!$C$27, 0.0021, 0)</f>
        <v>110.8781</v>
      </c>
      <c r="F993" s="10">
        <f>110.876 * CHOOSE(CONTROL!$C$9, $D$9, 100%, $F$9) + CHOOSE(CONTROL!$C$27, 0.0021, 0)</f>
        <v>110.8781</v>
      </c>
      <c r="G993" s="10">
        <f>111.1474 * CHOOSE(CONTROL!$C$9, $D$9, 100%, $F$9) + CHOOSE(CONTROL!$C$27, 0.0021, 0)</f>
        <v>111.1495</v>
      </c>
      <c r="H993" s="10">
        <f>111.0127 * CHOOSE(CONTROL!$C$9, $D$9, 100%, $F$9) + CHOOSE(CONTROL!$C$27, 0.0021, 0)</f>
        <v>111.01479999999999</v>
      </c>
      <c r="I993" s="10">
        <f>111.0127 * CHOOSE(CONTROL!$C$9, $D$9, 100%, $F$9) + CHOOSE(CONTROL!$C$27, 0.0021, 0)</f>
        <v>111.01479999999999</v>
      </c>
      <c r="J993" s="10">
        <f>111.0127 * CHOOSE(CONTROL!$C$9, $D$9, 100%, $F$9) + CHOOSE(CONTROL!$C$27, 0.0021, 0)</f>
        <v>111.01479999999999</v>
      </c>
      <c r="K993" s="10">
        <f>111.0127 * CHOOSE(CONTROL!$C$9, $D$9, 100%, $F$9) + CHOOSE(CONTROL!$C$27, 0.0021, 0)</f>
        <v>111.01479999999999</v>
      </c>
      <c r="L993" s="10"/>
    </row>
    <row r="994" spans="1:12" ht="15.75" x14ac:dyDescent="0.25">
      <c r="A994" s="13">
        <v>71193</v>
      </c>
      <c r="B994" s="10">
        <f>111.697 * CHOOSE(CONTROL!$C$9, $D$9, 100%, $F$9) + CHOOSE(CONTROL!$C$27, 0.0021, 0)</f>
        <v>111.6991</v>
      </c>
      <c r="C994" s="10">
        <f>111.2648 * CHOOSE(CONTROL!$C$9, $D$9, 100%, $F$9) + CHOOSE(CONTROL!$C$27, 0.0021, 0)</f>
        <v>111.26689999999999</v>
      </c>
      <c r="D994" s="10">
        <f>111.2648 * CHOOSE(CONTROL!$C$9, $D$9, 100%, $F$9) + CHOOSE(CONTROL!$C$27, 0.0021, 0)</f>
        <v>111.26689999999999</v>
      </c>
      <c r="E994" s="10">
        <f>111.1281 * CHOOSE(CONTROL!$C$9, $D$9, 100%, $F$9) + CHOOSE(CONTROL!$C$27, 0.0021, 0)</f>
        <v>111.1302</v>
      </c>
      <c r="F994" s="10">
        <f>111.1281 * CHOOSE(CONTROL!$C$9, $D$9, 100%, $F$9) + CHOOSE(CONTROL!$C$27, 0.0021, 0)</f>
        <v>111.1302</v>
      </c>
      <c r="G994" s="10">
        <f>111.3995 * CHOOSE(CONTROL!$C$9, $D$9, 100%, $F$9) + CHOOSE(CONTROL!$C$27, 0.0021, 0)</f>
        <v>111.4016</v>
      </c>
      <c r="H994" s="10">
        <f>111.2648 * CHOOSE(CONTROL!$C$9, $D$9, 100%, $F$9) + CHOOSE(CONTROL!$C$27, 0.0021, 0)</f>
        <v>111.26689999999999</v>
      </c>
      <c r="I994" s="10">
        <f>111.2648 * CHOOSE(CONTROL!$C$9, $D$9, 100%, $F$9) + CHOOSE(CONTROL!$C$27, 0.0021, 0)</f>
        <v>111.26689999999999</v>
      </c>
      <c r="J994" s="10">
        <f>111.2648 * CHOOSE(CONTROL!$C$9, $D$9, 100%, $F$9) + CHOOSE(CONTROL!$C$27, 0.0021, 0)</f>
        <v>111.26689999999999</v>
      </c>
      <c r="K994" s="10">
        <f>111.2648 * CHOOSE(CONTROL!$C$9, $D$9, 100%, $F$9) + CHOOSE(CONTROL!$C$27, 0.0021, 0)</f>
        <v>111.26689999999999</v>
      </c>
      <c r="L994" s="10"/>
    </row>
    <row r="995" spans="1:12" ht="15.75" x14ac:dyDescent="0.25">
      <c r="A995" s="13">
        <v>71224</v>
      </c>
      <c r="B995" s="10">
        <f>109.5519 * CHOOSE(CONTROL!$C$9, $D$9, 100%, $F$9) + CHOOSE(CONTROL!$C$27, 0.0021, 0)</f>
        <v>109.554</v>
      </c>
      <c r="C995" s="10">
        <f>109.1196 * CHOOSE(CONTROL!$C$9, $D$9, 100%, $F$9) + CHOOSE(CONTROL!$C$27, 0.0021, 0)</f>
        <v>109.1217</v>
      </c>
      <c r="D995" s="10">
        <f>109.1196 * CHOOSE(CONTROL!$C$9, $D$9, 100%, $F$9) + CHOOSE(CONTROL!$C$27, 0.0021, 0)</f>
        <v>109.1217</v>
      </c>
      <c r="E995" s="10">
        <f>108.983 * CHOOSE(CONTROL!$C$9, $D$9, 100%, $F$9) + CHOOSE(CONTROL!$C$27, 0.0021, 0)</f>
        <v>108.9851</v>
      </c>
      <c r="F995" s="10">
        <f>108.983 * CHOOSE(CONTROL!$C$9, $D$9, 100%, $F$9) + CHOOSE(CONTROL!$C$27, 0.0021, 0)</f>
        <v>108.9851</v>
      </c>
      <c r="G995" s="10">
        <f>109.2543 * CHOOSE(CONTROL!$C$9, $D$9, 100%, $F$9) + CHOOSE(CONTROL!$C$27, 0.0021, 0)</f>
        <v>109.2564</v>
      </c>
      <c r="H995" s="10">
        <f>109.1196 * CHOOSE(CONTROL!$C$9, $D$9, 100%, $F$9) + CHOOSE(CONTROL!$C$27, 0.0021, 0)</f>
        <v>109.1217</v>
      </c>
      <c r="I995" s="10">
        <f>109.1196 * CHOOSE(CONTROL!$C$9, $D$9, 100%, $F$9) + CHOOSE(CONTROL!$C$27, 0.0021, 0)</f>
        <v>109.1217</v>
      </c>
      <c r="J995" s="10">
        <f>109.1196 * CHOOSE(CONTROL!$C$9, $D$9, 100%, $F$9) + CHOOSE(CONTROL!$C$27, 0.0021, 0)</f>
        <v>109.1217</v>
      </c>
      <c r="K995" s="10">
        <f>109.1196 * CHOOSE(CONTROL!$C$9, $D$9, 100%, $F$9) + CHOOSE(CONTROL!$C$27, 0.0021, 0)</f>
        <v>109.1217</v>
      </c>
      <c r="L995" s="10"/>
    </row>
    <row r="996" spans="1:12" ht="15.75" x14ac:dyDescent="0.25">
      <c r="A996" s="13">
        <v>71255</v>
      </c>
      <c r="B996" s="10">
        <f>108.1465 * CHOOSE(CONTROL!$C$9, $D$9, 100%, $F$9) + CHOOSE(CONTROL!$C$27, 0.0021, 0)</f>
        <v>108.1486</v>
      </c>
      <c r="C996" s="10">
        <f>107.7143 * CHOOSE(CONTROL!$C$9, $D$9, 100%, $F$9) + CHOOSE(CONTROL!$C$27, 0.0021, 0)</f>
        <v>107.71639999999999</v>
      </c>
      <c r="D996" s="10">
        <f>107.7143 * CHOOSE(CONTROL!$C$9, $D$9, 100%, $F$9) + CHOOSE(CONTROL!$C$27, 0.0021, 0)</f>
        <v>107.71639999999999</v>
      </c>
      <c r="E996" s="10">
        <f>107.5776 * CHOOSE(CONTROL!$C$9, $D$9, 100%, $F$9) + CHOOSE(CONTROL!$C$27, 0.0021, 0)</f>
        <v>107.5797</v>
      </c>
      <c r="F996" s="10">
        <f>107.5776 * CHOOSE(CONTROL!$C$9, $D$9, 100%, $F$9) + CHOOSE(CONTROL!$C$27, 0.0021, 0)</f>
        <v>107.5797</v>
      </c>
      <c r="G996" s="10">
        <f>107.849 * CHOOSE(CONTROL!$C$9, $D$9, 100%, $F$9) + CHOOSE(CONTROL!$C$27, 0.0021, 0)</f>
        <v>107.8511</v>
      </c>
      <c r="H996" s="10">
        <f>107.7143 * CHOOSE(CONTROL!$C$9, $D$9, 100%, $F$9) + CHOOSE(CONTROL!$C$27, 0.0021, 0)</f>
        <v>107.71639999999999</v>
      </c>
      <c r="I996" s="10">
        <f>107.7143 * CHOOSE(CONTROL!$C$9, $D$9, 100%, $F$9) + CHOOSE(CONTROL!$C$27, 0.0021, 0)</f>
        <v>107.71639999999999</v>
      </c>
      <c r="J996" s="10">
        <f>107.7143 * CHOOSE(CONTROL!$C$9, $D$9, 100%, $F$9) + CHOOSE(CONTROL!$C$27, 0.0021, 0)</f>
        <v>107.71639999999999</v>
      </c>
      <c r="K996" s="10">
        <f>107.7143 * CHOOSE(CONTROL!$C$9, $D$9, 100%, $F$9) + CHOOSE(CONTROL!$C$27, 0.0021, 0)</f>
        <v>107.71639999999999</v>
      </c>
      <c r="L996" s="10"/>
    </row>
    <row r="997" spans="1:12" ht="15.75" x14ac:dyDescent="0.25">
      <c r="A997" s="13">
        <v>71283</v>
      </c>
      <c r="B997" s="10">
        <f>105.1524 * CHOOSE(CONTROL!$C$9, $D$9, 100%, $F$9) + CHOOSE(CONTROL!$C$27, 0.0021, 0)</f>
        <v>105.1545</v>
      </c>
      <c r="C997" s="10">
        <f>104.7202 * CHOOSE(CONTROL!$C$9, $D$9, 100%, $F$9) + CHOOSE(CONTROL!$C$27, 0.0021, 0)</f>
        <v>104.7223</v>
      </c>
      <c r="D997" s="10">
        <f>104.7202 * CHOOSE(CONTROL!$C$9, $D$9, 100%, $F$9) + CHOOSE(CONTROL!$C$27, 0.0021, 0)</f>
        <v>104.7223</v>
      </c>
      <c r="E997" s="10">
        <f>104.5835 * CHOOSE(CONTROL!$C$9, $D$9, 100%, $F$9) + CHOOSE(CONTROL!$C$27, 0.0021, 0)</f>
        <v>104.5856</v>
      </c>
      <c r="F997" s="10">
        <f>104.5835 * CHOOSE(CONTROL!$C$9, $D$9, 100%, $F$9) + CHOOSE(CONTROL!$C$27, 0.0021, 0)</f>
        <v>104.5856</v>
      </c>
      <c r="G997" s="10">
        <f>104.8549 * CHOOSE(CONTROL!$C$9, $D$9, 100%, $F$9) + CHOOSE(CONTROL!$C$27, 0.0021, 0)</f>
        <v>104.857</v>
      </c>
      <c r="H997" s="10">
        <f>104.7202 * CHOOSE(CONTROL!$C$9, $D$9, 100%, $F$9) + CHOOSE(CONTROL!$C$27, 0.0021, 0)</f>
        <v>104.7223</v>
      </c>
      <c r="I997" s="10">
        <f>104.7202 * CHOOSE(CONTROL!$C$9, $D$9, 100%, $F$9) + CHOOSE(CONTROL!$C$27, 0.0021, 0)</f>
        <v>104.7223</v>
      </c>
      <c r="J997" s="10">
        <f>104.7202 * CHOOSE(CONTROL!$C$9, $D$9, 100%, $F$9) + CHOOSE(CONTROL!$C$27, 0.0021, 0)</f>
        <v>104.7223</v>
      </c>
      <c r="K997" s="10">
        <f>104.7202 * CHOOSE(CONTROL!$C$9, $D$9, 100%, $F$9) + CHOOSE(CONTROL!$C$27, 0.0021, 0)</f>
        <v>104.7223</v>
      </c>
      <c r="L997" s="10"/>
    </row>
    <row r="998" spans="1:12" ht="15.75" x14ac:dyDescent="0.25">
      <c r="A998" s="13">
        <v>71314</v>
      </c>
      <c r="B998" s="10">
        <f>103.9164 * CHOOSE(CONTROL!$C$9, $D$9, 100%, $F$9) + CHOOSE(CONTROL!$C$27, 0.0021, 0)</f>
        <v>103.91849999999999</v>
      </c>
      <c r="C998" s="10">
        <f>103.4842 * CHOOSE(CONTROL!$C$9, $D$9, 100%, $F$9) + CHOOSE(CONTROL!$C$27, 0.0021, 0)</f>
        <v>103.4863</v>
      </c>
      <c r="D998" s="10">
        <f>103.4842 * CHOOSE(CONTROL!$C$9, $D$9, 100%, $F$9) + CHOOSE(CONTROL!$C$27, 0.0021, 0)</f>
        <v>103.4863</v>
      </c>
      <c r="E998" s="10">
        <f>103.3475 * CHOOSE(CONTROL!$C$9, $D$9, 100%, $F$9) + CHOOSE(CONTROL!$C$27, 0.0021, 0)</f>
        <v>103.3496</v>
      </c>
      <c r="F998" s="10">
        <f>103.3475 * CHOOSE(CONTROL!$C$9, $D$9, 100%, $F$9) + CHOOSE(CONTROL!$C$27, 0.0021, 0)</f>
        <v>103.3496</v>
      </c>
      <c r="G998" s="10">
        <f>103.6189 * CHOOSE(CONTROL!$C$9, $D$9, 100%, $F$9) + CHOOSE(CONTROL!$C$27, 0.0021, 0)</f>
        <v>103.621</v>
      </c>
      <c r="H998" s="10">
        <f>103.4842 * CHOOSE(CONTROL!$C$9, $D$9, 100%, $F$9) + CHOOSE(CONTROL!$C$27, 0.0021, 0)</f>
        <v>103.4863</v>
      </c>
      <c r="I998" s="10">
        <f>103.4842 * CHOOSE(CONTROL!$C$9, $D$9, 100%, $F$9) + CHOOSE(CONTROL!$C$27, 0.0021, 0)</f>
        <v>103.4863</v>
      </c>
      <c r="J998" s="10">
        <f>103.4842 * CHOOSE(CONTROL!$C$9, $D$9, 100%, $F$9) + CHOOSE(CONTROL!$C$27, 0.0021, 0)</f>
        <v>103.4863</v>
      </c>
      <c r="K998" s="10">
        <f>103.4842 * CHOOSE(CONTROL!$C$9, $D$9, 100%, $F$9) + CHOOSE(CONTROL!$C$27, 0.0021, 0)</f>
        <v>103.4863</v>
      </c>
      <c r="L998" s="10"/>
    </row>
    <row r="999" spans="1:12" ht="15.75" x14ac:dyDescent="0.25">
      <c r="A999" s="13">
        <v>71344</v>
      </c>
      <c r="B999" s="10">
        <f>102.4407 * CHOOSE(CONTROL!$C$9, $D$9, 100%, $F$9) + CHOOSE(CONTROL!$C$27, 0.0021, 0)</f>
        <v>102.44280000000001</v>
      </c>
      <c r="C999" s="10">
        <f>102.0084 * CHOOSE(CONTROL!$C$9, $D$9, 100%, $F$9) + CHOOSE(CONTROL!$C$27, 0.0021, 0)</f>
        <v>102.01049999999999</v>
      </c>
      <c r="D999" s="10">
        <f>102.0084 * CHOOSE(CONTROL!$C$9, $D$9, 100%, $F$9) + CHOOSE(CONTROL!$C$27, 0.0021, 0)</f>
        <v>102.01049999999999</v>
      </c>
      <c r="E999" s="10">
        <f>101.8718 * CHOOSE(CONTROL!$C$9, $D$9, 100%, $F$9) + CHOOSE(CONTROL!$C$27, 0.0021, 0)</f>
        <v>101.87389999999999</v>
      </c>
      <c r="F999" s="10">
        <f>101.8718 * CHOOSE(CONTROL!$C$9, $D$9, 100%, $F$9) + CHOOSE(CONTROL!$C$27, 0.0021, 0)</f>
        <v>101.87389999999999</v>
      </c>
      <c r="G999" s="10">
        <f>102.1431 * CHOOSE(CONTROL!$C$9, $D$9, 100%, $F$9) + CHOOSE(CONTROL!$C$27, 0.0021, 0)</f>
        <v>102.1452</v>
      </c>
      <c r="H999" s="10">
        <f>102.0084 * CHOOSE(CONTROL!$C$9, $D$9, 100%, $F$9) + CHOOSE(CONTROL!$C$27, 0.0021, 0)</f>
        <v>102.01049999999999</v>
      </c>
      <c r="I999" s="10">
        <f>102.0084 * CHOOSE(CONTROL!$C$9, $D$9, 100%, $F$9) + CHOOSE(CONTROL!$C$27, 0.0021, 0)</f>
        <v>102.01049999999999</v>
      </c>
      <c r="J999" s="10">
        <f>102.0084 * CHOOSE(CONTROL!$C$9, $D$9, 100%, $F$9) + CHOOSE(CONTROL!$C$27, 0.0021, 0)</f>
        <v>102.01049999999999</v>
      </c>
      <c r="K999" s="10">
        <f>102.0084 * CHOOSE(CONTROL!$C$9, $D$9, 100%, $F$9) + CHOOSE(CONTROL!$C$27, 0.0021, 0)</f>
        <v>102.01049999999999</v>
      </c>
      <c r="L999" s="10"/>
    </row>
    <row r="1000" spans="1:12" ht="15.75" x14ac:dyDescent="0.25">
      <c r="A1000" s="13">
        <v>71375</v>
      </c>
      <c r="B1000" s="10">
        <f>104.5438 * CHOOSE(CONTROL!$C$9, $D$9, 100%, $F$9) + CHOOSE(CONTROL!$C$27, 0.0021, 0)</f>
        <v>104.5459</v>
      </c>
      <c r="C1000" s="10">
        <f>104.1116 * CHOOSE(CONTROL!$C$9, $D$9, 100%, $F$9) + CHOOSE(CONTROL!$C$27, 0.0021, 0)</f>
        <v>104.11369999999999</v>
      </c>
      <c r="D1000" s="10">
        <f>104.1116 * CHOOSE(CONTROL!$C$9, $D$9, 100%, $F$9) + CHOOSE(CONTROL!$C$27, 0.0021, 0)</f>
        <v>104.11369999999999</v>
      </c>
      <c r="E1000" s="10">
        <f>103.9749 * CHOOSE(CONTROL!$C$9, $D$9, 100%, $F$9) + CHOOSE(CONTROL!$C$27, 0.0021, 0)</f>
        <v>103.977</v>
      </c>
      <c r="F1000" s="10">
        <f>103.9749 * CHOOSE(CONTROL!$C$9, $D$9, 100%, $F$9) + CHOOSE(CONTROL!$C$27, 0.0021, 0)</f>
        <v>103.977</v>
      </c>
      <c r="G1000" s="10">
        <f>104.2463 * CHOOSE(CONTROL!$C$9, $D$9, 100%, $F$9) + CHOOSE(CONTROL!$C$27, 0.0021, 0)</f>
        <v>104.2484</v>
      </c>
      <c r="H1000" s="10">
        <f>104.1116 * CHOOSE(CONTROL!$C$9, $D$9, 100%, $F$9) + CHOOSE(CONTROL!$C$27, 0.0021, 0)</f>
        <v>104.11369999999999</v>
      </c>
      <c r="I1000" s="10">
        <f>104.1116 * CHOOSE(CONTROL!$C$9, $D$9, 100%, $F$9) + CHOOSE(CONTROL!$C$27, 0.0021, 0)</f>
        <v>104.11369999999999</v>
      </c>
      <c r="J1000" s="10">
        <f>104.1116 * CHOOSE(CONTROL!$C$9, $D$9, 100%, $F$9) + CHOOSE(CONTROL!$C$27, 0.0021, 0)</f>
        <v>104.11369999999999</v>
      </c>
      <c r="K1000" s="10">
        <f>104.1116 * CHOOSE(CONTROL!$C$9, $D$9, 100%, $F$9) + CHOOSE(CONTROL!$C$27, 0.0021, 0)</f>
        <v>104.11369999999999</v>
      </c>
      <c r="L1000" s="10"/>
    </row>
    <row r="1001" spans="1:12" ht="15.75" x14ac:dyDescent="0.25">
      <c r="A1001" s="13">
        <v>71405</v>
      </c>
      <c r="B1001" s="10">
        <f>105.8035 * CHOOSE(CONTROL!$C$9, $D$9, 100%, $F$9) + CHOOSE(CONTROL!$C$27, 0.0021, 0)</f>
        <v>105.8056</v>
      </c>
      <c r="C1001" s="10">
        <f>105.3713 * CHOOSE(CONTROL!$C$9, $D$9, 100%, $F$9) + CHOOSE(CONTROL!$C$27, 0.0021, 0)</f>
        <v>105.3734</v>
      </c>
      <c r="D1001" s="10">
        <f>105.3713 * CHOOSE(CONTROL!$C$9, $D$9, 100%, $F$9) + CHOOSE(CONTROL!$C$27, 0.0021, 0)</f>
        <v>105.3734</v>
      </c>
      <c r="E1001" s="10">
        <f>105.2346 * CHOOSE(CONTROL!$C$9, $D$9, 100%, $F$9) + CHOOSE(CONTROL!$C$27, 0.0021, 0)</f>
        <v>105.2367</v>
      </c>
      <c r="F1001" s="10">
        <f>105.2346 * CHOOSE(CONTROL!$C$9, $D$9, 100%, $F$9) + CHOOSE(CONTROL!$C$27, 0.0021, 0)</f>
        <v>105.2367</v>
      </c>
      <c r="G1001" s="10">
        <f>105.506 * CHOOSE(CONTROL!$C$9, $D$9, 100%, $F$9) + CHOOSE(CONTROL!$C$27, 0.0021, 0)</f>
        <v>105.5081</v>
      </c>
      <c r="H1001" s="10">
        <f>105.3713 * CHOOSE(CONTROL!$C$9, $D$9, 100%, $F$9) + CHOOSE(CONTROL!$C$27, 0.0021, 0)</f>
        <v>105.3734</v>
      </c>
      <c r="I1001" s="10">
        <f>105.3713 * CHOOSE(CONTROL!$C$9, $D$9, 100%, $F$9) + CHOOSE(CONTROL!$C$27, 0.0021, 0)</f>
        <v>105.3734</v>
      </c>
      <c r="J1001" s="10">
        <f>105.3713 * CHOOSE(CONTROL!$C$9, $D$9, 100%, $F$9) + CHOOSE(CONTROL!$C$27, 0.0021, 0)</f>
        <v>105.3734</v>
      </c>
      <c r="K1001" s="10">
        <f>105.3713 * CHOOSE(CONTROL!$C$9, $D$9, 100%, $F$9) + CHOOSE(CONTROL!$C$27, 0.0021, 0)</f>
        <v>105.3734</v>
      </c>
      <c r="L1001" s="10"/>
    </row>
    <row r="1002" spans="1:12" ht="15.75" x14ac:dyDescent="0.25">
      <c r="A1002" s="13">
        <v>71436</v>
      </c>
      <c r="B1002" s="10">
        <f>107.8816 * CHOOSE(CONTROL!$C$9, $D$9, 100%, $F$9) + CHOOSE(CONTROL!$C$27, 0.0021, 0)</f>
        <v>107.8837</v>
      </c>
      <c r="C1002" s="10">
        <f>107.4493 * CHOOSE(CONTROL!$C$9, $D$9, 100%, $F$9) + CHOOSE(CONTROL!$C$27, 0.0021, 0)</f>
        <v>107.45139999999999</v>
      </c>
      <c r="D1002" s="10">
        <f>107.4493 * CHOOSE(CONTROL!$C$9, $D$9, 100%, $F$9) + CHOOSE(CONTROL!$C$27, 0.0021, 0)</f>
        <v>107.45139999999999</v>
      </c>
      <c r="E1002" s="10">
        <f>107.3127 * CHOOSE(CONTROL!$C$9, $D$9, 100%, $F$9) + CHOOSE(CONTROL!$C$27, 0.0021, 0)</f>
        <v>107.31480000000001</v>
      </c>
      <c r="F1002" s="10">
        <f>107.3127 * CHOOSE(CONTROL!$C$9, $D$9, 100%, $F$9) + CHOOSE(CONTROL!$C$27, 0.0021, 0)</f>
        <v>107.31480000000001</v>
      </c>
      <c r="G1002" s="10">
        <f>107.5841 * CHOOSE(CONTROL!$C$9, $D$9, 100%, $F$9) + CHOOSE(CONTROL!$C$27, 0.0021, 0)</f>
        <v>107.58620000000001</v>
      </c>
      <c r="H1002" s="10">
        <f>107.4493 * CHOOSE(CONTROL!$C$9, $D$9, 100%, $F$9) + CHOOSE(CONTROL!$C$27, 0.0021, 0)</f>
        <v>107.45139999999999</v>
      </c>
      <c r="I1002" s="10">
        <f>107.4493 * CHOOSE(CONTROL!$C$9, $D$9, 100%, $F$9) + CHOOSE(CONTROL!$C$27, 0.0021, 0)</f>
        <v>107.45139999999999</v>
      </c>
      <c r="J1002" s="10">
        <f>107.4493 * CHOOSE(CONTROL!$C$9, $D$9, 100%, $F$9) + CHOOSE(CONTROL!$C$27, 0.0021, 0)</f>
        <v>107.45139999999999</v>
      </c>
      <c r="K1002" s="10">
        <f>107.4493 * CHOOSE(CONTROL!$C$9, $D$9, 100%, $F$9) + CHOOSE(CONTROL!$C$27, 0.0021, 0)</f>
        <v>107.45139999999999</v>
      </c>
      <c r="L1002" s="10"/>
    </row>
    <row r="1003" spans="1:12" ht="15.75" x14ac:dyDescent="0.25">
      <c r="A1003" s="13">
        <v>71467</v>
      </c>
      <c r="B1003" s="10">
        <f>108.5159 * CHOOSE(CONTROL!$C$9, $D$9, 100%, $F$9) + CHOOSE(CONTROL!$C$27, 0.0021, 0)</f>
        <v>108.518</v>
      </c>
      <c r="C1003" s="10">
        <f>108.0836 * CHOOSE(CONTROL!$C$9, $D$9, 100%, $F$9) + CHOOSE(CONTROL!$C$27, 0.0021, 0)</f>
        <v>108.0857</v>
      </c>
      <c r="D1003" s="10">
        <f>108.0836 * CHOOSE(CONTROL!$C$9, $D$9, 100%, $F$9) + CHOOSE(CONTROL!$C$27, 0.0021, 0)</f>
        <v>108.0857</v>
      </c>
      <c r="E1003" s="10">
        <f>107.947 * CHOOSE(CONTROL!$C$9, $D$9, 100%, $F$9) + CHOOSE(CONTROL!$C$27, 0.0021, 0)</f>
        <v>107.9491</v>
      </c>
      <c r="F1003" s="10">
        <f>107.947 * CHOOSE(CONTROL!$C$9, $D$9, 100%, $F$9) + CHOOSE(CONTROL!$C$27, 0.0021, 0)</f>
        <v>107.9491</v>
      </c>
      <c r="G1003" s="10">
        <f>108.2183 * CHOOSE(CONTROL!$C$9, $D$9, 100%, $F$9) + CHOOSE(CONTROL!$C$27, 0.0021, 0)</f>
        <v>108.2204</v>
      </c>
      <c r="H1003" s="10">
        <f>108.0836 * CHOOSE(CONTROL!$C$9, $D$9, 100%, $F$9) + CHOOSE(CONTROL!$C$27, 0.0021, 0)</f>
        <v>108.0857</v>
      </c>
      <c r="I1003" s="10">
        <f>108.0836 * CHOOSE(CONTROL!$C$9, $D$9, 100%, $F$9) + CHOOSE(CONTROL!$C$27, 0.0021, 0)</f>
        <v>108.0857</v>
      </c>
      <c r="J1003" s="10">
        <f>108.0836 * CHOOSE(CONTROL!$C$9, $D$9, 100%, $F$9) + CHOOSE(CONTROL!$C$27, 0.0021, 0)</f>
        <v>108.0857</v>
      </c>
      <c r="K1003" s="10">
        <f>108.0836 * CHOOSE(CONTROL!$C$9, $D$9, 100%, $F$9) + CHOOSE(CONTROL!$C$27, 0.0021, 0)</f>
        <v>108.0857</v>
      </c>
      <c r="L1003" s="10"/>
    </row>
    <row r="1004" spans="1:12" ht="15.75" x14ac:dyDescent="0.25">
      <c r="A1004" s="13">
        <v>71497</v>
      </c>
      <c r="B1004" s="10">
        <f>110.6759 * CHOOSE(CONTROL!$C$9, $D$9, 100%, $F$9) + CHOOSE(CONTROL!$C$27, 0.0021, 0)</f>
        <v>110.678</v>
      </c>
      <c r="C1004" s="10">
        <f>110.2437 * CHOOSE(CONTROL!$C$9, $D$9, 100%, $F$9) + CHOOSE(CONTROL!$C$27, 0.0021, 0)</f>
        <v>110.2458</v>
      </c>
      <c r="D1004" s="10">
        <f>110.2437 * CHOOSE(CONTROL!$C$9, $D$9, 100%, $F$9) + CHOOSE(CONTROL!$C$27, 0.0021, 0)</f>
        <v>110.2458</v>
      </c>
      <c r="E1004" s="10">
        <f>110.107 * CHOOSE(CONTROL!$C$9, $D$9, 100%, $F$9) + CHOOSE(CONTROL!$C$27, 0.0021, 0)</f>
        <v>110.1091</v>
      </c>
      <c r="F1004" s="10">
        <f>110.107 * CHOOSE(CONTROL!$C$9, $D$9, 100%, $F$9) + CHOOSE(CONTROL!$C$27, 0.0021, 0)</f>
        <v>110.1091</v>
      </c>
      <c r="G1004" s="10">
        <f>110.3784 * CHOOSE(CONTROL!$C$9, $D$9, 100%, $F$9) + CHOOSE(CONTROL!$C$27, 0.0021, 0)</f>
        <v>110.3805</v>
      </c>
      <c r="H1004" s="10">
        <f>110.2437 * CHOOSE(CONTROL!$C$9, $D$9, 100%, $F$9) + CHOOSE(CONTROL!$C$27, 0.0021, 0)</f>
        <v>110.2458</v>
      </c>
      <c r="I1004" s="10">
        <f>110.2437 * CHOOSE(CONTROL!$C$9, $D$9, 100%, $F$9) + CHOOSE(CONTROL!$C$27, 0.0021, 0)</f>
        <v>110.2458</v>
      </c>
      <c r="J1004" s="10">
        <f>110.2437 * CHOOSE(CONTROL!$C$9, $D$9, 100%, $F$9) + CHOOSE(CONTROL!$C$27, 0.0021, 0)</f>
        <v>110.2458</v>
      </c>
      <c r="K1004" s="10">
        <f>110.2437 * CHOOSE(CONTROL!$C$9, $D$9, 100%, $F$9) + CHOOSE(CONTROL!$C$27, 0.0021, 0)</f>
        <v>110.2458</v>
      </c>
      <c r="L1004" s="10"/>
    </row>
    <row r="1005" spans="1:12" ht="15.75" x14ac:dyDescent="0.25">
      <c r="A1005" s="13">
        <v>71528</v>
      </c>
      <c r="B1005" s="10">
        <f>113.4102 * CHOOSE(CONTROL!$C$9, $D$9, 100%, $F$9) + CHOOSE(CONTROL!$C$27, 0.0021, 0)</f>
        <v>113.4123</v>
      </c>
      <c r="C1005" s="10">
        <f>112.9779 * CHOOSE(CONTROL!$C$9, $D$9, 100%, $F$9) + CHOOSE(CONTROL!$C$27, 0.0021, 0)</f>
        <v>112.98</v>
      </c>
      <c r="D1005" s="10">
        <f>112.9779 * CHOOSE(CONTROL!$C$9, $D$9, 100%, $F$9) + CHOOSE(CONTROL!$C$27, 0.0021, 0)</f>
        <v>112.98</v>
      </c>
      <c r="E1005" s="10">
        <f>112.8413 * CHOOSE(CONTROL!$C$9, $D$9, 100%, $F$9) + CHOOSE(CONTROL!$C$27, 0.0021, 0)</f>
        <v>112.8434</v>
      </c>
      <c r="F1005" s="10">
        <f>112.8413 * CHOOSE(CONTROL!$C$9, $D$9, 100%, $F$9) + CHOOSE(CONTROL!$C$27, 0.0021, 0)</f>
        <v>112.8434</v>
      </c>
      <c r="G1005" s="10">
        <f>113.1126 * CHOOSE(CONTROL!$C$9, $D$9, 100%, $F$9) + CHOOSE(CONTROL!$C$27, 0.0021, 0)</f>
        <v>113.1147</v>
      </c>
      <c r="H1005" s="10">
        <f>112.9779 * CHOOSE(CONTROL!$C$9, $D$9, 100%, $F$9) + CHOOSE(CONTROL!$C$27, 0.0021, 0)</f>
        <v>112.98</v>
      </c>
      <c r="I1005" s="10">
        <f>112.9779 * CHOOSE(CONTROL!$C$9, $D$9, 100%, $F$9) + CHOOSE(CONTROL!$C$27, 0.0021, 0)</f>
        <v>112.98</v>
      </c>
      <c r="J1005" s="10">
        <f>112.9779 * CHOOSE(CONTROL!$C$9, $D$9, 100%, $F$9) + CHOOSE(CONTROL!$C$27, 0.0021, 0)</f>
        <v>112.98</v>
      </c>
      <c r="K1005" s="10">
        <f>112.9779 * CHOOSE(CONTROL!$C$9, $D$9, 100%, $F$9) + CHOOSE(CONTROL!$C$27, 0.0021, 0)</f>
        <v>112.98</v>
      </c>
      <c r="L1005" s="10"/>
    </row>
    <row r="1006" spans="1:12" ht="15.75" x14ac:dyDescent="0.25">
      <c r="A1006" s="13">
        <v>71558</v>
      </c>
      <c r="B1006" s="10">
        <f>113.6669 * CHOOSE(CONTROL!$C$9, $D$9, 100%, $F$9) + CHOOSE(CONTROL!$C$27, 0.0021, 0)</f>
        <v>113.669</v>
      </c>
      <c r="C1006" s="10">
        <f>113.2346 * CHOOSE(CONTROL!$C$9, $D$9, 100%, $F$9) + CHOOSE(CONTROL!$C$27, 0.0021, 0)</f>
        <v>113.2367</v>
      </c>
      <c r="D1006" s="10">
        <f>113.2346 * CHOOSE(CONTROL!$C$9, $D$9, 100%, $F$9) + CHOOSE(CONTROL!$C$27, 0.0021, 0)</f>
        <v>113.2367</v>
      </c>
      <c r="E1006" s="10">
        <f>113.098 * CHOOSE(CONTROL!$C$9, $D$9, 100%, $F$9) + CHOOSE(CONTROL!$C$27, 0.0021, 0)</f>
        <v>113.1001</v>
      </c>
      <c r="F1006" s="10">
        <f>113.098 * CHOOSE(CONTROL!$C$9, $D$9, 100%, $F$9) + CHOOSE(CONTROL!$C$27, 0.0021, 0)</f>
        <v>113.1001</v>
      </c>
      <c r="G1006" s="10">
        <f>113.3693 * CHOOSE(CONTROL!$C$9, $D$9, 100%, $F$9) + CHOOSE(CONTROL!$C$27, 0.0021, 0)</f>
        <v>113.37139999999999</v>
      </c>
      <c r="H1006" s="10">
        <f>113.2346 * CHOOSE(CONTROL!$C$9, $D$9, 100%, $F$9) + CHOOSE(CONTROL!$C$27, 0.0021, 0)</f>
        <v>113.2367</v>
      </c>
      <c r="I1006" s="10">
        <f>113.2346 * CHOOSE(CONTROL!$C$9, $D$9, 100%, $F$9) + CHOOSE(CONTROL!$C$27, 0.0021, 0)</f>
        <v>113.2367</v>
      </c>
      <c r="J1006" s="10">
        <f>113.2346 * CHOOSE(CONTROL!$C$9, $D$9, 100%, $F$9) + CHOOSE(CONTROL!$C$27, 0.0021, 0)</f>
        <v>113.2367</v>
      </c>
      <c r="K1006" s="10">
        <f>113.2346 * CHOOSE(CONTROL!$C$9, $D$9, 100%, $F$9) + CHOOSE(CONTROL!$C$27, 0.0021, 0)</f>
        <v>113.2367</v>
      </c>
      <c r="L1006" s="10"/>
    </row>
    <row r="1007" spans="1:12" ht="15.75" x14ac:dyDescent="0.25">
      <c r="A1007" s="13">
        <v>71589</v>
      </c>
      <c r="B1007" s="10">
        <f>111.4831 * CHOOSE(CONTROL!$C$9, $D$9, 100%, $F$9) + CHOOSE(CONTROL!$C$27, 0.0021, 0)</f>
        <v>111.48519999999999</v>
      </c>
      <c r="C1007" s="10">
        <f>111.0508 * CHOOSE(CONTROL!$C$9, $D$9, 100%, $F$9) + CHOOSE(CONTROL!$C$27, 0.0021, 0)</f>
        <v>111.05289999999999</v>
      </c>
      <c r="D1007" s="10">
        <f>111.0508 * CHOOSE(CONTROL!$C$9, $D$9, 100%, $F$9) + CHOOSE(CONTROL!$C$27, 0.0021, 0)</f>
        <v>111.05289999999999</v>
      </c>
      <c r="E1007" s="10">
        <f>110.9142 * CHOOSE(CONTROL!$C$9, $D$9, 100%, $F$9) + CHOOSE(CONTROL!$C$27, 0.0021, 0)</f>
        <v>110.91629999999999</v>
      </c>
      <c r="F1007" s="10">
        <f>110.9142 * CHOOSE(CONTROL!$C$9, $D$9, 100%, $F$9) + CHOOSE(CONTROL!$C$27, 0.0021, 0)</f>
        <v>110.91629999999999</v>
      </c>
      <c r="G1007" s="10">
        <f>111.1855 * CHOOSE(CONTROL!$C$9, $D$9, 100%, $F$9) + CHOOSE(CONTROL!$C$27, 0.0021, 0)</f>
        <v>111.1876</v>
      </c>
      <c r="H1007" s="10">
        <f>111.0508 * CHOOSE(CONTROL!$C$9, $D$9, 100%, $F$9) + CHOOSE(CONTROL!$C$27, 0.0021, 0)</f>
        <v>111.05289999999999</v>
      </c>
      <c r="I1007" s="10">
        <f>111.0508 * CHOOSE(CONTROL!$C$9, $D$9, 100%, $F$9) + CHOOSE(CONTROL!$C$27, 0.0021, 0)</f>
        <v>111.05289999999999</v>
      </c>
      <c r="J1007" s="10">
        <f>111.0508 * CHOOSE(CONTROL!$C$9, $D$9, 100%, $F$9) + CHOOSE(CONTROL!$C$27, 0.0021, 0)</f>
        <v>111.05289999999999</v>
      </c>
      <c r="K1007" s="10">
        <f>111.0508 * CHOOSE(CONTROL!$C$9, $D$9, 100%, $F$9) + CHOOSE(CONTROL!$C$27, 0.0021, 0)</f>
        <v>111.05289999999999</v>
      </c>
      <c r="L1007" s="10"/>
    </row>
    <row r="1008" spans="1:12" ht="15.75" x14ac:dyDescent="0.25">
      <c r="A1008" s="13">
        <v>71620</v>
      </c>
      <c r="B1008" s="10">
        <f>110.0524 * CHOOSE(CONTROL!$C$9, $D$9, 100%, $F$9) + CHOOSE(CONTROL!$C$27, 0.0021, 0)</f>
        <v>110.0545</v>
      </c>
      <c r="C1008" s="10">
        <f>109.6202 * CHOOSE(CONTROL!$C$9, $D$9, 100%, $F$9) + CHOOSE(CONTROL!$C$27, 0.0021, 0)</f>
        <v>109.6223</v>
      </c>
      <c r="D1008" s="10">
        <f>109.6202 * CHOOSE(CONTROL!$C$9, $D$9, 100%, $F$9) + CHOOSE(CONTROL!$C$27, 0.0021, 0)</f>
        <v>109.6223</v>
      </c>
      <c r="E1008" s="10">
        <f>109.4835 * CHOOSE(CONTROL!$C$9, $D$9, 100%, $F$9) + CHOOSE(CONTROL!$C$27, 0.0021, 0)</f>
        <v>109.48560000000001</v>
      </c>
      <c r="F1008" s="10">
        <f>109.4835 * CHOOSE(CONTROL!$C$9, $D$9, 100%, $F$9) + CHOOSE(CONTROL!$C$27, 0.0021, 0)</f>
        <v>109.48560000000001</v>
      </c>
      <c r="G1008" s="10">
        <f>109.7549 * CHOOSE(CONTROL!$C$9, $D$9, 100%, $F$9) + CHOOSE(CONTROL!$C$27, 0.0021, 0)</f>
        <v>109.75700000000001</v>
      </c>
      <c r="H1008" s="10">
        <f>109.6202 * CHOOSE(CONTROL!$C$9, $D$9, 100%, $F$9) + CHOOSE(CONTROL!$C$27, 0.0021, 0)</f>
        <v>109.6223</v>
      </c>
      <c r="I1008" s="10">
        <f>109.6202 * CHOOSE(CONTROL!$C$9, $D$9, 100%, $F$9) + CHOOSE(CONTROL!$C$27, 0.0021, 0)</f>
        <v>109.6223</v>
      </c>
      <c r="J1008" s="10">
        <f>109.6202 * CHOOSE(CONTROL!$C$9, $D$9, 100%, $F$9) + CHOOSE(CONTROL!$C$27, 0.0021, 0)</f>
        <v>109.6223</v>
      </c>
      <c r="K1008" s="10">
        <f>109.6202 * CHOOSE(CONTROL!$C$9, $D$9, 100%, $F$9) + CHOOSE(CONTROL!$C$27, 0.0021, 0)</f>
        <v>109.6223</v>
      </c>
      <c r="L1008" s="10"/>
    </row>
    <row r="1009" spans="1:12" ht="15.75" x14ac:dyDescent="0.25">
      <c r="A1009" s="13">
        <v>71649</v>
      </c>
      <c r="B1009" s="10">
        <f>107.0044 * CHOOSE(CONTROL!$C$9, $D$9, 100%, $F$9) + CHOOSE(CONTROL!$C$27, 0.0021, 0)</f>
        <v>107.0065</v>
      </c>
      <c r="C1009" s="10">
        <f>106.5721 * CHOOSE(CONTROL!$C$9, $D$9, 100%, $F$9) + CHOOSE(CONTROL!$C$27, 0.0021, 0)</f>
        <v>106.5742</v>
      </c>
      <c r="D1009" s="10">
        <f>106.5721 * CHOOSE(CONTROL!$C$9, $D$9, 100%, $F$9) + CHOOSE(CONTROL!$C$27, 0.0021, 0)</f>
        <v>106.5742</v>
      </c>
      <c r="E1009" s="10">
        <f>106.4355 * CHOOSE(CONTROL!$C$9, $D$9, 100%, $F$9) + CHOOSE(CONTROL!$C$27, 0.0021, 0)</f>
        <v>106.4376</v>
      </c>
      <c r="F1009" s="10">
        <f>106.4355 * CHOOSE(CONTROL!$C$9, $D$9, 100%, $F$9) + CHOOSE(CONTROL!$C$27, 0.0021, 0)</f>
        <v>106.4376</v>
      </c>
      <c r="G1009" s="10">
        <f>106.7069 * CHOOSE(CONTROL!$C$9, $D$9, 100%, $F$9) + CHOOSE(CONTROL!$C$27, 0.0021, 0)</f>
        <v>106.709</v>
      </c>
      <c r="H1009" s="10">
        <f>106.5721 * CHOOSE(CONTROL!$C$9, $D$9, 100%, $F$9) + CHOOSE(CONTROL!$C$27, 0.0021, 0)</f>
        <v>106.5742</v>
      </c>
      <c r="I1009" s="10">
        <f>106.5721 * CHOOSE(CONTROL!$C$9, $D$9, 100%, $F$9) + CHOOSE(CONTROL!$C$27, 0.0021, 0)</f>
        <v>106.5742</v>
      </c>
      <c r="J1009" s="10">
        <f>106.5721 * CHOOSE(CONTROL!$C$9, $D$9, 100%, $F$9) + CHOOSE(CONTROL!$C$27, 0.0021, 0)</f>
        <v>106.5742</v>
      </c>
      <c r="K1009" s="10">
        <f>106.5721 * CHOOSE(CONTROL!$C$9, $D$9, 100%, $F$9) + CHOOSE(CONTROL!$C$27, 0.0021, 0)</f>
        <v>106.5742</v>
      </c>
      <c r="L1009" s="10"/>
    </row>
    <row r="1010" spans="1:12" ht="15.75" x14ac:dyDescent="0.25">
      <c r="A1010" s="13">
        <v>71680</v>
      </c>
      <c r="B1010" s="10">
        <f>105.7462 * CHOOSE(CONTROL!$C$9, $D$9, 100%, $F$9) + CHOOSE(CONTROL!$C$27, 0.0021, 0)</f>
        <v>105.7483</v>
      </c>
      <c r="C1010" s="10">
        <f>105.3139 * CHOOSE(CONTROL!$C$9, $D$9, 100%, $F$9) + CHOOSE(CONTROL!$C$27, 0.0021, 0)</f>
        <v>105.316</v>
      </c>
      <c r="D1010" s="10">
        <f>105.3139 * CHOOSE(CONTROL!$C$9, $D$9, 100%, $F$9) + CHOOSE(CONTROL!$C$27, 0.0021, 0)</f>
        <v>105.316</v>
      </c>
      <c r="E1010" s="10">
        <f>105.1773 * CHOOSE(CONTROL!$C$9, $D$9, 100%, $F$9) + CHOOSE(CONTROL!$C$27, 0.0021, 0)</f>
        <v>105.1794</v>
      </c>
      <c r="F1010" s="10">
        <f>105.1773 * CHOOSE(CONTROL!$C$9, $D$9, 100%, $F$9) + CHOOSE(CONTROL!$C$27, 0.0021, 0)</f>
        <v>105.1794</v>
      </c>
      <c r="G1010" s="10">
        <f>105.4486 * CHOOSE(CONTROL!$C$9, $D$9, 100%, $F$9) + CHOOSE(CONTROL!$C$27, 0.0021, 0)</f>
        <v>105.4507</v>
      </c>
      <c r="H1010" s="10">
        <f>105.3139 * CHOOSE(CONTROL!$C$9, $D$9, 100%, $F$9) + CHOOSE(CONTROL!$C$27, 0.0021, 0)</f>
        <v>105.316</v>
      </c>
      <c r="I1010" s="10">
        <f>105.3139 * CHOOSE(CONTROL!$C$9, $D$9, 100%, $F$9) + CHOOSE(CONTROL!$C$27, 0.0021, 0)</f>
        <v>105.316</v>
      </c>
      <c r="J1010" s="10">
        <f>105.3139 * CHOOSE(CONTROL!$C$9, $D$9, 100%, $F$9) + CHOOSE(CONTROL!$C$27, 0.0021, 0)</f>
        <v>105.316</v>
      </c>
      <c r="K1010" s="10">
        <f>105.3139 * CHOOSE(CONTROL!$C$9, $D$9, 100%, $F$9) + CHOOSE(CONTROL!$C$27, 0.0021, 0)</f>
        <v>105.316</v>
      </c>
      <c r="L1010" s="10"/>
    </row>
    <row r="1011" spans="1:12" ht="15.75" x14ac:dyDescent="0.25">
      <c r="A1011" s="13">
        <v>71710</v>
      </c>
      <c r="B1011" s="10">
        <f>104.2438 * CHOOSE(CONTROL!$C$9, $D$9, 100%, $F$9) + CHOOSE(CONTROL!$C$27, 0.0021, 0)</f>
        <v>104.24589999999999</v>
      </c>
      <c r="C1011" s="10">
        <f>103.8116 * CHOOSE(CONTROL!$C$9, $D$9, 100%, $F$9) + CHOOSE(CONTROL!$C$27, 0.0021, 0)</f>
        <v>103.8137</v>
      </c>
      <c r="D1011" s="10">
        <f>103.8116 * CHOOSE(CONTROL!$C$9, $D$9, 100%, $F$9) + CHOOSE(CONTROL!$C$27, 0.0021, 0)</f>
        <v>103.8137</v>
      </c>
      <c r="E1011" s="10">
        <f>103.6749 * CHOOSE(CONTROL!$C$9, $D$9, 100%, $F$9) + CHOOSE(CONTROL!$C$27, 0.0021, 0)</f>
        <v>103.67699999999999</v>
      </c>
      <c r="F1011" s="10">
        <f>103.6749 * CHOOSE(CONTROL!$C$9, $D$9, 100%, $F$9) + CHOOSE(CONTROL!$C$27, 0.0021, 0)</f>
        <v>103.67699999999999</v>
      </c>
      <c r="G1011" s="10">
        <f>103.9463 * CHOOSE(CONTROL!$C$9, $D$9, 100%, $F$9) + CHOOSE(CONTROL!$C$27, 0.0021, 0)</f>
        <v>103.94839999999999</v>
      </c>
      <c r="H1011" s="10">
        <f>103.8116 * CHOOSE(CONTROL!$C$9, $D$9, 100%, $F$9) + CHOOSE(CONTROL!$C$27, 0.0021, 0)</f>
        <v>103.8137</v>
      </c>
      <c r="I1011" s="10">
        <f>103.8116 * CHOOSE(CONTROL!$C$9, $D$9, 100%, $F$9) + CHOOSE(CONTROL!$C$27, 0.0021, 0)</f>
        <v>103.8137</v>
      </c>
      <c r="J1011" s="10">
        <f>103.8116 * CHOOSE(CONTROL!$C$9, $D$9, 100%, $F$9) + CHOOSE(CONTROL!$C$27, 0.0021, 0)</f>
        <v>103.8137</v>
      </c>
      <c r="K1011" s="10">
        <f>103.8116 * CHOOSE(CONTROL!$C$9, $D$9, 100%, $F$9) + CHOOSE(CONTROL!$C$27, 0.0021, 0)</f>
        <v>103.8137</v>
      </c>
      <c r="L1011" s="10"/>
    </row>
    <row r="1012" spans="1:12" ht="15.75" x14ac:dyDescent="0.25">
      <c r="A1012" s="13">
        <v>71741</v>
      </c>
      <c r="B1012" s="10">
        <f>106.3848 * CHOOSE(CONTROL!$C$9, $D$9, 100%, $F$9) + CHOOSE(CONTROL!$C$27, 0.0021, 0)</f>
        <v>106.3869</v>
      </c>
      <c r="C1012" s="10">
        <f>105.9526 * CHOOSE(CONTROL!$C$9, $D$9, 100%, $F$9) + CHOOSE(CONTROL!$C$27, 0.0021, 0)</f>
        <v>105.9547</v>
      </c>
      <c r="D1012" s="10">
        <f>105.9526 * CHOOSE(CONTROL!$C$9, $D$9, 100%, $F$9) + CHOOSE(CONTROL!$C$27, 0.0021, 0)</f>
        <v>105.9547</v>
      </c>
      <c r="E1012" s="10">
        <f>105.8159 * CHOOSE(CONTROL!$C$9, $D$9, 100%, $F$9) + CHOOSE(CONTROL!$C$27, 0.0021, 0)</f>
        <v>105.818</v>
      </c>
      <c r="F1012" s="10">
        <f>105.8159 * CHOOSE(CONTROL!$C$9, $D$9, 100%, $F$9) + CHOOSE(CONTROL!$C$27, 0.0021, 0)</f>
        <v>105.818</v>
      </c>
      <c r="G1012" s="10">
        <f>106.0873 * CHOOSE(CONTROL!$C$9, $D$9, 100%, $F$9) + CHOOSE(CONTROL!$C$27, 0.0021, 0)</f>
        <v>106.0894</v>
      </c>
      <c r="H1012" s="10">
        <f>105.9526 * CHOOSE(CONTROL!$C$9, $D$9, 100%, $F$9) + CHOOSE(CONTROL!$C$27, 0.0021, 0)</f>
        <v>105.9547</v>
      </c>
      <c r="I1012" s="10">
        <f>105.9526 * CHOOSE(CONTROL!$C$9, $D$9, 100%, $F$9) + CHOOSE(CONTROL!$C$27, 0.0021, 0)</f>
        <v>105.9547</v>
      </c>
      <c r="J1012" s="10">
        <f>105.9526 * CHOOSE(CONTROL!$C$9, $D$9, 100%, $F$9) + CHOOSE(CONTROL!$C$27, 0.0021, 0)</f>
        <v>105.9547</v>
      </c>
      <c r="K1012" s="10">
        <f>105.9526 * CHOOSE(CONTROL!$C$9, $D$9, 100%, $F$9) + CHOOSE(CONTROL!$C$27, 0.0021, 0)</f>
        <v>105.9547</v>
      </c>
      <c r="L1012" s="10"/>
    </row>
    <row r="1013" spans="1:12" ht="15.75" x14ac:dyDescent="0.25">
      <c r="A1013" s="13">
        <v>71771</v>
      </c>
      <c r="B1013" s="10">
        <f>107.6672 * CHOOSE(CONTROL!$C$9, $D$9, 100%, $F$9) + CHOOSE(CONTROL!$C$27, 0.0021, 0)</f>
        <v>107.66929999999999</v>
      </c>
      <c r="C1013" s="10">
        <f>107.235 * CHOOSE(CONTROL!$C$9, $D$9, 100%, $F$9) + CHOOSE(CONTROL!$C$27, 0.0021, 0)</f>
        <v>107.2371</v>
      </c>
      <c r="D1013" s="10">
        <f>107.235 * CHOOSE(CONTROL!$C$9, $D$9, 100%, $F$9) + CHOOSE(CONTROL!$C$27, 0.0021, 0)</f>
        <v>107.2371</v>
      </c>
      <c r="E1013" s="10">
        <f>107.0983 * CHOOSE(CONTROL!$C$9, $D$9, 100%, $F$9) + CHOOSE(CONTROL!$C$27, 0.0021, 0)</f>
        <v>107.10039999999999</v>
      </c>
      <c r="F1013" s="10">
        <f>107.0983 * CHOOSE(CONTROL!$C$9, $D$9, 100%, $F$9) + CHOOSE(CONTROL!$C$27, 0.0021, 0)</f>
        <v>107.10039999999999</v>
      </c>
      <c r="G1013" s="10">
        <f>107.3697 * CHOOSE(CONTROL!$C$9, $D$9, 100%, $F$9) + CHOOSE(CONTROL!$C$27, 0.0021, 0)</f>
        <v>107.37179999999999</v>
      </c>
      <c r="H1013" s="10">
        <f>107.235 * CHOOSE(CONTROL!$C$9, $D$9, 100%, $F$9) + CHOOSE(CONTROL!$C$27, 0.0021, 0)</f>
        <v>107.2371</v>
      </c>
      <c r="I1013" s="10">
        <f>107.235 * CHOOSE(CONTROL!$C$9, $D$9, 100%, $F$9) + CHOOSE(CONTROL!$C$27, 0.0021, 0)</f>
        <v>107.2371</v>
      </c>
      <c r="J1013" s="10">
        <f>107.235 * CHOOSE(CONTROL!$C$9, $D$9, 100%, $F$9) + CHOOSE(CONTROL!$C$27, 0.0021, 0)</f>
        <v>107.2371</v>
      </c>
      <c r="K1013" s="10">
        <f>107.235 * CHOOSE(CONTROL!$C$9, $D$9, 100%, $F$9) + CHOOSE(CONTROL!$C$27, 0.0021, 0)</f>
        <v>107.2371</v>
      </c>
      <c r="L1013" s="10"/>
    </row>
    <row r="1014" spans="1:12" ht="15.75" x14ac:dyDescent="0.25">
      <c r="A1014" s="13">
        <v>71802</v>
      </c>
      <c r="B1014" s="10">
        <f>109.7827 * CHOOSE(CONTROL!$C$9, $D$9, 100%, $F$9) + CHOOSE(CONTROL!$C$27, 0.0021, 0)</f>
        <v>109.7848</v>
      </c>
      <c r="C1014" s="10">
        <f>109.3505 * CHOOSE(CONTROL!$C$9, $D$9, 100%, $F$9) + CHOOSE(CONTROL!$C$27, 0.0021, 0)</f>
        <v>109.3526</v>
      </c>
      <c r="D1014" s="10">
        <f>109.3505 * CHOOSE(CONTROL!$C$9, $D$9, 100%, $F$9) + CHOOSE(CONTROL!$C$27, 0.0021, 0)</f>
        <v>109.3526</v>
      </c>
      <c r="E1014" s="10">
        <f>109.2138 * CHOOSE(CONTROL!$C$9, $D$9, 100%, $F$9) + CHOOSE(CONTROL!$C$27, 0.0021, 0)</f>
        <v>109.2159</v>
      </c>
      <c r="F1014" s="10">
        <f>109.2138 * CHOOSE(CONTROL!$C$9, $D$9, 100%, $F$9) + CHOOSE(CONTROL!$C$27, 0.0021, 0)</f>
        <v>109.2159</v>
      </c>
      <c r="G1014" s="10">
        <f>109.4852 * CHOOSE(CONTROL!$C$9, $D$9, 100%, $F$9) + CHOOSE(CONTROL!$C$27, 0.0021, 0)</f>
        <v>109.4873</v>
      </c>
      <c r="H1014" s="10">
        <f>109.3505 * CHOOSE(CONTROL!$C$9, $D$9, 100%, $F$9) + CHOOSE(CONTROL!$C$27, 0.0021, 0)</f>
        <v>109.3526</v>
      </c>
      <c r="I1014" s="10">
        <f>109.3505 * CHOOSE(CONTROL!$C$9, $D$9, 100%, $F$9) + CHOOSE(CONTROL!$C$27, 0.0021, 0)</f>
        <v>109.3526</v>
      </c>
      <c r="J1014" s="10">
        <f>109.3505 * CHOOSE(CONTROL!$C$9, $D$9, 100%, $F$9) + CHOOSE(CONTROL!$C$27, 0.0021, 0)</f>
        <v>109.3526</v>
      </c>
      <c r="K1014" s="10">
        <f>109.3505 * CHOOSE(CONTROL!$C$9, $D$9, 100%, $F$9) + CHOOSE(CONTROL!$C$27, 0.0021, 0)</f>
        <v>109.3526</v>
      </c>
      <c r="L1014" s="10"/>
    </row>
    <row r="1015" spans="1:12" ht="15.75" x14ac:dyDescent="0.25">
      <c r="A1015" s="13">
        <v>71833</v>
      </c>
      <c r="B1015" s="10">
        <f>110.4284 * CHOOSE(CONTROL!$C$9, $D$9, 100%, $F$9) + CHOOSE(CONTROL!$C$27, 0.0021, 0)</f>
        <v>110.43049999999999</v>
      </c>
      <c r="C1015" s="10">
        <f>109.9962 * CHOOSE(CONTROL!$C$9, $D$9, 100%, $F$9) + CHOOSE(CONTROL!$C$27, 0.0021, 0)</f>
        <v>109.9983</v>
      </c>
      <c r="D1015" s="10">
        <f>109.9962 * CHOOSE(CONTROL!$C$9, $D$9, 100%, $F$9) + CHOOSE(CONTROL!$C$27, 0.0021, 0)</f>
        <v>109.9983</v>
      </c>
      <c r="E1015" s="10">
        <f>109.8595 * CHOOSE(CONTROL!$C$9, $D$9, 100%, $F$9) + CHOOSE(CONTROL!$C$27, 0.0021, 0)</f>
        <v>109.8616</v>
      </c>
      <c r="F1015" s="10">
        <f>109.8595 * CHOOSE(CONTROL!$C$9, $D$9, 100%, $F$9) + CHOOSE(CONTROL!$C$27, 0.0021, 0)</f>
        <v>109.8616</v>
      </c>
      <c r="G1015" s="10">
        <f>110.1309 * CHOOSE(CONTROL!$C$9, $D$9, 100%, $F$9) + CHOOSE(CONTROL!$C$27, 0.0021, 0)</f>
        <v>110.133</v>
      </c>
      <c r="H1015" s="10">
        <f>109.9962 * CHOOSE(CONTROL!$C$9, $D$9, 100%, $F$9) + CHOOSE(CONTROL!$C$27, 0.0021, 0)</f>
        <v>109.9983</v>
      </c>
      <c r="I1015" s="10">
        <f>109.9962 * CHOOSE(CONTROL!$C$9, $D$9, 100%, $F$9) + CHOOSE(CONTROL!$C$27, 0.0021, 0)</f>
        <v>109.9983</v>
      </c>
      <c r="J1015" s="10">
        <f>109.9962 * CHOOSE(CONTROL!$C$9, $D$9, 100%, $F$9) + CHOOSE(CONTROL!$C$27, 0.0021, 0)</f>
        <v>109.9983</v>
      </c>
      <c r="K1015" s="10">
        <f>109.9962 * CHOOSE(CONTROL!$C$9, $D$9, 100%, $F$9) + CHOOSE(CONTROL!$C$27, 0.0021, 0)</f>
        <v>109.9983</v>
      </c>
      <c r="L1015" s="10"/>
    </row>
    <row r="1016" spans="1:12" ht="15.75" x14ac:dyDescent="0.25">
      <c r="A1016" s="13">
        <v>71863</v>
      </c>
      <c r="B1016" s="10">
        <f>112.6274 * CHOOSE(CONTROL!$C$9, $D$9, 100%, $F$9) + CHOOSE(CONTROL!$C$27, 0.0021, 0)</f>
        <v>112.62949999999999</v>
      </c>
      <c r="C1016" s="10">
        <f>112.1951 * CHOOSE(CONTROL!$C$9, $D$9, 100%, $F$9) + CHOOSE(CONTROL!$C$27, 0.0021, 0)</f>
        <v>112.1972</v>
      </c>
      <c r="D1016" s="10">
        <f>112.1951 * CHOOSE(CONTROL!$C$9, $D$9, 100%, $F$9) + CHOOSE(CONTROL!$C$27, 0.0021, 0)</f>
        <v>112.1972</v>
      </c>
      <c r="E1016" s="10">
        <f>112.0584 * CHOOSE(CONTROL!$C$9, $D$9, 100%, $F$9) + CHOOSE(CONTROL!$C$27, 0.0021, 0)</f>
        <v>112.0605</v>
      </c>
      <c r="F1016" s="10">
        <f>112.0584 * CHOOSE(CONTROL!$C$9, $D$9, 100%, $F$9) + CHOOSE(CONTROL!$C$27, 0.0021, 0)</f>
        <v>112.0605</v>
      </c>
      <c r="G1016" s="10">
        <f>112.3298 * CHOOSE(CONTROL!$C$9, $D$9, 100%, $F$9) + CHOOSE(CONTROL!$C$27, 0.0021, 0)</f>
        <v>112.3319</v>
      </c>
      <c r="H1016" s="10">
        <f>112.1951 * CHOOSE(CONTROL!$C$9, $D$9, 100%, $F$9) + CHOOSE(CONTROL!$C$27, 0.0021, 0)</f>
        <v>112.1972</v>
      </c>
      <c r="I1016" s="10">
        <f>112.1951 * CHOOSE(CONTROL!$C$9, $D$9, 100%, $F$9) + CHOOSE(CONTROL!$C$27, 0.0021, 0)</f>
        <v>112.1972</v>
      </c>
      <c r="J1016" s="10">
        <f>112.1951 * CHOOSE(CONTROL!$C$9, $D$9, 100%, $F$9) + CHOOSE(CONTROL!$C$27, 0.0021, 0)</f>
        <v>112.1972</v>
      </c>
      <c r="K1016" s="10">
        <f>112.1951 * CHOOSE(CONTROL!$C$9, $D$9, 100%, $F$9) + CHOOSE(CONTROL!$C$27, 0.0021, 0)</f>
        <v>112.1972</v>
      </c>
      <c r="L1016" s="10"/>
    </row>
    <row r="1017" spans="1:12" ht="15.75" x14ac:dyDescent="0.25">
      <c r="A1017" s="13">
        <v>71894</v>
      </c>
      <c r="B1017" s="10">
        <f>115.4108 * CHOOSE(CONTROL!$C$9, $D$9, 100%, $F$9) + CHOOSE(CONTROL!$C$27, 0.0021, 0)</f>
        <v>115.41289999999999</v>
      </c>
      <c r="C1017" s="10">
        <f>114.9786 * CHOOSE(CONTROL!$C$9, $D$9, 100%, $F$9) + CHOOSE(CONTROL!$C$27, 0.0021, 0)</f>
        <v>114.9807</v>
      </c>
      <c r="D1017" s="10">
        <f>114.9786 * CHOOSE(CONTROL!$C$9, $D$9, 100%, $F$9) + CHOOSE(CONTROL!$C$27, 0.0021, 0)</f>
        <v>114.9807</v>
      </c>
      <c r="E1017" s="10">
        <f>114.8419 * CHOOSE(CONTROL!$C$9, $D$9, 100%, $F$9) + CHOOSE(CONTROL!$C$27, 0.0021, 0)</f>
        <v>114.84399999999999</v>
      </c>
      <c r="F1017" s="10">
        <f>114.8419 * CHOOSE(CONTROL!$C$9, $D$9, 100%, $F$9) + CHOOSE(CONTROL!$C$27, 0.0021, 0)</f>
        <v>114.84399999999999</v>
      </c>
      <c r="G1017" s="10">
        <f>115.1133 * CHOOSE(CONTROL!$C$9, $D$9, 100%, $F$9) + CHOOSE(CONTROL!$C$27, 0.0021, 0)</f>
        <v>115.11539999999999</v>
      </c>
      <c r="H1017" s="10">
        <f>114.9786 * CHOOSE(CONTROL!$C$9, $D$9, 100%, $F$9) + CHOOSE(CONTROL!$C$27, 0.0021, 0)</f>
        <v>114.9807</v>
      </c>
      <c r="I1017" s="10">
        <f>114.9786 * CHOOSE(CONTROL!$C$9, $D$9, 100%, $F$9) + CHOOSE(CONTROL!$C$27, 0.0021, 0)</f>
        <v>114.9807</v>
      </c>
      <c r="J1017" s="10">
        <f>114.9786 * CHOOSE(CONTROL!$C$9, $D$9, 100%, $F$9) + CHOOSE(CONTROL!$C$27, 0.0021, 0)</f>
        <v>114.9807</v>
      </c>
      <c r="K1017" s="10">
        <f>114.9786 * CHOOSE(CONTROL!$C$9, $D$9, 100%, $F$9) + CHOOSE(CONTROL!$C$27, 0.0021, 0)</f>
        <v>114.9807</v>
      </c>
      <c r="L1017" s="10"/>
    </row>
    <row r="1018" spans="1:12" ht="15.75" x14ac:dyDescent="0.25">
      <c r="A1018" s="13">
        <v>71924</v>
      </c>
      <c r="B1018" s="10">
        <f>115.6721 * CHOOSE(CONTROL!$C$9, $D$9, 100%, $F$9) + CHOOSE(CONTROL!$C$27, 0.0021, 0)</f>
        <v>115.6742</v>
      </c>
      <c r="C1018" s="10">
        <f>115.2399 * CHOOSE(CONTROL!$C$9, $D$9, 100%, $F$9) + CHOOSE(CONTROL!$C$27, 0.0021, 0)</f>
        <v>115.242</v>
      </c>
      <c r="D1018" s="10">
        <f>115.2399 * CHOOSE(CONTROL!$C$9, $D$9, 100%, $F$9) + CHOOSE(CONTROL!$C$27, 0.0021, 0)</f>
        <v>115.242</v>
      </c>
      <c r="E1018" s="10">
        <f>115.1032 * CHOOSE(CONTROL!$C$9, $D$9, 100%, $F$9) + CHOOSE(CONTROL!$C$27, 0.0021, 0)</f>
        <v>115.1053</v>
      </c>
      <c r="F1018" s="10">
        <f>115.1032 * CHOOSE(CONTROL!$C$9, $D$9, 100%, $F$9) + CHOOSE(CONTROL!$C$27, 0.0021, 0)</f>
        <v>115.1053</v>
      </c>
      <c r="G1018" s="10">
        <f>115.3746 * CHOOSE(CONTROL!$C$9, $D$9, 100%, $F$9) + CHOOSE(CONTROL!$C$27, 0.0021, 0)</f>
        <v>115.3767</v>
      </c>
      <c r="H1018" s="10">
        <f>115.2399 * CHOOSE(CONTROL!$C$9, $D$9, 100%, $F$9) + CHOOSE(CONTROL!$C$27, 0.0021, 0)</f>
        <v>115.242</v>
      </c>
      <c r="I1018" s="10">
        <f>115.2399 * CHOOSE(CONTROL!$C$9, $D$9, 100%, $F$9) + CHOOSE(CONTROL!$C$27, 0.0021, 0)</f>
        <v>115.242</v>
      </c>
      <c r="J1018" s="10">
        <f>115.2399 * CHOOSE(CONTROL!$C$9, $D$9, 100%, $F$9) + CHOOSE(CONTROL!$C$27, 0.0021, 0)</f>
        <v>115.242</v>
      </c>
      <c r="K1018" s="10">
        <f>115.2399 * CHOOSE(CONTROL!$C$9, $D$9, 100%, $F$9) + CHOOSE(CONTROL!$C$27, 0.0021, 0)</f>
        <v>115.242</v>
      </c>
      <c r="L1018" s="10"/>
    </row>
    <row r="1019" spans="1:12" ht="15.75" x14ac:dyDescent="0.25">
      <c r="A1019" s="13">
        <v>71955</v>
      </c>
      <c r="B1019" s="10">
        <f>113.449 * CHOOSE(CONTROL!$C$9, $D$9, 100%, $F$9) + CHOOSE(CONTROL!$C$27, 0.0021, 0)</f>
        <v>113.4511</v>
      </c>
      <c r="C1019" s="10">
        <f>113.0168 * CHOOSE(CONTROL!$C$9, $D$9, 100%, $F$9) + CHOOSE(CONTROL!$C$27, 0.0021, 0)</f>
        <v>113.0189</v>
      </c>
      <c r="D1019" s="10">
        <f>113.0168 * CHOOSE(CONTROL!$C$9, $D$9, 100%, $F$9) + CHOOSE(CONTROL!$C$27, 0.0021, 0)</f>
        <v>113.0189</v>
      </c>
      <c r="E1019" s="10">
        <f>112.8801 * CHOOSE(CONTROL!$C$9, $D$9, 100%, $F$9) + CHOOSE(CONTROL!$C$27, 0.0021, 0)</f>
        <v>112.8822</v>
      </c>
      <c r="F1019" s="10">
        <f>112.8801 * CHOOSE(CONTROL!$C$9, $D$9, 100%, $F$9) + CHOOSE(CONTROL!$C$27, 0.0021, 0)</f>
        <v>112.8822</v>
      </c>
      <c r="G1019" s="10">
        <f>113.1515 * CHOOSE(CONTROL!$C$9, $D$9, 100%, $F$9) + CHOOSE(CONTROL!$C$27, 0.0021, 0)</f>
        <v>113.1536</v>
      </c>
      <c r="H1019" s="10">
        <f>113.0168 * CHOOSE(CONTROL!$C$9, $D$9, 100%, $F$9) + CHOOSE(CONTROL!$C$27, 0.0021, 0)</f>
        <v>113.0189</v>
      </c>
      <c r="I1019" s="10">
        <f>113.0168 * CHOOSE(CONTROL!$C$9, $D$9, 100%, $F$9) + CHOOSE(CONTROL!$C$27, 0.0021, 0)</f>
        <v>113.0189</v>
      </c>
      <c r="J1019" s="10">
        <f>113.0168 * CHOOSE(CONTROL!$C$9, $D$9, 100%, $F$9) + CHOOSE(CONTROL!$C$27, 0.0021, 0)</f>
        <v>113.0189</v>
      </c>
      <c r="K1019" s="10">
        <f>113.0168 * CHOOSE(CONTROL!$C$9, $D$9, 100%, $F$9) + CHOOSE(CONTROL!$C$27, 0.0021, 0)</f>
        <v>113.0189</v>
      </c>
      <c r="L1019" s="10"/>
    </row>
    <row r="1020" spans="1:12" ht="15.75" x14ac:dyDescent="0.25">
      <c r="A1020" s="13">
        <v>71986</v>
      </c>
      <c r="B1020" s="10">
        <f>111.9926 * CHOOSE(CONTROL!$C$9, $D$9, 100%, $F$9) + CHOOSE(CONTROL!$C$27, 0.0021, 0)</f>
        <v>111.99469999999999</v>
      </c>
      <c r="C1020" s="10">
        <f>111.5604 * CHOOSE(CONTROL!$C$9, $D$9, 100%, $F$9) + CHOOSE(CONTROL!$C$27, 0.0021, 0)</f>
        <v>111.5625</v>
      </c>
      <c r="D1020" s="10">
        <f>111.5604 * CHOOSE(CONTROL!$C$9, $D$9, 100%, $F$9) + CHOOSE(CONTROL!$C$27, 0.0021, 0)</f>
        <v>111.5625</v>
      </c>
      <c r="E1020" s="10">
        <f>111.4237 * CHOOSE(CONTROL!$C$9, $D$9, 100%, $F$9) + CHOOSE(CONTROL!$C$27, 0.0021, 0)</f>
        <v>111.4258</v>
      </c>
      <c r="F1020" s="10">
        <f>111.4237 * CHOOSE(CONTROL!$C$9, $D$9, 100%, $F$9) + CHOOSE(CONTROL!$C$27, 0.0021, 0)</f>
        <v>111.4258</v>
      </c>
      <c r="G1020" s="10">
        <f>111.6951 * CHOOSE(CONTROL!$C$9, $D$9, 100%, $F$9) + CHOOSE(CONTROL!$C$27, 0.0021, 0)</f>
        <v>111.6972</v>
      </c>
      <c r="H1020" s="10">
        <f>111.5604 * CHOOSE(CONTROL!$C$9, $D$9, 100%, $F$9) + CHOOSE(CONTROL!$C$27, 0.0021, 0)</f>
        <v>111.5625</v>
      </c>
      <c r="I1020" s="10">
        <f>111.5604 * CHOOSE(CONTROL!$C$9, $D$9, 100%, $F$9) + CHOOSE(CONTROL!$C$27, 0.0021, 0)</f>
        <v>111.5625</v>
      </c>
      <c r="J1020" s="10">
        <f>111.5604 * CHOOSE(CONTROL!$C$9, $D$9, 100%, $F$9) + CHOOSE(CONTROL!$C$27, 0.0021, 0)</f>
        <v>111.5625</v>
      </c>
      <c r="K1020" s="10">
        <f>111.5604 * CHOOSE(CONTROL!$C$9, $D$9, 100%, $F$9) + CHOOSE(CONTROL!$C$27, 0.0021, 0)</f>
        <v>111.5625</v>
      </c>
      <c r="L1020" s="10"/>
    </row>
    <row r="1021" spans="1:12" ht="15.75" x14ac:dyDescent="0.25">
      <c r="A1021" s="13">
        <v>72014</v>
      </c>
      <c r="B1021" s="10">
        <f>108.8897 * CHOOSE(CONTROL!$C$9, $D$9, 100%, $F$9) + CHOOSE(CONTROL!$C$27, 0.0021, 0)</f>
        <v>108.8918</v>
      </c>
      <c r="C1021" s="10">
        <f>108.4575 * CHOOSE(CONTROL!$C$9, $D$9, 100%, $F$9) + CHOOSE(CONTROL!$C$27, 0.0021, 0)</f>
        <v>108.45959999999999</v>
      </c>
      <c r="D1021" s="10">
        <f>108.4575 * CHOOSE(CONTROL!$C$9, $D$9, 100%, $F$9) + CHOOSE(CONTROL!$C$27, 0.0021, 0)</f>
        <v>108.45959999999999</v>
      </c>
      <c r="E1021" s="10">
        <f>108.3208 * CHOOSE(CONTROL!$C$9, $D$9, 100%, $F$9) + CHOOSE(CONTROL!$C$27, 0.0021, 0)</f>
        <v>108.3229</v>
      </c>
      <c r="F1021" s="10">
        <f>108.3208 * CHOOSE(CONTROL!$C$9, $D$9, 100%, $F$9) + CHOOSE(CONTROL!$C$27, 0.0021, 0)</f>
        <v>108.3229</v>
      </c>
      <c r="G1021" s="10">
        <f>108.5922 * CHOOSE(CONTROL!$C$9, $D$9, 100%, $F$9) + CHOOSE(CONTROL!$C$27, 0.0021, 0)</f>
        <v>108.5943</v>
      </c>
      <c r="H1021" s="10">
        <f>108.4575 * CHOOSE(CONTROL!$C$9, $D$9, 100%, $F$9) + CHOOSE(CONTROL!$C$27, 0.0021, 0)</f>
        <v>108.45959999999999</v>
      </c>
      <c r="I1021" s="10">
        <f>108.4575 * CHOOSE(CONTROL!$C$9, $D$9, 100%, $F$9) + CHOOSE(CONTROL!$C$27, 0.0021, 0)</f>
        <v>108.45959999999999</v>
      </c>
      <c r="J1021" s="10">
        <f>108.4575 * CHOOSE(CONTROL!$C$9, $D$9, 100%, $F$9) + CHOOSE(CONTROL!$C$27, 0.0021, 0)</f>
        <v>108.45959999999999</v>
      </c>
      <c r="K1021" s="10">
        <f>108.4575 * CHOOSE(CONTROL!$C$9, $D$9, 100%, $F$9) + CHOOSE(CONTROL!$C$27, 0.0021, 0)</f>
        <v>108.45959999999999</v>
      </c>
      <c r="L1021" s="10"/>
    </row>
    <row r="1022" spans="1:12" ht="15.75" x14ac:dyDescent="0.25">
      <c r="A1022" s="13">
        <v>72045</v>
      </c>
      <c r="B1022" s="10">
        <f>107.6088 * CHOOSE(CONTROL!$C$9, $D$9, 100%, $F$9) + CHOOSE(CONTROL!$C$27, 0.0021, 0)</f>
        <v>107.6109</v>
      </c>
      <c r="C1022" s="10">
        <f>107.1766 * CHOOSE(CONTROL!$C$9, $D$9, 100%, $F$9) + CHOOSE(CONTROL!$C$27, 0.0021, 0)</f>
        <v>107.17869999999999</v>
      </c>
      <c r="D1022" s="10">
        <f>107.1766 * CHOOSE(CONTROL!$C$9, $D$9, 100%, $F$9) + CHOOSE(CONTROL!$C$27, 0.0021, 0)</f>
        <v>107.17869999999999</v>
      </c>
      <c r="E1022" s="10">
        <f>107.0399 * CHOOSE(CONTROL!$C$9, $D$9, 100%, $F$9) + CHOOSE(CONTROL!$C$27, 0.0021, 0)</f>
        <v>107.042</v>
      </c>
      <c r="F1022" s="10">
        <f>107.0399 * CHOOSE(CONTROL!$C$9, $D$9, 100%, $F$9) + CHOOSE(CONTROL!$C$27, 0.0021, 0)</f>
        <v>107.042</v>
      </c>
      <c r="G1022" s="10">
        <f>107.3113 * CHOOSE(CONTROL!$C$9, $D$9, 100%, $F$9) + CHOOSE(CONTROL!$C$27, 0.0021, 0)</f>
        <v>107.3134</v>
      </c>
      <c r="H1022" s="10">
        <f>107.1766 * CHOOSE(CONTROL!$C$9, $D$9, 100%, $F$9) + CHOOSE(CONTROL!$C$27, 0.0021, 0)</f>
        <v>107.17869999999999</v>
      </c>
      <c r="I1022" s="10">
        <f>107.1766 * CHOOSE(CONTROL!$C$9, $D$9, 100%, $F$9) + CHOOSE(CONTROL!$C$27, 0.0021, 0)</f>
        <v>107.17869999999999</v>
      </c>
      <c r="J1022" s="10">
        <f>107.1766 * CHOOSE(CONTROL!$C$9, $D$9, 100%, $F$9) + CHOOSE(CONTROL!$C$27, 0.0021, 0)</f>
        <v>107.17869999999999</v>
      </c>
      <c r="K1022" s="10">
        <f>107.1766 * CHOOSE(CONTROL!$C$9, $D$9, 100%, $F$9) + CHOOSE(CONTROL!$C$27, 0.0021, 0)</f>
        <v>107.17869999999999</v>
      </c>
      <c r="L1022" s="10"/>
    </row>
    <row r="1023" spans="1:12" ht="15.75" x14ac:dyDescent="0.25">
      <c r="A1023" s="13">
        <v>72075</v>
      </c>
      <c r="B1023" s="10">
        <f>106.0794 * CHOOSE(CONTROL!$C$9, $D$9, 100%, $F$9) + CHOOSE(CONTROL!$C$27, 0.0021, 0)</f>
        <v>106.08150000000001</v>
      </c>
      <c r="C1023" s="10">
        <f>105.6472 * CHOOSE(CONTROL!$C$9, $D$9, 100%, $F$9) + CHOOSE(CONTROL!$C$27, 0.0021, 0)</f>
        <v>105.6493</v>
      </c>
      <c r="D1023" s="10">
        <f>105.6472 * CHOOSE(CONTROL!$C$9, $D$9, 100%, $F$9) + CHOOSE(CONTROL!$C$27, 0.0021, 0)</f>
        <v>105.6493</v>
      </c>
      <c r="E1023" s="10">
        <f>105.5105 * CHOOSE(CONTROL!$C$9, $D$9, 100%, $F$9) + CHOOSE(CONTROL!$C$27, 0.0021, 0)</f>
        <v>105.51259999999999</v>
      </c>
      <c r="F1023" s="10">
        <f>105.5105 * CHOOSE(CONTROL!$C$9, $D$9, 100%, $F$9) + CHOOSE(CONTROL!$C$27, 0.0021, 0)</f>
        <v>105.51259999999999</v>
      </c>
      <c r="G1023" s="10">
        <f>105.7819 * CHOOSE(CONTROL!$C$9, $D$9, 100%, $F$9) + CHOOSE(CONTROL!$C$27, 0.0021, 0)</f>
        <v>105.78399999999999</v>
      </c>
      <c r="H1023" s="10">
        <f>105.6472 * CHOOSE(CONTROL!$C$9, $D$9, 100%, $F$9) + CHOOSE(CONTROL!$C$27, 0.0021, 0)</f>
        <v>105.6493</v>
      </c>
      <c r="I1023" s="10">
        <f>105.6472 * CHOOSE(CONTROL!$C$9, $D$9, 100%, $F$9) + CHOOSE(CONTROL!$C$27, 0.0021, 0)</f>
        <v>105.6493</v>
      </c>
      <c r="J1023" s="10">
        <f>105.6472 * CHOOSE(CONTROL!$C$9, $D$9, 100%, $F$9) + CHOOSE(CONTROL!$C$27, 0.0021, 0)</f>
        <v>105.6493</v>
      </c>
      <c r="K1023" s="10">
        <f>105.6472 * CHOOSE(CONTROL!$C$9, $D$9, 100%, $F$9) + CHOOSE(CONTROL!$C$27, 0.0021, 0)</f>
        <v>105.6493</v>
      </c>
      <c r="L1023" s="10"/>
    </row>
    <row r="1024" spans="1:12" ht="15.75" x14ac:dyDescent="0.25">
      <c r="A1024" s="13">
        <v>72106</v>
      </c>
      <c r="B1024" s="10">
        <f>108.259 * CHOOSE(CONTROL!$C$9, $D$9, 100%, $F$9) + CHOOSE(CONTROL!$C$27, 0.0021, 0)</f>
        <v>108.2611</v>
      </c>
      <c r="C1024" s="10">
        <f>107.8268 * CHOOSE(CONTROL!$C$9, $D$9, 100%, $F$9) + CHOOSE(CONTROL!$C$27, 0.0021, 0)</f>
        <v>107.8289</v>
      </c>
      <c r="D1024" s="10">
        <f>107.8268 * CHOOSE(CONTROL!$C$9, $D$9, 100%, $F$9) + CHOOSE(CONTROL!$C$27, 0.0021, 0)</f>
        <v>107.8289</v>
      </c>
      <c r="E1024" s="10">
        <f>107.6901 * CHOOSE(CONTROL!$C$9, $D$9, 100%, $F$9) + CHOOSE(CONTROL!$C$27, 0.0021, 0)</f>
        <v>107.6922</v>
      </c>
      <c r="F1024" s="10">
        <f>107.6901 * CHOOSE(CONTROL!$C$9, $D$9, 100%, $F$9) + CHOOSE(CONTROL!$C$27, 0.0021, 0)</f>
        <v>107.6922</v>
      </c>
      <c r="G1024" s="10">
        <f>107.9615 * CHOOSE(CONTROL!$C$9, $D$9, 100%, $F$9) + CHOOSE(CONTROL!$C$27, 0.0021, 0)</f>
        <v>107.9636</v>
      </c>
      <c r="H1024" s="10">
        <f>107.8268 * CHOOSE(CONTROL!$C$9, $D$9, 100%, $F$9) + CHOOSE(CONTROL!$C$27, 0.0021, 0)</f>
        <v>107.8289</v>
      </c>
      <c r="I1024" s="10">
        <f>107.8268 * CHOOSE(CONTROL!$C$9, $D$9, 100%, $F$9) + CHOOSE(CONTROL!$C$27, 0.0021, 0)</f>
        <v>107.8289</v>
      </c>
      <c r="J1024" s="10">
        <f>107.8268 * CHOOSE(CONTROL!$C$9, $D$9, 100%, $F$9) + CHOOSE(CONTROL!$C$27, 0.0021, 0)</f>
        <v>107.8289</v>
      </c>
      <c r="K1024" s="10">
        <f>107.8268 * CHOOSE(CONTROL!$C$9, $D$9, 100%, $F$9) + CHOOSE(CONTROL!$C$27, 0.0021, 0)</f>
        <v>107.8289</v>
      </c>
      <c r="L1024" s="10"/>
    </row>
    <row r="1025" spans="1:12" ht="15.75" x14ac:dyDescent="0.25">
      <c r="A1025" s="13">
        <v>72136</v>
      </c>
      <c r="B1025" s="10">
        <f>109.5645 * CHOOSE(CONTROL!$C$9, $D$9, 100%, $F$9) + CHOOSE(CONTROL!$C$27, 0.0021, 0)</f>
        <v>109.56659999999999</v>
      </c>
      <c r="C1025" s="10">
        <f>109.1322 * CHOOSE(CONTROL!$C$9, $D$9, 100%, $F$9) + CHOOSE(CONTROL!$C$27, 0.0021, 0)</f>
        <v>109.1343</v>
      </c>
      <c r="D1025" s="10">
        <f>109.1322 * CHOOSE(CONTROL!$C$9, $D$9, 100%, $F$9) + CHOOSE(CONTROL!$C$27, 0.0021, 0)</f>
        <v>109.1343</v>
      </c>
      <c r="E1025" s="10">
        <f>108.9956 * CHOOSE(CONTROL!$C$9, $D$9, 100%, $F$9) + CHOOSE(CONTROL!$C$27, 0.0021, 0)</f>
        <v>108.99769999999999</v>
      </c>
      <c r="F1025" s="10">
        <f>108.9956 * CHOOSE(CONTROL!$C$9, $D$9, 100%, $F$9) + CHOOSE(CONTROL!$C$27, 0.0021, 0)</f>
        <v>108.99769999999999</v>
      </c>
      <c r="G1025" s="10">
        <f>109.267 * CHOOSE(CONTROL!$C$9, $D$9, 100%, $F$9) + CHOOSE(CONTROL!$C$27, 0.0021, 0)</f>
        <v>109.26909999999999</v>
      </c>
      <c r="H1025" s="10">
        <f>109.1322 * CHOOSE(CONTROL!$C$9, $D$9, 100%, $F$9) + CHOOSE(CONTROL!$C$27, 0.0021, 0)</f>
        <v>109.1343</v>
      </c>
      <c r="I1025" s="10">
        <f>109.1322 * CHOOSE(CONTROL!$C$9, $D$9, 100%, $F$9) + CHOOSE(CONTROL!$C$27, 0.0021, 0)</f>
        <v>109.1343</v>
      </c>
      <c r="J1025" s="10">
        <f>109.1322 * CHOOSE(CONTROL!$C$9, $D$9, 100%, $F$9) + CHOOSE(CONTROL!$C$27, 0.0021, 0)</f>
        <v>109.1343</v>
      </c>
      <c r="K1025" s="10">
        <f>109.1322 * CHOOSE(CONTROL!$C$9, $D$9, 100%, $F$9) + CHOOSE(CONTROL!$C$27, 0.0021, 0)</f>
        <v>109.1343</v>
      </c>
      <c r="L1025" s="10"/>
    </row>
    <row r="1026" spans="1:12" ht="15.75" x14ac:dyDescent="0.25">
      <c r="A1026" s="13">
        <v>72167</v>
      </c>
      <c r="B1026" s="10">
        <f>111.718 * CHOOSE(CONTROL!$C$9, $D$9, 100%, $F$9) + CHOOSE(CONTROL!$C$27, 0.0021, 0)</f>
        <v>111.7201</v>
      </c>
      <c r="C1026" s="10">
        <f>111.2858 * CHOOSE(CONTROL!$C$9, $D$9, 100%, $F$9) + CHOOSE(CONTROL!$C$27, 0.0021, 0)</f>
        <v>111.28789999999999</v>
      </c>
      <c r="D1026" s="10">
        <f>111.2858 * CHOOSE(CONTROL!$C$9, $D$9, 100%, $F$9) + CHOOSE(CONTROL!$C$27, 0.0021, 0)</f>
        <v>111.28789999999999</v>
      </c>
      <c r="E1026" s="10">
        <f>111.1491 * CHOOSE(CONTROL!$C$9, $D$9, 100%, $F$9) + CHOOSE(CONTROL!$C$27, 0.0021, 0)</f>
        <v>111.1512</v>
      </c>
      <c r="F1026" s="10">
        <f>111.1491 * CHOOSE(CONTROL!$C$9, $D$9, 100%, $F$9) + CHOOSE(CONTROL!$C$27, 0.0021, 0)</f>
        <v>111.1512</v>
      </c>
      <c r="G1026" s="10">
        <f>111.4205 * CHOOSE(CONTROL!$C$9, $D$9, 100%, $F$9) + CHOOSE(CONTROL!$C$27, 0.0021, 0)</f>
        <v>111.4226</v>
      </c>
      <c r="H1026" s="10">
        <f>111.2858 * CHOOSE(CONTROL!$C$9, $D$9, 100%, $F$9) + CHOOSE(CONTROL!$C$27, 0.0021, 0)</f>
        <v>111.28789999999999</v>
      </c>
      <c r="I1026" s="10">
        <f>111.2858 * CHOOSE(CONTROL!$C$9, $D$9, 100%, $F$9) + CHOOSE(CONTROL!$C$27, 0.0021, 0)</f>
        <v>111.28789999999999</v>
      </c>
      <c r="J1026" s="10">
        <f>111.2858 * CHOOSE(CONTROL!$C$9, $D$9, 100%, $F$9) + CHOOSE(CONTROL!$C$27, 0.0021, 0)</f>
        <v>111.28789999999999</v>
      </c>
      <c r="K1026" s="10">
        <f>111.2858 * CHOOSE(CONTROL!$C$9, $D$9, 100%, $F$9) + CHOOSE(CONTROL!$C$27, 0.0021, 0)</f>
        <v>111.28789999999999</v>
      </c>
      <c r="L1026" s="10"/>
    </row>
    <row r="1027" spans="1:12" ht="15.75" x14ac:dyDescent="0.25">
      <c r="A1027" s="13">
        <v>72198</v>
      </c>
      <c r="B1027" s="10">
        <f>112.3754 * CHOOSE(CONTROL!$C$9, $D$9, 100%, $F$9) + CHOOSE(CONTROL!$C$27, 0.0021, 0)</f>
        <v>112.3775</v>
      </c>
      <c r="C1027" s="10">
        <f>111.9431 * CHOOSE(CONTROL!$C$9, $D$9, 100%, $F$9) + CHOOSE(CONTROL!$C$27, 0.0021, 0)</f>
        <v>111.9452</v>
      </c>
      <c r="D1027" s="10">
        <f>111.9431 * CHOOSE(CONTROL!$C$9, $D$9, 100%, $F$9) + CHOOSE(CONTROL!$C$27, 0.0021, 0)</f>
        <v>111.9452</v>
      </c>
      <c r="E1027" s="10">
        <f>111.8065 * CHOOSE(CONTROL!$C$9, $D$9, 100%, $F$9) + CHOOSE(CONTROL!$C$27, 0.0021, 0)</f>
        <v>111.8086</v>
      </c>
      <c r="F1027" s="10">
        <f>111.8065 * CHOOSE(CONTROL!$C$9, $D$9, 100%, $F$9) + CHOOSE(CONTROL!$C$27, 0.0021, 0)</f>
        <v>111.8086</v>
      </c>
      <c r="G1027" s="10">
        <f>112.0778 * CHOOSE(CONTROL!$C$9, $D$9, 100%, $F$9) + CHOOSE(CONTROL!$C$27, 0.0021, 0)</f>
        <v>112.07989999999999</v>
      </c>
      <c r="H1027" s="10">
        <f>111.9431 * CHOOSE(CONTROL!$C$9, $D$9, 100%, $F$9) + CHOOSE(CONTROL!$C$27, 0.0021, 0)</f>
        <v>111.9452</v>
      </c>
      <c r="I1027" s="10">
        <f>111.9431 * CHOOSE(CONTROL!$C$9, $D$9, 100%, $F$9) + CHOOSE(CONTROL!$C$27, 0.0021, 0)</f>
        <v>111.9452</v>
      </c>
      <c r="J1027" s="10">
        <f>111.9431 * CHOOSE(CONTROL!$C$9, $D$9, 100%, $F$9) + CHOOSE(CONTROL!$C$27, 0.0021, 0)</f>
        <v>111.9452</v>
      </c>
      <c r="K1027" s="10">
        <f>111.9431 * CHOOSE(CONTROL!$C$9, $D$9, 100%, $F$9) + CHOOSE(CONTROL!$C$27, 0.0021, 0)</f>
        <v>111.9452</v>
      </c>
      <c r="L1027" s="10"/>
    </row>
    <row r="1028" spans="1:12" ht="15.75" x14ac:dyDescent="0.25">
      <c r="A1028" s="13">
        <v>72228</v>
      </c>
      <c r="B1028" s="10">
        <f>114.6139 * CHOOSE(CONTROL!$C$9, $D$9, 100%, $F$9) + CHOOSE(CONTROL!$C$27, 0.0021, 0)</f>
        <v>114.616</v>
      </c>
      <c r="C1028" s="10">
        <f>114.1817 * CHOOSE(CONTROL!$C$9, $D$9, 100%, $F$9) + CHOOSE(CONTROL!$C$27, 0.0021, 0)</f>
        <v>114.18380000000001</v>
      </c>
      <c r="D1028" s="10">
        <f>114.1817 * CHOOSE(CONTROL!$C$9, $D$9, 100%, $F$9) + CHOOSE(CONTROL!$C$27, 0.0021, 0)</f>
        <v>114.18380000000001</v>
      </c>
      <c r="E1028" s="10">
        <f>114.045 * CHOOSE(CONTROL!$C$9, $D$9, 100%, $F$9) + CHOOSE(CONTROL!$C$27, 0.0021, 0)</f>
        <v>114.0471</v>
      </c>
      <c r="F1028" s="10">
        <f>114.045 * CHOOSE(CONTROL!$C$9, $D$9, 100%, $F$9) + CHOOSE(CONTROL!$C$27, 0.0021, 0)</f>
        <v>114.0471</v>
      </c>
      <c r="G1028" s="10">
        <f>114.3164 * CHOOSE(CONTROL!$C$9, $D$9, 100%, $F$9) + CHOOSE(CONTROL!$C$27, 0.0021, 0)</f>
        <v>114.3185</v>
      </c>
      <c r="H1028" s="10">
        <f>114.1817 * CHOOSE(CONTROL!$C$9, $D$9, 100%, $F$9) + CHOOSE(CONTROL!$C$27, 0.0021, 0)</f>
        <v>114.18380000000001</v>
      </c>
      <c r="I1028" s="10">
        <f>114.1817 * CHOOSE(CONTROL!$C$9, $D$9, 100%, $F$9) + CHOOSE(CONTROL!$C$27, 0.0021, 0)</f>
        <v>114.18380000000001</v>
      </c>
      <c r="J1028" s="10">
        <f>114.1817 * CHOOSE(CONTROL!$C$9, $D$9, 100%, $F$9) + CHOOSE(CONTROL!$C$27, 0.0021, 0)</f>
        <v>114.18380000000001</v>
      </c>
      <c r="K1028" s="10">
        <f>114.1817 * CHOOSE(CONTROL!$C$9, $D$9, 100%, $F$9) + CHOOSE(CONTROL!$C$27, 0.0021, 0)</f>
        <v>114.18380000000001</v>
      </c>
      <c r="L1028" s="10"/>
    </row>
    <row r="1029" spans="1:12" ht="15.75" x14ac:dyDescent="0.25">
      <c r="A1029" s="13">
        <v>72259</v>
      </c>
      <c r="B1029" s="10">
        <f>117.4475 * CHOOSE(CONTROL!$C$9, $D$9, 100%, $F$9) + CHOOSE(CONTROL!$C$27, 0.0021, 0)</f>
        <v>117.4496</v>
      </c>
      <c r="C1029" s="10">
        <f>117.0153 * CHOOSE(CONTROL!$C$9, $D$9, 100%, $F$9) + CHOOSE(CONTROL!$C$27, 0.0021, 0)</f>
        <v>117.01739999999999</v>
      </c>
      <c r="D1029" s="10">
        <f>117.0153 * CHOOSE(CONTROL!$C$9, $D$9, 100%, $F$9) + CHOOSE(CONTROL!$C$27, 0.0021, 0)</f>
        <v>117.01739999999999</v>
      </c>
      <c r="E1029" s="10">
        <f>116.8786 * CHOOSE(CONTROL!$C$9, $D$9, 100%, $F$9) + CHOOSE(CONTROL!$C$27, 0.0021, 0)</f>
        <v>116.8807</v>
      </c>
      <c r="F1029" s="10">
        <f>116.8786 * CHOOSE(CONTROL!$C$9, $D$9, 100%, $F$9) + CHOOSE(CONTROL!$C$27, 0.0021, 0)</f>
        <v>116.8807</v>
      </c>
      <c r="G1029" s="10">
        <f>117.15 * CHOOSE(CONTROL!$C$9, $D$9, 100%, $F$9) + CHOOSE(CONTROL!$C$27, 0.0021, 0)</f>
        <v>117.1521</v>
      </c>
      <c r="H1029" s="10">
        <f>117.0153 * CHOOSE(CONTROL!$C$9, $D$9, 100%, $F$9) + CHOOSE(CONTROL!$C$27, 0.0021, 0)</f>
        <v>117.01739999999999</v>
      </c>
      <c r="I1029" s="10">
        <f>117.0153 * CHOOSE(CONTROL!$C$9, $D$9, 100%, $F$9) + CHOOSE(CONTROL!$C$27, 0.0021, 0)</f>
        <v>117.01739999999999</v>
      </c>
      <c r="J1029" s="10">
        <f>117.0153 * CHOOSE(CONTROL!$C$9, $D$9, 100%, $F$9) + CHOOSE(CONTROL!$C$27, 0.0021, 0)</f>
        <v>117.01739999999999</v>
      </c>
      <c r="K1029" s="10">
        <f>117.0153 * CHOOSE(CONTROL!$C$9, $D$9, 100%, $F$9) + CHOOSE(CONTROL!$C$27, 0.0021, 0)</f>
        <v>117.01739999999999</v>
      </c>
      <c r="L1029" s="10"/>
    </row>
    <row r="1030" spans="1:12" ht="15.75" x14ac:dyDescent="0.25">
      <c r="A1030" s="13">
        <v>72289</v>
      </c>
      <c r="B1030" s="10">
        <f>117.7135 * CHOOSE(CONTROL!$C$9, $D$9, 100%, $F$9) + CHOOSE(CONTROL!$C$27, 0.0021, 0)</f>
        <v>117.71559999999999</v>
      </c>
      <c r="C1030" s="10">
        <f>117.2813 * CHOOSE(CONTROL!$C$9, $D$9, 100%, $F$9) + CHOOSE(CONTROL!$C$27, 0.0021, 0)</f>
        <v>117.2834</v>
      </c>
      <c r="D1030" s="10">
        <f>117.2813 * CHOOSE(CONTROL!$C$9, $D$9, 100%, $F$9) + CHOOSE(CONTROL!$C$27, 0.0021, 0)</f>
        <v>117.2834</v>
      </c>
      <c r="E1030" s="10">
        <f>117.1446 * CHOOSE(CONTROL!$C$9, $D$9, 100%, $F$9) + CHOOSE(CONTROL!$C$27, 0.0021, 0)</f>
        <v>117.1467</v>
      </c>
      <c r="F1030" s="10">
        <f>117.1446 * CHOOSE(CONTROL!$C$9, $D$9, 100%, $F$9) + CHOOSE(CONTROL!$C$27, 0.0021, 0)</f>
        <v>117.1467</v>
      </c>
      <c r="G1030" s="10">
        <f>117.416 * CHOOSE(CONTROL!$C$9, $D$9, 100%, $F$9) + CHOOSE(CONTROL!$C$27, 0.0021, 0)</f>
        <v>117.4181</v>
      </c>
      <c r="H1030" s="10">
        <f>117.2813 * CHOOSE(CONTROL!$C$9, $D$9, 100%, $F$9) + CHOOSE(CONTROL!$C$27, 0.0021, 0)</f>
        <v>117.2834</v>
      </c>
      <c r="I1030" s="10">
        <f>117.2813 * CHOOSE(CONTROL!$C$9, $D$9, 100%, $F$9) + CHOOSE(CONTROL!$C$27, 0.0021, 0)</f>
        <v>117.2834</v>
      </c>
      <c r="J1030" s="10">
        <f>117.2813 * CHOOSE(CONTROL!$C$9, $D$9, 100%, $F$9) + CHOOSE(CONTROL!$C$27, 0.0021, 0)</f>
        <v>117.2834</v>
      </c>
      <c r="K1030" s="10">
        <f>117.2813 * CHOOSE(CONTROL!$C$9, $D$9, 100%, $F$9) + CHOOSE(CONTROL!$C$27, 0.0021, 0)</f>
        <v>117.2834</v>
      </c>
      <c r="L1030" s="10"/>
    </row>
    <row r="1031" spans="1:12" ht="15.75" x14ac:dyDescent="0.25">
      <c r="A1031" s="13">
        <v>72320</v>
      </c>
      <c r="B1031" s="10">
        <f>115.4504 * CHOOSE(CONTROL!$C$9, $D$9, 100%, $F$9) + CHOOSE(CONTROL!$C$27, 0.0021, 0)</f>
        <v>115.4525</v>
      </c>
      <c r="C1031" s="10">
        <f>115.0181 * CHOOSE(CONTROL!$C$9, $D$9, 100%, $F$9) + CHOOSE(CONTROL!$C$27, 0.0021, 0)</f>
        <v>115.0202</v>
      </c>
      <c r="D1031" s="10">
        <f>115.0181 * CHOOSE(CONTROL!$C$9, $D$9, 100%, $F$9) + CHOOSE(CONTROL!$C$27, 0.0021, 0)</f>
        <v>115.0202</v>
      </c>
      <c r="E1031" s="10">
        <f>114.8815 * CHOOSE(CONTROL!$C$9, $D$9, 100%, $F$9) + CHOOSE(CONTROL!$C$27, 0.0021, 0)</f>
        <v>114.8836</v>
      </c>
      <c r="F1031" s="10">
        <f>114.8815 * CHOOSE(CONTROL!$C$9, $D$9, 100%, $F$9) + CHOOSE(CONTROL!$C$27, 0.0021, 0)</f>
        <v>114.8836</v>
      </c>
      <c r="G1031" s="10">
        <f>115.1529 * CHOOSE(CONTROL!$C$9, $D$9, 100%, $F$9) + CHOOSE(CONTROL!$C$27, 0.0021, 0)</f>
        <v>115.155</v>
      </c>
      <c r="H1031" s="10">
        <f>115.0181 * CHOOSE(CONTROL!$C$9, $D$9, 100%, $F$9) + CHOOSE(CONTROL!$C$27, 0.0021, 0)</f>
        <v>115.0202</v>
      </c>
      <c r="I1031" s="10">
        <f>115.0181 * CHOOSE(CONTROL!$C$9, $D$9, 100%, $F$9) + CHOOSE(CONTROL!$C$27, 0.0021, 0)</f>
        <v>115.0202</v>
      </c>
      <c r="J1031" s="10">
        <f>115.0181 * CHOOSE(CONTROL!$C$9, $D$9, 100%, $F$9) + CHOOSE(CONTROL!$C$27, 0.0021, 0)</f>
        <v>115.0202</v>
      </c>
      <c r="K1031" s="10">
        <f>115.0181 * CHOOSE(CONTROL!$C$9, $D$9, 100%, $F$9) + CHOOSE(CONTROL!$C$27, 0.0021, 0)</f>
        <v>115.0202</v>
      </c>
      <c r="L1031" s="10"/>
    </row>
    <row r="1032" spans="1:12" ht="15.75" x14ac:dyDescent="0.25">
      <c r="A1032" s="13">
        <v>72351</v>
      </c>
      <c r="B1032" s="10">
        <f>113.9678 * CHOOSE(CONTROL!$C$9, $D$9, 100%, $F$9) + CHOOSE(CONTROL!$C$27, 0.0021, 0)</f>
        <v>113.9699</v>
      </c>
      <c r="C1032" s="10">
        <f>113.5355 * CHOOSE(CONTROL!$C$9, $D$9, 100%, $F$9) + CHOOSE(CONTROL!$C$27, 0.0021, 0)</f>
        <v>113.5376</v>
      </c>
      <c r="D1032" s="10">
        <f>113.5355 * CHOOSE(CONTROL!$C$9, $D$9, 100%, $F$9) + CHOOSE(CONTROL!$C$27, 0.0021, 0)</f>
        <v>113.5376</v>
      </c>
      <c r="E1032" s="10">
        <f>113.3989 * CHOOSE(CONTROL!$C$9, $D$9, 100%, $F$9) + CHOOSE(CONTROL!$C$27, 0.0021, 0)</f>
        <v>113.401</v>
      </c>
      <c r="F1032" s="10">
        <f>113.3989 * CHOOSE(CONTROL!$C$9, $D$9, 100%, $F$9) + CHOOSE(CONTROL!$C$27, 0.0021, 0)</f>
        <v>113.401</v>
      </c>
      <c r="G1032" s="10">
        <f>113.6702 * CHOOSE(CONTROL!$C$9, $D$9, 100%, $F$9) + CHOOSE(CONTROL!$C$27, 0.0021, 0)</f>
        <v>113.67229999999999</v>
      </c>
      <c r="H1032" s="10">
        <f>113.5355 * CHOOSE(CONTROL!$C$9, $D$9, 100%, $F$9) + CHOOSE(CONTROL!$C$27, 0.0021, 0)</f>
        <v>113.5376</v>
      </c>
      <c r="I1032" s="10">
        <f>113.5355 * CHOOSE(CONTROL!$C$9, $D$9, 100%, $F$9) + CHOOSE(CONTROL!$C$27, 0.0021, 0)</f>
        <v>113.5376</v>
      </c>
      <c r="J1032" s="10">
        <f>113.5355 * CHOOSE(CONTROL!$C$9, $D$9, 100%, $F$9) + CHOOSE(CONTROL!$C$27, 0.0021, 0)</f>
        <v>113.5376</v>
      </c>
      <c r="K1032" s="10">
        <f>113.5355 * CHOOSE(CONTROL!$C$9, $D$9, 100%, $F$9) + CHOOSE(CONTROL!$C$27, 0.0021, 0)</f>
        <v>113.5376</v>
      </c>
      <c r="L1032" s="10"/>
    </row>
    <row r="1033" spans="1:12" ht="15.75" x14ac:dyDescent="0.25">
      <c r="A1033" s="13">
        <v>72379</v>
      </c>
      <c r="B1033" s="10">
        <f>110.809 * CHOOSE(CONTROL!$C$9, $D$9, 100%, $F$9) + CHOOSE(CONTROL!$C$27, 0.0021, 0)</f>
        <v>110.8111</v>
      </c>
      <c r="C1033" s="10">
        <f>110.3767 * CHOOSE(CONTROL!$C$9, $D$9, 100%, $F$9) + CHOOSE(CONTROL!$C$27, 0.0021, 0)</f>
        <v>110.3788</v>
      </c>
      <c r="D1033" s="10">
        <f>110.3767 * CHOOSE(CONTROL!$C$9, $D$9, 100%, $F$9) + CHOOSE(CONTROL!$C$27, 0.0021, 0)</f>
        <v>110.3788</v>
      </c>
      <c r="E1033" s="10">
        <f>110.2401 * CHOOSE(CONTROL!$C$9, $D$9, 100%, $F$9) + CHOOSE(CONTROL!$C$27, 0.0021, 0)</f>
        <v>110.2422</v>
      </c>
      <c r="F1033" s="10">
        <f>110.2401 * CHOOSE(CONTROL!$C$9, $D$9, 100%, $F$9) + CHOOSE(CONTROL!$C$27, 0.0021, 0)</f>
        <v>110.2422</v>
      </c>
      <c r="G1033" s="10">
        <f>110.5114 * CHOOSE(CONTROL!$C$9, $D$9, 100%, $F$9) + CHOOSE(CONTROL!$C$27, 0.0021, 0)</f>
        <v>110.51349999999999</v>
      </c>
      <c r="H1033" s="10">
        <f>110.3767 * CHOOSE(CONTROL!$C$9, $D$9, 100%, $F$9) + CHOOSE(CONTROL!$C$27, 0.0021, 0)</f>
        <v>110.3788</v>
      </c>
      <c r="I1033" s="10">
        <f>110.3767 * CHOOSE(CONTROL!$C$9, $D$9, 100%, $F$9) + CHOOSE(CONTROL!$C$27, 0.0021, 0)</f>
        <v>110.3788</v>
      </c>
      <c r="J1033" s="10">
        <f>110.3767 * CHOOSE(CONTROL!$C$9, $D$9, 100%, $F$9) + CHOOSE(CONTROL!$C$27, 0.0021, 0)</f>
        <v>110.3788</v>
      </c>
      <c r="K1033" s="10">
        <f>110.3767 * CHOOSE(CONTROL!$C$9, $D$9, 100%, $F$9) + CHOOSE(CONTROL!$C$27, 0.0021, 0)</f>
        <v>110.3788</v>
      </c>
      <c r="L1033" s="10"/>
    </row>
    <row r="1034" spans="1:12" ht="15.75" x14ac:dyDescent="0.25">
      <c r="A1034" s="13">
        <v>72410</v>
      </c>
      <c r="B1034" s="10">
        <f>109.505 * CHOOSE(CONTROL!$C$9, $D$9, 100%, $F$9) + CHOOSE(CONTROL!$C$27, 0.0021, 0)</f>
        <v>109.50709999999999</v>
      </c>
      <c r="C1034" s="10">
        <f>109.0728 * CHOOSE(CONTROL!$C$9, $D$9, 100%, $F$9) + CHOOSE(CONTROL!$C$27, 0.0021, 0)</f>
        <v>109.0749</v>
      </c>
      <c r="D1034" s="10">
        <f>109.0728 * CHOOSE(CONTROL!$C$9, $D$9, 100%, $F$9) + CHOOSE(CONTROL!$C$27, 0.0021, 0)</f>
        <v>109.0749</v>
      </c>
      <c r="E1034" s="10">
        <f>108.9361 * CHOOSE(CONTROL!$C$9, $D$9, 100%, $F$9) + CHOOSE(CONTROL!$C$27, 0.0021, 0)</f>
        <v>108.93819999999999</v>
      </c>
      <c r="F1034" s="10">
        <f>108.9361 * CHOOSE(CONTROL!$C$9, $D$9, 100%, $F$9) + CHOOSE(CONTROL!$C$27, 0.0021, 0)</f>
        <v>108.93819999999999</v>
      </c>
      <c r="G1034" s="10">
        <f>109.2075 * CHOOSE(CONTROL!$C$9, $D$9, 100%, $F$9) + CHOOSE(CONTROL!$C$27, 0.0021, 0)</f>
        <v>109.20959999999999</v>
      </c>
      <c r="H1034" s="10">
        <f>109.0728 * CHOOSE(CONTROL!$C$9, $D$9, 100%, $F$9) + CHOOSE(CONTROL!$C$27, 0.0021, 0)</f>
        <v>109.0749</v>
      </c>
      <c r="I1034" s="10">
        <f>109.0728 * CHOOSE(CONTROL!$C$9, $D$9, 100%, $F$9) + CHOOSE(CONTROL!$C$27, 0.0021, 0)</f>
        <v>109.0749</v>
      </c>
      <c r="J1034" s="10">
        <f>109.0728 * CHOOSE(CONTROL!$C$9, $D$9, 100%, $F$9) + CHOOSE(CONTROL!$C$27, 0.0021, 0)</f>
        <v>109.0749</v>
      </c>
      <c r="K1034" s="10">
        <f>109.0728 * CHOOSE(CONTROL!$C$9, $D$9, 100%, $F$9) + CHOOSE(CONTROL!$C$27, 0.0021, 0)</f>
        <v>109.0749</v>
      </c>
      <c r="L1034" s="10"/>
    </row>
    <row r="1035" spans="1:12" ht="15.75" x14ac:dyDescent="0.25">
      <c r="A1035" s="13">
        <v>72440</v>
      </c>
      <c r="B1035" s="10">
        <f>107.9481 * CHOOSE(CONTROL!$C$9, $D$9, 100%, $F$9) + CHOOSE(CONTROL!$C$27, 0.0021, 0)</f>
        <v>107.9502</v>
      </c>
      <c r="C1035" s="10">
        <f>107.5159 * CHOOSE(CONTROL!$C$9, $D$9, 100%, $F$9) + CHOOSE(CONTROL!$C$27, 0.0021, 0)</f>
        <v>107.518</v>
      </c>
      <c r="D1035" s="10">
        <f>107.5159 * CHOOSE(CONTROL!$C$9, $D$9, 100%, $F$9) + CHOOSE(CONTROL!$C$27, 0.0021, 0)</f>
        <v>107.518</v>
      </c>
      <c r="E1035" s="10">
        <f>107.3792 * CHOOSE(CONTROL!$C$9, $D$9, 100%, $F$9) + CHOOSE(CONTROL!$C$27, 0.0021, 0)</f>
        <v>107.3813</v>
      </c>
      <c r="F1035" s="10">
        <f>107.3792 * CHOOSE(CONTROL!$C$9, $D$9, 100%, $F$9) + CHOOSE(CONTROL!$C$27, 0.0021, 0)</f>
        <v>107.3813</v>
      </c>
      <c r="G1035" s="10">
        <f>107.6506 * CHOOSE(CONTROL!$C$9, $D$9, 100%, $F$9) + CHOOSE(CONTROL!$C$27, 0.0021, 0)</f>
        <v>107.6527</v>
      </c>
      <c r="H1035" s="10">
        <f>107.5159 * CHOOSE(CONTROL!$C$9, $D$9, 100%, $F$9) + CHOOSE(CONTROL!$C$27, 0.0021, 0)</f>
        <v>107.518</v>
      </c>
      <c r="I1035" s="10">
        <f>107.5159 * CHOOSE(CONTROL!$C$9, $D$9, 100%, $F$9) + CHOOSE(CONTROL!$C$27, 0.0021, 0)</f>
        <v>107.518</v>
      </c>
      <c r="J1035" s="10">
        <f>107.5159 * CHOOSE(CONTROL!$C$9, $D$9, 100%, $F$9) + CHOOSE(CONTROL!$C$27, 0.0021, 0)</f>
        <v>107.518</v>
      </c>
      <c r="K1035" s="10">
        <f>107.5159 * CHOOSE(CONTROL!$C$9, $D$9, 100%, $F$9) + CHOOSE(CONTROL!$C$27, 0.0021, 0)</f>
        <v>107.518</v>
      </c>
      <c r="L1035" s="10"/>
    </row>
    <row r="1036" spans="1:12" ht="15.75" x14ac:dyDescent="0.25">
      <c r="A1036" s="13">
        <v>72471</v>
      </c>
      <c r="B1036" s="10">
        <f>110.1669 * CHOOSE(CONTROL!$C$9, $D$9, 100%, $F$9) + CHOOSE(CONTROL!$C$27, 0.0021, 0)</f>
        <v>110.169</v>
      </c>
      <c r="C1036" s="10">
        <f>109.7347 * CHOOSE(CONTROL!$C$9, $D$9, 100%, $F$9) + CHOOSE(CONTROL!$C$27, 0.0021, 0)</f>
        <v>109.7368</v>
      </c>
      <c r="D1036" s="10">
        <f>109.7347 * CHOOSE(CONTROL!$C$9, $D$9, 100%, $F$9) + CHOOSE(CONTROL!$C$27, 0.0021, 0)</f>
        <v>109.7368</v>
      </c>
      <c r="E1036" s="10">
        <f>109.598 * CHOOSE(CONTROL!$C$9, $D$9, 100%, $F$9) + CHOOSE(CONTROL!$C$27, 0.0021, 0)</f>
        <v>109.6001</v>
      </c>
      <c r="F1036" s="10">
        <f>109.598 * CHOOSE(CONTROL!$C$9, $D$9, 100%, $F$9) + CHOOSE(CONTROL!$C$27, 0.0021, 0)</f>
        <v>109.6001</v>
      </c>
      <c r="G1036" s="10">
        <f>109.8694 * CHOOSE(CONTROL!$C$9, $D$9, 100%, $F$9) + CHOOSE(CONTROL!$C$27, 0.0021, 0)</f>
        <v>109.8715</v>
      </c>
      <c r="H1036" s="10">
        <f>109.7347 * CHOOSE(CONTROL!$C$9, $D$9, 100%, $F$9) + CHOOSE(CONTROL!$C$27, 0.0021, 0)</f>
        <v>109.7368</v>
      </c>
      <c r="I1036" s="10">
        <f>109.7347 * CHOOSE(CONTROL!$C$9, $D$9, 100%, $F$9) + CHOOSE(CONTROL!$C$27, 0.0021, 0)</f>
        <v>109.7368</v>
      </c>
      <c r="J1036" s="10">
        <f>109.7347 * CHOOSE(CONTROL!$C$9, $D$9, 100%, $F$9) + CHOOSE(CONTROL!$C$27, 0.0021, 0)</f>
        <v>109.7368</v>
      </c>
      <c r="K1036" s="10">
        <f>109.7347 * CHOOSE(CONTROL!$C$9, $D$9, 100%, $F$9) + CHOOSE(CONTROL!$C$27, 0.0021, 0)</f>
        <v>109.7368</v>
      </c>
      <c r="L1036" s="10"/>
    </row>
    <row r="1037" spans="1:12" ht="15.75" x14ac:dyDescent="0.25">
      <c r="A1037" s="13">
        <v>72501</v>
      </c>
      <c r="B1037" s="10">
        <f>111.4959 * CHOOSE(CONTROL!$C$9, $D$9, 100%, $F$9) + CHOOSE(CONTROL!$C$27, 0.0021, 0)</f>
        <v>111.498</v>
      </c>
      <c r="C1037" s="10">
        <f>111.0637 * CHOOSE(CONTROL!$C$9, $D$9, 100%, $F$9) + CHOOSE(CONTROL!$C$27, 0.0021, 0)</f>
        <v>111.0658</v>
      </c>
      <c r="D1037" s="10">
        <f>111.0637 * CHOOSE(CONTROL!$C$9, $D$9, 100%, $F$9) + CHOOSE(CONTROL!$C$27, 0.0021, 0)</f>
        <v>111.0658</v>
      </c>
      <c r="E1037" s="10">
        <f>110.927 * CHOOSE(CONTROL!$C$9, $D$9, 100%, $F$9) + CHOOSE(CONTROL!$C$27, 0.0021, 0)</f>
        <v>110.92910000000001</v>
      </c>
      <c r="F1037" s="10">
        <f>110.927 * CHOOSE(CONTROL!$C$9, $D$9, 100%, $F$9) + CHOOSE(CONTROL!$C$27, 0.0021, 0)</f>
        <v>110.92910000000001</v>
      </c>
      <c r="G1037" s="10">
        <f>111.1984 * CHOOSE(CONTROL!$C$9, $D$9, 100%, $F$9) + CHOOSE(CONTROL!$C$27, 0.0021, 0)</f>
        <v>111.20050000000001</v>
      </c>
      <c r="H1037" s="10">
        <f>111.0637 * CHOOSE(CONTROL!$C$9, $D$9, 100%, $F$9) + CHOOSE(CONTROL!$C$27, 0.0021, 0)</f>
        <v>111.0658</v>
      </c>
      <c r="I1037" s="10">
        <f>111.0637 * CHOOSE(CONTROL!$C$9, $D$9, 100%, $F$9) + CHOOSE(CONTROL!$C$27, 0.0021, 0)</f>
        <v>111.0658</v>
      </c>
      <c r="J1037" s="10">
        <f>111.0637 * CHOOSE(CONTROL!$C$9, $D$9, 100%, $F$9) + CHOOSE(CONTROL!$C$27, 0.0021, 0)</f>
        <v>111.0658</v>
      </c>
      <c r="K1037" s="10">
        <f>111.0637 * CHOOSE(CONTROL!$C$9, $D$9, 100%, $F$9) + CHOOSE(CONTROL!$C$27, 0.0021, 0)</f>
        <v>111.0658</v>
      </c>
      <c r="L1037" s="10"/>
    </row>
    <row r="1038" spans="1:12" ht="15.75" x14ac:dyDescent="0.25">
      <c r="A1038" s="13">
        <v>72532</v>
      </c>
      <c r="B1038" s="10">
        <f>113.6882 * CHOOSE(CONTROL!$C$9, $D$9, 100%, $F$9) + CHOOSE(CONTROL!$C$27, 0.0021, 0)</f>
        <v>113.69029999999999</v>
      </c>
      <c r="C1038" s="10">
        <f>113.256 * CHOOSE(CONTROL!$C$9, $D$9, 100%, $F$9) + CHOOSE(CONTROL!$C$27, 0.0021, 0)</f>
        <v>113.2581</v>
      </c>
      <c r="D1038" s="10">
        <f>113.256 * CHOOSE(CONTROL!$C$9, $D$9, 100%, $F$9) + CHOOSE(CONTROL!$C$27, 0.0021, 0)</f>
        <v>113.2581</v>
      </c>
      <c r="E1038" s="10">
        <f>113.1193 * CHOOSE(CONTROL!$C$9, $D$9, 100%, $F$9) + CHOOSE(CONTROL!$C$27, 0.0021, 0)</f>
        <v>113.12139999999999</v>
      </c>
      <c r="F1038" s="10">
        <f>113.1193 * CHOOSE(CONTROL!$C$9, $D$9, 100%, $F$9) + CHOOSE(CONTROL!$C$27, 0.0021, 0)</f>
        <v>113.12139999999999</v>
      </c>
      <c r="G1038" s="10">
        <f>113.3907 * CHOOSE(CONTROL!$C$9, $D$9, 100%, $F$9) + CHOOSE(CONTROL!$C$27, 0.0021, 0)</f>
        <v>113.39279999999999</v>
      </c>
      <c r="H1038" s="10">
        <f>113.256 * CHOOSE(CONTROL!$C$9, $D$9, 100%, $F$9) + CHOOSE(CONTROL!$C$27, 0.0021, 0)</f>
        <v>113.2581</v>
      </c>
      <c r="I1038" s="10">
        <f>113.256 * CHOOSE(CONTROL!$C$9, $D$9, 100%, $F$9) + CHOOSE(CONTROL!$C$27, 0.0021, 0)</f>
        <v>113.2581</v>
      </c>
      <c r="J1038" s="10">
        <f>113.256 * CHOOSE(CONTROL!$C$9, $D$9, 100%, $F$9) + CHOOSE(CONTROL!$C$27, 0.0021, 0)</f>
        <v>113.2581</v>
      </c>
      <c r="K1038" s="10">
        <f>113.256 * CHOOSE(CONTROL!$C$9, $D$9, 100%, $F$9) + CHOOSE(CONTROL!$C$27, 0.0021, 0)</f>
        <v>113.2581</v>
      </c>
      <c r="L1038" s="10"/>
    </row>
    <row r="1039" spans="1:12" ht="15.75" x14ac:dyDescent="0.25">
      <c r="A1039" s="13">
        <v>72563</v>
      </c>
      <c r="B1039" s="10">
        <f>114.3574 * CHOOSE(CONTROL!$C$9, $D$9, 100%, $F$9) + CHOOSE(CONTROL!$C$27, 0.0021, 0)</f>
        <v>114.3595</v>
      </c>
      <c r="C1039" s="10">
        <f>113.9252 * CHOOSE(CONTROL!$C$9, $D$9, 100%, $F$9) + CHOOSE(CONTROL!$C$27, 0.0021, 0)</f>
        <v>113.9273</v>
      </c>
      <c r="D1039" s="10">
        <f>113.9252 * CHOOSE(CONTROL!$C$9, $D$9, 100%, $F$9) + CHOOSE(CONTROL!$C$27, 0.0021, 0)</f>
        <v>113.9273</v>
      </c>
      <c r="E1039" s="10">
        <f>113.7885 * CHOOSE(CONTROL!$C$9, $D$9, 100%, $F$9) + CHOOSE(CONTROL!$C$27, 0.0021, 0)</f>
        <v>113.7906</v>
      </c>
      <c r="F1039" s="10">
        <f>113.7885 * CHOOSE(CONTROL!$C$9, $D$9, 100%, $F$9) + CHOOSE(CONTROL!$C$27, 0.0021, 0)</f>
        <v>113.7906</v>
      </c>
      <c r="G1039" s="10">
        <f>114.0599 * CHOOSE(CONTROL!$C$9, $D$9, 100%, $F$9) + CHOOSE(CONTROL!$C$27, 0.0021, 0)</f>
        <v>114.062</v>
      </c>
      <c r="H1039" s="10">
        <f>113.9252 * CHOOSE(CONTROL!$C$9, $D$9, 100%, $F$9) + CHOOSE(CONTROL!$C$27, 0.0021, 0)</f>
        <v>113.9273</v>
      </c>
      <c r="I1039" s="10">
        <f>113.9252 * CHOOSE(CONTROL!$C$9, $D$9, 100%, $F$9) + CHOOSE(CONTROL!$C$27, 0.0021, 0)</f>
        <v>113.9273</v>
      </c>
      <c r="J1039" s="10">
        <f>113.9252 * CHOOSE(CONTROL!$C$9, $D$9, 100%, $F$9) + CHOOSE(CONTROL!$C$27, 0.0021, 0)</f>
        <v>113.9273</v>
      </c>
      <c r="K1039" s="10">
        <f>113.9252 * CHOOSE(CONTROL!$C$9, $D$9, 100%, $F$9) + CHOOSE(CONTROL!$C$27, 0.0021, 0)</f>
        <v>113.9273</v>
      </c>
      <c r="L1039" s="10"/>
    </row>
    <row r="1040" spans="1:12" ht="15.75" x14ac:dyDescent="0.25">
      <c r="A1040" s="13">
        <v>72593</v>
      </c>
      <c r="B1040" s="10">
        <f>116.6362 * CHOOSE(CONTROL!$C$9, $D$9, 100%, $F$9) + CHOOSE(CONTROL!$C$27, 0.0021, 0)</f>
        <v>116.6383</v>
      </c>
      <c r="C1040" s="10">
        <f>116.204 * CHOOSE(CONTROL!$C$9, $D$9, 100%, $F$9) + CHOOSE(CONTROL!$C$27, 0.0021, 0)</f>
        <v>116.20609999999999</v>
      </c>
      <c r="D1040" s="10">
        <f>116.204 * CHOOSE(CONTROL!$C$9, $D$9, 100%, $F$9) + CHOOSE(CONTROL!$C$27, 0.0021, 0)</f>
        <v>116.20609999999999</v>
      </c>
      <c r="E1040" s="10">
        <f>116.0673 * CHOOSE(CONTROL!$C$9, $D$9, 100%, $F$9) + CHOOSE(CONTROL!$C$27, 0.0021, 0)</f>
        <v>116.0694</v>
      </c>
      <c r="F1040" s="10">
        <f>116.0673 * CHOOSE(CONTROL!$C$9, $D$9, 100%, $F$9) + CHOOSE(CONTROL!$C$27, 0.0021, 0)</f>
        <v>116.0694</v>
      </c>
      <c r="G1040" s="10">
        <f>116.3387 * CHOOSE(CONTROL!$C$9, $D$9, 100%, $F$9) + CHOOSE(CONTROL!$C$27, 0.0021, 0)</f>
        <v>116.3408</v>
      </c>
      <c r="H1040" s="10">
        <f>116.204 * CHOOSE(CONTROL!$C$9, $D$9, 100%, $F$9) + CHOOSE(CONTROL!$C$27, 0.0021, 0)</f>
        <v>116.20609999999999</v>
      </c>
      <c r="I1040" s="10">
        <f>116.204 * CHOOSE(CONTROL!$C$9, $D$9, 100%, $F$9) + CHOOSE(CONTROL!$C$27, 0.0021, 0)</f>
        <v>116.20609999999999</v>
      </c>
      <c r="J1040" s="10">
        <f>116.204 * CHOOSE(CONTROL!$C$9, $D$9, 100%, $F$9) + CHOOSE(CONTROL!$C$27, 0.0021, 0)</f>
        <v>116.20609999999999</v>
      </c>
      <c r="K1040" s="10">
        <f>116.204 * CHOOSE(CONTROL!$C$9, $D$9, 100%, $F$9) + CHOOSE(CONTROL!$C$27, 0.0021, 0)</f>
        <v>116.20609999999999</v>
      </c>
      <c r="L1040" s="10"/>
    </row>
    <row r="1041" spans="1:12" ht="15.75" x14ac:dyDescent="0.25">
      <c r="A1041" s="13">
        <v>72624</v>
      </c>
      <c r="B1041" s="10">
        <f>119.5209 * CHOOSE(CONTROL!$C$9, $D$9, 100%, $F$9) + CHOOSE(CONTROL!$C$27, 0.0021, 0)</f>
        <v>119.523</v>
      </c>
      <c r="C1041" s="10">
        <f>119.0886 * CHOOSE(CONTROL!$C$9, $D$9, 100%, $F$9) + CHOOSE(CONTROL!$C$27, 0.0021, 0)</f>
        <v>119.0907</v>
      </c>
      <c r="D1041" s="10">
        <f>119.0886 * CHOOSE(CONTROL!$C$9, $D$9, 100%, $F$9) + CHOOSE(CONTROL!$C$27, 0.0021, 0)</f>
        <v>119.0907</v>
      </c>
      <c r="E1041" s="10">
        <f>118.952 * CHOOSE(CONTROL!$C$9, $D$9, 100%, $F$9) + CHOOSE(CONTROL!$C$27, 0.0021, 0)</f>
        <v>118.9541</v>
      </c>
      <c r="F1041" s="10">
        <f>118.952 * CHOOSE(CONTROL!$C$9, $D$9, 100%, $F$9) + CHOOSE(CONTROL!$C$27, 0.0021, 0)</f>
        <v>118.9541</v>
      </c>
      <c r="G1041" s="10">
        <f>119.2233 * CHOOSE(CONTROL!$C$9, $D$9, 100%, $F$9) + CHOOSE(CONTROL!$C$27, 0.0021, 0)</f>
        <v>119.22539999999999</v>
      </c>
      <c r="H1041" s="10">
        <f>119.0886 * CHOOSE(CONTROL!$C$9, $D$9, 100%, $F$9) + CHOOSE(CONTROL!$C$27, 0.0021, 0)</f>
        <v>119.0907</v>
      </c>
      <c r="I1041" s="10">
        <f>119.0886 * CHOOSE(CONTROL!$C$9, $D$9, 100%, $F$9) + CHOOSE(CONTROL!$C$27, 0.0021, 0)</f>
        <v>119.0907</v>
      </c>
      <c r="J1041" s="10">
        <f>119.0886 * CHOOSE(CONTROL!$C$9, $D$9, 100%, $F$9) + CHOOSE(CONTROL!$C$27, 0.0021, 0)</f>
        <v>119.0907</v>
      </c>
      <c r="K1041" s="10">
        <f>119.0886 * CHOOSE(CONTROL!$C$9, $D$9, 100%, $F$9) + CHOOSE(CONTROL!$C$27, 0.0021, 0)</f>
        <v>119.0907</v>
      </c>
      <c r="L1041" s="10"/>
    </row>
    <row r="1042" spans="1:12" ht="15.75" x14ac:dyDescent="0.25">
      <c r="A1042" s="13">
        <v>72654</v>
      </c>
      <c r="B1042" s="10">
        <f>119.7917 * CHOOSE(CONTROL!$C$9, $D$9, 100%, $F$9) + CHOOSE(CONTROL!$C$27, 0.0021, 0)</f>
        <v>119.7938</v>
      </c>
      <c r="C1042" s="10">
        <f>119.3594 * CHOOSE(CONTROL!$C$9, $D$9, 100%, $F$9) + CHOOSE(CONTROL!$C$27, 0.0021, 0)</f>
        <v>119.36149999999999</v>
      </c>
      <c r="D1042" s="10">
        <f>119.3594 * CHOOSE(CONTROL!$C$9, $D$9, 100%, $F$9) + CHOOSE(CONTROL!$C$27, 0.0021, 0)</f>
        <v>119.36149999999999</v>
      </c>
      <c r="E1042" s="10">
        <f>119.2228 * CHOOSE(CONTROL!$C$9, $D$9, 100%, $F$9) + CHOOSE(CONTROL!$C$27, 0.0021, 0)</f>
        <v>119.22490000000001</v>
      </c>
      <c r="F1042" s="10">
        <f>119.2228 * CHOOSE(CONTROL!$C$9, $D$9, 100%, $F$9) + CHOOSE(CONTROL!$C$27, 0.0021, 0)</f>
        <v>119.22490000000001</v>
      </c>
      <c r="G1042" s="10">
        <f>119.4941 * CHOOSE(CONTROL!$C$9, $D$9, 100%, $F$9) + CHOOSE(CONTROL!$C$27, 0.0021, 0)</f>
        <v>119.4962</v>
      </c>
      <c r="H1042" s="10">
        <f>119.3594 * CHOOSE(CONTROL!$C$9, $D$9, 100%, $F$9) + CHOOSE(CONTROL!$C$27, 0.0021, 0)</f>
        <v>119.36149999999999</v>
      </c>
      <c r="I1042" s="10">
        <f>119.3594 * CHOOSE(CONTROL!$C$9, $D$9, 100%, $F$9) + CHOOSE(CONTROL!$C$27, 0.0021, 0)</f>
        <v>119.36149999999999</v>
      </c>
      <c r="J1042" s="10">
        <f>119.3594 * CHOOSE(CONTROL!$C$9, $D$9, 100%, $F$9) + CHOOSE(CONTROL!$C$27, 0.0021, 0)</f>
        <v>119.36149999999999</v>
      </c>
      <c r="K1042" s="10">
        <f>119.3594 * CHOOSE(CONTROL!$C$9, $D$9, 100%, $F$9) + CHOOSE(CONTROL!$C$27, 0.0021, 0)</f>
        <v>119.36149999999999</v>
      </c>
      <c r="L1042" s="10"/>
    </row>
    <row r="1043" spans="1:12" ht="15.75" x14ac:dyDescent="0.25">
      <c r="A1043" s="13">
        <v>72685</v>
      </c>
      <c r="B1043" s="10">
        <f>117.4878 * CHOOSE(CONTROL!$C$9, $D$9, 100%, $F$9) + CHOOSE(CONTROL!$C$27, 0.0021, 0)</f>
        <v>117.48989999999999</v>
      </c>
      <c r="C1043" s="10">
        <f>117.0555 * CHOOSE(CONTROL!$C$9, $D$9, 100%, $F$9) + CHOOSE(CONTROL!$C$27, 0.0021, 0)</f>
        <v>117.05759999999999</v>
      </c>
      <c r="D1043" s="10">
        <f>117.0555 * CHOOSE(CONTROL!$C$9, $D$9, 100%, $F$9) + CHOOSE(CONTROL!$C$27, 0.0021, 0)</f>
        <v>117.05759999999999</v>
      </c>
      <c r="E1043" s="10">
        <f>116.9189 * CHOOSE(CONTROL!$C$9, $D$9, 100%, $F$9) + CHOOSE(CONTROL!$C$27, 0.0021, 0)</f>
        <v>116.92099999999999</v>
      </c>
      <c r="F1043" s="10">
        <f>116.9189 * CHOOSE(CONTROL!$C$9, $D$9, 100%, $F$9) + CHOOSE(CONTROL!$C$27, 0.0021, 0)</f>
        <v>116.92099999999999</v>
      </c>
      <c r="G1043" s="10">
        <f>117.1902 * CHOOSE(CONTROL!$C$9, $D$9, 100%, $F$9) + CHOOSE(CONTROL!$C$27, 0.0021, 0)</f>
        <v>117.1923</v>
      </c>
      <c r="H1043" s="10">
        <f>117.0555 * CHOOSE(CONTROL!$C$9, $D$9, 100%, $F$9) + CHOOSE(CONTROL!$C$27, 0.0021, 0)</f>
        <v>117.05759999999999</v>
      </c>
      <c r="I1043" s="10">
        <f>117.0555 * CHOOSE(CONTROL!$C$9, $D$9, 100%, $F$9) + CHOOSE(CONTROL!$C$27, 0.0021, 0)</f>
        <v>117.05759999999999</v>
      </c>
      <c r="J1043" s="10">
        <f>117.0555 * CHOOSE(CONTROL!$C$9, $D$9, 100%, $F$9) + CHOOSE(CONTROL!$C$27, 0.0021, 0)</f>
        <v>117.05759999999999</v>
      </c>
      <c r="K1043" s="10">
        <f>117.0555 * CHOOSE(CONTROL!$C$9, $D$9, 100%, $F$9) + CHOOSE(CONTROL!$C$27, 0.0021, 0)</f>
        <v>117.05759999999999</v>
      </c>
      <c r="L1043" s="10"/>
    </row>
    <row r="1044" spans="1:12" ht="15.75" x14ac:dyDescent="0.25">
      <c r="A1044" s="13">
        <v>72716</v>
      </c>
      <c r="B1044" s="10">
        <f>115.9785 * CHOOSE(CONTROL!$C$9, $D$9, 100%, $F$9) + CHOOSE(CONTROL!$C$27, 0.0021, 0)</f>
        <v>115.9806</v>
      </c>
      <c r="C1044" s="10">
        <f>115.5462 * CHOOSE(CONTROL!$C$9, $D$9, 100%, $F$9) + CHOOSE(CONTROL!$C$27, 0.0021, 0)</f>
        <v>115.5483</v>
      </c>
      <c r="D1044" s="10">
        <f>115.5462 * CHOOSE(CONTROL!$C$9, $D$9, 100%, $F$9) + CHOOSE(CONTROL!$C$27, 0.0021, 0)</f>
        <v>115.5483</v>
      </c>
      <c r="E1044" s="10">
        <f>115.4096 * CHOOSE(CONTROL!$C$9, $D$9, 100%, $F$9) + CHOOSE(CONTROL!$C$27, 0.0021, 0)</f>
        <v>115.4117</v>
      </c>
      <c r="F1044" s="10">
        <f>115.4096 * CHOOSE(CONTROL!$C$9, $D$9, 100%, $F$9) + CHOOSE(CONTROL!$C$27, 0.0021, 0)</f>
        <v>115.4117</v>
      </c>
      <c r="G1044" s="10">
        <f>115.6809 * CHOOSE(CONTROL!$C$9, $D$9, 100%, $F$9) + CHOOSE(CONTROL!$C$27, 0.0021, 0)</f>
        <v>115.68299999999999</v>
      </c>
      <c r="H1044" s="10">
        <f>115.5462 * CHOOSE(CONTROL!$C$9, $D$9, 100%, $F$9) + CHOOSE(CONTROL!$C$27, 0.0021, 0)</f>
        <v>115.5483</v>
      </c>
      <c r="I1044" s="10">
        <f>115.5462 * CHOOSE(CONTROL!$C$9, $D$9, 100%, $F$9) + CHOOSE(CONTROL!$C$27, 0.0021, 0)</f>
        <v>115.5483</v>
      </c>
      <c r="J1044" s="10">
        <f>115.5462 * CHOOSE(CONTROL!$C$9, $D$9, 100%, $F$9) + CHOOSE(CONTROL!$C$27, 0.0021, 0)</f>
        <v>115.5483</v>
      </c>
      <c r="K1044" s="10">
        <f>115.5462 * CHOOSE(CONTROL!$C$9, $D$9, 100%, $F$9) + CHOOSE(CONTROL!$C$27, 0.0021, 0)</f>
        <v>115.5483</v>
      </c>
      <c r="L1044" s="10"/>
    </row>
    <row r="1045" spans="1:12" ht="15.75" x14ac:dyDescent="0.25">
      <c r="A1045" s="13">
        <v>72744</v>
      </c>
      <c r="B1045" s="10">
        <f>112.7628 * CHOOSE(CONTROL!$C$9, $D$9, 100%, $F$9) + CHOOSE(CONTROL!$C$27, 0.0021, 0)</f>
        <v>112.7649</v>
      </c>
      <c r="C1045" s="10">
        <f>112.3306 * CHOOSE(CONTROL!$C$9, $D$9, 100%, $F$9) + CHOOSE(CONTROL!$C$27, 0.0021, 0)</f>
        <v>112.3327</v>
      </c>
      <c r="D1045" s="10">
        <f>112.3306 * CHOOSE(CONTROL!$C$9, $D$9, 100%, $F$9) + CHOOSE(CONTROL!$C$27, 0.0021, 0)</f>
        <v>112.3327</v>
      </c>
      <c r="E1045" s="10">
        <f>112.1939 * CHOOSE(CONTROL!$C$9, $D$9, 100%, $F$9) + CHOOSE(CONTROL!$C$27, 0.0021, 0)</f>
        <v>112.196</v>
      </c>
      <c r="F1045" s="10">
        <f>112.1939 * CHOOSE(CONTROL!$C$9, $D$9, 100%, $F$9) + CHOOSE(CONTROL!$C$27, 0.0021, 0)</f>
        <v>112.196</v>
      </c>
      <c r="G1045" s="10">
        <f>112.4653 * CHOOSE(CONTROL!$C$9, $D$9, 100%, $F$9) + CHOOSE(CONTROL!$C$27, 0.0021, 0)</f>
        <v>112.4674</v>
      </c>
      <c r="H1045" s="10">
        <f>112.3306 * CHOOSE(CONTROL!$C$9, $D$9, 100%, $F$9) + CHOOSE(CONTROL!$C$27, 0.0021, 0)</f>
        <v>112.3327</v>
      </c>
      <c r="I1045" s="10">
        <f>112.3306 * CHOOSE(CONTROL!$C$9, $D$9, 100%, $F$9) + CHOOSE(CONTROL!$C$27, 0.0021, 0)</f>
        <v>112.3327</v>
      </c>
      <c r="J1045" s="10">
        <f>112.3306 * CHOOSE(CONTROL!$C$9, $D$9, 100%, $F$9) + CHOOSE(CONTROL!$C$27, 0.0021, 0)</f>
        <v>112.3327</v>
      </c>
      <c r="K1045" s="10">
        <f>112.3306 * CHOOSE(CONTROL!$C$9, $D$9, 100%, $F$9) + CHOOSE(CONTROL!$C$27, 0.0021, 0)</f>
        <v>112.3327</v>
      </c>
      <c r="L1045" s="10"/>
    </row>
    <row r="1046" spans="1:12" ht="15.75" x14ac:dyDescent="0.25">
      <c r="A1046" s="13">
        <v>72775</v>
      </c>
      <c r="B1046" s="10">
        <f>111.4354 * CHOOSE(CONTROL!$C$9, $D$9, 100%, $F$9) + CHOOSE(CONTROL!$C$27, 0.0021, 0)</f>
        <v>111.4375</v>
      </c>
      <c r="C1046" s="10">
        <f>111.0031 * CHOOSE(CONTROL!$C$9, $D$9, 100%, $F$9) + CHOOSE(CONTROL!$C$27, 0.0021, 0)</f>
        <v>111.0052</v>
      </c>
      <c r="D1046" s="10">
        <f>111.0031 * CHOOSE(CONTROL!$C$9, $D$9, 100%, $F$9) + CHOOSE(CONTROL!$C$27, 0.0021, 0)</f>
        <v>111.0052</v>
      </c>
      <c r="E1046" s="10">
        <f>110.8665 * CHOOSE(CONTROL!$C$9, $D$9, 100%, $F$9) + CHOOSE(CONTROL!$C$27, 0.0021, 0)</f>
        <v>110.8686</v>
      </c>
      <c r="F1046" s="10">
        <f>110.8665 * CHOOSE(CONTROL!$C$9, $D$9, 100%, $F$9) + CHOOSE(CONTROL!$C$27, 0.0021, 0)</f>
        <v>110.8686</v>
      </c>
      <c r="G1046" s="10">
        <f>111.1379 * CHOOSE(CONTROL!$C$9, $D$9, 100%, $F$9) + CHOOSE(CONTROL!$C$27, 0.0021, 0)</f>
        <v>111.14</v>
      </c>
      <c r="H1046" s="10">
        <f>111.0031 * CHOOSE(CONTROL!$C$9, $D$9, 100%, $F$9) + CHOOSE(CONTROL!$C$27, 0.0021, 0)</f>
        <v>111.0052</v>
      </c>
      <c r="I1046" s="10">
        <f>111.0031 * CHOOSE(CONTROL!$C$9, $D$9, 100%, $F$9) + CHOOSE(CONTROL!$C$27, 0.0021, 0)</f>
        <v>111.0052</v>
      </c>
      <c r="J1046" s="10">
        <f>111.0031 * CHOOSE(CONTROL!$C$9, $D$9, 100%, $F$9) + CHOOSE(CONTROL!$C$27, 0.0021, 0)</f>
        <v>111.0052</v>
      </c>
      <c r="K1046" s="10">
        <f>111.0031 * CHOOSE(CONTROL!$C$9, $D$9, 100%, $F$9) + CHOOSE(CONTROL!$C$27, 0.0021, 0)</f>
        <v>111.0052</v>
      </c>
      <c r="L1046" s="10"/>
    </row>
    <row r="1047" spans="1:12" ht="15.75" x14ac:dyDescent="0.25">
      <c r="A1047" s="13">
        <v>72805</v>
      </c>
      <c r="B1047" s="10">
        <f>109.8504 * CHOOSE(CONTROL!$C$9, $D$9, 100%, $F$9) + CHOOSE(CONTROL!$C$27, 0.0021, 0)</f>
        <v>109.85249999999999</v>
      </c>
      <c r="C1047" s="10">
        <f>109.4182 * CHOOSE(CONTROL!$C$9, $D$9, 100%, $F$9) + CHOOSE(CONTROL!$C$27, 0.0021, 0)</f>
        <v>109.4203</v>
      </c>
      <c r="D1047" s="10">
        <f>109.4182 * CHOOSE(CONTROL!$C$9, $D$9, 100%, $F$9) + CHOOSE(CONTROL!$C$27, 0.0021, 0)</f>
        <v>109.4203</v>
      </c>
      <c r="E1047" s="10">
        <f>109.2815 * CHOOSE(CONTROL!$C$9, $D$9, 100%, $F$9) + CHOOSE(CONTROL!$C$27, 0.0021, 0)</f>
        <v>109.28359999999999</v>
      </c>
      <c r="F1047" s="10">
        <f>109.2815 * CHOOSE(CONTROL!$C$9, $D$9, 100%, $F$9) + CHOOSE(CONTROL!$C$27, 0.0021, 0)</f>
        <v>109.28359999999999</v>
      </c>
      <c r="G1047" s="10">
        <f>109.5529 * CHOOSE(CONTROL!$C$9, $D$9, 100%, $F$9) + CHOOSE(CONTROL!$C$27, 0.0021, 0)</f>
        <v>109.55499999999999</v>
      </c>
      <c r="H1047" s="10">
        <f>109.4182 * CHOOSE(CONTROL!$C$9, $D$9, 100%, $F$9) + CHOOSE(CONTROL!$C$27, 0.0021, 0)</f>
        <v>109.4203</v>
      </c>
      <c r="I1047" s="10">
        <f>109.4182 * CHOOSE(CONTROL!$C$9, $D$9, 100%, $F$9) + CHOOSE(CONTROL!$C$27, 0.0021, 0)</f>
        <v>109.4203</v>
      </c>
      <c r="J1047" s="10">
        <f>109.4182 * CHOOSE(CONTROL!$C$9, $D$9, 100%, $F$9) + CHOOSE(CONTROL!$C$27, 0.0021, 0)</f>
        <v>109.4203</v>
      </c>
      <c r="K1047" s="10">
        <f>109.4182 * CHOOSE(CONTROL!$C$9, $D$9, 100%, $F$9) + CHOOSE(CONTROL!$C$27, 0.0021, 0)</f>
        <v>109.4203</v>
      </c>
      <c r="L1047" s="10"/>
    </row>
    <row r="1048" spans="1:12" ht="15.75" x14ac:dyDescent="0.25">
      <c r="A1048" s="13">
        <v>72836</v>
      </c>
      <c r="B1048" s="10">
        <f>112.1092 * CHOOSE(CONTROL!$C$9, $D$9, 100%, $F$9) + CHOOSE(CONTROL!$C$27, 0.0021, 0)</f>
        <v>112.1113</v>
      </c>
      <c r="C1048" s="10">
        <f>111.6769 * CHOOSE(CONTROL!$C$9, $D$9, 100%, $F$9) + CHOOSE(CONTROL!$C$27, 0.0021, 0)</f>
        <v>111.679</v>
      </c>
      <c r="D1048" s="10">
        <f>111.6769 * CHOOSE(CONTROL!$C$9, $D$9, 100%, $F$9) + CHOOSE(CONTROL!$C$27, 0.0021, 0)</f>
        <v>111.679</v>
      </c>
      <c r="E1048" s="10">
        <f>111.5403 * CHOOSE(CONTROL!$C$9, $D$9, 100%, $F$9) + CHOOSE(CONTROL!$C$27, 0.0021, 0)</f>
        <v>111.5424</v>
      </c>
      <c r="F1048" s="10">
        <f>111.5403 * CHOOSE(CONTROL!$C$9, $D$9, 100%, $F$9) + CHOOSE(CONTROL!$C$27, 0.0021, 0)</f>
        <v>111.5424</v>
      </c>
      <c r="G1048" s="10">
        <f>111.8117 * CHOOSE(CONTROL!$C$9, $D$9, 100%, $F$9) + CHOOSE(CONTROL!$C$27, 0.0021, 0)</f>
        <v>111.8138</v>
      </c>
      <c r="H1048" s="10">
        <f>111.6769 * CHOOSE(CONTROL!$C$9, $D$9, 100%, $F$9) + CHOOSE(CONTROL!$C$27, 0.0021, 0)</f>
        <v>111.679</v>
      </c>
      <c r="I1048" s="10">
        <f>111.6769 * CHOOSE(CONTROL!$C$9, $D$9, 100%, $F$9) + CHOOSE(CONTROL!$C$27, 0.0021, 0)</f>
        <v>111.679</v>
      </c>
      <c r="J1048" s="10">
        <f>111.6769 * CHOOSE(CONTROL!$C$9, $D$9, 100%, $F$9) + CHOOSE(CONTROL!$C$27, 0.0021, 0)</f>
        <v>111.679</v>
      </c>
      <c r="K1048" s="10">
        <f>111.6769 * CHOOSE(CONTROL!$C$9, $D$9, 100%, $F$9) + CHOOSE(CONTROL!$C$27, 0.0021, 0)</f>
        <v>111.679</v>
      </c>
      <c r="L1048" s="10"/>
    </row>
    <row r="1049" spans="1:12" ht="15.75" x14ac:dyDescent="0.25">
      <c r="A1049" s="13">
        <v>72866</v>
      </c>
      <c r="B1049" s="10">
        <f>113.4621 * CHOOSE(CONTROL!$C$9, $D$9, 100%, $F$9) + CHOOSE(CONTROL!$C$27, 0.0021, 0)</f>
        <v>113.46420000000001</v>
      </c>
      <c r="C1049" s="10">
        <f>113.0298 * CHOOSE(CONTROL!$C$9, $D$9, 100%, $F$9) + CHOOSE(CONTROL!$C$27, 0.0021, 0)</f>
        <v>113.03189999999999</v>
      </c>
      <c r="D1049" s="10">
        <f>113.0298 * CHOOSE(CONTROL!$C$9, $D$9, 100%, $F$9) + CHOOSE(CONTROL!$C$27, 0.0021, 0)</f>
        <v>113.03189999999999</v>
      </c>
      <c r="E1049" s="10">
        <f>112.8932 * CHOOSE(CONTROL!$C$9, $D$9, 100%, $F$9) + CHOOSE(CONTROL!$C$27, 0.0021, 0)</f>
        <v>112.89529999999999</v>
      </c>
      <c r="F1049" s="10">
        <f>112.8932 * CHOOSE(CONTROL!$C$9, $D$9, 100%, $F$9) + CHOOSE(CONTROL!$C$27, 0.0021, 0)</f>
        <v>112.89529999999999</v>
      </c>
      <c r="G1049" s="10">
        <f>113.1646 * CHOOSE(CONTROL!$C$9, $D$9, 100%, $F$9) + CHOOSE(CONTROL!$C$27, 0.0021, 0)</f>
        <v>113.16669999999999</v>
      </c>
      <c r="H1049" s="10">
        <f>113.0298 * CHOOSE(CONTROL!$C$9, $D$9, 100%, $F$9) + CHOOSE(CONTROL!$C$27, 0.0021, 0)</f>
        <v>113.03189999999999</v>
      </c>
      <c r="I1049" s="10">
        <f>113.0298 * CHOOSE(CONTROL!$C$9, $D$9, 100%, $F$9) + CHOOSE(CONTROL!$C$27, 0.0021, 0)</f>
        <v>113.03189999999999</v>
      </c>
      <c r="J1049" s="10">
        <f>113.0298 * CHOOSE(CONTROL!$C$9, $D$9, 100%, $F$9) + CHOOSE(CONTROL!$C$27, 0.0021, 0)</f>
        <v>113.03189999999999</v>
      </c>
      <c r="K1049" s="10">
        <f>113.0298 * CHOOSE(CONTROL!$C$9, $D$9, 100%, $F$9) + CHOOSE(CONTROL!$C$27, 0.0021, 0)</f>
        <v>113.03189999999999</v>
      </c>
      <c r="L1049" s="10"/>
    </row>
    <row r="1050" spans="1:12" ht="15.75" x14ac:dyDescent="0.25">
      <c r="A1050" s="13">
        <v>72897</v>
      </c>
      <c r="B1050" s="10">
        <f>115.6939 * CHOOSE(CONTROL!$C$9, $D$9, 100%, $F$9) + CHOOSE(CONTROL!$C$27, 0.0021, 0)</f>
        <v>115.696</v>
      </c>
      <c r="C1050" s="10">
        <f>115.2617 * CHOOSE(CONTROL!$C$9, $D$9, 100%, $F$9) + CHOOSE(CONTROL!$C$27, 0.0021, 0)</f>
        <v>115.2638</v>
      </c>
      <c r="D1050" s="10">
        <f>115.2617 * CHOOSE(CONTROL!$C$9, $D$9, 100%, $F$9) + CHOOSE(CONTROL!$C$27, 0.0021, 0)</f>
        <v>115.2638</v>
      </c>
      <c r="E1050" s="10">
        <f>115.125 * CHOOSE(CONTROL!$C$9, $D$9, 100%, $F$9) + CHOOSE(CONTROL!$C$27, 0.0021, 0)</f>
        <v>115.1271</v>
      </c>
      <c r="F1050" s="10">
        <f>115.125 * CHOOSE(CONTROL!$C$9, $D$9, 100%, $F$9) + CHOOSE(CONTROL!$C$27, 0.0021, 0)</f>
        <v>115.1271</v>
      </c>
      <c r="G1050" s="10">
        <f>115.3964 * CHOOSE(CONTROL!$C$9, $D$9, 100%, $F$9) + CHOOSE(CONTROL!$C$27, 0.0021, 0)</f>
        <v>115.3985</v>
      </c>
      <c r="H1050" s="10">
        <f>115.2617 * CHOOSE(CONTROL!$C$9, $D$9, 100%, $F$9) + CHOOSE(CONTROL!$C$27, 0.0021, 0)</f>
        <v>115.2638</v>
      </c>
      <c r="I1050" s="10">
        <f>115.2617 * CHOOSE(CONTROL!$C$9, $D$9, 100%, $F$9) + CHOOSE(CONTROL!$C$27, 0.0021, 0)</f>
        <v>115.2638</v>
      </c>
      <c r="J1050" s="10">
        <f>115.2617 * CHOOSE(CONTROL!$C$9, $D$9, 100%, $F$9) + CHOOSE(CONTROL!$C$27, 0.0021, 0)</f>
        <v>115.2638</v>
      </c>
      <c r="K1050" s="10">
        <f>115.2617 * CHOOSE(CONTROL!$C$9, $D$9, 100%, $F$9) + CHOOSE(CONTROL!$C$27, 0.0021, 0)</f>
        <v>115.2638</v>
      </c>
      <c r="L1050" s="10"/>
    </row>
    <row r="1051" spans="1:12" ht="15.75" x14ac:dyDescent="0.25">
      <c r="A1051" s="13">
        <v>72928</v>
      </c>
      <c r="B1051" s="10">
        <f>116.3751 * CHOOSE(CONTROL!$C$9, $D$9, 100%, $F$9) + CHOOSE(CONTROL!$C$27, 0.0021, 0)</f>
        <v>116.3772</v>
      </c>
      <c r="C1051" s="10">
        <f>115.9429 * CHOOSE(CONTROL!$C$9, $D$9, 100%, $F$9) + CHOOSE(CONTROL!$C$27, 0.0021, 0)</f>
        <v>115.94499999999999</v>
      </c>
      <c r="D1051" s="10">
        <f>115.9429 * CHOOSE(CONTROL!$C$9, $D$9, 100%, $F$9) + CHOOSE(CONTROL!$C$27, 0.0021, 0)</f>
        <v>115.94499999999999</v>
      </c>
      <c r="E1051" s="10">
        <f>115.8062 * CHOOSE(CONTROL!$C$9, $D$9, 100%, $F$9) + CHOOSE(CONTROL!$C$27, 0.0021, 0)</f>
        <v>115.8083</v>
      </c>
      <c r="F1051" s="10">
        <f>115.8062 * CHOOSE(CONTROL!$C$9, $D$9, 100%, $F$9) + CHOOSE(CONTROL!$C$27, 0.0021, 0)</f>
        <v>115.8083</v>
      </c>
      <c r="G1051" s="10">
        <f>116.0776 * CHOOSE(CONTROL!$C$9, $D$9, 100%, $F$9) + CHOOSE(CONTROL!$C$27, 0.0021, 0)</f>
        <v>116.0797</v>
      </c>
      <c r="H1051" s="10">
        <f>115.9429 * CHOOSE(CONTROL!$C$9, $D$9, 100%, $F$9) + CHOOSE(CONTROL!$C$27, 0.0021, 0)</f>
        <v>115.94499999999999</v>
      </c>
      <c r="I1051" s="10">
        <f>115.9429 * CHOOSE(CONTROL!$C$9, $D$9, 100%, $F$9) + CHOOSE(CONTROL!$C$27, 0.0021, 0)</f>
        <v>115.94499999999999</v>
      </c>
      <c r="J1051" s="10">
        <f>115.9429 * CHOOSE(CONTROL!$C$9, $D$9, 100%, $F$9) + CHOOSE(CONTROL!$C$27, 0.0021, 0)</f>
        <v>115.94499999999999</v>
      </c>
      <c r="K1051" s="10">
        <f>115.9429 * CHOOSE(CONTROL!$C$9, $D$9, 100%, $F$9) + CHOOSE(CONTROL!$C$27, 0.0021, 0)</f>
        <v>115.94499999999999</v>
      </c>
      <c r="L1051" s="10"/>
    </row>
    <row r="1052" spans="1:12" ht="15.75" x14ac:dyDescent="0.25">
      <c r="A1052" s="13">
        <v>72958</v>
      </c>
      <c r="B1052" s="10">
        <f>118.695 * CHOOSE(CONTROL!$C$9, $D$9, 100%, $F$9) + CHOOSE(CONTROL!$C$27, 0.0021, 0)</f>
        <v>118.69709999999999</v>
      </c>
      <c r="C1052" s="10">
        <f>118.2627 * CHOOSE(CONTROL!$C$9, $D$9, 100%, $F$9) + CHOOSE(CONTROL!$C$27, 0.0021, 0)</f>
        <v>118.26479999999999</v>
      </c>
      <c r="D1052" s="10">
        <f>118.2627 * CHOOSE(CONTROL!$C$9, $D$9, 100%, $F$9) + CHOOSE(CONTROL!$C$27, 0.0021, 0)</f>
        <v>118.26479999999999</v>
      </c>
      <c r="E1052" s="10">
        <f>118.1261 * CHOOSE(CONTROL!$C$9, $D$9, 100%, $F$9) + CHOOSE(CONTROL!$C$27, 0.0021, 0)</f>
        <v>118.12819999999999</v>
      </c>
      <c r="F1052" s="10">
        <f>118.1261 * CHOOSE(CONTROL!$C$9, $D$9, 100%, $F$9) + CHOOSE(CONTROL!$C$27, 0.0021, 0)</f>
        <v>118.12819999999999</v>
      </c>
      <c r="G1052" s="10">
        <f>118.3975 * CHOOSE(CONTROL!$C$9, $D$9, 100%, $F$9) + CHOOSE(CONTROL!$C$27, 0.0021, 0)</f>
        <v>118.39959999999999</v>
      </c>
      <c r="H1052" s="10">
        <f>118.2627 * CHOOSE(CONTROL!$C$9, $D$9, 100%, $F$9) + CHOOSE(CONTROL!$C$27, 0.0021, 0)</f>
        <v>118.26479999999999</v>
      </c>
      <c r="I1052" s="10">
        <f>118.2627 * CHOOSE(CONTROL!$C$9, $D$9, 100%, $F$9) + CHOOSE(CONTROL!$C$27, 0.0021, 0)</f>
        <v>118.26479999999999</v>
      </c>
      <c r="J1052" s="10">
        <f>118.2627 * CHOOSE(CONTROL!$C$9, $D$9, 100%, $F$9) + CHOOSE(CONTROL!$C$27, 0.0021, 0)</f>
        <v>118.26479999999999</v>
      </c>
      <c r="K1052" s="10">
        <f>118.2627 * CHOOSE(CONTROL!$C$9, $D$9, 100%, $F$9) + CHOOSE(CONTROL!$C$27, 0.0021, 0)</f>
        <v>118.26479999999999</v>
      </c>
      <c r="L1052" s="10"/>
    </row>
    <row r="1053" spans="1:12" ht="15.75" x14ac:dyDescent="0.25">
      <c r="A1053" s="13">
        <v>72989</v>
      </c>
      <c r="B1053" s="10">
        <f>121.6315 * CHOOSE(CONTROL!$C$9, $D$9, 100%, $F$9) + CHOOSE(CONTROL!$C$27, 0.0021, 0)</f>
        <v>121.6336</v>
      </c>
      <c r="C1053" s="10">
        <f>121.1993 * CHOOSE(CONTROL!$C$9, $D$9, 100%, $F$9) + CHOOSE(CONTROL!$C$27, 0.0021, 0)</f>
        <v>121.20139999999999</v>
      </c>
      <c r="D1053" s="10">
        <f>121.1993 * CHOOSE(CONTROL!$C$9, $D$9, 100%, $F$9) + CHOOSE(CONTROL!$C$27, 0.0021, 0)</f>
        <v>121.20139999999999</v>
      </c>
      <c r="E1053" s="10">
        <f>121.0626 * CHOOSE(CONTROL!$C$9, $D$9, 100%, $F$9) + CHOOSE(CONTROL!$C$27, 0.0021, 0)</f>
        <v>121.0647</v>
      </c>
      <c r="F1053" s="10">
        <f>121.0626 * CHOOSE(CONTROL!$C$9, $D$9, 100%, $F$9) + CHOOSE(CONTROL!$C$27, 0.0021, 0)</f>
        <v>121.0647</v>
      </c>
      <c r="G1053" s="10">
        <f>121.334 * CHOOSE(CONTROL!$C$9, $D$9, 100%, $F$9) + CHOOSE(CONTROL!$C$27, 0.0021, 0)</f>
        <v>121.3361</v>
      </c>
      <c r="H1053" s="10">
        <f>121.1993 * CHOOSE(CONTROL!$C$9, $D$9, 100%, $F$9) + CHOOSE(CONTROL!$C$27, 0.0021, 0)</f>
        <v>121.20139999999999</v>
      </c>
      <c r="I1053" s="10">
        <f>121.1993 * CHOOSE(CONTROL!$C$9, $D$9, 100%, $F$9) + CHOOSE(CONTROL!$C$27, 0.0021, 0)</f>
        <v>121.20139999999999</v>
      </c>
      <c r="J1053" s="10">
        <f>121.1993 * CHOOSE(CONTROL!$C$9, $D$9, 100%, $F$9) + CHOOSE(CONTROL!$C$27, 0.0021, 0)</f>
        <v>121.20139999999999</v>
      </c>
      <c r="K1053" s="10">
        <f>121.1993 * CHOOSE(CONTROL!$C$9, $D$9, 100%, $F$9) + CHOOSE(CONTROL!$C$27, 0.0021, 0)</f>
        <v>121.20139999999999</v>
      </c>
      <c r="L1053" s="10"/>
    </row>
    <row r="1054" spans="1:12" ht="15.75" x14ac:dyDescent="0.25">
      <c r="A1054" s="13">
        <v>73019</v>
      </c>
      <c r="B1054" s="10">
        <f>121.9072 * CHOOSE(CONTROL!$C$9, $D$9, 100%, $F$9) + CHOOSE(CONTROL!$C$27, 0.0021, 0)</f>
        <v>121.9093</v>
      </c>
      <c r="C1054" s="10">
        <f>121.475 * CHOOSE(CONTROL!$C$9, $D$9, 100%, $F$9) + CHOOSE(CONTROL!$C$27, 0.0021, 0)</f>
        <v>121.47709999999999</v>
      </c>
      <c r="D1054" s="10">
        <f>121.475 * CHOOSE(CONTROL!$C$9, $D$9, 100%, $F$9) + CHOOSE(CONTROL!$C$27, 0.0021, 0)</f>
        <v>121.47709999999999</v>
      </c>
      <c r="E1054" s="10">
        <f>121.3383 * CHOOSE(CONTROL!$C$9, $D$9, 100%, $F$9) + CHOOSE(CONTROL!$C$27, 0.0021, 0)</f>
        <v>121.3404</v>
      </c>
      <c r="F1054" s="10">
        <f>121.3383 * CHOOSE(CONTROL!$C$9, $D$9, 100%, $F$9) + CHOOSE(CONTROL!$C$27, 0.0021, 0)</f>
        <v>121.3404</v>
      </c>
      <c r="G1054" s="10">
        <f>121.6097 * CHOOSE(CONTROL!$C$9, $D$9, 100%, $F$9) + CHOOSE(CONTROL!$C$27, 0.0021, 0)</f>
        <v>121.6118</v>
      </c>
      <c r="H1054" s="10">
        <f>121.475 * CHOOSE(CONTROL!$C$9, $D$9, 100%, $F$9) + CHOOSE(CONTROL!$C$27, 0.0021, 0)</f>
        <v>121.47709999999999</v>
      </c>
      <c r="I1054" s="10">
        <f>121.475 * CHOOSE(CONTROL!$C$9, $D$9, 100%, $F$9) + CHOOSE(CONTROL!$C$27, 0.0021, 0)</f>
        <v>121.47709999999999</v>
      </c>
      <c r="J1054" s="10">
        <f>121.475 * CHOOSE(CONTROL!$C$9, $D$9, 100%, $F$9) + CHOOSE(CONTROL!$C$27, 0.0021, 0)</f>
        <v>121.47709999999999</v>
      </c>
      <c r="K1054" s="10">
        <f>121.475 * CHOOSE(CONTROL!$C$9, $D$9, 100%, $F$9) + CHOOSE(CONTROL!$C$27, 0.0021, 0)</f>
        <v>121.47709999999999</v>
      </c>
      <c r="L1054" s="10"/>
    </row>
    <row r="1055" spans="1:12" ht="15.75" x14ac:dyDescent="0.25">
      <c r="A1055" s="13">
        <v>73050</v>
      </c>
      <c r="B1055" s="10">
        <f>119.5619 * CHOOSE(CONTROL!$C$9, $D$9, 100%, $F$9) + CHOOSE(CONTROL!$C$27, 0.0021, 0)</f>
        <v>119.56399999999999</v>
      </c>
      <c r="C1055" s="10">
        <f>119.1296 * CHOOSE(CONTROL!$C$9, $D$9, 100%, $F$9) + CHOOSE(CONTROL!$C$27, 0.0021, 0)</f>
        <v>119.1317</v>
      </c>
      <c r="D1055" s="10">
        <f>119.1296 * CHOOSE(CONTROL!$C$9, $D$9, 100%, $F$9) + CHOOSE(CONTROL!$C$27, 0.0021, 0)</f>
        <v>119.1317</v>
      </c>
      <c r="E1055" s="10">
        <f>118.9929 * CHOOSE(CONTROL!$C$9, $D$9, 100%, $F$9) + CHOOSE(CONTROL!$C$27, 0.0021, 0)</f>
        <v>118.995</v>
      </c>
      <c r="F1055" s="10">
        <f>118.9929 * CHOOSE(CONTROL!$C$9, $D$9, 100%, $F$9) + CHOOSE(CONTROL!$C$27, 0.0021, 0)</f>
        <v>118.995</v>
      </c>
      <c r="G1055" s="10">
        <f>119.2643 * CHOOSE(CONTROL!$C$9, $D$9, 100%, $F$9) + CHOOSE(CONTROL!$C$27, 0.0021, 0)</f>
        <v>119.2664</v>
      </c>
      <c r="H1055" s="10">
        <f>119.1296 * CHOOSE(CONTROL!$C$9, $D$9, 100%, $F$9) + CHOOSE(CONTROL!$C$27, 0.0021, 0)</f>
        <v>119.1317</v>
      </c>
      <c r="I1055" s="10">
        <f>119.1296 * CHOOSE(CONTROL!$C$9, $D$9, 100%, $F$9) + CHOOSE(CONTROL!$C$27, 0.0021, 0)</f>
        <v>119.1317</v>
      </c>
      <c r="J1055" s="10">
        <f>119.1296 * CHOOSE(CONTROL!$C$9, $D$9, 100%, $F$9) + CHOOSE(CONTROL!$C$27, 0.0021, 0)</f>
        <v>119.1317</v>
      </c>
      <c r="K1055" s="10">
        <f>119.1296 * CHOOSE(CONTROL!$C$9, $D$9, 100%, $F$9) + CHOOSE(CONTROL!$C$27, 0.0021, 0)</f>
        <v>119.1317</v>
      </c>
      <c r="L1055" s="10"/>
    </row>
    <row r="1056" spans="1:12" ht="15.75" x14ac:dyDescent="0.25">
      <c r="A1056" s="13">
        <v>73081</v>
      </c>
      <c r="B1056" s="10">
        <f>118.0254 * CHOOSE(CONTROL!$C$9, $D$9, 100%, $F$9) + CHOOSE(CONTROL!$C$27, 0.0021, 0)</f>
        <v>118.0275</v>
      </c>
      <c r="C1056" s="10">
        <f>117.5931 * CHOOSE(CONTROL!$C$9, $D$9, 100%, $F$9) + CHOOSE(CONTROL!$C$27, 0.0021, 0)</f>
        <v>117.59520000000001</v>
      </c>
      <c r="D1056" s="10">
        <f>117.5931 * CHOOSE(CONTROL!$C$9, $D$9, 100%, $F$9) + CHOOSE(CONTROL!$C$27, 0.0021, 0)</f>
        <v>117.59520000000001</v>
      </c>
      <c r="E1056" s="10">
        <f>117.4565 * CHOOSE(CONTROL!$C$9, $D$9, 100%, $F$9) + CHOOSE(CONTROL!$C$27, 0.0021, 0)</f>
        <v>117.4586</v>
      </c>
      <c r="F1056" s="10">
        <f>117.4565 * CHOOSE(CONTROL!$C$9, $D$9, 100%, $F$9) + CHOOSE(CONTROL!$C$27, 0.0021, 0)</f>
        <v>117.4586</v>
      </c>
      <c r="G1056" s="10">
        <f>117.7278 * CHOOSE(CONTROL!$C$9, $D$9, 100%, $F$9) + CHOOSE(CONTROL!$C$27, 0.0021, 0)</f>
        <v>117.7299</v>
      </c>
      <c r="H1056" s="10">
        <f>117.5931 * CHOOSE(CONTROL!$C$9, $D$9, 100%, $F$9) + CHOOSE(CONTROL!$C$27, 0.0021, 0)</f>
        <v>117.59520000000001</v>
      </c>
      <c r="I1056" s="10">
        <f>117.5931 * CHOOSE(CONTROL!$C$9, $D$9, 100%, $F$9) + CHOOSE(CONTROL!$C$27, 0.0021, 0)</f>
        <v>117.59520000000001</v>
      </c>
      <c r="J1056" s="10">
        <f>117.5931 * CHOOSE(CONTROL!$C$9, $D$9, 100%, $F$9) + CHOOSE(CONTROL!$C$27, 0.0021, 0)</f>
        <v>117.59520000000001</v>
      </c>
      <c r="K1056" s="10">
        <f>117.5931 * CHOOSE(CONTROL!$C$9, $D$9, 100%, $F$9) + CHOOSE(CONTROL!$C$27, 0.0021, 0)</f>
        <v>117.59520000000001</v>
      </c>
      <c r="L1056" s="10"/>
    </row>
    <row r="1057" spans="1:12" ht="15.75" x14ac:dyDescent="0.25">
      <c r="A1057" s="13">
        <v>73109</v>
      </c>
      <c r="B1057" s="10">
        <f>114.7518 * CHOOSE(CONTROL!$C$9, $D$9, 100%, $F$9) + CHOOSE(CONTROL!$C$27, 0.0021, 0)</f>
        <v>114.7539</v>
      </c>
      <c r="C1057" s="10">
        <f>114.3196 * CHOOSE(CONTROL!$C$9, $D$9, 100%, $F$9) + CHOOSE(CONTROL!$C$27, 0.0021, 0)</f>
        <v>114.32169999999999</v>
      </c>
      <c r="D1057" s="10">
        <f>114.3196 * CHOOSE(CONTROL!$C$9, $D$9, 100%, $F$9) + CHOOSE(CONTROL!$C$27, 0.0021, 0)</f>
        <v>114.32169999999999</v>
      </c>
      <c r="E1057" s="10">
        <f>114.1829 * CHOOSE(CONTROL!$C$9, $D$9, 100%, $F$9) + CHOOSE(CONTROL!$C$27, 0.0021, 0)</f>
        <v>114.185</v>
      </c>
      <c r="F1057" s="10">
        <f>114.1829 * CHOOSE(CONTROL!$C$9, $D$9, 100%, $F$9) + CHOOSE(CONTROL!$C$27, 0.0021, 0)</f>
        <v>114.185</v>
      </c>
      <c r="G1057" s="10">
        <f>114.4543 * CHOOSE(CONTROL!$C$9, $D$9, 100%, $F$9) + CHOOSE(CONTROL!$C$27, 0.0021, 0)</f>
        <v>114.4564</v>
      </c>
      <c r="H1057" s="10">
        <f>114.3196 * CHOOSE(CONTROL!$C$9, $D$9, 100%, $F$9) + CHOOSE(CONTROL!$C$27, 0.0021, 0)</f>
        <v>114.32169999999999</v>
      </c>
      <c r="I1057" s="10">
        <f>114.3196 * CHOOSE(CONTROL!$C$9, $D$9, 100%, $F$9) + CHOOSE(CONTROL!$C$27, 0.0021, 0)</f>
        <v>114.32169999999999</v>
      </c>
      <c r="J1057" s="10">
        <f>114.3196 * CHOOSE(CONTROL!$C$9, $D$9, 100%, $F$9) + CHOOSE(CONTROL!$C$27, 0.0021, 0)</f>
        <v>114.32169999999999</v>
      </c>
      <c r="K1057" s="10">
        <f>114.3196 * CHOOSE(CONTROL!$C$9, $D$9, 100%, $F$9) + CHOOSE(CONTROL!$C$27, 0.0021, 0)</f>
        <v>114.32169999999999</v>
      </c>
      <c r="L1057" s="10"/>
    </row>
    <row r="1058" spans="1:12" ht="15.75" x14ac:dyDescent="0.25">
      <c r="A1058" s="13">
        <v>73140</v>
      </c>
      <c r="B1058" s="10">
        <f>113.4005 * CHOOSE(CONTROL!$C$9, $D$9, 100%, $F$9) + CHOOSE(CONTROL!$C$27, 0.0021, 0)</f>
        <v>113.40259999999999</v>
      </c>
      <c r="C1058" s="10">
        <f>112.9682 * CHOOSE(CONTROL!$C$9, $D$9, 100%, $F$9) + CHOOSE(CONTROL!$C$27, 0.0021, 0)</f>
        <v>112.97029999999999</v>
      </c>
      <c r="D1058" s="10">
        <f>112.9682 * CHOOSE(CONTROL!$C$9, $D$9, 100%, $F$9) + CHOOSE(CONTROL!$C$27, 0.0021, 0)</f>
        <v>112.97029999999999</v>
      </c>
      <c r="E1058" s="10">
        <f>112.8316 * CHOOSE(CONTROL!$C$9, $D$9, 100%, $F$9) + CHOOSE(CONTROL!$C$27, 0.0021, 0)</f>
        <v>112.83369999999999</v>
      </c>
      <c r="F1058" s="10">
        <f>112.8316 * CHOOSE(CONTROL!$C$9, $D$9, 100%, $F$9) + CHOOSE(CONTROL!$C$27, 0.0021, 0)</f>
        <v>112.83369999999999</v>
      </c>
      <c r="G1058" s="10">
        <f>113.103 * CHOOSE(CONTROL!$C$9, $D$9, 100%, $F$9) + CHOOSE(CONTROL!$C$27, 0.0021, 0)</f>
        <v>113.10509999999999</v>
      </c>
      <c r="H1058" s="10">
        <f>112.9682 * CHOOSE(CONTROL!$C$9, $D$9, 100%, $F$9) + CHOOSE(CONTROL!$C$27, 0.0021, 0)</f>
        <v>112.97029999999999</v>
      </c>
      <c r="I1058" s="10">
        <f>112.9682 * CHOOSE(CONTROL!$C$9, $D$9, 100%, $F$9) + CHOOSE(CONTROL!$C$27, 0.0021, 0)</f>
        <v>112.97029999999999</v>
      </c>
      <c r="J1058" s="10">
        <f>112.9682 * CHOOSE(CONTROL!$C$9, $D$9, 100%, $F$9) + CHOOSE(CONTROL!$C$27, 0.0021, 0)</f>
        <v>112.97029999999999</v>
      </c>
      <c r="K1058" s="10">
        <f>112.9682 * CHOOSE(CONTROL!$C$9, $D$9, 100%, $F$9) + CHOOSE(CONTROL!$C$27, 0.0021, 0)</f>
        <v>112.97029999999999</v>
      </c>
      <c r="L1058" s="10"/>
    </row>
    <row r="1059" spans="1:12" ht="15.75" x14ac:dyDescent="0.25">
      <c r="A1059" s="13">
        <v>73170</v>
      </c>
      <c r="B1059" s="10">
        <f>111.787 * CHOOSE(CONTROL!$C$9, $D$9, 100%, $F$9) + CHOOSE(CONTROL!$C$27, 0.0021, 0)</f>
        <v>111.7891</v>
      </c>
      <c r="C1059" s="10">
        <f>111.3547 * CHOOSE(CONTROL!$C$9, $D$9, 100%, $F$9) + CHOOSE(CONTROL!$C$27, 0.0021, 0)</f>
        <v>111.35679999999999</v>
      </c>
      <c r="D1059" s="10">
        <f>111.3547 * CHOOSE(CONTROL!$C$9, $D$9, 100%, $F$9) + CHOOSE(CONTROL!$C$27, 0.0021, 0)</f>
        <v>111.35679999999999</v>
      </c>
      <c r="E1059" s="10">
        <f>111.2181 * CHOOSE(CONTROL!$C$9, $D$9, 100%, $F$9) + CHOOSE(CONTROL!$C$27, 0.0021, 0)</f>
        <v>111.22020000000001</v>
      </c>
      <c r="F1059" s="10">
        <f>111.2181 * CHOOSE(CONTROL!$C$9, $D$9, 100%, $F$9) + CHOOSE(CONTROL!$C$27, 0.0021, 0)</f>
        <v>111.22020000000001</v>
      </c>
      <c r="G1059" s="10">
        <f>111.4895 * CHOOSE(CONTROL!$C$9, $D$9, 100%, $F$9) + CHOOSE(CONTROL!$C$27, 0.0021, 0)</f>
        <v>111.49160000000001</v>
      </c>
      <c r="H1059" s="10">
        <f>111.3547 * CHOOSE(CONTROL!$C$9, $D$9, 100%, $F$9) + CHOOSE(CONTROL!$C$27, 0.0021, 0)</f>
        <v>111.35679999999999</v>
      </c>
      <c r="I1059" s="10">
        <f>111.3547 * CHOOSE(CONTROL!$C$9, $D$9, 100%, $F$9) + CHOOSE(CONTROL!$C$27, 0.0021, 0)</f>
        <v>111.35679999999999</v>
      </c>
      <c r="J1059" s="10">
        <f>111.3547 * CHOOSE(CONTROL!$C$9, $D$9, 100%, $F$9) + CHOOSE(CONTROL!$C$27, 0.0021, 0)</f>
        <v>111.35679999999999</v>
      </c>
      <c r="K1059" s="10">
        <f>111.3547 * CHOOSE(CONTROL!$C$9, $D$9, 100%, $F$9) + CHOOSE(CONTROL!$C$27, 0.0021, 0)</f>
        <v>111.35679999999999</v>
      </c>
      <c r="L1059" s="10"/>
    </row>
    <row r="1060" spans="1:12" ht="15.75" x14ac:dyDescent="0.25">
      <c r="A1060" s="13">
        <v>73201</v>
      </c>
      <c r="B1060" s="10">
        <f>114.0864 * CHOOSE(CONTROL!$C$9, $D$9, 100%, $F$9) + CHOOSE(CONTROL!$C$27, 0.0021, 0)</f>
        <v>114.0885</v>
      </c>
      <c r="C1060" s="10">
        <f>113.6542 * CHOOSE(CONTROL!$C$9, $D$9, 100%, $F$9) + CHOOSE(CONTROL!$C$27, 0.0021, 0)</f>
        <v>113.6563</v>
      </c>
      <c r="D1060" s="10">
        <f>113.6542 * CHOOSE(CONTROL!$C$9, $D$9, 100%, $F$9) + CHOOSE(CONTROL!$C$27, 0.0021, 0)</f>
        <v>113.6563</v>
      </c>
      <c r="E1060" s="10">
        <f>113.5175 * CHOOSE(CONTROL!$C$9, $D$9, 100%, $F$9) + CHOOSE(CONTROL!$C$27, 0.0021, 0)</f>
        <v>113.5196</v>
      </c>
      <c r="F1060" s="10">
        <f>113.5175 * CHOOSE(CONTROL!$C$9, $D$9, 100%, $F$9) + CHOOSE(CONTROL!$C$27, 0.0021, 0)</f>
        <v>113.5196</v>
      </c>
      <c r="G1060" s="10">
        <f>113.7889 * CHOOSE(CONTROL!$C$9, $D$9, 100%, $F$9) + CHOOSE(CONTROL!$C$27, 0.0021, 0)</f>
        <v>113.791</v>
      </c>
      <c r="H1060" s="10">
        <f>113.6542 * CHOOSE(CONTROL!$C$9, $D$9, 100%, $F$9) + CHOOSE(CONTROL!$C$27, 0.0021, 0)</f>
        <v>113.6563</v>
      </c>
      <c r="I1060" s="10">
        <f>113.6542 * CHOOSE(CONTROL!$C$9, $D$9, 100%, $F$9) + CHOOSE(CONTROL!$C$27, 0.0021, 0)</f>
        <v>113.6563</v>
      </c>
      <c r="J1060" s="10">
        <f>113.6542 * CHOOSE(CONTROL!$C$9, $D$9, 100%, $F$9) + CHOOSE(CONTROL!$C$27, 0.0021, 0)</f>
        <v>113.6563</v>
      </c>
      <c r="K1060" s="10">
        <f>113.6542 * CHOOSE(CONTROL!$C$9, $D$9, 100%, $F$9) + CHOOSE(CONTROL!$C$27, 0.0021, 0)</f>
        <v>113.6563</v>
      </c>
      <c r="L1060" s="10"/>
    </row>
    <row r="1061" spans="1:12" ht="15.75" x14ac:dyDescent="0.25">
      <c r="A1061" s="13">
        <v>73231</v>
      </c>
      <c r="B1061" s="10">
        <f>115.4637 * CHOOSE(CONTROL!$C$9, $D$9, 100%, $F$9) + CHOOSE(CONTROL!$C$27, 0.0021, 0)</f>
        <v>115.4658</v>
      </c>
      <c r="C1061" s="10">
        <f>115.0314 * CHOOSE(CONTROL!$C$9, $D$9, 100%, $F$9) + CHOOSE(CONTROL!$C$27, 0.0021, 0)</f>
        <v>115.0335</v>
      </c>
      <c r="D1061" s="10">
        <f>115.0314 * CHOOSE(CONTROL!$C$9, $D$9, 100%, $F$9) + CHOOSE(CONTROL!$C$27, 0.0021, 0)</f>
        <v>115.0335</v>
      </c>
      <c r="E1061" s="10">
        <f>114.8948 * CHOOSE(CONTROL!$C$9, $D$9, 100%, $F$9) + CHOOSE(CONTROL!$C$27, 0.0021, 0)</f>
        <v>114.8969</v>
      </c>
      <c r="F1061" s="10">
        <f>114.8948 * CHOOSE(CONTROL!$C$9, $D$9, 100%, $F$9) + CHOOSE(CONTROL!$C$27, 0.0021, 0)</f>
        <v>114.8969</v>
      </c>
      <c r="G1061" s="10">
        <f>115.1662 * CHOOSE(CONTROL!$C$9, $D$9, 100%, $F$9) + CHOOSE(CONTROL!$C$27, 0.0021, 0)</f>
        <v>115.1683</v>
      </c>
      <c r="H1061" s="10">
        <f>115.0314 * CHOOSE(CONTROL!$C$9, $D$9, 100%, $F$9) + CHOOSE(CONTROL!$C$27, 0.0021, 0)</f>
        <v>115.0335</v>
      </c>
      <c r="I1061" s="10">
        <f>115.0314 * CHOOSE(CONTROL!$C$9, $D$9, 100%, $F$9) + CHOOSE(CONTROL!$C$27, 0.0021, 0)</f>
        <v>115.0335</v>
      </c>
      <c r="J1061" s="10">
        <f>115.0314 * CHOOSE(CONTROL!$C$9, $D$9, 100%, $F$9) + CHOOSE(CONTROL!$C$27, 0.0021, 0)</f>
        <v>115.0335</v>
      </c>
      <c r="K1061" s="10">
        <f>115.0314 * CHOOSE(CONTROL!$C$9, $D$9, 100%, $F$9) + CHOOSE(CONTROL!$C$27, 0.0021, 0)</f>
        <v>115.0335</v>
      </c>
      <c r="L1061" s="10"/>
    </row>
    <row r="1062" spans="1:12" ht="15.75" x14ac:dyDescent="0.25">
      <c r="A1062" s="13">
        <v>73262</v>
      </c>
      <c r="B1062" s="10">
        <f>117.7357 * CHOOSE(CONTROL!$C$9, $D$9, 100%, $F$9) + CHOOSE(CONTROL!$C$27, 0.0021, 0)</f>
        <v>117.73779999999999</v>
      </c>
      <c r="C1062" s="10">
        <f>117.3034 * CHOOSE(CONTROL!$C$9, $D$9, 100%, $F$9) + CHOOSE(CONTROL!$C$27, 0.0021, 0)</f>
        <v>117.30549999999999</v>
      </c>
      <c r="D1062" s="10">
        <f>117.3034 * CHOOSE(CONTROL!$C$9, $D$9, 100%, $F$9) + CHOOSE(CONTROL!$C$27, 0.0021, 0)</f>
        <v>117.30549999999999</v>
      </c>
      <c r="E1062" s="10">
        <f>117.1668 * CHOOSE(CONTROL!$C$9, $D$9, 100%, $F$9) + CHOOSE(CONTROL!$C$27, 0.0021, 0)</f>
        <v>117.16889999999999</v>
      </c>
      <c r="F1062" s="10">
        <f>117.1668 * CHOOSE(CONTROL!$C$9, $D$9, 100%, $F$9) + CHOOSE(CONTROL!$C$27, 0.0021, 0)</f>
        <v>117.16889999999999</v>
      </c>
      <c r="G1062" s="10">
        <f>117.4381 * CHOOSE(CONTROL!$C$9, $D$9, 100%, $F$9) + CHOOSE(CONTROL!$C$27, 0.0021, 0)</f>
        <v>117.4402</v>
      </c>
      <c r="H1062" s="10">
        <f>117.3034 * CHOOSE(CONTROL!$C$9, $D$9, 100%, $F$9) + CHOOSE(CONTROL!$C$27, 0.0021, 0)</f>
        <v>117.30549999999999</v>
      </c>
      <c r="I1062" s="10">
        <f>117.3034 * CHOOSE(CONTROL!$C$9, $D$9, 100%, $F$9) + CHOOSE(CONTROL!$C$27, 0.0021, 0)</f>
        <v>117.30549999999999</v>
      </c>
      <c r="J1062" s="10">
        <f>117.3034 * CHOOSE(CONTROL!$C$9, $D$9, 100%, $F$9) + CHOOSE(CONTROL!$C$27, 0.0021, 0)</f>
        <v>117.30549999999999</v>
      </c>
      <c r="K1062" s="10">
        <f>117.3034 * CHOOSE(CONTROL!$C$9, $D$9, 100%, $F$9) + CHOOSE(CONTROL!$C$27, 0.0021, 0)</f>
        <v>117.30549999999999</v>
      </c>
      <c r="L1062" s="10"/>
    </row>
    <row r="1063" spans="1:12" ht="15.75" x14ac:dyDescent="0.25">
      <c r="A1063" s="13">
        <v>73293</v>
      </c>
      <c r="B1063" s="10">
        <f>118.4292 * CHOOSE(CONTROL!$C$9, $D$9, 100%, $F$9) + CHOOSE(CONTROL!$C$27, 0.0021, 0)</f>
        <v>118.43129999999999</v>
      </c>
      <c r="C1063" s="10">
        <f>117.9969 * CHOOSE(CONTROL!$C$9, $D$9, 100%, $F$9) + CHOOSE(CONTROL!$C$27, 0.0021, 0)</f>
        <v>117.999</v>
      </c>
      <c r="D1063" s="10">
        <f>117.9969 * CHOOSE(CONTROL!$C$9, $D$9, 100%, $F$9) + CHOOSE(CONTROL!$C$27, 0.0021, 0)</f>
        <v>117.999</v>
      </c>
      <c r="E1063" s="10">
        <f>117.8603 * CHOOSE(CONTROL!$C$9, $D$9, 100%, $F$9) + CHOOSE(CONTROL!$C$27, 0.0021, 0)</f>
        <v>117.86239999999999</v>
      </c>
      <c r="F1063" s="10">
        <f>117.8603 * CHOOSE(CONTROL!$C$9, $D$9, 100%, $F$9) + CHOOSE(CONTROL!$C$27, 0.0021, 0)</f>
        <v>117.86239999999999</v>
      </c>
      <c r="G1063" s="10">
        <f>118.1316 * CHOOSE(CONTROL!$C$9, $D$9, 100%, $F$9) + CHOOSE(CONTROL!$C$27, 0.0021, 0)</f>
        <v>118.1337</v>
      </c>
      <c r="H1063" s="10">
        <f>117.9969 * CHOOSE(CONTROL!$C$9, $D$9, 100%, $F$9) + CHOOSE(CONTROL!$C$27, 0.0021, 0)</f>
        <v>117.999</v>
      </c>
      <c r="I1063" s="10">
        <f>117.9969 * CHOOSE(CONTROL!$C$9, $D$9, 100%, $F$9) + CHOOSE(CONTROL!$C$27, 0.0021, 0)</f>
        <v>117.999</v>
      </c>
      <c r="J1063" s="10">
        <f>117.9969 * CHOOSE(CONTROL!$C$9, $D$9, 100%, $F$9) + CHOOSE(CONTROL!$C$27, 0.0021, 0)</f>
        <v>117.999</v>
      </c>
      <c r="K1063" s="10">
        <f>117.9969 * CHOOSE(CONTROL!$C$9, $D$9, 100%, $F$9) + CHOOSE(CONTROL!$C$27, 0.0021, 0)</f>
        <v>117.999</v>
      </c>
      <c r="L1063" s="10"/>
    </row>
    <row r="1064" spans="1:12" ht="15.75" x14ac:dyDescent="0.25">
      <c r="A1064" s="13">
        <v>73323</v>
      </c>
      <c r="B1064" s="10">
        <f>120.7908 * CHOOSE(CONTROL!$C$9, $D$9, 100%, $F$9) + CHOOSE(CONTROL!$C$27, 0.0021, 0)</f>
        <v>120.7929</v>
      </c>
      <c r="C1064" s="10">
        <f>120.3586 * CHOOSE(CONTROL!$C$9, $D$9, 100%, $F$9) + CHOOSE(CONTROL!$C$27, 0.0021, 0)</f>
        <v>120.36069999999999</v>
      </c>
      <c r="D1064" s="10">
        <f>120.3586 * CHOOSE(CONTROL!$C$9, $D$9, 100%, $F$9) + CHOOSE(CONTROL!$C$27, 0.0021, 0)</f>
        <v>120.36069999999999</v>
      </c>
      <c r="E1064" s="10">
        <f>120.2219 * CHOOSE(CONTROL!$C$9, $D$9, 100%, $F$9) + CHOOSE(CONTROL!$C$27, 0.0021, 0)</f>
        <v>120.224</v>
      </c>
      <c r="F1064" s="10">
        <f>120.2219 * CHOOSE(CONTROL!$C$9, $D$9, 100%, $F$9) + CHOOSE(CONTROL!$C$27, 0.0021, 0)</f>
        <v>120.224</v>
      </c>
      <c r="G1064" s="10">
        <f>120.4933 * CHOOSE(CONTROL!$C$9, $D$9, 100%, $F$9) + CHOOSE(CONTROL!$C$27, 0.0021, 0)</f>
        <v>120.4954</v>
      </c>
      <c r="H1064" s="10">
        <f>120.3586 * CHOOSE(CONTROL!$C$9, $D$9, 100%, $F$9) + CHOOSE(CONTROL!$C$27, 0.0021, 0)</f>
        <v>120.36069999999999</v>
      </c>
      <c r="I1064" s="10">
        <f>120.3586 * CHOOSE(CONTROL!$C$9, $D$9, 100%, $F$9) + CHOOSE(CONTROL!$C$27, 0.0021, 0)</f>
        <v>120.36069999999999</v>
      </c>
      <c r="J1064" s="10">
        <f>120.3586 * CHOOSE(CONTROL!$C$9, $D$9, 100%, $F$9) + CHOOSE(CONTROL!$C$27, 0.0021, 0)</f>
        <v>120.36069999999999</v>
      </c>
      <c r="K1064" s="10">
        <f>120.3586 * CHOOSE(CONTROL!$C$9, $D$9, 100%, $F$9) + CHOOSE(CONTROL!$C$27, 0.0021, 0)</f>
        <v>120.36069999999999</v>
      </c>
      <c r="L1064" s="10"/>
    </row>
    <row r="1065" spans="1:12" ht="15.75" x14ac:dyDescent="0.25">
      <c r="A1065" s="13">
        <v>73354</v>
      </c>
      <c r="B1065" s="10">
        <f>123.7802 * CHOOSE(CONTROL!$C$9, $D$9, 100%, $F$9) + CHOOSE(CONTROL!$C$27, 0.0021, 0)</f>
        <v>123.78229999999999</v>
      </c>
      <c r="C1065" s="10">
        <f>123.348 * CHOOSE(CONTROL!$C$9, $D$9, 100%, $F$9) + CHOOSE(CONTROL!$C$27, 0.0021, 0)</f>
        <v>123.3501</v>
      </c>
      <c r="D1065" s="10">
        <f>123.348 * CHOOSE(CONTROL!$C$9, $D$9, 100%, $F$9) + CHOOSE(CONTROL!$C$27, 0.0021, 0)</f>
        <v>123.3501</v>
      </c>
      <c r="E1065" s="10">
        <f>123.2113 * CHOOSE(CONTROL!$C$9, $D$9, 100%, $F$9) + CHOOSE(CONTROL!$C$27, 0.0021, 0)</f>
        <v>123.21339999999999</v>
      </c>
      <c r="F1065" s="10">
        <f>123.2113 * CHOOSE(CONTROL!$C$9, $D$9, 100%, $F$9) + CHOOSE(CONTROL!$C$27, 0.0021, 0)</f>
        <v>123.21339999999999</v>
      </c>
      <c r="G1065" s="10">
        <f>123.4827 * CHOOSE(CONTROL!$C$9, $D$9, 100%, $F$9) + CHOOSE(CONTROL!$C$27, 0.0021, 0)</f>
        <v>123.48479999999999</v>
      </c>
      <c r="H1065" s="10">
        <f>123.348 * CHOOSE(CONTROL!$C$9, $D$9, 100%, $F$9) + CHOOSE(CONTROL!$C$27, 0.0021, 0)</f>
        <v>123.3501</v>
      </c>
      <c r="I1065" s="10">
        <f>123.348 * CHOOSE(CONTROL!$C$9, $D$9, 100%, $F$9) + CHOOSE(CONTROL!$C$27, 0.0021, 0)</f>
        <v>123.3501</v>
      </c>
      <c r="J1065" s="10">
        <f>123.348 * CHOOSE(CONTROL!$C$9, $D$9, 100%, $F$9) + CHOOSE(CONTROL!$C$27, 0.0021, 0)</f>
        <v>123.3501</v>
      </c>
      <c r="K1065" s="10">
        <f>123.348 * CHOOSE(CONTROL!$C$9, $D$9, 100%, $F$9) + CHOOSE(CONTROL!$C$27, 0.0021, 0)</f>
        <v>123.3501</v>
      </c>
      <c r="L1065" s="10"/>
    </row>
    <row r="1066" spans="1:12" ht="15.75" x14ac:dyDescent="0.25">
      <c r="A1066" s="13">
        <v>73384</v>
      </c>
      <c r="B1066" s="10">
        <f>124.0609 * CHOOSE(CONTROL!$C$9, $D$9, 100%, $F$9) + CHOOSE(CONTROL!$C$27, 0.0021, 0)</f>
        <v>124.063</v>
      </c>
      <c r="C1066" s="10">
        <f>123.6286 * CHOOSE(CONTROL!$C$9, $D$9, 100%, $F$9) + CHOOSE(CONTROL!$C$27, 0.0021, 0)</f>
        <v>123.6307</v>
      </c>
      <c r="D1066" s="10">
        <f>123.6286 * CHOOSE(CONTROL!$C$9, $D$9, 100%, $F$9) + CHOOSE(CONTROL!$C$27, 0.0021, 0)</f>
        <v>123.6307</v>
      </c>
      <c r="E1066" s="10">
        <f>123.492 * CHOOSE(CONTROL!$C$9, $D$9, 100%, $F$9) + CHOOSE(CONTROL!$C$27, 0.0021, 0)</f>
        <v>123.4941</v>
      </c>
      <c r="F1066" s="10">
        <f>123.492 * CHOOSE(CONTROL!$C$9, $D$9, 100%, $F$9) + CHOOSE(CONTROL!$C$27, 0.0021, 0)</f>
        <v>123.4941</v>
      </c>
      <c r="G1066" s="10">
        <f>123.7633 * CHOOSE(CONTROL!$C$9, $D$9, 100%, $F$9) + CHOOSE(CONTROL!$C$27, 0.0021, 0)</f>
        <v>123.7654</v>
      </c>
      <c r="H1066" s="10">
        <f>123.6286 * CHOOSE(CONTROL!$C$9, $D$9, 100%, $F$9) + CHOOSE(CONTROL!$C$27, 0.0021, 0)</f>
        <v>123.6307</v>
      </c>
      <c r="I1066" s="10">
        <f>123.6286 * CHOOSE(CONTROL!$C$9, $D$9, 100%, $F$9) + CHOOSE(CONTROL!$C$27, 0.0021, 0)</f>
        <v>123.6307</v>
      </c>
      <c r="J1066" s="10">
        <f>123.6286 * CHOOSE(CONTROL!$C$9, $D$9, 100%, $F$9) + CHOOSE(CONTROL!$C$27, 0.0021, 0)</f>
        <v>123.6307</v>
      </c>
      <c r="K1066" s="10">
        <f>123.6286 * CHOOSE(CONTROL!$C$9, $D$9, 100%, $F$9) + CHOOSE(CONTROL!$C$27, 0.0021, 0)</f>
        <v>123.6307</v>
      </c>
      <c r="L1066" s="10"/>
    </row>
    <row r="1067" spans="1:12" ht="15.75" x14ac:dyDescent="0.25">
      <c r="A1067" s="13">
        <v>73415</v>
      </c>
      <c r="B1067" s="10">
        <f>121.6733 * CHOOSE(CONTROL!$C$9, $D$9, 100%, $F$9) + CHOOSE(CONTROL!$C$27, 0.0021, 0)</f>
        <v>121.6754</v>
      </c>
      <c r="C1067" s="10">
        <f>121.241 * CHOOSE(CONTROL!$C$9, $D$9, 100%, $F$9) + CHOOSE(CONTROL!$C$27, 0.0021, 0)</f>
        <v>121.2431</v>
      </c>
      <c r="D1067" s="10">
        <f>121.241 * CHOOSE(CONTROL!$C$9, $D$9, 100%, $F$9) + CHOOSE(CONTROL!$C$27, 0.0021, 0)</f>
        <v>121.2431</v>
      </c>
      <c r="E1067" s="10">
        <f>121.1044 * CHOOSE(CONTROL!$C$9, $D$9, 100%, $F$9) + CHOOSE(CONTROL!$C$27, 0.0021, 0)</f>
        <v>121.1065</v>
      </c>
      <c r="F1067" s="10">
        <f>121.1044 * CHOOSE(CONTROL!$C$9, $D$9, 100%, $F$9) + CHOOSE(CONTROL!$C$27, 0.0021, 0)</f>
        <v>121.1065</v>
      </c>
      <c r="G1067" s="10">
        <f>121.3757 * CHOOSE(CONTROL!$C$9, $D$9, 100%, $F$9) + CHOOSE(CONTROL!$C$27, 0.0021, 0)</f>
        <v>121.37779999999999</v>
      </c>
      <c r="H1067" s="10">
        <f>121.241 * CHOOSE(CONTROL!$C$9, $D$9, 100%, $F$9) + CHOOSE(CONTROL!$C$27, 0.0021, 0)</f>
        <v>121.2431</v>
      </c>
      <c r="I1067" s="10">
        <f>121.241 * CHOOSE(CONTROL!$C$9, $D$9, 100%, $F$9) + CHOOSE(CONTROL!$C$27, 0.0021, 0)</f>
        <v>121.2431</v>
      </c>
      <c r="J1067" s="10">
        <f>121.241 * CHOOSE(CONTROL!$C$9, $D$9, 100%, $F$9) + CHOOSE(CONTROL!$C$27, 0.0021, 0)</f>
        <v>121.2431</v>
      </c>
      <c r="K1067" s="10">
        <f>121.241 * CHOOSE(CONTROL!$C$9, $D$9, 100%, $F$9) + CHOOSE(CONTROL!$C$27, 0.0021, 0)</f>
        <v>121.2431</v>
      </c>
      <c r="L1067" s="10"/>
    </row>
    <row r="1068" spans="1:12" ht="15" x14ac:dyDescent="0.2">
      <c r="A1068" s="12"/>
      <c r="B1068" s="10"/>
      <c r="C1068" s="10"/>
      <c r="D1068" s="10"/>
      <c r="E1068" s="10"/>
      <c r="F1068" s="10"/>
      <c r="G1068" s="10"/>
      <c r="H1068" s="10"/>
      <c r="I1068" s="10"/>
      <c r="L1068" s="10"/>
    </row>
    <row r="1069" spans="1:12" ht="15" x14ac:dyDescent="0.2">
      <c r="A1069" s="11">
        <v>2013</v>
      </c>
      <c r="B1069" s="10">
        <f>AVERAGE(B12:B23)</f>
        <v>23.740023485309582</v>
      </c>
      <c r="C1069" s="10">
        <f>AVERAGE(C12:C23)</f>
        <v>23.307780403548559</v>
      </c>
      <c r="D1069" s="10"/>
      <c r="E1069" s="10">
        <f t="shared" ref="E1069:K1069" si="0">AVERAGE(E12:E23)</f>
        <v>23.171118453863041</v>
      </c>
      <c r="F1069" s="10">
        <f t="shared" si="0"/>
        <v>23.171118453863041</v>
      </c>
      <c r="G1069" s="10">
        <f t="shared" si="0"/>
        <v>23.442495969586307</v>
      </c>
      <c r="H1069" s="10">
        <f t="shared" si="0"/>
        <v>23.307780403548559</v>
      </c>
      <c r="I1069" s="10">
        <f t="shared" si="0"/>
        <v>23.307780403548559</v>
      </c>
      <c r="J1069" s="10">
        <f t="shared" si="0"/>
        <v>22.947566724303289</v>
      </c>
      <c r="K1069" s="10">
        <f t="shared" si="0"/>
        <v>23.307780403548559</v>
      </c>
      <c r="L1069" s="10"/>
    </row>
    <row r="1070" spans="1:12" ht="15" x14ac:dyDescent="0.2">
      <c r="A1070" s="11">
        <v>2014</v>
      </c>
      <c r="B1070" s="10">
        <f>AVERAGE(B24:B35)</f>
        <v>22.974649999999997</v>
      </c>
      <c r="C1070" s="10">
        <f>AVERAGE(C24:C35)</f>
        <v>22.542391666666663</v>
      </c>
      <c r="D1070" s="10"/>
      <c r="E1070" s="10">
        <f t="shared" ref="E1070:K1070" si="1">AVERAGE(E24:E35)</f>
        <v>22.405741666666668</v>
      </c>
      <c r="F1070" s="10">
        <f t="shared" si="1"/>
        <v>22.405741666666668</v>
      </c>
      <c r="G1070" s="10">
        <f t="shared" si="1"/>
        <v>22.677125</v>
      </c>
      <c r="H1070" s="10">
        <f t="shared" si="1"/>
        <v>22.542391666666663</v>
      </c>
      <c r="I1070" s="10">
        <f t="shared" si="1"/>
        <v>22.542391666666663</v>
      </c>
      <c r="J1070" s="10">
        <f t="shared" si="1"/>
        <v>22.182191666666665</v>
      </c>
      <c r="K1070" s="10">
        <f t="shared" si="1"/>
        <v>22.542391666666663</v>
      </c>
      <c r="L1070" s="10"/>
    </row>
    <row r="1071" spans="1:12" ht="15" x14ac:dyDescent="0.2">
      <c r="A1071" s="11">
        <v>2015</v>
      </c>
      <c r="B1071" s="10">
        <f>AVERAGE(B36:B47)</f>
        <v>22.427316666666666</v>
      </c>
      <c r="C1071" s="10">
        <f>AVERAGE(C36:C47)</f>
        <v>21.995066666666663</v>
      </c>
      <c r="D1071" s="10"/>
      <c r="E1071" s="10">
        <f t="shared" ref="E1071:K1071" si="2">AVERAGE(E36:E47)</f>
        <v>21.85840833333333</v>
      </c>
      <c r="F1071" s="10">
        <f t="shared" si="2"/>
        <v>21.85840833333333</v>
      </c>
      <c r="G1071" s="10">
        <f t="shared" si="2"/>
        <v>22.129783333333332</v>
      </c>
      <c r="H1071" s="10">
        <f t="shared" si="2"/>
        <v>21.995066666666663</v>
      </c>
      <c r="I1071" s="10">
        <f t="shared" si="2"/>
        <v>21.995066666666663</v>
      </c>
      <c r="J1071" s="10">
        <f t="shared" si="2"/>
        <v>21.995066666666663</v>
      </c>
      <c r="K1071" s="10">
        <f t="shared" si="2"/>
        <v>21.995066666666663</v>
      </c>
      <c r="L1071" s="10"/>
    </row>
    <row r="1072" spans="1:12" ht="15" x14ac:dyDescent="0.2">
      <c r="A1072" s="11">
        <v>2016</v>
      </c>
      <c r="B1072" s="10">
        <f>AVERAGE(B48:B59)</f>
        <v>23.094066666666663</v>
      </c>
      <c r="C1072" s="10">
        <f>AVERAGE(C48:C59)</f>
        <v>22.66180833333333</v>
      </c>
      <c r="D1072" s="10"/>
      <c r="E1072" s="10">
        <f t="shared" ref="E1072:K1072" si="3">AVERAGE(E48:E59)</f>
        <v>22.525158333333327</v>
      </c>
      <c r="F1072" s="10">
        <f t="shared" si="3"/>
        <v>22.525158333333327</v>
      </c>
      <c r="G1072" s="10">
        <f t="shared" si="3"/>
        <v>22.796524999999999</v>
      </c>
      <c r="H1072" s="10">
        <f t="shared" si="3"/>
        <v>22.66180833333333</v>
      </c>
      <c r="I1072" s="10">
        <f t="shared" si="3"/>
        <v>22.66180833333333</v>
      </c>
      <c r="J1072" s="10">
        <f t="shared" si="3"/>
        <v>22.66180833333333</v>
      </c>
      <c r="K1072" s="10">
        <f t="shared" si="3"/>
        <v>22.66180833333333</v>
      </c>
      <c r="L1072" s="10"/>
    </row>
    <row r="1073" spans="1:12" ht="15" x14ac:dyDescent="0.2">
      <c r="A1073" s="11">
        <v>2017</v>
      </c>
      <c r="B1073" s="10">
        <f>AVERAGE(B60:B71)</f>
        <v>23.515874999999998</v>
      </c>
      <c r="C1073" s="10">
        <f>AVERAGE(C60:C71)</f>
        <v>23.083616666666668</v>
      </c>
      <c r="D1073" s="10"/>
      <c r="E1073" s="10">
        <f t="shared" ref="E1073:K1073" si="4">AVERAGE(E60:E71)</f>
        <v>22.946966666666665</v>
      </c>
      <c r="F1073" s="10">
        <f t="shared" si="4"/>
        <v>22.946966666666665</v>
      </c>
      <c r="G1073" s="10">
        <f t="shared" si="4"/>
        <v>23.218333333333334</v>
      </c>
      <c r="H1073" s="10">
        <f t="shared" si="4"/>
        <v>23.083616666666668</v>
      </c>
      <c r="I1073" s="10">
        <f t="shared" si="4"/>
        <v>23.083616666666668</v>
      </c>
      <c r="J1073" s="10">
        <f t="shared" si="4"/>
        <v>23.083616666666668</v>
      </c>
      <c r="K1073" s="10">
        <f t="shared" si="4"/>
        <v>23.083616666666668</v>
      </c>
      <c r="L1073" s="10"/>
    </row>
    <row r="1074" spans="1:12" ht="15" x14ac:dyDescent="0.2">
      <c r="A1074" s="11">
        <v>2018</v>
      </c>
      <c r="B1074" s="10">
        <f>AVERAGE(B72:B83)</f>
        <v>25.072266666666664</v>
      </c>
      <c r="C1074" s="10">
        <f>AVERAGE(C72:C83)</f>
        <v>24.640016666666664</v>
      </c>
      <c r="D1074" s="10"/>
      <c r="E1074" s="10">
        <f t="shared" ref="E1074:K1074" si="5">AVERAGE(E72:E83)</f>
        <v>24.503349999999998</v>
      </c>
      <c r="F1074" s="10">
        <f t="shared" si="5"/>
        <v>24.503349999999998</v>
      </c>
      <c r="G1074" s="10">
        <f t="shared" si="5"/>
        <v>24.774724999999993</v>
      </c>
      <c r="H1074" s="10">
        <f t="shared" si="5"/>
        <v>24.640016666666664</v>
      </c>
      <c r="I1074" s="10">
        <f t="shared" si="5"/>
        <v>24.640016666666664</v>
      </c>
      <c r="J1074" s="10">
        <f t="shared" si="5"/>
        <v>24.640016666666664</v>
      </c>
      <c r="K1074" s="10">
        <f t="shared" si="5"/>
        <v>24.640016666666664</v>
      </c>
      <c r="L1074" s="10"/>
    </row>
    <row r="1075" spans="1:12" ht="15" x14ac:dyDescent="0.2">
      <c r="A1075" s="11">
        <v>2019</v>
      </c>
      <c r="B1075" s="10">
        <f>AVERAGE(B84:B95)</f>
        <v>25.597874999999998</v>
      </c>
      <c r="C1075" s="10">
        <f>AVERAGE(C84:C95)</f>
        <v>25.165641666666662</v>
      </c>
      <c r="D1075" s="10"/>
      <c r="E1075" s="10">
        <f t="shared" ref="E1075:K1075" si="6">AVERAGE(E84:E95)</f>
        <v>25.028974999999999</v>
      </c>
      <c r="F1075" s="10">
        <f t="shared" si="6"/>
        <v>25.028974999999999</v>
      </c>
      <c r="G1075" s="10">
        <f t="shared" si="6"/>
        <v>25.300358333333335</v>
      </c>
      <c r="H1075" s="10">
        <f t="shared" si="6"/>
        <v>25.165641666666662</v>
      </c>
      <c r="I1075" s="10">
        <f t="shared" si="6"/>
        <v>25.165641666666662</v>
      </c>
      <c r="J1075" s="10">
        <f t="shared" si="6"/>
        <v>25.165641666666662</v>
      </c>
      <c r="K1075" s="10">
        <f t="shared" si="6"/>
        <v>25.165641666666662</v>
      </c>
      <c r="L1075" s="10"/>
    </row>
    <row r="1076" spans="1:12" ht="15" x14ac:dyDescent="0.2">
      <c r="A1076" s="11">
        <v>2020</v>
      </c>
      <c r="B1076" s="10">
        <f>AVERAGE(B96:B107)</f>
        <v>26.296533333333333</v>
      </c>
      <c r="C1076" s="10">
        <f>AVERAGE(C96:C107)</f>
        <v>25.864308333333337</v>
      </c>
      <c r="D1076" s="10"/>
      <c r="E1076" s="10">
        <f t="shared" ref="E1076:K1076" si="7">AVERAGE(E96:E107)</f>
        <v>25.727625</v>
      </c>
      <c r="F1076" s="10">
        <f t="shared" si="7"/>
        <v>25.727625</v>
      </c>
      <c r="G1076" s="10">
        <f t="shared" si="7"/>
        <v>25.999025</v>
      </c>
      <c r="H1076" s="10">
        <f t="shared" si="7"/>
        <v>25.864308333333337</v>
      </c>
      <c r="I1076" s="10">
        <f t="shared" si="7"/>
        <v>25.864308333333337</v>
      </c>
      <c r="J1076" s="10">
        <f t="shared" si="7"/>
        <v>25.864308333333337</v>
      </c>
      <c r="K1076" s="10">
        <f t="shared" si="7"/>
        <v>25.864308333333337</v>
      </c>
      <c r="L1076" s="10"/>
    </row>
    <row r="1077" spans="1:12" ht="15" x14ac:dyDescent="0.2">
      <c r="A1077" s="11">
        <v>2021</v>
      </c>
      <c r="B1077" s="10">
        <f>AVERAGE(B108:B119)</f>
        <v>27.513566666666666</v>
      </c>
      <c r="C1077" s="10">
        <f>AVERAGE(C108:C119)</f>
        <v>27.081299999999999</v>
      </c>
      <c r="D1077" s="10"/>
      <c r="E1077" s="10">
        <f t="shared" ref="E1077:K1077" si="8">AVERAGE(E108:E119)</f>
        <v>26.944658333333326</v>
      </c>
      <c r="F1077" s="10">
        <f t="shared" si="8"/>
        <v>26.944658333333326</v>
      </c>
      <c r="G1077" s="10">
        <f t="shared" si="8"/>
        <v>27.216041666666669</v>
      </c>
      <c r="H1077" s="10">
        <f t="shared" si="8"/>
        <v>27.081299999999999</v>
      </c>
      <c r="I1077" s="10">
        <f t="shared" si="8"/>
        <v>27.081299999999999</v>
      </c>
      <c r="J1077" s="10">
        <f t="shared" si="8"/>
        <v>27.081299999999999</v>
      </c>
      <c r="K1077" s="10">
        <f t="shared" si="8"/>
        <v>27.081299999999999</v>
      </c>
      <c r="L1077" s="10"/>
    </row>
    <row r="1078" spans="1:12" ht="15" x14ac:dyDescent="0.2">
      <c r="A1078" s="11">
        <v>2022</v>
      </c>
      <c r="B1078" s="10">
        <f>AVERAGE(B120:B131)</f>
        <v>28.80693333333333</v>
      </c>
      <c r="C1078" s="10">
        <f>AVERAGE(C120:C131)</f>
        <v>28.374691666666664</v>
      </c>
      <c r="D1078" s="10"/>
      <c r="E1078" s="10">
        <f t="shared" ref="E1078:K1078" si="9">AVERAGE(E120:E131)</f>
        <v>28.238025000000004</v>
      </c>
      <c r="F1078" s="10">
        <f t="shared" si="9"/>
        <v>28.238025000000004</v>
      </c>
      <c r="G1078" s="10">
        <f t="shared" si="9"/>
        <v>28.509399999999999</v>
      </c>
      <c r="H1078" s="10">
        <f t="shared" si="9"/>
        <v>28.374691666666664</v>
      </c>
      <c r="I1078" s="10">
        <f t="shared" si="9"/>
        <v>28.374691666666664</v>
      </c>
      <c r="J1078" s="10">
        <f t="shared" si="9"/>
        <v>28.374691666666664</v>
      </c>
      <c r="K1078" s="10">
        <f t="shared" si="9"/>
        <v>28.374691666666664</v>
      </c>
      <c r="L1078" s="10"/>
    </row>
    <row r="1079" spans="1:12" ht="15" x14ac:dyDescent="0.2">
      <c r="A1079" s="11">
        <v>2023</v>
      </c>
      <c r="B1079" s="10">
        <f>AVERAGE(B132:B143)</f>
        <v>30.056541666666661</v>
      </c>
      <c r="C1079" s="10">
        <f>AVERAGE(C132:C143)</f>
        <v>29.624299999999995</v>
      </c>
      <c r="D1079" s="10"/>
      <c r="E1079" s="10">
        <f t="shared" ref="E1079:K1079" si="10">AVERAGE(E132:E143)</f>
        <v>29.487641666666665</v>
      </c>
      <c r="F1079" s="10">
        <f t="shared" si="10"/>
        <v>29.487641666666665</v>
      </c>
      <c r="G1079" s="10">
        <f t="shared" si="10"/>
        <v>29.759008333333338</v>
      </c>
      <c r="H1079" s="10">
        <f t="shared" si="10"/>
        <v>29.624299999999995</v>
      </c>
      <c r="I1079" s="10">
        <f t="shared" si="10"/>
        <v>29.624299999999995</v>
      </c>
      <c r="J1079" s="10">
        <f t="shared" si="10"/>
        <v>29.624299999999995</v>
      </c>
      <c r="K1079" s="10">
        <f t="shared" si="10"/>
        <v>29.624299999999995</v>
      </c>
      <c r="L1079" s="10"/>
    </row>
    <row r="1080" spans="1:12" ht="15" x14ac:dyDescent="0.2">
      <c r="A1080" s="11">
        <v>2024</v>
      </c>
      <c r="B1080" s="10">
        <f>AVERAGE(B144:B155)</f>
        <v>31.26420833333334</v>
      </c>
      <c r="C1080" s="10">
        <f>AVERAGE(C144:C155)</f>
        <v>30.831950000000003</v>
      </c>
      <c r="D1080" s="10"/>
      <c r="E1080" s="10">
        <f t="shared" ref="E1080:K1080" si="11">AVERAGE(E144:E155)</f>
        <v>30.695299999999992</v>
      </c>
      <c r="F1080" s="10">
        <f t="shared" si="11"/>
        <v>30.695299999999992</v>
      </c>
      <c r="G1080" s="10">
        <f t="shared" si="11"/>
        <v>30.966658333333331</v>
      </c>
      <c r="H1080" s="10">
        <f t="shared" si="11"/>
        <v>30.831950000000003</v>
      </c>
      <c r="I1080" s="10">
        <f t="shared" si="11"/>
        <v>30.831950000000003</v>
      </c>
      <c r="J1080" s="10">
        <f t="shared" si="11"/>
        <v>30.831950000000003</v>
      </c>
      <c r="K1080" s="10">
        <f t="shared" si="11"/>
        <v>30.831950000000003</v>
      </c>
      <c r="L1080" s="10"/>
    </row>
    <row r="1081" spans="1:12" ht="15" x14ac:dyDescent="0.2">
      <c r="A1081" s="11">
        <v>2025</v>
      </c>
      <c r="B1081" s="10">
        <f>AVERAGE(B156:B167)</f>
        <v>32.431858333333338</v>
      </c>
      <c r="C1081" s="10">
        <f>AVERAGE(C156:C167)</f>
        <v>31.999616666666668</v>
      </c>
      <c r="D1081" s="10"/>
      <c r="E1081" s="10">
        <f t="shared" ref="E1081:K1081" si="12">AVERAGE(E156:E167)</f>
        <v>31.862958333333328</v>
      </c>
      <c r="F1081" s="10">
        <f t="shared" si="12"/>
        <v>31.862958333333328</v>
      </c>
      <c r="G1081" s="10">
        <f t="shared" si="12"/>
        <v>32.134333333333331</v>
      </c>
      <c r="H1081" s="10">
        <f t="shared" si="12"/>
        <v>31.999616666666668</v>
      </c>
      <c r="I1081" s="10">
        <f t="shared" si="12"/>
        <v>31.999616666666668</v>
      </c>
      <c r="J1081" s="10">
        <f t="shared" si="12"/>
        <v>31.999616666666668</v>
      </c>
      <c r="K1081" s="10">
        <f t="shared" si="12"/>
        <v>31.999616666666668</v>
      </c>
      <c r="L1081" s="10"/>
    </row>
    <row r="1082" spans="1:12" ht="15" x14ac:dyDescent="0.2">
      <c r="A1082" s="11">
        <v>2026</v>
      </c>
      <c r="B1082" s="10">
        <f>AVERAGE(B168:B179)</f>
        <v>33.069941666666665</v>
      </c>
      <c r="C1082" s="10">
        <f>AVERAGE(C168:C179)</f>
        <v>32.637683333333335</v>
      </c>
      <c r="D1082" s="10"/>
      <c r="E1082" s="10">
        <f t="shared" ref="E1082:K1082" si="13">AVERAGE(E168:E179)</f>
        <v>32.501033333333332</v>
      </c>
      <c r="F1082" s="10">
        <f t="shared" si="13"/>
        <v>32.501033333333332</v>
      </c>
      <c r="G1082" s="10">
        <f t="shared" si="13"/>
        <v>32.772408333333331</v>
      </c>
      <c r="H1082" s="10">
        <f t="shared" si="13"/>
        <v>32.637683333333335</v>
      </c>
      <c r="I1082" s="10">
        <f t="shared" si="13"/>
        <v>32.637683333333335</v>
      </c>
      <c r="J1082" s="10">
        <f t="shared" si="13"/>
        <v>32.637683333333335</v>
      </c>
      <c r="K1082" s="10">
        <f t="shared" si="13"/>
        <v>32.637683333333335</v>
      </c>
      <c r="L1082" s="10"/>
    </row>
    <row r="1083" spans="1:12" ht="15" x14ac:dyDescent="0.2">
      <c r="A1083" s="11">
        <v>2027</v>
      </c>
      <c r="B1083" s="10">
        <f>AVERAGE(B180:B191)</f>
        <v>33.683908333333335</v>
      </c>
      <c r="C1083" s="10">
        <f>AVERAGE(C180:C191)</f>
        <v>33.251666666666665</v>
      </c>
      <c r="D1083" s="10"/>
      <c r="E1083" s="10">
        <f t="shared" ref="E1083:K1083" si="14">AVERAGE(E180:E191)</f>
        <v>33.114999999999995</v>
      </c>
      <c r="F1083" s="10">
        <f t="shared" si="14"/>
        <v>33.114999999999995</v>
      </c>
      <c r="G1083" s="10">
        <f t="shared" si="14"/>
        <v>33.386374999999994</v>
      </c>
      <c r="H1083" s="10">
        <f t="shared" si="14"/>
        <v>33.251666666666665</v>
      </c>
      <c r="I1083" s="10">
        <f t="shared" si="14"/>
        <v>33.251666666666665</v>
      </c>
      <c r="J1083" s="10">
        <f t="shared" si="14"/>
        <v>33.251666666666665</v>
      </c>
      <c r="K1083" s="10">
        <f t="shared" si="14"/>
        <v>33.251666666666665</v>
      </c>
      <c r="L1083" s="10"/>
    </row>
    <row r="1084" spans="1:12" ht="15" x14ac:dyDescent="0.2">
      <c r="A1084" s="11">
        <v>2028</v>
      </c>
      <c r="B1084" s="10">
        <f>AVERAGE(B192:B203)</f>
        <v>34.248241666666672</v>
      </c>
      <c r="C1084" s="10">
        <f>AVERAGE(C192:C203)</f>
        <v>33.815983333333328</v>
      </c>
      <c r="D1084" s="10"/>
      <c r="E1084" s="10">
        <f t="shared" ref="E1084:K1084" si="15">AVERAGE(E192:E203)</f>
        <v>33.679333333333325</v>
      </c>
      <c r="F1084" s="10">
        <f t="shared" si="15"/>
        <v>33.679333333333325</v>
      </c>
      <c r="G1084" s="10">
        <f t="shared" si="15"/>
        <v>33.950691666666664</v>
      </c>
      <c r="H1084" s="10">
        <f t="shared" si="15"/>
        <v>33.815983333333328</v>
      </c>
      <c r="I1084" s="10">
        <f t="shared" si="15"/>
        <v>33.815983333333328</v>
      </c>
      <c r="J1084" s="10">
        <f t="shared" si="15"/>
        <v>33.815983333333328</v>
      </c>
      <c r="K1084" s="10">
        <f t="shared" si="15"/>
        <v>33.815983333333328</v>
      </c>
      <c r="L1084" s="10"/>
    </row>
    <row r="1085" spans="1:12" ht="15" x14ac:dyDescent="0.2">
      <c r="A1085" s="11">
        <v>2029</v>
      </c>
      <c r="B1085" s="10">
        <f>AVERAGE(B204:B215)</f>
        <v>34.840308333333333</v>
      </c>
      <c r="C1085" s="10">
        <f>AVERAGE(C204:C215)</f>
        <v>34.408075000000004</v>
      </c>
      <c r="D1085" s="10"/>
      <c r="E1085" s="10">
        <f t="shared" ref="E1085:K1085" si="16">AVERAGE(E204:E215)</f>
        <v>34.271408333333333</v>
      </c>
      <c r="F1085" s="10">
        <f t="shared" si="16"/>
        <v>34.271408333333333</v>
      </c>
      <c r="G1085" s="10">
        <f t="shared" si="16"/>
        <v>34.542774999999999</v>
      </c>
      <c r="H1085" s="10">
        <f t="shared" si="16"/>
        <v>34.408075000000004</v>
      </c>
      <c r="I1085" s="10">
        <f t="shared" si="16"/>
        <v>34.408075000000004</v>
      </c>
      <c r="J1085" s="10">
        <f t="shared" si="16"/>
        <v>34.408075000000004</v>
      </c>
      <c r="K1085" s="10">
        <f t="shared" si="16"/>
        <v>34.408075000000004</v>
      </c>
      <c r="L1085" s="10"/>
    </row>
    <row r="1086" spans="1:12" ht="15" x14ac:dyDescent="0.2">
      <c r="A1086" s="11">
        <v>2030</v>
      </c>
      <c r="B1086" s="10">
        <f>AVERAGE(B216:B227)</f>
        <v>35.42605833333333</v>
      </c>
      <c r="C1086" s="10">
        <f>AVERAGE(C216:C227)</f>
        <v>34.993791666666674</v>
      </c>
      <c r="D1086" s="10"/>
      <c r="E1086" s="10">
        <f t="shared" ref="E1086:K1086" si="17">AVERAGE(E216:E227)</f>
        <v>34.857158333333331</v>
      </c>
      <c r="F1086" s="10">
        <f t="shared" si="17"/>
        <v>34.857158333333331</v>
      </c>
      <c r="G1086" s="10">
        <f t="shared" si="17"/>
        <v>35.128516666666663</v>
      </c>
      <c r="H1086" s="10">
        <f t="shared" si="17"/>
        <v>34.993791666666674</v>
      </c>
      <c r="I1086" s="10">
        <f t="shared" si="17"/>
        <v>34.993791666666674</v>
      </c>
      <c r="J1086" s="10">
        <f t="shared" si="17"/>
        <v>34.993791666666674</v>
      </c>
      <c r="K1086" s="10">
        <f t="shared" si="17"/>
        <v>34.993791666666674</v>
      </c>
      <c r="L1086" s="10"/>
    </row>
    <row r="1087" spans="1:12" ht="15" x14ac:dyDescent="0.2">
      <c r="A1087" s="11">
        <v>2031</v>
      </c>
      <c r="B1087" s="10">
        <f>AVERAGE(B228:B239)</f>
        <v>36.02258333333333</v>
      </c>
      <c r="C1087" s="10">
        <f>AVERAGE(C228:C239)</f>
        <v>35.590325</v>
      </c>
      <c r="D1087" s="10"/>
      <c r="E1087" s="10">
        <f t="shared" ref="E1087:K1087" si="18">AVERAGE(E228:E239)</f>
        <v>35.453674999999997</v>
      </c>
      <c r="F1087" s="10">
        <f t="shared" si="18"/>
        <v>35.453674999999997</v>
      </c>
      <c r="G1087" s="10">
        <f t="shared" si="18"/>
        <v>35.72505833333333</v>
      </c>
      <c r="H1087" s="10">
        <f t="shared" si="18"/>
        <v>35.590325</v>
      </c>
      <c r="I1087" s="10">
        <f t="shared" si="18"/>
        <v>35.590325</v>
      </c>
      <c r="J1087" s="10">
        <f t="shared" si="18"/>
        <v>35.590325</v>
      </c>
      <c r="K1087" s="10">
        <f t="shared" si="18"/>
        <v>35.590325</v>
      </c>
      <c r="L1087" s="10"/>
    </row>
    <row r="1088" spans="1:12" ht="15" x14ac:dyDescent="0.2">
      <c r="A1088" s="11">
        <v>2032</v>
      </c>
      <c r="B1088" s="10">
        <f>AVERAGE(B240:B251)</f>
        <v>36.629849999999998</v>
      </c>
      <c r="C1088" s="10">
        <f>AVERAGE(C240:C251)</f>
        <v>36.197599999999994</v>
      </c>
      <c r="D1088" s="10"/>
      <c r="E1088" s="10">
        <f t="shared" ref="E1088:K1088" si="19">AVERAGE(E240:E251)</f>
        <v>36.060941666666665</v>
      </c>
      <c r="F1088" s="10">
        <f t="shared" si="19"/>
        <v>36.060941666666665</v>
      </c>
      <c r="G1088" s="10">
        <f t="shared" si="19"/>
        <v>36.332333333333331</v>
      </c>
      <c r="H1088" s="10">
        <f t="shared" si="19"/>
        <v>36.197599999999994</v>
      </c>
      <c r="I1088" s="10">
        <f t="shared" si="19"/>
        <v>36.197599999999994</v>
      </c>
      <c r="J1088" s="10">
        <f t="shared" si="19"/>
        <v>36.197599999999994</v>
      </c>
      <c r="K1088" s="10">
        <f t="shared" si="19"/>
        <v>36.197599999999994</v>
      </c>
      <c r="L1088" s="10"/>
    </row>
    <row r="1089" spans="1:12" ht="15" x14ac:dyDescent="0.2">
      <c r="A1089" s="11">
        <v>2033</v>
      </c>
      <c r="B1089" s="10">
        <f>AVERAGE(B252:B263)</f>
        <v>37.248049999999999</v>
      </c>
      <c r="C1089" s="10">
        <f>AVERAGE(C252:C263)</f>
        <v>36.815799999999989</v>
      </c>
      <c r="D1089" s="10"/>
      <c r="E1089" s="10">
        <f t="shared" ref="E1089:K1089" si="20">AVERAGE(E252:E263)</f>
        <v>36.67915</v>
      </c>
      <c r="F1089" s="10">
        <f t="shared" si="20"/>
        <v>36.67915</v>
      </c>
      <c r="G1089" s="10">
        <f t="shared" si="20"/>
        <v>36.950533333333333</v>
      </c>
      <c r="H1089" s="10">
        <f t="shared" si="20"/>
        <v>36.815799999999989</v>
      </c>
      <c r="I1089" s="10">
        <f t="shared" si="20"/>
        <v>36.815799999999989</v>
      </c>
      <c r="J1089" s="10">
        <f t="shared" si="20"/>
        <v>36.815799999999989</v>
      </c>
      <c r="K1089" s="10">
        <f t="shared" si="20"/>
        <v>36.815799999999989</v>
      </c>
      <c r="L1089" s="10"/>
    </row>
    <row r="1090" spans="1:12" ht="15" x14ac:dyDescent="0.2">
      <c r="A1090" s="11">
        <v>2034</v>
      </c>
      <c r="B1090" s="10">
        <f>AVERAGE(B264:B275)</f>
        <v>37.877391666666668</v>
      </c>
      <c r="C1090" s="10">
        <f>AVERAGE(C264:C275)</f>
        <v>37.445124999999997</v>
      </c>
      <c r="D1090" s="10"/>
      <c r="E1090" s="10">
        <f t="shared" ref="E1090:K1090" si="21">AVERAGE(E264:E275)</f>
        <v>37.308483333333328</v>
      </c>
      <c r="F1090" s="10">
        <f t="shared" si="21"/>
        <v>37.308483333333328</v>
      </c>
      <c r="G1090" s="10">
        <f t="shared" si="21"/>
        <v>37.57985</v>
      </c>
      <c r="H1090" s="10">
        <f t="shared" si="21"/>
        <v>37.445124999999997</v>
      </c>
      <c r="I1090" s="10">
        <f t="shared" si="21"/>
        <v>37.445124999999997</v>
      </c>
      <c r="J1090" s="10">
        <f t="shared" si="21"/>
        <v>37.445124999999997</v>
      </c>
      <c r="K1090" s="10">
        <f t="shared" si="21"/>
        <v>37.445124999999997</v>
      </c>
      <c r="L1090" s="10"/>
    </row>
    <row r="1091" spans="1:12" ht="15" x14ac:dyDescent="0.2">
      <c r="A1091" s="11">
        <v>2035</v>
      </c>
      <c r="B1091" s="10">
        <f>AVERAGE(B276:B287)</f>
        <v>38.518041666666669</v>
      </c>
      <c r="C1091" s="10">
        <f>AVERAGE(C276:C287)</f>
        <v>38.085799999999999</v>
      </c>
      <c r="D1091" s="10"/>
      <c r="E1091" s="10">
        <f t="shared" ref="E1091:K1091" si="22">AVERAGE(E276:E287)</f>
        <v>37.949133333333329</v>
      </c>
      <c r="F1091" s="10">
        <f t="shared" si="22"/>
        <v>37.949133333333329</v>
      </c>
      <c r="G1091" s="10">
        <f t="shared" si="22"/>
        <v>38.220516666666661</v>
      </c>
      <c r="H1091" s="10">
        <f t="shared" si="22"/>
        <v>38.085799999999999</v>
      </c>
      <c r="I1091" s="10">
        <f t="shared" si="22"/>
        <v>38.085799999999999</v>
      </c>
      <c r="J1091" s="10">
        <f t="shared" si="22"/>
        <v>38.085799999999999</v>
      </c>
      <c r="K1091" s="10">
        <f t="shared" si="22"/>
        <v>38.085799999999999</v>
      </c>
      <c r="L1091" s="10"/>
    </row>
    <row r="1092" spans="1:12" ht="15" x14ac:dyDescent="0.2">
      <c r="A1092" s="11">
        <v>2036</v>
      </c>
      <c r="B1092" s="10">
        <f>AVERAGE(B288:B299)</f>
        <v>39.170250000000003</v>
      </c>
      <c r="C1092" s="10">
        <f>AVERAGE(C288:C299)</f>
        <v>38.737991666666666</v>
      </c>
      <c r="D1092" s="10"/>
      <c r="E1092" s="10">
        <f t="shared" ref="E1092:K1092" si="23">AVERAGE(E288:E299)</f>
        <v>38.601349999999996</v>
      </c>
      <c r="F1092" s="10">
        <f t="shared" si="23"/>
        <v>38.601349999999996</v>
      </c>
      <c r="G1092" s="10">
        <f t="shared" si="23"/>
        <v>38.872716666666662</v>
      </c>
      <c r="H1092" s="10">
        <f t="shared" si="23"/>
        <v>38.737991666666666</v>
      </c>
      <c r="I1092" s="10">
        <f t="shared" si="23"/>
        <v>38.737991666666666</v>
      </c>
      <c r="J1092" s="10">
        <f t="shared" si="23"/>
        <v>38.737991666666666</v>
      </c>
      <c r="K1092" s="10">
        <f t="shared" si="23"/>
        <v>38.737991666666666</v>
      </c>
      <c r="L1092" s="10"/>
    </row>
    <row r="1093" spans="1:12" ht="15" x14ac:dyDescent="0.2">
      <c r="A1093" s="11">
        <v>2037</v>
      </c>
      <c r="B1093" s="10">
        <f>AVERAGE(B300:B311)</f>
        <v>39.834191666666662</v>
      </c>
      <c r="C1093" s="10">
        <f>AVERAGE(C300:C311)</f>
        <v>39.401933333333332</v>
      </c>
      <c r="D1093" s="10"/>
      <c r="E1093" s="10">
        <f t="shared" ref="E1093:K1093" si="24">AVERAGE(E300:E311)</f>
        <v>39.26529166666667</v>
      </c>
      <c r="F1093" s="10">
        <f t="shared" si="24"/>
        <v>39.26529166666667</v>
      </c>
      <c r="G1093" s="10">
        <f t="shared" si="24"/>
        <v>39.536674999999995</v>
      </c>
      <c r="H1093" s="10">
        <f t="shared" si="24"/>
        <v>39.401933333333332</v>
      </c>
      <c r="I1093" s="10">
        <f t="shared" si="24"/>
        <v>39.401933333333332</v>
      </c>
      <c r="J1093" s="10">
        <f t="shared" si="24"/>
        <v>39.401933333333332</v>
      </c>
      <c r="K1093" s="10">
        <f t="shared" si="24"/>
        <v>39.401933333333332</v>
      </c>
      <c r="L1093" s="10"/>
    </row>
    <row r="1094" spans="1:12" ht="15" x14ac:dyDescent="0.2">
      <c r="A1094" s="11">
        <f t="shared" ref="A1094:A1125" si="25">A1093+1</f>
        <v>2038</v>
      </c>
      <c r="B1094" s="10">
        <f>AVERAGE(B312:B323)</f>
        <v>40.510083333333334</v>
      </c>
      <c r="C1094" s="10">
        <f>AVERAGE(C312:C323)</f>
        <v>40.077841666666671</v>
      </c>
      <c r="D1094" s="10"/>
      <c r="E1094" s="10">
        <f t="shared" ref="E1094:K1094" si="26">AVERAGE(E312:E323)</f>
        <v>39.941183333333335</v>
      </c>
      <c r="F1094" s="10">
        <f t="shared" si="26"/>
        <v>39.941183333333335</v>
      </c>
      <c r="G1094" s="10">
        <f t="shared" si="26"/>
        <v>40.212575000000001</v>
      </c>
      <c r="H1094" s="10">
        <f t="shared" si="26"/>
        <v>40.077841666666671</v>
      </c>
      <c r="I1094" s="10">
        <f t="shared" si="26"/>
        <v>40.077841666666671</v>
      </c>
      <c r="J1094" s="10">
        <f t="shared" si="26"/>
        <v>40.077841666666671</v>
      </c>
      <c r="K1094" s="10">
        <f t="shared" si="26"/>
        <v>40.077841666666671</v>
      </c>
      <c r="L1094" s="10"/>
    </row>
    <row r="1095" spans="1:12" ht="15" x14ac:dyDescent="0.2">
      <c r="A1095" s="11">
        <f t="shared" si="25"/>
        <v>2039</v>
      </c>
      <c r="B1095" s="10">
        <f>AVERAGE(B324:B335)</f>
        <v>41.198150000000005</v>
      </c>
      <c r="C1095" s="10">
        <f>AVERAGE(C324:C335)</f>
        <v>40.765908333333336</v>
      </c>
      <c r="D1095" s="10"/>
      <c r="E1095" s="10">
        <f t="shared" ref="E1095:K1095" si="27">AVERAGE(E324:E335)</f>
        <v>40.629249999999999</v>
      </c>
      <c r="F1095" s="10">
        <f t="shared" si="27"/>
        <v>40.629249999999999</v>
      </c>
      <c r="G1095" s="10">
        <f t="shared" si="27"/>
        <v>40.900633333333332</v>
      </c>
      <c r="H1095" s="10">
        <f t="shared" si="27"/>
        <v>40.765908333333336</v>
      </c>
      <c r="I1095" s="10">
        <f t="shared" si="27"/>
        <v>40.765908333333336</v>
      </c>
      <c r="J1095" s="10">
        <f t="shared" si="27"/>
        <v>40.765908333333336</v>
      </c>
      <c r="K1095" s="10">
        <f t="shared" si="27"/>
        <v>40.765908333333336</v>
      </c>
      <c r="L1095" s="10"/>
    </row>
    <row r="1096" spans="1:12" ht="15" x14ac:dyDescent="0.2">
      <c r="A1096" s="11">
        <f t="shared" si="25"/>
        <v>2040</v>
      </c>
      <c r="B1096" s="10">
        <f>AVERAGE(B336:B347)</f>
        <v>41.898625000000003</v>
      </c>
      <c r="C1096" s="10">
        <f>AVERAGE(C336:C347)</f>
        <v>41.466333333333331</v>
      </c>
      <c r="D1096" s="10"/>
      <c r="E1096" s="10">
        <f t="shared" ref="E1096:K1096" si="28">AVERAGE(E336:E347)</f>
        <v>41.329724999999996</v>
      </c>
      <c r="F1096" s="10">
        <f t="shared" si="28"/>
        <v>41.329724999999996</v>
      </c>
      <c r="G1096" s="10">
        <f t="shared" si="28"/>
        <v>41.601083333333328</v>
      </c>
      <c r="H1096" s="10">
        <f t="shared" si="28"/>
        <v>41.466333333333331</v>
      </c>
      <c r="I1096" s="10">
        <f t="shared" si="28"/>
        <v>41.466333333333331</v>
      </c>
      <c r="J1096" s="10">
        <f t="shared" si="28"/>
        <v>41.466333333333331</v>
      </c>
      <c r="K1096" s="10">
        <f t="shared" si="28"/>
        <v>41.466333333333331</v>
      </c>
      <c r="L1096" s="10"/>
    </row>
    <row r="1097" spans="1:12" ht="15" x14ac:dyDescent="0.2">
      <c r="A1097" s="11">
        <f t="shared" si="25"/>
        <v>2041</v>
      </c>
      <c r="B1097" s="10">
        <f>AVERAGE(B348:B359)</f>
        <v>42.611666666666657</v>
      </c>
      <c r="C1097" s="10">
        <f>AVERAGE(C348:C359)</f>
        <v>42.179433333333328</v>
      </c>
      <c r="D1097" s="10"/>
      <c r="E1097" s="10">
        <f t="shared" ref="E1097:K1097" si="29">AVERAGE(E348:E359)</f>
        <v>42.042758333333332</v>
      </c>
      <c r="F1097" s="10">
        <f t="shared" si="29"/>
        <v>42.042758333333332</v>
      </c>
      <c r="G1097" s="10">
        <f t="shared" si="29"/>
        <v>42.314141666666664</v>
      </c>
      <c r="H1097" s="10">
        <f t="shared" si="29"/>
        <v>42.179433333333328</v>
      </c>
      <c r="I1097" s="10">
        <f t="shared" si="29"/>
        <v>42.179433333333328</v>
      </c>
      <c r="J1097" s="10">
        <f t="shared" si="29"/>
        <v>42.179433333333328</v>
      </c>
      <c r="K1097" s="10">
        <f t="shared" si="29"/>
        <v>42.179433333333328</v>
      </c>
      <c r="L1097" s="10"/>
    </row>
    <row r="1098" spans="1:12" ht="15" x14ac:dyDescent="0.2">
      <c r="A1098" s="11">
        <f t="shared" si="25"/>
        <v>2042</v>
      </c>
      <c r="B1098" s="10">
        <f>AVERAGE(B360:B371)</f>
        <v>43.337574999999994</v>
      </c>
      <c r="C1098" s="10">
        <f>AVERAGE(C360:C371)</f>
        <v>42.905324999999998</v>
      </c>
      <c r="D1098" s="10"/>
      <c r="E1098" s="10">
        <f t="shared" ref="E1098:K1098" si="30">AVERAGE(E360:E371)</f>
        <v>42.768666666666661</v>
      </c>
      <c r="F1098" s="10">
        <f t="shared" si="30"/>
        <v>42.768666666666661</v>
      </c>
      <c r="G1098" s="10">
        <f t="shared" si="30"/>
        <v>43.040058333333327</v>
      </c>
      <c r="H1098" s="10">
        <f t="shared" si="30"/>
        <v>42.905324999999998</v>
      </c>
      <c r="I1098" s="10">
        <f t="shared" si="30"/>
        <v>42.905324999999998</v>
      </c>
      <c r="J1098" s="10">
        <f t="shared" si="30"/>
        <v>42.905324999999998</v>
      </c>
      <c r="K1098" s="10">
        <f t="shared" si="30"/>
        <v>42.905324999999998</v>
      </c>
      <c r="L1098" s="10"/>
    </row>
    <row r="1099" spans="1:12" ht="15" x14ac:dyDescent="0.2">
      <c r="A1099" s="11">
        <f t="shared" si="25"/>
        <v>2043</v>
      </c>
      <c r="B1099" s="10">
        <f>AVERAGE(B372:B383)</f>
        <v>44.076558333333338</v>
      </c>
      <c r="C1099" s="10">
        <f>AVERAGE(C372:C383)</f>
        <v>43.644308333333328</v>
      </c>
      <c r="D1099" s="10"/>
      <c r="E1099" s="10">
        <f t="shared" ref="E1099:K1099" si="31">AVERAGE(E372:E383)</f>
        <v>43.507649999999991</v>
      </c>
      <c r="F1099" s="10">
        <f t="shared" si="31"/>
        <v>43.507649999999991</v>
      </c>
      <c r="G1099" s="10">
        <f t="shared" si="31"/>
        <v>43.779033333333331</v>
      </c>
      <c r="H1099" s="10">
        <f t="shared" si="31"/>
        <v>43.644308333333328</v>
      </c>
      <c r="I1099" s="10">
        <f t="shared" si="31"/>
        <v>43.644308333333328</v>
      </c>
      <c r="J1099" s="10">
        <f t="shared" si="31"/>
        <v>43.644308333333328</v>
      </c>
      <c r="K1099" s="10">
        <f t="shared" si="31"/>
        <v>43.644308333333328</v>
      </c>
      <c r="L1099" s="10"/>
    </row>
    <row r="1100" spans="1:12" ht="15" x14ac:dyDescent="0.2">
      <c r="A1100" s="11">
        <f t="shared" si="25"/>
        <v>2044</v>
      </c>
      <c r="B1100" s="10">
        <f>AVERAGE(B384:B395)</f>
        <v>44.828841666666669</v>
      </c>
      <c r="C1100" s="10">
        <f>AVERAGE(C384:C395)</f>
        <v>44.396583333333332</v>
      </c>
      <c r="D1100" s="10"/>
      <c r="E1100" s="10">
        <f t="shared" ref="E1100:K1100" si="32">AVERAGE(E384:E395)</f>
        <v>44.259916666666669</v>
      </c>
      <c r="F1100" s="10">
        <f t="shared" si="32"/>
        <v>44.259916666666669</v>
      </c>
      <c r="G1100" s="10">
        <f t="shared" si="32"/>
        <v>44.531299999999995</v>
      </c>
      <c r="H1100" s="10">
        <f t="shared" si="32"/>
        <v>44.396583333333332</v>
      </c>
      <c r="I1100" s="10">
        <f t="shared" si="32"/>
        <v>44.396583333333332</v>
      </c>
      <c r="J1100" s="10">
        <f t="shared" si="32"/>
        <v>44.396583333333332</v>
      </c>
      <c r="K1100" s="10">
        <f t="shared" si="32"/>
        <v>44.396583333333332</v>
      </c>
      <c r="L1100" s="10"/>
    </row>
    <row r="1101" spans="1:12" ht="15" x14ac:dyDescent="0.2">
      <c r="A1101" s="11">
        <f t="shared" si="25"/>
        <v>2045</v>
      </c>
      <c r="B1101" s="10">
        <f>AVERAGE(B396:B407)</f>
        <v>45.594658333333335</v>
      </c>
      <c r="C1101" s="10">
        <f>AVERAGE(C396:C407)</f>
        <v>45.162408333333332</v>
      </c>
      <c r="D1101" s="10"/>
      <c r="E1101" s="10">
        <f t="shared" ref="E1101:K1101" si="33">AVERAGE(E396:E407)</f>
        <v>45.025758333333329</v>
      </c>
      <c r="F1101" s="10">
        <f t="shared" si="33"/>
        <v>45.025758333333329</v>
      </c>
      <c r="G1101" s="10">
        <f t="shared" si="33"/>
        <v>45.297133333333335</v>
      </c>
      <c r="H1101" s="10">
        <f t="shared" si="33"/>
        <v>45.162408333333332</v>
      </c>
      <c r="I1101" s="10">
        <f t="shared" si="33"/>
        <v>45.162408333333332</v>
      </c>
      <c r="J1101" s="10">
        <f t="shared" si="33"/>
        <v>45.162408333333332</v>
      </c>
      <c r="K1101" s="10">
        <f t="shared" si="33"/>
        <v>45.162408333333332</v>
      </c>
      <c r="L1101" s="10"/>
    </row>
    <row r="1102" spans="1:12" ht="15" x14ac:dyDescent="0.2">
      <c r="A1102" s="11">
        <f t="shared" si="25"/>
        <v>2046</v>
      </c>
      <c r="B1102" s="10">
        <f>AVERAGE(B408:B419)</f>
        <v>46.374275000000004</v>
      </c>
      <c r="C1102" s="10">
        <f>AVERAGE(C408:C419)</f>
        <v>45.942033333333335</v>
      </c>
      <c r="D1102" s="10"/>
      <c r="E1102" s="10">
        <f t="shared" ref="E1102:K1102" si="34">AVERAGE(E408:E419)</f>
        <v>45.805374999999998</v>
      </c>
      <c r="F1102" s="10">
        <f t="shared" si="34"/>
        <v>45.805374999999998</v>
      </c>
      <c r="G1102" s="10">
        <f t="shared" si="34"/>
        <v>46.076733333333344</v>
      </c>
      <c r="H1102" s="10">
        <f t="shared" si="34"/>
        <v>45.942033333333335</v>
      </c>
      <c r="I1102" s="10">
        <f t="shared" si="34"/>
        <v>45.942033333333335</v>
      </c>
      <c r="J1102" s="10">
        <f t="shared" si="34"/>
        <v>45.942033333333335</v>
      </c>
      <c r="K1102" s="10">
        <f t="shared" si="34"/>
        <v>45.942033333333335</v>
      </c>
      <c r="L1102" s="10"/>
    </row>
    <row r="1103" spans="1:12" ht="15" x14ac:dyDescent="0.2">
      <c r="A1103" s="11">
        <f t="shared" si="25"/>
        <v>2047</v>
      </c>
      <c r="B1103" s="10">
        <f>AVERAGE(B420:B431)</f>
        <v>47.167924999999997</v>
      </c>
      <c r="C1103" s="10">
        <f>AVERAGE(C420:C431)</f>
        <v>46.735658333333326</v>
      </c>
      <c r="D1103" s="10"/>
      <c r="E1103" s="10">
        <f t="shared" ref="E1103:K1103" si="35">AVERAGE(E420:E431)</f>
        <v>46.59902499999999</v>
      </c>
      <c r="F1103" s="10">
        <f t="shared" si="35"/>
        <v>46.59902499999999</v>
      </c>
      <c r="G1103" s="10">
        <f t="shared" si="35"/>
        <v>46.870400000000011</v>
      </c>
      <c r="H1103" s="10">
        <f t="shared" si="35"/>
        <v>46.735658333333326</v>
      </c>
      <c r="I1103" s="10">
        <f t="shared" si="35"/>
        <v>46.735658333333326</v>
      </c>
      <c r="J1103" s="10">
        <f t="shared" si="35"/>
        <v>46.735658333333326</v>
      </c>
      <c r="K1103" s="10">
        <f t="shared" si="35"/>
        <v>46.735658333333326</v>
      </c>
      <c r="L1103" s="10"/>
    </row>
    <row r="1104" spans="1:12" ht="15" x14ac:dyDescent="0.2">
      <c r="A1104" s="11">
        <f t="shared" si="25"/>
        <v>2048</v>
      </c>
      <c r="B1104" s="10">
        <f>AVERAGE(B432:B443)</f>
        <v>47.975866666666661</v>
      </c>
      <c r="C1104" s="10">
        <f>AVERAGE(C432:C443)</f>
        <v>47.543608333333331</v>
      </c>
      <c r="D1104" s="10"/>
      <c r="E1104" s="10">
        <f t="shared" ref="E1104:K1104" si="36">AVERAGE(E432:E443)</f>
        <v>47.406958333333336</v>
      </c>
      <c r="F1104" s="10">
        <f t="shared" si="36"/>
        <v>47.406958333333336</v>
      </c>
      <c r="G1104" s="10">
        <f t="shared" si="36"/>
        <v>47.678324999999994</v>
      </c>
      <c r="H1104" s="10">
        <f t="shared" si="36"/>
        <v>47.543608333333331</v>
      </c>
      <c r="I1104" s="10">
        <f t="shared" si="36"/>
        <v>47.543608333333331</v>
      </c>
      <c r="J1104" s="10">
        <f t="shared" si="36"/>
        <v>47.543608333333331</v>
      </c>
      <c r="K1104" s="10">
        <f t="shared" si="36"/>
        <v>47.543608333333331</v>
      </c>
      <c r="L1104" s="10"/>
    </row>
    <row r="1105" spans="1:12" ht="15" x14ac:dyDescent="0.2">
      <c r="A1105" s="11">
        <f t="shared" si="25"/>
        <v>2049</v>
      </c>
      <c r="B1105" s="10">
        <f>AVERAGE(B444:B455)</f>
        <v>48.798358333333333</v>
      </c>
      <c r="C1105" s="10">
        <f>AVERAGE(C444:C455)</f>
        <v>48.366099999999996</v>
      </c>
      <c r="D1105" s="10"/>
      <c r="E1105" s="10">
        <f t="shared" ref="E1105:K1105" si="37">AVERAGE(E444:E455)</f>
        <v>48.229433333333333</v>
      </c>
      <c r="F1105" s="10">
        <f t="shared" si="37"/>
        <v>48.229433333333333</v>
      </c>
      <c r="G1105" s="10">
        <f t="shared" si="37"/>
        <v>48.500808333333332</v>
      </c>
      <c r="H1105" s="10">
        <f t="shared" si="37"/>
        <v>48.366099999999996</v>
      </c>
      <c r="I1105" s="10">
        <f t="shared" si="37"/>
        <v>48.366099999999996</v>
      </c>
      <c r="J1105" s="10">
        <f t="shared" si="37"/>
        <v>48.366099999999996</v>
      </c>
      <c r="K1105" s="10">
        <f t="shared" si="37"/>
        <v>48.366099999999996</v>
      </c>
      <c r="L1105" s="10"/>
    </row>
    <row r="1106" spans="1:12" ht="15" x14ac:dyDescent="0.2">
      <c r="A1106" s="11">
        <f t="shared" si="25"/>
        <v>2050</v>
      </c>
      <c r="B1106" s="10">
        <f>AVERAGE(B456:B467)</f>
        <v>49.635633333333338</v>
      </c>
      <c r="C1106" s="10">
        <f>AVERAGE(C456:C467)</f>
        <v>49.203408333333336</v>
      </c>
      <c r="D1106" s="10"/>
      <c r="E1106" s="10">
        <f t="shared" ref="E1106:K1106" si="38">AVERAGE(E456:E467)</f>
        <v>49.066716666666657</v>
      </c>
      <c r="F1106" s="10">
        <f t="shared" si="38"/>
        <v>49.066716666666657</v>
      </c>
      <c r="G1106" s="10">
        <f t="shared" si="38"/>
        <v>49.338108333333345</v>
      </c>
      <c r="H1106" s="10">
        <f t="shared" si="38"/>
        <v>49.203408333333336</v>
      </c>
      <c r="I1106" s="10">
        <f t="shared" si="38"/>
        <v>49.203408333333336</v>
      </c>
      <c r="J1106" s="10">
        <f t="shared" si="38"/>
        <v>49.203408333333336</v>
      </c>
      <c r="K1106" s="10">
        <f t="shared" si="38"/>
        <v>49.203408333333336</v>
      </c>
      <c r="L1106" s="10"/>
    </row>
    <row r="1107" spans="1:12" ht="15" x14ac:dyDescent="0.2">
      <c r="A1107" s="11">
        <f t="shared" si="25"/>
        <v>2051</v>
      </c>
      <c r="B1107" s="10">
        <f>AVERAGE(B468:B479)</f>
        <v>50.488008333333333</v>
      </c>
      <c r="C1107" s="10">
        <f>AVERAGE(C468:C479)</f>
        <v>50.055766666666671</v>
      </c>
      <c r="D1107" s="10"/>
      <c r="E1107" s="10">
        <f t="shared" ref="E1107:K1107" si="39">AVERAGE(E468:E479)</f>
        <v>49.919091666666652</v>
      </c>
      <c r="F1107" s="10">
        <f t="shared" si="39"/>
        <v>49.919091666666652</v>
      </c>
      <c r="G1107" s="10">
        <f t="shared" si="39"/>
        <v>50.190483333333333</v>
      </c>
      <c r="H1107" s="10">
        <f t="shared" si="39"/>
        <v>50.055766666666671</v>
      </c>
      <c r="I1107" s="10">
        <f t="shared" si="39"/>
        <v>50.055766666666671</v>
      </c>
      <c r="J1107" s="10">
        <f t="shared" si="39"/>
        <v>50.055766666666671</v>
      </c>
      <c r="K1107" s="10">
        <f t="shared" si="39"/>
        <v>50.055766666666671</v>
      </c>
      <c r="L1107" s="10"/>
    </row>
    <row r="1108" spans="1:12" ht="15" x14ac:dyDescent="0.2">
      <c r="A1108" s="11">
        <f t="shared" si="25"/>
        <v>2052</v>
      </c>
      <c r="B1108" s="10">
        <f>AVERAGE(B480:B491)</f>
        <v>51.355741666666667</v>
      </c>
      <c r="C1108" s="10">
        <f>AVERAGE(C480:C491)</f>
        <v>50.923483333333344</v>
      </c>
      <c r="D1108" s="10"/>
      <c r="E1108" s="10">
        <f t="shared" ref="E1108:K1108" si="40">AVERAGE(E480:E491)</f>
        <v>50.786833333333334</v>
      </c>
      <c r="F1108" s="10">
        <f t="shared" si="40"/>
        <v>50.786833333333334</v>
      </c>
      <c r="G1108" s="10">
        <f t="shared" si="40"/>
        <v>51.058199999999992</v>
      </c>
      <c r="H1108" s="10">
        <f t="shared" si="40"/>
        <v>50.923483333333344</v>
      </c>
      <c r="I1108" s="10">
        <f t="shared" si="40"/>
        <v>50.923483333333344</v>
      </c>
      <c r="J1108" s="10">
        <f t="shared" si="40"/>
        <v>50.923483333333344</v>
      </c>
      <c r="K1108" s="10">
        <f t="shared" si="40"/>
        <v>50.923483333333344</v>
      </c>
      <c r="L1108" s="10"/>
    </row>
    <row r="1109" spans="1:12" ht="15" x14ac:dyDescent="0.2">
      <c r="A1109" s="11">
        <f t="shared" si="25"/>
        <v>2053</v>
      </c>
      <c r="B1109" s="10">
        <f>AVERAGE(B492:B503)</f>
        <v>52.239075000000007</v>
      </c>
      <c r="C1109" s="10">
        <f>AVERAGE(C492:C503)</f>
        <v>51.806833333333344</v>
      </c>
      <c r="D1109" s="10"/>
      <c r="E1109" s="10">
        <f t="shared" ref="E1109:K1109" si="41">AVERAGE(E492:E503)</f>
        <v>51.67015833333334</v>
      </c>
      <c r="F1109" s="10">
        <f t="shared" si="41"/>
        <v>51.67015833333334</v>
      </c>
      <c r="G1109" s="10">
        <f t="shared" si="41"/>
        <v>51.941549999999999</v>
      </c>
      <c r="H1109" s="10">
        <f t="shared" si="41"/>
        <v>51.806833333333344</v>
      </c>
      <c r="I1109" s="10">
        <f t="shared" si="41"/>
        <v>51.806833333333344</v>
      </c>
      <c r="J1109" s="10">
        <f t="shared" si="41"/>
        <v>51.806833333333344</v>
      </c>
      <c r="K1109" s="10">
        <f t="shared" si="41"/>
        <v>51.806833333333344</v>
      </c>
      <c r="L1109" s="10"/>
    </row>
    <row r="1110" spans="1:12" ht="15" x14ac:dyDescent="0.2">
      <c r="A1110" s="11">
        <f t="shared" si="25"/>
        <v>2054</v>
      </c>
      <c r="B1110" s="10">
        <f>AVERAGE(B504:B515)</f>
        <v>53.138308333333327</v>
      </c>
      <c r="C1110" s="10">
        <f>AVERAGE(C504:C515)</f>
        <v>52.706074999999998</v>
      </c>
      <c r="D1110" s="10"/>
      <c r="E1110" s="10">
        <f t="shared" ref="E1110:K1110" si="42">AVERAGE(E504:E515)</f>
        <v>52.569408333333335</v>
      </c>
      <c r="F1110" s="10">
        <f t="shared" si="42"/>
        <v>52.569408333333335</v>
      </c>
      <c r="G1110" s="10">
        <f t="shared" si="42"/>
        <v>52.840775000000008</v>
      </c>
      <c r="H1110" s="10">
        <f t="shared" si="42"/>
        <v>52.706074999999998</v>
      </c>
      <c r="I1110" s="10">
        <f t="shared" si="42"/>
        <v>52.706074999999998</v>
      </c>
      <c r="J1110" s="10">
        <f t="shared" si="42"/>
        <v>52.706074999999998</v>
      </c>
      <c r="K1110" s="10">
        <f t="shared" si="42"/>
        <v>52.706074999999998</v>
      </c>
      <c r="L1110" s="10"/>
    </row>
    <row r="1111" spans="1:12" ht="15" x14ac:dyDescent="0.2">
      <c r="A1111" s="11">
        <f t="shared" si="25"/>
        <v>2055</v>
      </c>
      <c r="B1111" s="10">
        <f>AVERAGE(B516:B527)</f>
        <v>54.053750000000001</v>
      </c>
      <c r="C1111" s="10">
        <f>AVERAGE(C516:C527)</f>
        <v>53.621508333333331</v>
      </c>
      <c r="D1111" s="10"/>
      <c r="E1111" s="10">
        <f t="shared" ref="E1111:K1111" si="43">AVERAGE(E516:E527)</f>
        <v>53.484850000000002</v>
      </c>
      <c r="F1111" s="10">
        <f t="shared" si="43"/>
        <v>53.484850000000002</v>
      </c>
      <c r="G1111" s="10">
        <f t="shared" si="43"/>
        <v>53.756225000000001</v>
      </c>
      <c r="H1111" s="10">
        <f t="shared" si="43"/>
        <v>53.621508333333331</v>
      </c>
      <c r="I1111" s="10">
        <f t="shared" si="43"/>
        <v>53.621508333333331</v>
      </c>
      <c r="J1111" s="10">
        <f t="shared" si="43"/>
        <v>53.621508333333331</v>
      </c>
      <c r="K1111" s="10">
        <f t="shared" si="43"/>
        <v>53.621508333333331</v>
      </c>
      <c r="L1111" s="10"/>
    </row>
    <row r="1112" spans="1:12" ht="15" x14ac:dyDescent="0.2">
      <c r="A1112" s="11">
        <f t="shared" si="25"/>
        <v>2056</v>
      </c>
      <c r="B1112" s="10">
        <f>AVERAGE(B528:B539)</f>
        <v>54.985666666666653</v>
      </c>
      <c r="C1112" s="10">
        <f>AVERAGE(C528:C539)</f>
        <v>54.55340833333333</v>
      </c>
      <c r="D1112" s="10"/>
      <c r="E1112" s="10">
        <f t="shared" ref="E1112:K1112" si="44">AVERAGE(E528:E539)</f>
        <v>54.416766666666661</v>
      </c>
      <c r="F1112" s="10">
        <f t="shared" si="44"/>
        <v>54.416766666666661</v>
      </c>
      <c r="G1112" s="10">
        <f t="shared" si="44"/>
        <v>54.68815</v>
      </c>
      <c r="H1112" s="10">
        <f t="shared" si="44"/>
        <v>54.55340833333333</v>
      </c>
      <c r="I1112" s="10">
        <f t="shared" si="44"/>
        <v>54.55340833333333</v>
      </c>
      <c r="J1112" s="10">
        <f t="shared" si="44"/>
        <v>54.55340833333333</v>
      </c>
      <c r="K1112" s="10">
        <f t="shared" si="44"/>
        <v>54.55340833333333</v>
      </c>
      <c r="L1112" s="10"/>
    </row>
    <row r="1113" spans="1:12" ht="15" x14ac:dyDescent="0.2">
      <c r="A1113" s="11">
        <f t="shared" si="25"/>
        <v>2057</v>
      </c>
      <c r="B1113" s="10">
        <f>AVERAGE(B540:B551)</f>
        <v>55.934358333333329</v>
      </c>
      <c r="C1113" s="10">
        <f>AVERAGE(C540:C551)</f>
        <v>55.502124999999999</v>
      </c>
      <c r="D1113" s="10"/>
      <c r="E1113" s="10">
        <f t="shared" ref="E1113:K1113" si="45">AVERAGE(E540:E551)</f>
        <v>55.365458333333343</v>
      </c>
      <c r="F1113" s="10">
        <f t="shared" si="45"/>
        <v>55.365458333333343</v>
      </c>
      <c r="G1113" s="10">
        <f t="shared" si="45"/>
        <v>55.636833333333335</v>
      </c>
      <c r="H1113" s="10">
        <f t="shared" si="45"/>
        <v>55.502124999999999</v>
      </c>
      <c r="I1113" s="10">
        <f t="shared" si="45"/>
        <v>55.502124999999999</v>
      </c>
      <c r="J1113" s="10">
        <f t="shared" si="45"/>
        <v>55.502124999999999</v>
      </c>
      <c r="K1113" s="10">
        <f t="shared" si="45"/>
        <v>55.502124999999999</v>
      </c>
      <c r="L1113" s="10"/>
    </row>
    <row r="1114" spans="1:12" ht="15" x14ac:dyDescent="0.2">
      <c r="A1114" s="11">
        <f t="shared" si="25"/>
        <v>2058</v>
      </c>
      <c r="B1114" s="10">
        <f>AVERAGE(B552:B563)</f>
        <v>56.900150000000004</v>
      </c>
      <c r="C1114" s="10">
        <f>AVERAGE(C552:C563)</f>
        <v>56.467899999999986</v>
      </c>
      <c r="D1114" s="10"/>
      <c r="E1114" s="10">
        <f t="shared" ref="E1114:K1114" si="46">AVERAGE(E552:E563)</f>
        <v>56.33123333333333</v>
      </c>
      <c r="F1114" s="10">
        <f t="shared" si="46"/>
        <v>56.33123333333333</v>
      </c>
      <c r="G1114" s="10">
        <f t="shared" si="46"/>
        <v>56.602616666666655</v>
      </c>
      <c r="H1114" s="10">
        <f t="shared" si="46"/>
        <v>56.467899999999986</v>
      </c>
      <c r="I1114" s="10">
        <f t="shared" si="46"/>
        <v>56.467899999999986</v>
      </c>
      <c r="J1114" s="10">
        <f t="shared" si="46"/>
        <v>56.467899999999986</v>
      </c>
      <c r="K1114" s="10">
        <f t="shared" si="46"/>
        <v>56.467899999999986</v>
      </c>
      <c r="L1114" s="10"/>
    </row>
    <row r="1115" spans="1:12" ht="15" x14ac:dyDescent="0.2">
      <c r="A1115" s="11">
        <f t="shared" si="25"/>
        <v>2059</v>
      </c>
      <c r="B1115" s="10">
        <f>AVERAGE(B564:B575)</f>
        <v>57.883299999999991</v>
      </c>
      <c r="C1115" s="10">
        <f>AVERAGE(C564:C575)</f>
        <v>57.451066666666662</v>
      </c>
      <c r="D1115" s="10"/>
      <c r="E1115" s="10">
        <f t="shared" ref="E1115:K1115" si="47">AVERAGE(E564:E575)</f>
        <v>57.314399999999999</v>
      </c>
      <c r="F1115" s="10">
        <f t="shared" si="47"/>
        <v>57.314399999999999</v>
      </c>
      <c r="G1115" s="10">
        <f t="shared" si="47"/>
        <v>57.585791666666665</v>
      </c>
      <c r="H1115" s="10">
        <f t="shared" si="47"/>
        <v>57.451066666666662</v>
      </c>
      <c r="I1115" s="10">
        <f t="shared" si="47"/>
        <v>57.451066666666662</v>
      </c>
      <c r="J1115" s="10">
        <f t="shared" si="47"/>
        <v>57.451066666666662</v>
      </c>
      <c r="K1115" s="10">
        <f t="shared" si="47"/>
        <v>57.451066666666662</v>
      </c>
      <c r="L1115" s="10"/>
    </row>
    <row r="1116" spans="1:12" ht="15" x14ac:dyDescent="0.2">
      <c r="A1116" s="11">
        <f t="shared" si="25"/>
        <v>2060</v>
      </c>
      <c r="B1116" s="10">
        <f>AVERAGE(B576:B587)</f>
        <v>58.884191666666652</v>
      </c>
      <c r="C1116" s="10">
        <f>AVERAGE(C576:C587)</f>
        <v>58.451933333333336</v>
      </c>
      <c r="D1116" s="10"/>
      <c r="E1116" s="10">
        <f t="shared" ref="E1116:K1116" si="48">AVERAGE(E576:E587)</f>
        <v>58.315275000000007</v>
      </c>
      <c r="F1116" s="10">
        <f t="shared" si="48"/>
        <v>58.315275000000007</v>
      </c>
      <c r="G1116" s="10">
        <f t="shared" si="48"/>
        <v>58.586649999999992</v>
      </c>
      <c r="H1116" s="10">
        <f t="shared" si="48"/>
        <v>58.451933333333336</v>
      </c>
      <c r="I1116" s="10">
        <f t="shared" si="48"/>
        <v>58.451933333333336</v>
      </c>
      <c r="J1116" s="10">
        <f t="shared" si="48"/>
        <v>58.451933333333336</v>
      </c>
      <c r="K1116" s="10">
        <f t="shared" si="48"/>
        <v>58.451933333333336</v>
      </c>
      <c r="L1116" s="10"/>
    </row>
    <row r="1117" spans="1:12" ht="15" x14ac:dyDescent="0.2">
      <c r="A1117" s="11">
        <f t="shared" si="25"/>
        <v>2061</v>
      </c>
      <c r="B1117" s="10">
        <f>AVERAGE(B588:B599)</f>
        <v>59.903075000000001</v>
      </c>
      <c r="C1117" s="10">
        <f>AVERAGE(C588:C599)</f>
        <v>59.470816666666678</v>
      </c>
      <c r="D1117" s="10"/>
      <c r="E1117" s="10">
        <f t="shared" ref="E1117:K1117" si="49">AVERAGE(E588:E599)</f>
        <v>59.334166666666668</v>
      </c>
      <c r="F1117" s="10">
        <f t="shared" si="49"/>
        <v>59.334166666666668</v>
      </c>
      <c r="G1117" s="10">
        <f t="shared" si="49"/>
        <v>59.605533333333334</v>
      </c>
      <c r="H1117" s="10">
        <f t="shared" si="49"/>
        <v>59.470816666666678</v>
      </c>
      <c r="I1117" s="10">
        <f t="shared" si="49"/>
        <v>59.470816666666678</v>
      </c>
      <c r="J1117" s="10">
        <f t="shared" si="49"/>
        <v>59.470816666666678</v>
      </c>
      <c r="K1117" s="10">
        <f t="shared" si="49"/>
        <v>59.470816666666678</v>
      </c>
      <c r="L1117" s="10"/>
    </row>
    <row r="1118" spans="1:12" ht="15" x14ac:dyDescent="0.2">
      <c r="A1118" s="11">
        <f t="shared" si="25"/>
        <v>2062</v>
      </c>
      <c r="B1118" s="10">
        <f t="shared" ref="B1118:C1137" ca="1" si="50">AVERAGE(OFFSET(B$600,($A1118-$A$1118)*12,0,12,1))</f>
        <v>60.940300000000008</v>
      </c>
      <c r="C1118" s="10">
        <f t="shared" ca="1" si="50"/>
        <v>60.508058333333338</v>
      </c>
      <c r="D1118" s="10"/>
      <c r="E1118" s="10">
        <f t="shared" ref="E1118:K1127" ca="1" si="51">AVERAGE(OFFSET(E$600,($A1118-$A$1118)*12,0,12,1))</f>
        <v>60.371399999999994</v>
      </c>
      <c r="F1118" s="10">
        <f t="shared" ca="1" si="51"/>
        <v>60.371399999999994</v>
      </c>
      <c r="G1118" s="10">
        <f t="shared" ca="1" si="51"/>
        <v>60.642783333333334</v>
      </c>
      <c r="H1118" s="10">
        <f t="shared" ca="1" si="51"/>
        <v>60.508058333333338</v>
      </c>
      <c r="I1118" s="10">
        <f t="shared" ca="1" si="51"/>
        <v>60.508058333333338</v>
      </c>
      <c r="J1118" s="10">
        <f t="shared" ca="1" si="51"/>
        <v>60.508058333333338</v>
      </c>
      <c r="K1118" s="10">
        <f t="shared" ca="1" si="51"/>
        <v>60.508058333333338</v>
      </c>
    </row>
    <row r="1119" spans="1:12" ht="15" x14ac:dyDescent="0.2">
      <c r="A1119" s="11">
        <f t="shared" si="25"/>
        <v>2063</v>
      </c>
      <c r="B1119" s="10">
        <f t="shared" ca="1" si="50"/>
        <v>61.996216666666662</v>
      </c>
      <c r="C1119" s="10">
        <f t="shared" ca="1" si="50"/>
        <v>61.563958333333339</v>
      </c>
      <c r="D1119" s="10"/>
      <c r="E1119" s="10">
        <f t="shared" ca="1" si="51"/>
        <v>61.427300000000002</v>
      </c>
      <c r="F1119" s="10">
        <f t="shared" ca="1" si="51"/>
        <v>61.427300000000002</v>
      </c>
      <c r="G1119" s="10">
        <f t="shared" ca="1" si="51"/>
        <v>61.698674999999987</v>
      </c>
      <c r="H1119" s="10">
        <f t="shared" ca="1" si="51"/>
        <v>61.563958333333339</v>
      </c>
      <c r="I1119" s="10">
        <f t="shared" ca="1" si="51"/>
        <v>61.563958333333339</v>
      </c>
      <c r="J1119" s="10">
        <f t="shared" ca="1" si="51"/>
        <v>61.563958333333339</v>
      </c>
      <c r="K1119" s="10">
        <f t="shared" ca="1" si="51"/>
        <v>61.563958333333339</v>
      </c>
    </row>
    <row r="1120" spans="1:12" ht="15" x14ac:dyDescent="0.2">
      <c r="A1120" s="11">
        <f t="shared" si="25"/>
        <v>2064</v>
      </c>
      <c r="B1120" s="10">
        <f t="shared" ca="1" si="50"/>
        <v>63.071116666666661</v>
      </c>
      <c r="C1120" s="10">
        <f t="shared" ca="1" si="50"/>
        <v>62.638908333333326</v>
      </c>
      <c r="D1120" s="10"/>
      <c r="E1120" s="10">
        <f t="shared" ca="1" si="51"/>
        <v>62.502216666666669</v>
      </c>
      <c r="F1120" s="10">
        <f t="shared" ca="1" si="51"/>
        <v>62.502216666666669</v>
      </c>
      <c r="G1120" s="10">
        <f t="shared" ca="1" si="51"/>
        <v>62.773608333333335</v>
      </c>
      <c r="H1120" s="10">
        <f t="shared" ca="1" si="51"/>
        <v>62.638908333333326</v>
      </c>
      <c r="I1120" s="10">
        <f t="shared" ca="1" si="51"/>
        <v>62.638908333333326</v>
      </c>
      <c r="J1120" s="10">
        <f t="shared" ca="1" si="51"/>
        <v>62.638908333333326</v>
      </c>
      <c r="K1120" s="10">
        <f t="shared" ca="1" si="51"/>
        <v>62.638908333333326</v>
      </c>
    </row>
    <row r="1121" spans="1:11" ht="15" x14ac:dyDescent="0.2">
      <c r="A1121" s="11">
        <f t="shared" si="25"/>
        <v>2065</v>
      </c>
      <c r="B1121" s="10">
        <f t="shared" ca="1" si="50"/>
        <v>64.165400000000005</v>
      </c>
      <c r="C1121" s="10">
        <f t="shared" ca="1" si="50"/>
        <v>63.733158333333336</v>
      </c>
      <c r="D1121" s="10"/>
      <c r="E1121" s="10">
        <f t="shared" ca="1" si="51"/>
        <v>63.596483333333332</v>
      </c>
      <c r="F1121" s="10">
        <f t="shared" ca="1" si="51"/>
        <v>63.596483333333332</v>
      </c>
      <c r="G1121" s="10">
        <f t="shared" ca="1" si="51"/>
        <v>63.867883333333339</v>
      </c>
      <c r="H1121" s="10">
        <f t="shared" ca="1" si="51"/>
        <v>63.733158333333336</v>
      </c>
      <c r="I1121" s="10">
        <f t="shared" ca="1" si="51"/>
        <v>63.733158333333336</v>
      </c>
      <c r="J1121" s="10">
        <f t="shared" ca="1" si="51"/>
        <v>63.733158333333336</v>
      </c>
      <c r="K1121" s="10">
        <f t="shared" ca="1" si="51"/>
        <v>63.733158333333336</v>
      </c>
    </row>
    <row r="1122" spans="1:11" ht="15" x14ac:dyDescent="0.2">
      <c r="A1122" s="11">
        <f t="shared" si="25"/>
        <v>2066</v>
      </c>
      <c r="B1122" s="10">
        <f t="shared" ca="1" si="50"/>
        <v>65.279383333333328</v>
      </c>
      <c r="C1122" s="10">
        <f t="shared" ca="1" si="50"/>
        <v>64.847124999999991</v>
      </c>
      <c r="D1122" s="10"/>
      <c r="E1122" s="10">
        <f t="shared" ca="1" si="51"/>
        <v>64.710483333333329</v>
      </c>
      <c r="F1122" s="10">
        <f t="shared" ca="1" si="51"/>
        <v>64.710483333333329</v>
      </c>
      <c r="G1122" s="10">
        <f t="shared" ca="1" si="51"/>
        <v>64.981858333333321</v>
      </c>
      <c r="H1122" s="10">
        <f t="shared" ca="1" si="51"/>
        <v>64.847124999999991</v>
      </c>
      <c r="I1122" s="10">
        <f t="shared" ca="1" si="51"/>
        <v>64.847124999999991</v>
      </c>
      <c r="J1122" s="10">
        <f t="shared" ca="1" si="51"/>
        <v>64.847124999999991</v>
      </c>
      <c r="K1122" s="10">
        <f t="shared" ca="1" si="51"/>
        <v>64.847124999999991</v>
      </c>
    </row>
    <row r="1123" spans="1:11" ht="15" x14ac:dyDescent="0.2">
      <c r="A1123" s="11">
        <f t="shared" si="25"/>
        <v>2067</v>
      </c>
      <c r="B1123" s="10">
        <f t="shared" ca="1" si="50"/>
        <v>66.413424999999989</v>
      </c>
      <c r="C1123" s="10">
        <f t="shared" ca="1" si="50"/>
        <v>65.981166666666667</v>
      </c>
      <c r="D1123" s="10"/>
      <c r="E1123" s="10">
        <f t="shared" ca="1" si="51"/>
        <v>65.84452499999999</v>
      </c>
      <c r="F1123" s="10">
        <f t="shared" ca="1" si="51"/>
        <v>65.84452499999999</v>
      </c>
      <c r="G1123" s="10">
        <f t="shared" ca="1" si="51"/>
        <v>66.115891666666656</v>
      </c>
      <c r="H1123" s="10">
        <f t="shared" ca="1" si="51"/>
        <v>65.981166666666667</v>
      </c>
      <c r="I1123" s="10">
        <f t="shared" ca="1" si="51"/>
        <v>65.981166666666667</v>
      </c>
      <c r="J1123" s="10">
        <f t="shared" ca="1" si="51"/>
        <v>65.981166666666667</v>
      </c>
      <c r="K1123" s="10">
        <f t="shared" ca="1" si="51"/>
        <v>65.981166666666667</v>
      </c>
    </row>
    <row r="1124" spans="1:11" ht="15" x14ac:dyDescent="0.2">
      <c r="A1124" s="11">
        <f t="shared" si="25"/>
        <v>2068</v>
      </c>
      <c r="B1124" s="10">
        <f t="shared" ca="1" si="50"/>
        <v>67.567866666666674</v>
      </c>
      <c r="C1124" s="10">
        <f t="shared" ca="1" si="50"/>
        <v>67.135599999999997</v>
      </c>
      <c r="D1124" s="10"/>
      <c r="E1124" s="10">
        <f t="shared" ca="1" si="51"/>
        <v>66.998966666666647</v>
      </c>
      <c r="F1124" s="10">
        <f t="shared" ca="1" si="51"/>
        <v>66.998966666666647</v>
      </c>
      <c r="G1124" s="10">
        <f t="shared" ca="1" si="51"/>
        <v>67.270341666666681</v>
      </c>
      <c r="H1124" s="10">
        <f t="shared" ca="1" si="51"/>
        <v>67.135599999999997</v>
      </c>
      <c r="I1124" s="10">
        <f t="shared" ca="1" si="51"/>
        <v>67.135599999999997</v>
      </c>
      <c r="J1124" s="10">
        <f t="shared" ca="1" si="51"/>
        <v>67.135599999999997</v>
      </c>
      <c r="K1124" s="10">
        <f t="shared" ca="1" si="51"/>
        <v>67.135599999999997</v>
      </c>
    </row>
    <row r="1125" spans="1:11" ht="15" x14ac:dyDescent="0.2">
      <c r="A1125" s="11">
        <f t="shared" si="25"/>
        <v>2069</v>
      </c>
      <c r="B1125" s="10">
        <f t="shared" ca="1" si="50"/>
        <v>68.743099999999984</v>
      </c>
      <c r="C1125" s="10">
        <f t="shared" ca="1" si="50"/>
        <v>68.310858333333343</v>
      </c>
      <c r="D1125" s="10"/>
      <c r="E1125" s="10">
        <f t="shared" ca="1" si="51"/>
        <v>68.174199999999999</v>
      </c>
      <c r="F1125" s="10">
        <f t="shared" ca="1" si="51"/>
        <v>68.174199999999999</v>
      </c>
      <c r="G1125" s="10">
        <f t="shared" ca="1" si="51"/>
        <v>68.445583333333346</v>
      </c>
      <c r="H1125" s="10">
        <f t="shared" ca="1" si="51"/>
        <v>68.310858333333343</v>
      </c>
      <c r="I1125" s="10">
        <f t="shared" ca="1" si="51"/>
        <v>68.310858333333343</v>
      </c>
      <c r="J1125" s="10">
        <f t="shared" ca="1" si="51"/>
        <v>68.310858333333343</v>
      </c>
      <c r="K1125" s="10">
        <f t="shared" ca="1" si="51"/>
        <v>68.310858333333343</v>
      </c>
    </row>
    <row r="1126" spans="1:11" ht="15" x14ac:dyDescent="0.2">
      <c r="A1126" s="11">
        <f t="shared" ref="A1126:A1156" si="52">A1125+1</f>
        <v>2070</v>
      </c>
      <c r="B1126" s="10">
        <f t="shared" ca="1" si="50"/>
        <v>69.939508333333336</v>
      </c>
      <c r="C1126" s="10">
        <f t="shared" ca="1" si="50"/>
        <v>69.507241666666673</v>
      </c>
      <c r="D1126" s="10"/>
      <c r="E1126" s="10">
        <f t="shared" ca="1" si="51"/>
        <v>69.370599999999996</v>
      </c>
      <c r="F1126" s="10">
        <f t="shared" ca="1" si="51"/>
        <v>69.370599999999996</v>
      </c>
      <c r="G1126" s="10">
        <f t="shared" ca="1" si="51"/>
        <v>69.641975000000002</v>
      </c>
      <c r="H1126" s="10">
        <f t="shared" ca="1" si="51"/>
        <v>69.507241666666673</v>
      </c>
      <c r="I1126" s="10">
        <f t="shared" ca="1" si="51"/>
        <v>69.507241666666673</v>
      </c>
      <c r="J1126" s="10">
        <f t="shared" ca="1" si="51"/>
        <v>69.507241666666673</v>
      </c>
      <c r="K1126" s="10">
        <f t="shared" ca="1" si="51"/>
        <v>69.507241666666673</v>
      </c>
    </row>
    <row r="1127" spans="1:11" ht="15" x14ac:dyDescent="0.2">
      <c r="A1127" s="11">
        <f t="shared" si="52"/>
        <v>2071</v>
      </c>
      <c r="B1127" s="10">
        <f t="shared" ca="1" si="50"/>
        <v>71.157441666666656</v>
      </c>
      <c r="C1127" s="10">
        <f t="shared" ca="1" si="50"/>
        <v>70.725183333333334</v>
      </c>
      <c r="D1127" s="10"/>
      <c r="E1127" s="10">
        <f t="shared" ca="1" si="51"/>
        <v>70.588541666666671</v>
      </c>
      <c r="F1127" s="10">
        <f t="shared" ca="1" si="51"/>
        <v>70.588541666666671</v>
      </c>
      <c r="G1127" s="10">
        <f t="shared" ca="1" si="51"/>
        <v>70.859908333333337</v>
      </c>
      <c r="H1127" s="10">
        <f t="shared" ca="1" si="51"/>
        <v>70.725183333333334</v>
      </c>
      <c r="I1127" s="10">
        <f t="shared" ca="1" si="51"/>
        <v>70.725183333333334</v>
      </c>
      <c r="J1127" s="10">
        <f t="shared" ca="1" si="51"/>
        <v>70.725183333333334</v>
      </c>
      <c r="K1127" s="10">
        <f t="shared" ca="1" si="51"/>
        <v>70.725183333333334</v>
      </c>
    </row>
    <row r="1128" spans="1:11" ht="15" x14ac:dyDescent="0.2">
      <c r="A1128" s="11">
        <f t="shared" si="52"/>
        <v>2072</v>
      </c>
      <c r="B1128" s="10">
        <f t="shared" ca="1" si="50"/>
        <v>72.397308333333328</v>
      </c>
      <c r="C1128" s="10">
        <f t="shared" ca="1" si="50"/>
        <v>71.965058333333346</v>
      </c>
      <c r="D1128" s="10"/>
      <c r="E1128" s="10">
        <f t="shared" ref="E1128:K1137" ca="1" si="53">AVERAGE(OFFSET(E$600,($A1128-$A$1118)*12,0,12,1))</f>
        <v>71.828408333333343</v>
      </c>
      <c r="F1128" s="10">
        <f t="shared" ca="1" si="53"/>
        <v>71.828408333333343</v>
      </c>
      <c r="G1128" s="10">
        <f t="shared" ca="1" si="53"/>
        <v>72.099800000000002</v>
      </c>
      <c r="H1128" s="10">
        <f t="shared" ca="1" si="53"/>
        <v>71.965058333333346</v>
      </c>
      <c r="I1128" s="10">
        <f t="shared" ca="1" si="53"/>
        <v>71.965058333333346</v>
      </c>
      <c r="J1128" s="10">
        <f t="shared" ca="1" si="53"/>
        <v>71.965058333333346</v>
      </c>
      <c r="K1128" s="10">
        <f t="shared" ca="1" si="53"/>
        <v>71.965058333333346</v>
      </c>
    </row>
    <row r="1129" spans="1:11" ht="15" x14ac:dyDescent="0.2">
      <c r="A1129" s="11">
        <f t="shared" si="52"/>
        <v>2073</v>
      </c>
      <c r="B1129" s="10">
        <f t="shared" ca="1" si="50"/>
        <v>73.659499999999994</v>
      </c>
      <c r="C1129" s="10">
        <f t="shared" ca="1" si="50"/>
        <v>73.227249999999998</v>
      </c>
      <c r="D1129" s="10"/>
      <c r="E1129" s="10">
        <f t="shared" ca="1" si="53"/>
        <v>73.090591666666668</v>
      </c>
      <c r="F1129" s="10">
        <f t="shared" ca="1" si="53"/>
        <v>73.090591666666668</v>
      </c>
      <c r="G1129" s="10">
        <f t="shared" ca="1" si="53"/>
        <v>73.361974999999987</v>
      </c>
      <c r="H1129" s="10">
        <f t="shared" ca="1" si="53"/>
        <v>73.227249999999998</v>
      </c>
      <c r="I1129" s="10">
        <f t="shared" ca="1" si="53"/>
        <v>73.227249999999998</v>
      </c>
      <c r="J1129" s="10">
        <f t="shared" ca="1" si="53"/>
        <v>73.227249999999998</v>
      </c>
      <c r="K1129" s="10">
        <f t="shared" ca="1" si="53"/>
        <v>73.227249999999998</v>
      </c>
    </row>
    <row r="1130" spans="1:11" ht="15" x14ac:dyDescent="0.2">
      <c r="A1130" s="11">
        <f t="shared" si="52"/>
        <v>2074</v>
      </c>
      <c r="B1130" s="10">
        <f t="shared" ca="1" si="50"/>
        <v>74.944408333333328</v>
      </c>
      <c r="C1130" s="10">
        <f t="shared" ca="1" si="50"/>
        <v>74.512174999999999</v>
      </c>
      <c r="D1130" s="10"/>
      <c r="E1130" s="10">
        <f t="shared" ca="1" si="53"/>
        <v>74.375508333333329</v>
      </c>
      <c r="F1130" s="10">
        <f t="shared" ca="1" si="53"/>
        <v>74.375508333333329</v>
      </c>
      <c r="G1130" s="10">
        <f t="shared" ca="1" si="53"/>
        <v>74.646891666666662</v>
      </c>
      <c r="H1130" s="10">
        <f t="shared" ca="1" si="53"/>
        <v>74.512174999999999</v>
      </c>
      <c r="I1130" s="10">
        <f t="shared" ca="1" si="53"/>
        <v>74.512174999999999</v>
      </c>
      <c r="J1130" s="10">
        <f t="shared" ca="1" si="53"/>
        <v>74.512174999999999</v>
      </c>
      <c r="K1130" s="10">
        <f t="shared" ca="1" si="53"/>
        <v>74.512174999999999</v>
      </c>
    </row>
    <row r="1131" spans="1:11" ht="15" x14ac:dyDescent="0.2">
      <c r="A1131" s="11">
        <f t="shared" si="52"/>
        <v>2075</v>
      </c>
      <c r="B1131" s="10">
        <f t="shared" ca="1" si="50"/>
        <v>76.25247499999999</v>
      </c>
      <c r="C1131" s="10">
        <f t="shared" ca="1" si="50"/>
        <v>75.8202</v>
      </c>
      <c r="D1131" s="10"/>
      <c r="E1131" s="10">
        <f t="shared" ca="1" si="53"/>
        <v>75.683566666666664</v>
      </c>
      <c r="F1131" s="10">
        <f t="shared" ca="1" si="53"/>
        <v>75.683566666666664</v>
      </c>
      <c r="G1131" s="10">
        <f t="shared" ca="1" si="53"/>
        <v>75.954908333333321</v>
      </c>
      <c r="H1131" s="10">
        <f t="shared" ca="1" si="53"/>
        <v>75.8202</v>
      </c>
      <c r="I1131" s="10">
        <f t="shared" ca="1" si="53"/>
        <v>75.8202</v>
      </c>
      <c r="J1131" s="10">
        <f t="shared" ca="1" si="53"/>
        <v>75.8202</v>
      </c>
      <c r="K1131" s="10">
        <f t="shared" ca="1" si="53"/>
        <v>75.8202</v>
      </c>
    </row>
    <row r="1132" spans="1:11" ht="15" x14ac:dyDescent="0.2">
      <c r="A1132" s="11">
        <f t="shared" si="52"/>
        <v>2076</v>
      </c>
      <c r="B1132" s="10">
        <f t="shared" ca="1" si="50"/>
        <v>77.584083333333339</v>
      </c>
      <c r="C1132" s="10">
        <f t="shared" ca="1" si="50"/>
        <v>77.151808333333321</v>
      </c>
      <c r="D1132" s="10"/>
      <c r="E1132" s="10">
        <f t="shared" ca="1" si="53"/>
        <v>77.015166666666673</v>
      </c>
      <c r="F1132" s="10">
        <f t="shared" ca="1" si="53"/>
        <v>77.015166666666673</v>
      </c>
      <c r="G1132" s="10">
        <f t="shared" ca="1" si="53"/>
        <v>77.286533333333338</v>
      </c>
      <c r="H1132" s="10">
        <f t="shared" ca="1" si="53"/>
        <v>77.151808333333321</v>
      </c>
      <c r="I1132" s="10">
        <f t="shared" ca="1" si="53"/>
        <v>77.151808333333321</v>
      </c>
      <c r="J1132" s="10">
        <f t="shared" ca="1" si="53"/>
        <v>77.151808333333321</v>
      </c>
      <c r="K1132" s="10">
        <f t="shared" ca="1" si="53"/>
        <v>77.151808333333321</v>
      </c>
    </row>
    <row r="1133" spans="1:11" ht="15" x14ac:dyDescent="0.2">
      <c r="A1133" s="11">
        <f t="shared" si="52"/>
        <v>2077</v>
      </c>
      <c r="B1133" s="10">
        <f t="shared" ca="1" si="50"/>
        <v>78.93964166666666</v>
      </c>
      <c r="C1133" s="10">
        <f t="shared" ca="1" si="50"/>
        <v>78.507400000000004</v>
      </c>
      <c r="D1133" s="10"/>
      <c r="E1133" s="10">
        <f t="shared" ca="1" si="53"/>
        <v>78.37074166666666</v>
      </c>
      <c r="F1133" s="10">
        <f t="shared" ca="1" si="53"/>
        <v>78.37074166666666</v>
      </c>
      <c r="G1133" s="10">
        <f t="shared" ca="1" si="53"/>
        <v>78.642108333333326</v>
      </c>
      <c r="H1133" s="10">
        <f t="shared" ca="1" si="53"/>
        <v>78.507400000000004</v>
      </c>
      <c r="I1133" s="10">
        <f t="shared" ca="1" si="53"/>
        <v>78.507400000000004</v>
      </c>
      <c r="J1133" s="10">
        <f t="shared" ca="1" si="53"/>
        <v>78.507400000000004</v>
      </c>
      <c r="K1133" s="10">
        <f t="shared" ca="1" si="53"/>
        <v>78.507400000000004</v>
      </c>
    </row>
    <row r="1134" spans="1:11" ht="15" x14ac:dyDescent="0.2">
      <c r="A1134" s="11">
        <f t="shared" si="52"/>
        <v>2078</v>
      </c>
      <c r="B1134" s="10">
        <f t="shared" ca="1" si="50"/>
        <v>80.319624999999988</v>
      </c>
      <c r="C1134" s="10">
        <f t="shared" ca="1" si="50"/>
        <v>79.887375000000006</v>
      </c>
      <c r="D1134" s="10"/>
      <c r="E1134" s="10">
        <f t="shared" ca="1" si="53"/>
        <v>79.750716666666662</v>
      </c>
      <c r="F1134" s="10">
        <f t="shared" ca="1" si="53"/>
        <v>79.750716666666662</v>
      </c>
      <c r="G1134" s="10">
        <f t="shared" ca="1" si="53"/>
        <v>80.02209999999998</v>
      </c>
      <c r="H1134" s="10">
        <f t="shared" ca="1" si="53"/>
        <v>79.887375000000006</v>
      </c>
      <c r="I1134" s="10">
        <f t="shared" ca="1" si="53"/>
        <v>79.887375000000006</v>
      </c>
      <c r="J1134" s="10">
        <f t="shared" ca="1" si="53"/>
        <v>79.887375000000006</v>
      </c>
      <c r="K1134" s="10">
        <f t="shared" ca="1" si="53"/>
        <v>79.887375000000006</v>
      </c>
    </row>
    <row r="1135" spans="1:11" ht="15" x14ac:dyDescent="0.2">
      <c r="A1135" s="11">
        <f t="shared" si="52"/>
        <v>2079</v>
      </c>
      <c r="B1135" s="10">
        <f t="shared" ca="1" si="50"/>
        <v>81.724458333333317</v>
      </c>
      <c r="C1135" s="10">
        <f t="shared" ca="1" si="50"/>
        <v>81.292208333333335</v>
      </c>
      <c r="D1135" s="10"/>
      <c r="E1135" s="10">
        <f t="shared" ca="1" si="53"/>
        <v>81.155549999999991</v>
      </c>
      <c r="F1135" s="10">
        <f t="shared" ca="1" si="53"/>
        <v>81.155549999999991</v>
      </c>
      <c r="G1135" s="10">
        <f t="shared" ca="1" si="53"/>
        <v>81.426916666666656</v>
      </c>
      <c r="H1135" s="10">
        <f t="shared" ca="1" si="53"/>
        <v>81.292208333333335</v>
      </c>
      <c r="I1135" s="10">
        <f t="shared" ca="1" si="53"/>
        <v>81.292208333333335</v>
      </c>
      <c r="J1135" s="10">
        <f t="shared" ca="1" si="53"/>
        <v>81.292208333333335</v>
      </c>
      <c r="K1135" s="10">
        <f t="shared" ca="1" si="53"/>
        <v>81.292208333333335</v>
      </c>
    </row>
    <row r="1136" spans="1:11" ht="15" x14ac:dyDescent="0.2">
      <c r="A1136" s="11">
        <f t="shared" si="52"/>
        <v>2080</v>
      </c>
      <c r="B1136" s="10">
        <f t="shared" ca="1" si="50"/>
        <v>83.154591666666661</v>
      </c>
      <c r="C1136" s="10">
        <f t="shared" ca="1" si="50"/>
        <v>82.722324999999998</v>
      </c>
      <c r="D1136" s="10"/>
      <c r="E1136" s="10">
        <f t="shared" ca="1" si="53"/>
        <v>82.585683333333336</v>
      </c>
      <c r="F1136" s="10">
        <f t="shared" ca="1" si="53"/>
        <v>82.585683333333336</v>
      </c>
      <c r="G1136" s="10">
        <f t="shared" ca="1" si="53"/>
        <v>82.857050000000001</v>
      </c>
      <c r="H1136" s="10">
        <f t="shared" ca="1" si="53"/>
        <v>82.722324999999998</v>
      </c>
      <c r="I1136" s="10">
        <f t="shared" ca="1" si="53"/>
        <v>82.722324999999998</v>
      </c>
      <c r="J1136" s="10">
        <f t="shared" ca="1" si="53"/>
        <v>82.722324999999998</v>
      </c>
      <c r="K1136" s="10">
        <f t="shared" ca="1" si="53"/>
        <v>82.722324999999998</v>
      </c>
    </row>
    <row r="1137" spans="1:11" ht="15" x14ac:dyDescent="0.2">
      <c r="A1137" s="11">
        <f t="shared" si="52"/>
        <v>2081</v>
      </c>
      <c r="B1137" s="10">
        <f t="shared" ca="1" si="50"/>
        <v>84.610466666666653</v>
      </c>
      <c r="C1137" s="10">
        <f t="shared" ca="1" si="50"/>
        <v>84.17820833333333</v>
      </c>
      <c r="D1137" s="10"/>
      <c r="E1137" s="10">
        <f t="shared" ca="1" si="53"/>
        <v>84.041550000000001</v>
      </c>
      <c r="F1137" s="10">
        <f t="shared" ca="1" si="53"/>
        <v>84.041550000000001</v>
      </c>
      <c r="G1137" s="10">
        <f t="shared" ca="1" si="53"/>
        <v>84.312933333333319</v>
      </c>
      <c r="H1137" s="10">
        <f t="shared" ca="1" si="53"/>
        <v>84.17820833333333</v>
      </c>
      <c r="I1137" s="10">
        <f t="shared" ca="1" si="53"/>
        <v>84.17820833333333</v>
      </c>
      <c r="J1137" s="10">
        <f t="shared" ca="1" si="53"/>
        <v>84.17820833333333</v>
      </c>
      <c r="K1137" s="10">
        <f t="shared" ca="1" si="53"/>
        <v>84.17820833333333</v>
      </c>
    </row>
    <row r="1138" spans="1:11" ht="15" x14ac:dyDescent="0.2">
      <c r="A1138" s="11">
        <f t="shared" si="52"/>
        <v>2082</v>
      </c>
      <c r="B1138" s="10">
        <f t="shared" ref="B1138:C1156" ca="1" si="54">AVERAGE(OFFSET(B$600,($A1138-$A$1118)*12,0,12,1))</f>
        <v>86.092524999999981</v>
      </c>
      <c r="C1138" s="10">
        <f t="shared" ca="1" si="54"/>
        <v>85.660308333333333</v>
      </c>
      <c r="D1138" s="10"/>
      <c r="E1138" s="10">
        <f t="shared" ref="E1138:K1147" ca="1" si="55">AVERAGE(OFFSET(E$600,($A1138-$A$1118)*12,0,12,1))</f>
        <v>85.523624999999996</v>
      </c>
      <c r="F1138" s="10">
        <f t="shared" ca="1" si="55"/>
        <v>85.523624999999996</v>
      </c>
      <c r="G1138" s="10">
        <f t="shared" ca="1" si="55"/>
        <v>85.795016666666683</v>
      </c>
      <c r="H1138" s="10">
        <f t="shared" ca="1" si="55"/>
        <v>85.660308333333333</v>
      </c>
      <c r="I1138" s="10">
        <f t="shared" ca="1" si="55"/>
        <v>85.660308333333333</v>
      </c>
      <c r="J1138" s="10">
        <f t="shared" ca="1" si="55"/>
        <v>85.660308333333333</v>
      </c>
      <c r="K1138" s="10">
        <f t="shared" ca="1" si="55"/>
        <v>85.660308333333333</v>
      </c>
    </row>
    <row r="1139" spans="1:11" ht="15" x14ac:dyDescent="0.2">
      <c r="A1139" s="11">
        <f t="shared" si="52"/>
        <v>2083</v>
      </c>
      <c r="B1139" s="10">
        <f t="shared" ca="1" si="54"/>
        <v>87.601316666666662</v>
      </c>
      <c r="C1139" s="10">
        <f t="shared" ca="1" si="54"/>
        <v>87.169066666666666</v>
      </c>
      <c r="D1139" s="10"/>
      <c r="E1139" s="10">
        <f t="shared" ca="1" si="55"/>
        <v>87.032391666666669</v>
      </c>
      <c r="F1139" s="10">
        <f t="shared" ca="1" si="55"/>
        <v>87.032391666666669</v>
      </c>
      <c r="G1139" s="10">
        <f t="shared" ca="1" si="55"/>
        <v>87.303766666666661</v>
      </c>
      <c r="H1139" s="10">
        <f t="shared" ca="1" si="55"/>
        <v>87.169066666666666</v>
      </c>
      <c r="I1139" s="10">
        <f t="shared" ca="1" si="55"/>
        <v>87.169066666666666</v>
      </c>
      <c r="J1139" s="10">
        <f t="shared" ca="1" si="55"/>
        <v>87.169066666666666</v>
      </c>
      <c r="K1139" s="10">
        <f t="shared" ca="1" si="55"/>
        <v>87.169066666666666</v>
      </c>
    </row>
    <row r="1140" spans="1:11" ht="15" x14ac:dyDescent="0.2">
      <c r="A1140" s="11">
        <f t="shared" si="52"/>
        <v>2084</v>
      </c>
      <c r="B1140" s="10">
        <f t="shared" ca="1" si="54"/>
        <v>89.13724166666664</v>
      </c>
      <c r="C1140" s="10">
        <f t="shared" ca="1" si="54"/>
        <v>88.705016666666666</v>
      </c>
      <c r="D1140" s="10"/>
      <c r="E1140" s="10">
        <f t="shared" ca="1" si="55"/>
        <v>88.568333333333328</v>
      </c>
      <c r="F1140" s="10">
        <f t="shared" ca="1" si="55"/>
        <v>88.568333333333328</v>
      </c>
      <c r="G1140" s="10">
        <f t="shared" ca="1" si="55"/>
        <v>88.839725000000001</v>
      </c>
      <c r="H1140" s="10">
        <f t="shared" ca="1" si="55"/>
        <v>88.705016666666666</v>
      </c>
      <c r="I1140" s="10">
        <f t="shared" ca="1" si="55"/>
        <v>88.705016666666666</v>
      </c>
      <c r="J1140" s="10">
        <f t="shared" ca="1" si="55"/>
        <v>88.705016666666666</v>
      </c>
      <c r="K1140" s="10">
        <f t="shared" ca="1" si="55"/>
        <v>88.705016666666666</v>
      </c>
    </row>
    <row r="1141" spans="1:11" ht="15" x14ac:dyDescent="0.2">
      <c r="A1141" s="11">
        <f t="shared" si="52"/>
        <v>2085</v>
      </c>
      <c r="B1141" s="10">
        <f t="shared" ca="1" si="54"/>
        <v>90.700833333333335</v>
      </c>
      <c r="C1141" s="10">
        <f t="shared" ca="1" si="54"/>
        <v>90.268583333333325</v>
      </c>
      <c r="D1141" s="10"/>
      <c r="E1141" s="10">
        <f t="shared" ca="1" si="55"/>
        <v>90.131933333333336</v>
      </c>
      <c r="F1141" s="10">
        <f t="shared" ca="1" si="55"/>
        <v>90.131933333333336</v>
      </c>
      <c r="G1141" s="10">
        <f t="shared" ca="1" si="55"/>
        <v>90.403308333333328</v>
      </c>
      <c r="H1141" s="10">
        <f t="shared" ca="1" si="55"/>
        <v>90.268583333333325</v>
      </c>
      <c r="I1141" s="10">
        <f t="shared" ca="1" si="55"/>
        <v>90.268583333333325</v>
      </c>
      <c r="J1141" s="10">
        <f t="shared" ca="1" si="55"/>
        <v>90.268583333333325</v>
      </c>
      <c r="K1141" s="10">
        <f t="shared" ca="1" si="55"/>
        <v>90.268583333333325</v>
      </c>
    </row>
    <row r="1142" spans="1:11" ht="15" x14ac:dyDescent="0.2">
      <c r="A1142" s="11">
        <f t="shared" si="52"/>
        <v>2086</v>
      </c>
      <c r="B1142" s="10">
        <f t="shared" ca="1" si="54"/>
        <v>92.292583333333326</v>
      </c>
      <c r="C1142" s="10">
        <f t="shared" ca="1" si="54"/>
        <v>91.860333333333344</v>
      </c>
      <c r="D1142" s="10"/>
      <c r="E1142" s="10">
        <f t="shared" ca="1" si="55"/>
        <v>91.723675000000014</v>
      </c>
      <c r="F1142" s="10">
        <f t="shared" ca="1" si="55"/>
        <v>91.723675000000014</v>
      </c>
      <c r="G1142" s="10">
        <f t="shared" ca="1" si="55"/>
        <v>91.995041666666665</v>
      </c>
      <c r="H1142" s="10">
        <f t="shared" ca="1" si="55"/>
        <v>91.860333333333344</v>
      </c>
      <c r="I1142" s="10">
        <f t="shared" ca="1" si="55"/>
        <v>91.860333333333344</v>
      </c>
      <c r="J1142" s="10">
        <f t="shared" ca="1" si="55"/>
        <v>91.860333333333344</v>
      </c>
      <c r="K1142" s="10">
        <f t="shared" ca="1" si="55"/>
        <v>91.860333333333344</v>
      </c>
    </row>
    <row r="1143" spans="1:11" ht="15" x14ac:dyDescent="0.2">
      <c r="A1143" s="11">
        <f t="shared" si="52"/>
        <v>2087</v>
      </c>
      <c r="B1143" s="10">
        <f t="shared" ca="1" si="54"/>
        <v>93.912991666666656</v>
      </c>
      <c r="C1143" s="10">
        <f t="shared" ca="1" si="54"/>
        <v>93.480733333333362</v>
      </c>
      <c r="D1143" s="10"/>
      <c r="E1143" s="10">
        <f t="shared" ca="1" si="55"/>
        <v>93.344091666666671</v>
      </c>
      <c r="F1143" s="10">
        <f t="shared" ca="1" si="55"/>
        <v>93.344091666666671</v>
      </c>
      <c r="G1143" s="10">
        <f t="shared" ca="1" si="55"/>
        <v>93.615441666666655</v>
      </c>
      <c r="H1143" s="10">
        <f t="shared" ca="1" si="55"/>
        <v>93.480733333333362</v>
      </c>
      <c r="I1143" s="10">
        <f t="shared" ca="1" si="55"/>
        <v>93.480733333333362</v>
      </c>
      <c r="J1143" s="10">
        <f t="shared" ca="1" si="55"/>
        <v>93.480733333333362</v>
      </c>
      <c r="K1143" s="10">
        <f t="shared" ca="1" si="55"/>
        <v>93.480733333333362</v>
      </c>
    </row>
    <row r="1144" spans="1:11" ht="15" x14ac:dyDescent="0.2">
      <c r="A1144" s="11">
        <f t="shared" si="52"/>
        <v>2088</v>
      </c>
      <c r="B1144" s="10">
        <f t="shared" ca="1" si="54"/>
        <v>95.562558333333314</v>
      </c>
      <c r="C1144" s="10">
        <f t="shared" ca="1" si="54"/>
        <v>95.130316666666658</v>
      </c>
      <c r="D1144" s="10"/>
      <c r="E1144" s="10">
        <f t="shared" ca="1" si="55"/>
        <v>94.993658333333329</v>
      </c>
      <c r="F1144" s="10">
        <f t="shared" ca="1" si="55"/>
        <v>94.993658333333329</v>
      </c>
      <c r="G1144" s="10">
        <f t="shared" ca="1" si="55"/>
        <v>95.265024999999994</v>
      </c>
      <c r="H1144" s="10">
        <f t="shared" ca="1" si="55"/>
        <v>95.130316666666658</v>
      </c>
      <c r="I1144" s="10">
        <f t="shared" ca="1" si="55"/>
        <v>95.130316666666658</v>
      </c>
      <c r="J1144" s="10">
        <f t="shared" ca="1" si="55"/>
        <v>95.130316666666658</v>
      </c>
      <c r="K1144" s="10">
        <f t="shared" ca="1" si="55"/>
        <v>95.130316666666658</v>
      </c>
    </row>
    <row r="1145" spans="1:11" ht="15" x14ac:dyDescent="0.2">
      <c r="A1145" s="11">
        <f t="shared" si="52"/>
        <v>2089</v>
      </c>
      <c r="B1145" s="10">
        <f t="shared" ca="1" si="54"/>
        <v>97.241841666666673</v>
      </c>
      <c r="C1145" s="10">
        <f t="shared" ca="1" si="54"/>
        <v>96.809583333333322</v>
      </c>
      <c r="D1145" s="10"/>
      <c r="E1145" s="10">
        <f t="shared" ca="1" si="55"/>
        <v>96.672941666666659</v>
      </c>
      <c r="F1145" s="10">
        <f t="shared" ca="1" si="55"/>
        <v>96.672941666666659</v>
      </c>
      <c r="G1145" s="10">
        <f t="shared" ca="1" si="55"/>
        <v>96.944300000000013</v>
      </c>
      <c r="H1145" s="10">
        <f t="shared" ca="1" si="55"/>
        <v>96.809583333333322</v>
      </c>
      <c r="I1145" s="10">
        <f t="shared" ca="1" si="55"/>
        <v>96.809583333333322</v>
      </c>
      <c r="J1145" s="10">
        <f t="shared" ca="1" si="55"/>
        <v>96.809583333333322</v>
      </c>
      <c r="K1145" s="10">
        <f t="shared" ca="1" si="55"/>
        <v>96.809583333333322</v>
      </c>
    </row>
    <row r="1146" spans="1:11" ht="15" x14ac:dyDescent="0.2">
      <c r="A1146" s="11">
        <f t="shared" si="52"/>
        <v>2090</v>
      </c>
      <c r="B1146" s="10">
        <f t="shared" ca="1" si="54"/>
        <v>98.951350000000005</v>
      </c>
      <c r="C1146" s="10">
        <f t="shared" ca="1" si="54"/>
        <v>98.519108333333335</v>
      </c>
      <c r="D1146" s="10"/>
      <c r="E1146" s="10">
        <f t="shared" ca="1" si="55"/>
        <v>98.382450000000006</v>
      </c>
      <c r="F1146" s="10">
        <f t="shared" ca="1" si="55"/>
        <v>98.382450000000006</v>
      </c>
      <c r="G1146" s="10">
        <f t="shared" ca="1" si="55"/>
        <v>98.653816666666671</v>
      </c>
      <c r="H1146" s="10">
        <f t="shared" ca="1" si="55"/>
        <v>98.519108333333335</v>
      </c>
      <c r="I1146" s="10">
        <f t="shared" ca="1" si="55"/>
        <v>98.519108333333335</v>
      </c>
      <c r="J1146" s="10">
        <f t="shared" ca="1" si="55"/>
        <v>98.519108333333335</v>
      </c>
      <c r="K1146" s="10">
        <f t="shared" ca="1" si="55"/>
        <v>98.519108333333335</v>
      </c>
    </row>
    <row r="1147" spans="1:11" ht="15" x14ac:dyDescent="0.2">
      <c r="A1147" s="11">
        <f t="shared" si="52"/>
        <v>2091</v>
      </c>
      <c r="B1147" s="10">
        <f t="shared" ca="1" si="54"/>
        <v>100.69165</v>
      </c>
      <c r="C1147" s="10">
        <f t="shared" ca="1" si="54"/>
        <v>100.25938333333335</v>
      </c>
      <c r="D1147" s="10"/>
      <c r="E1147" s="10">
        <f t="shared" ca="1" si="55"/>
        <v>100.12275000000001</v>
      </c>
      <c r="F1147" s="10">
        <f t="shared" ca="1" si="55"/>
        <v>100.12275000000001</v>
      </c>
      <c r="G1147" s="10">
        <f t="shared" ca="1" si="55"/>
        <v>100.39410833333335</v>
      </c>
      <c r="H1147" s="10">
        <f t="shared" ca="1" si="55"/>
        <v>100.25938333333335</v>
      </c>
      <c r="I1147" s="10">
        <f t="shared" ca="1" si="55"/>
        <v>100.25938333333335</v>
      </c>
      <c r="J1147" s="10">
        <f t="shared" ca="1" si="55"/>
        <v>100.25938333333335</v>
      </c>
      <c r="K1147" s="10">
        <f t="shared" ca="1" si="55"/>
        <v>100.25938333333335</v>
      </c>
    </row>
    <row r="1148" spans="1:11" ht="15" x14ac:dyDescent="0.2">
      <c r="A1148" s="11">
        <f t="shared" si="52"/>
        <v>2092</v>
      </c>
      <c r="B1148" s="10">
        <f t="shared" ca="1" si="54"/>
        <v>102.46326666666666</v>
      </c>
      <c r="C1148" s="10">
        <f t="shared" ca="1" si="54"/>
        <v>102.03102500000001</v>
      </c>
      <c r="D1148" s="10"/>
      <c r="E1148" s="10">
        <f t="shared" ref="E1148:K1156" ca="1" si="56">AVERAGE(OFFSET(E$600,($A1148-$A$1118)*12,0,12,1))</f>
        <v>101.89435833333334</v>
      </c>
      <c r="F1148" s="10">
        <f t="shared" ca="1" si="56"/>
        <v>101.89435833333334</v>
      </c>
      <c r="G1148" s="10">
        <f t="shared" ca="1" si="56"/>
        <v>102.16574166666665</v>
      </c>
      <c r="H1148" s="10">
        <f t="shared" ca="1" si="56"/>
        <v>102.03102500000001</v>
      </c>
      <c r="I1148" s="10">
        <f t="shared" ca="1" si="56"/>
        <v>102.03102500000001</v>
      </c>
      <c r="J1148" s="10">
        <f t="shared" ca="1" si="56"/>
        <v>102.03102500000001</v>
      </c>
      <c r="K1148" s="10">
        <f t="shared" ca="1" si="56"/>
        <v>102.03102500000001</v>
      </c>
    </row>
    <row r="1149" spans="1:11" ht="15" x14ac:dyDescent="0.2">
      <c r="A1149" s="11">
        <f t="shared" si="52"/>
        <v>2093</v>
      </c>
      <c r="B1149" s="10">
        <f t="shared" ca="1" si="54"/>
        <v>104.26679166666668</v>
      </c>
      <c r="C1149" s="10">
        <f t="shared" ca="1" si="54"/>
        <v>103.83453333333331</v>
      </c>
      <c r="D1149" s="10"/>
      <c r="E1149" s="10">
        <f t="shared" ca="1" si="56"/>
        <v>103.69789166666669</v>
      </c>
      <c r="F1149" s="10">
        <f t="shared" ca="1" si="56"/>
        <v>103.69789166666669</v>
      </c>
      <c r="G1149" s="10">
        <f t="shared" ca="1" si="56"/>
        <v>103.96926666666667</v>
      </c>
      <c r="H1149" s="10">
        <f t="shared" ca="1" si="56"/>
        <v>103.83453333333331</v>
      </c>
      <c r="I1149" s="10">
        <f t="shared" ca="1" si="56"/>
        <v>103.83453333333331</v>
      </c>
      <c r="J1149" s="10">
        <f t="shared" ca="1" si="56"/>
        <v>103.83453333333331</v>
      </c>
      <c r="K1149" s="10">
        <f t="shared" ca="1" si="56"/>
        <v>103.83453333333331</v>
      </c>
    </row>
    <row r="1150" spans="1:11" ht="15" x14ac:dyDescent="0.2">
      <c r="A1150" s="11">
        <f t="shared" si="52"/>
        <v>2094</v>
      </c>
      <c r="B1150" s="10">
        <f t="shared" ca="1" si="54"/>
        <v>106.10280000000002</v>
      </c>
      <c r="C1150" s="10">
        <f t="shared" ca="1" si="54"/>
        <v>105.670525</v>
      </c>
      <c r="D1150" s="10"/>
      <c r="E1150" s="10">
        <f t="shared" ca="1" si="56"/>
        <v>105.5339</v>
      </c>
      <c r="F1150" s="10">
        <f t="shared" ca="1" si="56"/>
        <v>105.5339</v>
      </c>
      <c r="G1150" s="10">
        <f t="shared" ca="1" si="56"/>
        <v>105.80525833333333</v>
      </c>
      <c r="H1150" s="10">
        <f t="shared" ca="1" si="56"/>
        <v>105.670525</v>
      </c>
      <c r="I1150" s="10">
        <f t="shared" ca="1" si="56"/>
        <v>105.670525</v>
      </c>
      <c r="J1150" s="10">
        <f t="shared" ca="1" si="56"/>
        <v>105.670525</v>
      </c>
      <c r="K1150" s="10">
        <f t="shared" ca="1" si="56"/>
        <v>105.670525</v>
      </c>
    </row>
    <row r="1151" spans="1:11" ht="15" x14ac:dyDescent="0.2">
      <c r="A1151" s="11">
        <f t="shared" si="52"/>
        <v>2095</v>
      </c>
      <c r="B1151" s="10">
        <f t="shared" ca="1" si="54"/>
        <v>107.97184166666669</v>
      </c>
      <c r="C1151" s="10">
        <f t="shared" ca="1" si="54"/>
        <v>107.53959166666664</v>
      </c>
      <c r="D1151" s="10"/>
      <c r="E1151" s="10">
        <f t="shared" ca="1" si="56"/>
        <v>107.40294166666671</v>
      </c>
      <c r="F1151" s="10">
        <f t="shared" ca="1" si="56"/>
        <v>107.40294166666671</v>
      </c>
      <c r="G1151" s="10">
        <f t="shared" ca="1" si="56"/>
        <v>107.6743</v>
      </c>
      <c r="H1151" s="10">
        <f t="shared" ca="1" si="56"/>
        <v>107.53959166666664</v>
      </c>
      <c r="I1151" s="10">
        <f t="shared" ca="1" si="56"/>
        <v>107.53959166666664</v>
      </c>
      <c r="J1151" s="10">
        <f t="shared" ca="1" si="56"/>
        <v>107.53959166666664</v>
      </c>
      <c r="K1151" s="10">
        <f t="shared" ca="1" si="56"/>
        <v>107.53959166666664</v>
      </c>
    </row>
    <row r="1152" spans="1:11" ht="15" x14ac:dyDescent="0.2">
      <c r="A1152" s="11">
        <f t="shared" si="52"/>
        <v>2096</v>
      </c>
      <c r="B1152" s="10">
        <f t="shared" ca="1" si="54"/>
        <v>109.87453333333333</v>
      </c>
      <c r="C1152" s="10">
        <f t="shared" ca="1" si="54"/>
        <v>109.44230833333332</v>
      </c>
      <c r="D1152" s="10"/>
      <c r="E1152" s="10">
        <f t="shared" ca="1" si="56"/>
        <v>109.30562500000001</v>
      </c>
      <c r="F1152" s="10">
        <f t="shared" ca="1" si="56"/>
        <v>109.30562500000001</v>
      </c>
      <c r="G1152" s="10">
        <f t="shared" ca="1" si="56"/>
        <v>109.57701666666668</v>
      </c>
      <c r="H1152" s="10">
        <f t="shared" ca="1" si="56"/>
        <v>109.44230833333332</v>
      </c>
      <c r="I1152" s="10">
        <f t="shared" ca="1" si="56"/>
        <v>109.44230833333332</v>
      </c>
      <c r="J1152" s="10">
        <f t="shared" ca="1" si="56"/>
        <v>109.44230833333332</v>
      </c>
      <c r="K1152" s="10">
        <f t="shared" ca="1" si="56"/>
        <v>109.44230833333332</v>
      </c>
    </row>
    <row r="1153" spans="1:11" ht="15" x14ac:dyDescent="0.2">
      <c r="A1153" s="11">
        <f t="shared" si="52"/>
        <v>2097</v>
      </c>
      <c r="B1153" s="10">
        <f t="shared" ca="1" si="54"/>
        <v>111.81149166666667</v>
      </c>
      <c r="C1153" s="10">
        <f t="shared" ca="1" si="54"/>
        <v>111.37926666666668</v>
      </c>
      <c r="D1153" s="10"/>
      <c r="E1153" s="10">
        <f t="shared" ca="1" si="56"/>
        <v>111.24259166666666</v>
      </c>
      <c r="F1153" s="10">
        <f t="shared" ca="1" si="56"/>
        <v>111.24259166666666</v>
      </c>
      <c r="G1153" s="10">
        <f t="shared" ca="1" si="56"/>
        <v>111.51398333333333</v>
      </c>
      <c r="H1153" s="10">
        <f t="shared" ca="1" si="56"/>
        <v>111.37926666666668</v>
      </c>
      <c r="I1153" s="10">
        <f t="shared" ca="1" si="56"/>
        <v>111.37926666666668</v>
      </c>
      <c r="J1153" s="10">
        <f t="shared" ca="1" si="56"/>
        <v>111.37926666666668</v>
      </c>
      <c r="K1153" s="10">
        <f t="shared" ca="1" si="56"/>
        <v>111.37926666666668</v>
      </c>
    </row>
    <row r="1154" spans="1:11" ht="15" x14ac:dyDescent="0.2">
      <c r="A1154" s="11">
        <f t="shared" si="52"/>
        <v>2098</v>
      </c>
      <c r="B1154" s="10">
        <f t="shared" ca="1" si="54"/>
        <v>113.78334166666666</v>
      </c>
      <c r="C1154" s="10">
        <f t="shared" ca="1" si="54"/>
        <v>113.35110000000002</v>
      </c>
      <c r="D1154" s="10"/>
      <c r="E1154" s="10">
        <f t="shared" ca="1" si="56"/>
        <v>113.21444166666667</v>
      </c>
      <c r="F1154" s="10">
        <f t="shared" ca="1" si="56"/>
        <v>113.21444166666667</v>
      </c>
      <c r="G1154" s="10">
        <f t="shared" ca="1" si="56"/>
        <v>113.4858</v>
      </c>
      <c r="H1154" s="10">
        <f t="shared" ca="1" si="56"/>
        <v>113.35110000000002</v>
      </c>
      <c r="I1154" s="10">
        <f t="shared" ca="1" si="56"/>
        <v>113.35110000000002</v>
      </c>
      <c r="J1154" s="10">
        <f t="shared" ca="1" si="56"/>
        <v>113.35110000000002</v>
      </c>
      <c r="K1154" s="10">
        <f t="shared" ca="1" si="56"/>
        <v>113.35110000000002</v>
      </c>
    </row>
    <row r="1155" spans="1:11" ht="15" x14ac:dyDescent="0.2">
      <c r="A1155" s="11">
        <f t="shared" si="52"/>
        <v>2099</v>
      </c>
      <c r="B1155" s="10">
        <f t="shared" ca="1" si="54"/>
        <v>115.79068333333335</v>
      </c>
      <c r="C1155" s="10">
        <f t="shared" ca="1" si="54"/>
        <v>115.35843333333332</v>
      </c>
      <c r="D1155" s="10"/>
      <c r="E1155" s="10">
        <f t="shared" ca="1" si="56"/>
        <v>115.22177500000002</v>
      </c>
      <c r="F1155" s="10">
        <f t="shared" ca="1" si="56"/>
        <v>115.22177500000002</v>
      </c>
      <c r="G1155" s="10">
        <f t="shared" ca="1" si="56"/>
        <v>115.49316666666665</v>
      </c>
      <c r="H1155" s="10">
        <f t="shared" ca="1" si="56"/>
        <v>115.35843333333332</v>
      </c>
      <c r="I1155" s="10">
        <f t="shared" ca="1" si="56"/>
        <v>115.35843333333332</v>
      </c>
      <c r="J1155" s="10">
        <f t="shared" ca="1" si="56"/>
        <v>115.35843333333332</v>
      </c>
      <c r="K1155" s="10">
        <f t="shared" ca="1" si="56"/>
        <v>115.35843333333332</v>
      </c>
    </row>
    <row r="1156" spans="1:11" ht="15" x14ac:dyDescent="0.2">
      <c r="A1156" s="11">
        <f t="shared" si="52"/>
        <v>2100</v>
      </c>
      <c r="B1156" s="10">
        <f t="shared" ca="1" si="54"/>
        <v>117.83417500000002</v>
      </c>
      <c r="C1156" s="10">
        <f t="shared" ca="1" si="54"/>
        <v>117.40190833333331</v>
      </c>
      <c r="D1156" s="10"/>
      <c r="E1156" s="10">
        <f t="shared" ca="1" si="56"/>
        <v>117.26527499999999</v>
      </c>
      <c r="F1156" s="10">
        <f t="shared" ca="1" si="56"/>
        <v>117.26527499999999</v>
      </c>
      <c r="G1156" s="10">
        <f t="shared" ca="1" si="56"/>
        <v>117.53663333333333</v>
      </c>
      <c r="H1156" s="10">
        <f t="shared" ca="1" si="56"/>
        <v>117.40190833333331</v>
      </c>
      <c r="I1156" s="10">
        <f t="shared" ca="1" si="56"/>
        <v>117.40190833333331</v>
      </c>
      <c r="J1156" s="10">
        <f t="shared" ca="1" si="56"/>
        <v>117.40190833333331</v>
      </c>
      <c r="K1156" s="10">
        <f t="shared" ca="1" si="56"/>
        <v>117.40190833333331</v>
      </c>
    </row>
    <row r="1157" spans="1:11" x14ac:dyDescent="0.2">
      <c r="A1157" s="8"/>
    </row>
    <row r="1158" spans="1:11" x14ac:dyDescent="0.2">
      <c r="A1158" s="8"/>
    </row>
    <row r="1159" spans="1:11" x14ac:dyDescent="0.2">
      <c r="A1159" s="8"/>
    </row>
    <row r="1160" spans="1:11" x14ac:dyDescent="0.2">
      <c r="A1160" s="8"/>
    </row>
    <row r="1161" spans="1:11" x14ac:dyDescent="0.2">
      <c r="A1161" s="8"/>
    </row>
    <row r="1162" spans="1:11" x14ac:dyDescent="0.2">
      <c r="A1162" s="8"/>
    </row>
    <row r="1163" spans="1:11" x14ac:dyDescent="0.2">
      <c r="A1163" s="8"/>
    </row>
    <row r="1164" spans="1:11" x14ac:dyDescent="0.2">
      <c r="A1164" s="8"/>
    </row>
    <row r="1165" spans="1:11" x14ac:dyDescent="0.2">
      <c r="A1165" s="8"/>
    </row>
    <row r="1166" spans="1:11" x14ac:dyDescent="0.2">
      <c r="A1166" s="8"/>
    </row>
    <row r="1167" spans="1:11" x14ac:dyDescent="0.2">
      <c r="A1167" s="8"/>
    </row>
    <row r="1168" spans="1:1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7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6</xdr:col>
                    <xdr:colOff>95250</xdr:colOff>
                    <xdr:row>7</xdr:row>
                    <xdr:rowOff>28575</xdr:rowOff>
                  </from>
                  <to>
                    <xdr:col>7</xdr:col>
                    <xdr:colOff>123825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57150</xdr:rowOff>
                  </from>
                  <to>
                    <xdr:col>8</xdr:col>
                    <xdr:colOff>314325</xdr:colOff>
                    <xdr:row>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58"/>
  <sheetViews>
    <sheetView zoomScale="70" zoomScaleNormal="70" workbookViewId="0">
      <pane xSplit="1" ySplit="13" topLeftCell="B14" activePane="bottomRight" state="frozen"/>
      <selection activeCell="A6" sqref="A6"/>
      <selection pane="topRight" activeCell="A6" sqref="A6"/>
      <selection pane="bottomLeft" activeCell="A6" sqref="A6"/>
      <selection pane="bottomRight" activeCell="A7" sqref="A7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 x14ac:dyDescent="0.25">
      <c r="A1" s="107" t="s">
        <v>91</v>
      </c>
    </row>
    <row r="2" spans="1:19" ht="15.75" x14ac:dyDescent="0.25">
      <c r="A2" s="107" t="s">
        <v>92</v>
      </c>
    </row>
    <row r="3" spans="1:19" ht="15.75" x14ac:dyDescent="0.25">
      <c r="A3" s="107" t="s">
        <v>93</v>
      </c>
    </row>
    <row r="4" spans="1:19" ht="15.75" x14ac:dyDescent="0.25">
      <c r="A4" s="107" t="s">
        <v>94</v>
      </c>
    </row>
    <row r="5" spans="1:19" ht="15.75" x14ac:dyDescent="0.25">
      <c r="A5" s="107" t="s">
        <v>96</v>
      </c>
    </row>
    <row r="6" spans="1:19" ht="15.75" x14ac:dyDescent="0.25">
      <c r="A6" s="107" t="s">
        <v>98</v>
      </c>
    </row>
    <row r="7" spans="1:19" ht="20.25" x14ac:dyDescent="0.3">
      <c r="A7" s="43"/>
    </row>
    <row r="8" spans="1:19" ht="18" x14ac:dyDescent="0.25">
      <c r="A8" s="42" t="s">
        <v>28</v>
      </c>
      <c r="B8" s="42"/>
      <c r="H8" s="39" t="s">
        <v>37</v>
      </c>
    </row>
    <row r="9" spans="1:19" ht="18" x14ac:dyDescent="0.25">
      <c r="A9" s="42"/>
      <c r="B9" s="41" t="s">
        <v>27</v>
      </c>
      <c r="C9" s="40">
        <f>1-0.154</f>
        <v>0.84599999999999997</v>
      </c>
      <c r="D9" s="41" t="s">
        <v>26</v>
      </c>
      <c r="E9" s="40">
        <f>1+0.154</f>
        <v>1.1539999999999999</v>
      </c>
      <c r="H9" s="39"/>
      <c r="P9" s="112"/>
      <c r="Q9" s="112"/>
      <c r="R9" s="112"/>
      <c r="S9" s="112"/>
    </row>
    <row r="10" spans="1:19" ht="15.75" x14ac:dyDescent="0.25">
      <c r="B10" s="111" t="s">
        <v>36</v>
      </c>
      <c r="C10" s="111"/>
      <c r="D10" s="111"/>
      <c r="E10" s="113" t="s">
        <v>35</v>
      </c>
      <c r="F10" s="113"/>
      <c r="G10" s="114"/>
      <c r="H10" s="115" t="s">
        <v>34</v>
      </c>
      <c r="I10" s="115"/>
      <c r="J10" s="115"/>
      <c r="K10" s="115"/>
      <c r="L10" s="114" t="s">
        <v>33</v>
      </c>
      <c r="M10" s="114"/>
      <c r="N10" s="114"/>
      <c r="O10" s="114"/>
      <c r="P10" s="112"/>
      <c r="Q10" s="112"/>
      <c r="R10" s="112"/>
      <c r="S10" s="112"/>
    </row>
    <row r="11" spans="1:19" ht="63" x14ac:dyDescent="0.25">
      <c r="B11" s="38" t="s">
        <v>32</v>
      </c>
      <c r="C11" s="37" t="s">
        <v>30</v>
      </c>
      <c r="D11" s="36" t="s">
        <v>29</v>
      </c>
      <c r="E11" s="38" t="s">
        <v>32</v>
      </c>
      <c r="F11" s="37" t="s">
        <v>30</v>
      </c>
      <c r="G11" s="36" t="s">
        <v>29</v>
      </c>
      <c r="H11" s="38" t="s">
        <v>32</v>
      </c>
      <c r="I11" s="38" t="s">
        <v>31</v>
      </c>
      <c r="J11" s="37" t="s">
        <v>30</v>
      </c>
      <c r="K11" s="36" t="s">
        <v>29</v>
      </c>
      <c r="L11" s="38" t="s">
        <v>32</v>
      </c>
      <c r="M11" s="38" t="s">
        <v>31</v>
      </c>
      <c r="N11" s="37" t="s">
        <v>30</v>
      </c>
      <c r="O11" s="36" t="s">
        <v>29</v>
      </c>
      <c r="P11" s="35"/>
      <c r="Q11" s="31"/>
      <c r="R11" s="31"/>
      <c r="S11" s="31"/>
    </row>
    <row r="12" spans="1:19" ht="13.5" customHeight="1" x14ac:dyDescent="0.25">
      <c r="B12" s="34"/>
      <c r="C12" s="33"/>
      <c r="D12" s="32"/>
      <c r="E12" s="34"/>
      <c r="F12" s="33"/>
      <c r="G12" s="32"/>
      <c r="H12" s="34"/>
      <c r="I12" s="34"/>
      <c r="J12" s="33"/>
      <c r="K12" s="32"/>
      <c r="L12" s="34"/>
      <c r="M12" s="34"/>
      <c r="N12" s="33"/>
      <c r="O12" s="32"/>
      <c r="P12" s="31"/>
      <c r="Q12" s="30"/>
      <c r="R12" s="30"/>
      <c r="S12" s="30"/>
    </row>
    <row r="13" spans="1:19" ht="20.25" x14ac:dyDescent="0.55000000000000004">
      <c r="A13" s="29" t="s">
        <v>15</v>
      </c>
      <c r="B13" s="28" t="s">
        <v>14</v>
      </c>
      <c r="C13" s="28" t="s">
        <v>14</v>
      </c>
      <c r="D13" s="28" t="s">
        <v>14</v>
      </c>
      <c r="E13" s="28" t="s">
        <v>14</v>
      </c>
      <c r="F13" s="28" t="s">
        <v>14</v>
      </c>
      <c r="G13" s="28" t="s">
        <v>14</v>
      </c>
      <c r="H13" s="28" t="s">
        <v>14</v>
      </c>
      <c r="I13" s="28" t="s">
        <v>14</v>
      </c>
      <c r="J13" s="28" t="s">
        <v>14</v>
      </c>
      <c r="K13" s="28" t="s">
        <v>14</v>
      </c>
      <c r="L13" s="28" t="s">
        <v>14</v>
      </c>
      <c r="M13" s="28" t="s">
        <v>14</v>
      </c>
      <c r="N13" s="28" t="s">
        <v>14</v>
      </c>
      <c r="O13" s="28" t="s">
        <v>14</v>
      </c>
      <c r="P13" s="28"/>
      <c r="Q13" s="28"/>
      <c r="R13" s="28"/>
      <c r="S13" s="28"/>
    </row>
    <row r="14" spans="1:19" ht="15" x14ac:dyDescent="0.2">
      <c r="A14" s="16">
        <v>41275</v>
      </c>
      <c r="B14" s="26">
        <f>2.2699 * CHOOSE(CONTROL!$C$32, $C$9, 100%, $E$9)</f>
        <v>2.2698999999999998</v>
      </c>
      <c r="C14" s="26">
        <f>2.2008 * CHOOSE(CONTROL!$C$32, $C$9, 100%, $E$9)</f>
        <v>2.2008000000000001</v>
      </c>
      <c r="D14" s="26">
        <f>2.2397 * CHOOSE(CONTROL!$C$32, $C$9, 100%, $E$9)</f>
        <v>2.2397</v>
      </c>
      <c r="E14" s="27">
        <f>3.5217 * CHOOSE(CONTROL!$C$32, $C$9, 100%, $E$9)</f>
        <v>3.5217000000000001</v>
      </c>
      <c r="F14" s="27">
        <f>3.0912 * CHOOSE(CONTROL!$C$32, $C$9, 100%, $E$9)</f>
        <v>3.0912000000000002</v>
      </c>
      <c r="G14" s="27">
        <f>3.1041 * CHOOSE(CONTROL!$C$32, $C$9, 100%, $E$9)</f>
        <v>3.1040999999999999</v>
      </c>
      <c r="H14" s="27">
        <f>5.79 * CHOOSE(CONTROL!$C$32, $C$9, 100%, $E$9)</f>
        <v>5.79</v>
      </c>
      <c r="I14" s="27">
        <f>5.8029 * CHOOSE(CONTROL!$C$32, $C$9, 100%, $E$9)</f>
        <v>5.8029000000000002</v>
      </c>
      <c r="J14" s="27">
        <f>5.79 * CHOOSE(CONTROL!$C$32, $C$9, 100%, $E$9)</f>
        <v>5.79</v>
      </c>
      <c r="K14" s="27">
        <f>5.8029 * CHOOSE(CONTROL!$C$32, $C$9, 100%, $E$9)</f>
        <v>5.8029000000000002</v>
      </c>
      <c r="L14" s="27">
        <f>3.5217 * CHOOSE(CONTROL!$C$32, $C$9, 100%, $E$9)</f>
        <v>3.5217000000000001</v>
      </c>
      <c r="M14" s="27">
        <f>3.5347 * CHOOSE(CONTROL!$C$32, $C$9, 100%, $E$9)</f>
        <v>3.5347</v>
      </c>
      <c r="N14" s="27">
        <f>3.5217 * CHOOSE(CONTROL!$C$32, $C$9, 100%, $E$9)</f>
        <v>3.5217000000000001</v>
      </c>
      <c r="O14" s="27">
        <f>3.5347 * CHOOSE(CONTROL!$C$32, $C$9, 100%, $E$9)</f>
        <v>3.5347</v>
      </c>
      <c r="P14" s="10"/>
      <c r="Q14" s="27"/>
      <c r="R14" s="27"/>
    </row>
    <row r="15" spans="1:19" ht="15" x14ac:dyDescent="0.2">
      <c r="A15" s="16">
        <v>41306</v>
      </c>
      <c r="B15" s="26">
        <f>2.2758 * CHOOSE(CONTROL!$C$32, $C$9, 100%, $E$9)</f>
        <v>2.2757999999999998</v>
      </c>
      <c r="C15" s="26">
        <f>2.2117 * CHOOSE(CONTROL!$C$32, $C$9, 100%, $E$9)</f>
        <v>2.2117</v>
      </c>
      <c r="D15" s="26">
        <f>2.2506 * CHOOSE(CONTROL!$C$32, $C$9, 100%, $E$9)</f>
        <v>2.2505999999999999</v>
      </c>
      <c r="E15" s="27">
        <f>3.4548 * CHOOSE(CONTROL!$C$32, $C$9, 100%, $E$9)</f>
        <v>3.4548000000000001</v>
      </c>
      <c r="F15" s="27">
        <f>3.0912 * CHOOSE(CONTROL!$C$32, $C$9, 100%, $E$9)</f>
        <v>3.0912000000000002</v>
      </c>
      <c r="G15" s="27">
        <f>3.1041 * CHOOSE(CONTROL!$C$32, $C$9, 100%, $E$9)</f>
        <v>3.1040999999999999</v>
      </c>
      <c r="H15" s="27">
        <f>5.79 * CHOOSE(CONTROL!$C$32, $C$9, 100%, $E$9)</f>
        <v>5.79</v>
      </c>
      <c r="I15" s="27">
        <f>5.8029 * CHOOSE(CONTROL!$C$32, $C$9, 100%, $E$9)</f>
        <v>5.8029000000000002</v>
      </c>
      <c r="J15" s="27">
        <f>5.79 * CHOOSE(CONTROL!$C$32, $C$9, 100%, $E$9)</f>
        <v>5.79</v>
      </c>
      <c r="K15" s="27">
        <f>5.8029 * CHOOSE(CONTROL!$C$32, $C$9, 100%, $E$9)</f>
        <v>5.8029000000000002</v>
      </c>
      <c r="L15" s="27">
        <f>3.4548 * CHOOSE(CONTROL!$C$32, $C$9, 100%, $E$9)</f>
        <v>3.4548000000000001</v>
      </c>
      <c r="M15" s="27">
        <f>3.4678 * CHOOSE(CONTROL!$C$32, $C$9, 100%, $E$9)</f>
        <v>3.4678</v>
      </c>
      <c r="N15" s="27">
        <f>3.4548 * CHOOSE(CONTROL!$C$32, $C$9, 100%, $E$9)</f>
        <v>3.4548000000000001</v>
      </c>
      <c r="O15" s="27">
        <f>3.4678 * CHOOSE(CONTROL!$C$32, $C$9, 100%, $E$9)</f>
        <v>3.4678</v>
      </c>
      <c r="P15" s="10"/>
      <c r="Q15" s="27"/>
      <c r="R15" s="27"/>
    </row>
    <row r="16" spans="1:19" ht="15" x14ac:dyDescent="0.2">
      <c r="A16" s="16">
        <v>41334</v>
      </c>
      <c r="B16" s="26">
        <f>2.2895 * CHOOSE(CONTROL!$C$32, $C$9, 100%, $E$9)</f>
        <v>2.2894999999999999</v>
      </c>
      <c r="C16" s="26">
        <f>2.2178 * CHOOSE(CONTROL!$C$32, $C$9, 100%, $E$9)</f>
        <v>2.2178</v>
      </c>
      <c r="D16" s="26">
        <f>2.2567 * CHOOSE(CONTROL!$C$32, $C$9, 100%, $E$9)</f>
        <v>2.2566999999999999</v>
      </c>
      <c r="E16" s="27">
        <f>3.4548 * CHOOSE(CONTROL!$C$32, $C$9, 100%, $E$9)</f>
        <v>3.4548000000000001</v>
      </c>
      <c r="F16" s="27">
        <f>3.0866 * CHOOSE(CONTROL!$C$32, $C$9, 100%, $E$9)</f>
        <v>3.0865999999999998</v>
      </c>
      <c r="G16" s="27">
        <f>3.0996 * CHOOSE(CONTROL!$C$32, $C$9, 100%, $E$9)</f>
        <v>3.0996000000000001</v>
      </c>
      <c r="H16" s="27">
        <f>5.79 * CHOOSE(CONTROL!$C$32, $C$9, 100%, $E$9)</f>
        <v>5.79</v>
      </c>
      <c r="I16" s="27">
        <f>5.8029 * CHOOSE(CONTROL!$C$32, $C$9, 100%, $E$9)</f>
        <v>5.8029000000000002</v>
      </c>
      <c r="J16" s="27">
        <f>5.79 * CHOOSE(CONTROL!$C$32, $C$9, 100%, $E$9)</f>
        <v>5.79</v>
      </c>
      <c r="K16" s="27">
        <f>5.8029 * CHOOSE(CONTROL!$C$32, $C$9, 100%, $E$9)</f>
        <v>5.8029000000000002</v>
      </c>
      <c r="L16" s="27">
        <f>3.4548 * CHOOSE(CONTROL!$C$32, $C$9, 100%, $E$9)</f>
        <v>3.4548000000000001</v>
      </c>
      <c r="M16" s="27">
        <f>3.4678 * CHOOSE(CONTROL!$C$32, $C$9, 100%, $E$9)</f>
        <v>3.4678</v>
      </c>
      <c r="N16" s="27">
        <f>3.4548 * CHOOSE(CONTROL!$C$32, $C$9, 100%, $E$9)</f>
        <v>3.4548000000000001</v>
      </c>
      <c r="O16" s="27">
        <f>3.4678 * CHOOSE(CONTROL!$C$32, $C$9, 100%, $E$9)</f>
        <v>3.4678</v>
      </c>
      <c r="P16" s="10"/>
      <c r="Q16" s="27"/>
      <c r="R16" s="27"/>
    </row>
    <row r="17" spans="1:18" ht="15" x14ac:dyDescent="0.2">
      <c r="A17" s="16">
        <v>41365</v>
      </c>
      <c r="B17" s="26">
        <f>2.2879 * CHOOSE(CONTROL!$C$32, $C$9, 100%, $E$9)</f>
        <v>2.2879</v>
      </c>
      <c r="C17" s="26">
        <f>2.1959 * CHOOSE(CONTROL!$C$32, $C$9, 100%, $E$9)</f>
        <v>2.1959</v>
      </c>
      <c r="D17" s="26">
        <f>2.2348 * CHOOSE(CONTROL!$C$32, $C$9, 100%, $E$9)</f>
        <v>2.2347999999999999</v>
      </c>
      <c r="E17" s="27">
        <f>3.4508 * CHOOSE(CONTROL!$C$32, $C$9, 100%, $E$9)</f>
        <v>3.4508000000000001</v>
      </c>
      <c r="F17" s="27">
        <f>3.0772 * CHOOSE(CONTROL!$C$32, $C$9, 100%, $E$9)</f>
        <v>3.0771999999999999</v>
      </c>
      <c r="G17" s="27">
        <f>3.0901 * CHOOSE(CONTROL!$C$32, $C$9, 100%, $E$9)</f>
        <v>3.0901000000000001</v>
      </c>
      <c r="H17" s="27">
        <f>5.829 * CHOOSE(CONTROL!$C$32, $C$9, 100%, $E$9)</f>
        <v>5.8289999999999997</v>
      </c>
      <c r="I17" s="27">
        <f>5.8419 * CHOOSE(CONTROL!$C$32, $C$9, 100%, $E$9)</f>
        <v>5.8418999999999999</v>
      </c>
      <c r="J17" s="27">
        <f>5.829 * CHOOSE(CONTROL!$C$32, $C$9, 100%, $E$9)</f>
        <v>5.8289999999999997</v>
      </c>
      <c r="K17" s="27">
        <f>5.8419 * CHOOSE(CONTROL!$C$32, $C$9, 100%, $E$9)</f>
        <v>5.8418999999999999</v>
      </c>
      <c r="L17" s="27">
        <f>3.4508 * CHOOSE(CONTROL!$C$32, $C$9, 100%, $E$9)</f>
        <v>3.4508000000000001</v>
      </c>
      <c r="M17" s="27">
        <f>3.4638 * CHOOSE(CONTROL!$C$32, $C$9, 100%, $E$9)</f>
        <v>3.4638</v>
      </c>
      <c r="N17" s="27">
        <f>3.4508 * CHOOSE(CONTROL!$C$32, $C$9, 100%, $E$9)</f>
        <v>3.4508000000000001</v>
      </c>
      <c r="O17" s="27">
        <f>3.4638 * CHOOSE(CONTROL!$C$32, $C$9, 100%, $E$9)</f>
        <v>3.4638</v>
      </c>
      <c r="P17" s="10"/>
      <c r="Q17" s="27"/>
      <c r="R17" s="27"/>
    </row>
    <row r="18" spans="1:18" ht="15" x14ac:dyDescent="0.2">
      <c r="A18" s="16">
        <v>41395</v>
      </c>
      <c r="B18" s="26">
        <f>2.2947 * CHOOSE(CONTROL!$C$32, $C$9, 100%, $E$9)</f>
        <v>2.2947000000000002</v>
      </c>
      <c r="C18" s="26">
        <f>2.19 * CHOOSE(CONTROL!$C$32, $C$9, 100%, $E$9)</f>
        <v>2.19</v>
      </c>
      <c r="D18" s="26">
        <f>2.2475 * CHOOSE(CONTROL!$C$32, $C$9, 100%, $E$9)</f>
        <v>2.2475000000000001</v>
      </c>
      <c r="E18" s="27">
        <f>3.4702 * CHOOSE(CONTROL!$C$32, $C$9, 100%, $E$9)</f>
        <v>3.4702000000000002</v>
      </c>
      <c r="F18" s="27">
        <f>3.084 * CHOOSE(CONTROL!$C$32, $C$9, 100%, $E$9)</f>
        <v>3.0840000000000001</v>
      </c>
      <c r="G18" s="27">
        <f>3.1031 * CHOOSE(CONTROL!$C$32, $C$9, 100%, $E$9)</f>
        <v>3.1031</v>
      </c>
      <c r="H18" s="27">
        <f>5.829 * CHOOSE(CONTROL!$C$32, $C$9, 100%, $E$9)</f>
        <v>5.8289999999999997</v>
      </c>
      <c r="I18" s="27">
        <f>5.8481 * CHOOSE(CONTROL!$C$32, $C$9, 100%, $E$9)</f>
        <v>5.8480999999999996</v>
      </c>
      <c r="J18" s="27">
        <f>5.829 * CHOOSE(CONTROL!$C$32, $C$9, 100%, $E$9)</f>
        <v>5.8289999999999997</v>
      </c>
      <c r="K18" s="27">
        <f>5.8481 * CHOOSE(CONTROL!$C$32, $C$9, 100%, $E$9)</f>
        <v>5.8480999999999996</v>
      </c>
      <c r="L18" s="27">
        <f>3.4702 * CHOOSE(CONTROL!$C$32, $C$9, 100%, $E$9)</f>
        <v>3.4702000000000002</v>
      </c>
      <c r="M18" s="27">
        <f>3.4892 * CHOOSE(CONTROL!$C$32, $C$9, 100%, $E$9)</f>
        <v>3.4891999999999999</v>
      </c>
      <c r="N18" s="27">
        <f>3.4702 * CHOOSE(CONTROL!$C$32, $C$9, 100%, $E$9)</f>
        <v>3.4702000000000002</v>
      </c>
      <c r="O18" s="27">
        <f>3.4892 * CHOOSE(CONTROL!$C$32, $C$9, 100%, $E$9)</f>
        <v>3.4891999999999999</v>
      </c>
      <c r="P18" s="10"/>
      <c r="Q18" s="27"/>
      <c r="R18" s="27"/>
    </row>
    <row r="19" spans="1:18" ht="15" x14ac:dyDescent="0.2">
      <c r="A19" s="16">
        <v>41426</v>
      </c>
      <c r="B19" s="26">
        <f>2.296 * CHOOSE(CONTROL!$C$32, $C$9, 100%, $E$9)</f>
        <v>2.2959999999999998</v>
      </c>
      <c r="C19" s="26">
        <f>2.1989 * CHOOSE(CONTROL!$C$32, $C$9, 100%, $E$9)</f>
        <v>2.1989000000000001</v>
      </c>
      <c r="D19" s="26">
        <f>2.2564 * CHOOSE(CONTROL!$C$32, $C$9, 100%, $E$9)</f>
        <v>2.2564000000000002</v>
      </c>
      <c r="E19" s="27">
        <f>3.4782 * CHOOSE(CONTROL!$C$32, $C$9, 100%, $E$9)</f>
        <v>3.4782000000000002</v>
      </c>
      <c r="F19" s="27">
        <f>3.109 * CHOOSE(CONTROL!$C$32, $C$9, 100%, $E$9)</f>
        <v>3.109</v>
      </c>
      <c r="G19" s="27">
        <f>3.1281 * CHOOSE(CONTROL!$C$32, $C$9, 100%, $E$9)</f>
        <v>3.1280999999999999</v>
      </c>
      <c r="H19" s="27">
        <f>5.829 * CHOOSE(CONTROL!$C$32, $C$9, 100%, $E$9)</f>
        <v>5.8289999999999997</v>
      </c>
      <c r="I19" s="27">
        <f>5.8481 * CHOOSE(CONTROL!$C$32, $C$9, 100%, $E$9)</f>
        <v>5.8480999999999996</v>
      </c>
      <c r="J19" s="27">
        <f>5.829 * CHOOSE(CONTROL!$C$32, $C$9, 100%, $E$9)</f>
        <v>5.8289999999999997</v>
      </c>
      <c r="K19" s="27">
        <f>5.8481 * CHOOSE(CONTROL!$C$32, $C$9, 100%, $E$9)</f>
        <v>5.8480999999999996</v>
      </c>
      <c r="L19" s="27">
        <f>3.4782 * CHOOSE(CONTROL!$C$32, $C$9, 100%, $E$9)</f>
        <v>3.4782000000000002</v>
      </c>
      <c r="M19" s="27">
        <f>3.4973 * CHOOSE(CONTROL!$C$32, $C$9, 100%, $E$9)</f>
        <v>3.4973000000000001</v>
      </c>
      <c r="N19" s="27">
        <f>3.4782 * CHOOSE(CONTROL!$C$32, $C$9, 100%, $E$9)</f>
        <v>3.4782000000000002</v>
      </c>
      <c r="O19" s="27">
        <f>3.4973 * CHOOSE(CONTROL!$C$32, $C$9, 100%, $E$9)</f>
        <v>3.4973000000000001</v>
      </c>
      <c r="P19" s="10"/>
      <c r="Q19" s="27"/>
      <c r="R19" s="27"/>
    </row>
    <row r="20" spans="1:18" ht="15" x14ac:dyDescent="0.2">
      <c r="A20" s="16">
        <v>41456</v>
      </c>
      <c r="B20" s="26">
        <f>2.3 * CHOOSE(CONTROL!$C$32, $C$9, 100%, $E$9)</f>
        <v>2.2999999999999998</v>
      </c>
      <c r="C20" s="26">
        <f>2.2233 * CHOOSE(CONTROL!$C$32, $C$9, 100%, $E$9)</f>
        <v>2.2233000000000001</v>
      </c>
      <c r="D20" s="26">
        <f>2.2808 * CHOOSE(CONTROL!$C$32, $C$9, 100%, $E$9)</f>
        <v>2.2808000000000002</v>
      </c>
      <c r="E20" s="27">
        <f>3.4973 * CHOOSE(CONTROL!$C$32, $C$9, 100%, $E$9)</f>
        <v>3.4973000000000001</v>
      </c>
      <c r="F20" s="27">
        <f>3.1418 * CHOOSE(CONTROL!$C$32, $C$9, 100%, $E$9)</f>
        <v>3.1417999999999999</v>
      </c>
      <c r="G20" s="27">
        <f>3.1609 * CHOOSE(CONTROL!$C$32, $C$9, 100%, $E$9)</f>
        <v>3.1608999999999998</v>
      </c>
      <c r="H20" s="27">
        <f>5.638 * CHOOSE(CONTROL!$C$32, $C$9, 100%, $E$9)</f>
        <v>5.6379999999999999</v>
      </c>
      <c r="I20" s="27">
        <f>5.6571 * CHOOSE(CONTROL!$C$32, $C$9, 100%, $E$9)</f>
        <v>5.6570999999999998</v>
      </c>
      <c r="J20" s="27">
        <f>5.638 * CHOOSE(CONTROL!$C$32, $C$9, 100%, $E$9)</f>
        <v>5.6379999999999999</v>
      </c>
      <c r="K20" s="27">
        <f>5.6571 * CHOOSE(CONTROL!$C$32, $C$9, 100%, $E$9)</f>
        <v>5.6570999999999998</v>
      </c>
      <c r="L20" s="27">
        <f>3.4973 * CHOOSE(CONTROL!$C$32, $C$9, 100%, $E$9)</f>
        <v>3.4973000000000001</v>
      </c>
      <c r="M20" s="27">
        <f>3.5163 * CHOOSE(CONTROL!$C$32, $C$9, 100%, $E$9)</f>
        <v>3.5163000000000002</v>
      </c>
      <c r="N20" s="27">
        <f>3.4973 * CHOOSE(CONTROL!$C$32, $C$9, 100%, $E$9)</f>
        <v>3.4973000000000001</v>
      </c>
      <c r="O20" s="27">
        <f>3.5163 * CHOOSE(CONTROL!$C$32, $C$9, 100%, $E$9)</f>
        <v>3.5163000000000002</v>
      </c>
      <c r="P20" s="10"/>
      <c r="Q20" s="27"/>
      <c r="R20" s="27"/>
    </row>
    <row r="21" spans="1:18" ht="15" x14ac:dyDescent="0.2">
      <c r="A21" s="16">
        <v>41487</v>
      </c>
      <c r="B21" s="26">
        <f>2.3085 * CHOOSE(CONTROL!$C$32, $C$9, 100%, $E$9)</f>
        <v>2.3085</v>
      </c>
      <c r="C21" s="26">
        <f>2.2521 * CHOOSE(CONTROL!$C$32, $C$9, 100%, $E$9)</f>
        <v>2.2521</v>
      </c>
      <c r="D21" s="26">
        <f>2.3096 * CHOOSE(CONTROL!$C$32, $C$9, 100%, $E$9)</f>
        <v>2.3096000000000001</v>
      </c>
      <c r="E21" s="27">
        <f>3.499 * CHOOSE(CONTROL!$C$32, $C$9, 100%, $E$9)</f>
        <v>3.4990000000000001</v>
      </c>
      <c r="F21" s="27">
        <f>3.1759 * CHOOSE(CONTROL!$C$32, $C$9, 100%, $E$9)</f>
        <v>3.1758999999999999</v>
      </c>
      <c r="G21" s="27">
        <f>3.195 * CHOOSE(CONTROL!$C$32, $C$9, 100%, $E$9)</f>
        <v>3.1949999999999998</v>
      </c>
      <c r="H21" s="27">
        <f>5.638 * CHOOSE(CONTROL!$C$32, $C$9, 100%, $E$9)</f>
        <v>5.6379999999999999</v>
      </c>
      <c r="I21" s="27">
        <f>5.6571 * CHOOSE(CONTROL!$C$32, $C$9, 100%, $E$9)</f>
        <v>5.6570999999999998</v>
      </c>
      <c r="J21" s="27">
        <f>5.638 * CHOOSE(CONTROL!$C$32, $C$9, 100%, $E$9)</f>
        <v>5.6379999999999999</v>
      </c>
      <c r="K21" s="27">
        <f>5.6571 * CHOOSE(CONTROL!$C$32, $C$9, 100%, $E$9)</f>
        <v>5.6570999999999998</v>
      </c>
      <c r="L21" s="27">
        <f>3.499 * CHOOSE(CONTROL!$C$32, $C$9, 100%, $E$9)</f>
        <v>3.4990000000000001</v>
      </c>
      <c r="M21" s="27">
        <f>3.518 * CHOOSE(CONTROL!$C$32, $C$9, 100%, $E$9)</f>
        <v>3.5179999999999998</v>
      </c>
      <c r="N21" s="27">
        <f>3.499 * CHOOSE(CONTROL!$C$32, $C$9, 100%, $E$9)</f>
        <v>3.4990000000000001</v>
      </c>
      <c r="O21" s="27">
        <f>3.518 * CHOOSE(CONTROL!$C$32, $C$9, 100%, $E$9)</f>
        <v>3.5179999999999998</v>
      </c>
      <c r="P21" s="10"/>
      <c r="Q21" s="27"/>
      <c r="R21" s="27"/>
    </row>
    <row r="22" spans="1:18" ht="15" x14ac:dyDescent="0.2">
      <c r="A22" s="16">
        <v>41518</v>
      </c>
      <c r="B22" s="26">
        <f>2.3073 * CHOOSE(CONTROL!$C$32, $C$9, 100%, $E$9)</f>
        <v>2.3073000000000001</v>
      </c>
      <c r="C22" s="26">
        <f>2.2458 * CHOOSE(CONTROL!$C$32, $C$9, 100%, $E$9)</f>
        <v>2.2458</v>
      </c>
      <c r="D22" s="26">
        <f>2.3033 * CHOOSE(CONTROL!$C$32, $C$9, 100%, $E$9)</f>
        <v>2.3033000000000001</v>
      </c>
      <c r="E22" s="27">
        <f>3.4957 * CHOOSE(CONTROL!$C$32, $C$9, 100%, $E$9)</f>
        <v>3.4956999999999998</v>
      </c>
      <c r="F22" s="27">
        <f>3.1918 * CHOOSE(CONTROL!$C$32, $C$9, 100%, $E$9)</f>
        <v>3.1918000000000002</v>
      </c>
      <c r="G22" s="27">
        <f>3.2109 * CHOOSE(CONTROL!$C$32, $C$9, 100%, $E$9)</f>
        <v>3.2109000000000001</v>
      </c>
      <c r="H22" s="27">
        <f>5.638 * CHOOSE(CONTROL!$C$32, $C$9, 100%, $E$9)</f>
        <v>5.6379999999999999</v>
      </c>
      <c r="I22" s="27">
        <f>5.6571 * CHOOSE(CONTROL!$C$32, $C$9, 100%, $E$9)</f>
        <v>5.6570999999999998</v>
      </c>
      <c r="J22" s="27">
        <f>5.638 * CHOOSE(CONTROL!$C$32, $C$9, 100%, $E$9)</f>
        <v>5.6379999999999999</v>
      </c>
      <c r="K22" s="27">
        <f>5.6571 * CHOOSE(CONTROL!$C$32, $C$9, 100%, $E$9)</f>
        <v>5.6570999999999998</v>
      </c>
      <c r="L22" s="27">
        <f>3.4957 * CHOOSE(CONTROL!$C$32, $C$9, 100%, $E$9)</f>
        <v>3.4956999999999998</v>
      </c>
      <c r="M22" s="27">
        <f>3.5147 * CHOOSE(CONTROL!$C$32, $C$9, 100%, $E$9)</f>
        <v>3.5146999999999999</v>
      </c>
      <c r="N22" s="27">
        <f>3.4957 * CHOOSE(CONTROL!$C$32, $C$9, 100%, $E$9)</f>
        <v>3.4956999999999998</v>
      </c>
      <c r="O22" s="27">
        <f>3.5147 * CHOOSE(CONTROL!$C$32, $C$9, 100%, $E$9)</f>
        <v>3.5146999999999999</v>
      </c>
      <c r="P22" s="10"/>
      <c r="Q22" s="27"/>
      <c r="R22" s="27"/>
    </row>
    <row r="23" spans="1:18" ht="15" x14ac:dyDescent="0.2">
      <c r="A23" s="16">
        <v>41548</v>
      </c>
      <c r="B23" s="26">
        <f>2.3058 * CHOOSE(CONTROL!$C$32, $C$9, 100%, $E$9)</f>
        <v>2.3058000000000001</v>
      </c>
      <c r="C23" s="26">
        <f>2.2367 * CHOOSE(CONTROL!$C$32, $C$9, 100%, $E$9)</f>
        <v>2.2366999999999999</v>
      </c>
      <c r="D23" s="26">
        <f>2.2756 * CHOOSE(CONTROL!$C$32, $C$9, 100%, $E$9)</f>
        <v>2.2755999999999998</v>
      </c>
      <c r="E23" s="27">
        <f>3.5106 * CHOOSE(CONTROL!$C$32, $C$9, 100%, $E$9)</f>
        <v>3.5106000000000002</v>
      </c>
      <c r="F23" s="27">
        <f>3.2177 * CHOOSE(CONTROL!$C$32, $C$9, 100%, $E$9)</f>
        <v>3.2176999999999998</v>
      </c>
      <c r="G23" s="27">
        <f>3.2307 * CHOOSE(CONTROL!$C$32, $C$9, 100%, $E$9)</f>
        <v>3.2307000000000001</v>
      </c>
      <c r="H23" s="27">
        <f>5.6497 * CHOOSE(CONTROL!$C$32, $C$9, 100%, $E$9)</f>
        <v>5.6497000000000002</v>
      </c>
      <c r="I23" s="27">
        <f>5.6627 * CHOOSE(CONTROL!$C$32, $C$9, 100%, $E$9)</f>
        <v>5.6627000000000001</v>
      </c>
      <c r="J23" s="27">
        <f>5.6497 * CHOOSE(CONTROL!$C$32, $C$9, 100%, $E$9)</f>
        <v>5.6497000000000002</v>
      </c>
      <c r="K23" s="27">
        <f>5.6627 * CHOOSE(CONTROL!$C$32, $C$9, 100%, $E$9)</f>
        <v>5.6627000000000001</v>
      </c>
      <c r="L23" s="27">
        <f>3.5106 * CHOOSE(CONTROL!$C$32, $C$9, 100%, $E$9)</f>
        <v>3.5106000000000002</v>
      </c>
      <c r="M23" s="27">
        <f>3.5235 * CHOOSE(CONTROL!$C$32, $C$9, 100%, $E$9)</f>
        <v>3.5234999999999999</v>
      </c>
      <c r="N23" s="27">
        <f>3.5106 * CHOOSE(CONTROL!$C$32, $C$9, 100%, $E$9)</f>
        <v>3.5106000000000002</v>
      </c>
      <c r="O23" s="27">
        <f>3.5235 * CHOOSE(CONTROL!$C$32, $C$9, 100%, $E$9)</f>
        <v>3.5234999999999999</v>
      </c>
      <c r="P23" s="10"/>
      <c r="Q23" s="27"/>
      <c r="R23" s="27"/>
    </row>
    <row r="24" spans="1:18" ht="15" x14ac:dyDescent="0.2">
      <c r="A24" s="16">
        <v>41579</v>
      </c>
      <c r="B24" s="26">
        <f>2.3113 * CHOOSE(CONTROL!$C$32, $C$9, 100%, $E$9)</f>
        <v>2.3113000000000001</v>
      </c>
      <c r="C24" s="26">
        <f>2.2472 * CHOOSE(CONTROL!$C$32, $C$9, 100%, $E$9)</f>
        <v>2.2471999999999999</v>
      </c>
      <c r="D24" s="26">
        <f>2.2862 * CHOOSE(CONTROL!$C$32, $C$9, 100%, $E$9)</f>
        <v>2.2862</v>
      </c>
      <c r="E24" s="27">
        <f>3.5106 * CHOOSE(CONTROL!$C$32, $C$9, 100%, $E$9)</f>
        <v>3.5106000000000002</v>
      </c>
      <c r="F24" s="27">
        <f>3.245 * CHOOSE(CONTROL!$C$32, $C$9, 100%, $E$9)</f>
        <v>3.2450000000000001</v>
      </c>
      <c r="G24" s="27">
        <f>3.258 * CHOOSE(CONTROL!$C$32, $C$9, 100%, $E$9)</f>
        <v>3.258</v>
      </c>
      <c r="H24" s="27">
        <f>5.6615 * CHOOSE(CONTROL!$C$32, $C$9, 100%, $E$9)</f>
        <v>5.6615000000000002</v>
      </c>
      <c r="I24" s="27">
        <f>5.6745 * CHOOSE(CONTROL!$C$32, $C$9, 100%, $E$9)</f>
        <v>5.6745000000000001</v>
      </c>
      <c r="J24" s="27">
        <f>5.6615 * CHOOSE(CONTROL!$C$32, $C$9, 100%, $E$9)</f>
        <v>5.6615000000000002</v>
      </c>
      <c r="K24" s="27">
        <f>5.6745 * CHOOSE(CONTROL!$C$32, $C$9, 100%, $E$9)</f>
        <v>5.6745000000000001</v>
      </c>
      <c r="L24" s="27">
        <f>3.5106 * CHOOSE(CONTROL!$C$32, $C$9, 100%, $E$9)</f>
        <v>3.5106000000000002</v>
      </c>
      <c r="M24" s="27">
        <f>3.5235 * CHOOSE(CONTROL!$C$32, $C$9, 100%, $E$9)</f>
        <v>3.5234999999999999</v>
      </c>
      <c r="N24" s="27">
        <f>3.5106 * CHOOSE(CONTROL!$C$32, $C$9, 100%, $E$9)</f>
        <v>3.5106000000000002</v>
      </c>
      <c r="O24" s="27">
        <f>3.5235 * CHOOSE(CONTROL!$C$32, $C$9, 100%, $E$9)</f>
        <v>3.5234999999999999</v>
      </c>
      <c r="P24" s="10"/>
      <c r="Q24" s="27"/>
      <c r="R24" s="27"/>
    </row>
    <row r="25" spans="1:18" ht="15" x14ac:dyDescent="0.2">
      <c r="A25" s="16">
        <v>41609</v>
      </c>
      <c r="B25" s="26">
        <f>2.3131 * CHOOSE(CONTROL!$C$32, $C$9, 100%, $E$9)</f>
        <v>2.3130999999999999</v>
      </c>
      <c r="C25" s="26">
        <f>2.2592 * CHOOSE(CONTROL!$C$32, $C$9, 100%, $E$9)</f>
        <v>2.2591999999999999</v>
      </c>
      <c r="D25" s="26">
        <f>2.2981 * CHOOSE(CONTROL!$C$32, $C$9, 100%, $E$9)</f>
        <v>2.2980999999999998</v>
      </c>
      <c r="E25" s="27">
        <f>3.5079 * CHOOSE(CONTROL!$C$32, $C$9, 100%, $E$9)</f>
        <v>3.5078999999999998</v>
      </c>
      <c r="F25" s="27">
        <f>3.2814 * CHOOSE(CONTROL!$C$32, $C$9, 100%, $E$9)</f>
        <v>3.2814000000000001</v>
      </c>
      <c r="G25" s="27">
        <f>3.2943 * CHOOSE(CONTROL!$C$32, $C$9, 100%, $E$9)</f>
        <v>3.2942999999999998</v>
      </c>
      <c r="H25" s="27">
        <f>5.6733 * CHOOSE(CONTROL!$C$32, $C$9, 100%, $E$9)</f>
        <v>5.6733000000000002</v>
      </c>
      <c r="I25" s="27">
        <f>5.6863 * CHOOSE(CONTROL!$C$32, $C$9, 100%, $E$9)</f>
        <v>5.6863000000000001</v>
      </c>
      <c r="J25" s="27">
        <f>5.6733 * CHOOSE(CONTROL!$C$32, $C$9, 100%, $E$9)</f>
        <v>5.6733000000000002</v>
      </c>
      <c r="K25" s="27">
        <f>5.6863 * CHOOSE(CONTROL!$C$32, $C$9, 100%, $E$9)</f>
        <v>5.6863000000000001</v>
      </c>
      <c r="L25" s="27">
        <f>3.5079 * CHOOSE(CONTROL!$C$32, $C$9, 100%, $E$9)</f>
        <v>3.5078999999999998</v>
      </c>
      <c r="M25" s="27">
        <f>3.5208 * CHOOSE(CONTROL!$C$32, $C$9, 100%, $E$9)</f>
        <v>3.5207999999999999</v>
      </c>
      <c r="N25" s="27">
        <f>3.5079 * CHOOSE(CONTROL!$C$32, $C$9, 100%, $E$9)</f>
        <v>3.5078999999999998</v>
      </c>
      <c r="O25" s="27">
        <f>3.5208 * CHOOSE(CONTROL!$C$32, $C$9, 100%, $E$9)</f>
        <v>3.5207999999999999</v>
      </c>
      <c r="P25" s="10"/>
      <c r="Q25" s="27"/>
      <c r="R25" s="27"/>
    </row>
    <row r="26" spans="1:18" ht="15" x14ac:dyDescent="0.2">
      <c r="A26" s="16">
        <v>41640</v>
      </c>
      <c r="B26" s="26">
        <f>2.326 * CHOOSE(CONTROL!$C$32, $C$9, 100%, $E$9)</f>
        <v>2.3260000000000001</v>
      </c>
      <c r="C26" s="26">
        <f>2.2882 * CHOOSE(CONTROL!$C$32, $C$9, 100%, $E$9)</f>
        <v>2.2881999999999998</v>
      </c>
      <c r="D26" s="26">
        <f>2.3271 * CHOOSE(CONTROL!$C$32, $C$9, 100%, $E$9)</f>
        <v>2.3271000000000002</v>
      </c>
      <c r="E26" s="27">
        <f>3.4998 * CHOOSE(CONTROL!$C$32, $C$9, 100%, $E$9)</f>
        <v>3.4998</v>
      </c>
      <c r="F26" s="27">
        <f>3.2737 * CHOOSE(CONTROL!$C$32, $C$9, 100%, $E$9)</f>
        <v>3.2736999999999998</v>
      </c>
      <c r="G26" s="27">
        <f>3.2867 * CHOOSE(CONTROL!$C$32, $C$9, 100%, $E$9)</f>
        <v>3.2867000000000002</v>
      </c>
      <c r="H26" s="27">
        <f>5.6851 * CHOOSE(CONTROL!$C$32, $C$9, 100%, $E$9)</f>
        <v>5.6851000000000003</v>
      </c>
      <c r="I26" s="27">
        <f>5.6981 * CHOOSE(CONTROL!$C$32, $C$9, 100%, $E$9)</f>
        <v>5.6981000000000002</v>
      </c>
      <c r="J26" s="27">
        <f>5.6851 * CHOOSE(CONTROL!$C$32, $C$9, 100%, $E$9)</f>
        <v>5.6851000000000003</v>
      </c>
      <c r="K26" s="27">
        <f>5.6981 * CHOOSE(CONTROL!$C$32, $C$9, 100%, $E$9)</f>
        <v>5.6981000000000002</v>
      </c>
      <c r="L26" s="27">
        <f>3.4998 * CHOOSE(CONTROL!$C$32, $C$9, 100%, $E$9)</f>
        <v>3.4998</v>
      </c>
      <c r="M26" s="27">
        <f>3.5127 * CHOOSE(CONTROL!$C$32, $C$9, 100%, $E$9)</f>
        <v>3.5127000000000002</v>
      </c>
      <c r="N26" s="27">
        <f>3.4998 * CHOOSE(CONTROL!$C$32, $C$9, 100%, $E$9)</f>
        <v>3.4998</v>
      </c>
      <c r="O26" s="27">
        <f>3.5127 * CHOOSE(CONTROL!$C$32, $C$9, 100%, $E$9)</f>
        <v>3.5127000000000002</v>
      </c>
      <c r="P26" s="10"/>
      <c r="Q26" s="27"/>
      <c r="R26" s="27"/>
    </row>
    <row r="27" spans="1:18" ht="15" x14ac:dyDescent="0.2">
      <c r="A27" s="16">
        <v>41671</v>
      </c>
      <c r="B27" s="26">
        <f>2.338 * CHOOSE(CONTROL!$C$32, $C$9, 100%, $E$9)</f>
        <v>2.3380000000000001</v>
      </c>
      <c r="C27" s="26">
        <f>2.3077 * CHOOSE(CONTROL!$C$32, $C$9, 100%, $E$9)</f>
        <v>2.3077000000000001</v>
      </c>
      <c r="D27" s="26">
        <f>2.3467 * CHOOSE(CONTROL!$C$32, $C$9, 100%, $E$9)</f>
        <v>2.3466999999999998</v>
      </c>
      <c r="E27" s="27">
        <f>3.5012 * CHOOSE(CONTROL!$C$32, $C$9, 100%, $E$9)</f>
        <v>3.5011999999999999</v>
      </c>
      <c r="F27" s="27">
        <f>3.2886 * CHOOSE(CONTROL!$C$32, $C$9, 100%, $E$9)</f>
        <v>3.2886000000000002</v>
      </c>
      <c r="G27" s="27">
        <f>3.3015 * CHOOSE(CONTROL!$C$32, $C$9, 100%, $E$9)</f>
        <v>3.3014999999999999</v>
      </c>
      <c r="H27" s="27">
        <f>5.697 * CHOOSE(CONTROL!$C$32, $C$9, 100%, $E$9)</f>
        <v>5.6970000000000001</v>
      </c>
      <c r="I27" s="27">
        <f>5.7099 * CHOOSE(CONTROL!$C$32, $C$9, 100%, $E$9)</f>
        <v>5.7099000000000002</v>
      </c>
      <c r="J27" s="27">
        <f>5.697 * CHOOSE(CONTROL!$C$32, $C$9, 100%, $E$9)</f>
        <v>5.6970000000000001</v>
      </c>
      <c r="K27" s="27">
        <f>5.7099 * CHOOSE(CONTROL!$C$32, $C$9, 100%, $E$9)</f>
        <v>5.7099000000000002</v>
      </c>
      <c r="L27" s="27">
        <f>3.5012 * CHOOSE(CONTROL!$C$32, $C$9, 100%, $E$9)</f>
        <v>3.5011999999999999</v>
      </c>
      <c r="M27" s="27">
        <f>3.5142 * CHOOSE(CONTROL!$C$32, $C$9, 100%, $E$9)</f>
        <v>3.5142000000000002</v>
      </c>
      <c r="N27" s="27">
        <f>3.5012 * CHOOSE(CONTROL!$C$32, $C$9, 100%, $E$9)</f>
        <v>3.5011999999999999</v>
      </c>
      <c r="O27" s="27">
        <f>3.5142 * CHOOSE(CONTROL!$C$32, $C$9, 100%, $E$9)</f>
        <v>3.5142000000000002</v>
      </c>
      <c r="P27" s="10"/>
      <c r="Q27" s="27"/>
      <c r="R27" s="27"/>
    </row>
    <row r="28" spans="1:18" ht="15" x14ac:dyDescent="0.2">
      <c r="A28" s="16">
        <v>41699</v>
      </c>
      <c r="B28" s="26">
        <f>2.3423 * CHOOSE(CONTROL!$C$32, $C$9, 100%, $E$9)</f>
        <v>2.3422999999999998</v>
      </c>
      <c r="C28" s="26">
        <f>2.3166 * CHOOSE(CONTROL!$C$32, $C$9, 100%, $E$9)</f>
        <v>2.3166000000000002</v>
      </c>
      <c r="D28" s="26">
        <f>2.3555 * CHOOSE(CONTROL!$C$32, $C$9, 100%, $E$9)</f>
        <v>2.3555000000000001</v>
      </c>
      <c r="E28" s="27">
        <f>3.4055 * CHOOSE(CONTROL!$C$32, $C$9, 100%, $E$9)</f>
        <v>3.4055</v>
      </c>
      <c r="F28" s="27">
        <f>3.2949 * CHOOSE(CONTROL!$C$32, $C$9, 100%, $E$9)</f>
        <v>3.2949000000000002</v>
      </c>
      <c r="G28" s="27">
        <f>3.3079 * CHOOSE(CONTROL!$C$32, $C$9, 100%, $E$9)</f>
        <v>3.3079000000000001</v>
      </c>
      <c r="H28" s="27">
        <f>5.7088 * CHOOSE(CONTROL!$C$32, $C$9, 100%, $E$9)</f>
        <v>5.7088000000000001</v>
      </c>
      <c r="I28" s="27">
        <f>5.7218 * CHOOSE(CONTROL!$C$32, $C$9, 100%, $E$9)</f>
        <v>5.7218</v>
      </c>
      <c r="J28" s="27">
        <f>5.7088 * CHOOSE(CONTROL!$C$32, $C$9, 100%, $E$9)</f>
        <v>5.7088000000000001</v>
      </c>
      <c r="K28" s="27">
        <f>5.7218 * CHOOSE(CONTROL!$C$32, $C$9, 100%, $E$9)</f>
        <v>5.7218</v>
      </c>
      <c r="L28" s="27">
        <f>3.4055 * CHOOSE(CONTROL!$C$32, $C$9, 100%, $E$9)</f>
        <v>3.4055</v>
      </c>
      <c r="M28" s="27">
        <f>3.4184 * CHOOSE(CONTROL!$C$32, $C$9, 100%, $E$9)</f>
        <v>3.4184000000000001</v>
      </c>
      <c r="N28" s="27">
        <f>3.4055 * CHOOSE(CONTROL!$C$32, $C$9, 100%, $E$9)</f>
        <v>3.4055</v>
      </c>
      <c r="O28" s="27">
        <f>3.4184 * CHOOSE(CONTROL!$C$32, $C$9, 100%, $E$9)</f>
        <v>3.4184000000000001</v>
      </c>
      <c r="P28" s="10"/>
      <c r="Q28" s="27"/>
      <c r="R28" s="27"/>
    </row>
    <row r="29" spans="1:18" ht="15" x14ac:dyDescent="0.2">
      <c r="A29" s="16">
        <v>41730</v>
      </c>
      <c r="B29" s="26">
        <f>2.3408 * CHOOSE(CONTROL!$C$32, $C$9, 100%, $E$9)</f>
        <v>2.3408000000000002</v>
      </c>
      <c r="C29" s="26">
        <f>2.3136 * CHOOSE(CONTROL!$C$32, $C$9, 100%, $E$9)</f>
        <v>2.3136000000000001</v>
      </c>
      <c r="D29" s="26">
        <f>2.3525 * CHOOSE(CONTROL!$C$32, $C$9, 100%, $E$9)</f>
        <v>2.3525</v>
      </c>
      <c r="E29" s="27">
        <f>3.4026 * CHOOSE(CONTROL!$C$32, $C$9, 100%, $E$9)</f>
        <v>3.4026000000000001</v>
      </c>
      <c r="F29" s="27">
        <f>3.3055 * CHOOSE(CONTROL!$C$32, $C$9, 100%, $E$9)</f>
        <v>3.3054999999999999</v>
      </c>
      <c r="G29" s="27">
        <f>3.3185 * CHOOSE(CONTROL!$C$32, $C$9, 100%, $E$9)</f>
        <v>3.3184999999999998</v>
      </c>
      <c r="H29" s="27">
        <f>5.7207 * CHOOSE(CONTROL!$C$32, $C$9, 100%, $E$9)</f>
        <v>5.7206999999999999</v>
      </c>
      <c r="I29" s="27">
        <f>5.7337 * CHOOSE(CONTROL!$C$32, $C$9, 100%, $E$9)</f>
        <v>5.7336999999999998</v>
      </c>
      <c r="J29" s="27">
        <f>5.7207 * CHOOSE(CONTROL!$C$32, $C$9, 100%, $E$9)</f>
        <v>5.7206999999999999</v>
      </c>
      <c r="K29" s="27">
        <f>5.7337 * CHOOSE(CONTROL!$C$32, $C$9, 100%, $E$9)</f>
        <v>5.7336999999999998</v>
      </c>
      <c r="L29" s="27">
        <f>3.4026 * CHOOSE(CONTROL!$C$32, $C$9, 100%, $E$9)</f>
        <v>3.4026000000000001</v>
      </c>
      <c r="M29" s="27">
        <f>3.4156 * CHOOSE(CONTROL!$C$32, $C$9, 100%, $E$9)</f>
        <v>3.4156</v>
      </c>
      <c r="N29" s="27">
        <f>3.4026 * CHOOSE(CONTROL!$C$32, $C$9, 100%, $E$9)</f>
        <v>3.4026000000000001</v>
      </c>
      <c r="O29" s="27">
        <f>3.4156 * CHOOSE(CONTROL!$C$32, $C$9, 100%, $E$9)</f>
        <v>3.4156</v>
      </c>
      <c r="P29" s="10"/>
      <c r="Q29" s="27"/>
      <c r="R29" s="27"/>
    </row>
    <row r="30" spans="1:18" ht="15" x14ac:dyDescent="0.2">
      <c r="A30" s="16">
        <v>41760</v>
      </c>
      <c r="B30" s="26">
        <f>2.3438 * CHOOSE(CONTROL!$C$32, $C$9, 100%, $E$9)</f>
        <v>2.3437999999999999</v>
      </c>
      <c r="C30" s="26">
        <f>2.3151 * CHOOSE(CONTROL!$C$32, $C$9, 100%, $E$9)</f>
        <v>2.3151000000000002</v>
      </c>
      <c r="D30" s="26">
        <f>2.3726 * CHOOSE(CONTROL!$C$32, $C$9, 100%, $E$9)</f>
        <v>2.3725999999999998</v>
      </c>
      <c r="E30" s="27">
        <f>3.4085 * CHOOSE(CONTROL!$C$32, $C$9, 100%, $E$9)</f>
        <v>3.4085000000000001</v>
      </c>
      <c r="F30" s="27">
        <f>3.3161 * CHOOSE(CONTROL!$C$32, $C$9, 100%, $E$9)</f>
        <v>3.3161</v>
      </c>
      <c r="G30" s="27">
        <f>3.3352 * CHOOSE(CONTROL!$C$32, $C$9, 100%, $E$9)</f>
        <v>3.3351999999999999</v>
      </c>
      <c r="H30" s="27">
        <f>5.7327 * CHOOSE(CONTROL!$C$32, $C$9, 100%, $E$9)</f>
        <v>5.7327000000000004</v>
      </c>
      <c r="I30" s="27">
        <f>5.7517 * CHOOSE(CONTROL!$C$32, $C$9, 100%, $E$9)</f>
        <v>5.7516999999999996</v>
      </c>
      <c r="J30" s="27">
        <f>5.7327 * CHOOSE(CONTROL!$C$32, $C$9, 100%, $E$9)</f>
        <v>5.7327000000000004</v>
      </c>
      <c r="K30" s="27">
        <f>5.7517 * CHOOSE(CONTROL!$C$32, $C$9, 100%, $E$9)</f>
        <v>5.7516999999999996</v>
      </c>
      <c r="L30" s="27">
        <f>3.4085 * CHOOSE(CONTROL!$C$32, $C$9, 100%, $E$9)</f>
        <v>3.4085000000000001</v>
      </c>
      <c r="M30" s="27">
        <f>3.4276 * CHOOSE(CONTROL!$C$32, $C$9, 100%, $E$9)</f>
        <v>3.4276</v>
      </c>
      <c r="N30" s="27">
        <f>3.4085 * CHOOSE(CONTROL!$C$32, $C$9, 100%, $E$9)</f>
        <v>3.4085000000000001</v>
      </c>
      <c r="O30" s="27">
        <f>3.4276 * CHOOSE(CONTROL!$C$32, $C$9, 100%, $E$9)</f>
        <v>3.4276</v>
      </c>
      <c r="P30" s="10"/>
      <c r="Q30" s="27"/>
      <c r="R30" s="27"/>
    </row>
    <row r="31" spans="1:18" ht="15" x14ac:dyDescent="0.2">
      <c r="A31" s="16">
        <v>41791</v>
      </c>
      <c r="B31" s="26">
        <f>2.3496 * CHOOSE(CONTROL!$C$32, $C$9, 100%, $E$9)</f>
        <v>2.3496000000000001</v>
      </c>
      <c r="C31" s="26">
        <f>2.327 * CHOOSE(CONTROL!$C$32, $C$9, 100%, $E$9)</f>
        <v>2.327</v>
      </c>
      <c r="D31" s="26">
        <f>2.3845 * CHOOSE(CONTROL!$C$32, $C$9, 100%, $E$9)</f>
        <v>2.3845000000000001</v>
      </c>
      <c r="E31" s="27">
        <f>3.4321 * CHOOSE(CONTROL!$C$32, $C$9, 100%, $E$9)</f>
        <v>3.4321000000000002</v>
      </c>
      <c r="F31" s="27">
        <f>3.3585 * CHOOSE(CONTROL!$C$32, $C$9, 100%, $E$9)</f>
        <v>3.3584999999999998</v>
      </c>
      <c r="G31" s="27">
        <f>3.3775 * CHOOSE(CONTROL!$C$32, $C$9, 100%, $E$9)</f>
        <v>3.3774999999999999</v>
      </c>
      <c r="H31" s="27">
        <f>5.7446 * CHOOSE(CONTROL!$C$32, $C$9, 100%, $E$9)</f>
        <v>5.7446000000000002</v>
      </c>
      <c r="I31" s="27">
        <f>5.7636 * CHOOSE(CONTROL!$C$32, $C$9, 100%, $E$9)</f>
        <v>5.7636000000000003</v>
      </c>
      <c r="J31" s="27">
        <f>5.7446 * CHOOSE(CONTROL!$C$32, $C$9, 100%, $E$9)</f>
        <v>5.7446000000000002</v>
      </c>
      <c r="K31" s="27">
        <f>5.7636 * CHOOSE(CONTROL!$C$32, $C$9, 100%, $E$9)</f>
        <v>5.7636000000000003</v>
      </c>
      <c r="L31" s="27">
        <f>3.4321 * CHOOSE(CONTROL!$C$32, $C$9, 100%, $E$9)</f>
        <v>3.4321000000000002</v>
      </c>
      <c r="M31" s="27">
        <f>3.4511 * CHOOSE(CONTROL!$C$32, $C$9, 100%, $E$9)</f>
        <v>3.4510999999999998</v>
      </c>
      <c r="N31" s="27">
        <f>3.4321 * CHOOSE(CONTROL!$C$32, $C$9, 100%, $E$9)</f>
        <v>3.4321000000000002</v>
      </c>
      <c r="O31" s="27">
        <f>3.4511 * CHOOSE(CONTROL!$C$32, $C$9, 100%, $E$9)</f>
        <v>3.4510999999999998</v>
      </c>
      <c r="P31" s="10"/>
      <c r="Q31" s="27"/>
      <c r="R31" s="27"/>
    </row>
    <row r="32" spans="1:18" ht="15" x14ac:dyDescent="0.2">
      <c r="A32" s="16">
        <v>41821</v>
      </c>
      <c r="B32" s="26">
        <f>2.3649 * CHOOSE(CONTROL!$C$32, $C$9, 100%, $E$9)</f>
        <v>2.3649</v>
      </c>
      <c r="C32" s="26">
        <f>2.3574 * CHOOSE(CONTROL!$C$32, $C$9, 100%, $E$9)</f>
        <v>2.3574000000000002</v>
      </c>
      <c r="D32" s="26">
        <f>2.4149 * CHOOSE(CONTROL!$C$32, $C$9, 100%, $E$9)</f>
        <v>2.4148999999999998</v>
      </c>
      <c r="E32" s="27">
        <f>3.4478 * CHOOSE(CONTROL!$C$32, $C$9, 100%, $E$9)</f>
        <v>3.4478</v>
      </c>
      <c r="F32" s="27">
        <f>3.4008 * CHOOSE(CONTROL!$C$32, $C$9, 100%, $E$9)</f>
        <v>3.4007999999999998</v>
      </c>
      <c r="G32" s="27">
        <f>3.4199 * CHOOSE(CONTROL!$C$32, $C$9, 100%, $E$9)</f>
        <v>3.4199000000000002</v>
      </c>
      <c r="H32" s="27">
        <f>5.7566 * CHOOSE(CONTROL!$C$32, $C$9, 100%, $E$9)</f>
        <v>5.7565999999999997</v>
      </c>
      <c r="I32" s="27">
        <f>5.7756 * CHOOSE(CONTROL!$C$32, $C$9, 100%, $E$9)</f>
        <v>5.7755999999999998</v>
      </c>
      <c r="J32" s="27">
        <f>5.7566 * CHOOSE(CONTROL!$C$32, $C$9, 100%, $E$9)</f>
        <v>5.7565999999999997</v>
      </c>
      <c r="K32" s="27">
        <f>5.7756 * CHOOSE(CONTROL!$C$32, $C$9, 100%, $E$9)</f>
        <v>5.7755999999999998</v>
      </c>
      <c r="L32" s="27">
        <f>3.4478 * CHOOSE(CONTROL!$C$32, $C$9, 100%, $E$9)</f>
        <v>3.4478</v>
      </c>
      <c r="M32" s="27">
        <f>3.4668 * CHOOSE(CONTROL!$C$32, $C$9, 100%, $E$9)</f>
        <v>3.4668000000000001</v>
      </c>
      <c r="N32" s="27">
        <f>3.4478 * CHOOSE(CONTROL!$C$32, $C$9, 100%, $E$9)</f>
        <v>3.4478</v>
      </c>
      <c r="O32" s="27">
        <f>3.4668 * CHOOSE(CONTROL!$C$32, $C$9, 100%, $E$9)</f>
        <v>3.4668000000000001</v>
      </c>
      <c r="P32" s="10"/>
      <c r="Q32" s="27"/>
      <c r="R32" s="27"/>
    </row>
    <row r="33" spans="1:18" ht="15" x14ac:dyDescent="0.2">
      <c r="A33" s="16">
        <v>41852</v>
      </c>
      <c r="B33" s="26">
        <f>2.3848 * CHOOSE(CONTROL!$C$32, $C$9, 100%, $E$9)</f>
        <v>2.3847999999999998</v>
      </c>
      <c r="C33" s="26">
        <f>2.3923 * CHOOSE(CONTROL!$C$32, $C$9, 100%, $E$9)</f>
        <v>2.3923000000000001</v>
      </c>
      <c r="D33" s="26">
        <f>2.4498 * CHOOSE(CONTROL!$C$32, $C$9, 100%, $E$9)</f>
        <v>2.4498000000000002</v>
      </c>
      <c r="E33" s="27">
        <f>3.4793 * CHOOSE(CONTROL!$C$32, $C$9, 100%, $E$9)</f>
        <v>3.4792999999999998</v>
      </c>
      <c r="F33" s="27">
        <f>3.4517 * CHOOSE(CONTROL!$C$32, $C$9, 100%, $E$9)</f>
        <v>3.4517000000000002</v>
      </c>
      <c r="G33" s="27">
        <f>3.4707 * CHOOSE(CONTROL!$C$32, $C$9, 100%, $E$9)</f>
        <v>3.4706999999999999</v>
      </c>
      <c r="H33" s="27">
        <f>5.7686 * CHOOSE(CONTROL!$C$32, $C$9, 100%, $E$9)</f>
        <v>5.7686000000000002</v>
      </c>
      <c r="I33" s="27">
        <f>5.7876 * CHOOSE(CONTROL!$C$32, $C$9, 100%, $E$9)</f>
        <v>5.7876000000000003</v>
      </c>
      <c r="J33" s="27">
        <f>5.7686 * CHOOSE(CONTROL!$C$32, $C$9, 100%, $E$9)</f>
        <v>5.7686000000000002</v>
      </c>
      <c r="K33" s="27">
        <f>5.7876 * CHOOSE(CONTROL!$C$32, $C$9, 100%, $E$9)</f>
        <v>5.7876000000000003</v>
      </c>
      <c r="L33" s="27">
        <f>3.4793 * CHOOSE(CONTROL!$C$32, $C$9, 100%, $E$9)</f>
        <v>3.4792999999999998</v>
      </c>
      <c r="M33" s="27">
        <f>3.4983 * CHOOSE(CONTROL!$C$32, $C$9, 100%, $E$9)</f>
        <v>3.4983</v>
      </c>
      <c r="N33" s="27">
        <f>3.4793 * CHOOSE(CONTROL!$C$32, $C$9, 100%, $E$9)</f>
        <v>3.4792999999999998</v>
      </c>
      <c r="O33" s="27">
        <f>3.4983 * CHOOSE(CONTROL!$C$32, $C$9, 100%, $E$9)</f>
        <v>3.4983</v>
      </c>
      <c r="P33" s="10"/>
      <c r="Q33" s="27"/>
      <c r="R33" s="27"/>
    </row>
    <row r="34" spans="1:18" ht="15" x14ac:dyDescent="0.2">
      <c r="A34" s="16">
        <v>41883</v>
      </c>
      <c r="B34" s="26">
        <f>2.3937 * CHOOSE(CONTROL!$C$32, $C$9, 100%, $E$9)</f>
        <v>2.3936999999999999</v>
      </c>
      <c r="C34" s="26">
        <f>2.4103 * CHOOSE(CONTROL!$C$32, $C$9, 100%, $E$9)</f>
        <v>2.4102999999999999</v>
      </c>
      <c r="D34" s="26">
        <f>2.4678 * CHOOSE(CONTROL!$C$32, $C$9, 100%, $E$9)</f>
        <v>2.4678</v>
      </c>
      <c r="E34" s="27">
        <f>3.4806 * CHOOSE(CONTROL!$C$32, $C$9, 100%, $E$9)</f>
        <v>3.4805999999999999</v>
      </c>
      <c r="F34" s="27">
        <f>3.4538 * CHOOSE(CONTROL!$C$32, $C$9, 100%, $E$9)</f>
        <v>3.4538000000000002</v>
      </c>
      <c r="G34" s="27">
        <f>3.4729 * CHOOSE(CONTROL!$C$32, $C$9, 100%, $E$9)</f>
        <v>3.4729000000000001</v>
      </c>
      <c r="H34" s="27">
        <f>5.7806 * CHOOSE(CONTROL!$C$32, $C$9, 100%, $E$9)</f>
        <v>5.7805999999999997</v>
      </c>
      <c r="I34" s="27">
        <f>5.7996 * CHOOSE(CONTROL!$C$32, $C$9, 100%, $E$9)</f>
        <v>5.7995999999999999</v>
      </c>
      <c r="J34" s="27">
        <f>5.7806 * CHOOSE(CONTROL!$C$32, $C$9, 100%, $E$9)</f>
        <v>5.7805999999999997</v>
      </c>
      <c r="K34" s="27">
        <f>5.7996 * CHOOSE(CONTROL!$C$32, $C$9, 100%, $E$9)</f>
        <v>5.7995999999999999</v>
      </c>
      <c r="L34" s="27">
        <f>3.4806 * CHOOSE(CONTROL!$C$32, $C$9, 100%, $E$9)</f>
        <v>3.4805999999999999</v>
      </c>
      <c r="M34" s="27">
        <f>3.4996 * CHOOSE(CONTROL!$C$32, $C$9, 100%, $E$9)</f>
        <v>3.4996</v>
      </c>
      <c r="N34" s="27">
        <f>3.4806 * CHOOSE(CONTROL!$C$32, $C$9, 100%, $E$9)</f>
        <v>3.4805999999999999</v>
      </c>
      <c r="O34" s="27">
        <f>3.4996 * CHOOSE(CONTROL!$C$32, $C$9, 100%, $E$9)</f>
        <v>3.4996</v>
      </c>
      <c r="P34" s="10"/>
      <c r="Q34" s="27"/>
      <c r="R34" s="27"/>
    </row>
    <row r="35" spans="1:18" ht="15" x14ac:dyDescent="0.2">
      <c r="A35" s="16">
        <v>41913</v>
      </c>
      <c r="B35" s="26">
        <f>2.3937 * CHOOSE(CONTROL!$C$32, $C$9, 100%, $E$9)</f>
        <v>2.3936999999999999</v>
      </c>
      <c r="C35" s="26">
        <f>2.4103 * CHOOSE(CONTROL!$C$32, $C$9, 100%, $E$9)</f>
        <v>2.4102999999999999</v>
      </c>
      <c r="D35" s="26">
        <f>2.4492 * CHOOSE(CONTROL!$C$32, $C$9, 100%, $E$9)</f>
        <v>2.4491999999999998</v>
      </c>
      <c r="E35" s="27">
        <f>3.4819 * CHOOSE(CONTROL!$C$32, $C$9, 100%, $E$9)</f>
        <v>3.4819</v>
      </c>
      <c r="F35" s="27">
        <f>3.4559 * CHOOSE(CONTROL!$C$32, $C$9, 100%, $E$9)</f>
        <v>3.4559000000000002</v>
      </c>
      <c r="G35" s="27">
        <f>3.4689 * CHOOSE(CONTROL!$C$32, $C$9, 100%, $E$9)</f>
        <v>3.4689000000000001</v>
      </c>
      <c r="H35" s="27">
        <f>5.7926 * CHOOSE(CONTROL!$C$32, $C$9, 100%, $E$9)</f>
        <v>5.7926000000000002</v>
      </c>
      <c r="I35" s="27">
        <f>5.8056 * CHOOSE(CONTROL!$C$32, $C$9, 100%, $E$9)</f>
        <v>5.8056000000000001</v>
      </c>
      <c r="J35" s="27">
        <f>5.7926 * CHOOSE(CONTROL!$C$32, $C$9, 100%, $E$9)</f>
        <v>5.7926000000000002</v>
      </c>
      <c r="K35" s="27">
        <f>5.8056 * CHOOSE(CONTROL!$C$32, $C$9, 100%, $E$9)</f>
        <v>5.8056000000000001</v>
      </c>
      <c r="L35" s="27">
        <f>3.4819 * CHOOSE(CONTROL!$C$32, $C$9, 100%, $E$9)</f>
        <v>3.4819</v>
      </c>
      <c r="M35" s="27">
        <f>3.4948 * CHOOSE(CONTROL!$C$32, $C$9, 100%, $E$9)</f>
        <v>3.4948000000000001</v>
      </c>
      <c r="N35" s="27">
        <f>3.4819 * CHOOSE(CONTROL!$C$32, $C$9, 100%, $E$9)</f>
        <v>3.4819</v>
      </c>
      <c r="O35" s="27">
        <f>3.4948 * CHOOSE(CONTROL!$C$32, $C$9, 100%, $E$9)</f>
        <v>3.4948000000000001</v>
      </c>
      <c r="P35" s="10"/>
      <c r="Q35" s="27"/>
      <c r="R35" s="27"/>
    </row>
    <row r="36" spans="1:18" ht="15" x14ac:dyDescent="0.2">
      <c r="A36" s="16">
        <v>41944</v>
      </c>
      <c r="B36" s="26">
        <f>2.4013 * CHOOSE(CONTROL!$C$32, $C$9, 100%, $E$9)</f>
        <v>2.4013</v>
      </c>
      <c r="C36" s="26">
        <f>2.421 * CHOOSE(CONTROL!$C$32, $C$9, 100%, $E$9)</f>
        <v>2.4209999999999998</v>
      </c>
      <c r="D36" s="26">
        <f>2.4599 * CHOOSE(CONTROL!$C$32, $C$9, 100%, $E$9)</f>
        <v>2.4599000000000002</v>
      </c>
      <c r="E36" s="27">
        <f>3.4897 * CHOOSE(CONTROL!$C$32, $C$9, 100%, $E$9)</f>
        <v>3.4897</v>
      </c>
      <c r="F36" s="27">
        <f>3.4623 * CHOOSE(CONTROL!$C$32, $C$9, 100%, $E$9)</f>
        <v>3.4622999999999999</v>
      </c>
      <c r="G36" s="27">
        <f>3.4752 * CHOOSE(CONTROL!$C$32, $C$9, 100%, $E$9)</f>
        <v>3.4752000000000001</v>
      </c>
      <c r="H36" s="27">
        <f>5.8047 * CHOOSE(CONTROL!$C$32, $C$9, 100%, $E$9)</f>
        <v>5.8047000000000004</v>
      </c>
      <c r="I36" s="27">
        <f>5.8176 * CHOOSE(CONTROL!$C$32, $C$9, 100%, $E$9)</f>
        <v>5.8175999999999997</v>
      </c>
      <c r="J36" s="27">
        <f>5.8047 * CHOOSE(CONTROL!$C$32, $C$9, 100%, $E$9)</f>
        <v>5.8047000000000004</v>
      </c>
      <c r="K36" s="27">
        <f>5.8176 * CHOOSE(CONTROL!$C$32, $C$9, 100%, $E$9)</f>
        <v>5.8175999999999997</v>
      </c>
      <c r="L36" s="27">
        <f>3.4897 * CHOOSE(CONTROL!$C$32, $C$9, 100%, $E$9)</f>
        <v>3.4897</v>
      </c>
      <c r="M36" s="27">
        <f>3.5027 * CHOOSE(CONTROL!$C$32, $C$9, 100%, $E$9)</f>
        <v>3.5026999999999999</v>
      </c>
      <c r="N36" s="27">
        <f>3.4897 * CHOOSE(CONTROL!$C$32, $C$9, 100%, $E$9)</f>
        <v>3.4897</v>
      </c>
      <c r="O36" s="27">
        <f>3.5027 * CHOOSE(CONTROL!$C$32, $C$9, 100%, $E$9)</f>
        <v>3.5026999999999999</v>
      </c>
      <c r="P36" s="10"/>
      <c r="Q36" s="27"/>
      <c r="R36" s="27"/>
    </row>
    <row r="37" spans="1:18" ht="15" x14ac:dyDescent="0.2">
      <c r="A37" s="16">
        <v>41974</v>
      </c>
      <c r="B37" s="26">
        <f>2.4071 * CHOOSE(CONTROL!$C$32, $C$9, 100%, $E$9)</f>
        <v>2.4070999999999998</v>
      </c>
      <c r="C37" s="26">
        <f>2.4328 * CHOOSE(CONTROL!$C$32, $C$9, 100%, $E$9)</f>
        <v>2.4327999999999999</v>
      </c>
      <c r="D37" s="26">
        <f>2.4717 * CHOOSE(CONTROL!$C$32, $C$9, 100%, $E$9)</f>
        <v>2.4716999999999998</v>
      </c>
      <c r="E37" s="27">
        <f>3.4979 * CHOOSE(CONTROL!$C$32, $C$9, 100%, $E$9)</f>
        <v>3.4979</v>
      </c>
      <c r="F37" s="27">
        <f>3.475 * CHOOSE(CONTROL!$C$32, $C$9, 100%, $E$9)</f>
        <v>3.4750000000000001</v>
      </c>
      <c r="G37" s="27">
        <f>3.4879 * CHOOSE(CONTROL!$C$32, $C$9, 100%, $E$9)</f>
        <v>3.4878999999999998</v>
      </c>
      <c r="H37" s="27">
        <f>5.8168 * CHOOSE(CONTROL!$C$32, $C$9, 100%, $E$9)</f>
        <v>5.8167999999999997</v>
      </c>
      <c r="I37" s="27">
        <f>5.8297 * CHOOSE(CONTROL!$C$32, $C$9, 100%, $E$9)</f>
        <v>5.8296999999999999</v>
      </c>
      <c r="J37" s="27">
        <f>5.8168 * CHOOSE(CONTROL!$C$32, $C$9, 100%, $E$9)</f>
        <v>5.8167999999999997</v>
      </c>
      <c r="K37" s="27">
        <f>5.8297 * CHOOSE(CONTROL!$C$32, $C$9, 100%, $E$9)</f>
        <v>5.8296999999999999</v>
      </c>
      <c r="L37" s="27">
        <f>3.4979 * CHOOSE(CONTROL!$C$32, $C$9, 100%, $E$9)</f>
        <v>3.4979</v>
      </c>
      <c r="M37" s="27">
        <f>3.5108 * CHOOSE(CONTROL!$C$32, $C$9, 100%, $E$9)</f>
        <v>3.5108000000000001</v>
      </c>
      <c r="N37" s="27">
        <f>3.4979 * CHOOSE(CONTROL!$C$32, $C$9, 100%, $E$9)</f>
        <v>3.4979</v>
      </c>
      <c r="O37" s="27">
        <f>3.5108 * CHOOSE(CONTROL!$C$32, $C$9, 100%, $E$9)</f>
        <v>3.5108000000000001</v>
      </c>
      <c r="P37" s="10"/>
      <c r="Q37" s="27"/>
      <c r="R37" s="27"/>
    </row>
    <row r="38" spans="1:18" ht="15" x14ac:dyDescent="0.2">
      <c r="A38" s="16">
        <v>42005</v>
      </c>
      <c r="B38" s="26">
        <f>2.4532 * CHOOSE(CONTROL!$C$32, $C$9, 100%, $E$9)</f>
        <v>2.4531999999999998</v>
      </c>
      <c r="C38" s="26">
        <f>2.4532 * CHOOSE(CONTROL!$C$32, $C$9, 100%, $E$9)</f>
        <v>2.4531999999999998</v>
      </c>
      <c r="D38" s="26">
        <f>2.4542 * CHOOSE(CONTROL!$C$32, $C$9, 100%, $E$9)</f>
        <v>2.4542000000000002</v>
      </c>
      <c r="E38" s="27">
        <f>3.8055 * CHOOSE(CONTROL!$C$32, $C$9, 100%, $E$9)</f>
        <v>3.8054999999999999</v>
      </c>
      <c r="F38" s="27">
        <f>3.5836 * CHOOSE(CONTROL!$C$32, $C$9, 100%, $E$9)</f>
        <v>3.5836000000000001</v>
      </c>
      <c r="G38" s="27">
        <f>3.5872 * CHOOSE(CONTROL!$C$32, $C$9, 100%, $E$9)</f>
        <v>3.5872000000000002</v>
      </c>
      <c r="H38" s="27">
        <f>5.8289 * CHOOSE(CONTROL!$C$32, $C$9, 100%, $E$9)</f>
        <v>5.8289</v>
      </c>
      <c r="I38" s="27">
        <f>5.8325 * CHOOSE(CONTROL!$C$32, $C$9, 100%, $E$9)</f>
        <v>5.8324999999999996</v>
      </c>
      <c r="J38" s="27">
        <f>5.8289 * CHOOSE(CONTROL!$C$32, $C$9, 100%, $E$9)</f>
        <v>5.8289</v>
      </c>
      <c r="K38" s="27">
        <f>5.8325 * CHOOSE(CONTROL!$C$32, $C$9, 100%, $E$9)</f>
        <v>5.8324999999999996</v>
      </c>
      <c r="L38" s="27">
        <f>3.8055 * CHOOSE(CONTROL!$C$32, $C$9, 100%, $E$9)</f>
        <v>3.8054999999999999</v>
      </c>
      <c r="M38" s="27">
        <f>3.8091 * CHOOSE(CONTROL!$C$32, $C$9, 100%, $E$9)</f>
        <v>3.8090999999999999</v>
      </c>
      <c r="N38" s="27">
        <f>3.8055 * CHOOSE(CONTROL!$C$32, $C$9, 100%, $E$9)</f>
        <v>3.8054999999999999</v>
      </c>
      <c r="O38" s="27">
        <f>3.8091 * CHOOSE(CONTROL!$C$32, $C$9, 100%, $E$9)</f>
        <v>3.8090999999999999</v>
      </c>
      <c r="P38" s="10"/>
      <c r="Q38" s="27"/>
      <c r="R38" s="27"/>
    </row>
    <row r="39" spans="1:18" ht="15" x14ac:dyDescent="0.2">
      <c r="A39" s="16">
        <v>42036</v>
      </c>
      <c r="B39" s="26">
        <f>2.4638 * CHOOSE(CONTROL!$C$32, $C$9, 100%, $E$9)</f>
        <v>2.4638</v>
      </c>
      <c r="C39" s="26">
        <f>2.4638 * CHOOSE(CONTROL!$C$32, $C$9, 100%, $E$9)</f>
        <v>2.4638</v>
      </c>
      <c r="D39" s="26">
        <f>2.4648 * CHOOSE(CONTROL!$C$32, $C$9, 100%, $E$9)</f>
        <v>2.4647999999999999</v>
      </c>
      <c r="E39" s="27">
        <f>3.7577 * CHOOSE(CONTROL!$C$32, $C$9, 100%, $E$9)</f>
        <v>3.7576999999999998</v>
      </c>
      <c r="F39" s="27">
        <f>3.5836 * CHOOSE(CONTROL!$C$32, $C$9, 100%, $E$9)</f>
        <v>3.5836000000000001</v>
      </c>
      <c r="G39" s="27">
        <f>3.5872 * CHOOSE(CONTROL!$C$32, $C$9, 100%, $E$9)</f>
        <v>3.5872000000000002</v>
      </c>
      <c r="H39" s="27">
        <f>5.841 * CHOOSE(CONTROL!$C$32, $C$9, 100%, $E$9)</f>
        <v>5.8410000000000002</v>
      </c>
      <c r="I39" s="27">
        <f>5.8447 * CHOOSE(CONTROL!$C$32, $C$9, 100%, $E$9)</f>
        <v>5.8446999999999996</v>
      </c>
      <c r="J39" s="27">
        <f>5.841 * CHOOSE(CONTROL!$C$32, $C$9, 100%, $E$9)</f>
        <v>5.8410000000000002</v>
      </c>
      <c r="K39" s="27">
        <f>5.8447 * CHOOSE(CONTROL!$C$32, $C$9, 100%, $E$9)</f>
        <v>5.8446999999999996</v>
      </c>
      <c r="L39" s="27">
        <f>3.7577 * CHOOSE(CONTROL!$C$32, $C$9, 100%, $E$9)</f>
        <v>3.7576999999999998</v>
      </c>
      <c r="M39" s="27">
        <f>3.7613 * CHOOSE(CONTROL!$C$32, $C$9, 100%, $E$9)</f>
        <v>3.7612999999999999</v>
      </c>
      <c r="N39" s="27">
        <f>3.7577 * CHOOSE(CONTROL!$C$32, $C$9, 100%, $E$9)</f>
        <v>3.7576999999999998</v>
      </c>
      <c r="O39" s="27">
        <f>3.7613 * CHOOSE(CONTROL!$C$32, $C$9, 100%, $E$9)</f>
        <v>3.7612999999999999</v>
      </c>
      <c r="P39" s="10"/>
      <c r="Q39" s="27"/>
      <c r="R39" s="27"/>
    </row>
    <row r="40" spans="1:18" ht="15" x14ac:dyDescent="0.2">
      <c r="A40" s="16">
        <v>42064</v>
      </c>
      <c r="B40" s="26">
        <f>2.4574 * CHOOSE(CONTROL!$C$32, $C$9, 100%, $E$9)</f>
        <v>2.4573999999999998</v>
      </c>
      <c r="C40" s="26">
        <f>2.4574 * CHOOSE(CONTROL!$C$32, $C$9, 100%, $E$9)</f>
        <v>2.4573999999999998</v>
      </c>
      <c r="D40" s="26">
        <f>2.4584 * CHOOSE(CONTROL!$C$32, $C$9, 100%, $E$9)</f>
        <v>2.4584000000000001</v>
      </c>
      <c r="E40" s="27">
        <f>3.686 * CHOOSE(CONTROL!$C$32, $C$9, 100%, $E$9)</f>
        <v>3.6859999999999999</v>
      </c>
      <c r="F40" s="27">
        <f>3.5836 * CHOOSE(CONTROL!$C$32, $C$9, 100%, $E$9)</f>
        <v>3.5836000000000001</v>
      </c>
      <c r="G40" s="27">
        <f>3.5872 * CHOOSE(CONTROL!$C$32, $C$9, 100%, $E$9)</f>
        <v>3.5872000000000002</v>
      </c>
      <c r="H40" s="27">
        <f>5.8532 * CHOOSE(CONTROL!$C$32, $C$9, 100%, $E$9)</f>
        <v>5.8532000000000002</v>
      </c>
      <c r="I40" s="27">
        <f>5.8568 * CHOOSE(CONTROL!$C$32, $C$9, 100%, $E$9)</f>
        <v>5.8567999999999998</v>
      </c>
      <c r="J40" s="27">
        <f>5.8532 * CHOOSE(CONTROL!$C$32, $C$9, 100%, $E$9)</f>
        <v>5.8532000000000002</v>
      </c>
      <c r="K40" s="27">
        <f>5.8568 * CHOOSE(CONTROL!$C$32, $C$9, 100%, $E$9)</f>
        <v>5.8567999999999998</v>
      </c>
      <c r="L40" s="27">
        <f>3.686 * CHOOSE(CONTROL!$C$32, $C$9, 100%, $E$9)</f>
        <v>3.6859999999999999</v>
      </c>
      <c r="M40" s="27">
        <f>3.6896 * CHOOSE(CONTROL!$C$32, $C$9, 100%, $E$9)</f>
        <v>3.6896</v>
      </c>
      <c r="N40" s="27">
        <f>3.686 * CHOOSE(CONTROL!$C$32, $C$9, 100%, $E$9)</f>
        <v>3.6859999999999999</v>
      </c>
      <c r="O40" s="27">
        <f>3.6896 * CHOOSE(CONTROL!$C$32, $C$9, 100%, $E$9)</f>
        <v>3.6896</v>
      </c>
      <c r="P40" s="10"/>
      <c r="Q40" s="27"/>
      <c r="R40" s="27"/>
    </row>
    <row r="41" spans="1:18" ht="15" x14ac:dyDescent="0.2">
      <c r="A41" s="16">
        <v>42095</v>
      </c>
      <c r="B41" s="26">
        <f>2.4574 * CHOOSE(CONTROL!$C$32, $C$9, 100%, $E$9)</f>
        <v>2.4573999999999998</v>
      </c>
      <c r="C41" s="26">
        <f>2.4574 * CHOOSE(CONTROL!$C$32, $C$9, 100%, $E$9)</f>
        <v>2.4573999999999998</v>
      </c>
      <c r="D41" s="26">
        <f>2.4584 * CHOOSE(CONTROL!$C$32, $C$9, 100%, $E$9)</f>
        <v>2.4584000000000001</v>
      </c>
      <c r="E41" s="27">
        <f>3.6986 * CHOOSE(CONTROL!$C$32, $C$9, 100%, $E$9)</f>
        <v>3.6985999999999999</v>
      </c>
      <c r="F41" s="27">
        <f>3.5836 * CHOOSE(CONTROL!$C$32, $C$9, 100%, $E$9)</f>
        <v>3.5836000000000001</v>
      </c>
      <c r="G41" s="27">
        <f>3.5872 * CHOOSE(CONTROL!$C$32, $C$9, 100%, $E$9)</f>
        <v>3.5872000000000002</v>
      </c>
      <c r="H41" s="27">
        <f>5.8654 * CHOOSE(CONTROL!$C$32, $C$9, 100%, $E$9)</f>
        <v>5.8654000000000002</v>
      </c>
      <c r="I41" s="27">
        <f>5.869 * CHOOSE(CONTROL!$C$32, $C$9, 100%, $E$9)</f>
        <v>5.8689999999999998</v>
      </c>
      <c r="J41" s="27">
        <f>5.8654 * CHOOSE(CONTROL!$C$32, $C$9, 100%, $E$9)</f>
        <v>5.8654000000000002</v>
      </c>
      <c r="K41" s="27">
        <f>5.869 * CHOOSE(CONTROL!$C$32, $C$9, 100%, $E$9)</f>
        <v>5.8689999999999998</v>
      </c>
      <c r="L41" s="27">
        <f>3.6986 * CHOOSE(CONTROL!$C$32, $C$9, 100%, $E$9)</f>
        <v>3.6985999999999999</v>
      </c>
      <c r="M41" s="27">
        <f>3.7022 * CHOOSE(CONTROL!$C$32, $C$9, 100%, $E$9)</f>
        <v>3.7021999999999999</v>
      </c>
      <c r="N41" s="27">
        <f>3.6986 * CHOOSE(CONTROL!$C$32, $C$9, 100%, $E$9)</f>
        <v>3.6985999999999999</v>
      </c>
      <c r="O41" s="27">
        <f>3.7022 * CHOOSE(CONTROL!$C$32, $C$9, 100%, $E$9)</f>
        <v>3.7021999999999999</v>
      </c>
      <c r="P41" s="10"/>
      <c r="Q41" s="27"/>
      <c r="R41" s="27"/>
    </row>
    <row r="42" spans="1:18" ht="15" x14ac:dyDescent="0.2">
      <c r="A42" s="16">
        <v>42125</v>
      </c>
      <c r="B42" s="26">
        <f>2.4559 * CHOOSE(CONTROL!$C$32, $C$9, 100%, $E$9)</f>
        <v>2.4559000000000002</v>
      </c>
      <c r="C42" s="26">
        <f>2.4559 * CHOOSE(CONTROL!$C$32, $C$9, 100%, $E$9)</f>
        <v>2.4559000000000002</v>
      </c>
      <c r="D42" s="26">
        <f>2.4575 * CHOOSE(CONTROL!$C$32, $C$9, 100%, $E$9)</f>
        <v>2.4575</v>
      </c>
      <c r="E42" s="27">
        <f>3.7718 * CHOOSE(CONTROL!$C$32, $C$9, 100%, $E$9)</f>
        <v>3.7717999999999998</v>
      </c>
      <c r="F42" s="27">
        <f>3.5836 * CHOOSE(CONTROL!$C$32, $C$9, 100%, $E$9)</f>
        <v>3.5836000000000001</v>
      </c>
      <c r="G42" s="27">
        <f>3.5889 * CHOOSE(CONTROL!$C$32, $C$9, 100%, $E$9)</f>
        <v>3.5889000000000002</v>
      </c>
      <c r="H42" s="27">
        <f>5.8776 * CHOOSE(CONTROL!$C$32, $C$9, 100%, $E$9)</f>
        <v>5.8776000000000002</v>
      </c>
      <c r="I42" s="27">
        <f>5.8829 * CHOOSE(CONTROL!$C$32, $C$9, 100%, $E$9)</f>
        <v>5.8829000000000002</v>
      </c>
      <c r="J42" s="27">
        <f>5.8776 * CHOOSE(CONTROL!$C$32, $C$9, 100%, $E$9)</f>
        <v>5.8776000000000002</v>
      </c>
      <c r="K42" s="27">
        <f>5.8829 * CHOOSE(CONTROL!$C$32, $C$9, 100%, $E$9)</f>
        <v>5.8829000000000002</v>
      </c>
      <c r="L42" s="27">
        <f>3.7718 * CHOOSE(CONTROL!$C$32, $C$9, 100%, $E$9)</f>
        <v>3.7717999999999998</v>
      </c>
      <c r="M42" s="27">
        <f>3.7771 * CHOOSE(CONTROL!$C$32, $C$9, 100%, $E$9)</f>
        <v>3.7770999999999999</v>
      </c>
      <c r="N42" s="27">
        <f>3.7718 * CHOOSE(CONTROL!$C$32, $C$9, 100%, $E$9)</f>
        <v>3.7717999999999998</v>
      </c>
      <c r="O42" s="27">
        <f>3.7771 * CHOOSE(CONTROL!$C$32, $C$9, 100%, $E$9)</f>
        <v>3.7770999999999999</v>
      </c>
      <c r="P42" s="10"/>
      <c r="Q42" s="27"/>
      <c r="R42" s="27"/>
    </row>
    <row r="43" spans="1:18" ht="15" x14ac:dyDescent="0.2">
      <c r="A43" s="16">
        <v>42156</v>
      </c>
      <c r="B43" s="26">
        <f>2.4775 * CHOOSE(CONTROL!$C$32, $C$9, 100%, $E$9)</f>
        <v>2.4775</v>
      </c>
      <c r="C43" s="26">
        <f>2.4775 * CHOOSE(CONTROL!$C$32, $C$9, 100%, $E$9)</f>
        <v>2.4775</v>
      </c>
      <c r="D43" s="26">
        <f>2.4791 * CHOOSE(CONTROL!$C$32, $C$9, 100%, $E$9)</f>
        <v>2.4790999999999999</v>
      </c>
      <c r="E43" s="27">
        <f>3.8167 * CHOOSE(CONTROL!$C$32, $C$9, 100%, $E$9)</f>
        <v>3.8167</v>
      </c>
      <c r="F43" s="27">
        <f>3.5836 * CHOOSE(CONTROL!$C$32, $C$9, 100%, $E$9)</f>
        <v>3.5836000000000001</v>
      </c>
      <c r="G43" s="27">
        <f>3.5889 * CHOOSE(CONTROL!$C$32, $C$9, 100%, $E$9)</f>
        <v>3.5889000000000002</v>
      </c>
      <c r="H43" s="27">
        <f>5.8899 * CHOOSE(CONTROL!$C$32, $C$9, 100%, $E$9)</f>
        <v>5.8898999999999999</v>
      </c>
      <c r="I43" s="27">
        <f>5.8952 * CHOOSE(CONTROL!$C$32, $C$9, 100%, $E$9)</f>
        <v>5.8952</v>
      </c>
      <c r="J43" s="27">
        <f>5.8899 * CHOOSE(CONTROL!$C$32, $C$9, 100%, $E$9)</f>
        <v>5.8898999999999999</v>
      </c>
      <c r="K43" s="27">
        <f>5.8952 * CHOOSE(CONTROL!$C$32, $C$9, 100%, $E$9)</f>
        <v>5.8952</v>
      </c>
      <c r="L43" s="27">
        <f>3.8167 * CHOOSE(CONTROL!$C$32, $C$9, 100%, $E$9)</f>
        <v>3.8167</v>
      </c>
      <c r="M43" s="27">
        <f>3.822 * CHOOSE(CONTROL!$C$32, $C$9, 100%, $E$9)</f>
        <v>3.8220000000000001</v>
      </c>
      <c r="N43" s="27">
        <f>3.8167 * CHOOSE(CONTROL!$C$32, $C$9, 100%, $E$9)</f>
        <v>3.8167</v>
      </c>
      <c r="O43" s="27">
        <f>3.822 * CHOOSE(CONTROL!$C$32, $C$9, 100%, $E$9)</f>
        <v>3.8220000000000001</v>
      </c>
      <c r="P43" s="10"/>
      <c r="Q43" s="27"/>
      <c r="R43" s="27"/>
    </row>
    <row r="44" spans="1:18" ht="15" x14ac:dyDescent="0.2">
      <c r="A44" s="16">
        <v>42186</v>
      </c>
      <c r="B44" s="26">
        <f>2.5019 * CHOOSE(CONTROL!$C$32, $C$9, 100%, $E$9)</f>
        <v>2.5019</v>
      </c>
      <c r="C44" s="26">
        <f>2.5019 * CHOOSE(CONTROL!$C$32, $C$9, 100%, $E$9)</f>
        <v>2.5019</v>
      </c>
      <c r="D44" s="26">
        <f>2.5034 * CHOOSE(CONTROL!$C$32, $C$9, 100%, $E$9)</f>
        <v>2.5034000000000001</v>
      </c>
      <c r="E44" s="27">
        <f>3.8864 * CHOOSE(CONTROL!$C$32, $C$9, 100%, $E$9)</f>
        <v>3.8864000000000001</v>
      </c>
      <c r="F44" s="27">
        <f>3.5836 * CHOOSE(CONTROL!$C$32, $C$9, 100%, $E$9)</f>
        <v>3.5836000000000001</v>
      </c>
      <c r="G44" s="27">
        <f>3.5889 * CHOOSE(CONTROL!$C$32, $C$9, 100%, $E$9)</f>
        <v>3.5889000000000002</v>
      </c>
      <c r="H44" s="27">
        <f>5.9021 * CHOOSE(CONTROL!$C$32, $C$9, 100%, $E$9)</f>
        <v>5.9020999999999999</v>
      </c>
      <c r="I44" s="27">
        <f>5.9074 * CHOOSE(CONTROL!$C$32, $C$9, 100%, $E$9)</f>
        <v>5.9074</v>
      </c>
      <c r="J44" s="27">
        <f>5.9021 * CHOOSE(CONTROL!$C$32, $C$9, 100%, $E$9)</f>
        <v>5.9020999999999999</v>
      </c>
      <c r="K44" s="27">
        <f>5.9074 * CHOOSE(CONTROL!$C$32, $C$9, 100%, $E$9)</f>
        <v>5.9074</v>
      </c>
      <c r="L44" s="27">
        <f>3.8864 * CHOOSE(CONTROL!$C$32, $C$9, 100%, $E$9)</f>
        <v>3.8864000000000001</v>
      </c>
      <c r="M44" s="27">
        <f>3.8917 * CHOOSE(CONTROL!$C$32, $C$9, 100%, $E$9)</f>
        <v>3.8917000000000002</v>
      </c>
      <c r="N44" s="27">
        <f>3.8864 * CHOOSE(CONTROL!$C$32, $C$9, 100%, $E$9)</f>
        <v>3.8864000000000001</v>
      </c>
      <c r="O44" s="27">
        <f>3.8917 * CHOOSE(CONTROL!$C$32, $C$9, 100%, $E$9)</f>
        <v>3.8917000000000002</v>
      </c>
      <c r="P44" s="10"/>
      <c r="Q44" s="27"/>
      <c r="R44" s="27"/>
    </row>
    <row r="45" spans="1:18" ht="15" x14ac:dyDescent="0.2">
      <c r="A45" s="16">
        <v>42217</v>
      </c>
      <c r="B45" s="26">
        <f>2.5126 * CHOOSE(CONTROL!$C$32, $C$9, 100%, $E$9)</f>
        <v>2.5125999999999999</v>
      </c>
      <c r="C45" s="26">
        <f>2.5126 * CHOOSE(CONTROL!$C$32, $C$9, 100%, $E$9)</f>
        <v>2.5125999999999999</v>
      </c>
      <c r="D45" s="26">
        <f>2.5142 * CHOOSE(CONTROL!$C$32, $C$9, 100%, $E$9)</f>
        <v>2.5142000000000002</v>
      </c>
      <c r="E45" s="27">
        <f>3.8864 * CHOOSE(CONTROL!$C$32, $C$9, 100%, $E$9)</f>
        <v>3.8864000000000001</v>
      </c>
      <c r="F45" s="27">
        <f>3.5836 * CHOOSE(CONTROL!$C$32, $C$9, 100%, $E$9)</f>
        <v>3.5836000000000001</v>
      </c>
      <c r="G45" s="27">
        <f>3.5889 * CHOOSE(CONTROL!$C$32, $C$9, 100%, $E$9)</f>
        <v>3.5889000000000002</v>
      </c>
      <c r="H45" s="27">
        <f>5.9144 * CHOOSE(CONTROL!$C$32, $C$9, 100%, $E$9)</f>
        <v>5.9143999999999997</v>
      </c>
      <c r="I45" s="27">
        <f>5.9197 * CHOOSE(CONTROL!$C$32, $C$9, 100%, $E$9)</f>
        <v>5.9196999999999997</v>
      </c>
      <c r="J45" s="27">
        <f>5.9144 * CHOOSE(CONTROL!$C$32, $C$9, 100%, $E$9)</f>
        <v>5.9143999999999997</v>
      </c>
      <c r="K45" s="27">
        <f>5.9197 * CHOOSE(CONTROL!$C$32, $C$9, 100%, $E$9)</f>
        <v>5.9196999999999997</v>
      </c>
      <c r="L45" s="27">
        <f>3.8864 * CHOOSE(CONTROL!$C$32, $C$9, 100%, $E$9)</f>
        <v>3.8864000000000001</v>
      </c>
      <c r="M45" s="27">
        <f>3.8917 * CHOOSE(CONTROL!$C$32, $C$9, 100%, $E$9)</f>
        <v>3.8917000000000002</v>
      </c>
      <c r="N45" s="27">
        <f>3.8864 * CHOOSE(CONTROL!$C$32, $C$9, 100%, $E$9)</f>
        <v>3.8864000000000001</v>
      </c>
      <c r="O45" s="27">
        <f>3.8917 * CHOOSE(CONTROL!$C$32, $C$9, 100%, $E$9)</f>
        <v>3.8917000000000002</v>
      </c>
      <c r="P45" s="10"/>
      <c r="Q45" s="27"/>
      <c r="R45" s="27"/>
    </row>
    <row r="46" spans="1:18" ht="15" x14ac:dyDescent="0.2">
      <c r="A46" s="16">
        <v>42248</v>
      </c>
      <c r="B46" s="26">
        <f>2.5129 * CHOOSE(CONTROL!$C$32, $C$9, 100%, $E$9)</f>
        <v>2.5129000000000001</v>
      </c>
      <c r="C46" s="26">
        <f>2.5129 * CHOOSE(CONTROL!$C$32, $C$9, 100%, $E$9)</f>
        <v>2.5129000000000001</v>
      </c>
      <c r="D46" s="26">
        <f>2.5145 * CHOOSE(CONTROL!$C$32, $C$9, 100%, $E$9)</f>
        <v>2.5145</v>
      </c>
      <c r="E46" s="27">
        <f>3.7811 * CHOOSE(CONTROL!$C$32, $C$9, 100%, $E$9)</f>
        <v>3.7810999999999999</v>
      </c>
      <c r="F46" s="27">
        <f>3.5836 * CHOOSE(CONTROL!$C$32, $C$9, 100%, $E$9)</f>
        <v>3.5836000000000001</v>
      </c>
      <c r="G46" s="27">
        <f>3.5889 * CHOOSE(CONTROL!$C$32, $C$9, 100%, $E$9)</f>
        <v>3.5889000000000002</v>
      </c>
      <c r="H46" s="27">
        <f>5.9268 * CHOOSE(CONTROL!$C$32, $C$9, 100%, $E$9)</f>
        <v>5.9268000000000001</v>
      </c>
      <c r="I46" s="27">
        <f>5.9321 * CHOOSE(CONTROL!$C$32, $C$9, 100%, $E$9)</f>
        <v>5.9321000000000002</v>
      </c>
      <c r="J46" s="27">
        <f>5.9268 * CHOOSE(CONTROL!$C$32, $C$9, 100%, $E$9)</f>
        <v>5.9268000000000001</v>
      </c>
      <c r="K46" s="27">
        <f>5.9321 * CHOOSE(CONTROL!$C$32, $C$9, 100%, $E$9)</f>
        <v>5.9321000000000002</v>
      </c>
      <c r="L46" s="27">
        <f>3.7811 * CHOOSE(CONTROL!$C$32, $C$9, 100%, $E$9)</f>
        <v>3.7810999999999999</v>
      </c>
      <c r="M46" s="27">
        <f>3.7864 * CHOOSE(CONTROL!$C$32, $C$9, 100%, $E$9)</f>
        <v>3.7864</v>
      </c>
      <c r="N46" s="27">
        <f>3.7811 * CHOOSE(CONTROL!$C$32, $C$9, 100%, $E$9)</f>
        <v>3.7810999999999999</v>
      </c>
      <c r="O46" s="27">
        <f>3.7864 * CHOOSE(CONTROL!$C$32, $C$9, 100%, $E$9)</f>
        <v>3.7864</v>
      </c>
      <c r="P46" s="10"/>
      <c r="Q46" s="27"/>
      <c r="R46" s="27"/>
    </row>
    <row r="47" spans="1:18" ht="15" x14ac:dyDescent="0.2">
      <c r="A47" s="16">
        <v>42278</v>
      </c>
      <c r="B47" s="26">
        <f>2.5008 * CHOOSE(CONTROL!$C$32, $C$9, 100%, $E$9)</f>
        <v>2.5007999999999999</v>
      </c>
      <c r="C47" s="26">
        <f>2.5008 * CHOOSE(CONTROL!$C$32, $C$9, 100%, $E$9)</f>
        <v>2.5007999999999999</v>
      </c>
      <c r="D47" s="26">
        <f>2.5019 * CHOOSE(CONTROL!$C$32, $C$9, 100%, $E$9)</f>
        <v>2.5019</v>
      </c>
      <c r="E47" s="27">
        <f>3.865 * CHOOSE(CONTROL!$C$32, $C$9, 100%, $E$9)</f>
        <v>3.8650000000000002</v>
      </c>
      <c r="F47" s="27">
        <f>3.5836 * CHOOSE(CONTROL!$C$32, $C$9, 100%, $E$9)</f>
        <v>3.5836000000000001</v>
      </c>
      <c r="G47" s="27">
        <f>3.5872 * CHOOSE(CONTROL!$C$32, $C$9, 100%, $E$9)</f>
        <v>3.5872000000000002</v>
      </c>
      <c r="H47" s="27">
        <f>5.9391 * CHOOSE(CONTROL!$C$32, $C$9, 100%, $E$9)</f>
        <v>5.9390999999999998</v>
      </c>
      <c r="I47" s="27">
        <f>5.9427 * CHOOSE(CONTROL!$C$32, $C$9, 100%, $E$9)</f>
        <v>5.9427000000000003</v>
      </c>
      <c r="J47" s="27">
        <f>5.9391 * CHOOSE(CONTROL!$C$32, $C$9, 100%, $E$9)</f>
        <v>5.9390999999999998</v>
      </c>
      <c r="K47" s="27">
        <f>5.9427 * CHOOSE(CONTROL!$C$32, $C$9, 100%, $E$9)</f>
        <v>5.9427000000000003</v>
      </c>
      <c r="L47" s="27">
        <f>3.865 * CHOOSE(CONTROL!$C$32, $C$9, 100%, $E$9)</f>
        <v>3.8650000000000002</v>
      </c>
      <c r="M47" s="27">
        <f>3.8686 * CHOOSE(CONTROL!$C$32, $C$9, 100%, $E$9)</f>
        <v>3.8685999999999998</v>
      </c>
      <c r="N47" s="27">
        <f>3.865 * CHOOSE(CONTROL!$C$32, $C$9, 100%, $E$9)</f>
        <v>3.8650000000000002</v>
      </c>
      <c r="O47" s="27">
        <f>3.8686 * CHOOSE(CONTROL!$C$32, $C$9, 100%, $E$9)</f>
        <v>3.8685999999999998</v>
      </c>
      <c r="P47" s="10"/>
      <c r="Q47" s="27"/>
      <c r="R47" s="27"/>
    </row>
    <row r="48" spans="1:18" ht="15" x14ac:dyDescent="0.2">
      <c r="A48" s="16">
        <v>42309</v>
      </c>
      <c r="B48" s="26">
        <f>2.5055 * CHOOSE(CONTROL!$C$32, $C$9, 100%, $E$9)</f>
        <v>2.5055000000000001</v>
      </c>
      <c r="C48" s="26">
        <f>2.5055 * CHOOSE(CONTROL!$C$32, $C$9, 100%, $E$9)</f>
        <v>2.5055000000000001</v>
      </c>
      <c r="D48" s="26">
        <f>2.5065 * CHOOSE(CONTROL!$C$32, $C$9, 100%, $E$9)</f>
        <v>2.5065</v>
      </c>
      <c r="E48" s="27">
        <f>3.865 * CHOOSE(CONTROL!$C$32, $C$9, 100%, $E$9)</f>
        <v>3.8650000000000002</v>
      </c>
      <c r="F48" s="27">
        <f>3.5836 * CHOOSE(CONTROL!$C$32, $C$9, 100%, $E$9)</f>
        <v>3.5836000000000001</v>
      </c>
      <c r="G48" s="27">
        <f>3.5872 * CHOOSE(CONTROL!$C$32, $C$9, 100%, $E$9)</f>
        <v>3.5872000000000002</v>
      </c>
      <c r="H48" s="27">
        <f>5.9515 * CHOOSE(CONTROL!$C$32, $C$9, 100%, $E$9)</f>
        <v>5.9515000000000002</v>
      </c>
      <c r="I48" s="27">
        <f>5.9551 * CHOOSE(CONTROL!$C$32, $C$9, 100%, $E$9)</f>
        <v>5.9550999999999998</v>
      </c>
      <c r="J48" s="27">
        <f>5.9515 * CHOOSE(CONTROL!$C$32, $C$9, 100%, $E$9)</f>
        <v>5.9515000000000002</v>
      </c>
      <c r="K48" s="27">
        <f>5.9551 * CHOOSE(CONTROL!$C$32, $C$9, 100%, $E$9)</f>
        <v>5.9550999999999998</v>
      </c>
      <c r="L48" s="27">
        <f>3.865 * CHOOSE(CONTROL!$C$32, $C$9, 100%, $E$9)</f>
        <v>3.8650000000000002</v>
      </c>
      <c r="M48" s="27">
        <f>3.8686 * CHOOSE(CONTROL!$C$32, $C$9, 100%, $E$9)</f>
        <v>3.8685999999999998</v>
      </c>
      <c r="N48" s="27">
        <f>3.865 * CHOOSE(CONTROL!$C$32, $C$9, 100%, $E$9)</f>
        <v>3.8650000000000002</v>
      </c>
      <c r="O48" s="27">
        <f>3.8686 * CHOOSE(CONTROL!$C$32, $C$9, 100%, $E$9)</f>
        <v>3.8685999999999998</v>
      </c>
      <c r="P48" s="10"/>
      <c r="Q48" s="27"/>
      <c r="R48" s="27"/>
    </row>
    <row r="49" spans="1:18" ht="15" x14ac:dyDescent="0.2">
      <c r="A49" s="16">
        <v>42339</v>
      </c>
      <c r="B49" s="26">
        <f>2.5088 * CHOOSE(CONTROL!$C$32, $C$9, 100%, $E$9)</f>
        <v>2.5087999999999999</v>
      </c>
      <c r="C49" s="26">
        <f>2.5088 * CHOOSE(CONTROL!$C$32, $C$9, 100%, $E$9)</f>
        <v>2.5087999999999999</v>
      </c>
      <c r="D49" s="26">
        <f>2.5099 * CHOOSE(CONTROL!$C$32, $C$9, 100%, $E$9)</f>
        <v>2.5099</v>
      </c>
      <c r="E49" s="27">
        <f>3.8041 * CHOOSE(CONTROL!$C$32, $C$9, 100%, $E$9)</f>
        <v>3.8041</v>
      </c>
      <c r="F49" s="27">
        <f>3.5836 * CHOOSE(CONTROL!$C$32, $C$9, 100%, $E$9)</f>
        <v>3.5836000000000001</v>
      </c>
      <c r="G49" s="27">
        <f>3.5872 * CHOOSE(CONTROL!$C$32, $C$9, 100%, $E$9)</f>
        <v>3.5872000000000002</v>
      </c>
      <c r="H49" s="27">
        <f>5.9639 * CHOOSE(CONTROL!$C$32, $C$9, 100%, $E$9)</f>
        <v>5.9638999999999998</v>
      </c>
      <c r="I49" s="27">
        <f>5.9675 * CHOOSE(CONTROL!$C$32, $C$9, 100%, $E$9)</f>
        <v>5.9675000000000002</v>
      </c>
      <c r="J49" s="27">
        <f>5.9639 * CHOOSE(CONTROL!$C$32, $C$9, 100%, $E$9)</f>
        <v>5.9638999999999998</v>
      </c>
      <c r="K49" s="27">
        <f>5.9675 * CHOOSE(CONTROL!$C$32, $C$9, 100%, $E$9)</f>
        <v>5.9675000000000002</v>
      </c>
      <c r="L49" s="27">
        <f>3.8041 * CHOOSE(CONTROL!$C$32, $C$9, 100%, $E$9)</f>
        <v>3.8041</v>
      </c>
      <c r="M49" s="27">
        <f>3.8077 * CHOOSE(CONTROL!$C$32, $C$9, 100%, $E$9)</f>
        <v>3.8077000000000001</v>
      </c>
      <c r="N49" s="27">
        <f>3.8041 * CHOOSE(CONTROL!$C$32, $C$9, 100%, $E$9)</f>
        <v>3.8041</v>
      </c>
      <c r="O49" s="27">
        <f>3.8077 * CHOOSE(CONTROL!$C$32, $C$9, 100%, $E$9)</f>
        <v>3.8077000000000001</v>
      </c>
      <c r="P49" s="10"/>
      <c r="Q49" s="27"/>
      <c r="R49" s="27"/>
    </row>
    <row r="50" spans="1:18" ht="15" x14ac:dyDescent="0.2">
      <c r="A50" s="16">
        <v>42370</v>
      </c>
      <c r="B50" s="26">
        <f>3.2679 * CHOOSE(CONTROL!$C$32, $C$9, 100%, $E$9)</f>
        <v>3.2679</v>
      </c>
      <c r="C50" s="26">
        <f>3.2679 * CHOOSE(CONTROL!$C$32, $C$9, 100%, $E$9)</f>
        <v>3.2679</v>
      </c>
      <c r="D50" s="26">
        <f>3.269 * CHOOSE(CONTROL!$C$32, $C$9, 100%, $E$9)</f>
        <v>3.2690000000000001</v>
      </c>
      <c r="E50" s="27">
        <f>3.9546 * CHOOSE(CONTROL!$C$32, $C$9, 100%, $E$9)</f>
        <v>3.9546000000000001</v>
      </c>
      <c r="F50" s="27">
        <f>3.6856 * CHOOSE(CONTROL!$C$32, $C$9, 100%, $E$9)</f>
        <v>3.6856</v>
      </c>
      <c r="G50" s="27">
        <f>3.6892 * CHOOSE(CONTROL!$C$32, $C$9, 100%, $E$9)</f>
        <v>3.6892</v>
      </c>
      <c r="H50" s="27">
        <f>5.9763 * CHOOSE(CONTROL!$C$32, $C$9, 100%, $E$9)</f>
        <v>5.9763000000000002</v>
      </c>
      <c r="I50" s="27">
        <f>5.9799 * CHOOSE(CONTROL!$C$32, $C$9, 100%, $E$9)</f>
        <v>5.9798999999999998</v>
      </c>
      <c r="J50" s="27">
        <f>5.9763 * CHOOSE(CONTROL!$C$32, $C$9, 100%, $E$9)</f>
        <v>5.9763000000000002</v>
      </c>
      <c r="K50" s="27">
        <f>5.9799 * CHOOSE(CONTROL!$C$32, $C$9, 100%, $E$9)</f>
        <v>5.9798999999999998</v>
      </c>
      <c r="L50" s="27">
        <f>3.9546 * CHOOSE(CONTROL!$C$32, $C$9, 100%, $E$9)</f>
        <v>3.9546000000000001</v>
      </c>
      <c r="M50" s="27">
        <f>3.9582 * CHOOSE(CONTROL!$C$32, $C$9, 100%, $E$9)</f>
        <v>3.9582000000000002</v>
      </c>
      <c r="N50" s="27">
        <f>3.9546 * CHOOSE(CONTROL!$C$32, $C$9, 100%, $E$9)</f>
        <v>3.9546000000000001</v>
      </c>
      <c r="O50" s="27">
        <f>3.9582 * CHOOSE(CONTROL!$C$32, $C$9, 100%, $E$9)</f>
        <v>3.9582000000000002</v>
      </c>
      <c r="P50" s="10"/>
      <c r="Q50" s="27"/>
      <c r="R50" s="27"/>
    </row>
    <row r="51" spans="1:18" ht="15" x14ac:dyDescent="0.2">
      <c r="A51" s="16">
        <v>42401</v>
      </c>
      <c r="B51" s="26">
        <f>3.2731 * CHOOSE(CONTROL!$C$32, $C$9, 100%, $E$9)</f>
        <v>3.2730999999999999</v>
      </c>
      <c r="C51" s="26">
        <f>3.2731 * CHOOSE(CONTROL!$C$32, $C$9, 100%, $E$9)</f>
        <v>3.2730999999999999</v>
      </c>
      <c r="D51" s="26">
        <f>3.2741 * CHOOSE(CONTROL!$C$32, $C$9, 100%, $E$9)</f>
        <v>3.2740999999999998</v>
      </c>
      <c r="E51" s="27">
        <f>3.8942 * CHOOSE(CONTROL!$C$32, $C$9, 100%, $E$9)</f>
        <v>3.8942000000000001</v>
      </c>
      <c r="F51" s="27">
        <f>3.6856 * CHOOSE(CONTROL!$C$32, $C$9, 100%, $E$9)</f>
        <v>3.6856</v>
      </c>
      <c r="G51" s="27">
        <f>3.6892 * CHOOSE(CONTROL!$C$32, $C$9, 100%, $E$9)</f>
        <v>3.6892</v>
      </c>
      <c r="H51" s="27">
        <f>5.9888 * CHOOSE(CONTROL!$C$32, $C$9, 100%, $E$9)</f>
        <v>5.9888000000000003</v>
      </c>
      <c r="I51" s="27">
        <f>5.9924 * CHOOSE(CONTROL!$C$32, $C$9, 100%, $E$9)</f>
        <v>5.9923999999999999</v>
      </c>
      <c r="J51" s="27">
        <f>5.9888 * CHOOSE(CONTROL!$C$32, $C$9, 100%, $E$9)</f>
        <v>5.9888000000000003</v>
      </c>
      <c r="K51" s="27">
        <f>5.9924 * CHOOSE(CONTROL!$C$32, $C$9, 100%, $E$9)</f>
        <v>5.9923999999999999</v>
      </c>
      <c r="L51" s="27">
        <f>3.8942 * CHOOSE(CONTROL!$C$32, $C$9, 100%, $E$9)</f>
        <v>3.8942000000000001</v>
      </c>
      <c r="M51" s="27">
        <f>3.8978 * CHOOSE(CONTROL!$C$32, $C$9, 100%, $E$9)</f>
        <v>3.8978000000000002</v>
      </c>
      <c r="N51" s="27">
        <f>3.8942 * CHOOSE(CONTROL!$C$32, $C$9, 100%, $E$9)</f>
        <v>3.8942000000000001</v>
      </c>
      <c r="O51" s="27">
        <f>3.8978 * CHOOSE(CONTROL!$C$32, $C$9, 100%, $E$9)</f>
        <v>3.8978000000000002</v>
      </c>
      <c r="P51" s="10"/>
      <c r="Q51" s="27"/>
      <c r="R51" s="27"/>
    </row>
    <row r="52" spans="1:18" ht="15" x14ac:dyDescent="0.2">
      <c r="A52" s="16">
        <v>42430</v>
      </c>
      <c r="B52" s="26">
        <f>3.2698 * CHOOSE(CONTROL!$C$32, $C$9, 100%, $E$9)</f>
        <v>3.2698</v>
      </c>
      <c r="C52" s="26">
        <f>3.2698 * CHOOSE(CONTROL!$C$32, $C$9, 100%, $E$9)</f>
        <v>3.2698</v>
      </c>
      <c r="D52" s="26">
        <f>3.2709 * CHOOSE(CONTROL!$C$32, $C$9, 100%, $E$9)</f>
        <v>3.2709000000000001</v>
      </c>
      <c r="E52" s="27">
        <f>3.8028 * CHOOSE(CONTROL!$C$32, $C$9, 100%, $E$9)</f>
        <v>3.8028</v>
      </c>
      <c r="F52" s="27">
        <f>3.6856 * CHOOSE(CONTROL!$C$32, $C$9, 100%, $E$9)</f>
        <v>3.6856</v>
      </c>
      <c r="G52" s="27">
        <f>3.6892 * CHOOSE(CONTROL!$C$32, $C$9, 100%, $E$9)</f>
        <v>3.6892</v>
      </c>
      <c r="H52" s="27">
        <f>6.0012 * CHOOSE(CONTROL!$C$32, $C$9, 100%, $E$9)</f>
        <v>6.0011999999999999</v>
      </c>
      <c r="I52" s="27">
        <f>6.0048 * CHOOSE(CONTROL!$C$32, $C$9, 100%, $E$9)</f>
        <v>6.0048000000000004</v>
      </c>
      <c r="J52" s="27">
        <f>6.0012 * CHOOSE(CONTROL!$C$32, $C$9, 100%, $E$9)</f>
        <v>6.0011999999999999</v>
      </c>
      <c r="K52" s="27">
        <f>6.0048 * CHOOSE(CONTROL!$C$32, $C$9, 100%, $E$9)</f>
        <v>6.0048000000000004</v>
      </c>
      <c r="L52" s="27">
        <f>3.8028 * CHOOSE(CONTROL!$C$32, $C$9, 100%, $E$9)</f>
        <v>3.8028</v>
      </c>
      <c r="M52" s="27">
        <f>3.8064 * CHOOSE(CONTROL!$C$32, $C$9, 100%, $E$9)</f>
        <v>3.8064</v>
      </c>
      <c r="N52" s="27">
        <f>3.8028 * CHOOSE(CONTROL!$C$32, $C$9, 100%, $E$9)</f>
        <v>3.8028</v>
      </c>
      <c r="O52" s="27">
        <f>3.8064 * CHOOSE(CONTROL!$C$32, $C$9, 100%, $E$9)</f>
        <v>3.8064</v>
      </c>
      <c r="P52" s="10"/>
      <c r="Q52" s="27"/>
      <c r="R52" s="27"/>
    </row>
    <row r="53" spans="1:18" ht="15" x14ac:dyDescent="0.2">
      <c r="A53" s="16">
        <v>42461</v>
      </c>
      <c r="B53" s="26">
        <f>3.2637 * CHOOSE(CONTROL!$C$32, $C$9, 100%, $E$9)</f>
        <v>3.2637</v>
      </c>
      <c r="C53" s="26">
        <f>3.2637 * CHOOSE(CONTROL!$C$32, $C$9, 100%, $E$9)</f>
        <v>3.2637</v>
      </c>
      <c r="D53" s="26">
        <f>3.2648 * CHOOSE(CONTROL!$C$32, $C$9, 100%, $E$9)</f>
        <v>3.2648000000000001</v>
      </c>
      <c r="E53" s="27">
        <f>3.8942 * CHOOSE(CONTROL!$C$32, $C$9, 100%, $E$9)</f>
        <v>3.8942000000000001</v>
      </c>
      <c r="F53" s="27">
        <f>3.6856 * CHOOSE(CONTROL!$C$32, $C$9, 100%, $E$9)</f>
        <v>3.6856</v>
      </c>
      <c r="G53" s="27">
        <f>3.6892 * CHOOSE(CONTROL!$C$32, $C$9, 100%, $E$9)</f>
        <v>3.6892</v>
      </c>
      <c r="H53" s="27">
        <f>6.0137 * CHOOSE(CONTROL!$C$32, $C$9, 100%, $E$9)</f>
        <v>6.0137</v>
      </c>
      <c r="I53" s="27">
        <f>6.0173 * CHOOSE(CONTROL!$C$32, $C$9, 100%, $E$9)</f>
        <v>6.0172999999999996</v>
      </c>
      <c r="J53" s="27">
        <f>6.0137 * CHOOSE(CONTROL!$C$32, $C$9, 100%, $E$9)</f>
        <v>6.0137</v>
      </c>
      <c r="K53" s="27">
        <f>6.0173 * CHOOSE(CONTROL!$C$32, $C$9, 100%, $E$9)</f>
        <v>6.0172999999999996</v>
      </c>
      <c r="L53" s="27">
        <f>3.8942 * CHOOSE(CONTROL!$C$32, $C$9, 100%, $E$9)</f>
        <v>3.8942000000000001</v>
      </c>
      <c r="M53" s="27">
        <f>3.8978 * CHOOSE(CONTROL!$C$32, $C$9, 100%, $E$9)</f>
        <v>3.8978000000000002</v>
      </c>
      <c r="N53" s="27">
        <f>3.8942 * CHOOSE(CONTROL!$C$32, $C$9, 100%, $E$9)</f>
        <v>3.8942000000000001</v>
      </c>
      <c r="O53" s="27">
        <f>3.8978 * CHOOSE(CONTROL!$C$32, $C$9, 100%, $E$9)</f>
        <v>3.8978000000000002</v>
      </c>
      <c r="P53" s="10"/>
      <c r="Q53" s="27"/>
      <c r="R53" s="27"/>
    </row>
    <row r="54" spans="1:18" ht="15" x14ac:dyDescent="0.2">
      <c r="A54" s="16">
        <v>42491</v>
      </c>
      <c r="B54" s="26">
        <f>3.2722 * CHOOSE(CONTROL!$C$32, $C$9, 100%, $E$9)</f>
        <v>3.2722000000000002</v>
      </c>
      <c r="C54" s="26">
        <f>3.2722 * CHOOSE(CONTROL!$C$32, $C$9, 100%, $E$9)</f>
        <v>3.2722000000000002</v>
      </c>
      <c r="D54" s="26">
        <f>3.2738 * CHOOSE(CONTROL!$C$32, $C$9, 100%, $E$9)</f>
        <v>3.2738</v>
      </c>
      <c r="E54" s="27">
        <f>3.9546 * CHOOSE(CONTROL!$C$32, $C$9, 100%, $E$9)</f>
        <v>3.9546000000000001</v>
      </c>
      <c r="F54" s="27">
        <f>3.6856 * CHOOSE(CONTROL!$C$32, $C$9, 100%, $E$9)</f>
        <v>3.6856</v>
      </c>
      <c r="G54" s="27">
        <f>3.6909 * CHOOSE(CONTROL!$C$32, $C$9, 100%, $E$9)</f>
        <v>3.6909000000000001</v>
      </c>
      <c r="H54" s="27">
        <f>6.0263 * CHOOSE(CONTROL!$C$32, $C$9, 100%, $E$9)</f>
        <v>6.0263</v>
      </c>
      <c r="I54" s="27">
        <f>6.0316 * CHOOSE(CONTROL!$C$32, $C$9, 100%, $E$9)</f>
        <v>6.0316000000000001</v>
      </c>
      <c r="J54" s="27">
        <f>6.0263 * CHOOSE(CONTROL!$C$32, $C$9, 100%, $E$9)</f>
        <v>6.0263</v>
      </c>
      <c r="K54" s="27">
        <f>6.0316 * CHOOSE(CONTROL!$C$32, $C$9, 100%, $E$9)</f>
        <v>6.0316000000000001</v>
      </c>
      <c r="L54" s="27">
        <f>3.9546 * CHOOSE(CONTROL!$C$32, $C$9, 100%, $E$9)</f>
        <v>3.9546000000000001</v>
      </c>
      <c r="M54" s="27">
        <f>3.9599 * CHOOSE(CONTROL!$C$32, $C$9, 100%, $E$9)</f>
        <v>3.9599000000000002</v>
      </c>
      <c r="N54" s="27">
        <f>3.9546 * CHOOSE(CONTROL!$C$32, $C$9, 100%, $E$9)</f>
        <v>3.9546000000000001</v>
      </c>
      <c r="O54" s="27">
        <f>3.9599 * CHOOSE(CONTROL!$C$32, $C$9, 100%, $E$9)</f>
        <v>3.9599000000000002</v>
      </c>
      <c r="P54" s="10"/>
      <c r="Q54" s="27"/>
      <c r="R54" s="27"/>
    </row>
    <row r="55" spans="1:18" ht="15" x14ac:dyDescent="0.2">
      <c r="A55" s="16">
        <v>42522</v>
      </c>
      <c r="B55" s="26">
        <f>3.2786 * CHOOSE(CONTROL!$C$32, $C$9, 100%, $E$9)</f>
        <v>3.2786</v>
      </c>
      <c r="C55" s="26">
        <f>3.2786 * CHOOSE(CONTROL!$C$32, $C$9, 100%, $E$9)</f>
        <v>3.2786</v>
      </c>
      <c r="D55" s="26">
        <f>3.2801 * CHOOSE(CONTROL!$C$32, $C$9, 100%, $E$9)</f>
        <v>3.2801</v>
      </c>
      <c r="E55" s="27">
        <f>3.9458 * CHOOSE(CONTROL!$C$32, $C$9, 100%, $E$9)</f>
        <v>3.9458000000000002</v>
      </c>
      <c r="F55" s="27">
        <f>3.6856 * CHOOSE(CONTROL!$C$32, $C$9, 100%, $E$9)</f>
        <v>3.6856</v>
      </c>
      <c r="G55" s="27">
        <f>3.6909 * CHOOSE(CONTROL!$C$32, $C$9, 100%, $E$9)</f>
        <v>3.6909000000000001</v>
      </c>
      <c r="H55" s="27">
        <f>6.0388 * CHOOSE(CONTROL!$C$32, $C$9, 100%, $E$9)</f>
        <v>6.0388000000000002</v>
      </c>
      <c r="I55" s="27">
        <f>6.0441 * CHOOSE(CONTROL!$C$32, $C$9, 100%, $E$9)</f>
        <v>6.0441000000000003</v>
      </c>
      <c r="J55" s="27">
        <f>6.0388 * CHOOSE(CONTROL!$C$32, $C$9, 100%, $E$9)</f>
        <v>6.0388000000000002</v>
      </c>
      <c r="K55" s="27">
        <f>6.0441 * CHOOSE(CONTROL!$C$32, $C$9, 100%, $E$9)</f>
        <v>6.0441000000000003</v>
      </c>
      <c r="L55" s="27">
        <f>3.9458 * CHOOSE(CONTROL!$C$32, $C$9, 100%, $E$9)</f>
        <v>3.9458000000000002</v>
      </c>
      <c r="M55" s="27">
        <f>3.9511 * CHOOSE(CONTROL!$C$32, $C$9, 100%, $E$9)</f>
        <v>3.9510999999999998</v>
      </c>
      <c r="N55" s="27">
        <f>3.9458 * CHOOSE(CONTROL!$C$32, $C$9, 100%, $E$9)</f>
        <v>3.9458000000000002</v>
      </c>
      <c r="O55" s="27">
        <f>3.9511 * CHOOSE(CONTROL!$C$32, $C$9, 100%, $E$9)</f>
        <v>3.9510999999999998</v>
      </c>
      <c r="P55" s="10"/>
      <c r="Q55" s="27"/>
      <c r="R55" s="27"/>
    </row>
    <row r="56" spans="1:18" ht="15" x14ac:dyDescent="0.2">
      <c r="A56" s="16">
        <v>42552</v>
      </c>
      <c r="B56" s="26">
        <f>3.2759 * CHOOSE(CONTROL!$C$32, $C$9, 100%, $E$9)</f>
        <v>3.2759</v>
      </c>
      <c r="C56" s="26">
        <f>3.2759 * CHOOSE(CONTROL!$C$32, $C$9, 100%, $E$9)</f>
        <v>3.2759</v>
      </c>
      <c r="D56" s="26">
        <f>3.2774 * CHOOSE(CONTROL!$C$32, $C$9, 100%, $E$9)</f>
        <v>3.2774000000000001</v>
      </c>
      <c r="E56" s="27">
        <f>3.9546 * CHOOSE(CONTROL!$C$32, $C$9, 100%, $E$9)</f>
        <v>3.9546000000000001</v>
      </c>
      <c r="F56" s="27">
        <f>3.6856 * CHOOSE(CONTROL!$C$32, $C$9, 100%, $E$9)</f>
        <v>3.6856</v>
      </c>
      <c r="G56" s="27">
        <f>3.6909 * CHOOSE(CONTROL!$C$32, $C$9, 100%, $E$9)</f>
        <v>3.6909000000000001</v>
      </c>
      <c r="H56" s="27">
        <f>6.0514 * CHOOSE(CONTROL!$C$32, $C$9, 100%, $E$9)</f>
        <v>6.0514000000000001</v>
      </c>
      <c r="I56" s="27">
        <f>6.0567 * CHOOSE(CONTROL!$C$32, $C$9, 100%, $E$9)</f>
        <v>6.0567000000000002</v>
      </c>
      <c r="J56" s="27">
        <f>6.0514 * CHOOSE(CONTROL!$C$32, $C$9, 100%, $E$9)</f>
        <v>6.0514000000000001</v>
      </c>
      <c r="K56" s="27">
        <f>6.0567 * CHOOSE(CONTROL!$C$32, $C$9, 100%, $E$9)</f>
        <v>6.0567000000000002</v>
      </c>
      <c r="L56" s="27">
        <f>3.9546 * CHOOSE(CONTROL!$C$32, $C$9, 100%, $E$9)</f>
        <v>3.9546000000000001</v>
      </c>
      <c r="M56" s="27">
        <f>3.9599 * CHOOSE(CONTROL!$C$32, $C$9, 100%, $E$9)</f>
        <v>3.9599000000000002</v>
      </c>
      <c r="N56" s="27">
        <f>3.9546 * CHOOSE(CONTROL!$C$32, $C$9, 100%, $E$9)</f>
        <v>3.9546000000000001</v>
      </c>
      <c r="O56" s="27">
        <f>3.9599 * CHOOSE(CONTROL!$C$32, $C$9, 100%, $E$9)</f>
        <v>3.9599000000000002</v>
      </c>
      <c r="P56" s="10"/>
      <c r="Q56" s="10"/>
      <c r="R56" s="10"/>
    </row>
    <row r="57" spans="1:18" ht="15" x14ac:dyDescent="0.2">
      <c r="A57" s="16">
        <v>42583</v>
      </c>
      <c r="B57" s="26">
        <f>3.2911 * CHOOSE(CONTROL!$C$32, $C$9, 100%, $E$9)</f>
        <v>3.2911000000000001</v>
      </c>
      <c r="C57" s="26">
        <f>3.2911 * CHOOSE(CONTROL!$C$32, $C$9, 100%, $E$9)</f>
        <v>3.2911000000000001</v>
      </c>
      <c r="D57" s="26">
        <f>3.2926 * CHOOSE(CONTROL!$C$32, $C$9, 100%, $E$9)</f>
        <v>3.2926000000000002</v>
      </c>
      <c r="E57" s="27">
        <f>3.9996 * CHOOSE(CONTROL!$C$32, $C$9, 100%, $E$9)</f>
        <v>3.9996</v>
      </c>
      <c r="F57" s="27">
        <f>3.6856 * CHOOSE(CONTROL!$C$32, $C$9, 100%, $E$9)</f>
        <v>3.6856</v>
      </c>
      <c r="G57" s="27">
        <f>3.6909 * CHOOSE(CONTROL!$C$32, $C$9, 100%, $E$9)</f>
        <v>3.6909000000000001</v>
      </c>
      <c r="H57" s="27">
        <f>6.064 * CHOOSE(CONTROL!$C$32, $C$9, 100%, $E$9)</f>
        <v>6.0640000000000001</v>
      </c>
      <c r="I57" s="27">
        <f>6.0693 * CHOOSE(CONTROL!$C$32, $C$9, 100%, $E$9)</f>
        <v>6.0693000000000001</v>
      </c>
      <c r="J57" s="27">
        <f>6.064 * CHOOSE(CONTROL!$C$32, $C$9, 100%, $E$9)</f>
        <v>6.0640000000000001</v>
      </c>
      <c r="K57" s="27">
        <f>6.0693 * CHOOSE(CONTROL!$C$32, $C$9, 100%, $E$9)</f>
        <v>6.0693000000000001</v>
      </c>
      <c r="L57" s="27">
        <f>3.9996 * CHOOSE(CONTROL!$C$32, $C$9, 100%, $E$9)</f>
        <v>3.9996</v>
      </c>
      <c r="M57" s="27">
        <f>4.0049 * CHOOSE(CONTROL!$C$32, $C$9, 100%, $E$9)</f>
        <v>4.0049000000000001</v>
      </c>
      <c r="N57" s="27">
        <f>3.9996 * CHOOSE(CONTROL!$C$32, $C$9, 100%, $E$9)</f>
        <v>3.9996</v>
      </c>
      <c r="O57" s="27">
        <f>4.0049 * CHOOSE(CONTROL!$C$32, $C$9, 100%, $E$9)</f>
        <v>4.0049000000000001</v>
      </c>
      <c r="P57" s="10"/>
      <c r="Q57" s="10"/>
      <c r="R57" s="10"/>
    </row>
    <row r="58" spans="1:18" ht="15" x14ac:dyDescent="0.2">
      <c r="A58" s="16">
        <v>42614</v>
      </c>
      <c r="B58" s="26">
        <f>3.2883 * CHOOSE(CONTROL!$C$32, $C$9, 100%, $E$9)</f>
        <v>3.2883</v>
      </c>
      <c r="C58" s="26">
        <f>3.2883 * CHOOSE(CONTROL!$C$32, $C$9, 100%, $E$9)</f>
        <v>3.2883</v>
      </c>
      <c r="D58" s="26">
        <f>3.2898 * CHOOSE(CONTROL!$C$32, $C$9, 100%, $E$9)</f>
        <v>3.2898000000000001</v>
      </c>
      <c r="E58" s="27">
        <f>3.9458 * CHOOSE(CONTROL!$C$32, $C$9, 100%, $E$9)</f>
        <v>3.9458000000000002</v>
      </c>
      <c r="F58" s="27">
        <f>3.6856 * CHOOSE(CONTROL!$C$32, $C$9, 100%, $E$9)</f>
        <v>3.6856</v>
      </c>
      <c r="G58" s="27">
        <f>3.6909 * CHOOSE(CONTROL!$C$32, $C$9, 100%, $E$9)</f>
        <v>3.6909000000000001</v>
      </c>
      <c r="H58" s="27">
        <f>6.0766 * CHOOSE(CONTROL!$C$32, $C$9, 100%, $E$9)</f>
        <v>6.0766</v>
      </c>
      <c r="I58" s="27">
        <f>6.0819 * CHOOSE(CONTROL!$C$32, $C$9, 100%, $E$9)</f>
        <v>6.0819000000000001</v>
      </c>
      <c r="J58" s="27">
        <f>6.0766 * CHOOSE(CONTROL!$C$32, $C$9, 100%, $E$9)</f>
        <v>6.0766</v>
      </c>
      <c r="K58" s="27">
        <f>6.0819 * CHOOSE(CONTROL!$C$32, $C$9, 100%, $E$9)</f>
        <v>6.0819000000000001</v>
      </c>
      <c r="L58" s="27">
        <f>3.9458 * CHOOSE(CONTROL!$C$32, $C$9, 100%, $E$9)</f>
        <v>3.9458000000000002</v>
      </c>
      <c r="M58" s="27">
        <f>3.9511 * CHOOSE(CONTROL!$C$32, $C$9, 100%, $E$9)</f>
        <v>3.9510999999999998</v>
      </c>
      <c r="N58" s="27">
        <f>3.9458 * CHOOSE(CONTROL!$C$32, $C$9, 100%, $E$9)</f>
        <v>3.9458000000000002</v>
      </c>
      <c r="O58" s="27">
        <f>3.9511 * CHOOSE(CONTROL!$C$32, $C$9, 100%, $E$9)</f>
        <v>3.9510999999999998</v>
      </c>
      <c r="P58" s="10"/>
      <c r="Q58" s="10"/>
      <c r="R58" s="10"/>
    </row>
    <row r="59" spans="1:18" ht="15" x14ac:dyDescent="0.2">
      <c r="A59" s="16">
        <v>42644</v>
      </c>
      <c r="B59" s="26">
        <f>3.269 * CHOOSE(CONTROL!$C$32, $C$9, 100%, $E$9)</f>
        <v>3.2690000000000001</v>
      </c>
      <c r="C59" s="26">
        <f>3.269 * CHOOSE(CONTROL!$C$32, $C$9, 100%, $E$9)</f>
        <v>3.2690000000000001</v>
      </c>
      <c r="D59" s="26">
        <f>3.2701 * CHOOSE(CONTROL!$C$32, $C$9, 100%, $E$9)</f>
        <v>3.2700999999999998</v>
      </c>
      <c r="E59" s="27">
        <f>4.0035 * CHOOSE(CONTROL!$C$32, $C$9, 100%, $E$9)</f>
        <v>4.0034999999999998</v>
      </c>
      <c r="F59" s="27">
        <f>3.6856 * CHOOSE(CONTROL!$C$32, $C$9, 100%, $E$9)</f>
        <v>3.6856</v>
      </c>
      <c r="G59" s="27">
        <f>3.6892 * CHOOSE(CONTROL!$C$32, $C$9, 100%, $E$9)</f>
        <v>3.6892</v>
      </c>
      <c r="H59" s="27">
        <f>6.0893 * CHOOSE(CONTROL!$C$32, $C$9, 100%, $E$9)</f>
        <v>6.0892999999999997</v>
      </c>
      <c r="I59" s="27">
        <f>6.0929 * CHOOSE(CONTROL!$C$32, $C$9, 100%, $E$9)</f>
        <v>6.0929000000000002</v>
      </c>
      <c r="J59" s="27">
        <f>6.0893 * CHOOSE(CONTROL!$C$32, $C$9, 100%, $E$9)</f>
        <v>6.0892999999999997</v>
      </c>
      <c r="K59" s="27">
        <f>6.0929 * CHOOSE(CONTROL!$C$32, $C$9, 100%, $E$9)</f>
        <v>6.0929000000000002</v>
      </c>
      <c r="L59" s="27">
        <f>4.0035 * CHOOSE(CONTROL!$C$32, $C$9, 100%, $E$9)</f>
        <v>4.0034999999999998</v>
      </c>
      <c r="M59" s="27">
        <f>4.0071 * CHOOSE(CONTROL!$C$32, $C$9, 100%, $E$9)</f>
        <v>4.0071000000000003</v>
      </c>
      <c r="N59" s="27">
        <f>4.0035 * CHOOSE(CONTROL!$C$32, $C$9, 100%, $E$9)</f>
        <v>4.0034999999999998</v>
      </c>
      <c r="O59" s="27">
        <f>4.0071 * CHOOSE(CONTROL!$C$32, $C$9, 100%, $E$9)</f>
        <v>4.0071000000000003</v>
      </c>
      <c r="P59" s="10"/>
      <c r="Q59" s="10"/>
      <c r="R59" s="10"/>
    </row>
    <row r="60" spans="1:18" ht="15" x14ac:dyDescent="0.2">
      <c r="A60" s="16">
        <v>42675</v>
      </c>
      <c r="B60" s="26">
        <f>3.2806 * CHOOSE(CONTROL!$C$32, $C$9, 100%, $E$9)</f>
        <v>3.2806000000000002</v>
      </c>
      <c r="C60" s="26">
        <f>3.2806 * CHOOSE(CONTROL!$C$32, $C$9, 100%, $E$9)</f>
        <v>3.2806000000000002</v>
      </c>
      <c r="D60" s="26">
        <f>3.2817 * CHOOSE(CONTROL!$C$32, $C$9, 100%, $E$9)</f>
        <v>3.2816999999999998</v>
      </c>
      <c r="E60" s="27">
        <f>3.9579 * CHOOSE(CONTROL!$C$32, $C$9, 100%, $E$9)</f>
        <v>3.9579</v>
      </c>
      <c r="F60" s="27">
        <f>3.6856 * CHOOSE(CONTROL!$C$32, $C$9, 100%, $E$9)</f>
        <v>3.6856</v>
      </c>
      <c r="G60" s="27">
        <f>3.6892 * CHOOSE(CONTROL!$C$32, $C$9, 100%, $E$9)</f>
        <v>3.6892</v>
      </c>
      <c r="H60" s="27">
        <f>6.102 * CHOOSE(CONTROL!$C$32, $C$9, 100%, $E$9)</f>
        <v>6.1020000000000003</v>
      </c>
      <c r="I60" s="27">
        <f>6.1056 * CHOOSE(CONTROL!$C$32, $C$9, 100%, $E$9)</f>
        <v>6.1055999999999999</v>
      </c>
      <c r="J60" s="27">
        <f>6.102 * CHOOSE(CONTROL!$C$32, $C$9, 100%, $E$9)</f>
        <v>6.1020000000000003</v>
      </c>
      <c r="K60" s="27">
        <f>6.1056 * CHOOSE(CONTROL!$C$32, $C$9, 100%, $E$9)</f>
        <v>6.1055999999999999</v>
      </c>
      <c r="L60" s="27">
        <f>3.9579 * CHOOSE(CONTROL!$C$32, $C$9, 100%, $E$9)</f>
        <v>3.9579</v>
      </c>
      <c r="M60" s="27">
        <f>3.9615 * CHOOSE(CONTROL!$C$32, $C$9, 100%, $E$9)</f>
        <v>3.9615</v>
      </c>
      <c r="N60" s="27">
        <f>3.9579 * CHOOSE(CONTROL!$C$32, $C$9, 100%, $E$9)</f>
        <v>3.9579</v>
      </c>
      <c r="O60" s="27">
        <f>3.9615 * CHOOSE(CONTROL!$C$32, $C$9, 100%, $E$9)</f>
        <v>3.9615</v>
      </c>
      <c r="P60" s="10"/>
      <c r="Q60" s="10"/>
      <c r="R60" s="10"/>
    </row>
    <row r="61" spans="1:18" ht="15" x14ac:dyDescent="0.2">
      <c r="A61" s="16">
        <v>42705</v>
      </c>
      <c r="B61" s="26">
        <f>3.2808 * CHOOSE(CONTROL!$C$32, $C$9, 100%, $E$9)</f>
        <v>3.2808000000000002</v>
      </c>
      <c r="C61" s="26">
        <f>3.2808 * CHOOSE(CONTROL!$C$32, $C$9, 100%, $E$9)</f>
        <v>3.2808000000000002</v>
      </c>
      <c r="D61" s="26">
        <f>3.2819 * CHOOSE(CONTROL!$C$32, $C$9, 100%, $E$9)</f>
        <v>3.2818999999999998</v>
      </c>
      <c r="E61" s="27">
        <f>3.8968 * CHOOSE(CONTROL!$C$32, $C$9, 100%, $E$9)</f>
        <v>3.8967999999999998</v>
      </c>
      <c r="F61" s="27">
        <f>3.6856 * CHOOSE(CONTROL!$C$32, $C$9, 100%, $E$9)</f>
        <v>3.6856</v>
      </c>
      <c r="G61" s="27">
        <f>3.6892 * CHOOSE(CONTROL!$C$32, $C$9, 100%, $E$9)</f>
        <v>3.6892</v>
      </c>
      <c r="H61" s="27">
        <f>6.1147 * CHOOSE(CONTROL!$C$32, $C$9, 100%, $E$9)</f>
        <v>6.1147</v>
      </c>
      <c r="I61" s="27">
        <f>6.1183 * CHOOSE(CONTROL!$C$32, $C$9, 100%, $E$9)</f>
        <v>6.1182999999999996</v>
      </c>
      <c r="J61" s="27">
        <f>6.1147 * CHOOSE(CONTROL!$C$32, $C$9, 100%, $E$9)</f>
        <v>6.1147</v>
      </c>
      <c r="K61" s="27">
        <f>6.1183 * CHOOSE(CONTROL!$C$32, $C$9, 100%, $E$9)</f>
        <v>6.1182999999999996</v>
      </c>
      <c r="L61" s="27">
        <f>3.8968 * CHOOSE(CONTROL!$C$32, $C$9, 100%, $E$9)</f>
        <v>3.8967999999999998</v>
      </c>
      <c r="M61" s="27">
        <f>3.9004 * CHOOSE(CONTROL!$C$32, $C$9, 100%, $E$9)</f>
        <v>3.9003999999999999</v>
      </c>
      <c r="N61" s="27">
        <f>3.8968 * CHOOSE(CONTROL!$C$32, $C$9, 100%, $E$9)</f>
        <v>3.8967999999999998</v>
      </c>
      <c r="O61" s="27">
        <f>3.9004 * CHOOSE(CONTROL!$C$32, $C$9, 100%, $E$9)</f>
        <v>3.9003999999999999</v>
      </c>
      <c r="P61" s="10"/>
      <c r="Q61" s="10"/>
      <c r="R61" s="10"/>
    </row>
    <row r="62" spans="1:18" ht="15" x14ac:dyDescent="0.2">
      <c r="A62" s="16">
        <v>42736</v>
      </c>
      <c r="B62" s="26">
        <f>3.2762 * CHOOSE(CONTROL!$C$32, $C$9, 100%, $E$9)</f>
        <v>3.2761999999999998</v>
      </c>
      <c r="C62" s="26">
        <f>3.2762 * CHOOSE(CONTROL!$C$32, $C$9, 100%, $E$9)</f>
        <v>3.2761999999999998</v>
      </c>
      <c r="D62" s="26">
        <f>3.2773 * CHOOSE(CONTROL!$C$32, $C$9, 100%, $E$9)</f>
        <v>3.2772999999999999</v>
      </c>
      <c r="E62" s="27">
        <f>3.8371 * CHOOSE(CONTROL!$C$32, $C$9, 100%, $E$9)</f>
        <v>3.8371</v>
      </c>
      <c r="F62" s="27">
        <f>3.8371 * CHOOSE(CONTROL!$C$32, $C$9, 100%, $E$9)</f>
        <v>3.8371</v>
      </c>
      <c r="G62" s="27">
        <f>3.8407 * CHOOSE(CONTROL!$C$32, $C$9, 100%, $E$9)</f>
        <v>3.8407</v>
      </c>
      <c r="H62" s="27">
        <f>6.1274 * CHOOSE(CONTROL!$C$32, $C$9, 100%, $E$9)</f>
        <v>6.1273999999999997</v>
      </c>
      <c r="I62" s="27">
        <f>6.1311 * CHOOSE(CONTROL!$C$32, $C$9, 100%, $E$9)</f>
        <v>6.1311</v>
      </c>
      <c r="J62" s="27">
        <f>6.1274 * CHOOSE(CONTROL!$C$32, $C$9, 100%, $E$9)</f>
        <v>6.1273999999999997</v>
      </c>
      <c r="K62" s="27">
        <f>6.1311 * CHOOSE(CONTROL!$C$32, $C$9, 100%, $E$9)</f>
        <v>6.1311</v>
      </c>
      <c r="L62" s="27">
        <f>3.8371 * CHOOSE(CONTROL!$C$32, $C$9, 100%, $E$9)</f>
        <v>3.8371</v>
      </c>
      <c r="M62" s="27">
        <f>3.8407 * CHOOSE(CONTROL!$C$32, $C$9, 100%, $E$9)</f>
        <v>3.8407</v>
      </c>
      <c r="N62" s="27">
        <f>3.8371 * CHOOSE(CONTROL!$C$32, $C$9, 100%, $E$9)</f>
        <v>3.8371</v>
      </c>
      <c r="O62" s="27">
        <f>3.8407 * CHOOSE(CONTROL!$C$32, $C$9, 100%, $E$9)</f>
        <v>3.8407</v>
      </c>
      <c r="P62" s="10"/>
      <c r="Q62" s="10"/>
      <c r="R62" s="10"/>
    </row>
    <row r="63" spans="1:18" ht="15" x14ac:dyDescent="0.2">
      <c r="A63" s="16">
        <v>42767</v>
      </c>
      <c r="B63" s="26">
        <f>3.2814 * CHOOSE(CONTROL!$C$32, $C$9, 100%, $E$9)</f>
        <v>3.2814000000000001</v>
      </c>
      <c r="C63" s="26">
        <f>3.2814 * CHOOSE(CONTROL!$C$32, $C$9, 100%, $E$9)</f>
        <v>3.2814000000000001</v>
      </c>
      <c r="D63" s="26">
        <f>3.2825 * CHOOSE(CONTROL!$C$32, $C$9, 100%, $E$9)</f>
        <v>3.2825000000000002</v>
      </c>
      <c r="E63" s="27">
        <f>3.8351 * CHOOSE(CONTROL!$C$32, $C$9, 100%, $E$9)</f>
        <v>3.8351000000000002</v>
      </c>
      <c r="F63" s="27">
        <f>3.8351 * CHOOSE(CONTROL!$C$32, $C$9, 100%, $E$9)</f>
        <v>3.8351000000000002</v>
      </c>
      <c r="G63" s="27">
        <f>3.8387 * CHOOSE(CONTROL!$C$32, $C$9, 100%, $E$9)</f>
        <v>3.8386999999999998</v>
      </c>
      <c r="H63" s="27">
        <f>6.1402 * CHOOSE(CONTROL!$C$32, $C$9, 100%, $E$9)</f>
        <v>6.1402000000000001</v>
      </c>
      <c r="I63" s="27">
        <f>6.1438 * CHOOSE(CONTROL!$C$32, $C$9, 100%, $E$9)</f>
        <v>6.1437999999999997</v>
      </c>
      <c r="J63" s="27">
        <f>6.1402 * CHOOSE(CONTROL!$C$32, $C$9, 100%, $E$9)</f>
        <v>6.1402000000000001</v>
      </c>
      <c r="K63" s="27">
        <f>6.1438 * CHOOSE(CONTROL!$C$32, $C$9, 100%, $E$9)</f>
        <v>6.1437999999999997</v>
      </c>
      <c r="L63" s="27">
        <f>3.8351 * CHOOSE(CONTROL!$C$32, $C$9, 100%, $E$9)</f>
        <v>3.8351000000000002</v>
      </c>
      <c r="M63" s="27">
        <f>3.8387 * CHOOSE(CONTROL!$C$32, $C$9, 100%, $E$9)</f>
        <v>3.8386999999999998</v>
      </c>
      <c r="N63" s="27">
        <f>3.8351 * CHOOSE(CONTROL!$C$32, $C$9, 100%, $E$9)</f>
        <v>3.8351000000000002</v>
      </c>
      <c r="O63" s="27">
        <f>3.8387 * CHOOSE(CONTROL!$C$32, $C$9, 100%, $E$9)</f>
        <v>3.8386999999999998</v>
      </c>
      <c r="P63" s="10"/>
      <c r="Q63" s="10"/>
      <c r="R63" s="10"/>
    </row>
    <row r="64" spans="1:18" ht="15" x14ac:dyDescent="0.2">
      <c r="A64" s="16">
        <v>42795</v>
      </c>
      <c r="B64" s="26">
        <f>3.2785 * CHOOSE(CONTROL!$C$32, $C$9, 100%, $E$9)</f>
        <v>3.2785000000000002</v>
      </c>
      <c r="C64" s="26">
        <f>3.2785 * CHOOSE(CONTROL!$C$32, $C$9, 100%, $E$9)</f>
        <v>3.2785000000000002</v>
      </c>
      <c r="D64" s="26">
        <f>3.2796 * CHOOSE(CONTROL!$C$32, $C$9, 100%, $E$9)</f>
        <v>3.2795999999999998</v>
      </c>
      <c r="E64" s="27">
        <f>3.8331 * CHOOSE(CONTROL!$C$32, $C$9, 100%, $E$9)</f>
        <v>3.8331</v>
      </c>
      <c r="F64" s="27">
        <f>3.8331 * CHOOSE(CONTROL!$C$32, $C$9, 100%, $E$9)</f>
        <v>3.8331</v>
      </c>
      <c r="G64" s="27">
        <f>3.8367 * CHOOSE(CONTROL!$C$32, $C$9, 100%, $E$9)</f>
        <v>3.8367</v>
      </c>
      <c r="H64" s="27">
        <f>6.153 * CHOOSE(CONTROL!$C$32, $C$9, 100%, $E$9)</f>
        <v>6.1529999999999996</v>
      </c>
      <c r="I64" s="27">
        <f>6.1566 * CHOOSE(CONTROL!$C$32, $C$9, 100%, $E$9)</f>
        <v>6.1566000000000001</v>
      </c>
      <c r="J64" s="27">
        <f>6.153 * CHOOSE(CONTROL!$C$32, $C$9, 100%, $E$9)</f>
        <v>6.1529999999999996</v>
      </c>
      <c r="K64" s="27">
        <f>6.1566 * CHOOSE(CONTROL!$C$32, $C$9, 100%, $E$9)</f>
        <v>6.1566000000000001</v>
      </c>
      <c r="L64" s="27">
        <f>3.8331 * CHOOSE(CONTROL!$C$32, $C$9, 100%, $E$9)</f>
        <v>3.8331</v>
      </c>
      <c r="M64" s="27">
        <f>3.8367 * CHOOSE(CONTROL!$C$32, $C$9, 100%, $E$9)</f>
        <v>3.8367</v>
      </c>
      <c r="N64" s="27">
        <f>3.8331 * CHOOSE(CONTROL!$C$32, $C$9, 100%, $E$9)</f>
        <v>3.8331</v>
      </c>
      <c r="O64" s="27">
        <f>3.8367 * CHOOSE(CONTROL!$C$32, $C$9, 100%, $E$9)</f>
        <v>3.8367</v>
      </c>
      <c r="P64" s="10"/>
      <c r="Q64" s="10"/>
      <c r="R64" s="10"/>
    </row>
    <row r="65" spans="1:18" ht="15" x14ac:dyDescent="0.2">
      <c r="A65" s="16">
        <v>42826</v>
      </c>
      <c r="B65" s="26">
        <f>3.2725 * CHOOSE(CONTROL!$C$32, $C$9, 100%, $E$9)</f>
        <v>3.2725</v>
      </c>
      <c r="C65" s="26">
        <f>3.2725 * CHOOSE(CONTROL!$C$32, $C$9, 100%, $E$9)</f>
        <v>3.2725</v>
      </c>
      <c r="D65" s="26">
        <f>3.2735 * CHOOSE(CONTROL!$C$32, $C$9, 100%, $E$9)</f>
        <v>3.2734999999999999</v>
      </c>
      <c r="E65" s="27">
        <f>3.8305 * CHOOSE(CONTROL!$C$32, $C$9, 100%, $E$9)</f>
        <v>3.8304999999999998</v>
      </c>
      <c r="F65" s="27">
        <f>3.8305 * CHOOSE(CONTROL!$C$32, $C$9, 100%, $E$9)</f>
        <v>3.8304999999999998</v>
      </c>
      <c r="G65" s="27">
        <f>3.8342 * CHOOSE(CONTROL!$C$32, $C$9, 100%, $E$9)</f>
        <v>3.8342000000000001</v>
      </c>
      <c r="H65" s="27">
        <f>6.1658 * CHOOSE(CONTROL!$C$32, $C$9, 100%, $E$9)</f>
        <v>6.1657999999999999</v>
      </c>
      <c r="I65" s="27">
        <f>6.1694 * CHOOSE(CONTROL!$C$32, $C$9, 100%, $E$9)</f>
        <v>6.1694000000000004</v>
      </c>
      <c r="J65" s="27">
        <f>6.1658 * CHOOSE(CONTROL!$C$32, $C$9, 100%, $E$9)</f>
        <v>6.1657999999999999</v>
      </c>
      <c r="K65" s="27">
        <f>6.1694 * CHOOSE(CONTROL!$C$32, $C$9, 100%, $E$9)</f>
        <v>6.1694000000000004</v>
      </c>
      <c r="L65" s="27">
        <f>3.8305 * CHOOSE(CONTROL!$C$32, $C$9, 100%, $E$9)</f>
        <v>3.8304999999999998</v>
      </c>
      <c r="M65" s="27">
        <f>3.8342 * CHOOSE(CONTROL!$C$32, $C$9, 100%, $E$9)</f>
        <v>3.8342000000000001</v>
      </c>
      <c r="N65" s="27">
        <f>3.8305 * CHOOSE(CONTROL!$C$32, $C$9, 100%, $E$9)</f>
        <v>3.8304999999999998</v>
      </c>
      <c r="O65" s="27">
        <f>3.8342 * CHOOSE(CONTROL!$C$32, $C$9, 100%, $E$9)</f>
        <v>3.8342000000000001</v>
      </c>
      <c r="P65" s="10"/>
      <c r="Q65" s="10"/>
      <c r="R65" s="10"/>
    </row>
    <row r="66" spans="1:18" ht="15" x14ac:dyDescent="0.2">
      <c r="A66" s="16">
        <v>42856</v>
      </c>
      <c r="B66" s="26">
        <f>3.2809 * CHOOSE(CONTROL!$C$32, $C$9, 100%, $E$9)</f>
        <v>3.2808999999999999</v>
      </c>
      <c r="C66" s="26">
        <f>3.2809 * CHOOSE(CONTROL!$C$32, $C$9, 100%, $E$9)</f>
        <v>3.2808999999999999</v>
      </c>
      <c r="D66" s="26">
        <f>3.2825 * CHOOSE(CONTROL!$C$32, $C$9, 100%, $E$9)</f>
        <v>3.2825000000000002</v>
      </c>
      <c r="E66" s="27">
        <f>3.8305 * CHOOSE(CONTROL!$C$32, $C$9, 100%, $E$9)</f>
        <v>3.8304999999999998</v>
      </c>
      <c r="F66" s="27">
        <f>3.8305 * CHOOSE(CONTROL!$C$32, $C$9, 100%, $E$9)</f>
        <v>3.8304999999999998</v>
      </c>
      <c r="G66" s="27">
        <f>3.8358 * CHOOSE(CONTROL!$C$32, $C$9, 100%, $E$9)</f>
        <v>3.8357999999999999</v>
      </c>
      <c r="H66" s="27">
        <f>6.1787 * CHOOSE(CONTROL!$C$32, $C$9, 100%, $E$9)</f>
        <v>6.1787000000000001</v>
      </c>
      <c r="I66" s="27">
        <f>6.1839 * CHOOSE(CONTROL!$C$32, $C$9, 100%, $E$9)</f>
        <v>6.1839000000000004</v>
      </c>
      <c r="J66" s="27">
        <f>6.1787 * CHOOSE(CONTROL!$C$32, $C$9, 100%, $E$9)</f>
        <v>6.1787000000000001</v>
      </c>
      <c r="K66" s="27">
        <f>6.1839 * CHOOSE(CONTROL!$C$32, $C$9, 100%, $E$9)</f>
        <v>6.1839000000000004</v>
      </c>
      <c r="L66" s="27">
        <f>3.8305 * CHOOSE(CONTROL!$C$32, $C$9, 100%, $E$9)</f>
        <v>3.8304999999999998</v>
      </c>
      <c r="M66" s="27">
        <f>3.8358 * CHOOSE(CONTROL!$C$32, $C$9, 100%, $E$9)</f>
        <v>3.8357999999999999</v>
      </c>
      <c r="N66" s="27">
        <f>3.8305 * CHOOSE(CONTROL!$C$32, $C$9, 100%, $E$9)</f>
        <v>3.8304999999999998</v>
      </c>
      <c r="O66" s="27">
        <f>3.8358 * CHOOSE(CONTROL!$C$32, $C$9, 100%, $E$9)</f>
        <v>3.8357999999999999</v>
      </c>
      <c r="P66" s="10"/>
      <c r="Q66" s="10"/>
      <c r="R66" s="10"/>
    </row>
    <row r="67" spans="1:18" ht="15" x14ac:dyDescent="0.2">
      <c r="A67" s="16">
        <v>42887</v>
      </c>
      <c r="B67" s="26">
        <f>3.2871 * CHOOSE(CONTROL!$C$32, $C$9, 100%, $E$9)</f>
        <v>3.2871000000000001</v>
      </c>
      <c r="C67" s="26">
        <f>3.2871 * CHOOSE(CONTROL!$C$32, $C$9, 100%, $E$9)</f>
        <v>3.2871000000000001</v>
      </c>
      <c r="D67" s="26">
        <f>3.2887 * CHOOSE(CONTROL!$C$32, $C$9, 100%, $E$9)</f>
        <v>3.2887</v>
      </c>
      <c r="E67" s="27">
        <f>3.8345 * CHOOSE(CONTROL!$C$32, $C$9, 100%, $E$9)</f>
        <v>3.8344999999999998</v>
      </c>
      <c r="F67" s="27">
        <f>3.8345 * CHOOSE(CONTROL!$C$32, $C$9, 100%, $E$9)</f>
        <v>3.8344999999999998</v>
      </c>
      <c r="G67" s="27">
        <f>3.8398 * CHOOSE(CONTROL!$C$32, $C$9, 100%, $E$9)</f>
        <v>3.8397999999999999</v>
      </c>
      <c r="H67" s="27">
        <f>6.1915 * CHOOSE(CONTROL!$C$32, $C$9, 100%, $E$9)</f>
        <v>6.1914999999999996</v>
      </c>
      <c r="I67" s="27">
        <f>6.1968 * CHOOSE(CONTROL!$C$32, $C$9, 100%, $E$9)</f>
        <v>6.1967999999999996</v>
      </c>
      <c r="J67" s="27">
        <f>6.1915 * CHOOSE(CONTROL!$C$32, $C$9, 100%, $E$9)</f>
        <v>6.1914999999999996</v>
      </c>
      <c r="K67" s="27">
        <f>6.1968 * CHOOSE(CONTROL!$C$32, $C$9, 100%, $E$9)</f>
        <v>6.1967999999999996</v>
      </c>
      <c r="L67" s="27">
        <f>3.8345 * CHOOSE(CONTROL!$C$32, $C$9, 100%, $E$9)</f>
        <v>3.8344999999999998</v>
      </c>
      <c r="M67" s="27">
        <f>3.8398 * CHOOSE(CONTROL!$C$32, $C$9, 100%, $E$9)</f>
        <v>3.8397999999999999</v>
      </c>
      <c r="N67" s="27">
        <f>3.8345 * CHOOSE(CONTROL!$C$32, $C$9, 100%, $E$9)</f>
        <v>3.8344999999999998</v>
      </c>
      <c r="O67" s="27">
        <f>3.8398 * CHOOSE(CONTROL!$C$32, $C$9, 100%, $E$9)</f>
        <v>3.8397999999999999</v>
      </c>
      <c r="P67" s="10"/>
      <c r="Q67" s="10"/>
      <c r="R67" s="10"/>
    </row>
    <row r="68" spans="1:18" ht="15" x14ac:dyDescent="0.2">
      <c r="A68" s="16">
        <v>42917</v>
      </c>
      <c r="B68" s="26">
        <f>3.3418 * CHOOSE(CONTROL!$C$32, $C$9, 100%, $E$9)</f>
        <v>3.3418000000000001</v>
      </c>
      <c r="C68" s="26">
        <f>3.3418 * CHOOSE(CONTROL!$C$32, $C$9, 100%, $E$9)</f>
        <v>3.3418000000000001</v>
      </c>
      <c r="D68" s="26">
        <f>3.3434 * CHOOSE(CONTROL!$C$32, $C$9, 100%, $E$9)</f>
        <v>3.3433999999999999</v>
      </c>
      <c r="E68" s="27">
        <f>3.9255 * CHOOSE(CONTROL!$C$32, $C$9, 100%, $E$9)</f>
        <v>3.9255</v>
      </c>
      <c r="F68" s="27">
        <f>3.9255 * CHOOSE(CONTROL!$C$32, $C$9, 100%, $E$9)</f>
        <v>3.9255</v>
      </c>
      <c r="G68" s="27">
        <f>3.9308 * CHOOSE(CONTROL!$C$32, $C$9, 100%, $E$9)</f>
        <v>3.9308000000000001</v>
      </c>
      <c r="H68" s="27">
        <f>6.2044 * CHOOSE(CONTROL!$C$32, $C$9, 100%, $E$9)</f>
        <v>6.2043999999999997</v>
      </c>
      <c r="I68" s="27">
        <f>6.2097 * CHOOSE(CONTROL!$C$32, $C$9, 100%, $E$9)</f>
        <v>6.2096999999999998</v>
      </c>
      <c r="J68" s="27">
        <f>6.2044 * CHOOSE(CONTROL!$C$32, $C$9, 100%, $E$9)</f>
        <v>6.2043999999999997</v>
      </c>
      <c r="K68" s="27">
        <f>6.2097 * CHOOSE(CONTROL!$C$32, $C$9, 100%, $E$9)</f>
        <v>6.2096999999999998</v>
      </c>
      <c r="L68" s="27">
        <f>3.9255 * CHOOSE(CONTROL!$C$32, $C$9, 100%, $E$9)</f>
        <v>3.9255</v>
      </c>
      <c r="M68" s="27">
        <f>3.9308 * CHOOSE(CONTROL!$C$32, $C$9, 100%, $E$9)</f>
        <v>3.9308000000000001</v>
      </c>
      <c r="N68" s="27">
        <f>3.9255 * CHOOSE(CONTROL!$C$32, $C$9, 100%, $E$9)</f>
        <v>3.9255</v>
      </c>
      <c r="O68" s="27">
        <f>3.9308 * CHOOSE(CONTROL!$C$32, $C$9, 100%, $E$9)</f>
        <v>3.9308000000000001</v>
      </c>
      <c r="P68" s="10"/>
      <c r="Q68" s="10"/>
      <c r="R68" s="10"/>
    </row>
    <row r="69" spans="1:18" ht="15" x14ac:dyDescent="0.2">
      <c r="A69" s="16">
        <v>42948</v>
      </c>
      <c r="B69" s="26">
        <f>3.357 * CHOOSE(CONTROL!$C$32, $C$9, 100%, $E$9)</f>
        <v>3.3570000000000002</v>
      </c>
      <c r="C69" s="26">
        <f>3.357 * CHOOSE(CONTROL!$C$32, $C$9, 100%, $E$9)</f>
        <v>3.3570000000000002</v>
      </c>
      <c r="D69" s="26">
        <f>3.3586 * CHOOSE(CONTROL!$C$32, $C$9, 100%, $E$9)</f>
        <v>3.3586</v>
      </c>
      <c r="E69" s="27">
        <f>3.9299 * CHOOSE(CONTROL!$C$32, $C$9, 100%, $E$9)</f>
        <v>3.9298999999999999</v>
      </c>
      <c r="F69" s="27">
        <f>3.9299 * CHOOSE(CONTROL!$C$32, $C$9, 100%, $E$9)</f>
        <v>3.9298999999999999</v>
      </c>
      <c r="G69" s="27">
        <f>3.9352 * CHOOSE(CONTROL!$C$32, $C$9, 100%, $E$9)</f>
        <v>3.9352</v>
      </c>
      <c r="H69" s="27">
        <f>6.2174 * CHOOSE(CONTROL!$C$32, $C$9, 100%, $E$9)</f>
        <v>6.2173999999999996</v>
      </c>
      <c r="I69" s="27">
        <f>6.2226 * CHOOSE(CONTROL!$C$32, $C$9, 100%, $E$9)</f>
        <v>6.2225999999999999</v>
      </c>
      <c r="J69" s="27">
        <f>6.2174 * CHOOSE(CONTROL!$C$32, $C$9, 100%, $E$9)</f>
        <v>6.2173999999999996</v>
      </c>
      <c r="K69" s="27">
        <f>6.2226 * CHOOSE(CONTROL!$C$32, $C$9, 100%, $E$9)</f>
        <v>6.2225999999999999</v>
      </c>
      <c r="L69" s="27">
        <f>3.9299 * CHOOSE(CONTROL!$C$32, $C$9, 100%, $E$9)</f>
        <v>3.9298999999999999</v>
      </c>
      <c r="M69" s="27">
        <f>3.9352 * CHOOSE(CONTROL!$C$32, $C$9, 100%, $E$9)</f>
        <v>3.9352</v>
      </c>
      <c r="N69" s="27">
        <f>3.9299 * CHOOSE(CONTROL!$C$32, $C$9, 100%, $E$9)</f>
        <v>3.9298999999999999</v>
      </c>
      <c r="O69" s="27">
        <f>3.9352 * CHOOSE(CONTROL!$C$32, $C$9, 100%, $E$9)</f>
        <v>3.9352</v>
      </c>
      <c r="P69" s="10"/>
      <c r="Q69" s="10"/>
      <c r="R69" s="10"/>
    </row>
    <row r="70" spans="1:18" ht="15" x14ac:dyDescent="0.2">
      <c r="A70" s="16">
        <v>42979</v>
      </c>
      <c r="B70" s="26">
        <f>3.354 * CHOOSE(CONTROL!$C$32, $C$9, 100%, $E$9)</f>
        <v>3.3540000000000001</v>
      </c>
      <c r="C70" s="26">
        <f>3.354 * CHOOSE(CONTROL!$C$32, $C$9, 100%, $E$9)</f>
        <v>3.3540000000000001</v>
      </c>
      <c r="D70" s="26">
        <f>3.3556 * CHOOSE(CONTROL!$C$32, $C$9, 100%, $E$9)</f>
        <v>3.3555999999999999</v>
      </c>
      <c r="E70" s="27">
        <f>3.9279 * CHOOSE(CONTROL!$C$32, $C$9, 100%, $E$9)</f>
        <v>3.9279000000000002</v>
      </c>
      <c r="F70" s="27">
        <f>3.9279 * CHOOSE(CONTROL!$C$32, $C$9, 100%, $E$9)</f>
        <v>3.9279000000000002</v>
      </c>
      <c r="G70" s="27">
        <f>3.9332 * CHOOSE(CONTROL!$C$32, $C$9, 100%, $E$9)</f>
        <v>3.9331999999999998</v>
      </c>
      <c r="H70" s="27">
        <f>6.2303 * CHOOSE(CONTROL!$C$32, $C$9, 100%, $E$9)</f>
        <v>6.2302999999999997</v>
      </c>
      <c r="I70" s="27">
        <f>6.2356 * CHOOSE(CONTROL!$C$32, $C$9, 100%, $E$9)</f>
        <v>6.2355999999999998</v>
      </c>
      <c r="J70" s="27">
        <f>6.2303 * CHOOSE(CONTROL!$C$32, $C$9, 100%, $E$9)</f>
        <v>6.2302999999999997</v>
      </c>
      <c r="K70" s="27">
        <f>6.2356 * CHOOSE(CONTROL!$C$32, $C$9, 100%, $E$9)</f>
        <v>6.2355999999999998</v>
      </c>
      <c r="L70" s="27">
        <f>3.9279 * CHOOSE(CONTROL!$C$32, $C$9, 100%, $E$9)</f>
        <v>3.9279000000000002</v>
      </c>
      <c r="M70" s="27">
        <f>3.9332 * CHOOSE(CONTROL!$C$32, $C$9, 100%, $E$9)</f>
        <v>3.9331999999999998</v>
      </c>
      <c r="N70" s="27">
        <f>3.9279 * CHOOSE(CONTROL!$C$32, $C$9, 100%, $E$9)</f>
        <v>3.9279000000000002</v>
      </c>
      <c r="O70" s="27">
        <f>3.9332 * CHOOSE(CONTROL!$C$32, $C$9, 100%, $E$9)</f>
        <v>3.9331999999999998</v>
      </c>
      <c r="P70" s="10"/>
      <c r="Q70" s="10"/>
      <c r="R70" s="10"/>
    </row>
    <row r="71" spans="1:18" ht="15" x14ac:dyDescent="0.2">
      <c r="A71" s="16">
        <v>43009</v>
      </c>
      <c r="B71" s="26">
        <f>3.3348 * CHOOSE(CONTROL!$C$32, $C$9, 100%, $E$9)</f>
        <v>3.3348</v>
      </c>
      <c r="C71" s="26">
        <f>3.3348 * CHOOSE(CONTROL!$C$32, $C$9, 100%, $E$9)</f>
        <v>3.3348</v>
      </c>
      <c r="D71" s="26">
        <f>3.3358 * CHOOSE(CONTROL!$C$32, $C$9, 100%, $E$9)</f>
        <v>3.3357999999999999</v>
      </c>
      <c r="E71" s="27">
        <f>3.9209 * CHOOSE(CONTROL!$C$32, $C$9, 100%, $E$9)</f>
        <v>3.9209000000000001</v>
      </c>
      <c r="F71" s="27">
        <f>3.9209 * CHOOSE(CONTROL!$C$32, $C$9, 100%, $E$9)</f>
        <v>3.9209000000000001</v>
      </c>
      <c r="G71" s="27">
        <f>3.9245 * CHOOSE(CONTROL!$C$32, $C$9, 100%, $E$9)</f>
        <v>3.9245000000000001</v>
      </c>
      <c r="H71" s="27">
        <f>6.2433 * CHOOSE(CONTROL!$C$32, $C$9, 100%, $E$9)</f>
        <v>6.2432999999999996</v>
      </c>
      <c r="I71" s="27">
        <f>6.2469 * CHOOSE(CONTROL!$C$32, $C$9, 100%, $E$9)</f>
        <v>6.2469000000000001</v>
      </c>
      <c r="J71" s="27">
        <f>6.2433 * CHOOSE(CONTROL!$C$32, $C$9, 100%, $E$9)</f>
        <v>6.2432999999999996</v>
      </c>
      <c r="K71" s="27">
        <f>6.2469 * CHOOSE(CONTROL!$C$32, $C$9, 100%, $E$9)</f>
        <v>6.2469000000000001</v>
      </c>
      <c r="L71" s="27">
        <f>3.9209 * CHOOSE(CONTROL!$C$32, $C$9, 100%, $E$9)</f>
        <v>3.9209000000000001</v>
      </c>
      <c r="M71" s="27">
        <f>3.9245 * CHOOSE(CONTROL!$C$32, $C$9, 100%, $E$9)</f>
        <v>3.9245000000000001</v>
      </c>
      <c r="N71" s="27">
        <f>3.9209 * CHOOSE(CONTROL!$C$32, $C$9, 100%, $E$9)</f>
        <v>3.9209000000000001</v>
      </c>
      <c r="O71" s="27">
        <f>3.9245 * CHOOSE(CONTROL!$C$32, $C$9, 100%, $E$9)</f>
        <v>3.9245000000000001</v>
      </c>
      <c r="P71" s="10"/>
      <c r="Q71" s="10"/>
      <c r="R71" s="10"/>
    </row>
    <row r="72" spans="1:18" ht="15" x14ac:dyDescent="0.2">
      <c r="A72" s="16">
        <v>43040</v>
      </c>
      <c r="B72" s="26">
        <f>3.3463 * CHOOSE(CONTROL!$C$32, $C$9, 100%, $E$9)</f>
        <v>3.3462999999999998</v>
      </c>
      <c r="C72" s="26">
        <f>3.3463 * CHOOSE(CONTROL!$C$32, $C$9, 100%, $E$9)</f>
        <v>3.3462999999999998</v>
      </c>
      <c r="D72" s="26">
        <f>3.3474 * CHOOSE(CONTROL!$C$32, $C$9, 100%, $E$9)</f>
        <v>3.3473999999999999</v>
      </c>
      <c r="E72" s="27">
        <f>3.9229 * CHOOSE(CONTROL!$C$32, $C$9, 100%, $E$9)</f>
        <v>3.9228999999999998</v>
      </c>
      <c r="F72" s="27">
        <f>3.9229 * CHOOSE(CONTROL!$C$32, $C$9, 100%, $E$9)</f>
        <v>3.9228999999999998</v>
      </c>
      <c r="G72" s="27">
        <f>3.9265 * CHOOSE(CONTROL!$C$32, $C$9, 100%, $E$9)</f>
        <v>3.9264999999999999</v>
      </c>
      <c r="H72" s="27">
        <f>6.2563 * CHOOSE(CONTROL!$C$32, $C$9, 100%, $E$9)</f>
        <v>6.2563000000000004</v>
      </c>
      <c r="I72" s="27">
        <f>6.2599 * CHOOSE(CONTROL!$C$32, $C$9, 100%, $E$9)</f>
        <v>6.2599</v>
      </c>
      <c r="J72" s="27">
        <f>6.2563 * CHOOSE(CONTROL!$C$32, $C$9, 100%, $E$9)</f>
        <v>6.2563000000000004</v>
      </c>
      <c r="K72" s="27">
        <f>6.2599 * CHOOSE(CONTROL!$C$32, $C$9, 100%, $E$9)</f>
        <v>6.2599</v>
      </c>
      <c r="L72" s="27">
        <f>3.9229 * CHOOSE(CONTROL!$C$32, $C$9, 100%, $E$9)</f>
        <v>3.9228999999999998</v>
      </c>
      <c r="M72" s="27">
        <f>3.9265 * CHOOSE(CONTROL!$C$32, $C$9, 100%, $E$9)</f>
        <v>3.9264999999999999</v>
      </c>
      <c r="N72" s="27">
        <f>3.9229 * CHOOSE(CONTROL!$C$32, $C$9, 100%, $E$9)</f>
        <v>3.9228999999999998</v>
      </c>
      <c r="O72" s="27">
        <f>3.9265 * CHOOSE(CONTROL!$C$32, $C$9, 100%, $E$9)</f>
        <v>3.9264999999999999</v>
      </c>
      <c r="P72" s="10"/>
      <c r="Q72" s="10"/>
      <c r="R72" s="10"/>
    </row>
    <row r="73" spans="1:18" ht="15" x14ac:dyDescent="0.2">
      <c r="A73" s="16">
        <v>43070</v>
      </c>
      <c r="B73" s="26">
        <f>3.3463 * CHOOSE(CONTROL!$C$32, $C$9, 100%, $E$9)</f>
        <v>3.3462999999999998</v>
      </c>
      <c r="C73" s="26">
        <f>3.3463 * CHOOSE(CONTROL!$C$32, $C$9, 100%, $E$9)</f>
        <v>3.3462999999999998</v>
      </c>
      <c r="D73" s="26">
        <f>3.3474 * CHOOSE(CONTROL!$C$32, $C$9, 100%, $E$9)</f>
        <v>3.3473999999999999</v>
      </c>
      <c r="E73" s="27">
        <f>3.9229 * CHOOSE(CONTROL!$C$32, $C$9, 100%, $E$9)</f>
        <v>3.9228999999999998</v>
      </c>
      <c r="F73" s="27">
        <f>3.9229 * CHOOSE(CONTROL!$C$32, $C$9, 100%, $E$9)</f>
        <v>3.9228999999999998</v>
      </c>
      <c r="G73" s="27">
        <f>3.9265 * CHOOSE(CONTROL!$C$32, $C$9, 100%, $E$9)</f>
        <v>3.9264999999999999</v>
      </c>
      <c r="H73" s="27">
        <f>6.2693 * CHOOSE(CONTROL!$C$32, $C$9, 100%, $E$9)</f>
        <v>6.2693000000000003</v>
      </c>
      <c r="I73" s="27">
        <f>6.2729 * CHOOSE(CONTROL!$C$32, $C$9, 100%, $E$9)</f>
        <v>6.2728999999999999</v>
      </c>
      <c r="J73" s="27">
        <f>6.2693 * CHOOSE(CONTROL!$C$32, $C$9, 100%, $E$9)</f>
        <v>6.2693000000000003</v>
      </c>
      <c r="K73" s="27">
        <f>6.2729 * CHOOSE(CONTROL!$C$32, $C$9, 100%, $E$9)</f>
        <v>6.2728999999999999</v>
      </c>
      <c r="L73" s="27">
        <f>3.9229 * CHOOSE(CONTROL!$C$32, $C$9, 100%, $E$9)</f>
        <v>3.9228999999999998</v>
      </c>
      <c r="M73" s="27">
        <f>3.9265 * CHOOSE(CONTROL!$C$32, $C$9, 100%, $E$9)</f>
        <v>3.9264999999999999</v>
      </c>
      <c r="N73" s="27">
        <f>3.9229 * CHOOSE(CONTROL!$C$32, $C$9, 100%, $E$9)</f>
        <v>3.9228999999999998</v>
      </c>
      <c r="O73" s="27">
        <f>3.9265 * CHOOSE(CONTROL!$C$32, $C$9, 100%, $E$9)</f>
        <v>3.9264999999999999</v>
      </c>
      <c r="P73" s="10"/>
      <c r="Q73" s="10"/>
      <c r="R73" s="10"/>
    </row>
    <row r="74" spans="1:18" ht="15" x14ac:dyDescent="0.2">
      <c r="A74" s="16">
        <v>43101</v>
      </c>
      <c r="B74" s="26">
        <f>3.3747 * CHOOSE(CONTROL!$C$32, $C$9, 100%, $E$9)</f>
        <v>3.3746999999999998</v>
      </c>
      <c r="C74" s="26">
        <f>3.3747 * CHOOSE(CONTROL!$C$32, $C$9, 100%, $E$9)</f>
        <v>3.3746999999999998</v>
      </c>
      <c r="D74" s="26">
        <f>3.3758 * CHOOSE(CONTROL!$C$32, $C$9, 100%, $E$9)</f>
        <v>3.3757999999999999</v>
      </c>
      <c r="E74" s="27">
        <f>3.9606 * CHOOSE(CONTROL!$C$32, $C$9, 100%, $E$9)</f>
        <v>3.9605999999999999</v>
      </c>
      <c r="F74" s="27">
        <f>3.9606 * CHOOSE(CONTROL!$C$32, $C$9, 100%, $E$9)</f>
        <v>3.9605999999999999</v>
      </c>
      <c r="G74" s="27">
        <f>3.9642 * CHOOSE(CONTROL!$C$32, $C$9, 100%, $E$9)</f>
        <v>3.9641999999999999</v>
      </c>
      <c r="H74" s="27">
        <f>6.2824 * CHOOSE(CONTROL!$C$32, $C$9, 100%, $E$9)</f>
        <v>6.2824</v>
      </c>
      <c r="I74" s="27">
        <f>6.286 * CHOOSE(CONTROL!$C$32, $C$9, 100%, $E$9)</f>
        <v>6.2859999999999996</v>
      </c>
      <c r="J74" s="27">
        <f>6.2824 * CHOOSE(CONTROL!$C$32, $C$9, 100%, $E$9)</f>
        <v>6.2824</v>
      </c>
      <c r="K74" s="27">
        <f>6.286 * CHOOSE(CONTROL!$C$32, $C$9, 100%, $E$9)</f>
        <v>6.2859999999999996</v>
      </c>
      <c r="L74" s="27">
        <f>3.9606 * CHOOSE(CONTROL!$C$32, $C$9, 100%, $E$9)</f>
        <v>3.9605999999999999</v>
      </c>
      <c r="M74" s="27">
        <f>3.9642 * CHOOSE(CONTROL!$C$32, $C$9, 100%, $E$9)</f>
        <v>3.9641999999999999</v>
      </c>
      <c r="N74" s="27">
        <f>3.9606 * CHOOSE(CONTROL!$C$32, $C$9, 100%, $E$9)</f>
        <v>3.9605999999999999</v>
      </c>
      <c r="O74" s="27">
        <f>3.9642 * CHOOSE(CONTROL!$C$32, $C$9, 100%, $E$9)</f>
        <v>3.9641999999999999</v>
      </c>
      <c r="P74" s="10"/>
      <c r="Q74" s="10"/>
      <c r="R74" s="10"/>
    </row>
    <row r="75" spans="1:18" ht="15" x14ac:dyDescent="0.2">
      <c r="A75" s="16">
        <v>43132</v>
      </c>
      <c r="B75" s="26">
        <f>3.3805 * CHOOSE(CONTROL!$C$32, $C$9, 100%, $E$9)</f>
        <v>3.3805000000000001</v>
      </c>
      <c r="C75" s="26">
        <f>3.3805 * CHOOSE(CONTROL!$C$32, $C$9, 100%, $E$9)</f>
        <v>3.3805000000000001</v>
      </c>
      <c r="D75" s="26">
        <f>3.3816 * CHOOSE(CONTROL!$C$32, $C$9, 100%, $E$9)</f>
        <v>3.3816000000000002</v>
      </c>
      <c r="E75" s="27">
        <f>3.9586 * CHOOSE(CONTROL!$C$32, $C$9, 100%, $E$9)</f>
        <v>3.9586000000000001</v>
      </c>
      <c r="F75" s="27">
        <f>3.9586 * CHOOSE(CONTROL!$C$32, $C$9, 100%, $E$9)</f>
        <v>3.9586000000000001</v>
      </c>
      <c r="G75" s="27">
        <f>3.9622 * CHOOSE(CONTROL!$C$32, $C$9, 100%, $E$9)</f>
        <v>3.9622000000000002</v>
      </c>
      <c r="H75" s="27">
        <f>6.2955 * CHOOSE(CONTROL!$C$32, $C$9, 100%, $E$9)</f>
        <v>6.2954999999999997</v>
      </c>
      <c r="I75" s="27">
        <f>6.2991 * CHOOSE(CONTROL!$C$32, $C$9, 100%, $E$9)</f>
        <v>6.2991000000000001</v>
      </c>
      <c r="J75" s="27">
        <f>6.2955 * CHOOSE(CONTROL!$C$32, $C$9, 100%, $E$9)</f>
        <v>6.2954999999999997</v>
      </c>
      <c r="K75" s="27">
        <f>6.2991 * CHOOSE(CONTROL!$C$32, $C$9, 100%, $E$9)</f>
        <v>6.2991000000000001</v>
      </c>
      <c r="L75" s="27">
        <f>3.9586 * CHOOSE(CONTROL!$C$32, $C$9, 100%, $E$9)</f>
        <v>3.9586000000000001</v>
      </c>
      <c r="M75" s="27">
        <f>3.9622 * CHOOSE(CONTROL!$C$32, $C$9, 100%, $E$9)</f>
        <v>3.9622000000000002</v>
      </c>
      <c r="N75" s="27">
        <f>3.9586 * CHOOSE(CONTROL!$C$32, $C$9, 100%, $E$9)</f>
        <v>3.9586000000000001</v>
      </c>
      <c r="O75" s="27">
        <f>3.9622 * CHOOSE(CONTROL!$C$32, $C$9, 100%, $E$9)</f>
        <v>3.9622000000000002</v>
      </c>
      <c r="P75" s="10"/>
      <c r="Q75" s="10"/>
      <c r="R75" s="10"/>
    </row>
    <row r="76" spans="1:18" ht="15" x14ac:dyDescent="0.2">
      <c r="A76" s="16">
        <v>43160</v>
      </c>
      <c r="B76" s="26">
        <f>3.3774 * CHOOSE(CONTROL!$C$32, $C$9, 100%, $E$9)</f>
        <v>3.3774000000000002</v>
      </c>
      <c r="C76" s="26">
        <f>3.3774 * CHOOSE(CONTROL!$C$32, $C$9, 100%, $E$9)</f>
        <v>3.3774000000000002</v>
      </c>
      <c r="D76" s="26">
        <f>3.3785 * CHOOSE(CONTROL!$C$32, $C$9, 100%, $E$9)</f>
        <v>3.3784999999999998</v>
      </c>
      <c r="E76" s="27">
        <f>3.9566 * CHOOSE(CONTROL!$C$32, $C$9, 100%, $E$9)</f>
        <v>3.9565999999999999</v>
      </c>
      <c r="F76" s="27">
        <f>3.9566 * CHOOSE(CONTROL!$C$32, $C$9, 100%, $E$9)</f>
        <v>3.9565999999999999</v>
      </c>
      <c r="G76" s="27">
        <f>3.9602 * CHOOSE(CONTROL!$C$32, $C$9, 100%, $E$9)</f>
        <v>3.9601999999999999</v>
      </c>
      <c r="H76" s="27">
        <f>6.3086 * CHOOSE(CONTROL!$C$32, $C$9, 100%, $E$9)</f>
        <v>6.3086000000000002</v>
      </c>
      <c r="I76" s="27">
        <f>6.3122 * CHOOSE(CONTROL!$C$32, $C$9, 100%, $E$9)</f>
        <v>6.3121999999999998</v>
      </c>
      <c r="J76" s="27">
        <f>6.3086 * CHOOSE(CONTROL!$C$32, $C$9, 100%, $E$9)</f>
        <v>6.3086000000000002</v>
      </c>
      <c r="K76" s="27">
        <f>6.3122 * CHOOSE(CONTROL!$C$32, $C$9, 100%, $E$9)</f>
        <v>6.3121999999999998</v>
      </c>
      <c r="L76" s="27">
        <f>3.9566 * CHOOSE(CONTROL!$C$32, $C$9, 100%, $E$9)</f>
        <v>3.9565999999999999</v>
      </c>
      <c r="M76" s="27">
        <f>3.9602 * CHOOSE(CONTROL!$C$32, $C$9, 100%, $E$9)</f>
        <v>3.9601999999999999</v>
      </c>
      <c r="N76" s="27">
        <f>3.9566 * CHOOSE(CONTROL!$C$32, $C$9, 100%, $E$9)</f>
        <v>3.9565999999999999</v>
      </c>
      <c r="O76" s="27">
        <f>3.9602 * CHOOSE(CONTROL!$C$32, $C$9, 100%, $E$9)</f>
        <v>3.9601999999999999</v>
      </c>
      <c r="P76" s="10"/>
      <c r="Q76" s="10"/>
      <c r="R76" s="10"/>
    </row>
    <row r="77" spans="1:18" ht="15" x14ac:dyDescent="0.2">
      <c r="A77" s="16">
        <v>43191</v>
      </c>
      <c r="B77" s="26">
        <f>3.3713 * CHOOSE(CONTROL!$C$32, $C$9, 100%, $E$9)</f>
        <v>3.3713000000000002</v>
      </c>
      <c r="C77" s="26">
        <f>3.3713 * CHOOSE(CONTROL!$C$32, $C$9, 100%, $E$9)</f>
        <v>3.3713000000000002</v>
      </c>
      <c r="D77" s="26">
        <f>3.3724 * CHOOSE(CONTROL!$C$32, $C$9, 100%, $E$9)</f>
        <v>3.3723999999999998</v>
      </c>
      <c r="E77" s="27">
        <f>3.9541 * CHOOSE(CONTROL!$C$32, $C$9, 100%, $E$9)</f>
        <v>3.9540999999999999</v>
      </c>
      <c r="F77" s="27">
        <f>3.9541 * CHOOSE(CONTROL!$C$32, $C$9, 100%, $E$9)</f>
        <v>3.9540999999999999</v>
      </c>
      <c r="G77" s="27">
        <f>3.9577 * CHOOSE(CONTROL!$C$32, $C$9, 100%, $E$9)</f>
        <v>3.9577</v>
      </c>
      <c r="H77" s="27">
        <f>6.3217 * CHOOSE(CONTROL!$C$32, $C$9, 100%, $E$9)</f>
        <v>6.3216999999999999</v>
      </c>
      <c r="I77" s="27">
        <f>6.3254 * CHOOSE(CONTROL!$C$32, $C$9, 100%, $E$9)</f>
        <v>6.3254000000000001</v>
      </c>
      <c r="J77" s="27">
        <f>6.3217 * CHOOSE(CONTROL!$C$32, $C$9, 100%, $E$9)</f>
        <v>6.3216999999999999</v>
      </c>
      <c r="K77" s="27">
        <f>6.3254 * CHOOSE(CONTROL!$C$32, $C$9, 100%, $E$9)</f>
        <v>6.3254000000000001</v>
      </c>
      <c r="L77" s="27">
        <f>3.9541 * CHOOSE(CONTROL!$C$32, $C$9, 100%, $E$9)</f>
        <v>3.9540999999999999</v>
      </c>
      <c r="M77" s="27">
        <f>3.9577 * CHOOSE(CONTROL!$C$32, $C$9, 100%, $E$9)</f>
        <v>3.9577</v>
      </c>
      <c r="N77" s="27">
        <f>3.9541 * CHOOSE(CONTROL!$C$32, $C$9, 100%, $E$9)</f>
        <v>3.9540999999999999</v>
      </c>
      <c r="O77" s="27">
        <f>3.9577 * CHOOSE(CONTROL!$C$32, $C$9, 100%, $E$9)</f>
        <v>3.9577</v>
      </c>
      <c r="P77" s="10"/>
      <c r="Q77" s="10"/>
      <c r="R77" s="10"/>
    </row>
    <row r="78" spans="1:18" ht="15" x14ac:dyDescent="0.2">
      <c r="A78" s="16">
        <v>43221</v>
      </c>
      <c r="B78" s="26">
        <f>3.38 * CHOOSE(CONTROL!$C$32, $C$9, 100%, $E$9)</f>
        <v>3.38</v>
      </c>
      <c r="C78" s="26">
        <f>3.38 * CHOOSE(CONTROL!$C$32, $C$9, 100%, $E$9)</f>
        <v>3.38</v>
      </c>
      <c r="D78" s="26">
        <f>3.3815 * CHOOSE(CONTROL!$C$32, $C$9, 100%, $E$9)</f>
        <v>3.3815</v>
      </c>
      <c r="E78" s="27">
        <f>3.9541 * CHOOSE(CONTROL!$C$32, $C$9, 100%, $E$9)</f>
        <v>3.9540999999999999</v>
      </c>
      <c r="F78" s="27">
        <f>3.9541 * CHOOSE(CONTROL!$C$32, $C$9, 100%, $E$9)</f>
        <v>3.9540999999999999</v>
      </c>
      <c r="G78" s="27">
        <f>3.9594 * CHOOSE(CONTROL!$C$32, $C$9, 100%, $E$9)</f>
        <v>3.9594</v>
      </c>
      <c r="H78" s="27">
        <f>6.3349 * CHOOSE(CONTROL!$C$32, $C$9, 100%, $E$9)</f>
        <v>6.3349000000000002</v>
      </c>
      <c r="I78" s="27">
        <f>6.3402 * CHOOSE(CONTROL!$C$32, $C$9, 100%, $E$9)</f>
        <v>6.3402000000000003</v>
      </c>
      <c r="J78" s="27">
        <f>6.3349 * CHOOSE(CONTROL!$C$32, $C$9, 100%, $E$9)</f>
        <v>6.3349000000000002</v>
      </c>
      <c r="K78" s="27">
        <f>6.3402 * CHOOSE(CONTROL!$C$32, $C$9, 100%, $E$9)</f>
        <v>6.3402000000000003</v>
      </c>
      <c r="L78" s="27">
        <f>3.9541 * CHOOSE(CONTROL!$C$32, $C$9, 100%, $E$9)</f>
        <v>3.9540999999999999</v>
      </c>
      <c r="M78" s="27">
        <f>3.9594 * CHOOSE(CONTROL!$C$32, $C$9, 100%, $E$9)</f>
        <v>3.9594</v>
      </c>
      <c r="N78" s="27">
        <f>3.9541 * CHOOSE(CONTROL!$C$32, $C$9, 100%, $E$9)</f>
        <v>3.9540999999999999</v>
      </c>
      <c r="O78" s="27">
        <f>3.9594 * CHOOSE(CONTROL!$C$32, $C$9, 100%, $E$9)</f>
        <v>3.9594</v>
      </c>
      <c r="P78" s="10"/>
      <c r="Q78" s="10"/>
      <c r="R78" s="10"/>
    </row>
    <row r="79" spans="1:18" ht="15" x14ac:dyDescent="0.2">
      <c r="A79" s="16">
        <v>43252</v>
      </c>
      <c r="B79" s="26">
        <f>3.386 * CHOOSE(CONTROL!$C$32, $C$9, 100%, $E$9)</f>
        <v>3.3860000000000001</v>
      </c>
      <c r="C79" s="26">
        <f>3.386 * CHOOSE(CONTROL!$C$32, $C$9, 100%, $E$9)</f>
        <v>3.3860000000000001</v>
      </c>
      <c r="D79" s="26">
        <f>3.3876 * CHOOSE(CONTROL!$C$32, $C$9, 100%, $E$9)</f>
        <v>3.3875999999999999</v>
      </c>
      <c r="E79" s="27">
        <f>3.9581 * CHOOSE(CONTROL!$C$32, $C$9, 100%, $E$9)</f>
        <v>3.9581</v>
      </c>
      <c r="F79" s="27">
        <f>3.9581 * CHOOSE(CONTROL!$C$32, $C$9, 100%, $E$9)</f>
        <v>3.9581</v>
      </c>
      <c r="G79" s="27">
        <f>3.9634 * CHOOSE(CONTROL!$C$32, $C$9, 100%, $E$9)</f>
        <v>3.9634</v>
      </c>
      <c r="H79" s="27">
        <f>6.3481 * CHOOSE(CONTROL!$C$32, $C$9, 100%, $E$9)</f>
        <v>6.3480999999999996</v>
      </c>
      <c r="I79" s="27">
        <f>6.3534 * CHOOSE(CONTROL!$C$32, $C$9, 100%, $E$9)</f>
        <v>6.3533999999999997</v>
      </c>
      <c r="J79" s="27">
        <f>6.3481 * CHOOSE(CONTROL!$C$32, $C$9, 100%, $E$9)</f>
        <v>6.3480999999999996</v>
      </c>
      <c r="K79" s="27">
        <f>6.3534 * CHOOSE(CONTROL!$C$32, $C$9, 100%, $E$9)</f>
        <v>6.3533999999999997</v>
      </c>
      <c r="L79" s="27">
        <f>3.9581 * CHOOSE(CONTROL!$C$32, $C$9, 100%, $E$9)</f>
        <v>3.9581</v>
      </c>
      <c r="M79" s="27">
        <f>3.9634 * CHOOSE(CONTROL!$C$32, $C$9, 100%, $E$9)</f>
        <v>3.9634</v>
      </c>
      <c r="N79" s="27">
        <f>3.9581 * CHOOSE(CONTROL!$C$32, $C$9, 100%, $E$9)</f>
        <v>3.9581</v>
      </c>
      <c r="O79" s="27">
        <f>3.9634 * CHOOSE(CONTROL!$C$32, $C$9, 100%, $E$9)</f>
        <v>3.9634</v>
      </c>
      <c r="P79" s="10"/>
      <c r="Q79" s="10"/>
      <c r="R79" s="10"/>
    </row>
    <row r="80" spans="1:18" ht="15" x14ac:dyDescent="0.2">
      <c r="A80" s="16">
        <v>43282</v>
      </c>
      <c r="B80" s="26">
        <f>3.4206 * CHOOSE(CONTROL!$C$32, $C$9, 100%, $E$9)</f>
        <v>3.4205999999999999</v>
      </c>
      <c r="C80" s="26">
        <f>3.4206 * CHOOSE(CONTROL!$C$32, $C$9, 100%, $E$9)</f>
        <v>3.4205999999999999</v>
      </c>
      <c r="D80" s="26">
        <f>3.4222 * CHOOSE(CONTROL!$C$32, $C$9, 100%, $E$9)</f>
        <v>3.4222000000000001</v>
      </c>
      <c r="E80" s="27">
        <f>4.0414 * CHOOSE(CONTROL!$C$32, $C$9, 100%, $E$9)</f>
        <v>4.0414000000000003</v>
      </c>
      <c r="F80" s="27">
        <f>4.0414 * CHOOSE(CONTROL!$C$32, $C$9, 100%, $E$9)</f>
        <v>4.0414000000000003</v>
      </c>
      <c r="G80" s="27">
        <f>4.0467 * CHOOSE(CONTROL!$C$32, $C$9, 100%, $E$9)</f>
        <v>4.0467000000000004</v>
      </c>
      <c r="H80" s="27">
        <f>6.3613 * CHOOSE(CONTROL!$C$32, $C$9, 100%, $E$9)</f>
        <v>6.3613</v>
      </c>
      <c r="I80" s="27">
        <f>6.3666 * CHOOSE(CONTROL!$C$32, $C$9, 100%, $E$9)</f>
        <v>6.3666</v>
      </c>
      <c r="J80" s="27">
        <f>6.3613 * CHOOSE(CONTROL!$C$32, $C$9, 100%, $E$9)</f>
        <v>6.3613</v>
      </c>
      <c r="K80" s="27">
        <f>6.3666 * CHOOSE(CONTROL!$C$32, $C$9, 100%, $E$9)</f>
        <v>6.3666</v>
      </c>
      <c r="L80" s="27">
        <f>4.0414 * CHOOSE(CONTROL!$C$32, $C$9, 100%, $E$9)</f>
        <v>4.0414000000000003</v>
      </c>
      <c r="M80" s="27">
        <f>4.0467 * CHOOSE(CONTROL!$C$32, $C$9, 100%, $E$9)</f>
        <v>4.0467000000000004</v>
      </c>
      <c r="N80" s="27">
        <f>4.0414 * CHOOSE(CONTROL!$C$32, $C$9, 100%, $E$9)</f>
        <v>4.0414000000000003</v>
      </c>
      <c r="O80" s="27">
        <f>4.0467 * CHOOSE(CONTROL!$C$32, $C$9, 100%, $E$9)</f>
        <v>4.0467000000000004</v>
      </c>
      <c r="P80" s="10"/>
      <c r="Q80" s="10"/>
      <c r="R80" s="10"/>
    </row>
    <row r="81" spans="1:18" ht="15" x14ac:dyDescent="0.2">
      <c r="A81" s="16">
        <v>43313</v>
      </c>
      <c r="B81" s="26">
        <f>3.4359 * CHOOSE(CONTROL!$C$32, $C$9, 100%, $E$9)</f>
        <v>3.4359000000000002</v>
      </c>
      <c r="C81" s="26">
        <f>3.4359 * CHOOSE(CONTROL!$C$32, $C$9, 100%, $E$9)</f>
        <v>3.4359000000000002</v>
      </c>
      <c r="D81" s="26">
        <f>3.4375 * CHOOSE(CONTROL!$C$32, $C$9, 100%, $E$9)</f>
        <v>3.4375</v>
      </c>
      <c r="E81" s="27">
        <f>4.0458 * CHOOSE(CONTROL!$C$32, $C$9, 100%, $E$9)</f>
        <v>4.0457999999999998</v>
      </c>
      <c r="F81" s="27">
        <f>4.0458 * CHOOSE(CONTROL!$C$32, $C$9, 100%, $E$9)</f>
        <v>4.0457999999999998</v>
      </c>
      <c r="G81" s="27">
        <f>4.0511 * CHOOSE(CONTROL!$C$32, $C$9, 100%, $E$9)</f>
        <v>4.0510999999999999</v>
      </c>
      <c r="H81" s="27">
        <f>6.3746 * CHOOSE(CONTROL!$C$32, $C$9, 100%, $E$9)</f>
        <v>6.3746</v>
      </c>
      <c r="I81" s="27">
        <f>6.3799 * CHOOSE(CONTROL!$C$32, $C$9, 100%, $E$9)</f>
        <v>6.3799000000000001</v>
      </c>
      <c r="J81" s="27">
        <f>6.3746 * CHOOSE(CONTROL!$C$32, $C$9, 100%, $E$9)</f>
        <v>6.3746</v>
      </c>
      <c r="K81" s="27">
        <f>6.3799 * CHOOSE(CONTROL!$C$32, $C$9, 100%, $E$9)</f>
        <v>6.3799000000000001</v>
      </c>
      <c r="L81" s="27">
        <f>4.0458 * CHOOSE(CONTROL!$C$32, $C$9, 100%, $E$9)</f>
        <v>4.0457999999999998</v>
      </c>
      <c r="M81" s="27">
        <f>4.0511 * CHOOSE(CONTROL!$C$32, $C$9, 100%, $E$9)</f>
        <v>4.0510999999999999</v>
      </c>
      <c r="N81" s="27">
        <f>4.0458 * CHOOSE(CONTROL!$C$32, $C$9, 100%, $E$9)</f>
        <v>4.0457999999999998</v>
      </c>
      <c r="O81" s="27">
        <f>4.0511 * CHOOSE(CONTROL!$C$32, $C$9, 100%, $E$9)</f>
        <v>4.0510999999999999</v>
      </c>
      <c r="P81" s="10"/>
      <c r="Q81" s="10"/>
      <c r="R81" s="10"/>
    </row>
    <row r="82" spans="1:18" ht="15" x14ac:dyDescent="0.2">
      <c r="A82" s="16">
        <v>43344</v>
      </c>
      <c r="B82" s="26">
        <f>3.4328 * CHOOSE(CONTROL!$C$32, $C$9, 100%, $E$9)</f>
        <v>3.4327999999999999</v>
      </c>
      <c r="C82" s="26">
        <f>3.4328 * CHOOSE(CONTROL!$C$32, $C$9, 100%, $E$9)</f>
        <v>3.4327999999999999</v>
      </c>
      <c r="D82" s="26">
        <f>3.4344 * CHOOSE(CONTROL!$C$32, $C$9, 100%, $E$9)</f>
        <v>3.4344000000000001</v>
      </c>
      <c r="E82" s="27">
        <f>4.0438 * CHOOSE(CONTROL!$C$32, $C$9, 100%, $E$9)</f>
        <v>4.0438000000000001</v>
      </c>
      <c r="F82" s="27">
        <f>4.0438 * CHOOSE(CONTROL!$C$32, $C$9, 100%, $E$9)</f>
        <v>4.0438000000000001</v>
      </c>
      <c r="G82" s="27">
        <f>4.0491 * CHOOSE(CONTROL!$C$32, $C$9, 100%, $E$9)</f>
        <v>4.0491000000000001</v>
      </c>
      <c r="H82" s="27">
        <f>6.3879 * CHOOSE(CONTROL!$C$32, $C$9, 100%, $E$9)</f>
        <v>6.3879000000000001</v>
      </c>
      <c r="I82" s="27">
        <f>6.3932 * CHOOSE(CONTROL!$C$32, $C$9, 100%, $E$9)</f>
        <v>6.3932000000000002</v>
      </c>
      <c r="J82" s="27">
        <f>6.3879 * CHOOSE(CONTROL!$C$32, $C$9, 100%, $E$9)</f>
        <v>6.3879000000000001</v>
      </c>
      <c r="K82" s="27">
        <f>6.3932 * CHOOSE(CONTROL!$C$32, $C$9, 100%, $E$9)</f>
        <v>6.3932000000000002</v>
      </c>
      <c r="L82" s="27">
        <f>4.0438 * CHOOSE(CONTROL!$C$32, $C$9, 100%, $E$9)</f>
        <v>4.0438000000000001</v>
      </c>
      <c r="M82" s="27">
        <f>4.0491 * CHOOSE(CONTROL!$C$32, $C$9, 100%, $E$9)</f>
        <v>4.0491000000000001</v>
      </c>
      <c r="N82" s="27">
        <f>4.0438 * CHOOSE(CONTROL!$C$32, $C$9, 100%, $E$9)</f>
        <v>4.0438000000000001</v>
      </c>
      <c r="O82" s="27">
        <f>4.0491 * CHOOSE(CONTROL!$C$32, $C$9, 100%, $E$9)</f>
        <v>4.0491000000000001</v>
      </c>
      <c r="P82" s="10"/>
      <c r="Q82" s="10"/>
      <c r="R82" s="10"/>
    </row>
    <row r="83" spans="1:18" ht="15" x14ac:dyDescent="0.2">
      <c r="A83" s="16">
        <v>43374</v>
      </c>
      <c r="B83" s="26">
        <f>3.4135 * CHOOSE(CONTROL!$C$32, $C$9, 100%, $E$9)</f>
        <v>3.4135</v>
      </c>
      <c r="C83" s="26">
        <f>3.4135 * CHOOSE(CONTROL!$C$32, $C$9, 100%, $E$9)</f>
        <v>3.4135</v>
      </c>
      <c r="D83" s="26">
        <f>3.4146 * CHOOSE(CONTROL!$C$32, $C$9, 100%, $E$9)</f>
        <v>3.4146000000000001</v>
      </c>
      <c r="E83" s="27">
        <f>4.0369 * CHOOSE(CONTROL!$C$32, $C$9, 100%, $E$9)</f>
        <v>4.0369000000000002</v>
      </c>
      <c r="F83" s="27">
        <f>4.0369 * CHOOSE(CONTROL!$C$32, $C$9, 100%, $E$9)</f>
        <v>4.0369000000000002</v>
      </c>
      <c r="G83" s="27">
        <f>4.0406 * CHOOSE(CONTROL!$C$32, $C$9, 100%, $E$9)</f>
        <v>4.0406000000000004</v>
      </c>
      <c r="H83" s="27">
        <f>6.4012 * CHOOSE(CONTROL!$C$32, $C$9, 100%, $E$9)</f>
        <v>6.4012000000000002</v>
      </c>
      <c r="I83" s="27">
        <f>6.4048 * CHOOSE(CONTROL!$C$32, $C$9, 100%, $E$9)</f>
        <v>6.4047999999999998</v>
      </c>
      <c r="J83" s="27">
        <f>6.4012 * CHOOSE(CONTROL!$C$32, $C$9, 100%, $E$9)</f>
        <v>6.4012000000000002</v>
      </c>
      <c r="K83" s="27">
        <f>6.4048 * CHOOSE(CONTROL!$C$32, $C$9, 100%, $E$9)</f>
        <v>6.4047999999999998</v>
      </c>
      <c r="L83" s="27">
        <f>4.0369 * CHOOSE(CONTROL!$C$32, $C$9, 100%, $E$9)</f>
        <v>4.0369000000000002</v>
      </c>
      <c r="M83" s="27">
        <f>4.0406 * CHOOSE(CONTROL!$C$32, $C$9, 100%, $E$9)</f>
        <v>4.0406000000000004</v>
      </c>
      <c r="N83" s="27">
        <f>4.0369 * CHOOSE(CONTROL!$C$32, $C$9, 100%, $E$9)</f>
        <v>4.0369000000000002</v>
      </c>
      <c r="O83" s="27">
        <f>4.0406 * CHOOSE(CONTROL!$C$32, $C$9, 100%, $E$9)</f>
        <v>4.0406000000000004</v>
      </c>
      <c r="P83" s="10"/>
      <c r="Q83" s="10"/>
      <c r="R83" s="10"/>
    </row>
    <row r="84" spans="1:18" ht="15" x14ac:dyDescent="0.2">
      <c r="A84" s="16">
        <v>43405</v>
      </c>
      <c r="B84" s="26">
        <f>3.4253 * CHOOSE(CONTROL!$C$32, $C$9, 100%, $E$9)</f>
        <v>3.4253</v>
      </c>
      <c r="C84" s="26">
        <f>3.4253 * CHOOSE(CONTROL!$C$32, $C$9, 100%, $E$9)</f>
        <v>3.4253</v>
      </c>
      <c r="D84" s="26">
        <f>3.4263 * CHOOSE(CONTROL!$C$32, $C$9, 100%, $E$9)</f>
        <v>3.4262999999999999</v>
      </c>
      <c r="E84" s="27">
        <f>4.0389 * CHOOSE(CONTROL!$C$32, $C$9, 100%, $E$9)</f>
        <v>4.0388999999999999</v>
      </c>
      <c r="F84" s="27">
        <f>4.0389 * CHOOSE(CONTROL!$C$32, $C$9, 100%, $E$9)</f>
        <v>4.0388999999999999</v>
      </c>
      <c r="G84" s="27">
        <f>4.0426 * CHOOSE(CONTROL!$C$32, $C$9, 100%, $E$9)</f>
        <v>4.0426000000000002</v>
      </c>
      <c r="H84" s="27">
        <f>6.4145 * CHOOSE(CONTROL!$C$32, $C$9, 100%, $E$9)</f>
        <v>6.4145000000000003</v>
      </c>
      <c r="I84" s="27">
        <f>6.4181 * CHOOSE(CONTROL!$C$32, $C$9, 100%, $E$9)</f>
        <v>6.4180999999999999</v>
      </c>
      <c r="J84" s="27">
        <f>6.4145 * CHOOSE(CONTROL!$C$32, $C$9, 100%, $E$9)</f>
        <v>6.4145000000000003</v>
      </c>
      <c r="K84" s="27">
        <f>6.4181 * CHOOSE(CONTROL!$C$32, $C$9, 100%, $E$9)</f>
        <v>6.4180999999999999</v>
      </c>
      <c r="L84" s="27">
        <f>4.0389 * CHOOSE(CONTROL!$C$32, $C$9, 100%, $E$9)</f>
        <v>4.0388999999999999</v>
      </c>
      <c r="M84" s="27">
        <f>4.0426 * CHOOSE(CONTROL!$C$32, $C$9, 100%, $E$9)</f>
        <v>4.0426000000000002</v>
      </c>
      <c r="N84" s="27">
        <f>4.0389 * CHOOSE(CONTROL!$C$32, $C$9, 100%, $E$9)</f>
        <v>4.0388999999999999</v>
      </c>
      <c r="O84" s="27">
        <f>4.0426 * CHOOSE(CONTROL!$C$32, $C$9, 100%, $E$9)</f>
        <v>4.0426000000000002</v>
      </c>
      <c r="P84" s="10"/>
      <c r="Q84" s="10"/>
      <c r="R84" s="10"/>
    </row>
    <row r="85" spans="1:18" ht="15" x14ac:dyDescent="0.2">
      <c r="A85" s="16">
        <v>43435</v>
      </c>
      <c r="B85" s="26">
        <f>3.4251 * CHOOSE(CONTROL!$C$32, $C$9, 100%, $E$9)</f>
        <v>3.4251</v>
      </c>
      <c r="C85" s="26">
        <f>3.4251 * CHOOSE(CONTROL!$C$32, $C$9, 100%, $E$9)</f>
        <v>3.4251</v>
      </c>
      <c r="D85" s="26">
        <f>3.4262 * CHOOSE(CONTROL!$C$32, $C$9, 100%, $E$9)</f>
        <v>3.4262000000000001</v>
      </c>
      <c r="E85" s="27">
        <f>4.0389 * CHOOSE(CONTROL!$C$32, $C$9, 100%, $E$9)</f>
        <v>4.0388999999999999</v>
      </c>
      <c r="F85" s="27">
        <f>4.0389 * CHOOSE(CONTROL!$C$32, $C$9, 100%, $E$9)</f>
        <v>4.0388999999999999</v>
      </c>
      <c r="G85" s="27">
        <f>4.0426 * CHOOSE(CONTROL!$C$32, $C$9, 100%, $E$9)</f>
        <v>4.0426000000000002</v>
      </c>
      <c r="H85" s="27">
        <f>6.4279 * CHOOSE(CONTROL!$C$32, $C$9, 100%, $E$9)</f>
        <v>6.4279000000000002</v>
      </c>
      <c r="I85" s="27">
        <f>6.4315 * CHOOSE(CONTROL!$C$32, $C$9, 100%, $E$9)</f>
        <v>6.4314999999999998</v>
      </c>
      <c r="J85" s="27">
        <f>6.4279 * CHOOSE(CONTROL!$C$32, $C$9, 100%, $E$9)</f>
        <v>6.4279000000000002</v>
      </c>
      <c r="K85" s="27">
        <f>6.4315 * CHOOSE(CONTROL!$C$32, $C$9, 100%, $E$9)</f>
        <v>6.4314999999999998</v>
      </c>
      <c r="L85" s="27">
        <f>4.0389 * CHOOSE(CONTROL!$C$32, $C$9, 100%, $E$9)</f>
        <v>4.0388999999999999</v>
      </c>
      <c r="M85" s="27">
        <f>4.0426 * CHOOSE(CONTROL!$C$32, $C$9, 100%, $E$9)</f>
        <v>4.0426000000000002</v>
      </c>
      <c r="N85" s="27">
        <f>4.0389 * CHOOSE(CONTROL!$C$32, $C$9, 100%, $E$9)</f>
        <v>4.0388999999999999</v>
      </c>
      <c r="O85" s="27">
        <f>4.0426 * CHOOSE(CONTROL!$C$32, $C$9, 100%, $E$9)</f>
        <v>4.0426000000000002</v>
      </c>
      <c r="P85" s="10"/>
      <c r="Q85" s="10"/>
      <c r="R85" s="10"/>
    </row>
    <row r="86" spans="1:18" ht="15" x14ac:dyDescent="0.2">
      <c r="A86" s="16">
        <v>43466</v>
      </c>
      <c r="B86" s="26">
        <f>3.206 * CHOOSE(CONTROL!$C$32, $C$9, 100%, $E$9)</f>
        <v>3.206</v>
      </c>
      <c r="C86" s="26">
        <f>3.206 * CHOOSE(CONTROL!$C$32, $C$9, 100%, $E$9)</f>
        <v>3.206</v>
      </c>
      <c r="D86" s="26">
        <f>3.2071 * CHOOSE(CONTROL!$C$32, $C$9, 100%, $E$9)</f>
        <v>3.2071000000000001</v>
      </c>
      <c r="E86" s="27">
        <f>4.0646 * CHOOSE(CONTROL!$C$32, $C$9, 100%, $E$9)</f>
        <v>4.0646000000000004</v>
      </c>
      <c r="F86" s="27">
        <f>4.0646 * CHOOSE(CONTROL!$C$32, $C$9, 100%, $E$9)</f>
        <v>4.0646000000000004</v>
      </c>
      <c r="G86" s="27">
        <f>4.0682 * CHOOSE(CONTROL!$C$32, $C$9, 100%, $E$9)</f>
        <v>4.0682</v>
      </c>
      <c r="H86" s="27">
        <f>6.4413 * CHOOSE(CONTROL!$C$32, $C$9, 100%, $E$9)</f>
        <v>6.4413</v>
      </c>
      <c r="I86" s="27">
        <f>6.4449 * CHOOSE(CONTROL!$C$32, $C$9, 100%, $E$9)</f>
        <v>6.4448999999999996</v>
      </c>
      <c r="J86" s="27">
        <f>6.4413 * CHOOSE(CONTROL!$C$32, $C$9, 100%, $E$9)</f>
        <v>6.4413</v>
      </c>
      <c r="K86" s="27">
        <f>6.4449 * CHOOSE(CONTROL!$C$32, $C$9, 100%, $E$9)</f>
        <v>6.4448999999999996</v>
      </c>
      <c r="L86" s="27">
        <f>4.0646 * CHOOSE(CONTROL!$C$32, $C$9, 100%, $E$9)</f>
        <v>4.0646000000000004</v>
      </c>
      <c r="M86" s="27">
        <f>4.0682 * CHOOSE(CONTROL!$C$32, $C$9, 100%, $E$9)</f>
        <v>4.0682</v>
      </c>
      <c r="N86" s="27">
        <f>4.0646 * CHOOSE(CONTROL!$C$32, $C$9, 100%, $E$9)</f>
        <v>4.0646000000000004</v>
      </c>
      <c r="O86" s="27">
        <f>4.0682 * CHOOSE(CONTROL!$C$32, $C$9, 100%, $E$9)</f>
        <v>4.0682</v>
      </c>
      <c r="P86" s="10"/>
      <c r="Q86" s="10"/>
      <c r="R86" s="10"/>
    </row>
    <row r="87" spans="1:18" ht="15" x14ac:dyDescent="0.2">
      <c r="A87" s="16">
        <v>43497</v>
      </c>
      <c r="B87" s="26">
        <f>3.2029 * CHOOSE(CONTROL!$C$32, $C$9, 100%, $E$9)</f>
        <v>3.2029000000000001</v>
      </c>
      <c r="C87" s="26">
        <f>3.2029 * CHOOSE(CONTROL!$C$32, $C$9, 100%, $E$9)</f>
        <v>3.2029000000000001</v>
      </c>
      <c r="D87" s="26">
        <f>3.204 * CHOOSE(CONTROL!$C$32, $C$9, 100%, $E$9)</f>
        <v>3.2040000000000002</v>
      </c>
      <c r="E87" s="27">
        <f>4.0626 * CHOOSE(CONTROL!$C$32, $C$9, 100%, $E$9)</f>
        <v>4.0625999999999998</v>
      </c>
      <c r="F87" s="27">
        <f>4.0626 * CHOOSE(CONTROL!$C$32, $C$9, 100%, $E$9)</f>
        <v>4.0625999999999998</v>
      </c>
      <c r="G87" s="27">
        <f>4.0662 * CHOOSE(CONTROL!$C$32, $C$9, 100%, $E$9)</f>
        <v>4.0662000000000003</v>
      </c>
      <c r="H87" s="27">
        <f>6.4547 * CHOOSE(CONTROL!$C$32, $C$9, 100%, $E$9)</f>
        <v>6.4546999999999999</v>
      </c>
      <c r="I87" s="27">
        <f>6.4583 * CHOOSE(CONTROL!$C$32, $C$9, 100%, $E$9)</f>
        <v>6.4583000000000004</v>
      </c>
      <c r="J87" s="27">
        <f>6.4547 * CHOOSE(CONTROL!$C$32, $C$9, 100%, $E$9)</f>
        <v>6.4546999999999999</v>
      </c>
      <c r="K87" s="27">
        <f>6.4583 * CHOOSE(CONTROL!$C$32, $C$9, 100%, $E$9)</f>
        <v>6.4583000000000004</v>
      </c>
      <c r="L87" s="27">
        <f>4.0626 * CHOOSE(CONTROL!$C$32, $C$9, 100%, $E$9)</f>
        <v>4.0625999999999998</v>
      </c>
      <c r="M87" s="27">
        <f>4.0662 * CHOOSE(CONTROL!$C$32, $C$9, 100%, $E$9)</f>
        <v>4.0662000000000003</v>
      </c>
      <c r="N87" s="27">
        <f>4.0626 * CHOOSE(CONTROL!$C$32, $C$9, 100%, $E$9)</f>
        <v>4.0625999999999998</v>
      </c>
      <c r="O87" s="27">
        <f>4.0662 * CHOOSE(CONTROL!$C$32, $C$9, 100%, $E$9)</f>
        <v>4.0662000000000003</v>
      </c>
      <c r="P87" s="10"/>
      <c r="Q87" s="10"/>
      <c r="R87" s="10"/>
    </row>
    <row r="88" spans="1:18" ht="15" x14ac:dyDescent="0.2">
      <c r="A88" s="16">
        <v>43525</v>
      </c>
      <c r="B88" s="26">
        <f>3.1999 * CHOOSE(CONTROL!$C$32, $C$9, 100%, $E$9)</f>
        <v>3.1999</v>
      </c>
      <c r="C88" s="26">
        <f>3.1999 * CHOOSE(CONTROL!$C$32, $C$9, 100%, $E$9)</f>
        <v>3.1999</v>
      </c>
      <c r="D88" s="26">
        <f>3.201 * CHOOSE(CONTROL!$C$32, $C$9, 100%, $E$9)</f>
        <v>3.2010000000000001</v>
      </c>
      <c r="E88" s="27">
        <f>4.0606 * CHOOSE(CONTROL!$C$32, $C$9, 100%, $E$9)</f>
        <v>4.0606</v>
      </c>
      <c r="F88" s="27">
        <f>4.0606 * CHOOSE(CONTROL!$C$32, $C$9, 100%, $E$9)</f>
        <v>4.0606</v>
      </c>
      <c r="G88" s="27">
        <f>4.0642 * CHOOSE(CONTROL!$C$32, $C$9, 100%, $E$9)</f>
        <v>4.0641999999999996</v>
      </c>
      <c r="H88" s="27">
        <f>6.4681 * CHOOSE(CONTROL!$C$32, $C$9, 100%, $E$9)</f>
        <v>6.4680999999999997</v>
      </c>
      <c r="I88" s="27">
        <f>6.4717 * CHOOSE(CONTROL!$C$32, $C$9, 100%, $E$9)</f>
        <v>6.4717000000000002</v>
      </c>
      <c r="J88" s="27">
        <f>6.4681 * CHOOSE(CONTROL!$C$32, $C$9, 100%, $E$9)</f>
        <v>6.4680999999999997</v>
      </c>
      <c r="K88" s="27">
        <f>6.4717 * CHOOSE(CONTROL!$C$32, $C$9, 100%, $E$9)</f>
        <v>6.4717000000000002</v>
      </c>
      <c r="L88" s="27">
        <f>4.0606 * CHOOSE(CONTROL!$C$32, $C$9, 100%, $E$9)</f>
        <v>4.0606</v>
      </c>
      <c r="M88" s="27">
        <f>4.0642 * CHOOSE(CONTROL!$C$32, $C$9, 100%, $E$9)</f>
        <v>4.0641999999999996</v>
      </c>
      <c r="N88" s="27">
        <f>4.0606 * CHOOSE(CONTROL!$C$32, $C$9, 100%, $E$9)</f>
        <v>4.0606</v>
      </c>
      <c r="O88" s="27">
        <f>4.0642 * CHOOSE(CONTROL!$C$32, $C$9, 100%, $E$9)</f>
        <v>4.0641999999999996</v>
      </c>
      <c r="P88" s="10"/>
      <c r="Q88" s="10"/>
      <c r="R88" s="10"/>
    </row>
    <row r="89" spans="1:18" ht="15" x14ac:dyDescent="0.2">
      <c r="A89" s="16">
        <v>43556</v>
      </c>
      <c r="B89" s="26">
        <f>3.1968 * CHOOSE(CONTROL!$C$32, $C$9, 100%, $E$9)</f>
        <v>3.1968000000000001</v>
      </c>
      <c r="C89" s="26">
        <f>3.1968 * CHOOSE(CONTROL!$C$32, $C$9, 100%, $E$9)</f>
        <v>3.1968000000000001</v>
      </c>
      <c r="D89" s="26">
        <f>3.1979 * CHOOSE(CONTROL!$C$32, $C$9, 100%, $E$9)</f>
        <v>3.1979000000000002</v>
      </c>
      <c r="E89" s="27">
        <f>4.0581 * CHOOSE(CONTROL!$C$32, $C$9, 100%, $E$9)</f>
        <v>4.0580999999999996</v>
      </c>
      <c r="F89" s="27">
        <f>4.0581 * CHOOSE(CONTROL!$C$32, $C$9, 100%, $E$9)</f>
        <v>4.0580999999999996</v>
      </c>
      <c r="G89" s="27">
        <f>4.0617 * CHOOSE(CONTROL!$C$32, $C$9, 100%, $E$9)</f>
        <v>4.0617000000000001</v>
      </c>
      <c r="H89" s="27">
        <f>6.4816 * CHOOSE(CONTROL!$C$32, $C$9, 100%, $E$9)</f>
        <v>6.4816000000000003</v>
      </c>
      <c r="I89" s="27">
        <f>6.4852 * CHOOSE(CONTROL!$C$32, $C$9, 100%, $E$9)</f>
        <v>6.4851999999999999</v>
      </c>
      <c r="J89" s="27">
        <f>6.4816 * CHOOSE(CONTROL!$C$32, $C$9, 100%, $E$9)</f>
        <v>6.4816000000000003</v>
      </c>
      <c r="K89" s="27">
        <f>6.4852 * CHOOSE(CONTROL!$C$32, $C$9, 100%, $E$9)</f>
        <v>6.4851999999999999</v>
      </c>
      <c r="L89" s="27">
        <f>4.0581 * CHOOSE(CONTROL!$C$32, $C$9, 100%, $E$9)</f>
        <v>4.0580999999999996</v>
      </c>
      <c r="M89" s="27">
        <f>4.0617 * CHOOSE(CONTROL!$C$32, $C$9, 100%, $E$9)</f>
        <v>4.0617000000000001</v>
      </c>
      <c r="N89" s="27">
        <f>4.0581 * CHOOSE(CONTROL!$C$32, $C$9, 100%, $E$9)</f>
        <v>4.0580999999999996</v>
      </c>
      <c r="O89" s="27">
        <f>4.0617 * CHOOSE(CONTROL!$C$32, $C$9, 100%, $E$9)</f>
        <v>4.0617000000000001</v>
      </c>
      <c r="P89" s="10"/>
      <c r="Q89" s="10"/>
      <c r="R89" s="10"/>
    </row>
    <row r="90" spans="1:18" ht="15" x14ac:dyDescent="0.2">
      <c r="A90" s="16">
        <v>43586</v>
      </c>
      <c r="B90" s="26">
        <f>3.1968 * CHOOSE(CONTROL!$C$32, $C$9, 100%, $E$9)</f>
        <v>3.1968000000000001</v>
      </c>
      <c r="C90" s="26">
        <f>3.1968 * CHOOSE(CONTROL!$C$32, $C$9, 100%, $E$9)</f>
        <v>3.1968000000000001</v>
      </c>
      <c r="D90" s="26">
        <f>3.1984 * CHOOSE(CONTROL!$C$32, $C$9, 100%, $E$9)</f>
        <v>3.1983999999999999</v>
      </c>
      <c r="E90" s="27">
        <f>4.0581 * CHOOSE(CONTROL!$C$32, $C$9, 100%, $E$9)</f>
        <v>4.0580999999999996</v>
      </c>
      <c r="F90" s="27">
        <f>4.0581 * CHOOSE(CONTROL!$C$32, $C$9, 100%, $E$9)</f>
        <v>4.0580999999999996</v>
      </c>
      <c r="G90" s="27">
        <f>4.0634 * CHOOSE(CONTROL!$C$32, $C$9, 100%, $E$9)</f>
        <v>4.0633999999999997</v>
      </c>
      <c r="H90" s="27">
        <f>6.4951 * CHOOSE(CONTROL!$C$32, $C$9, 100%, $E$9)</f>
        <v>6.4950999999999999</v>
      </c>
      <c r="I90" s="27">
        <f>6.5004 * CHOOSE(CONTROL!$C$32, $C$9, 100%, $E$9)</f>
        <v>6.5004</v>
      </c>
      <c r="J90" s="27">
        <f>6.4951 * CHOOSE(CONTROL!$C$32, $C$9, 100%, $E$9)</f>
        <v>6.4950999999999999</v>
      </c>
      <c r="K90" s="27">
        <f>6.5004 * CHOOSE(CONTROL!$C$32, $C$9, 100%, $E$9)</f>
        <v>6.5004</v>
      </c>
      <c r="L90" s="27">
        <f>4.0581 * CHOOSE(CONTROL!$C$32, $C$9, 100%, $E$9)</f>
        <v>4.0580999999999996</v>
      </c>
      <c r="M90" s="27">
        <f>4.0634 * CHOOSE(CONTROL!$C$32, $C$9, 100%, $E$9)</f>
        <v>4.0633999999999997</v>
      </c>
      <c r="N90" s="27">
        <f>4.0581 * CHOOSE(CONTROL!$C$32, $C$9, 100%, $E$9)</f>
        <v>4.0580999999999996</v>
      </c>
      <c r="O90" s="27">
        <f>4.0634 * CHOOSE(CONTROL!$C$32, $C$9, 100%, $E$9)</f>
        <v>4.0633999999999997</v>
      </c>
      <c r="P90" s="10"/>
      <c r="Q90" s="10"/>
      <c r="R90" s="10"/>
    </row>
    <row r="91" spans="1:18" ht="15" x14ac:dyDescent="0.2">
      <c r="A91" s="16">
        <v>43617</v>
      </c>
      <c r="B91" s="26">
        <f>3.2029 * CHOOSE(CONTROL!$C$32, $C$9, 100%, $E$9)</f>
        <v>3.2029000000000001</v>
      </c>
      <c r="C91" s="26">
        <f>3.2029 * CHOOSE(CONTROL!$C$32, $C$9, 100%, $E$9)</f>
        <v>3.2029000000000001</v>
      </c>
      <c r="D91" s="26">
        <f>3.2045 * CHOOSE(CONTROL!$C$32, $C$9, 100%, $E$9)</f>
        <v>3.2044999999999999</v>
      </c>
      <c r="E91" s="27">
        <f>4.0621 * CHOOSE(CONTROL!$C$32, $C$9, 100%, $E$9)</f>
        <v>4.0621</v>
      </c>
      <c r="F91" s="27">
        <f>4.0621 * CHOOSE(CONTROL!$C$32, $C$9, 100%, $E$9)</f>
        <v>4.0621</v>
      </c>
      <c r="G91" s="27">
        <f>4.0674 * CHOOSE(CONTROL!$C$32, $C$9, 100%, $E$9)</f>
        <v>4.0674000000000001</v>
      </c>
      <c r="H91" s="27">
        <f>6.5086 * CHOOSE(CONTROL!$C$32, $C$9, 100%, $E$9)</f>
        <v>6.5086000000000004</v>
      </c>
      <c r="I91" s="27">
        <f>6.5139 * CHOOSE(CONTROL!$C$32, $C$9, 100%, $E$9)</f>
        <v>6.5138999999999996</v>
      </c>
      <c r="J91" s="27">
        <f>6.5086 * CHOOSE(CONTROL!$C$32, $C$9, 100%, $E$9)</f>
        <v>6.5086000000000004</v>
      </c>
      <c r="K91" s="27">
        <f>6.5139 * CHOOSE(CONTROL!$C$32, $C$9, 100%, $E$9)</f>
        <v>6.5138999999999996</v>
      </c>
      <c r="L91" s="27">
        <f>4.0621 * CHOOSE(CONTROL!$C$32, $C$9, 100%, $E$9)</f>
        <v>4.0621</v>
      </c>
      <c r="M91" s="27">
        <f>4.0674 * CHOOSE(CONTROL!$C$32, $C$9, 100%, $E$9)</f>
        <v>4.0674000000000001</v>
      </c>
      <c r="N91" s="27">
        <f>4.0621 * CHOOSE(CONTROL!$C$32, $C$9, 100%, $E$9)</f>
        <v>4.0621</v>
      </c>
      <c r="O91" s="27">
        <f>4.0674 * CHOOSE(CONTROL!$C$32, $C$9, 100%, $E$9)</f>
        <v>4.0674000000000001</v>
      </c>
      <c r="P91" s="10"/>
      <c r="Q91" s="10"/>
      <c r="R91" s="10"/>
    </row>
    <row r="92" spans="1:18" ht="15" x14ac:dyDescent="0.2">
      <c r="A92" s="16">
        <v>43647</v>
      </c>
      <c r="B92" s="26">
        <f>3.243 * CHOOSE(CONTROL!$C$32, $C$9, 100%, $E$9)</f>
        <v>3.2429999999999999</v>
      </c>
      <c r="C92" s="26">
        <f>3.243 * CHOOSE(CONTROL!$C$32, $C$9, 100%, $E$9)</f>
        <v>3.2429999999999999</v>
      </c>
      <c r="D92" s="26">
        <f>3.2446 * CHOOSE(CONTROL!$C$32, $C$9, 100%, $E$9)</f>
        <v>3.2446000000000002</v>
      </c>
      <c r="E92" s="27">
        <f>4.1173 * CHOOSE(CONTROL!$C$32, $C$9, 100%, $E$9)</f>
        <v>4.1173000000000002</v>
      </c>
      <c r="F92" s="27">
        <f>4.1173 * CHOOSE(CONTROL!$C$32, $C$9, 100%, $E$9)</f>
        <v>4.1173000000000002</v>
      </c>
      <c r="G92" s="27">
        <f>4.1226 * CHOOSE(CONTROL!$C$32, $C$9, 100%, $E$9)</f>
        <v>4.1226000000000003</v>
      </c>
      <c r="H92" s="27">
        <f>6.5222 * CHOOSE(CONTROL!$C$32, $C$9, 100%, $E$9)</f>
        <v>6.5221999999999998</v>
      </c>
      <c r="I92" s="27">
        <f>6.5275 * CHOOSE(CONTROL!$C$32, $C$9, 100%, $E$9)</f>
        <v>6.5274999999999999</v>
      </c>
      <c r="J92" s="27">
        <f>6.5222 * CHOOSE(CONTROL!$C$32, $C$9, 100%, $E$9)</f>
        <v>6.5221999999999998</v>
      </c>
      <c r="K92" s="27">
        <f>6.5275 * CHOOSE(CONTROL!$C$32, $C$9, 100%, $E$9)</f>
        <v>6.5274999999999999</v>
      </c>
      <c r="L92" s="27">
        <f>4.1173 * CHOOSE(CONTROL!$C$32, $C$9, 100%, $E$9)</f>
        <v>4.1173000000000002</v>
      </c>
      <c r="M92" s="27">
        <f>4.1226 * CHOOSE(CONTROL!$C$32, $C$9, 100%, $E$9)</f>
        <v>4.1226000000000003</v>
      </c>
      <c r="N92" s="27">
        <f>4.1173 * CHOOSE(CONTROL!$C$32, $C$9, 100%, $E$9)</f>
        <v>4.1173000000000002</v>
      </c>
      <c r="O92" s="27">
        <f>4.1226 * CHOOSE(CONTROL!$C$32, $C$9, 100%, $E$9)</f>
        <v>4.1226000000000003</v>
      </c>
      <c r="P92" s="10"/>
      <c r="Q92" s="10"/>
      <c r="R92" s="10"/>
    </row>
    <row r="93" spans="1:18" ht="15" x14ac:dyDescent="0.2">
      <c r="A93" s="16">
        <v>43678</v>
      </c>
      <c r="B93" s="26">
        <f>3.2497 * CHOOSE(CONTROL!$C$32, $C$9, 100%, $E$9)</f>
        <v>3.2496999999999998</v>
      </c>
      <c r="C93" s="26">
        <f>3.2497 * CHOOSE(CONTROL!$C$32, $C$9, 100%, $E$9)</f>
        <v>3.2496999999999998</v>
      </c>
      <c r="D93" s="26">
        <f>3.2512 * CHOOSE(CONTROL!$C$32, $C$9, 100%, $E$9)</f>
        <v>3.2511999999999999</v>
      </c>
      <c r="E93" s="27">
        <f>4.1217 * CHOOSE(CONTROL!$C$32, $C$9, 100%, $E$9)</f>
        <v>4.1216999999999997</v>
      </c>
      <c r="F93" s="27">
        <f>4.1217 * CHOOSE(CONTROL!$C$32, $C$9, 100%, $E$9)</f>
        <v>4.1216999999999997</v>
      </c>
      <c r="G93" s="27">
        <f>4.127 * CHOOSE(CONTROL!$C$32, $C$9, 100%, $E$9)</f>
        <v>4.1269999999999998</v>
      </c>
      <c r="H93" s="27">
        <f>6.5358 * CHOOSE(CONTROL!$C$32, $C$9, 100%, $E$9)</f>
        <v>6.5358000000000001</v>
      </c>
      <c r="I93" s="27">
        <f>6.5411 * CHOOSE(CONTROL!$C$32, $C$9, 100%, $E$9)</f>
        <v>6.5411000000000001</v>
      </c>
      <c r="J93" s="27">
        <f>6.5358 * CHOOSE(CONTROL!$C$32, $C$9, 100%, $E$9)</f>
        <v>6.5358000000000001</v>
      </c>
      <c r="K93" s="27">
        <f>6.5411 * CHOOSE(CONTROL!$C$32, $C$9, 100%, $E$9)</f>
        <v>6.5411000000000001</v>
      </c>
      <c r="L93" s="27">
        <f>4.1217 * CHOOSE(CONTROL!$C$32, $C$9, 100%, $E$9)</f>
        <v>4.1216999999999997</v>
      </c>
      <c r="M93" s="27">
        <f>4.127 * CHOOSE(CONTROL!$C$32, $C$9, 100%, $E$9)</f>
        <v>4.1269999999999998</v>
      </c>
      <c r="N93" s="27">
        <f>4.1217 * CHOOSE(CONTROL!$C$32, $C$9, 100%, $E$9)</f>
        <v>4.1216999999999997</v>
      </c>
      <c r="O93" s="27">
        <f>4.127 * CHOOSE(CONTROL!$C$32, $C$9, 100%, $E$9)</f>
        <v>4.1269999999999998</v>
      </c>
      <c r="P93" s="10"/>
      <c r="Q93" s="10"/>
      <c r="R93" s="10"/>
    </row>
    <row r="94" spans="1:18" ht="15" x14ac:dyDescent="0.2">
      <c r="A94" s="16">
        <v>43709</v>
      </c>
      <c r="B94" s="26">
        <f>3.2466 * CHOOSE(CONTROL!$C$32, $C$9, 100%, $E$9)</f>
        <v>3.2465999999999999</v>
      </c>
      <c r="C94" s="26">
        <f>3.2466 * CHOOSE(CONTROL!$C$32, $C$9, 100%, $E$9)</f>
        <v>3.2465999999999999</v>
      </c>
      <c r="D94" s="26">
        <f>3.2482 * CHOOSE(CONTROL!$C$32, $C$9, 100%, $E$9)</f>
        <v>3.2482000000000002</v>
      </c>
      <c r="E94" s="27">
        <f>4.1197 * CHOOSE(CONTROL!$C$32, $C$9, 100%, $E$9)</f>
        <v>4.1196999999999999</v>
      </c>
      <c r="F94" s="27">
        <f>4.1197 * CHOOSE(CONTROL!$C$32, $C$9, 100%, $E$9)</f>
        <v>4.1196999999999999</v>
      </c>
      <c r="G94" s="27">
        <f>4.125 * CHOOSE(CONTROL!$C$32, $C$9, 100%, $E$9)</f>
        <v>4.125</v>
      </c>
      <c r="H94" s="27">
        <f>6.5494 * CHOOSE(CONTROL!$C$32, $C$9, 100%, $E$9)</f>
        <v>6.5494000000000003</v>
      </c>
      <c r="I94" s="27">
        <f>6.5547 * CHOOSE(CONTROL!$C$32, $C$9, 100%, $E$9)</f>
        <v>6.5547000000000004</v>
      </c>
      <c r="J94" s="27">
        <f>6.5494 * CHOOSE(CONTROL!$C$32, $C$9, 100%, $E$9)</f>
        <v>6.5494000000000003</v>
      </c>
      <c r="K94" s="27">
        <f>6.5547 * CHOOSE(CONTROL!$C$32, $C$9, 100%, $E$9)</f>
        <v>6.5547000000000004</v>
      </c>
      <c r="L94" s="27">
        <f>4.1197 * CHOOSE(CONTROL!$C$32, $C$9, 100%, $E$9)</f>
        <v>4.1196999999999999</v>
      </c>
      <c r="M94" s="27">
        <f>4.125 * CHOOSE(CONTROL!$C$32, $C$9, 100%, $E$9)</f>
        <v>4.125</v>
      </c>
      <c r="N94" s="27">
        <f>4.1197 * CHOOSE(CONTROL!$C$32, $C$9, 100%, $E$9)</f>
        <v>4.1196999999999999</v>
      </c>
      <c r="O94" s="27">
        <f>4.125 * CHOOSE(CONTROL!$C$32, $C$9, 100%, $E$9)</f>
        <v>4.125</v>
      </c>
      <c r="P94" s="10"/>
      <c r="Q94" s="10"/>
      <c r="R94" s="10"/>
    </row>
    <row r="95" spans="1:18" ht="15" x14ac:dyDescent="0.2">
      <c r="A95" s="16">
        <v>43739</v>
      </c>
      <c r="B95" s="26">
        <f>3.239 * CHOOSE(CONTROL!$C$32, $C$9, 100%, $E$9)</f>
        <v>3.2389999999999999</v>
      </c>
      <c r="C95" s="26">
        <f>3.239 * CHOOSE(CONTROL!$C$32, $C$9, 100%, $E$9)</f>
        <v>3.2389999999999999</v>
      </c>
      <c r="D95" s="26">
        <f>3.24 * CHOOSE(CONTROL!$C$32, $C$9, 100%, $E$9)</f>
        <v>3.24</v>
      </c>
      <c r="E95" s="27">
        <f>4.113 * CHOOSE(CONTROL!$C$32, $C$9, 100%, $E$9)</f>
        <v>4.1130000000000004</v>
      </c>
      <c r="F95" s="27">
        <f>4.113 * CHOOSE(CONTROL!$C$32, $C$9, 100%, $E$9)</f>
        <v>4.1130000000000004</v>
      </c>
      <c r="G95" s="27">
        <f>4.1166 * CHOOSE(CONTROL!$C$32, $C$9, 100%, $E$9)</f>
        <v>4.1166</v>
      </c>
      <c r="H95" s="27">
        <f>6.563 * CHOOSE(CONTROL!$C$32, $C$9, 100%, $E$9)</f>
        <v>6.5629999999999997</v>
      </c>
      <c r="I95" s="27">
        <f>6.5667 * CHOOSE(CONTROL!$C$32, $C$9, 100%, $E$9)</f>
        <v>6.5667</v>
      </c>
      <c r="J95" s="27">
        <f>6.563 * CHOOSE(CONTROL!$C$32, $C$9, 100%, $E$9)</f>
        <v>6.5629999999999997</v>
      </c>
      <c r="K95" s="27">
        <f>6.5667 * CHOOSE(CONTROL!$C$32, $C$9, 100%, $E$9)</f>
        <v>6.5667</v>
      </c>
      <c r="L95" s="27">
        <f>4.113 * CHOOSE(CONTROL!$C$32, $C$9, 100%, $E$9)</f>
        <v>4.1130000000000004</v>
      </c>
      <c r="M95" s="27">
        <f>4.1166 * CHOOSE(CONTROL!$C$32, $C$9, 100%, $E$9)</f>
        <v>4.1166</v>
      </c>
      <c r="N95" s="27">
        <f>4.113 * CHOOSE(CONTROL!$C$32, $C$9, 100%, $E$9)</f>
        <v>4.1130000000000004</v>
      </c>
      <c r="O95" s="27">
        <f>4.1166 * CHOOSE(CONTROL!$C$32, $C$9, 100%, $E$9)</f>
        <v>4.1166</v>
      </c>
      <c r="P95" s="10"/>
      <c r="Q95" s="10"/>
      <c r="R95" s="10"/>
    </row>
    <row r="96" spans="1:18" ht="15" x14ac:dyDescent="0.2">
      <c r="A96" s="16">
        <v>43770</v>
      </c>
      <c r="B96" s="26">
        <f>3.242 * CHOOSE(CONTROL!$C$32, $C$9, 100%, $E$9)</f>
        <v>3.242</v>
      </c>
      <c r="C96" s="26">
        <f>3.242 * CHOOSE(CONTROL!$C$32, $C$9, 100%, $E$9)</f>
        <v>3.242</v>
      </c>
      <c r="D96" s="26">
        <f>3.2431 * CHOOSE(CONTROL!$C$32, $C$9, 100%, $E$9)</f>
        <v>3.2431000000000001</v>
      </c>
      <c r="E96" s="27">
        <f>4.115 * CHOOSE(CONTROL!$C$32, $C$9, 100%, $E$9)</f>
        <v>4.1150000000000002</v>
      </c>
      <c r="F96" s="27">
        <f>4.115 * CHOOSE(CONTROL!$C$32, $C$9, 100%, $E$9)</f>
        <v>4.1150000000000002</v>
      </c>
      <c r="G96" s="27">
        <f>4.1186 * CHOOSE(CONTROL!$C$32, $C$9, 100%, $E$9)</f>
        <v>4.1185999999999998</v>
      </c>
      <c r="H96" s="27">
        <f>6.5767 * CHOOSE(CONTROL!$C$32, $C$9, 100%, $E$9)</f>
        <v>6.5766999999999998</v>
      </c>
      <c r="I96" s="27">
        <f>6.5803 * CHOOSE(CONTROL!$C$32, $C$9, 100%, $E$9)</f>
        <v>6.5803000000000003</v>
      </c>
      <c r="J96" s="27">
        <f>6.5767 * CHOOSE(CONTROL!$C$32, $C$9, 100%, $E$9)</f>
        <v>6.5766999999999998</v>
      </c>
      <c r="K96" s="27">
        <f>6.5803 * CHOOSE(CONTROL!$C$32, $C$9, 100%, $E$9)</f>
        <v>6.5803000000000003</v>
      </c>
      <c r="L96" s="27">
        <f>4.115 * CHOOSE(CONTROL!$C$32, $C$9, 100%, $E$9)</f>
        <v>4.1150000000000002</v>
      </c>
      <c r="M96" s="27">
        <f>4.1186 * CHOOSE(CONTROL!$C$32, $C$9, 100%, $E$9)</f>
        <v>4.1185999999999998</v>
      </c>
      <c r="N96" s="27">
        <f>4.115 * CHOOSE(CONTROL!$C$32, $C$9, 100%, $E$9)</f>
        <v>4.1150000000000002</v>
      </c>
      <c r="O96" s="27">
        <f>4.1186 * CHOOSE(CONTROL!$C$32, $C$9, 100%, $E$9)</f>
        <v>4.1185999999999998</v>
      </c>
      <c r="P96" s="10"/>
      <c r="Q96" s="10"/>
      <c r="R96" s="10"/>
    </row>
    <row r="97" spans="1:18" ht="15" x14ac:dyDescent="0.2">
      <c r="A97" s="16">
        <v>43800</v>
      </c>
      <c r="B97" s="26">
        <f>3.242 * CHOOSE(CONTROL!$C$32, $C$9, 100%, $E$9)</f>
        <v>3.242</v>
      </c>
      <c r="C97" s="26">
        <f>3.242 * CHOOSE(CONTROL!$C$32, $C$9, 100%, $E$9)</f>
        <v>3.242</v>
      </c>
      <c r="D97" s="26">
        <f>3.2431 * CHOOSE(CONTROL!$C$32, $C$9, 100%, $E$9)</f>
        <v>3.2431000000000001</v>
      </c>
      <c r="E97" s="27">
        <f>4.115 * CHOOSE(CONTROL!$C$32, $C$9, 100%, $E$9)</f>
        <v>4.1150000000000002</v>
      </c>
      <c r="F97" s="27">
        <f>4.115 * CHOOSE(CONTROL!$C$32, $C$9, 100%, $E$9)</f>
        <v>4.1150000000000002</v>
      </c>
      <c r="G97" s="27">
        <f>4.1186 * CHOOSE(CONTROL!$C$32, $C$9, 100%, $E$9)</f>
        <v>4.1185999999999998</v>
      </c>
      <c r="H97" s="27">
        <f>6.5904 * CHOOSE(CONTROL!$C$32, $C$9, 100%, $E$9)</f>
        <v>6.5903999999999998</v>
      </c>
      <c r="I97" s="27">
        <f>6.594 * CHOOSE(CONTROL!$C$32, $C$9, 100%, $E$9)</f>
        <v>6.5940000000000003</v>
      </c>
      <c r="J97" s="27">
        <f>6.5904 * CHOOSE(CONTROL!$C$32, $C$9, 100%, $E$9)</f>
        <v>6.5903999999999998</v>
      </c>
      <c r="K97" s="27">
        <f>6.594 * CHOOSE(CONTROL!$C$32, $C$9, 100%, $E$9)</f>
        <v>6.5940000000000003</v>
      </c>
      <c r="L97" s="27">
        <f>4.115 * CHOOSE(CONTROL!$C$32, $C$9, 100%, $E$9)</f>
        <v>4.1150000000000002</v>
      </c>
      <c r="M97" s="27">
        <f>4.1186 * CHOOSE(CONTROL!$C$32, $C$9, 100%, $E$9)</f>
        <v>4.1185999999999998</v>
      </c>
      <c r="N97" s="27">
        <f>4.115 * CHOOSE(CONTROL!$C$32, $C$9, 100%, $E$9)</f>
        <v>4.1150000000000002</v>
      </c>
      <c r="O97" s="27">
        <f>4.1186 * CHOOSE(CONTROL!$C$32, $C$9, 100%, $E$9)</f>
        <v>4.1185999999999998</v>
      </c>
      <c r="P97" s="10"/>
      <c r="Q97" s="10"/>
      <c r="R97" s="10"/>
    </row>
    <row r="98" spans="1:18" ht="15" x14ac:dyDescent="0.2">
      <c r="A98" s="16">
        <v>43831</v>
      </c>
      <c r="B98" s="26">
        <f>3.2675 * CHOOSE(CONTROL!$C$32, $C$9, 100%, $E$9)</f>
        <v>3.2675000000000001</v>
      </c>
      <c r="C98" s="26">
        <f>3.2675 * CHOOSE(CONTROL!$C$32, $C$9, 100%, $E$9)</f>
        <v>3.2675000000000001</v>
      </c>
      <c r="D98" s="26">
        <f>3.2686 * CHOOSE(CONTROL!$C$32, $C$9, 100%, $E$9)</f>
        <v>3.2686000000000002</v>
      </c>
      <c r="E98" s="27">
        <f>4.148 * CHOOSE(CONTROL!$C$32, $C$9, 100%, $E$9)</f>
        <v>4.1479999999999997</v>
      </c>
      <c r="F98" s="27">
        <f>4.148 * CHOOSE(CONTROL!$C$32, $C$9, 100%, $E$9)</f>
        <v>4.1479999999999997</v>
      </c>
      <c r="G98" s="27">
        <f>4.1516 * CHOOSE(CONTROL!$C$32, $C$9, 100%, $E$9)</f>
        <v>4.1516000000000002</v>
      </c>
      <c r="H98" s="27">
        <f>6.6041 * CHOOSE(CONTROL!$C$32, $C$9, 100%, $E$9)</f>
        <v>6.6040999999999999</v>
      </c>
      <c r="I98" s="27">
        <f>6.6078 * CHOOSE(CONTROL!$C$32, $C$9, 100%, $E$9)</f>
        <v>6.6078000000000001</v>
      </c>
      <c r="J98" s="27">
        <f>6.6041 * CHOOSE(CONTROL!$C$32, $C$9, 100%, $E$9)</f>
        <v>6.6040999999999999</v>
      </c>
      <c r="K98" s="27">
        <f>6.6078 * CHOOSE(CONTROL!$C$32, $C$9, 100%, $E$9)</f>
        <v>6.6078000000000001</v>
      </c>
      <c r="L98" s="27">
        <f>4.148 * CHOOSE(CONTROL!$C$32, $C$9, 100%, $E$9)</f>
        <v>4.1479999999999997</v>
      </c>
      <c r="M98" s="27">
        <f>4.1516 * CHOOSE(CONTROL!$C$32, $C$9, 100%, $E$9)</f>
        <v>4.1516000000000002</v>
      </c>
      <c r="N98" s="27">
        <f>4.148 * CHOOSE(CONTROL!$C$32, $C$9, 100%, $E$9)</f>
        <v>4.1479999999999997</v>
      </c>
      <c r="O98" s="27">
        <f>4.1516 * CHOOSE(CONTROL!$C$32, $C$9, 100%, $E$9)</f>
        <v>4.1516000000000002</v>
      </c>
      <c r="P98" s="10"/>
      <c r="Q98" s="10"/>
      <c r="R98" s="10"/>
    </row>
    <row r="99" spans="1:18" ht="15" x14ac:dyDescent="0.2">
      <c r="A99" s="16">
        <v>43862</v>
      </c>
      <c r="B99" s="26">
        <f>3.2644 * CHOOSE(CONTROL!$C$32, $C$9, 100%, $E$9)</f>
        <v>3.2644000000000002</v>
      </c>
      <c r="C99" s="26">
        <f>3.2644 * CHOOSE(CONTROL!$C$32, $C$9, 100%, $E$9)</f>
        <v>3.2644000000000002</v>
      </c>
      <c r="D99" s="26">
        <f>3.2655 * CHOOSE(CONTROL!$C$32, $C$9, 100%, $E$9)</f>
        <v>3.2654999999999998</v>
      </c>
      <c r="E99" s="27">
        <f>4.146 * CHOOSE(CONTROL!$C$32, $C$9, 100%, $E$9)</f>
        <v>4.1459999999999999</v>
      </c>
      <c r="F99" s="27">
        <f>4.146 * CHOOSE(CONTROL!$C$32, $C$9, 100%, $E$9)</f>
        <v>4.1459999999999999</v>
      </c>
      <c r="G99" s="27">
        <f>4.1496 * CHOOSE(CONTROL!$C$32, $C$9, 100%, $E$9)</f>
        <v>4.1496000000000004</v>
      </c>
      <c r="H99" s="27">
        <f>6.6179 * CHOOSE(CONTROL!$C$32, $C$9, 100%, $E$9)</f>
        <v>6.6178999999999997</v>
      </c>
      <c r="I99" s="27">
        <f>6.6215 * CHOOSE(CONTROL!$C$32, $C$9, 100%, $E$9)</f>
        <v>6.6215000000000002</v>
      </c>
      <c r="J99" s="27">
        <f>6.6179 * CHOOSE(CONTROL!$C$32, $C$9, 100%, $E$9)</f>
        <v>6.6178999999999997</v>
      </c>
      <c r="K99" s="27">
        <f>6.6215 * CHOOSE(CONTROL!$C$32, $C$9, 100%, $E$9)</f>
        <v>6.6215000000000002</v>
      </c>
      <c r="L99" s="27">
        <f>4.146 * CHOOSE(CONTROL!$C$32, $C$9, 100%, $E$9)</f>
        <v>4.1459999999999999</v>
      </c>
      <c r="M99" s="27">
        <f>4.1496 * CHOOSE(CONTROL!$C$32, $C$9, 100%, $E$9)</f>
        <v>4.1496000000000004</v>
      </c>
      <c r="N99" s="27">
        <f>4.146 * CHOOSE(CONTROL!$C$32, $C$9, 100%, $E$9)</f>
        <v>4.1459999999999999</v>
      </c>
      <c r="O99" s="27">
        <f>4.1496 * CHOOSE(CONTROL!$C$32, $C$9, 100%, $E$9)</f>
        <v>4.1496000000000004</v>
      </c>
      <c r="P99" s="10"/>
      <c r="Q99" s="10"/>
      <c r="R99" s="10"/>
    </row>
    <row r="100" spans="1:18" ht="15" x14ac:dyDescent="0.2">
      <c r="A100" s="16">
        <v>43891</v>
      </c>
      <c r="B100" s="26">
        <f>3.2614 * CHOOSE(CONTROL!$C$32, $C$9, 100%, $E$9)</f>
        <v>3.2614000000000001</v>
      </c>
      <c r="C100" s="26">
        <f>3.2614 * CHOOSE(CONTROL!$C$32, $C$9, 100%, $E$9)</f>
        <v>3.2614000000000001</v>
      </c>
      <c r="D100" s="26">
        <f>3.2625 * CHOOSE(CONTROL!$C$32, $C$9, 100%, $E$9)</f>
        <v>3.2625000000000002</v>
      </c>
      <c r="E100" s="27">
        <f>4.144 * CHOOSE(CONTROL!$C$32, $C$9, 100%, $E$9)</f>
        <v>4.1440000000000001</v>
      </c>
      <c r="F100" s="27">
        <f>4.144 * CHOOSE(CONTROL!$C$32, $C$9, 100%, $E$9)</f>
        <v>4.1440000000000001</v>
      </c>
      <c r="G100" s="27">
        <f>4.1476 * CHOOSE(CONTROL!$C$32, $C$9, 100%, $E$9)</f>
        <v>4.1475999999999997</v>
      </c>
      <c r="H100" s="27">
        <f>6.6317 * CHOOSE(CONTROL!$C$32, $C$9, 100%, $E$9)</f>
        <v>6.6317000000000004</v>
      </c>
      <c r="I100" s="27">
        <f>6.6353 * CHOOSE(CONTROL!$C$32, $C$9, 100%, $E$9)</f>
        <v>6.6353</v>
      </c>
      <c r="J100" s="27">
        <f>6.6317 * CHOOSE(CONTROL!$C$32, $C$9, 100%, $E$9)</f>
        <v>6.6317000000000004</v>
      </c>
      <c r="K100" s="27">
        <f>6.6353 * CHOOSE(CONTROL!$C$32, $C$9, 100%, $E$9)</f>
        <v>6.6353</v>
      </c>
      <c r="L100" s="27">
        <f>4.144 * CHOOSE(CONTROL!$C$32, $C$9, 100%, $E$9)</f>
        <v>4.1440000000000001</v>
      </c>
      <c r="M100" s="27">
        <f>4.1476 * CHOOSE(CONTROL!$C$32, $C$9, 100%, $E$9)</f>
        <v>4.1475999999999997</v>
      </c>
      <c r="N100" s="27">
        <f>4.144 * CHOOSE(CONTROL!$C$32, $C$9, 100%, $E$9)</f>
        <v>4.1440000000000001</v>
      </c>
      <c r="O100" s="27">
        <f>4.1476 * CHOOSE(CONTROL!$C$32, $C$9, 100%, $E$9)</f>
        <v>4.1475999999999997</v>
      </c>
      <c r="P100" s="10"/>
      <c r="Q100" s="10"/>
      <c r="R100" s="10"/>
    </row>
    <row r="101" spans="1:18" ht="15" x14ac:dyDescent="0.2">
      <c r="A101" s="16">
        <v>43922</v>
      </c>
      <c r="B101" s="26">
        <f>3.2584 * CHOOSE(CONTROL!$C$32, $C$9, 100%, $E$9)</f>
        <v>3.2584</v>
      </c>
      <c r="C101" s="26">
        <f>3.2584 * CHOOSE(CONTROL!$C$32, $C$9, 100%, $E$9)</f>
        <v>3.2584</v>
      </c>
      <c r="D101" s="26">
        <f>3.2594 * CHOOSE(CONTROL!$C$32, $C$9, 100%, $E$9)</f>
        <v>3.2593999999999999</v>
      </c>
      <c r="E101" s="27">
        <f>4.1415 * CHOOSE(CONTROL!$C$32, $C$9, 100%, $E$9)</f>
        <v>4.1414999999999997</v>
      </c>
      <c r="F101" s="27">
        <f>4.1415 * CHOOSE(CONTROL!$C$32, $C$9, 100%, $E$9)</f>
        <v>4.1414999999999997</v>
      </c>
      <c r="G101" s="27">
        <f>4.1451 * CHOOSE(CONTROL!$C$32, $C$9, 100%, $E$9)</f>
        <v>4.1451000000000002</v>
      </c>
      <c r="H101" s="27">
        <f>6.6455 * CHOOSE(CONTROL!$C$32, $C$9, 100%, $E$9)</f>
        <v>6.6455000000000002</v>
      </c>
      <c r="I101" s="27">
        <f>6.6491 * CHOOSE(CONTROL!$C$32, $C$9, 100%, $E$9)</f>
        <v>6.6490999999999998</v>
      </c>
      <c r="J101" s="27">
        <f>6.6455 * CHOOSE(CONTROL!$C$32, $C$9, 100%, $E$9)</f>
        <v>6.6455000000000002</v>
      </c>
      <c r="K101" s="27">
        <f>6.6491 * CHOOSE(CONTROL!$C$32, $C$9, 100%, $E$9)</f>
        <v>6.6490999999999998</v>
      </c>
      <c r="L101" s="27">
        <f>4.1415 * CHOOSE(CONTROL!$C$32, $C$9, 100%, $E$9)</f>
        <v>4.1414999999999997</v>
      </c>
      <c r="M101" s="27">
        <f>4.1451 * CHOOSE(CONTROL!$C$32, $C$9, 100%, $E$9)</f>
        <v>4.1451000000000002</v>
      </c>
      <c r="N101" s="27">
        <f>4.1415 * CHOOSE(CONTROL!$C$32, $C$9, 100%, $E$9)</f>
        <v>4.1414999999999997</v>
      </c>
      <c r="O101" s="27">
        <f>4.1451 * CHOOSE(CONTROL!$C$32, $C$9, 100%, $E$9)</f>
        <v>4.1451000000000002</v>
      </c>
      <c r="P101" s="10"/>
      <c r="Q101" s="10"/>
      <c r="R101" s="10"/>
    </row>
    <row r="102" spans="1:18" ht="15" x14ac:dyDescent="0.2">
      <c r="A102" s="16">
        <v>43952</v>
      </c>
      <c r="B102" s="26">
        <f>3.2584 * CHOOSE(CONTROL!$C$32, $C$9, 100%, $E$9)</f>
        <v>3.2584</v>
      </c>
      <c r="C102" s="26">
        <f>3.2584 * CHOOSE(CONTROL!$C$32, $C$9, 100%, $E$9)</f>
        <v>3.2584</v>
      </c>
      <c r="D102" s="26">
        <f>3.2599 * CHOOSE(CONTROL!$C$32, $C$9, 100%, $E$9)</f>
        <v>3.2599</v>
      </c>
      <c r="E102" s="27">
        <f>4.1415 * CHOOSE(CONTROL!$C$32, $C$9, 100%, $E$9)</f>
        <v>4.1414999999999997</v>
      </c>
      <c r="F102" s="27">
        <f>4.1415 * CHOOSE(CONTROL!$C$32, $C$9, 100%, $E$9)</f>
        <v>4.1414999999999997</v>
      </c>
      <c r="G102" s="27">
        <f>4.1468 * CHOOSE(CONTROL!$C$32, $C$9, 100%, $E$9)</f>
        <v>4.1467999999999998</v>
      </c>
      <c r="H102" s="27">
        <f>6.6594 * CHOOSE(CONTROL!$C$32, $C$9, 100%, $E$9)</f>
        <v>6.6593999999999998</v>
      </c>
      <c r="I102" s="27">
        <f>6.6646 * CHOOSE(CONTROL!$C$32, $C$9, 100%, $E$9)</f>
        <v>6.6646000000000001</v>
      </c>
      <c r="J102" s="27">
        <f>6.6594 * CHOOSE(CONTROL!$C$32, $C$9, 100%, $E$9)</f>
        <v>6.6593999999999998</v>
      </c>
      <c r="K102" s="27">
        <f>6.6646 * CHOOSE(CONTROL!$C$32, $C$9, 100%, $E$9)</f>
        <v>6.6646000000000001</v>
      </c>
      <c r="L102" s="27">
        <f>4.1415 * CHOOSE(CONTROL!$C$32, $C$9, 100%, $E$9)</f>
        <v>4.1414999999999997</v>
      </c>
      <c r="M102" s="27">
        <f>4.1468 * CHOOSE(CONTROL!$C$32, $C$9, 100%, $E$9)</f>
        <v>4.1467999999999998</v>
      </c>
      <c r="N102" s="27">
        <f>4.1415 * CHOOSE(CONTROL!$C$32, $C$9, 100%, $E$9)</f>
        <v>4.1414999999999997</v>
      </c>
      <c r="O102" s="27">
        <f>4.1468 * CHOOSE(CONTROL!$C$32, $C$9, 100%, $E$9)</f>
        <v>4.1467999999999998</v>
      </c>
      <c r="P102" s="10"/>
      <c r="Q102" s="10"/>
      <c r="R102" s="10"/>
    </row>
    <row r="103" spans="1:18" ht="15" x14ac:dyDescent="0.2">
      <c r="A103" s="16">
        <v>43983</v>
      </c>
      <c r="B103" s="26">
        <f>3.2644 * CHOOSE(CONTROL!$C$32, $C$9, 100%, $E$9)</f>
        <v>3.2644000000000002</v>
      </c>
      <c r="C103" s="26">
        <f>3.2644 * CHOOSE(CONTROL!$C$32, $C$9, 100%, $E$9)</f>
        <v>3.2644000000000002</v>
      </c>
      <c r="D103" s="26">
        <f>3.266 * CHOOSE(CONTROL!$C$32, $C$9, 100%, $E$9)</f>
        <v>3.266</v>
      </c>
      <c r="E103" s="27">
        <f>4.1455 * CHOOSE(CONTROL!$C$32, $C$9, 100%, $E$9)</f>
        <v>4.1455000000000002</v>
      </c>
      <c r="F103" s="27">
        <f>4.1455 * CHOOSE(CONTROL!$C$32, $C$9, 100%, $E$9)</f>
        <v>4.1455000000000002</v>
      </c>
      <c r="G103" s="27">
        <f>4.1508 * CHOOSE(CONTROL!$C$32, $C$9, 100%, $E$9)</f>
        <v>4.1508000000000003</v>
      </c>
      <c r="H103" s="27">
        <f>6.6732 * CHOOSE(CONTROL!$C$32, $C$9, 100%, $E$9)</f>
        <v>6.6731999999999996</v>
      </c>
      <c r="I103" s="27">
        <f>6.6785 * CHOOSE(CONTROL!$C$32, $C$9, 100%, $E$9)</f>
        <v>6.6784999999999997</v>
      </c>
      <c r="J103" s="27">
        <f>6.6732 * CHOOSE(CONTROL!$C$32, $C$9, 100%, $E$9)</f>
        <v>6.6731999999999996</v>
      </c>
      <c r="K103" s="27">
        <f>6.6785 * CHOOSE(CONTROL!$C$32, $C$9, 100%, $E$9)</f>
        <v>6.6784999999999997</v>
      </c>
      <c r="L103" s="27">
        <f>4.1455 * CHOOSE(CONTROL!$C$32, $C$9, 100%, $E$9)</f>
        <v>4.1455000000000002</v>
      </c>
      <c r="M103" s="27">
        <f>4.1508 * CHOOSE(CONTROL!$C$32, $C$9, 100%, $E$9)</f>
        <v>4.1508000000000003</v>
      </c>
      <c r="N103" s="27">
        <f>4.1455 * CHOOSE(CONTROL!$C$32, $C$9, 100%, $E$9)</f>
        <v>4.1455000000000002</v>
      </c>
      <c r="O103" s="27">
        <f>4.1508 * CHOOSE(CONTROL!$C$32, $C$9, 100%, $E$9)</f>
        <v>4.1508000000000003</v>
      </c>
      <c r="P103" s="10"/>
      <c r="Q103" s="10"/>
      <c r="R103" s="10"/>
    </row>
    <row r="104" spans="1:18" ht="15" x14ac:dyDescent="0.2">
      <c r="A104" s="16">
        <v>44013</v>
      </c>
      <c r="B104" s="26">
        <f>3.3098 * CHOOSE(CONTROL!$C$32, $C$9, 100%, $E$9)</f>
        <v>3.3098000000000001</v>
      </c>
      <c r="C104" s="26">
        <f>3.3098 * CHOOSE(CONTROL!$C$32, $C$9, 100%, $E$9)</f>
        <v>3.3098000000000001</v>
      </c>
      <c r="D104" s="26">
        <f>3.3114 * CHOOSE(CONTROL!$C$32, $C$9, 100%, $E$9)</f>
        <v>3.3113999999999999</v>
      </c>
      <c r="E104" s="27">
        <f>4.2176 * CHOOSE(CONTROL!$C$32, $C$9, 100%, $E$9)</f>
        <v>4.2176</v>
      </c>
      <c r="F104" s="27">
        <f>4.2176 * CHOOSE(CONTROL!$C$32, $C$9, 100%, $E$9)</f>
        <v>4.2176</v>
      </c>
      <c r="G104" s="27">
        <f>4.2229 * CHOOSE(CONTROL!$C$32, $C$9, 100%, $E$9)</f>
        <v>4.2229000000000001</v>
      </c>
      <c r="H104" s="27">
        <f>6.6871 * CHOOSE(CONTROL!$C$32, $C$9, 100%, $E$9)</f>
        <v>6.6871</v>
      </c>
      <c r="I104" s="27">
        <f>6.6924 * CHOOSE(CONTROL!$C$32, $C$9, 100%, $E$9)</f>
        <v>6.6924000000000001</v>
      </c>
      <c r="J104" s="27">
        <f>6.6871 * CHOOSE(CONTROL!$C$32, $C$9, 100%, $E$9)</f>
        <v>6.6871</v>
      </c>
      <c r="K104" s="27">
        <f>6.6924 * CHOOSE(CONTROL!$C$32, $C$9, 100%, $E$9)</f>
        <v>6.6924000000000001</v>
      </c>
      <c r="L104" s="27">
        <f>4.2176 * CHOOSE(CONTROL!$C$32, $C$9, 100%, $E$9)</f>
        <v>4.2176</v>
      </c>
      <c r="M104" s="27">
        <f>4.2229 * CHOOSE(CONTROL!$C$32, $C$9, 100%, $E$9)</f>
        <v>4.2229000000000001</v>
      </c>
      <c r="N104" s="27">
        <f>4.2176 * CHOOSE(CONTROL!$C$32, $C$9, 100%, $E$9)</f>
        <v>4.2176</v>
      </c>
      <c r="O104" s="27">
        <f>4.2229 * CHOOSE(CONTROL!$C$32, $C$9, 100%, $E$9)</f>
        <v>4.2229000000000001</v>
      </c>
      <c r="P104" s="10"/>
      <c r="Q104" s="10"/>
      <c r="R104" s="10"/>
    </row>
    <row r="105" spans="1:18" ht="15" x14ac:dyDescent="0.2">
      <c r="A105" s="16">
        <v>44044</v>
      </c>
      <c r="B105" s="26">
        <f>3.3165 * CHOOSE(CONTROL!$C$32, $C$9, 100%, $E$9)</f>
        <v>3.3165</v>
      </c>
      <c r="C105" s="26">
        <f>3.3165 * CHOOSE(CONTROL!$C$32, $C$9, 100%, $E$9)</f>
        <v>3.3165</v>
      </c>
      <c r="D105" s="26">
        <f>3.3181 * CHOOSE(CONTROL!$C$32, $C$9, 100%, $E$9)</f>
        <v>3.3180999999999998</v>
      </c>
      <c r="E105" s="27">
        <f>4.222 * CHOOSE(CONTROL!$C$32, $C$9, 100%, $E$9)</f>
        <v>4.2220000000000004</v>
      </c>
      <c r="F105" s="27">
        <f>4.222 * CHOOSE(CONTROL!$C$32, $C$9, 100%, $E$9)</f>
        <v>4.2220000000000004</v>
      </c>
      <c r="G105" s="27">
        <f>4.2273 * CHOOSE(CONTROL!$C$32, $C$9, 100%, $E$9)</f>
        <v>4.2272999999999996</v>
      </c>
      <c r="H105" s="27">
        <f>6.7011 * CHOOSE(CONTROL!$C$32, $C$9, 100%, $E$9)</f>
        <v>6.7011000000000003</v>
      </c>
      <c r="I105" s="27">
        <f>6.7064 * CHOOSE(CONTROL!$C$32, $C$9, 100%, $E$9)</f>
        <v>6.7064000000000004</v>
      </c>
      <c r="J105" s="27">
        <f>6.7011 * CHOOSE(CONTROL!$C$32, $C$9, 100%, $E$9)</f>
        <v>6.7011000000000003</v>
      </c>
      <c r="K105" s="27">
        <f>6.7064 * CHOOSE(CONTROL!$C$32, $C$9, 100%, $E$9)</f>
        <v>6.7064000000000004</v>
      </c>
      <c r="L105" s="27">
        <f>4.222 * CHOOSE(CONTROL!$C$32, $C$9, 100%, $E$9)</f>
        <v>4.2220000000000004</v>
      </c>
      <c r="M105" s="27">
        <f>4.2273 * CHOOSE(CONTROL!$C$32, $C$9, 100%, $E$9)</f>
        <v>4.2272999999999996</v>
      </c>
      <c r="N105" s="27">
        <f>4.222 * CHOOSE(CONTROL!$C$32, $C$9, 100%, $E$9)</f>
        <v>4.2220000000000004</v>
      </c>
      <c r="O105" s="27">
        <f>4.2273 * CHOOSE(CONTROL!$C$32, $C$9, 100%, $E$9)</f>
        <v>4.2272999999999996</v>
      </c>
      <c r="P105" s="10"/>
      <c r="Q105" s="10"/>
      <c r="R105" s="10"/>
    </row>
    <row r="106" spans="1:18" ht="15" x14ac:dyDescent="0.2">
      <c r="A106" s="16">
        <v>44075</v>
      </c>
      <c r="B106" s="26">
        <f>3.3135 * CHOOSE(CONTROL!$C$32, $C$9, 100%, $E$9)</f>
        <v>3.3134999999999999</v>
      </c>
      <c r="C106" s="26">
        <f>3.3135 * CHOOSE(CONTROL!$C$32, $C$9, 100%, $E$9)</f>
        <v>3.3134999999999999</v>
      </c>
      <c r="D106" s="26">
        <f>3.3151 * CHOOSE(CONTROL!$C$32, $C$9, 100%, $E$9)</f>
        <v>3.3151000000000002</v>
      </c>
      <c r="E106" s="27">
        <f>4.22 * CHOOSE(CONTROL!$C$32, $C$9, 100%, $E$9)</f>
        <v>4.22</v>
      </c>
      <c r="F106" s="27">
        <f>4.22 * CHOOSE(CONTROL!$C$32, $C$9, 100%, $E$9)</f>
        <v>4.22</v>
      </c>
      <c r="G106" s="27">
        <f>4.2253 * CHOOSE(CONTROL!$C$32, $C$9, 100%, $E$9)</f>
        <v>4.2252999999999998</v>
      </c>
      <c r="H106" s="27">
        <f>6.715 * CHOOSE(CONTROL!$C$32, $C$9, 100%, $E$9)</f>
        <v>6.7149999999999999</v>
      </c>
      <c r="I106" s="27">
        <f>6.7203 * CHOOSE(CONTROL!$C$32, $C$9, 100%, $E$9)</f>
        <v>6.7202999999999999</v>
      </c>
      <c r="J106" s="27">
        <f>6.715 * CHOOSE(CONTROL!$C$32, $C$9, 100%, $E$9)</f>
        <v>6.7149999999999999</v>
      </c>
      <c r="K106" s="27">
        <f>6.7203 * CHOOSE(CONTROL!$C$32, $C$9, 100%, $E$9)</f>
        <v>6.7202999999999999</v>
      </c>
      <c r="L106" s="27">
        <f>4.22 * CHOOSE(CONTROL!$C$32, $C$9, 100%, $E$9)</f>
        <v>4.22</v>
      </c>
      <c r="M106" s="27">
        <f>4.2253 * CHOOSE(CONTROL!$C$32, $C$9, 100%, $E$9)</f>
        <v>4.2252999999999998</v>
      </c>
      <c r="N106" s="27">
        <f>4.22 * CHOOSE(CONTROL!$C$32, $C$9, 100%, $E$9)</f>
        <v>4.22</v>
      </c>
      <c r="O106" s="27">
        <f>4.2253 * CHOOSE(CONTROL!$C$32, $C$9, 100%, $E$9)</f>
        <v>4.2252999999999998</v>
      </c>
      <c r="P106" s="10"/>
      <c r="Q106" s="10"/>
      <c r="R106" s="10"/>
    </row>
    <row r="107" spans="1:18" ht="15" x14ac:dyDescent="0.2">
      <c r="A107" s="16">
        <v>44105</v>
      </c>
      <c r="B107" s="26">
        <f>3.3061 * CHOOSE(CONTROL!$C$32, $C$9, 100%, $E$9)</f>
        <v>3.3060999999999998</v>
      </c>
      <c r="C107" s="26">
        <f>3.3061 * CHOOSE(CONTROL!$C$32, $C$9, 100%, $E$9)</f>
        <v>3.3060999999999998</v>
      </c>
      <c r="D107" s="26">
        <f>3.3072 * CHOOSE(CONTROL!$C$32, $C$9, 100%, $E$9)</f>
        <v>3.3071999999999999</v>
      </c>
      <c r="E107" s="27">
        <f>4.2135 * CHOOSE(CONTROL!$C$32, $C$9, 100%, $E$9)</f>
        <v>4.2134999999999998</v>
      </c>
      <c r="F107" s="27">
        <f>4.2135 * CHOOSE(CONTROL!$C$32, $C$9, 100%, $E$9)</f>
        <v>4.2134999999999998</v>
      </c>
      <c r="G107" s="27">
        <f>4.2171 * CHOOSE(CONTROL!$C$32, $C$9, 100%, $E$9)</f>
        <v>4.2171000000000003</v>
      </c>
      <c r="H107" s="27">
        <f>6.729 * CHOOSE(CONTROL!$C$32, $C$9, 100%, $E$9)</f>
        <v>6.7290000000000001</v>
      </c>
      <c r="I107" s="27">
        <f>6.7326 * CHOOSE(CONTROL!$C$32, $C$9, 100%, $E$9)</f>
        <v>6.7325999999999997</v>
      </c>
      <c r="J107" s="27">
        <f>6.729 * CHOOSE(CONTROL!$C$32, $C$9, 100%, $E$9)</f>
        <v>6.7290000000000001</v>
      </c>
      <c r="K107" s="27">
        <f>6.7326 * CHOOSE(CONTROL!$C$32, $C$9, 100%, $E$9)</f>
        <v>6.7325999999999997</v>
      </c>
      <c r="L107" s="27">
        <f>4.2135 * CHOOSE(CONTROL!$C$32, $C$9, 100%, $E$9)</f>
        <v>4.2134999999999998</v>
      </c>
      <c r="M107" s="27">
        <f>4.2171 * CHOOSE(CONTROL!$C$32, $C$9, 100%, $E$9)</f>
        <v>4.2171000000000003</v>
      </c>
      <c r="N107" s="27">
        <f>4.2135 * CHOOSE(CONTROL!$C$32, $C$9, 100%, $E$9)</f>
        <v>4.2134999999999998</v>
      </c>
      <c r="O107" s="27">
        <f>4.2171 * CHOOSE(CONTROL!$C$32, $C$9, 100%, $E$9)</f>
        <v>4.2171000000000003</v>
      </c>
      <c r="P107" s="10"/>
      <c r="Q107" s="10"/>
      <c r="R107" s="10"/>
    </row>
    <row r="108" spans="1:18" ht="15" x14ac:dyDescent="0.2">
      <c r="A108" s="16">
        <v>44136</v>
      </c>
      <c r="B108" s="26">
        <f>3.3092 * CHOOSE(CONTROL!$C$32, $C$9, 100%, $E$9)</f>
        <v>3.3092000000000001</v>
      </c>
      <c r="C108" s="26">
        <f>3.3092 * CHOOSE(CONTROL!$C$32, $C$9, 100%, $E$9)</f>
        <v>3.3092000000000001</v>
      </c>
      <c r="D108" s="26">
        <f>3.3103 * CHOOSE(CONTROL!$C$32, $C$9, 100%, $E$9)</f>
        <v>3.3102999999999998</v>
      </c>
      <c r="E108" s="27">
        <f>4.2155 * CHOOSE(CONTROL!$C$32, $C$9, 100%, $E$9)</f>
        <v>4.2154999999999996</v>
      </c>
      <c r="F108" s="27">
        <f>4.2155 * CHOOSE(CONTROL!$C$32, $C$9, 100%, $E$9)</f>
        <v>4.2154999999999996</v>
      </c>
      <c r="G108" s="27">
        <f>4.2191 * CHOOSE(CONTROL!$C$32, $C$9, 100%, $E$9)</f>
        <v>4.2191000000000001</v>
      </c>
      <c r="H108" s="27">
        <f>6.743 * CHOOSE(CONTROL!$C$32, $C$9, 100%, $E$9)</f>
        <v>6.7430000000000003</v>
      </c>
      <c r="I108" s="27">
        <f>6.7466 * CHOOSE(CONTROL!$C$32, $C$9, 100%, $E$9)</f>
        <v>6.7465999999999999</v>
      </c>
      <c r="J108" s="27">
        <f>6.743 * CHOOSE(CONTROL!$C$32, $C$9, 100%, $E$9)</f>
        <v>6.7430000000000003</v>
      </c>
      <c r="K108" s="27">
        <f>6.7466 * CHOOSE(CONTROL!$C$32, $C$9, 100%, $E$9)</f>
        <v>6.7465999999999999</v>
      </c>
      <c r="L108" s="27">
        <f>4.2155 * CHOOSE(CONTROL!$C$32, $C$9, 100%, $E$9)</f>
        <v>4.2154999999999996</v>
      </c>
      <c r="M108" s="27">
        <f>4.2191 * CHOOSE(CONTROL!$C$32, $C$9, 100%, $E$9)</f>
        <v>4.2191000000000001</v>
      </c>
      <c r="N108" s="27">
        <f>4.2155 * CHOOSE(CONTROL!$C$32, $C$9, 100%, $E$9)</f>
        <v>4.2154999999999996</v>
      </c>
      <c r="O108" s="27">
        <f>4.2191 * CHOOSE(CONTROL!$C$32, $C$9, 100%, $E$9)</f>
        <v>4.2191000000000001</v>
      </c>
      <c r="P108" s="10"/>
      <c r="Q108" s="10"/>
      <c r="R108" s="10"/>
    </row>
    <row r="109" spans="1:18" ht="15" x14ac:dyDescent="0.2">
      <c r="A109" s="16">
        <v>44166</v>
      </c>
      <c r="B109" s="26">
        <f>3.3092 * CHOOSE(CONTROL!$C$32, $C$9, 100%, $E$9)</f>
        <v>3.3092000000000001</v>
      </c>
      <c r="C109" s="26">
        <f>3.3092 * CHOOSE(CONTROL!$C$32, $C$9, 100%, $E$9)</f>
        <v>3.3092000000000001</v>
      </c>
      <c r="D109" s="26">
        <f>3.3103 * CHOOSE(CONTROL!$C$32, $C$9, 100%, $E$9)</f>
        <v>3.3102999999999998</v>
      </c>
      <c r="E109" s="27">
        <f>4.2155 * CHOOSE(CONTROL!$C$32, $C$9, 100%, $E$9)</f>
        <v>4.2154999999999996</v>
      </c>
      <c r="F109" s="27">
        <f>4.2155 * CHOOSE(CONTROL!$C$32, $C$9, 100%, $E$9)</f>
        <v>4.2154999999999996</v>
      </c>
      <c r="G109" s="27">
        <f>4.2191 * CHOOSE(CONTROL!$C$32, $C$9, 100%, $E$9)</f>
        <v>4.2191000000000001</v>
      </c>
      <c r="H109" s="27">
        <f>6.7571 * CHOOSE(CONTROL!$C$32, $C$9, 100%, $E$9)</f>
        <v>6.7571000000000003</v>
      </c>
      <c r="I109" s="27">
        <f>6.7607 * CHOOSE(CONTROL!$C$32, $C$9, 100%, $E$9)</f>
        <v>6.7606999999999999</v>
      </c>
      <c r="J109" s="27">
        <f>6.7571 * CHOOSE(CONTROL!$C$32, $C$9, 100%, $E$9)</f>
        <v>6.7571000000000003</v>
      </c>
      <c r="K109" s="27">
        <f>6.7607 * CHOOSE(CONTROL!$C$32, $C$9, 100%, $E$9)</f>
        <v>6.7606999999999999</v>
      </c>
      <c r="L109" s="27">
        <f>4.2155 * CHOOSE(CONTROL!$C$32, $C$9, 100%, $E$9)</f>
        <v>4.2154999999999996</v>
      </c>
      <c r="M109" s="27">
        <f>4.2191 * CHOOSE(CONTROL!$C$32, $C$9, 100%, $E$9)</f>
        <v>4.2191000000000001</v>
      </c>
      <c r="N109" s="27">
        <f>4.2155 * CHOOSE(CONTROL!$C$32, $C$9, 100%, $E$9)</f>
        <v>4.2154999999999996</v>
      </c>
      <c r="O109" s="27">
        <f>4.2191 * CHOOSE(CONTROL!$C$32, $C$9, 100%, $E$9)</f>
        <v>4.2191000000000001</v>
      </c>
      <c r="P109" s="10"/>
      <c r="Q109" s="10"/>
      <c r="R109" s="10"/>
    </row>
    <row r="110" spans="1:18" ht="15" x14ac:dyDescent="0.2">
      <c r="A110" s="16">
        <v>44197</v>
      </c>
      <c r="B110" s="26">
        <f>3.3407 * CHOOSE(CONTROL!$C$32, $C$9, 100%, $E$9)</f>
        <v>3.3407</v>
      </c>
      <c r="C110" s="26">
        <f>3.3407 * CHOOSE(CONTROL!$C$32, $C$9, 100%, $E$9)</f>
        <v>3.3407</v>
      </c>
      <c r="D110" s="26">
        <f>3.3417 * CHOOSE(CONTROL!$C$32, $C$9, 100%, $E$9)</f>
        <v>3.3416999999999999</v>
      </c>
      <c r="E110" s="27">
        <f>4.2457 * CHOOSE(CONTROL!$C$32, $C$9, 100%, $E$9)</f>
        <v>4.2457000000000003</v>
      </c>
      <c r="F110" s="27">
        <f>4.2457 * CHOOSE(CONTROL!$C$32, $C$9, 100%, $E$9)</f>
        <v>4.2457000000000003</v>
      </c>
      <c r="G110" s="27">
        <f>4.2494 * CHOOSE(CONTROL!$C$32, $C$9, 100%, $E$9)</f>
        <v>4.2493999999999996</v>
      </c>
      <c r="H110" s="27">
        <f>6.7712 * CHOOSE(CONTROL!$C$32, $C$9, 100%, $E$9)</f>
        <v>6.7712000000000003</v>
      </c>
      <c r="I110" s="27">
        <f>6.7748 * CHOOSE(CONTROL!$C$32, $C$9, 100%, $E$9)</f>
        <v>6.7747999999999999</v>
      </c>
      <c r="J110" s="27">
        <f>6.7712 * CHOOSE(CONTROL!$C$32, $C$9, 100%, $E$9)</f>
        <v>6.7712000000000003</v>
      </c>
      <c r="K110" s="27">
        <f>6.7748 * CHOOSE(CONTROL!$C$32, $C$9, 100%, $E$9)</f>
        <v>6.7747999999999999</v>
      </c>
      <c r="L110" s="27">
        <f>4.2457 * CHOOSE(CONTROL!$C$32, $C$9, 100%, $E$9)</f>
        <v>4.2457000000000003</v>
      </c>
      <c r="M110" s="27">
        <f>4.2494 * CHOOSE(CONTROL!$C$32, $C$9, 100%, $E$9)</f>
        <v>4.2493999999999996</v>
      </c>
      <c r="N110" s="27">
        <f>4.2457 * CHOOSE(CONTROL!$C$32, $C$9, 100%, $E$9)</f>
        <v>4.2457000000000003</v>
      </c>
      <c r="O110" s="27">
        <f>4.2494 * CHOOSE(CONTROL!$C$32, $C$9, 100%, $E$9)</f>
        <v>4.2493999999999996</v>
      </c>
      <c r="P110" s="10"/>
      <c r="Q110" s="10"/>
      <c r="R110" s="10"/>
    </row>
    <row r="111" spans="1:18" ht="15" x14ac:dyDescent="0.2">
      <c r="A111" s="16">
        <v>44228</v>
      </c>
      <c r="B111" s="26">
        <f>3.3376 * CHOOSE(CONTROL!$C$32, $C$9, 100%, $E$9)</f>
        <v>3.3376000000000001</v>
      </c>
      <c r="C111" s="26">
        <f>3.3376 * CHOOSE(CONTROL!$C$32, $C$9, 100%, $E$9)</f>
        <v>3.3376000000000001</v>
      </c>
      <c r="D111" s="26">
        <f>3.3387 * CHOOSE(CONTROL!$C$32, $C$9, 100%, $E$9)</f>
        <v>3.3386999999999998</v>
      </c>
      <c r="E111" s="27">
        <f>4.2437 * CHOOSE(CONTROL!$C$32, $C$9, 100%, $E$9)</f>
        <v>4.2436999999999996</v>
      </c>
      <c r="F111" s="27">
        <f>4.2437 * CHOOSE(CONTROL!$C$32, $C$9, 100%, $E$9)</f>
        <v>4.2436999999999996</v>
      </c>
      <c r="G111" s="27">
        <f>4.2474 * CHOOSE(CONTROL!$C$32, $C$9, 100%, $E$9)</f>
        <v>4.2473999999999998</v>
      </c>
      <c r="H111" s="27">
        <f>6.7853 * CHOOSE(CONTROL!$C$32, $C$9, 100%, $E$9)</f>
        <v>6.7853000000000003</v>
      </c>
      <c r="I111" s="27">
        <f>6.7889 * CHOOSE(CONTROL!$C$32, $C$9, 100%, $E$9)</f>
        <v>6.7888999999999999</v>
      </c>
      <c r="J111" s="27">
        <f>6.7853 * CHOOSE(CONTROL!$C$32, $C$9, 100%, $E$9)</f>
        <v>6.7853000000000003</v>
      </c>
      <c r="K111" s="27">
        <f>6.7889 * CHOOSE(CONTROL!$C$32, $C$9, 100%, $E$9)</f>
        <v>6.7888999999999999</v>
      </c>
      <c r="L111" s="27">
        <f>4.2437 * CHOOSE(CONTROL!$C$32, $C$9, 100%, $E$9)</f>
        <v>4.2436999999999996</v>
      </c>
      <c r="M111" s="27">
        <f>4.2474 * CHOOSE(CONTROL!$C$32, $C$9, 100%, $E$9)</f>
        <v>4.2473999999999998</v>
      </c>
      <c r="N111" s="27">
        <f>4.2437 * CHOOSE(CONTROL!$C$32, $C$9, 100%, $E$9)</f>
        <v>4.2436999999999996</v>
      </c>
      <c r="O111" s="27">
        <f>4.2474 * CHOOSE(CONTROL!$C$32, $C$9, 100%, $E$9)</f>
        <v>4.2473999999999998</v>
      </c>
      <c r="P111" s="10"/>
      <c r="Q111" s="10"/>
      <c r="R111" s="10"/>
    </row>
    <row r="112" spans="1:18" ht="15" x14ac:dyDescent="0.2">
      <c r="A112" s="16">
        <v>44256</v>
      </c>
      <c r="B112" s="26">
        <f>3.3346 * CHOOSE(CONTROL!$C$32, $C$9, 100%, $E$9)</f>
        <v>3.3346</v>
      </c>
      <c r="C112" s="26">
        <f>3.3346 * CHOOSE(CONTROL!$C$32, $C$9, 100%, $E$9)</f>
        <v>3.3346</v>
      </c>
      <c r="D112" s="26">
        <f>3.3357 * CHOOSE(CONTROL!$C$32, $C$9, 100%, $E$9)</f>
        <v>3.3357000000000001</v>
      </c>
      <c r="E112" s="27">
        <f>4.2417 * CHOOSE(CONTROL!$C$32, $C$9, 100%, $E$9)</f>
        <v>4.2416999999999998</v>
      </c>
      <c r="F112" s="27">
        <f>4.2417 * CHOOSE(CONTROL!$C$32, $C$9, 100%, $E$9)</f>
        <v>4.2416999999999998</v>
      </c>
      <c r="G112" s="27">
        <f>4.2454 * CHOOSE(CONTROL!$C$32, $C$9, 100%, $E$9)</f>
        <v>4.2454000000000001</v>
      </c>
      <c r="H112" s="27">
        <f>6.7994 * CHOOSE(CONTROL!$C$32, $C$9, 100%, $E$9)</f>
        <v>6.7994000000000003</v>
      </c>
      <c r="I112" s="27">
        <f>6.803 * CHOOSE(CONTROL!$C$32, $C$9, 100%, $E$9)</f>
        <v>6.8029999999999999</v>
      </c>
      <c r="J112" s="27">
        <f>6.7994 * CHOOSE(CONTROL!$C$32, $C$9, 100%, $E$9)</f>
        <v>6.7994000000000003</v>
      </c>
      <c r="K112" s="27">
        <f>6.803 * CHOOSE(CONTROL!$C$32, $C$9, 100%, $E$9)</f>
        <v>6.8029999999999999</v>
      </c>
      <c r="L112" s="27">
        <f>4.2417 * CHOOSE(CONTROL!$C$32, $C$9, 100%, $E$9)</f>
        <v>4.2416999999999998</v>
      </c>
      <c r="M112" s="27">
        <f>4.2454 * CHOOSE(CONTROL!$C$32, $C$9, 100%, $E$9)</f>
        <v>4.2454000000000001</v>
      </c>
      <c r="N112" s="27">
        <f>4.2417 * CHOOSE(CONTROL!$C$32, $C$9, 100%, $E$9)</f>
        <v>4.2416999999999998</v>
      </c>
      <c r="O112" s="27">
        <f>4.2454 * CHOOSE(CONTROL!$C$32, $C$9, 100%, $E$9)</f>
        <v>4.2454000000000001</v>
      </c>
      <c r="P112" s="10"/>
      <c r="Q112" s="10"/>
      <c r="R112" s="10"/>
    </row>
    <row r="113" spans="1:18" ht="15" x14ac:dyDescent="0.2">
      <c r="A113" s="16">
        <v>44287</v>
      </c>
      <c r="B113" s="26">
        <f>3.3316 * CHOOSE(CONTROL!$C$32, $C$9, 100%, $E$9)</f>
        <v>3.3315999999999999</v>
      </c>
      <c r="C113" s="26">
        <f>3.3316 * CHOOSE(CONTROL!$C$32, $C$9, 100%, $E$9)</f>
        <v>3.3315999999999999</v>
      </c>
      <c r="D113" s="26">
        <f>3.3327 * CHOOSE(CONTROL!$C$32, $C$9, 100%, $E$9)</f>
        <v>3.3327</v>
      </c>
      <c r="E113" s="27">
        <f>4.2394 * CHOOSE(CONTROL!$C$32, $C$9, 100%, $E$9)</f>
        <v>4.2393999999999998</v>
      </c>
      <c r="F113" s="27">
        <f>4.2394 * CHOOSE(CONTROL!$C$32, $C$9, 100%, $E$9)</f>
        <v>4.2393999999999998</v>
      </c>
      <c r="G113" s="27">
        <f>4.243 * CHOOSE(CONTROL!$C$32, $C$9, 100%, $E$9)</f>
        <v>4.2430000000000003</v>
      </c>
      <c r="H113" s="27">
        <f>6.8136 * CHOOSE(CONTROL!$C$32, $C$9, 100%, $E$9)</f>
        <v>6.8136000000000001</v>
      </c>
      <c r="I113" s="27">
        <f>6.8172 * CHOOSE(CONTROL!$C$32, $C$9, 100%, $E$9)</f>
        <v>6.8171999999999997</v>
      </c>
      <c r="J113" s="27">
        <f>6.8136 * CHOOSE(CONTROL!$C$32, $C$9, 100%, $E$9)</f>
        <v>6.8136000000000001</v>
      </c>
      <c r="K113" s="27">
        <f>6.8172 * CHOOSE(CONTROL!$C$32, $C$9, 100%, $E$9)</f>
        <v>6.8171999999999997</v>
      </c>
      <c r="L113" s="27">
        <f>4.2394 * CHOOSE(CONTROL!$C$32, $C$9, 100%, $E$9)</f>
        <v>4.2393999999999998</v>
      </c>
      <c r="M113" s="27">
        <f>4.243 * CHOOSE(CONTROL!$C$32, $C$9, 100%, $E$9)</f>
        <v>4.2430000000000003</v>
      </c>
      <c r="N113" s="27">
        <f>4.2394 * CHOOSE(CONTROL!$C$32, $C$9, 100%, $E$9)</f>
        <v>4.2393999999999998</v>
      </c>
      <c r="O113" s="27">
        <f>4.243 * CHOOSE(CONTROL!$C$32, $C$9, 100%, $E$9)</f>
        <v>4.2430000000000003</v>
      </c>
      <c r="P113" s="10"/>
      <c r="Q113" s="10"/>
      <c r="R113" s="10"/>
    </row>
    <row r="114" spans="1:18" ht="15" x14ac:dyDescent="0.2">
      <c r="A114" s="16">
        <v>44317</v>
      </c>
      <c r="B114" s="26">
        <f>3.3316 * CHOOSE(CONTROL!$C$32, $C$9, 100%, $E$9)</f>
        <v>3.3315999999999999</v>
      </c>
      <c r="C114" s="26">
        <f>3.3316 * CHOOSE(CONTROL!$C$32, $C$9, 100%, $E$9)</f>
        <v>3.3315999999999999</v>
      </c>
      <c r="D114" s="26">
        <f>3.3332 * CHOOSE(CONTROL!$C$32, $C$9, 100%, $E$9)</f>
        <v>3.3332000000000002</v>
      </c>
      <c r="E114" s="27">
        <f>4.2394 * CHOOSE(CONTROL!$C$32, $C$9, 100%, $E$9)</f>
        <v>4.2393999999999998</v>
      </c>
      <c r="F114" s="27">
        <f>4.2394 * CHOOSE(CONTROL!$C$32, $C$9, 100%, $E$9)</f>
        <v>4.2393999999999998</v>
      </c>
      <c r="G114" s="27">
        <f>4.2447 * CHOOSE(CONTROL!$C$32, $C$9, 100%, $E$9)</f>
        <v>4.2446999999999999</v>
      </c>
      <c r="H114" s="27">
        <f>6.8278 * CHOOSE(CONTROL!$C$32, $C$9, 100%, $E$9)</f>
        <v>6.8277999999999999</v>
      </c>
      <c r="I114" s="27">
        <f>6.8331 * CHOOSE(CONTROL!$C$32, $C$9, 100%, $E$9)</f>
        <v>6.8331</v>
      </c>
      <c r="J114" s="27">
        <f>6.8278 * CHOOSE(CONTROL!$C$32, $C$9, 100%, $E$9)</f>
        <v>6.8277999999999999</v>
      </c>
      <c r="K114" s="27">
        <f>6.8331 * CHOOSE(CONTROL!$C$32, $C$9, 100%, $E$9)</f>
        <v>6.8331</v>
      </c>
      <c r="L114" s="27">
        <f>4.2394 * CHOOSE(CONTROL!$C$32, $C$9, 100%, $E$9)</f>
        <v>4.2393999999999998</v>
      </c>
      <c r="M114" s="27">
        <f>4.2447 * CHOOSE(CONTROL!$C$32, $C$9, 100%, $E$9)</f>
        <v>4.2446999999999999</v>
      </c>
      <c r="N114" s="27">
        <f>4.2394 * CHOOSE(CONTROL!$C$32, $C$9, 100%, $E$9)</f>
        <v>4.2393999999999998</v>
      </c>
      <c r="O114" s="27">
        <f>4.2447 * CHOOSE(CONTROL!$C$32, $C$9, 100%, $E$9)</f>
        <v>4.2446999999999999</v>
      </c>
      <c r="P114" s="10"/>
      <c r="Q114" s="10"/>
      <c r="R114" s="10"/>
    </row>
    <row r="115" spans="1:18" ht="15" x14ac:dyDescent="0.2">
      <c r="A115" s="16">
        <v>44348</v>
      </c>
      <c r="B115" s="26">
        <f>3.3377 * CHOOSE(CONTROL!$C$32, $C$9, 100%, $E$9)</f>
        <v>3.3376999999999999</v>
      </c>
      <c r="C115" s="26">
        <f>3.3377 * CHOOSE(CONTROL!$C$32, $C$9, 100%, $E$9)</f>
        <v>3.3376999999999999</v>
      </c>
      <c r="D115" s="26">
        <f>3.3393 * CHOOSE(CONTROL!$C$32, $C$9, 100%, $E$9)</f>
        <v>3.3393000000000002</v>
      </c>
      <c r="E115" s="27">
        <f>4.2434 * CHOOSE(CONTROL!$C$32, $C$9, 100%, $E$9)</f>
        <v>4.2434000000000003</v>
      </c>
      <c r="F115" s="27">
        <f>4.2434 * CHOOSE(CONTROL!$C$32, $C$9, 100%, $E$9)</f>
        <v>4.2434000000000003</v>
      </c>
      <c r="G115" s="27">
        <f>4.2487 * CHOOSE(CONTROL!$C$32, $C$9, 100%, $E$9)</f>
        <v>4.2487000000000004</v>
      </c>
      <c r="H115" s="27">
        <f>6.842 * CHOOSE(CONTROL!$C$32, $C$9, 100%, $E$9)</f>
        <v>6.8419999999999996</v>
      </c>
      <c r="I115" s="27">
        <f>6.8473 * CHOOSE(CONTROL!$C$32, $C$9, 100%, $E$9)</f>
        <v>6.8472999999999997</v>
      </c>
      <c r="J115" s="27">
        <f>6.842 * CHOOSE(CONTROL!$C$32, $C$9, 100%, $E$9)</f>
        <v>6.8419999999999996</v>
      </c>
      <c r="K115" s="27">
        <f>6.8473 * CHOOSE(CONTROL!$C$32, $C$9, 100%, $E$9)</f>
        <v>6.8472999999999997</v>
      </c>
      <c r="L115" s="27">
        <f>4.2434 * CHOOSE(CONTROL!$C$32, $C$9, 100%, $E$9)</f>
        <v>4.2434000000000003</v>
      </c>
      <c r="M115" s="27">
        <f>4.2487 * CHOOSE(CONTROL!$C$32, $C$9, 100%, $E$9)</f>
        <v>4.2487000000000004</v>
      </c>
      <c r="N115" s="27">
        <f>4.2434 * CHOOSE(CONTROL!$C$32, $C$9, 100%, $E$9)</f>
        <v>4.2434000000000003</v>
      </c>
      <c r="O115" s="27">
        <f>4.2487 * CHOOSE(CONTROL!$C$32, $C$9, 100%, $E$9)</f>
        <v>4.2487000000000004</v>
      </c>
      <c r="P115" s="10"/>
      <c r="Q115" s="10"/>
      <c r="R115" s="10"/>
    </row>
    <row r="116" spans="1:18" ht="15" x14ac:dyDescent="0.2">
      <c r="A116" s="16">
        <v>44378</v>
      </c>
      <c r="B116" s="26">
        <f>3.3976 * CHOOSE(CONTROL!$C$32, $C$9, 100%, $E$9)</f>
        <v>3.3976000000000002</v>
      </c>
      <c r="C116" s="26">
        <f>3.3976 * CHOOSE(CONTROL!$C$32, $C$9, 100%, $E$9)</f>
        <v>3.3976000000000002</v>
      </c>
      <c r="D116" s="26">
        <f>3.3992 * CHOOSE(CONTROL!$C$32, $C$9, 100%, $E$9)</f>
        <v>3.3992</v>
      </c>
      <c r="E116" s="27">
        <f>4.3089 * CHOOSE(CONTROL!$C$32, $C$9, 100%, $E$9)</f>
        <v>4.3089000000000004</v>
      </c>
      <c r="F116" s="27">
        <f>4.3089 * CHOOSE(CONTROL!$C$32, $C$9, 100%, $E$9)</f>
        <v>4.3089000000000004</v>
      </c>
      <c r="G116" s="27">
        <f>4.3142 * CHOOSE(CONTROL!$C$32, $C$9, 100%, $E$9)</f>
        <v>4.3141999999999996</v>
      </c>
      <c r="H116" s="27">
        <f>6.8562 * CHOOSE(CONTROL!$C$32, $C$9, 100%, $E$9)</f>
        <v>6.8562000000000003</v>
      </c>
      <c r="I116" s="27">
        <f>6.8615 * CHOOSE(CONTROL!$C$32, $C$9, 100%, $E$9)</f>
        <v>6.8615000000000004</v>
      </c>
      <c r="J116" s="27">
        <f>6.8562 * CHOOSE(CONTROL!$C$32, $C$9, 100%, $E$9)</f>
        <v>6.8562000000000003</v>
      </c>
      <c r="K116" s="27">
        <f>6.8615 * CHOOSE(CONTROL!$C$32, $C$9, 100%, $E$9)</f>
        <v>6.8615000000000004</v>
      </c>
      <c r="L116" s="27">
        <f>4.3089 * CHOOSE(CONTROL!$C$32, $C$9, 100%, $E$9)</f>
        <v>4.3089000000000004</v>
      </c>
      <c r="M116" s="27">
        <f>4.3142 * CHOOSE(CONTROL!$C$32, $C$9, 100%, $E$9)</f>
        <v>4.3141999999999996</v>
      </c>
      <c r="N116" s="27">
        <f>4.3089 * CHOOSE(CONTROL!$C$32, $C$9, 100%, $E$9)</f>
        <v>4.3089000000000004</v>
      </c>
      <c r="O116" s="27">
        <f>4.3142 * CHOOSE(CONTROL!$C$32, $C$9, 100%, $E$9)</f>
        <v>4.3141999999999996</v>
      </c>
      <c r="P116" s="10"/>
      <c r="Q116" s="10"/>
      <c r="R116" s="10"/>
    </row>
    <row r="117" spans="1:18" ht="15" x14ac:dyDescent="0.2">
      <c r="A117" s="16">
        <v>44409</v>
      </c>
      <c r="B117" s="26">
        <f>3.4043 * CHOOSE(CONTROL!$C$32, $C$9, 100%, $E$9)</f>
        <v>3.4043000000000001</v>
      </c>
      <c r="C117" s="26">
        <f>3.4043 * CHOOSE(CONTROL!$C$32, $C$9, 100%, $E$9)</f>
        <v>3.4043000000000001</v>
      </c>
      <c r="D117" s="26">
        <f>3.4059 * CHOOSE(CONTROL!$C$32, $C$9, 100%, $E$9)</f>
        <v>3.4058999999999999</v>
      </c>
      <c r="E117" s="27">
        <f>4.3133 * CHOOSE(CONTROL!$C$32, $C$9, 100%, $E$9)</f>
        <v>4.3132999999999999</v>
      </c>
      <c r="F117" s="27">
        <f>4.3133 * CHOOSE(CONTROL!$C$32, $C$9, 100%, $E$9)</f>
        <v>4.3132999999999999</v>
      </c>
      <c r="G117" s="27">
        <f>4.3186 * CHOOSE(CONTROL!$C$32, $C$9, 100%, $E$9)</f>
        <v>4.3186</v>
      </c>
      <c r="H117" s="27">
        <f>6.8705 * CHOOSE(CONTROL!$C$32, $C$9, 100%, $E$9)</f>
        <v>6.8704999999999998</v>
      </c>
      <c r="I117" s="27">
        <f>6.8758 * CHOOSE(CONTROL!$C$32, $C$9, 100%, $E$9)</f>
        <v>6.8757999999999999</v>
      </c>
      <c r="J117" s="27">
        <f>6.8705 * CHOOSE(CONTROL!$C$32, $C$9, 100%, $E$9)</f>
        <v>6.8704999999999998</v>
      </c>
      <c r="K117" s="27">
        <f>6.8758 * CHOOSE(CONTROL!$C$32, $C$9, 100%, $E$9)</f>
        <v>6.8757999999999999</v>
      </c>
      <c r="L117" s="27">
        <f>4.3133 * CHOOSE(CONTROL!$C$32, $C$9, 100%, $E$9)</f>
        <v>4.3132999999999999</v>
      </c>
      <c r="M117" s="27">
        <f>4.3186 * CHOOSE(CONTROL!$C$32, $C$9, 100%, $E$9)</f>
        <v>4.3186</v>
      </c>
      <c r="N117" s="27">
        <f>4.3133 * CHOOSE(CONTROL!$C$32, $C$9, 100%, $E$9)</f>
        <v>4.3132999999999999</v>
      </c>
      <c r="O117" s="27">
        <f>4.3186 * CHOOSE(CONTROL!$C$32, $C$9, 100%, $E$9)</f>
        <v>4.3186</v>
      </c>
      <c r="P117" s="10"/>
      <c r="Q117" s="10"/>
      <c r="R117" s="10"/>
    </row>
    <row r="118" spans="1:18" ht="15" x14ac:dyDescent="0.2">
      <c r="A118" s="16">
        <v>44440</v>
      </c>
      <c r="B118" s="26">
        <f>3.4012 * CHOOSE(CONTROL!$C$32, $C$9, 100%, $E$9)</f>
        <v>3.4011999999999998</v>
      </c>
      <c r="C118" s="26">
        <f>3.4012 * CHOOSE(CONTROL!$C$32, $C$9, 100%, $E$9)</f>
        <v>3.4011999999999998</v>
      </c>
      <c r="D118" s="26">
        <f>3.4028 * CHOOSE(CONTROL!$C$32, $C$9, 100%, $E$9)</f>
        <v>3.4028</v>
      </c>
      <c r="E118" s="27">
        <f>4.3113 * CHOOSE(CONTROL!$C$32, $C$9, 100%, $E$9)</f>
        <v>4.3113000000000001</v>
      </c>
      <c r="F118" s="27">
        <f>4.3113 * CHOOSE(CONTROL!$C$32, $C$9, 100%, $E$9)</f>
        <v>4.3113000000000001</v>
      </c>
      <c r="G118" s="27">
        <f>4.3166 * CHOOSE(CONTROL!$C$32, $C$9, 100%, $E$9)</f>
        <v>4.3166000000000002</v>
      </c>
      <c r="H118" s="27">
        <f>6.8848 * CHOOSE(CONTROL!$C$32, $C$9, 100%, $E$9)</f>
        <v>6.8848000000000003</v>
      </c>
      <c r="I118" s="27">
        <f>6.8901 * CHOOSE(CONTROL!$C$32, $C$9, 100%, $E$9)</f>
        <v>6.8901000000000003</v>
      </c>
      <c r="J118" s="27">
        <f>6.8848 * CHOOSE(CONTROL!$C$32, $C$9, 100%, $E$9)</f>
        <v>6.8848000000000003</v>
      </c>
      <c r="K118" s="27">
        <f>6.8901 * CHOOSE(CONTROL!$C$32, $C$9, 100%, $E$9)</f>
        <v>6.8901000000000003</v>
      </c>
      <c r="L118" s="27">
        <f>4.3113 * CHOOSE(CONTROL!$C$32, $C$9, 100%, $E$9)</f>
        <v>4.3113000000000001</v>
      </c>
      <c r="M118" s="27">
        <f>4.3166 * CHOOSE(CONTROL!$C$32, $C$9, 100%, $E$9)</f>
        <v>4.3166000000000002</v>
      </c>
      <c r="N118" s="27">
        <f>4.3113 * CHOOSE(CONTROL!$C$32, $C$9, 100%, $E$9)</f>
        <v>4.3113000000000001</v>
      </c>
      <c r="O118" s="27">
        <f>4.3166 * CHOOSE(CONTROL!$C$32, $C$9, 100%, $E$9)</f>
        <v>4.3166000000000002</v>
      </c>
      <c r="P118" s="10"/>
      <c r="Q118" s="10"/>
      <c r="R118" s="10"/>
    </row>
    <row r="119" spans="1:18" ht="15" x14ac:dyDescent="0.2">
      <c r="A119" s="16">
        <v>44470</v>
      </c>
      <c r="B119" s="26">
        <f>3.3942 * CHOOSE(CONTROL!$C$32, $C$9, 100%, $E$9)</f>
        <v>3.3942000000000001</v>
      </c>
      <c r="C119" s="26">
        <f>3.3942 * CHOOSE(CONTROL!$C$32, $C$9, 100%, $E$9)</f>
        <v>3.3942000000000001</v>
      </c>
      <c r="D119" s="26">
        <f>3.3953 * CHOOSE(CONTROL!$C$32, $C$9, 100%, $E$9)</f>
        <v>3.3953000000000002</v>
      </c>
      <c r="E119" s="27">
        <f>4.3049 * CHOOSE(CONTROL!$C$32, $C$9, 100%, $E$9)</f>
        <v>4.3048999999999999</v>
      </c>
      <c r="F119" s="27">
        <f>4.3049 * CHOOSE(CONTROL!$C$32, $C$9, 100%, $E$9)</f>
        <v>4.3048999999999999</v>
      </c>
      <c r="G119" s="27">
        <f>4.3085 * CHOOSE(CONTROL!$C$32, $C$9, 100%, $E$9)</f>
        <v>4.3085000000000004</v>
      </c>
      <c r="H119" s="27">
        <f>6.8992 * CHOOSE(CONTROL!$C$32, $C$9, 100%, $E$9)</f>
        <v>6.8992000000000004</v>
      </c>
      <c r="I119" s="27">
        <f>6.9028 * CHOOSE(CONTROL!$C$32, $C$9, 100%, $E$9)</f>
        <v>6.9028</v>
      </c>
      <c r="J119" s="27">
        <f>6.8992 * CHOOSE(CONTROL!$C$32, $C$9, 100%, $E$9)</f>
        <v>6.8992000000000004</v>
      </c>
      <c r="K119" s="27">
        <f>6.9028 * CHOOSE(CONTROL!$C$32, $C$9, 100%, $E$9)</f>
        <v>6.9028</v>
      </c>
      <c r="L119" s="27">
        <f>4.3049 * CHOOSE(CONTROL!$C$32, $C$9, 100%, $E$9)</f>
        <v>4.3048999999999999</v>
      </c>
      <c r="M119" s="27">
        <f>4.3085 * CHOOSE(CONTROL!$C$32, $C$9, 100%, $E$9)</f>
        <v>4.3085000000000004</v>
      </c>
      <c r="N119" s="27">
        <f>4.3049 * CHOOSE(CONTROL!$C$32, $C$9, 100%, $E$9)</f>
        <v>4.3048999999999999</v>
      </c>
      <c r="O119" s="27">
        <f>4.3085 * CHOOSE(CONTROL!$C$32, $C$9, 100%, $E$9)</f>
        <v>4.3085000000000004</v>
      </c>
      <c r="P119" s="10"/>
      <c r="Q119" s="10"/>
      <c r="R119" s="10"/>
    </row>
    <row r="120" spans="1:18" ht="15" x14ac:dyDescent="0.2">
      <c r="A120" s="16">
        <v>44501</v>
      </c>
      <c r="B120" s="26">
        <f>3.3972 * CHOOSE(CONTROL!$C$32, $C$9, 100%, $E$9)</f>
        <v>3.3972000000000002</v>
      </c>
      <c r="C120" s="26">
        <f>3.3972 * CHOOSE(CONTROL!$C$32, $C$9, 100%, $E$9)</f>
        <v>3.3972000000000002</v>
      </c>
      <c r="D120" s="26">
        <f>3.3983 * CHOOSE(CONTROL!$C$32, $C$9, 100%, $E$9)</f>
        <v>3.3982999999999999</v>
      </c>
      <c r="E120" s="27">
        <f>4.3069 * CHOOSE(CONTROL!$C$32, $C$9, 100%, $E$9)</f>
        <v>4.3068999999999997</v>
      </c>
      <c r="F120" s="27">
        <f>4.3069 * CHOOSE(CONTROL!$C$32, $C$9, 100%, $E$9)</f>
        <v>4.3068999999999997</v>
      </c>
      <c r="G120" s="27">
        <f>4.3105 * CHOOSE(CONTROL!$C$32, $C$9, 100%, $E$9)</f>
        <v>4.3105000000000002</v>
      </c>
      <c r="H120" s="27">
        <f>6.9136 * CHOOSE(CONTROL!$C$32, $C$9, 100%, $E$9)</f>
        <v>6.9135999999999997</v>
      </c>
      <c r="I120" s="27">
        <f>6.9172 * CHOOSE(CONTROL!$C$32, $C$9, 100%, $E$9)</f>
        <v>6.9172000000000002</v>
      </c>
      <c r="J120" s="27">
        <f>6.9136 * CHOOSE(CONTROL!$C$32, $C$9, 100%, $E$9)</f>
        <v>6.9135999999999997</v>
      </c>
      <c r="K120" s="27">
        <f>6.9172 * CHOOSE(CONTROL!$C$32, $C$9, 100%, $E$9)</f>
        <v>6.9172000000000002</v>
      </c>
      <c r="L120" s="27">
        <f>4.3069 * CHOOSE(CONTROL!$C$32, $C$9, 100%, $E$9)</f>
        <v>4.3068999999999997</v>
      </c>
      <c r="M120" s="27">
        <f>4.3105 * CHOOSE(CONTROL!$C$32, $C$9, 100%, $E$9)</f>
        <v>4.3105000000000002</v>
      </c>
      <c r="N120" s="27">
        <f>4.3069 * CHOOSE(CONTROL!$C$32, $C$9, 100%, $E$9)</f>
        <v>4.3068999999999997</v>
      </c>
      <c r="O120" s="27">
        <f>4.3105 * CHOOSE(CONTROL!$C$32, $C$9, 100%, $E$9)</f>
        <v>4.3105000000000002</v>
      </c>
      <c r="P120" s="10"/>
      <c r="Q120" s="10"/>
      <c r="R120" s="10"/>
    </row>
    <row r="121" spans="1:18" ht="15" x14ac:dyDescent="0.2">
      <c r="A121" s="16">
        <v>44531</v>
      </c>
      <c r="B121" s="26">
        <f>3.3972 * CHOOSE(CONTROL!$C$32, $C$9, 100%, $E$9)</f>
        <v>3.3972000000000002</v>
      </c>
      <c r="C121" s="26">
        <f>3.3972 * CHOOSE(CONTROL!$C$32, $C$9, 100%, $E$9)</f>
        <v>3.3972000000000002</v>
      </c>
      <c r="D121" s="26">
        <f>3.3983 * CHOOSE(CONTROL!$C$32, $C$9, 100%, $E$9)</f>
        <v>3.3982999999999999</v>
      </c>
      <c r="E121" s="27">
        <f>4.3069 * CHOOSE(CONTROL!$C$32, $C$9, 100%, $E$9)</f>
        <v>4.3068999999999997</v>
      </c>
      <c r="F121" s="27">
        <f>4.3069 * CHOOSE(CONTROL!$C$32, $C$9, 100%, $E$9)</f>
        <v>4.3068999999999997</v>
      </c>
      <c r="G121" s="27">
        <f>4.3105 * CHOOSE(CONTROL!$C$32, $C$9, 100%, $E$9)</f>
        <v>4.3105000000000002</v>
      </c>
      <c r="H121" s="27">
        <f>6.928 * CHOOSE(CONTROL!$C$32, $C$9, 100%, $E$9)</f>
        <v>6.9279999999999999</v>
      </c>
      <c r="I121" s="27">
        <f>6.9316 * CHOOSE(CONTROL!$C$32, $C$9, 100%, $E$9)</f>
        <v>6.9316000000000004</v>
      </c>
      <c r="J121" s="27">
        <f>6.928 * CHOOSE(CONTROL!$C$32, $C$9, 100%, $E$9)</f>
        <v>6.9279999999999999</v>
      </c>
      <c r="K121" s="27">
        <f>6.9316 * CHOOSE(CONTROL!$C$32, $C$9, 100%, $E$9)</f>
        <v>6.9316000000000004</v>
      </c>
      <c r="L121" s="27">
        <f>4.3069 * CHOOSE(CONTROL!$C$32, $C$9, 100%, $E$9)</f>
        <v>4.3068999999999997</v>
      </c>
      <c r="M121" s="27">
        <f>4.3105 * CHOOSE(CONTROL!$C$32, $C$9, 100%, $E$9)</f>
        <v>4.3105000000000002</v>
      </c>
      <c r="N121" s="27">
        <f>4.3069 * CHOOSE(CONTROL!$C$32, $C$9, 100%, $E$9)</f>
        <v>4.3068999999999997</v>
      </c>
      <c r="O121" s="27">
        <f>4.3105 * CHOOSE(CONTROL!$C$32, $C$9, 100%, $E$9)</f>
        <v>4.3105000000000002</v>
      </c>
      <c r="P121" s="10"/>
      <c r="Q121" s="10"/>
      <c r="R121" s="10"/>
    </row>
    <row r="122" spans="1:18" ht="15" x14ac:dyDescent="0.2">
      <c r="A122" s="16">
        <v>44562</v>
      </c>
      <c r="B122" s="26">
        <f>3.4251 * CHOOSE(CONTROL!$C$32, $C$9, 100%, $E$9)</f>
        <v>3.4251</v>
      </c>
      <c r="C122" s="26">
        <f>3.4251 * CHOOSE(CONTROL!$C$32, $C$9, 100%, $E$9)</f>
        <v>3.4251</v>
      </c>
      <c r="D122" s="26">
        <f>3.4261 * CHOOSE(CONTROL!$C$32, $C$9, 100%, $E$9)</f>
        <v>3.4260999999999999</v>
      </c>
      <c r="E122" s="27">
        <f>4.3439 * CHOOSE(CONTROL!$C$32, $C$9, 100%, $E$9)</f>
        <v>4.3438999999999997</v>
      </c>
      <c r="F122" s="27">
        <f>4.3439 * CHOOSE(CONTROL!$C$32, $C$9, 100%, $E$9)</f>
        <v>4.3438999999999997</v>
      </c>
      <c r="G122" s="27">
        <f>4.3475 * CHOOSE(CONTROL!$C$32, $C$9, 100%, $E$9)</f>
        <v>4.3475000000000001</v>
      </c>
      <c r="H122" s="27">
        <f>6.9424 * CHOOSE(CONTROL!$C$32, $C$9, 100%, $E$9)</f>
        <v>6.9424000000000001</v>
      </c>
      <c r="I122" s="27">
        <f>6.946 * CHOOSE(CONTROL!$C$32, $C$9, 100%, $E$9)</f>
        <v>6.9459999999999997</v>
      </c>
      <c r="J122" s="27">
        <f>6.9424 * CHOOSE(CONTROL!$C$32, $C$9, 100%, $E$9)</f>
        <v>6.9424000000000001</v>
      </c>
      <c r="K122" s="27">
        <f>6.946 * CHOOSE(CONTROL!$C$32, $C$9, 100%, $E$9)</f>
        <v>6.9459999999999997</v>
      </c>
      <c r="L122" s="27">
        <f>4.3439 * CHOOSE(CONTROL!$C$32, $C$9, 100%, $E$9)</f>
        <v>4.3438999999999997</v>
      </c>
      <c r="M122" s="27">
        <f>4.3475 * CHOOSE(CONTROL!$C$32, $C$9, 100%, $E$9)</f>
        <v>4.3475000000000001</v>
      </c>
      <c r="N122" s="27">
        <f>4.3439 * CHOOSE(CONTROL!$C$32, $C$9, 100%, $E$9)</f>
        <v>4.3438999999999997</v>
      </c>
      <c r="O122" s="27">
        <f>4.3475 * CHOOSE(CONTROL!$C$32, $C$9, 100%, $E$9)</f>
        <v>4.3475000000000001</v>
      </c>
      <c r="P122" s="10"/>
      <c r="Q122" s="10"/>
      <c r="R122" s="10"/>
    </row>
    <row r="123" spans="1:18" ht="15" x14ac:dyDescent="0.2">
      <c r="A123" s="16">
        <v>44593</v>
      </c>
      <c r="B123" s="26">
        <f>3.422 * CHOOSE(CONTROL!$C$32, $C$9, 100%, $E$9)</f>
        <v>3.4220000000000002</v>
      </c>
      <c r="C123" s="26">
        <f>3.422 * CHOOSE(CONTROL!$C$32, $C$9, 100%, $E$9)</f>
        <v>3.4220000000000002</v>
      </c>
      <c r="D123" s="26">
        <f>3.4231 * CHOOSE(CONTROL!$C$32, $C$9, 100%, $E$9)</f>
        <v>3.4230999999999998</v>
      </c>
      <c r="E123" s="27">
        <f>4.3419 * CHOOSE(CONTROL!$C$32, $C$9, 100%, $E$9)</f>
        <v>4.3418999999999999</v>
      </c>
      <c r="F123" s="27">
        <f>4.3419 * CHOOSE(CONTROL!$C$32, $C$9, 100%, $E$9)</f>
        <v>4.3418999999999999</v>
      </c>
      <c r="G123" s="27">
        <f>4.3455 * CHOOSE(CONTROL!$C$32, $C$9, 100%, $E$9)</f>
        <v>4.3455000000000004</v>
      </c>
      <c r="H123" s="27">
        <f>6.9569 * CHOOSE(CONTROL!$C$32, $C$9, 100%, $E$9)</f>
        <v>6.9569000000000001</v>
      </c>
      <c r="I123" s="27">
        <f>6.9605 * CHOOSE(CONTROL!$C$32, $C$9, 100%, $E$9)</f>
        <v>6.9604999999999997</v>
      </c>
      <c r="J123" s="27">
        <f>6.9569 * CHOOSE(CONTROL!$C$32, $C$9, 100%, $E$9)</f>
        <v>6.9569000000000001</v>
      </c>
      <c r="K123" s="27">
        <f>6.9605 * CHOOSE(CONTROL!$C$32, $C$9, 100%, $E$9)</f>
        <v>6.9604999999999997</v>
      </c>
      <c r="L123" s="27">
        <f>4.3419 * CHOOSE(CONTROL!$C$32, $C$9, 100%, $E$9)</f>
        <v>4.3418999999999999</v>
      </c>
      <c r="M123" s="27">
        <f>4.3455 * CHOOSE(CONTROL!$C$32, $C$9, 100%, $E$9)</f>
        <v>4.3455000000000004</v>
      </c>
      <c r="N123" s="27">
        <f>4.3419 * CHOOSE(CONTROL!$C$32, $C$9, 100%, $E$9)</f>
        <v>4.3418999999999999</v>
      </c>
      <c r="O123" s="27">
        <f>4.3455 * CHOOSE(CONTROL!$C$32, $C$9, 100%, $E$9)</f>
        <v>4.3455000000000004</v>
      </c>
      <c r="P123" s="10"/>
      <c r="Q123" s="10"/>
      <c r="R123" s="10"/>
    </row>
    <row r="124" spans="1:18" ht="15" x14ac:dyDescent="0.2">
      <c r="A124" s="16">
        <v>44621</v>
      </c>
      <c r="B124" s="26">
        <f>3.419 * CHOOSE(CONTROL!$C$32, $C$9, 100%, $E$9)</f>
        <v>3.419</v>
      </c>
      <c r="C124" s="26">
        <f>3.419 * CHOOSE(CONTROL!$C$32, $C$9, 100%, $E$9)</f>
        <v>3.419</v>
      </c>
      <c r="D124" s="26">
        <f>3.4201 * CHOOSE(CONTROL!$C$32, $C$9, 100%, $E$9)</f>
        <v>3.4201000000000001</v>
      </c>
      <c r="E124" s="27">
        <f>4.3399 * CHOOSE(CONTROL!$C$32, $C$9, 100%, $E$9)</f>
        <v>4.3399000000000001</v>
      </c>
      <c r="F124" s="27">
        <f>4.3399 * CHOOSE(CONTROL!$C$32, $C$9, 100%, $E$9)</f>
        <v>4.3399000000000001</v>
      </c>
      <c r="G124" s="27">
        <f>4.3435 * CHOOSE(CONTROL!$C$32, $C$9, 100%, $E$9)</f>
        <v>4.3434999999999997</v>
      </c>
      <c r="H124" s="27">
        <f>6.9713 * CHOOSE(CONTROL!$C$32, $C$9, 100%, $E$9)</f>
        <v>6.9713000000000003</v>
      </c>
      <c r="I124" s="27">
        <f>6.975 * CHOOSE(CONTROL!$C$32, $C$9, 100%, $E$9)</f>
        <v>6.9749999999999996</v>
      </c>
      <c r="J124" s="27">
        <f>6.9713 * CHOOSE(CONTROL!$C$32, $C$9, 100%, $E$9)</f>
        <v>6.9713000000000003</v>
      </c>
      <c r="K124" s="27">
        <f>6.975 * CHOOSE(CONTROL!$C$32, $C$9, 100%, $E$9)</f>
        <v>6.9749999999999996</v>
      </c>
      <c r="L124" s="27">
        <f>4.3399 * CHOOSE(CONTROL!$C$32, $C$9, 100%, $E$9)</f>
        <v>4.3399000000000001</v>
      </c>
      <c r="M124" s="27">
        <f>4.3435 * CHOOSE(CONTROL!$C$32, $C$9, 100%, $E$9)</f>
        <v>4.3434999999999997</v>
      </c>
      <c r="N124" s="27">
        <f>4.3399 * CHOOSE(CONTROL!$C$32, $C$9, 100%, $E$9)</f>
        <v>4.3399000000000001</v>
      </c>
      <c r="O124" s="27">
        <f>4.3435 * CHOOSE(CONTROL!$C$32, $C$9, 100%, $E$9)</f>
        <v>4.3434999999999997</v>
      </c>
      <c r="P124" s="10"/>
      <c r="Q124" s="10"/>
      <c r="R124" s="10"/>
    </row>
    <row r="125" spans="1:18" ht="15" x14ac:dyDescent="0.2">
      <c r="A125" s="16">
        <v>44652</v>
      </c>
      <c r="B125" s="26">
        <f>3.4161 * CHOOSE(CONTROL!$C$32, $C$9, 100%, $E$9)</f>
        <v>3.4161000000000001</v>
      </c>
      <c r="C125" s="26">
        <f>3.4161 * CHOOSE(CONTROL!$C$32, $C$9, 100%, $E$9)</f>
        <v>3.4161000000000001</v>
      </c>
      <c r="D125" s="26">
        <f>3.4172 * CHOOSE(CONTROL!$C$32, $C$9, 100%, $E$9)</f>
        <v>3.4171999999999998</v>
      </c>
      <c r="E125" s="27">
        <f>4.3376 * CHOOSE(CONTROL!$C$32, $C$9, 100%, $E$9)</f>
        <v>4.3376000000000001</v>
      </c>
      <c r="F125" s="27">
        <f>4.3376 * CHOOSE(CONTROL!$C$32, $C$9, 100%, $E$9)</f>
        <v>4.3376000000000001</v>
      </c>
      <c r="G125" s="27">
        <f>4.3412 * CHOOSE(CONTROL!$C$32, $C$9, 100%, $E$9)</f>
        <v>4.3411999999999997</v>
      </c>
      <c r="H125" s="27">
        <f>6.9859 * CHOOSE(CONTROL!$C$32, $C$9, 100%, $E$9)</f>
        <v>6.9859</v>
      </c>
      <c r="I125" s="27">
        <f>6.9895 * CHOOSE(CONTROL!$C$32, $C$9, 100%, $E$9)</f>
        <v>6.9894999999999996</v>
      </c>
      <c r="J125" s="27">
        <f>6.9859 * CHOOSE(CONTROL!$C$32, $C$9, 100%, $E$9)</f>
        <v>6.9859</v>
      </c>
      <c r="K125" s="27">
        <f>6.9895 * CHOOSE(CONTROL!$C$32, $C$9, 100%, $E$9)</f>
        <v>6.9894999999999996</v>
      </c>
      <c r="L125" s="27">
        <f>4.3376 * CHOOSE(CONTROL!$C$32, $C$9, 100%, $E$9)</f>
        <v>4.3376000000000001</v>
      </c>
      <c r="M125" s="27">
        <f>4.3412 * CHOOSE(CONTROL!$C$32, $C$9, 100%, $E$9)</f>
        <v>4.3411999999999997</v>
      </c>
      <c r="N125" s="27">
        <f>4.3376 * CHOOSE(CONTROL!$C$32, $C$9, 100%, $E$9)</f>
        <v>4.3376000000000001</v>
      </c>
      <c r="O125" s="27">
        <f>4.3412 * CHOOSE(CONTROL!$C$32, $C$9, 100%, $E$9)</f>
        <v>4.3411999999999997</v>
      </c>
      <c r="P125" s="10"/>
      <c r="Q125" s="10"/>
      <c r="R125" s="10"/>
    </row>
    <row r="126" spans="1:18" ht="15" x14ac:dyDescent="0.2">
      <c r="A126" s="16">
        <v>44682</v>
      </c>
      <c r="B126" s="26">
        <f>3.4161 * CHOOSE(CONTROL!$C$32, $C$9, 100%, $E$9)</f>
        <v>3.4161000000000001</v>
      </c>
      <c r="C126" s="26">
        <f>3.4161 * CHOOSE(CONTROL!$C$32, $C$9, 100%, $E$9)</f>
        <v>3.4161000000000001</v>
      </c>
      <c r="D126" s="26">
        <f>3.4177 * CHOOSE(CONTROL!$C$32, $C$9, 100%, $E$9)</f>
        <v>3.4177</v>
      </c>
      <c r="E126" s="27">
        <f>4.3376 * CHOOSE(CONTROL!$C$32, $C$9, 100%, $E$9)</f>
        <v>4.3376000000000001</v>
      </c>
      <c r="F126" s="27">
        <f>4.3376 * CHOOSE(CONTROL!$C$32, $C$9, 100%, $E$9)</f>
        <v>4.3376000000000001</v>
      </c>
      <c r="G126" s="27">
        <f>4.3429 * CHOOSE(CONTROL!$C$32, $C$9, 100%, $E$9)</f>
        <v>4.3429000000000002</v>
      </c>
      <c r="H126" s="27">
        <f>7.0004 * CHOOSE(CONTROL!$C$32, $C$9, 100%, $E$9)</f>
        <v>7.0004</v>
      </c>
      <c r="I126" s="27">
        <f>7.0057 * CHOOSE(CONTROL!$C$32, $C$9, 100%, $E$9)</f>
        <v>7.0057</v>
      </c>
      <c r="J126" s="27">
        <f>7.0004 * CHOOSE(CONTROL!$C$32, $C$9, 100%, $E$9)</f>
        <v>7.0004</v>
      </c>
      <c r="K126" s="27">
        <f>7.0057 * CHOOSE(CONTROL!$C$32, $C$9, 100%, $E$9)</f>
        <v>7.0057</v>
      </c>
      <c r="L126" s="27">
        <f>4.3376 * CHOOSE(CONTROL!$C$32, $C$9, 100%, $E$9)</f>
        <v>4.3376000000000001</v>
      </c>
      <c r="M126" s="27">
        <f>4.3429 * CHOOSE(CONTROL!$C$32, $C$9, 100%, $E$9)</f>
        <v>4.3429000000000002</v>
      </c>
      <c r="N126" s="27">
        <f>4.3376 * CHOOSE(CONTROL!$C$32, $C$9, 100%, $E$9)</f>
        <v>4.3376000000000001</v>
      </c>
      <c r="O126" s="27">
        <f>4.3429 * CHOOSE(CONTROL!$C$32, $C$9, 100%, $E$9)</f>
        <v>4.3429000000000002</v>
      </c>
      <c r="P126" s="10"/>
      <c r="Q126" s="10"/>
      <c r="R126" s="10"/>
    </row>
    <row r="127" spans="1:18" ht="15" x14ac:dyDescent="0.2">
      <c r="A127" s="16">
        <v>44713</v>
      </c>
      <c r="B127" s="26">
        <f>3.4222 * CHOOSE(CONTROL!$C$32, $C$9, 100%, $E$9)</f>
        <v>3.4222000000000001</v>
      </c>
      <c r="C127" s="26">
        <f>3.4222 * CHOOSE(CONTROL!$C$32, $C$9, 100%, $E$9)</f>
        <v>3.4222000000000001</v>
      </c>
      <c r="D127" s="26">
        <f>3.4238 * CHOOSE(CONTROL!$C$32, $C$9, 100%, $E$9)</f>
        <v>3.4238</v>
      </c>
      <c r="E127" s="27">
        <f>4.3416 * CHOOSE(CONTROL!$C$32, $C$9, 100%, $E$9)</f>
        <v>4.3415999999999997</v>
      </c>
      <c r="F127" s="27">
        <f>4.3416 * CHOOSE(CONTROL!$C$32, $C$9, 100%, $E$9)</f>
        <v>4.3415999999999997</v>
      </c>
      <c r="G127" s="27">
        <f>4.3469 * CHOOSE(CONTROL!$C$32, $C$9, 100%, $E$9)</f>
        <v>4.3468999999999998</v>
      </c>
      <c r="H127" s="27">
        <f>7.015 * CHOOSE(CONTROL!$C$32, $C$9, 100%, $E$9)</f>
        <v>7.0149999999999997</v>
      </c>
      <c r="I127" s="27">
        <f>7.0203 * CHOOSE(CONTROL!$C$32, $C$9, 100%, $E$9)</f>
        <v>7.0202999999999998</v>
      </c>
      <c r="J127" s="27">
        <f>7.015 * CHOOSE(CONTROL!$C$32, $C$9, 100%, $E$9)</f>
        <v>7.0149999999999997</v>
      </c>
      <c r="K127" s="27">
        <f>7.0203 * CHOOSE(CONTROL!$C$32, $C$9, 100%, $E$9)</f>
        <v>7.0202999999999998</v>
      </c>
      <c r="L127" s="27">
        <f>4.3416 * CHOOSE(CONTROL!$C$32, $C$9, 100%, $E$9)</f>
        <v>4.3415999999999997</v>
      </c>
      <c r="M127" s="27">
        <f>4.3469 * CHOOSE(CONTROL!$C$32, $C$9, 100%, $E$9)</f>
        <v>4.3468999999999998</v>
      </c>
      <c r="N127" s="27">
        <f>4.3416 * CHOOSE(CONTROL!$C$32, $C$9, 100%, $E$9)</f>
        <v>4.3415999999999997</v>
      </c>
      <c r="O127" s="27">
        <f>4.3469 * CHOOSE(CONTROL!$C$32, $C$9, 100%, $E$9)</f>
        <v>4.3468999999999998</v>
      </c>
      <c r="P127" s="10"/>
      <c r="Q127" s="10"/>
      <c r="R127" s="10"/>
    </row>
    <row r="128" spans="1:18" ht="15" x14ac:dyDescent="0.2">
      <c r="A128" s="16">
        <v>44743</v>
      </c>
      <c r="B128" s="26">
        <f>3.4729 * CHOOSE(CONTROL!$C$32, $C$9, 100%, $E$9)</f>
        <v>3.4729000000000001</v>
      </c>
      <c r="C128" s="26">
        <f>3.4729 * CHOOSE(CONTROL!$C$32, $C$9, 100%, $E$9)</f>
        <v>3.4729000000000001</v>
      </c>
      <c r="D128" s="26">
        <f>3.4745 * CHOOSE(CONTROL!$C$32, $C$9, 100%, $E$9)</f>
        <v>3.4744999999999999</v>
      </c>
      <c r="E128" s="27">
        <f>4.4233 * CHOOSE(CONTROL!$C$32, $C$9, 100%, $E$9)</f>
        <v>4.4233000000000002</v>
      </c>
      <c r="F128" s="27">
        <f>4.4233 * CHOOSE(CONTROL!$C$32, $C$9, 100%, $E$9)</f>
        <v>4.4233000000000002</v>
      </c>
      <c r="G128" s="27">
        <f>4.4286 * CHOOSE(CONTROL!$C$32, $C$9, 100%, $E$9)</f>
        <v>4.4286000000000003</v>
      </c>
      <c r="H128" s="27">
        <f>7.0296 * CHOOSE(CONTROL!$C$32, $C$9, 100%, $E$9)</f>
        <v>7.0296000000000003</v>
      </c>
      <c r="I128" s="27">
        <f>7.0349 * CHOOSE(CONTROL!$C$32, $C$9, 100%, $E$9)</f>
        <v>7.0349000000000004</v>
      </c>
      <c r="J128" s="27">
        <f>7.0296 * CHOOSE(CONTROL!$C$32, $C$9, 100%, $E$9)</f>
        <v>7.0296000000000003</v>
      </c>
      <c r="K128" s="27">
        <f>7.0349 * CHOOSE(CONTROL!$C$32, $C$9, 100%, $E$9)</f>
        <v>7.0349000000000004</v>
      </c>
      <c r="L128" s="27">
        <f>4.4233 * CHOOSE(CONTROL!$C$32, $C$9, 100%, $E$9)</f>
        <v>4.4233000000000002</v>
      </c>
      <c r="M128" s="27">
        <f>4.4286 * CHOOSE(CONTROL!$C$32, $C$9, 100%, $E$9)</f>
        <v>4.4286000000000003</v>
      </c>
      <c r="N128" s="27">
        <f>4.4233 * CHOOSE(CONTROL!$C$32, $C$9, 100%, $E$9)</f>
        <v>4.4233000000000002</v>
      </c>
      <c r="O128" s="27">
        <f>4.4286 * CHOOSE(CONTROL!$C$32, $C$9, 100%, $E$9)</f>
        <v>4.4286000000000003</v>
      </c>
      <c r="P128" s="10"/>
      <c r="Q128" s="10"/>
      <c r="R128" s="10"/>
    </row>
    <row r="129" spans="1:18" ht="15" x14ac:dyDescent="0.2">
      <c r="A129" s="16">
        <v>44774</v>
      </c>
      <c r="B129" s="26">
        <f>3.4796 * CHOOSE(CONTROL!$C$32, $C$9, 100%, $E$9)</f>
        <v>3.4796</v>
      </c>
      <c r="C129" s="26">
        <f>3.4796 * CHOOSE(CONTROL!$C$32, $C$9, 100%, $E$9)</f>
        <v>3.4796</v>
      </c>
      <c r="D129" s="26">
        <f>3.4811 * CHOOSE(CONTROL!$C$32, $C$9, 100%, $E$9)</f>
        <v>3.4811000000000001</v>
      </c>
      <c r="E129" s="27">
        <f>4.4277 * CHOOSE(CONTROL!$C$32, $C$9, 100%, $E$9)</f>
        <v>4.4276999999999997</v>
      </c>
      <c r="F129" s="27">
        <f>4.4277 * CHOOSE(CONTROL!$C$32, $C$9, 100%, $E$9)</f>
        <v>4.4276999999999997</v>
      </c>
      <c r="G129" s="27">
        <f>4.433 * CHOOSE(CONTROL!$C$32, $C$9, 100%, $E$9)</f>
        <v>4.4329999999999998</v>
      </c>
      <c r="H129" s="27">
        <f>7.0443 * CHOOSE(CONTROL!$C$32, $C$9, 100%, $E$9)</f>
        <v>7.0442999999999998</v>
      </c>
      <c r="I129" s="27">
        <f>7.0496 * CHOOSE(CONTROL!$C$32, $C$9, 100%, $E$9)</f>
        <v>7.0495999999999999</v>
      </c>
      <c r="J129" s="27">
        <f>7.0443 * CHOOSE(CONTROL!$C$32, $C$9, 100%, $E$9)</f>
        <v>7.0442999999999998</v>
      </c>
      <c r="K129" s="27">
        <f>7.0496 * CHOOSE(CONTROL!$C$32, $C$9, 100%, $E$9)</f>
        <v>7.0495999999999999</v>
      </c>
      <c r="L129" s="27">
        <f>4.4277 * CHOOSE(CONTROL!$C$32, $C$9, 100%, $E$9)</f>
        <v>4.4276999999999997</v>
      </c>
      <c r="M129" s="27">
        <f>4.433 * CHOOSE(CONTROL!$C$32, $C$9, 100%, $E$9)</f>
        <v>4.4329999999999998</v>
      </c>
      <c r="N129" s="27">
        <f>4.4277 * CHOOSE(CONTROL!$C$32, $C$9, 100%, $E$9)</f>
        <v>4.4276999999999997</v>
      </c>
      <c r="O129" s="27">
        <f>4.433 * CHOOSE(CONTROL!$C$32, $C$9, 100%, $E$9)</f>
        <v>4.4329999999999998</v>
      </c>
      <c r="P129" s="10"/>
      <c r="Q129" s="10"/>
      <c r="R129" s="10"/>
    </row>
    <row r="130" spans="1:18" ht="15" x14ac:dyDescent="0.2">
      <c r="A130" s="16">
        <v>44805</v>
      </c>
      <c r="B130" s="26">
        <f>3.4765 * CHOOSE(CONTROL!$C$32, $C$9, 100%, $E$9)</f>
        <v>3.4765000000000001</v>
      </c>
      <c r="C130" s="26">
        <f>3.4765 * CHOOSE(CONTROL!$C$32, $C$9, 100%, $E$9)</f>
        <v>3.4765000000000001</v>
      </c>
      <c r="D130" s="26">
        <f>3.4781 * CHOOSE(CONTROL!$C$32, $C$9, 100%, $E$9)</f>
        <v>3.4781</v>
      </c>
      <c r="E130" s="27">
        <f>4.4257 * CHOOSE(CONTROL!$C$32, $C$9, 100%, $E$9)</f>
        <v>4.4257</v>
      </c>
      <c r="F130" s="27">
        <f>4.4257 * CHOOSE(CONTROL!$C$32, $C$9, 100%, $E$9)</f>
        <v>4.4257</v>
      </c>
      <c r="G130" s="27">
        <f>4.431 * CHOOSE(CONTROL!$C$32, $C$9, 100%, $E$9)</f>
        <v>4.431</v>
      </c>
      <c r="H130" s="27">
        <f>7.0589 * CHOOSE(CONTROL!$C$32, $C$9, 100%, $E$9)</f>
        <v>7.0589000000000004</v>
      </c>
      <c r="I130" s="27">
        <f>7.0642 * CHOOSE(CONTROL!$C$32, $C$9, 100%, $E$9)</f>
        <v>7.0641999999999996</v>
      </c>
      <c r="J130" s="27">
        <f>7.0589 * CHOOSE(CONTROL!$C$32, $C$9, 100%, $E$9)</f>
        <v>7.0589000000000004</v>
      </c>
      <c r="K130" s="27">
        <f>7.0642 * CHOOSE(CONTROL!$C$32, $C$9, 100%, $E$9)</f>
        <v>7.0641999999999996</v>
      </c>
      <c r="L130" s="27">
        <f>4.4257 * CHOOSE(CONTROL!$C$32, $C$9, 100%, $E$9)</f>
        <v>4.4257</v>
      </c>
      <c r="M130" s="27">
        <f>4.431 * CHOOSE(CONTROL!$C$32, $C$9, 100%, $E$9)</f>
        <v>4.431</v>
      </c>
      <c r="N130" s="27">
        <f>4.4257 * CHOOSE(CONTROL!$C$32, $C$9, 100%, $E$9)</f>
        <v>4.4257</v>
      </c>
      <c r="O130" s="27">
        <f>4.431 * CHOOSE(CONTROL!$C$32, $C$9, 100%, $E$9)</f>
        <v>4.431</v>
      </c>
      <c r="P130" s="10"/>
      <c r="Q130" s="10"/>
      <c r="R130" s="10"/>
    </row>
    <row r="131" spans="1:18" ht="15" x14ac:dyDescent="0.2">
      <c r="A131" s="16">
        <v>44835</v>
      </c>
      <c r="B131" s="26">
        <f>3.4698 * CHOOSE(CONTROL!$C$32, $C$9, 100%, $E$9)</f>
        <v>3.4698000000000002</v>
      </c>
      <c r="C131" s="26">
        <f>3.4698 * CHOOSE(CONTROL!$C$32, $C$9, 100%, $E$9)</f>
        <v>3.4698000000000002</v>
      </c>
      <c r="D131" s="26">
        <f>3.4709 * CHOOSE(CONTROL!$C$32, $C$9, 100%, $E$9)</f>
        <v>3.4708999999999999</v>
      </c>
      <c r="E131" s="27">
        <f>4.4195 * CHOOSE(CONTROL!$C$32, $C$9, 100%, $E$9)</f>
        <v>4.4195000000000002</v>
      </c>
      <c r="F131" s="27">
        <f>4.4195 * CHOOSE(CONTROL!$C$32, $C$9, 100%, $E$9)</f>
        <v>4.4195000000000002</v>
      </c>
      <c r="G131" s="27">
        <f>4.4231 * CHOOSE(CONTROL!$C$32, $C$9, 100%, $E$9)</f>
        <v>4.4230999999999998</v>
      </c>
      <c r="H131" s="27">
        <f>7.0736 * CHOOSE(CONTROL!$C$32, $C$9, 100%, $E$9)</f>
        <v>7.0735999999999999</v>
      </c>
      <c r="I131" s="27">
        <f>7.0773 * CHOOSE(CONTROL!$C$32, $C$9, 100%, $E$9)</f>
        <v>7.0773000000000001</v>
      </c>
      <c r="J131" s="27">
        <f>7.0736 * CHOOSE(CONTROL!$C$32, $C$9, 100%, $E$9)</f>
        <v>7.0735999999999999</v>
      </c>
      <c r="K131" s="27">
        <f>7.0773 * CHOOSE(CONTROL!$C$32, $C$9, 100%, $E$9)</f>
        <v>7.0773000000000001</v>
      </c>
      <c r="L131" s="27">
        <f>4.4195 * CHOOSE(CONTROL!$C$32, $C$9, 100%, $E$9)</f>
        <v>4.4195000000000002</v>
      </c>
      <c r="M131" s="27">
        <f>4.4231 * CHOOSE(CONTROL!$C$32, $C$9, 100%, $E$9)</f>
        <v>4.4230999999999998</v>
      </c>
      <c r="N131" s="27">
        <f>4.4195 * CHOOSE(CONTROL!$C$32, $C$9, 100%, $E$9)</f>
        <v>4.4195000000000002</v>
      </c>
      <c r="O131" s="27">
        <f>4.4231 * CHOOSE(CONTROL!$C$32, $C$9, 100%, $E$9)</f>
        <v>4.4230999999999998</v>
      </c>
      <c r="P131" s="10"/>
      <c r="Q131" s="10"/>
      <c r="R131" s="10"/>
    </row>
    <row r="132" spans="1:18" ht="15" x14ac:dyDescent="0.2">
      <c r="A132" s="16">
        <v>44866</v>
      </c>
      <c r="B132" s="26">
        <f>3.4728 * CHOOSE(CONTROL!$C$32, $C$9, 100%, $E$9)</f>
        <v>3.4727999999999999</v>
      </c>
      <c r="C132" s="26">
        <f>3.4728 * CHOOSE(CONTROL!$C$32, $C$9, 100%, $E$9)</f>
        <v>3.4727999999999999</v>
      </c>
      <c r="D132" s="26">
        <f>3.4739 * CHOOSE(CONTROL!$C$32, $C$9, 100%, $E$9)</f>
        <v>3.4739</v>
      </c>
      <c r="E132" s="27">
        <f>4.4215 * CHOOSE(CONTROL!$C$32, $C$9, 100%, $E$9)</f>
        <v>4.4215</v>
      </c>
      <c r="F132" s="27">
        <f>4.4215 * CHOOSE(CONTROL!$C$32, $C$9, 100%, $E$9)</f>
        <v>4.4215</v>
      </c>
      <c r="G132" s="27">
        <f>4.4251 * CHOOSE(CONTROL!$C$32, $C$9, 100%, $E$9)</f>
        <v>4.4250999999999996</v>
      </c>
      <c r="H132" s="27">
        <f>7.0884 * CHOOSE(CONTROL!$C$32, $C$9, 100%, $E$9)</f>
        <v>7.0884</v>
      </c>
      <c r="I132" s="27">
        <f>7.092 * CHOOSE(CONTROL!$C$32, $C$9, 100%, $E$9)</f>
        <v>7.0919999999999996</v>
      </c>
      <c r="J132" s="27">
        <f>7.0884 * CHOOSE(CONTROL!$C$32, $C$9, 100%, $E$9)</f>
        <v>7.0884</v>
      </c>
      <c r="K132" s="27">
        <f>7.092 * CHOOSE(CONTROL!$C$32, $C$9, 100%, $E$9)</f>
        <v>7.0919999999999996</v>
      </c>
      <c r="L132" s="27">
        <f>4.4215 * CHOOSE(CONTROL!$C$32, $C$9, 100%, $E$9)</f>
        <v>4.4215</v>
      </c>
      <c r="M132" s="27">
        <f>4.4251 * CHOOSE(CONTROL!$C$32, $C$9, 100%, $E$9)</f>
        <v>4.4250999999999996</v>
      </c>
      <c r="N132" s="27">
        <f>4.4215 * CHOOSE(CONTROL!$C$32, $C$9, 100%, $E$9)</f>
        <v>4.4215</v>
      </c>
      <c r="O132" s="27">
        <f>4.4251 * CHOOSE(CONTROL!$C$32, $C$9, 100%, $E$9)</f>
        <v>4.4250999999999996</v>
      </c>
      <c r="P132" s="10"/>
      <c r="Q132" s="10"/>
      <c r="R132" s="10"/>
    </row>
    <row r="133" spans="1:18" ht="15" x14ac:dyDescent="0.2">
      <c r="A133" s="16">
        <v>44896</v>
      </c>
      <c r="B133" s="26">
        <f>3.4728 * CHOOSE(CONTROL!$C$32, $C$9, 100%, $E$9)</f>
        <v>3.4727999999999999</v>
      </c>
      <c r="C133" s="26">
        <f>3.4728 * CHOOSE(CONTROL!$C$32, $C$9, 100%, $E$9)</f>
        <v>3.4727999999999999</v>
      </c>
      <c r="D133" s="26">
        <f>3.4739 * CHOOSE(CONTROL!$C$32, $C$9, 100%, $E$9)</f>
        <v>3.4739</v>
      </c>
      <c r="E133" s="27">
        <f>4.4215 * CHOOSE(CONTROL!$C$32, $C$9, 100%, $E$9)</f>
        <v>4.4215</v>
      </c>
      <c r="F133" s="27">
        <f>4.4215 * CHOOSE(CONTROL!$C$32, $C$9, 100%, $E$9)</f>
        <v>4.4215</v>
      </c>
      <c r="G133" s="27">
        <f>4.4251 * CHOOSE(CONTROL!$C$32, $C$9, 100%, $E$9)</f>
        <v>4.4250999999999996</v>
      </c>
      <c r="H133" s="27">
        <f>7.1032 * CHOOSE(CONTROL!$C$32, $C$9, 100%, $E$9)</f>
        <v>7.1032000000000002</v>
      </c>
      <c r="I133" s="27">
        <f>7.1068 * CHOOSE(CONTROL!$C$32, $C$9, 100%, $E$9)</f>
        <v>7.1067999999999998</v>
      </c>
      <c r="J133" s="27">
        <f>7.1032 * CHOOSE(CONTROL!$C$32, $C$9, 100%, $E$9)</f>
        <v>7.1032000000000002</v>
      </c>
      <c r="K133" s="27">
        <f>7.1068 * CHOOSE(CONTROL!$C$32, $C$9, 100%, $E$9)</f>
        <v>7.1067999999999998</v>
      </c>
      <c r="L133" s="27">
        <f>4.4215 * CHOOSE(CONTROL!$C$32, $C$9, 100%, $E$9)</f>
        <v>4.4215</v>
      </c>
      <c r="M133" s="27">
        <f>4.4251 * CHOOSE(CONTROL!$C$32, $C$9, 100%, $E$9)</f>
        <v>4.4250999999999996</v>
      </c>
      <c r="N133" s="27">
        <f>4.4215 * CHOOSE(CONTROL!$C$32, $C$9, 100%, $E$9)</f>
        <v>4.4215</v>
      </c>
      <c r="O133" s="27">
        <f>4.4251 * CHOOSE(CONTROL!$C$32, $C$9, 100%, $E$9)</f>
        <v>4.4250999999999996</v>
      </c>
      <c r="P133" s="10"/>
      <c r="Q133" s="10"/>
      <c r="R133" s="10"/>
    </row>
    <row r="134" spans="1:18" ht="15" x14ac:dyDescent="0.2">
      <c r="A134" s="16">
        <v>44927</v>
      </c>
      <c r="B134" s="26">
        <f>3.5089 * CHOOSE(CONTROL!$C$32, $C$9, 100%, $E$9)</f>
        <v>3.5089000000000001</v>
      </c>
      <c r="C134" s="26">
        <f>3.5089 * CHOOSE(CONTROL!$C$32, $C$9, 100%, $E$9)</f>
        <v>3.5089000000000001</v>
      </c>
      <c r="D134" s="26">
        <f>3.5099 * CHOOSE(CONTROL!$C$32, $C$9, 100%, $E$9)</f>
        <v>3.5099</v>
      </c>
      <c r="E134" s="27">
        <f>4.4558 * CHOOSE(CONTROL!$C$32, $C$9, 100%, $E$9)</f>
        <v>4.4558</v>
      </c>
      <c r="F134" s="27">
        <f>4.4558 * CHOOSE(CONTROL!$C$32, $C$9, 100%, $E$9)</f>
        <v>4.4558</v>
      </c>
      <c r="G134" s="27">
        <f>4.4594 * CHOOSE(CONTROL!$C$32, $C$9, 100%, $E$9)</f>
        <v>4.4593999999999996</v>
      </c>
      <c r="H134" s="27">
        <f>7.118 * CHOOSE(CONTROL!$C$32, $C$9, 100%, $E$9)</f>
        <v>7.1180000000000003</v>
      </c>
      <c r="I134" s="27">
        <f>7.1216 * CHOOSE(CONTROL!$C$32, $C$9, 100%, $E$9)</f>
        <v>7.1215999999999999</v>
      </c>
      <c r="J134" s="27">
        <f>7.118 * CHOOSE(CONTROL!$C$32, $C$9, 100%, $E$9)</f>
        <v>7.1180000000000003</v>
      </c>
      <c r="K134" s="27">
        <f>7.1216 * CHOOSE(CONTROL!$C$32, $C$9, 100%, $E$9)</f>
        <v>7.1215999999999999</v>
      </c>
      <c r="L134" s="27">
        <f>4.4558 * CHOOSE(CONTROL!$C$32, $C$9, 100%, $E$9)</f>
        <v>4.4558</v>
      </c>
      <c r="M134" s="27">
        <f>4.4594 * CHOOSE(CONTROL!$C$32, $C$9, 100%, $E$9)</f>
        <v>4.4593999999999996</v>
      </c>
      <c r="N134" s="27">
        <f>4.4558 * CHOOSE(CONTROL!$C$32, $C$9, 100%, $E$9)</f>
        <v>4.4558</v>
      </c>
      <c r="O134" s="27">
        <f>4.4594 * CHOOSE(CONTROL!$C$32, $C$9, 100%, $E$9)</f>
        <v>4.4593999999999996</v>
      </c>
      <c r="P134" s="10"/>
      <c r="Q134" s="10"/>
      <c r="R134" s="10"/>
    </row>
    <row r="135" spans="1:18" ht="15" x14ac:dyDescent="0.2">
      <c r="A135" s="16">
        <v>44958</v>
      </c>
      <c r="B135" s="26">
        <f>3.5058 * CHOOSE(CONTROL!$C$32, $C$9, 100%, $E$9)</f>
        <v>3.5057999999999998</v>
      </c>
      <c r="C135" s="26">
        <f>3.5058 * CHOOSE(CONTROL!$C$32, $C$9, 100%, $E$9)</f>
        <v>3.5057999999999998</v>
      </c>
      <c r="D135" s="26">
        <f>3.5069 * CHOOSE(CONTROL!$C$32, $C$9, 100%, $E$9)</f>
        <v>3.5068999999999999</v>
      </c>
      <c r="E135" s="27">
        <f>4.4538 * CHOOSE(CONTROL!$C$32, $C$9, 100%, $E$9)</f>
        <v>4.4538000000000002</v>
      </c>
      <c r="F135" s="27">
        <f>4.4538 * CHOOSE(CONTROL!$C$32, $C$9, 100%, $E$9)</f>
        <v>4.4538000000000002</v>
      </c>
      <c r="G135" s="27">
        <f>4.4574 * CHOOSE(CONTROL!$C$32, $C$9, 100%, $E$9)</f>
        <v>4.4573999999999998</v>
      </c>
      <c r="H135" s="27">
        <f>7.1328 * CHOOSE(CONTROL!$C$32, $C$9, 100%, $E$9)</f>
        <v>7.1327999999999996</v>
      </c>
      <c r="I135" s="27">
        <f>7.1364 * CHOOSE(CONTROL!$C$32, $C$9, 100%, $E$9)</f>
        <v>7.1364000000000001</v>
      </c>
      <c r="J135" s="27">
        <f>7.1328 * CHOOSE(CONTROL!$C$32, $C$9, 100%, $E$9)</f>
        <v>7.1327999999999996</v>
      </c>
      <c r="K135" s="27">
        <f>7.1364 * CHOOSE(CONTROL!$C$32, $C$9, 100%, $E$9)</f>
        <v>7.1364000000000001</v>
      </c>
      <c r="L135" s="27">
        <f>4.4538 * CHOOSE(CONTROL!$C$32, $C$9, 100%, $E$9)</f>
        <v>4.4538000000000002</v>
      </c>
      <c r="M135" s="27">
        <f>4.4574 * CHOOSE(CONTROL!$C$32, $C$9, 100%, $E$9)</f>
        <v>4.4573999999999998</v>
      </c>
      <c r="N135" s="27">
        <f>4.4538 * CHOOSE(CONTROL!$C$32, $C$9, 100%, $E$9)</f>
        <v>4.4538000000000002</v>
      </c>
      <c r="O135" s="27">
        <f>4.4574 * CHOOSE(CONTROL!$C$32, $C$9, 100%, $E$9)</f>
        <v>4.4573999999999998</v>
      </c>
      <c r="P135" s="10"/>
      <c r="Q135" s="10"/>
      <c r="R135" s="10"/>
    </row>
    <row r="136" spans="1:18" ht="15" x14ac:dyDescent="0.2">
      <c r="A136" s="16">
        <v>44986</v>
      </c>
      <c r="B136" s="26">
        <f>3.5028 * CHOOSE(CONTROL!$C$32, $C$9, 100%, $E$9)</f>
        <v>3.5028000000000001</v>
      </c>
      <c r="C136" s="26">
        <f>3.5028 * CHOOSE(CONTROL!$C$32, $C$9, 100%, $E$9)</f>
        <v>3.5028000000000001</v>
      </c>
      <c r="D136" s="26">
        <f>3.5039 * CHOOSE(CONTROL!$C$32, $C$9, 100%, $E$9)</f>
        <v>3.5038999999999998</v>
      </c>
      <c r="E136" s="27">
        <f>4.4518 * CHOOSE(CONTROL!$C$32, $C$9, 100%, $E$9)</f>
        <v>4.4518000000000004</v>
      </c>
      <c r="F136" s="27">
        <f>4.4518 * CHOOSE(CONTROL!$C$32, $C$9, 100%, $E$9)</f>
        <v>4.4518000000000004</v>
      </c>
      <c r="G136" s="27">
        <f>4.4554 * CHOOSE(CONTROL!$C$32, $C$9, 100%, $E$9)</f>
        <v>4.4554</v>
      </c>
      <c r="H136" s="27">
        <f>7.1476 * CHOOSE(CONTROL!$C$32, $C$9, 100%, $E$9)</f>
        <v>7.1475999999999997</v>
      </c>
      <c r="I136" s="27">
        <f>7.1513 * CHOOSE(CONTROL!$C$32, $C$9, 100%, $E$9)</f>
        <v>7.1513</v>
      </c>
      <c r="J136" s="27">
        <f>7.1476 * CHOOSE(CONTROL!$C$32, $C$9, 100%, $E$9)</f>
        <v>7.1475999999999997</v>
      </c>
      <c r="K136" s="27">
        <f>7.1513 * CHOOSE(CONTROL!$C$32, $C$9, 100%, $E$9)</f>
        <v>7.1513</v>
      </c>
      <c r="L136" s="27">
        <f>4.4518 * CHOOSE(CONTROL!$C$32, $C$9, 100%, $E$9)</f>
        <v>4.4518000000000004</v>
      </c>
      <c r="M136" s="27">
        <f>4.4554 * CHOOSE(CONTROL!$C$32, $C$9, 100%, $E$9)</f>
        <v>4.4554</v>
      </c>
      <c r="N136" s="27">
        <f>4.4518 * CHOOSE(CONTROL!$C$32, $C$9, 100%, $E$9)</f>
        <v>4.4518000000000004</v>
      </c>
      <c r="O136" s="27">
        <f>4.4554 * CHOOSE(CONTROL!$C$32, $C$9, 100%, $E$9)</f>
        <v>4.4554</v>
      </c>
      <c r="P136" s="10"/>
      <c r="Q136" s="10"/>
      <c r="R136" s="10"/>
    </row>
    <row r="137" spans="1:18" ht="15" x14ac:dyDescent="0.2">
      <c r="A137" s="16">
        <v>45017</v>
      </c>
      <c r="B137" s="26">
        <f>3.5 * CHOOSE(CONTROL!$C$32, $C$9, 100%, $E$9)</f>
        <v>3.5</v>
      </c>
      <c r="C137" s="26">
        <f>3.5 * CHOOSE(CONTROL!$C$32, $C$9, 100%, $E$9)</f>
        <v>3.5</v>
      </c>
      <c r="D137" s="26">
        <f>3.5011 * CHOOSE(CONTROL!$C$32, $C$9, 100%, $E$9)</f>
        <v>3.5011000000000001</v>
      </c>
      <c r="E137" s="27">
        <f>4.4495 * CHOOSE(CONTROL!$C$32, $C$9, 100%, $E$9)</f>
        <v>4.4494999999999996</v>
      </c>
      <c r="F137" s="27">
        <f>4.4495 * CHOOSE(CONTROL!$C$32, $C$9, 100%, $E$9)</f>
        <v>4.4494999999999996</v>
      </c>
      <c r="G137" s="27">
        <f>4.4531 * CHOOSE(CONTROL!$C$32, $C$9, 100%, $E$9)</f>
        <v>4.4531000000000001</v>
      </c>
      <c r="H137" s="27">
        <f>7.1625 * CHOOSE(CONTROL!$C$32, $C$9, 100%, $E$9)</f>
        <v>7.1624999999999996</v>
      </c>
      <c r="I137" s="27">
        <f>7.1661 * CHOOSE(CONTROL!$C$32, $C$9, 100%, $E$9)</f>
        <v>7.1661000000000001</v>
      </c>
      <c r="J137" s="27">
        <f>7.1625 * CHOOSE(CONTROL!$C$32, $C$9, 100%, $E$9)</f>
        <v>7.1624999999999996</v>
      </c>
      <c r="K137" s="27">
        <f>7.1661 * CHOOSE(CONTROL!$C$32, $C$9, 100%, $E$9)</f>
        <v>7.1661000000000001</v>
      </c>
      <c r="L137" s="27">
        <f>4.4495 * CHOOSE(CONTROL!$C$32, $C$9, 100%, $E$9)</f>
        <v>4.4494999999999996</v>
      </c>
      <c r="M137" s="27">
        <f>4.4531 * CHOOSE(CONTROL!$C$32, $C$9, 100%, $E$9)</f>
        <v>4.4531000000000001</v>
      </c>
      <c r="N137" s="27">
        <f>4.4495 * CHOOSE(CONTROL!$C$32, $C$9, 100%, $E$9)</f>
        <v>4.4494999999999996</v>
      </c>
      <c r="O137" s="27">
        <f>4.4531 * CHOOSE(CONTROL!$C$32, $C$9, 100%, $E$9)</f>
        <v>4.4531000000000001</v>
      </c>
      <c r="P137" s="10"/>
      <c r="Q137" s="10"/>
      <c r="R137" s="10"/>
    </row>
    <row r="138" spans="1:18" ht="15" x14ac:dyDescent="0.2">
      <c r="A138" s="16">
        <v>45047</v>
      </c>
      <c r="B138" s="26">
        <f>3.5 * CHOOSE(CONTROL!$C$32, $C$9, 100%, $E$9)</f>
        <v>3.5</v>
      </c>
      <c r="C138" s="26">
        <f>3.5 * CHOOSE(CONTROL!$C$32, $C$9, 100%, $E$9)</f>
        <v>3.5</v>
      </c>
      <c r="D138" s="26">
        <f>3.5016 * CHOOSE(CONTROL!$C$32, $C$9, 100%, $E$9)</f>
        <v>3.5015999999999998</v>
      </c>
      <c r="E138" s="27">
        <f>4.4495 * CHOOSE(CONTROL!$C$32, $C$9, 100%, $E$9)</f>
        <v>4.4494999999999996</v>
      </c>
      <c r="F138" s="27">
        <f>4.4495 * CHOOSE(CONTROL!$C$32, $C$9, 100%, $E$9)</f>
        <v>4.4494999999999996</v>
      </c>
      <c r="G138" s="27">
        <f>4.4548 * CHOOSE(CONTROL!$C$32, $C$9, 100%, $E$9)</f>
        <v>4.4547999999999996</v>
      </c>
      <c r="H138" s="27">
        <f>7.1775 * CHOOSE(CONTROL!$C$32, $C$9, 100%, $E$9)</f>
        <v>7.1775000000000002</v>
      </c>
      <c r="I138" s="27">
        <f>7.1827 * CHOOSE(CONTROL!$C$32, $C$9, 100%, $E$9)</f>
        <v>7.1826999999999996</v>
      </c>
      <c r="J138" s="27">
        <f>7.1775 * CHOOSE(CONTROL!$C$32, $C$9, 100%, $E$9)</f>
        <v>7.1775000000000002</v>
      </c>
      <c r="K138" s="27">
        <f>7.1827 * CHOOSE(CONTROL!$C$32, $C$9, 100%, $E$9)</f>
        <v>7.1826999999999996</v>
      </c>
      <c r="L138" s="27">
        <f>4.4495 * CHOOSE(CONTROL!$C$32, $C$9, 100%, $E$9)</f>
        <v>4.4494999999999996</v>
      </c>
      <c r="M138" s="27">
        <f>4.4548 * CHOOSE(CONTROL!$C$32, $C$9, 100%, $E$9)</f>
        <v>4.4547999999999996</v>
      </c>
      <c r="N138" s="27">
        <f>4.4495 * CHOOSE(CONTROL!$C$32, $C$9, 100%, $E$9)</f>
        <v>4.4494999999999996</v>
      </c>
      <c r="O138" s="27">
        <f>4.4548 * CHOOSE(CONTROL!$C$32, $C$9, 100%, $E$9)</f>
        <v>4.4547999999999996</v>
      </c>
      <c r="P138" s="10"/>
      <c r="Q138" s="10"/>
      <c r="R138" s="10"/>
    </row>
    <row r="139" spans="1:18" ht="15" x14ac:dyDescent="0.2">
      <c r="A139" s="16">
        <v>45078</v>
      </c>
      <c r="B139" s="26">
        <f>3.5061 * CHOOSE(CONTROL!$C$32, $C$9, 100%, $E$9)</f>
        <v>3.5061</v>
      </c>
      <c r="C139" s="26">
        <f>3.5061 * CHOOSE(CONTROL!$C$32, $C$9, 100%, $E$9)</f>
        <v>3.5061</v>
      </c>
      <c r="D139" s="26">
        <f>3.5077 * CHOOSE(CONTROL!$C$32, $C$9, 100%, $E$9)</f>
        <v>3.5076999999999998</v>
      </c>
      <c r="E139" s="27">
        <f>4.4535 * CHOOSE(CONTROL!$C$32, $C$9, 100%, $E$9)</f>
        <v>4.4535</v>
      </c>
      <c r="F139" s="27">
        <f>4.4535 * CHOOSE(CONTROL!$C$32, $C$9, 100%, $E$9)</f>
        <v>4.4535</v>
      </c>
      <c r="G139" s="27">
        <f>4.4588 * CHOOSE(CONTROL!$C$32, $C$9, 100%, $E$9)</f>
        <v>4.4588000000000001</v>
      </c>
      <c r="H139" s="27">
        <f>7.1924 * CHOOSE(CONTROL!$C$32, $C$9, 100%, $E$9)</f>
        <v>7.1924000000000001</v>
      </c>
      <c r="I139" s="27">
        <f>7.1977 * CHOOSE(CONTROL!$C$32, $C$9, 100%, $E$9)</f>
        <v>7.1977000000000002</v>
      </c>
      <c r="J139" s="27">
        <f>7.1924 * CHOOSE(CONTROL!$C$32, $C$9, 100%, $E$9)</f>
        <v>7.1924000000000001</v>
      </c>
      <c r="K139" s="27">
        <f>7.1977 * CHOOSE(CONTROL!$C$32, $C$9, 100%, $E$9)</f>
        <v>7.1977000000000002</v>
      </c>
      <c r="L139" s="27">
        <f>4.4535 * CHOOSE(CONTROL!$C$32, $C$9, 100%, $E$9)</f>
        <v>4.4535</v>
      </c>
      <c r="M139" s="27">
        <f>4.4588 * CHOOSE(CONTROL!$C$32, $C$9, 100%, $E$9)</f>
        <v>4.4588000000000001</v>
      </c>
      <c r="N139" s="27">
        <f>4.4535 * CHOOSE(CONTROL!$C$32, $C$9, 100%, $E$9)</f>
        <v>4.4535</v>
      </c>
      <c r="O139" s="27">
        <f>4.4588 * CHOOSE(CONTROL!$C$32, $C$9, 100%, $E$9)</f>
        <v>4.4588000000000001</v>
      </c>
      <c r="P139" s="10"/>
      <c r="Q139" s="10"/>
      <c r="R139" s="10"/>
    </row>
    <row r="140" spans="1:18" ht="15" x14ac:dyDescent="0.2">
      <c r="A140" s="16">
        <v>45108</v>
      </c>
      <c r="B140" s="26">
        <f>3.5764 * CHOOSE(CONTROL!$C$32, $C$9, 100%, $E$9)</f>
        <v>3.5764</v>
      </c>
      <c r="C140" s="26">
        <f>3.5764 * CHOOSE(CONTROL!$C$32, $C$9, 100%, $E$9)</f>
        <v>3.5764</v>
      </c>
      <c r="D140" s="26">
        <f>3.578 * CHOOSE(CONTROL!$C$32, $C$9, 100%, $E$9)</f>
        <v>3.5779999999999998</v>
      </c>
      <c r="E140" s="27">
        <f>4.5283 * CHOOSE(CONTROL!$C$32, $C$9, 100%, $E$9)</f>
        <v>4.5282999999999998</v>
      </c>
      <c r="F140" s="27">
        <f>4.5283 * CHOOSE(CONTROL!$C$32, $C$9, 100%, $E$9)</f>
        <v>4.5282999999999998</v>
      </c>
      <c r="G140" s="27">
        <f>4.5336 * CHOOSE(CONTROL!$C$32, $C$9, 100%, $E$9)</f>
        <v>4.5335999999999999</v>
      </c>
      <c r="H140" s="27">
        <f>7.2074 * CHOOSE(CONTROL!$C$32, $C$9, 100%, $E$9)</f>
        <v>7.2073999999999998</v>
      </c>
      <c r="I140" s="27">
        <f>7.2127 * CHOOSE(CONTROL!$C$32, $C$9, 100%, $E$9)</f>
        <v>7.2126999999999999</v>
      </c>
      <c r="J140" s="27">
        <f>7.2074 * CHOOSE(CONTROL!$C$32, $C$9, 100%, $E$9)</f>
        <v>7.2073999999999998</v>
      </c>
      <c r="K140" s="27">
        <f>7.2127 * CHOOSE(CONTROL!$C$32, $C$9, 100%, $E$9)</f>
        <v>7.2126999999999999</v>
      </c>
      <c r="L140" s="27">
        <f>4.5283 * CHOOSE(CONTROL!$C$32, $C$9, 100%, $E$9)</f>
        <v>4.5282999999999998</v>
      </c>
      <c r="M140" s="27">
        <f>4.5336 * CHOOSE(CONTROL!$C$32, $C$9, 100%, $E$9)</f>
        <v>4.5335999999999999</v>
      </c>
      <c r="N140" s="27">
        <f>4.5283 * CHOOSE(CONTROL!$C$32, $C$9, 100%, $E$9)</f>
        <v>4.5282999999999998</v>
      </c>
      <c r="O140" s="27">
        <f>4.5336 * CHOOSE(CONTROL!$C$32, $C$9, 100%, $E$9)</f>
        <v>4.5335999999999999</v>
      </c>
      <c r="P140" s="10"/>
      <c r="Q140" s="10"/>
      <c r="R140" s="10"/>
    </row>
    <row r="141" spans="1:18" ht="15" x14ac:dyDescent="0.2">
      <c r="A141" s="16">
        <v>45139</v>
      </c>
      <c r="B141" s="26">
        <f>3.5831 * CHOOSE(CONTROL!$C$32, $C$9, 100%, $E$9)</f>
        <v>3.5831</v>
      </c>
      <c r="C141" s="26">
        <f>3.5831 * CHOOSE(CONTROL!$C$32, $C$9, 100%, $E$9)</f>
        <v>3.5831</v>
      </c>
      <c r="D141" s="26">
        <f>3.5846 * CHOOSE(CONTROL!$C$32, $C$9, 100%, $E$9)</f>
        <v>3.5846</v>
      </c>
      <c r="E141" s="27">
        <f>4.5327 * CHOOSE(CONTROL!$C$32, $C$9, 100%, $E$9)</f>
        <v>4.5327000000000002</v>
      </c>
      <c r="F141" s="27">
        <f>4.5327 * CHOOSE(CONTROL!$C$32, $C$9, 100%, $E$9)</f>
        <v>4.5327000000000002</v>
      </c>
      <c r="G141" s="27">
        <f>4.538 * CHOOSE(CONTROL!$C$32, $C$9, 100%, $E$9)</f>
        <v>4.5380000000000003</v>
      </c>
      <c r="H141" s="27">
        <f>7.2224 * CHOOSE(CONTROL!$C$32, $C$9, 100%, $E$9)</f>
        <v>7.2224000000000004</v>
      </c>
      <c r="I141" s="27">
        <f>7.2277 * CHOOSE(CONTROL!$C$32, $C$9, 100%, $E$9)</f>
        <v>7.2276999999999996</v>
      </c>
      <c r="J141" s="27">
        <f>7.2224 * CHOOSE(CONTROL!$C$32, $C$9, 100%, $E$9)</f>
        <v>7.2224000000000004</v>
      </c>
      <c r="K141" s="27">
        <f>7.2277 * CHOOSE(CONTROL!$C$32, $C$9, 100%, $E$9)</f>
        <v>7.2276999999999996</v>
      </c>
      <c r="L141" s="27">
        <f>4.5327 * CHOOSE(CONTROL!$C$32, $C$9, 100%, $E$9)</f>
        <v>4.5327000000000002</v>
      </c>
      <c r="M141" s="27">
        <f>4.538 * CHOOSE(CONTROL!$C$32, $C$9, 100%, $E$9)</f>
        <v>4.5380000000000003</v>
      </c>
      <c r="N141" s="27">
        <f>4.5327 * CHOOSE(CONTROL!$C$32, $C$9, 100%, $E$9)</f>
        <v>4.5327000000000002</v>
      </c>
      <c r="O141" s="27">
        <f>4.538 * CHOOSE(CONTROL!$C$32, $C$9, 100%, $E$9)</f>
        <v>4.5380000000000003</v>
      </c>
      <c r="P141" s="10"/>
      <c r="Q141" s="10"/>
      <c r="R141" s="10"/>
    </row>
    <row r="142" spans="1:18" ht="15" x14ac:dyDescent="0.2">
      <c r="A142" s="16">
        <v>45170</v>
      </c>
      <c r="B142" s="26">
        <f>3.58 * CHOOSE(CONTROL!$C$32, $C$9, 100%, $E$9)</f>
        <v>3.58</v>
      </c>
      <c r="C142" s="26">
        <f>3.58 * CHOOSE(CONTROL!$C$32, $C$9, 100%, $E$9)</f>
        <v>3.58</v>
      </c>
      <c r="D142" s="26">
        <f>3.5816 * CHOOSE(CONTROL!$C$32, $C$9, 100%, $E$9)</f>
        <v>3.5815999999999999</v>
      </c>
      <c r="E142" s="27">
        <f>4.5307 * CHOOSE(CONTROL!$C$32, $C$9, 100%, $E$9)</f>
        <v>4.5307000000000004</v>
      </c>
      <c r="F142" s="27">
        <f>4.5307 * CHOOSE(CONTROL!$C$32, $C$9, 100%, $E$9)</f>
        <v>4.5307000000000004</v>
      </c>
      <c r="G142" s="27">
        <f>4.536 * CHOOSE(CONTROL!$C$32, $C$9, 100%, $E$9)</f>
        <v>4.5359999999999996</v>
      </c>
      <c r="H142" s="27">
        <f>7.2375 * CHOOSE(CONTROL!$C$32, $C$9, 100%, $E$9)</f>
        <v>7.2374999999999998</v>
      </c>
      <c r="I142" s="27">
        <f>7.2427 * CHOOSE(CONTROL!$C$32, $C$9, 100%, $E$9)</f>
        <v>7.2427000000000001</v>
      </c>
      <c r="J142" s="27">
        <f>7.2375 * CHOOSE(CONTROL!$C$32, $C$9, 100%, $E$9)</f>
        <v>7.2374999999999998</v>
      </c>
      <c r="K142" s="27">
        <f>7.2427 * CHOOSE(CONTROL!$C$32, $C$9, 100%, $E$9)</f>
        <v>7.2427000000000001</v>
      </c>
      <c r="L142" s="27">
        <f>4.5307 * CHOOSE(CONTROL!$C$32, $C$9, 100%, $E$9)</f>
        <v>4.5307000000000004</v>
      </c>
      <c r="M142" s="27">
        <f>4.536 * CHOOSE(CONTROL!$C$32, $C$9, 100%, $E$9)</f>
        <v>4.5359999999999996</v>
      </c>
      <c r="N142" s="27">
        <f>4.5307 * CHOOSE(CONTROL!$C$32, $C$9, 100%, $E$9)</f>
        <v>4.5307000000000004</v>
      </c>
      <c r="O142" s="27">
        <f>4.536 * CHOOSE(CONTROL!$C$32, $C$9, 100%, $E$9)</f>
        <v>4.5359999999999996</v>
      </c>
      <c r="P142" s="10"/>
      <c r="Q142" s="10"/>
      <c r="R142" s="10"/>
    </row>
    <row r="143" spans="1:18" ht="15" x14ac:dyDescent="0.2">
      <c r="A143" s="16">
        <v>45200</v>
      </c>
      <c r="B143" s="26">
        <f>3.5736 * CHOOSE(CONTROL!$C$32, $C$9, 100%, $E$9)</f>
        <v>3.5735999999999999</v>
      </c>
      <c r="C143" s="26">
        <f>3.5736 * CHOOSE(CONTROL!$C$32, $C$9, 100%, $E$9)</f>
        <v>3.5735999999999999</v>
      </c>
      <c r="D143" s="26">
        <f>3.5747 * CHOOSE(CONTROL!$C$32, $C$9, 100%, $E$9)</f>
        <v>3.5747</v>
      </c>
      <c r="E143" s="27">
        <f>4.5247 * CHOOSE(CONTROL!$C$32, $C$9, 100%, $E$9)</f>
        <v>4.5247000000000002</v>
      </c>
      <c r="F143" s="27">
        <f>4.5247 * CHOOSE(CONTROL!$C$32, $C$9, 100%, $E$9)</f>
        <v>4.5247000000000002</v>
      </c>
      <c r="G143" s="27">
        <f>4.5283 * CHOOSE(CONTROL!$C$32, $C$9, 100%, $E$9)</f>
        <v>4.5282999999999998</v>
      </c>
      <c r="H143" s="27">
        <f>7.2525 * CHOOSE(CONTROL!$C$32, $C$9, 100%, $E$9)</f>
        <v>7.2525000000000004</v>
      </c>
      <c r="I143" s="27">
        <f>7.2561 * CHOOSE(CONTROL!$C$32, $C$9, 100%, $E$9)</f>
        <v>7.2561</v>
      </c>
      <c r="J143" s="27">
        <f>7.2525 * CHOOSE(CONTROL!$C$32, $C$9, 100%, $E$9)</f>
        <v>7.2525000000000004</v>
      </c>
      <c r="K143" s="27">
        <f>7.2561 * CHOOSE(CONTROL!$C$32, $C$9, 100%, $E$9)</f>
        <v>7.2561</v>
      </c>
      <c r="L143" s="27">
        <f>4.5247 * CHOOSE(CONTROL!$C$32, $C$9, 100%, $E$9)</f>
        <v>4.5247000000000002</v>
      </c>
      <c r="M143" s="27">
        <f>4.5283 * CHOOSE(CONTROL!$C$32, $C$9, 100%, $E$9)</f>
        <v>4.5282999999999998</v>
      </c>
      <c r="N143" s="27">
        <f>4.5247 * CHOOSE(CONTROL!$C$32, $C$9, 100%, $E$9)</f>
        <v>4.5247000000000002</v>
      </c>
      <c r="O143" s="27">
        <f>4.5283 * CHOOSE(CONTROL!$C$32, $C$9, 100%, $E$9)</f>
        <v>4.5282999999999998</v>
      </c>
      <c r="P143" s="10"/>
      <c r="Q143" s="10"/>
      <c r="R143" s="10"/>
    </row>
    <row r="144" spans="1:18" ht="15" x14ac:dyDescent="0.2">
      <c r="A144" s="16">
        <v>45231</v>
      </c>
      <c r="B144" s="26">
        <f>3.5766 * CHOOSE(CONTROL!$C$32, $C$9, 100%, $E$9)</f>
        <v>3.5766</v>
      </c>
      <c r="C144" s="26">
        <f>3.5766 * CHOOSE(CONTROL!$C$32, $C$9, 100%, $E$9)</f>
        <v>3.5766</v>
      </c>
      <c r="D144" s="26">
        <f>3.5777 * CHOOSE(CONTROL!$C$32, $C$9, 100%, $E$9)</f>
        <v>3.5777000000000001</v>
      </c>
      <c r="E144" s="27">
        <f>4.5267 * CHOOSE(CONTROL!$C$32, $C$9, 100%, $E$9)</f>
        <v>4.5266999999999999</v>
      </c>
      <c r="F144" s="27">
        <f>4.5267 * CHOOSE(CONTROL!$C$32, $C$9, 100%, $E$9)</f>
        <v>4.5266999999999999</v>
      </c>
      <c r="G144" s="27">
        <f>4.5303 * CHOOSE(CONTROL!$C$32, $C$9, 100%, $E$9)</f>
        <v>4.5303000000000004</v>
      </c>
      <c r="H144" s="27">
        <f>7.2676 * CHOOSE(CONTROL!$C$32, $C$9, 100%, $E$9)</f>
        <v>7.2675999999999998</v>
      </c>
      <c r="I144" s="27">
        <f>7.2713 * CHOOSE(CONTROL!$C$32, $C$9, 100%, $E$9)</f>
        <v>7.2713000000000001</v>
      </c>
      <c r="J144" s="27">
        <f>7.2676 * CHOOSE(CONTROL!$C$32, $C$9, 100%, $E$9)</f>
        <v>7.2675999999999998</v>
      </c>
      <c r="K144" s="27">
        <f>7.2713 * CHOOSE(CONTROL!$C$32, $C$9, 100%, $E$9)</f>
        <v>7.2713000000000001</v>
      </c>
      <c r="L144" s="27">
        <f>4.5267 * CHOOSE(CONTROL!$C$32, $C$9, 100%, $E$9)</f>
        <v>4.5266999999999999</v>
      </c>
      <c r="M144" s="27">
        <f>4.5303 * CHOOSE(CONTROL!$C$32, $C$9, 100%, $E$9)</f>
        <v>4.5303000000000004</v>
      </c>
      <c r="N144" s="27">
        <f>4.5267 * CHOOSE(CONTROL!$C$32, $C$9, 100%, $E$9)</f>
        <v>4.5266999999999999</v>
      </c>
      <c r="O144" s="27">
        <f>4.5303 * CHOOSE(CONTROL!$C$32, $C$9, 100%, $E$9)</f>
        <v>4.5303000000000004</v>
      </c>
      <c r="P144" s="10"/>
      <c r="Q144" s="10"/>
      <c r="R144" s="10"/>
    </row>
    <row r="145" spans="1:18" ht="15" x14ac:dyDescent="0.2">
      <c r="A145" s="16">
        <v>45261</v>
      </c>
      <c r="B145" s="26">
        <f>3.5766 * CHOOSE(CONTROL!$C$32, $C$9, 100%, $E$9)</f>
        <v>3.5766</v>
      </c>
      <c r="C145" s="26">
        <f>3.5766 * CHOOSE(CONTROL!$C$32, $C$9, 100%, $E$9)</f>
        <v>3.5766</v>
      </c>
      <c r="D145" s="26">
        <f>3.5777 * CHOOSE(CONTROL!$C$32, $C$9, 100%, $E$9)</f>
        <v>3.5777000000000001</v>
      </c>
      <c r="E145" s="27">
        <f>4.5267 * CHOOSE(CONTROL!$C$32, $C$9, 100%, $E$9)</f>
        <v>4.5266999999999999</v>
      </c>
      <c r="F145" s="27">
        <f>4.5267 * CHOOSE(CONTROL!$C$32, $C$9, 100%, $E$9)</f>
        <v>4.5266999999999999</v>
      </c>
      <c r="G145" s="27">
        <f>4.5303 * CHOOSE(CONTROL!$C$32, $C$9, 100%, $E$9)</f>
        <v>4.5303000000000004</v>
      </c>
      <c r="H145" s="27">
        <f>7.2828 * CHOOSE(CONTROL!$C$32, $C$9, 100%, $E$9)</f>
        <v>7.2827999999999999</v>
      </c>
      <c r="I145" s="27">
        <f>7.2864 * CHOOSE(CONTROL!$C$32, $C$9, 100%, $E$9)</f>
        <v>7.2864000000000004</v>
      </c>
      <c r="J145" s="27">
        <f>7.2828 * CHOOSE(CONTROL!$C$32, $C$9, 100%, $E$9)</f>
        <v>7.2827999999999999</v>
      </c>
      <c r="K145" s="27">
        <f>7.2864 * CHOOSE(CONTROL!$C$32, $C$9, 100%, $E$9)</f>
        <v>7.2864000000000004</v>
      </c>
      <c r="L145" s="27">
        <f>4.5267 * CHOOSE(CONTROL!$C$32, $C$9, 100%, $E$9)</f>
        <v>4.5266999999999999</v>
      </c>
      <c r="M145" s="27">
        <f>4.5303 * CHOOSE(CONTROL!$C$32, $C$9, 100%, $E$9)</f>
        <v>4.5303000000000004</v>
      </c>
      <c r="N145" s="27">
        <f>4.5267 * CHOOSE(CONTROL!$C$32, $C$9, 100%, $E$9)</f>
        <v>4.5266999999999999</v>
      </c>
      <c r="O145" s="27">
        <f>4.5303 * CHOOSE(CONTROL!$C$32, $C$9, 100%, $E$9)</f>
        <v>4.5303000000000004</v>
      </c>
      <c r="P145" s="10"/>
      <c r="Q145" s="10"/>
      <c r="R145" s="10"/>
    </row>
    <row r="146" spans="1:18" ht="15" x14ac:dyDescent="0.2">
      <c r="A146" s="16">
        <v>45292</v>
      </c>
      <c r="B146" s="26">
        <f>3.6058 * CHOOSE(CONTROL!$C$32, $C$9, 100%, $E$9)</f>
        <v>3.6057999999999999</v>
      </c>
      <c r="C146" s="26">
        <f>3.6058 * CHOOSE(CONTROL!$C$32, $C$9, 100%, $E$9)</f>
        <v>3.6057999999999999</v>
      </c>
      <c r="D146" s="26">
        <f>3.6069 * CHOOSE(CONTROL!$C$32, $C$9, 100%, $E$9)</f>
        <v>3.6069</v>
      </c>
      <c r="E146" s="27">
        <f>4.5664 * CHOOSE(CONTROL!$C$32, $C$9, 100%, $E$9)</f>
        <v>4.5663999999999998</v>
      </c>
      <c r="F146" s="27">
        <f>4.5664 * CHOOSE(CONTROL!$C$32, $C$9, 100%, $E$9)</f>
        <v>4.5663999999999998</v>
      </c>
      <c r="G146" s="27">
        <f>4.57 * CHOOSE(CONTROL!$C$32, $C$9, 100%, $E$9)</f>
        <v>4.57</v>
      </c>
      <c r="H146" s="27">
        <f>7.298 * CHOOSE(CONTROL!$C$32, $C$9, 100%, $E$9)</f>
        <v>7.298</v>
      </c>
      <c r="I146" s="27">
        <f>7.3016 * CHOOSE(CONTROL!$C$32, $C$9, 100%, $E$9)</f>
        <v>7.3015999999999996</v>
      </c>
      <c r="J146" s="27">
        <f>7.298 * CHOOSE(CONTROL!$C$32, $C$9, 100%, $E$9)</f>
        <v>7.298</v>
      </c>
      <c r="K146" s="27">
        <f>7.3016 * CHOOSE(CONTROL!$C$32, $C$9, 100%, $E$9)</f>
        <v>7.3015999999999996</v>
      </c>
      <c r="L146" s="27">
        <f>4.5664 * CHOOSE(CONTROL!$C$32, $C$9, 100%, $E$9)</f>
        <v>4.5663999999999998</v>
      </c>
      <c r="M146" s="27">
        <f>4.57 * CHOOSE(CONTROL!$C$32, $C$9, 100%, $E$9)</f>
        <v>4.57</v>
      </c>
      <c r="N146" s="27">
        <f>4.5664 * CHOOSE(CONTROL!$C$32, $C$9, 100%, $E$9)</f>
        <v>4.5663999999999998</v>
      </c>
      <c r="O146" s="27">
        <f>4.57 * CHOOSE(CONTROL!$C$32, $C$9, 100%, $E$9)</f>
        <v>4.57</v>
      </c>
      <c r="P146" s="10"/>
      <c r="Q146" s="10"/>
      <c r="R146" s="10"/>
    </row>
    <row r="147" spans="1:18" ht="15" x14ac:dyDescent="0.2">
      <c r="A147" s="16">
        <v>45323</v>
      </c>
      <c r="B147" s="26">
        <f>3.6028 * CHOOSE(CONTROL!$C$32, $C$9, 100%, $E$9)</f>
        <v>3.6027999999999998</v>
      </c>
      <c r="C147" s="26">
        <f>3.6028 * CHOOSE(CONTROL!$C$32, $C$9, 100%, $E$9)</f>
        <v>3.6027999999999998</v>
      </c>
      <c r="D147" s="26">
        <f>3.6038 * CHOOSE(CONTROL!$C$32, $C$9, 100%, $E$9)</f>
        <v>3.6038000000000001</v>
      </c>
      <c r="E147" s="27">
        <f>4.5644 * CHOOSE(CONTROL!$C$32, $C$9, 100%, $E$9)</f>
        <v>4.5644</v>
      </c>
      <c r="F147" s="27">
        <f>4.5644 * CHOOSE(CONTROL!$C$32, $C$9, 100%, $E$9)</f>
        <v>4.5644</v>
      </c>
      <c r="G147" s="27">
        <f>4.568 * CHOOSE(CONTROL!$C$32, $C$9, 100%, $E$9)</f>
        <v>4.5679999999999996</v>
      </c>
      <c r="H147" s="27">
        <f>7.3132 * CHOOSE(CONTROL!$C$32, $C$9, 100%, $E$9)</f>
        <v>7.3132000000000001</v>
      </c>
      <c r="I147" s="27">
        <f>7.3168 * CHOOSE(CONTROL!$C$32, $C$9, 100%, $E$9)</f>
        <v>7.3167999999999997</v>
      </c>
      <c r="J147" s="27">
        <f>7.3132 * CHOOSE(CONTROL!$C$32, $C$9, 100%, $E$9)</f>
        <v>7.3132000000000001</v>
      </c>
      <c r="K147" s="27">
        <f>7.3168 * CHOOSE(CONTROL!$C$32, $C$9, 100%, $E$9)</f>
        <v>7.3167999999999997</v>
      </c>
      <c r="L147" s="27">
        <f>4.5644 * CHOOSE(CONTROL!$C$32, $C$9, 100%, $E$9)</f>
        <v>4.5644</v>
      </c>
      <c r="M147" s="27">
        <f>4.568 * CHOOSE(CONTROL!$C$32, $C$9, 100%, $E$9)</f>
        <v>4.5679999999999996</v>
      </c>
      <c r="N147" s="27">
        <f>4.5644 * CHOOSE(CONTROL!$C$32, $C$9, 100%, $E$9)</f>
        <v>4.5644</v>
      </c>
      <c r="O147" s="27">
        <f>4.568 * CHOOSE(CONTROL!$C$32, $C$9, 100%, $E$9)</f>
        <v>4.5679999999999996</v>
      </c>
      <c r="P147" s="10"/>
      <c r="Q147" s="10"/>
      <c r="R147" s="10"/>
    </row>
    <row r="148" spans="1:18" ht="15" x14ac:dyDescent="0.2">
      <c r="A148" s="16">
        <v>45352</v>
      </c>
      <c r="B148" s="26">
        <f>3.5997 * CHOOSE(CONTROL!$C$32, $C$9, 100%, $E$9)</f>
        <v>3.5996999999999999</v>
      </c>
      <c r="C148" s="26">
        <f>3.5997 * CHOOSE(CONTROL!$C$32, $C$9, 100%, $E$9)</f>
        <v>3.5996999999999999</v>
      </c>
      <c r="D148" s="26">
        <f>3.6008 * CHOOSE(CONTROL!$C$32, $C$9, 100%, $E$9)</f>
        <v>3.6008</v>
      </c>
      <c r="E148" s="27">
        <f>4.5624 * CHOOSE(CONTROL!$C$32, $C$9, 100%, $E$9)</f>
        <v>4.5624000000000002</v>
      </c>
      <c r="F148" s="27">
        <f>4.5624 * CHOOSE(CONTROL!$C$32, $C$9, 100%, $E$9)</f>
        <v>4.5624000000000002</v>
      </c>
      <c r="G148" s="27">
        <f>4.566 * CHOOSE(CONTROL!$C$32, $C$9, 100%, $E$9)</f>
        <v>4.5659999999999998</v>
      </c>
      <c r="H148" s="27">
        <f>7.3284 * CHOOSE(CONTROL!$C$32, $C$9, 100%, $E$9)</f>
        <v>7.3284000000000002</v>
      </c>
      <c r="I148" s="27">
        <f>7.332 * CHOOSE(CONTROL!$C$32, $C$9, 100%, $E$9)</f>
        <v>7.3319999999999999</v>
      </c>
      <c r="J148" s="27">
        <f>7.3284 * CHOOSE(CONTROL!$C$32, $C$9, 100%, $E$9)</f>
        <v>7.3284000000000002</v>
      </c>
      <c r="K148" s="27">
        <f>7.332 * CHOOSE(CONTROL!$C$32, $C$9, 100%, $E$9)</f>
        <v>7.3319999999999999</v>
      </c>
      <c r="L148" s="27">
        <f>4.5624 * CHOOSE(CONTROL!$C$32, $C$9, 100%, $E$9)</f>
        <v>4.5624000000000002</v>
      </c>
      <c r="M148" s="27">
        <f>4.566 * CHOOSE(CONTROL!$C$32, $C$9, 100%, $E$9)</f>
        <v>4.5659999999999998</v>
      </c>
      <c r="N148" s="27">
        <f>4.5624 * CHOOSE(CONTROL!$C$32, $C$9, 100%, $E$9)</f>
        <v>4.5624000000000002</v>
      </c>
      <c r="O148" s="27">
        <f>4.566 * CHOOSE(CONTROL!$C$32, $C$9, 100%, $E$9)</f>
        <v>4.5659999999999998</v>
      </c>
      <c r="P148" s="10"/>
      <c r="Q148" s="10"/>
      <c r="R148" s="10"/>
    </row>
    <row r="149" spans="1:18" ht="15" x14ac:dyDescent="0.2">
      <c r="A149" s="16">
        <v>45383</v>
      </c>
      <c r="B149" s="26">
        <f>3.597 * CHOOSE(CONTROL!$C$32, $C$9, 100%, $E$9)</f>
        <v>3.597</v>
      </c>
      <c r="C149" s="26">
        <f>3.597 * CHOOSE(CONTROL!$C$32, $C$9, 100%, $E$9)</f>
        <v>3.597</v>
      </c>
      <c r="D149" s="26">
        <f>3.5981 * CHOOSE(CONTROL!$C$32, $C$9, 100%, $E$9)</f>
        <v>3.5981000000000001</v>
      </c>
      <c r="E149" s="27">
        <f>4.5602 * CHOOSE(CONTROL!$C$32, $C$9, 100%, $E$9)</f>
        <v>4.5602</v>
      </c>
      <c r="F149" s="27">
        <f>4.5602 * CHOOSE(CONTROL!$C$32, $C$9, 100%, $E$9)</f>
        <v>4.5602</v>
      </c>
      <c r="G149" s="27">
        <f>4.5638 * CHOOSE(CONTROL!$C$32, $C$9, 100%, $E$9)</f>
        <v>4.5637999999999996</v>
      </c>
      <c r="H149" s="27">
        <f>7.3437 * CHOOSE(CONTROL!$C$32, $C$9, 100%, $E$9)</f>
        <v>7.3437000000000001</v>
      </c>
      <c r="I149" s="27">
        <f>7.3473 * CHOOSE(CONTROL!$C$32, $C$9, 100%, $E$9)</f>
        <v>7.3472999999999997</v>
      </c>
      <c r="J149" s="27">
        <f>7.3437 * CHOOSE(CONTROL!$C$32, $C$9, 100%, $E$9)</f>
        <v>7.3437000000000001</v>
      </c>
      <c r="K149" s="27">
        <f>7.3473 * CHOOSE(CONTROL!$C$32, $C$9, 100%, $E$9)</f>
        <v>7.3472999999999997</v>
      </c>
      <c r="L149" s="27">
        <f>4.5602 * CHOOSE(CONTROL!$C$32, $C$9, 100%, $E$9)</f>
        <v>4.5602</v>
      </c>
      <c r="M149" s="27">
        <f>4.5638 * CHOOSE(CONTROL!$C$32, $C$9, 100%, $E$9)</f>
        <v>4.5637999999999996</v>
      </c>
      <c r="N149" s="27">
        <f>4.5602 * CHOOSE(CONTROL!$C$32, $C$9, 100%, $E$9)</f>
        <v>4.5602</v>
      </c>
      <c r="O149" s="27">
        <f>4.5638 * CHOOSE(CONTROL!$C$32, $C$9, 100%, $E$9)</f>
        <v>4.5637999999999996</v>
      </c>
      <c r="P149" s="10"/>
      <c r="Q149" s="10"/>
      <c r="R149" s="10"/>
    </row>
    <row r="150" spans="1:18" ht="15" x14ac:dyDescent="0.2">
      <c r="A150" s="16">
        <v>45413</v>
      </c>
      <c r="B150" s="26">
        <f>3.597 * CHOOSE(CONTROL!$C$32, $C$9, 100%, $E$9)</f>
        <v>3.597</v>
      </c>
      <c r="C150" s="26">
        <f>3.597 * CHOOSE(CONTROL!$C$32, $C$9, 100%, $E$9)</f>
        <v>3.597</v>
      </c>
      <c r="D150" s="26">
        <f>3.5986 * CHOOSE(CONTROL!$C$32, $C$9, 100%, $E$9)</f>
        <v>3.5985999999999998</v>
      </c>
      <c r="E150" s="27">
        <f>4.5602 * CHOOSE(CONTROL!$C$32, $C$9, 100%, $E$9)</f>
        <v>4.5602</v>
      </c>
      <c r="F150" s="27">
        <f>4.5602 * CHOOSE(CONTROL!$C$32, $C$9, 100%, $E$9)</f>
        <v>4.5602</v>
      </c>
      <c r="G150" s="27">
        <f>4.5654 * CHOOSE(CONTROL!$C$32, $C$9, 100%, $E$9)</f>
        <v>4.5654000000000003</v>
      </c>
      <c r="H150" s="27">
        <f>7.359 * CHOOSE(CONTROL!$C$32, $C$9, 100%, $E$9)</f>
        <v>7.359</v>
      </c>
      <c r="I150" s="27">
        <f>7.3643 * CHOOSE(CONTROL!$C$32, $C$9, 100%, $E$9)</f>
        <v>7.3643000000000001</v>
      </c>
      <c r="J150" s="27">
        <f>7.359 * CHOOSE(CONTROL!$C$32, $C$9, 100%, $E$9)</f>
        <v>7.359</v>
      </c>
      <c r="K150" s="27">
        <f>7.3643 * CHOOSE(CONTROL!$C$32, $C$9, 100%, $E$9)</f>
        <v>7.3643000000000001</v>
      </c>
      <c r="L150" s="27">
        <f>4.5602 * CHOOSE(CONTROL!$C$32, $C$9, 100%, $E$9)</f>
        <v>4.5602</v>
      </c>
      <c r="M150" s="27">
        <f>4.5654 * CHOOSE(CONTROL!$C$32, $C$9, 100%, $E$9)</f>
        <v>4.5654000000000003</v>
      </c>
      <c r="N150" s="27">
        <f>4.5602 * CHOOSE(CONTROL!$C$32, $C$9, 100%, $E$9)</f>
        <v>4.5602</v>
      </c>
      <c r="O150" s="27">
        <f>4.5654 * CHOOSE(CONTROL!$C$32, $C$9, 100%, $E$9)</f>
        <v>4.5654000000000003</v>
      </c>
      <c r="P150" s="10"/>
      <c r="Q150" s="10"/>
      <c r="R150" s="10"/>
    </row>
    <row r="151" spans="1:18" ht="15" x14ac:dyDescent="0.2">
      <c r="A151" s="16">
        <v>45444</v>
      </c>
      <c r="B151" s="26">
        <f>3.6031 * CHOOSE(CONTROL!$C$32, $C$9, 100%, $E$9)</f>
        <v>3.6031</v>
      </c>
      <c r="C151" s="26">
        <f>3.6031 * CHOOSE(CONTROL!$C$32, $C$9, 100%, $E$9)</f>
        <v>3.6031</v>
      </c>
      <c r="D151" s="26">
        <f>3.6047 * CHOOSE(CONTROL!$C$32, $C$9, 100%, $E$9)</f>
        <v>3.6046999999999998</v>
      </c>
      <c r="E151" s="27">
        <f>4.5642 * CHOOSE(CONTROL!$C$32, $C$9, 100%, $E$9)</f>
        <v>4.5641999999999996</v>
      </c>
      <c r="F151" s="27">
        <f>4.5642 * CHOOSE(CONTROL!$C$32, $C$9, 100%, $E$9)</f>
        <v>4.5641999999999996</v>
      </c>
      <c r="G151" s="27">
        <f>4.5694 * CHOOSE(CONTROL!$C$32, $C$9, 100%, $E$9)</f>
        <v>4.5693999999999999</v>
      </c>
      <c r="H151" s="27">
        <f>7.3743 * CHOOSE(CONTROL!$C$32, $C$9, 100%, $E$9)</f>
        <v>7.3742999999999999</v>
      </c>
      <c r="I151" s="27">
        <f>7.3796 * CHOOSE(CONTROL!$C$32, $C$9, 100%, $E$9)</f>
        <v>7.3795999999999999</v>
      </c>
      <c r="J151" s="27">
        <f>7.3743 * CHOOSE(CONTROL!$C$32, $C$9, 100%, $E$9)</f>
        <v>7.3742999999999999</v>
      </c>
      <c r="K151" s="27">
        <f>7.3796 * CHOOSE(CONTROL!$C$32, $C$9, 100%, $E$9)</f>
        <v>7.3795999999999999</v>
      </c>
      <c r="L151" s="27">
        <f>4.5642 * CHOOSE(CONTROL!$C$32, $C$9, 100%, $E$9)</f>
        <v>4.5641999999999996</v>
      </c>
      <c r="M151" s="27">
        <f>4.5694 * CHOOSE(CONTROL!$C$32, $C$9, 100%, $E$9)</f>
        <v>4.5693999999999999</v>
      </c>
      <c r="N151" s="27">
        <f>4.5642 * CHOOSE(CONTROL!$C$32, $C$9, 100%, $E$9)</f>
        <v>4.5641999999999996</v>
      </c>
      <c r="O151" s="27">
        <f>4.5694 * CHOOSE(CONTROL!$C$32, $C$9, 100%, $E$9)</f>
        <v>4.5693999999999999</v>
      </c>
      <c r="P151" s="10"/>
      <c r="Q151" s="10"/>
      <c r="R151" s="10"/>
    </row>
    <row r="152" spans="1:18" ht="15" x14ac:dyDescent="0.2">
      <c r="A152" s="16">
        <v>45474</v>
      </c>
      <c r="B152" s="26">
        <f>3.6559 * CHOOSE(CONTROL!$C$32, $C$9, 100%, $E$9)</f>
        <v>3.6558999999999999</v>
      </c>
      <c r="C152" s="26">
        <f>3.6559 * CHOOSE(CONTROL!$C$32, $C$9, 100%, $E$9)</f>
        <v>3.6558999999999999</v>
      </c>
      <c r="D152" s="26">
        <f>3.6575 * CHOOSE(CONTROL!$C$32, $C$9, 100%, $E$9)</f>
        <v>3.6575000000000002</v>
      </c>
      <c r="E152" s="27">
        <f>4.6521 * CHOOSE(CONTROL!$C$32, $C$9, 100%, $E$9)</f>
        <v>4.6520999999999999</v>
      </c>
      <c r="F152" s="27">
        <f>4.6521 * CHOOSE(CONTROL!$C$32, $C$9, 100%, $E$9)</f>
        <v>4.6520999999999999</v>
      </c>
      <c r="G152" s="27">
        <f>4.6574 * CHOOSE(CONTROL!$C$32, $C$9, 100%, $E$9)</f>
        <v>4.6574</v>
      </c>
      <c r="H152" s="27">
        <f>7.3897 * CHOOSE(CONTROL!$C$32, $C$9, 100%, $E$9)</f>
        <v>7.3897000000000004</v>
      </c>
      <c r="I152" s="27">
        <f>7.3949 * CHOOSE(CONTROL!$C$32, $C$9, 100%, $E$9)</f>
        <v>7.3948999999999998</v>
      </c>
      <c r="J152" s="27">
        <f>7.3897 * CHOOSE(CONTROL!$C$32, $C$9, 100%, $E$9)</f>
        <v>7.3897000000000004</v>
      </c>
      <c r="K152" s="27">
        <f>7.3949 * CHOOSE(CONTROL!$C$32, $C$9, 100%, $E$9)</f>
        <v>7.3948999999999998</v>
      </c>
      <c r="L152" s="27">
        <f>4.6521 * CHOOSE(CONTROL!$C$32, $C$9, 100%, $E$9)</f>
        <v>4.6520999999999999</v>
      </c>
      <c r="M152" s="27">
        <f>4.6574 * CHOOSE(CONTROL!$C$32, $C$9, 100%, $E$9)</f>
        <v>4.6574</v>
      </c>
      <c r="N152" s="27">
        <f>4.6521 * CHOOSE(CONTROL!$C$32, $C$9, 100%, $E$9)</f>
        <v>4.6520999999999999</v>
      </c>
      <c r="O152" s="27">
        <f>4.6574 * CHOOSE(CONTROL!$C$32, $C$9, 100%, $E$9)</f>
        <v>4.6574</v>
      </c>
      <c r="P152" s="10"/>
      <c r="Q152" s="10"/>
      <c r="R152" s="10"/>
    </row>
    <row r="153" spans="1:18" ht="15" x14ac:dyDescent="0.2">
      <c r="A153" s="16">
        <v>45505</v>
      </c>
      <c r="B153" s="26">
        <f>3.6626 * CHOOSE(CONTROL!$C$32, $C$9, 100%, $E$9)</f>
        <v>3.6625999999999999</v>
      </c>
      <c r="C153" s="26">
        <f>3.6626 * CHOOSE(CONTROL!$C$32, $C$9, 100%, $E$9)</f>
        <v>3.6625999999999999</v>
      </c>
      <c r="D153" s="26">
        <f>3.6642 * CHOOSE(CONTROL!$C$32, $C$9, 100%, $E$9)</f>
        <v>3.6642000000000001</v>
      </c>
      <c r="E153" s="27">
        <f>4.6565 * CHOOSE(CONTROL!$C$32, $C$9, 100%, $E$9)</f>
        <v>4.6565000000000003</v>
      </c>
      <c r="F153" s="27">
        <f>4.6565 * CHOOSE(CONTROL!$C$32, $C$9, 100%, $E$9)</f>
        <v>4.6565000000000003</v>
      </c>
      <c r="G153" s="27">
        <f>4.6618 * CHOOSE(CONTROL!$C$32, $C$9, 100%, $E$9)</f>
        <v>4.6618000000000004</v>
      </c>
      <c r="H153" s="27">
        <f>7.405 * CHOOSE(CONTROL!$C$32, $C$9, 100%, $E$9)</f>
        <v>7.4050000000000002</v>
      </c>
      <c r="I153" s="27">
        <f>7.4103 * CHOOSE(CONTROL!$C$32, $C$9, 100%, $E$9)</f>
        <v>7.4103000000000003</v>
      </c>
      <c r="J153" s="27">
        <f>7.405 * CHOOSE(CONTROL!$C$32, $C$9, 100%, $E$9)</f>
        <v>7.4050000000000002</v>
      </c>
      <c r="K153" s="27">
        <f>7.4103 * CHOOSE(CONTROL!$C$32, $C$9, 100%, $E$9)</f>
        <v>7.4103000000000003</v>
      </c>
      <c r="L153" s="27">
        <f>4.6565 * CHOOSE(CONTROL!$C$32, $C$9, 100%, $E$9)</f>
        <v>4.6565000000000003</v>
      </c>
      <c r="M153" s="27">
        <f>4.6618 * CHOOSE(CONTROL!$C$32, $C$9, 100%, $E$9)</f>
        <v>4.6618000000000004</v>
      </c>
      <c r="N153" s="27">
        <f>4.6565 * CHOOSE(CONTROL!$C$32, $C$9, 100%, $E$9)</f>
        <v>4.6565000000000003</v>
      </c>
      <c r="O153" s="27">
        <f>4.6618 * CHOOSE(CONTROL!$C$32, $C$9, 100%, $E$9)</f>
        <v>4.6618000000000004</v>
      </c>
      <c r="P153" s="10"/>
      <c r="Q153" s="10"/>
      <c r="R153" s="10"/>
    </row>
    <row r="154" spans="1:18" ht="15" x14ac:dyDescent="0.2">
      <c r="A154" s="16">
        <v>45536</v>
      </c>
      <c r="B154" s="26">
        <f>3.6595 * CHOOSE(CONTROL!$C$32, $C$9, 100%, $E$9)</f>
        <v>3.6595</v>
      </c>
      <c r="C154" s="26">
        <f>3.6595 * CHOOSE(CONTROL!$C$32, $C$9, 100%, $E$9)</f>
        <v>3.6595</v>
      </c>
      <c r="D154" s="26">
        <f>3.6611 * CHOOSE(CONTROL!$C$32, $C$9, 100%, $E$9)</f>
        <v>3.6610999999999998</v>
      </c>
      <c r="E154" s="27">
        <f>4.6545 * CHOOSE(CONTROL!$C$32, $C$9, 100%, $E$9)</f>
        <v>4.6544999999999996</v>
      </c>
      <c r="F154" s="27">
        <f>4.6545 * CHOOSE(CONTROL!$C$32, $C$9, 100%, $E$9)</f>
        <v>4.6544999999999996</v>
      </c>
      <c r="G154" s="27">
        <f>4.6598 * CHOOSE(CONTROL!$C$32, $C$9, 100%, $E$9)</f>
        <v>4.6597999999999997</v>
      </c>
      <c r="H154" s="27">
        <f>7.4205 * CHOOSE(CONTROL!$C$32, $C$9, 100%, $E$9)</f>
        <v>7.4204999999999997</v>
      </c>
      <c r="I154" s="27">
        <f>7.4258 * CHOOSE(CONTROL!$C$32, $C$9, 100%, $E$9)</f>
        <v>7.4257999999999997</v>
      </c>
      <c r="J154" s="27">
        <f>7.4205 * CHOOSE(CONTROL!$C$32, $C$9, 100%, $E$9)</f>
        <v>7.4204999999999997</v>
      </c>
      <c r="K154" s="27">
        <f>7.4258 * CHOOSE(CONTROL!$C$32, $C$9, 100%, $E$9)</f>
        <v>7.4257999999999997</v>
      </c>
      <c r="L154" s="27">
        <f>4.6545 * CHOOSE(CONTROL!$C$32, $C$9, 100%, $E$9)</f>
        <v>4.6544999999999996</v>
      </c>
      <c r="M154" s="27">
        <f>4.6598 * CHOOSE(CONTROL!$C$32, $C$9, 100%, $E$9)</f>
        <v>4.6597999999999997</v>
      </c>
      <c r="N154" s="27">
        <f>4.6545 * CHOOSE(CONTROL!$C$32, $C$9, 100%, $E$9)</f>
        <v>4.6544999999999996</v>
      </c>
      <c r="O154" s="27">
        <f>4.6598 * CHOOSE(CONTROL!$C$32, $C$9, 100%, $E$9)</f>
        <v>4.6597999999999997</v>
      </c>
      <c r="P154" s="10"/>
      <c r="Q154" s="10"/>
      <c r="R154" s="10"/>
    </row>
    <row r="155" spans="1:18" ht="15" x14ac:dyDescent="0.2">
      <c r="A155" s="16">
        <v>45566</v>
      </c>
      <c r="B155" s="26">
        <f>3.6534 * CHOOSE(CONTROL!$C$32, $C$9, 100%, $E$9)</f>
        <v>3.6534</v>
      </c>
      <c r="C155" s="26">
        <f>3.6534 * CHOOSE(CONTROL!$C$32, $C$9, 100%, $E$9)</f>
        <v>3.6534</v>
      </c>
      <c r="D155" s="26">
        <f>3.6545 * CHOOSE(CONTROL!$C$32, $C$9, 100%, $E$9)</f>
        <v>3.6545000000000001</v>
      </c>
      <c r="E155" s="27">
        <f>4.6486 * CHOOSE(CONTROL!$C$32, $C$9, 100%, $E$9)</f>
        <v>4.6486000000000001</v>
      </c>
      <c r="F155" s="27">
        <f>4.6486 * CHOOSE(CONTROL!$C$32, $C$9, 100%, $E$9)</f>
        <v>4.6486000000000001</v>
      </c>
      <c r="G155" s="27">
        <f>4.6522 * CHOOSE(CONTROL!$C$32, $C$9, 100%, $E$9)</f>
        <v>4.6521999999999997</v>
      </c>
      <c r="H155" s="27">
        <f>7.4359 * CHOOSE(CONTROL!$C$32, $C$9, 100%, $E$9)</f>
        <v>7.4359000000000002</v>
      </c>
      <c r="I155" s="27">
        <f>7.4396 * CHOOSE(CONTROL!$C$32, $C$9, 100%, $E$9)</f>
        <v>7.4396000000000004</v>
      </c>
      <c r="J155" s="27">
        <f>7.4359 * CHOOSE(CONTROL!$C$32, $C$9, 100%, $E$9)</f>
        <v>7.4359000000000002</v>
      </c>
      <c r="K155" s="27">
        <f>7.4396 * CHOOSE(CONTROL!$C$32, $C$9, 100%, $E$9)</f>
        <v>7.4396000000000004</v>
      </c>
      <c r="L155" s="27">
        <f>4.6486 * CHOOSE(CONTROL!$C$32, $C$9, 100%, $E$9)</f>
        <v>4.6486000000000001</v>
      </c>
      <c r="M155" s="27">
        <f>4.6522 * CHOOSE(CONTROL!$C$32, $C$9, 100%, $E$9)</f>
        <v>4.6521999999999997</v>
      </c>
      <c r="N155" s="27">
        <f>4.6486 * CHOOSE(CONTROL!$C$32, $C$9, 100%, $E$9)</f>
        <v>4.6486000000000001</v>
      </c>
      <c r="O155" s="27">
        <f>4.6522 * CHOOSE(CONTROL!$C$32, $C$9, 100%, $E$9)</f>
        <v>4.6521999999999997</v>
      </c>
      <c r="P155" s="10"/>
      <c r="Q155" s="10"/>
      <c r="R155" s="10"/>
    </row>
    <row r="156" spans="1:18" ht="15" x14ac:dyDescent="0.2">
      <c r="A156" s="16">
        <v>45597</v>
      </c>
      <c r="B156" s="26">
        <f>3.6565 * CHOOSE(CONTROL!$C$32, $C$9, 100%, $E$9)</f>
        <v>3.6564999999999999</v>
      </c>
      <c r="C156" s="26">
        <f>3.6565 * CHOOSE(CONTROL!$C$32, $C$9, 100%, $E$9)</f>
        <v>3.6564999999999999</v>
      </c>
      <c r="D156" s="26">
        <f>3.6576 * CHOOSE(CONTROL!$C$32, $C$9, 100%, $E$9)</f>
        <v>3.6576</v>
      </c>
      <c r="E156" s="27">
        <f>4.6506 * CHOOSE(CONTROL!$C$32, $C$9, 100%, $E$9)</f>
        <v>4.6505999999999998</v>
      </c>
      <c r="F156" s="27">
        <f>4.6506 * CHOOSE(CONTROL!$C$32, $C$9, 100%, $E$9)</f>
        <v>4.6505999999999998</v>
      </c>
      <c r="G156" s="27">
        <f>4.6542 * CHOOSE(CONTROL!$C$32, $C$9, 100%, $E$9)</f>
        <v>4.6542000000000003</v>
      </c>
      <c r="H156" s="27">
        <f>7.4514 * CHOOSE(CONTROL!$C$32, $C$9, 100%, $E$9)</f>
        <v>7.4513999999999996</v>
      </c>
      <c r="I156" s="27">
        <f>7.455 * CHOOSE(CONTROL!$C$32, $C$9, 100%, $E$9)</f>
        <v>7.4550000000000001</v>
      </c>
      <c r="J156" s="27">
        <f>7.4514 * CHOOSE(CONTROL!$C$32, $C$9, 100%, $E$9)</f>
        <v>7.4513999999999996</v>
      </c>
      <c r="K156" s="27">
        <f>7.455 * CHOOSE(CONTROL!$C$32, $C$9, 100%, $E$9)</f>
        <v>7.4550000000000001</v>
      </c>
      <c r="L156" s="27">
        <f>4.6506 * CHOOSE(CONTROL!$C$32, $C$9, 100%, $E$9)</f>
        <v>4.6505999999999998</v>
      </c>
      <c r="M156" s="27">
        <f>4.6542 * CHOOSE(CONTROL!$C$32, $C$9, 100%, $E$9)</f>
        <v>4.6542000000000003</v>
      </c>
      <c r="N156" s="27">
        <f>4.6506 * CHOOSE(CONTROL!$C$32, $C$9, 100%, $E$9)</f>
        <v>4.6505999999999998</v>
      </c>
      <c r="O156" s="27">
        <f>4.6542 * CHOOSE(CONTROL!$C$32, $C$9, 100%, $E$9)</f>
        <v>4.6542000000000003</v>
      </c>
      <c r="P156" s="10"/>
      <c r="Q156" s="10"/>
      <c r="R156" s="10"/>
    </row>
    <row r="157" spans="1:18" ht="15" x14ac:dyDescent="0.2">
      <c r="A157" s="16">
        <v>45627</v>
      </c>
      <c r="B157" s="26">
        <f>3.6565 * CHOOSE(CONTROL!$C$32, $C$9, 100%, $E$9)</f>
        <v>3.6564999999999999</v>
      </c>
      <c r="C157" s="26">
        <f>3.6565 * CHOOSE(CONTROL!$C$32, $C$9, 100%, $E$9)</f>
        <v>3.6564999999999999</v>
      </c>
      <c r="D157" s="26">
        <f>3.6576 * CHOOSE(CONTROL!$C$32, $C$9, 100%, $E$9)</f>
        <v>3.6576</v>
      </c>
      <c r="E157" s="27">
        <f>4.6506 * CHOOSE(CONTROL!$C$32, $C$9, 100%, $E$9)</f>
        <v>4.6505999999999998</v>
      </c>
      <c r="F157" s="27">
        <f>4.6506 * CHOOSE(CONTROL!$C$32, $C$9, 100%, $E$9)</f>
        <v>4.6505999999999998</v>
      </c>
      <c r="G157" s="27">
        <f>4.6542 * CHOOSE(CONTROL!$C$32, $C$9, 100%, $E$9)</f>
        <v>4.6542000000000003</v>
      </c>
      <c r="H157" s="27">
        <f>7.467 * CHOOSE(CONTROL!$C$32, $C$9, 100%, $E$9)</f>
        <v>7.4669999999999996</v>
      </c>
      <c r="I157" s="27">
        <f>7.4706 * CHOOSE(CONTROL!$C$32, $C$9, 100%, $E$9)</f>
        <v>7.4706000000000001</v>
      </c>
      <c r="J157" s="27">
        <f>7.467 * CHOOSE(CONTROL!$C$32, $C$9, 100%, $E$9)</f>
        <v>7.4669999999999996</v>
      </c>
      <c r="K157" s="27">
        <f>7.4706 * CHOOSE(CONTROL!$C$32, $C$9, 100%, $E$9)</f>
        <v>7.4706000000000001</v>
      </c>
      <c r="L157" s="27">
        <f>4.6506 * CHOOSE(CONTROL!$C$32, $C$9, 100%, $E$9)</f>
        <v>4.6505999999999998</v>
      </c>
      <c r="M157" s="27">
        <f>4.6542 * CHOOSE(CONTROL!$C$32, $C$9, 100%, $E$9)</f>
        <v>4.6542000000000003</v>
      </c>
      <c r="N157" s="27">
        <f>4.6506 * CHOOSE(CONTROL!$C$32, $C$9, 100%, $E$9)</f>
        <v>4.6505999999999998</v>
      </c>
      <c r="O157" s="27">
        <f>4.6542 * CHOOSE(CONTROL!$C$32, $C$9, 100%, $E$9)</f>
        <v>4.6542000000000003</v>
      </c>
      <c r="P157" s="10"/>
      <c r="Q157" s="10"/>
      <c r="R157" s="10"/>
    </row>
    <row r="158" spans="1:18" ht="15" x14ac:dyDescent="0.2">
      <c r="A158" s="16">
        <v>45658</v>
      </c>
      <c r="B158" s="26">
        <f>3.691 * CHOOSE(CONTROL!$C$32, $C$9, 100%, $E$9)</f>
        <v>3.6909999999999998</v>
      </c>
      <c r="C158" s="26">
        <f>3.691 * CHOOSE(CONTROL!$C$32, $C$9, 100%, $E$9)</f>
        <v>3.6909999999999998</v>
      </c>
      <c r="D158" s="26">
        <f>3.6921 * CHOOSE(CONTROL!$C$32, $C$9, 100%, $E$9)</f>
        <v>3.6920999999999999</v>
      </c>
      <c r="E158" s="27">
        <f>4.6908 * CHOOSE(CONTROL!$C$32, $C$9, 100%, $E$9)</f>
        <v>4.6908000000000003</v>
      </c>
      <c r="F158" s="27">
        <f>4.6908 * CHOOSE(CONTROL!$C$32, $C$9, 100%, $E$9)</f>
        <v>4.6908000000000003</v>
      </c>
      <c r="G158" s="27">
        <f>4.6945 * CHOOSE(CONTROL!$C$32, $C$9, 100%, $E$9)</f>
        <v>4.6944999999999997</v>
      </c>
      <c r="H158" s="27">
        <f>7.4825 * CHOOSE(CONTROL!$C$32, $C$9, 100%, $E$9)</f>
        <v>7.4824999999999999</v>
      </c>
      <c r="I158" s="27">
        <f>7.4861 * CHOOSE(CONTROL!$C$32, $C$9, 100%, $E$9)</f>
        <v>7.4861000000000004</v>
      </c>
      <c r="J158" s="27">
        <f>7.4825 * CHOOSE(CONTROL!$C$32, $C$9, 100%, $E$9)</f>
        <v>7.4824999999999999</v>
      </c>
      <c r="K158" s="27">
        <f>7.4861 * CHOOSE(CONTROL!$C$32, $C$9, 100%, $E$9)</f>
        <v>7.4861000000000004</v>
      </c>
      <c r="L158" s="27">
        <f>4.6908 * CHOOSE(CONTROL!$C$32, $C$9, 100%, $E$9)</f>
        <v>4.6908000000000003</v>
      </c>
      <c r="M158" s="27">
        <f>4.6945 * CHOOSE(CONTROL!$C$32, $C$9, 100%, $E$9)</f>
        <v>4.6944999999999997</v>
      </c>
      <c r="N158" s="27">
        <f>4.6908 * CHOOSE(CONTROL!$C$32, $C$9, 100%, $E$9)</f>
        <v>4.6908000000000003</v>
      </c>
      <c r="O158" s="27">
        <f>4.6945 * CHOOSE(CONTROL!$C$32, $C$9, 100%, $E$9)</f>
        <v>4.6944999999999997</v>
      </c>
      <c r="P158" s="10"/>
      <c r="Q158" s="10"/>
      <c r="R158" s="10"/>
    </row>
    <row r="159" spans="1:18" ht="15" x14ac:dyDescent="0.2">
      <c r="A159" s="16">
        <v>45689</v>
      </c>
      <c r="B159" s="26">
        <f>3.688 * CHOOSE(CONTROL!$C$32, $C$9, 100%, $E$9)</f>
        <v>3.6880000000000002</v>
      </c>
      <c r="C159" s="26">
        <f>3.688 * CHOOSE(CONTROL!$C$32, $C$9, 100%, $E$9)</f>
        <v>3.6880000000000002</v>
      </c>
      <c r="D159" s="26">
        <f>3.6891 * CHOOSE(CONTROL!$C$32, $C$9, 100%, $E$9)</f>
        <v>3.6890999999999998</v>
      </c>
      <c r="E159" s="27">
        <f>4.6888 * CHOOSE(CONTROL!$C$32, $C$9, 100%, $E$9)</f>
        <v>4.6887999999999996</v>
      </c>
      <c r="F159" s="27">
        <f>4.6888 * CHOOSE(CONTROL!$C$32, $C$9, 100%, $E$9)</f>
        <v>4.6887999999999996</v>
      </c>
      <c r="G159" s="27">
        <f>4.6925 * CHOOSE(CONTROL!$C$32, $C$9, 100%, $E$9)</f>
        <v>4.6924999999999999</v>
      </c>
      <c r="H159" s="27">
        <f>7.4981 * CHOOSE(CONTROL!$C$32, $C$9, 100%, $E$9)</f>
        <v>7.4981</v>
      </c>
      <c r="I159" s="27">
        <f>7.5017 * CHOOSE(CONTROL!$C$32, $C$9, 100%, $E$9)</f>
        <v>7.5016999999999996</v>
      </c>
      <c r="J159" s="27">
        <f>7.4981 * CHOOSE(CONTROL!$C$32, $C$9, 100%, $E$9)</f>
        <v>7.4981</v>
      </c>
      <c r="K159" s="27">
        <f>7.5017 * CHOOSE(CONTROL!$C$32, $C$9, 100%, $E$9)</f>
        <v>7.5016999999999996</v>
      </c>
      <c r="L159" s="27">
        <f>4.6888 * CHOOSE(CONTROL!$C$32, $C$9, 100%, $E$9)</f>
        <v>4.6887999999999996</v>
      </c>
      <c r="M159" s="27">
        <f>4.6925 * CHOOSE(CONTROL!$C$32, $C$9, 100%, $E$9)</f>
        <v>4.6924999999999999</v>
      </c>
      <c r="N159" s="27">
        <f>4.6888 * CHOOSE(CONTROL!$C$32, $C$9, 100%, $E$9)</f>
        <v>4.6887999999999996</v>
      </c>
      <c r="O159" s="27">
        <f>4.6925 * CHOOSE(CONTROL!$C$32, $C$9, 100%, $E$9)</f>
        <v>4.6924999999999999</v>
      </c>
      <c r="P159" s="10"/>
      <c r="Q159" s="10"/>
      <c r="R159" s="10"/>
    </row>
    <row r="160" spans="1:18" ht="15" x14ac:dyDescent="0.2">
      <c r="A160" s="16">
        <v>45717</v>
      </c>
      <c r="B160" s="26">
        <f>3.685 * CHOOSE(CONTROL!$C$32, $C$9, 100%, $E$9)</f>
        <v>3.6850000000000001</v>
      </c>
      <c r="C160" s="26">
        <f>3.685 * CHOOSE(CONTROL!$C$32, $C$9, 100%, $E$9)</f>
        <v>3.6850000000000001</v>
      </c>
      <c r="D160" s="26">
        <f>3.686 * CHOOSE(CONTROL!$C$32, $C$9, 100%, $E$9)</f>
        <v>3.6859999999999999</v>
      </c>
      <c r="E160" s="27">
        <f>4.6868 * CHOOSE(CONTROL!$C$32, $C$9, 100%, $E$9)</f>
        <v>4.6867999999999999</v>
      </c>
      <c r="F160" s="27">
        <f>4.6868 * CHOOSE(CONTROL!$C$32, $C$9, 100%, $E$9)</f>
        <v>4.6867999999999999</v>
      </c>
      <c r="G160" s="27">
        <f>4.6905 * CHOOSE(CONTROL!$C$32, $C$9, 100%, $E$9)</f>
        <v>4.6905000000000001</v>
      </c>
      <c r="H160" s="27">
        <f>7.5137 * CHOOSE(CONTROL!$C$32, $C$9, 100%, $E$9)</f>
        <v>7.5137</v>
      </c>
      <c r="I160" s="27">
        <f>7.5173 * CHOOSE(CONTROL!$C$32, $C$9, 100%, $E$9)</f>
        <v>7.5172999999999996</v>
      </c>
      <c r="J160" s="27">
        <f>7.5137 * CHOOSE(CONTROL!$C$32, $C$9, 100%, $E$9)</f>
        <v>7.5137</v>
      </c>
      <c r="K160" s="27">
        <f>7.5173 * CHOOSE(CONTROL!$C$32, $C$9, 100%, $E$9)</f>
        <v>7.5172999999999996</v>
      </c>
      <c r="L160" s="27">
        <f>4.6868 * CHOOSE(CONTROL!$C$32, $C$9, 100%, $E$9)</f>
        <v>4.6867999999999999</v>
      </c>
      <c r="M160" s="27">
        <f>4.6905 * CHOOSE(CONTROL!$C$32, $C$9, 100%, $E$9)</f>
        <v>4.6905000000000001</v>
      </c>
      <c r="N160" s="27">
        <f>4.6868 * CHOOSE(CONTROL!$C$32, $C$9, 100%, $E$9)</f>
        <v>4.6867999999999999</v>
      </c>
      <c r="O160" s="27">
        <f>4.6905 * CHOOSE(CONTROL!$C$32, $C$9, 100%, $E$9)</f>
        <v>4.6905000000000001</v>
      </c>
      <c r="P160" s="10"/>
      <c r="Q160" s="10"/>
      <c r="R160" s="10"/>
    </row>
    <row r="161" spans="1:18" ht="15" x14ac:dyDescent="0.2">
      <c r="A161" s="16">
        <v>45748</v>
      </c>
      <c r="B161" s="26">
        <f>3.6823 * CHOOSE(CONTROL!$C$32, $C$9, 100%, $E$9)</f>
        <v>3.6823000000000001</v>
      </c>
      <c r="C161" s="26">
        <f>3.6823 * CHOOSE(CONTROL!$C$32, $C$9, 100%, $E$9)</f>
        <v>3.6823000000000001</v>
      </c>
      <c r="D161" s="26">
        <f>3.6834 * CHOOSE(CONTROL!$C$32, $C$9, 100%, $E$9)</f>
        <v>3.6833999999999998</v>
      </c>
      <c r="E161" s="27">
        <f>4.6846 * CHOOSE(CONTROL!$C$32, $C$9, 100%, $E$9)</f>
        <v>4.6845999999999997</v>
      </c>
      <c r="F161" s="27">
        <f>4.6846 * CHOOSE(CONTROL!$C$32, $C$9, 100%, $E$9)</f>
        <v>4.6845999999999997</v>
      </c>
      <c r="G161" s="27">
        <f>4.6882 * CHOOSE(CONTROL!$C$32, $C$9, 100%, $E$9)</f>
        <v>4.6882000000000001</v>
      </c>
      <c r="H161" s="27">
        <f>7.5294 * CHOOSE(CONTROL!$C$32, $C$9, 100%, $E$9)</f>
        <v>7.5293999999999999</v>
      </c>
      <c r="I161" s="27">
        <f>7.533 * CHOOSE(CONTROL!$C$32, $C$9, 100%, $E$9)</f>
        <v>7.5330000000000004</v>
      </c>
      <c r="J161" s="27">
        <f>7.5294 * CHOOSE(CONTROL!$C$32, $C$9, 100%, $E$9)</f>
        <v>7.5293999999999999</v>
      </c>
      <c r="K161" s="27">
        <f>7.533 * CHOOSE(CONTROL!$C$32, $C$9, 100%, $E$9)</f>
        <v>7.5330000000000004</v>
      </c>
      <c r="L161" s="27">
        <f>4.6846 * CHOOSE(CONTROL!$C$32, $C$9, 100%, $E$9)</f>
        <v>4.6845999999999997</v>
      </c>
      <c r="M161" s="27">
        <f>4.6882 * CHOOSE(CONTROL!$C$32, $C$9, 100%, $E$9)</f>
        <v>4.6882000000000001</v>
      </c>
      <c r="N161" s="27">
        <f>4.6846 * CHOOSE(CONTROL!$C$32, $C$9, 100%, $E$9)</f>
        <v>4.6845999999999997</v>
      </c>
      <c r="O161" s="27">
        <f>4.6882 * CHOOSE(CONTROL!$C$32, $C$9, 100%, $E$9)</f>
        <v>4.6882000000000001</v>
      </c>
      <c r="P161" s="10"/>
      <c r="Q161" s="10"/>
      <c r="R161" s="10"/>
    </row>
    <row r="162" spans="1:18" ht="15" x14ac:dyDescent="0.2">
      <c r="A162" s="16">
        <v>45778</v>
      </c>
      <c r="B162" s="26">
        <f>3.6823 * CHOOSE(CONTROL!$C$32, $C$9, 100%, $E$9)</f>
        <v>3.6823000000000001</v>
      </c>
      <c r="C162" s="26">
        <f>3.6823 * CHOOSE(CONTROL!$C$32, $C$9, 100%, $E$9)</f>
        <v>3.6823000000000001</v>
      </c>
      <c r="D162" s="26">
        <f>3.6839 * CHOOSE(CONTROL!$C$32, $C$9, 100%, $E$9)</f>
        <v>3.6839</v>
      </c>
      <c r="E162" s="27">
        <f>4.6846 * CHOOSE(CONTROL!$C$32, $C$9, 100%, $E$9)</f>
        <v>4.6845999999999997</v>
      </c>
      <c r="F162" s="27">
        <f>4.6846 * CHOOSE(CONTROL!$C$32, $C$9, 100%, $E$9)</f>
        <v>4.6845999999999997</v>
      </c>
      <c r="G162" s="27">
        <f>4.6899 * CHOOSE(CONTROL!$C$32, $C$9, 100%, $E$9)</f>
        <v>4.6898999999999997</v>
      </c>
      <c r="H162" s="27">
        <f>7.5451 * CHOOSE(CONTROL!$C$32, $C$9, 100%, $E$9)</f>
        <v>7.5450999999999997</v>
      </c>
      <c r="I162" s="27">
        <f>7.5504 * CHOOSE(CONTROL!$C$32, $C$9, 100%, $E$9)</f>
        <v>7.5503999999999998</v>
      </c>
      <c r="J162" s="27">
        <f>7.5451 * CHOOSE(CONTROL!$C$32, $C$9, 100%, $E$9)</f>
        <v>7.5450999999999997</v>
      </c>
      <c r="K162" s="27">
        <f>7.5504 * CHOOSE(CONTROL!$C$32, $C$9, 100%, $E$9)</f>
        <v>7.5503999999999998</v>
      </c>
      <c r="L162" s="27">
        <f>4.6846 * CHOOSE(CONTROL!$C$32, $C$9, 100%, $E$9)</f>
        <v>4.6845999999999997</v>
      </c>
      <c r="M162" s="27">
        <f>4.6899 * CHOOSE(CONTROL!$C$32, $C$9, 100%, $E$9)</f>
        <v>4.6898999999999997</v>
      </c>
      <c r="N162" s="27">
        <f>4.6846 * CHOOSE(CONTROL!$C$32, $C$9, 100%, $E$9)</f>
        <v>4.6845999999999997</v>
      </c>
      <c r="O162" s="27">
        <f>4.6899 * CHOOSE(CONTROL!$C$32, $C$9, 100%, $E$9)</f>
        <v>4.6898999999999997</v>
      </c>
      <c r="P162" s="10"/>
      <c r="Q162" s="10"/>
      <c r="R162" s="10"/>
    </row>
    <row r="163" spans="1:18" ht="15" x14ac:dyDescent="0.2">
      <c r="A163" s="16">
        <v>45809</v>
      </c>
      <c r="B163" s="26">
        <f>3.6884 * CHOOSE(CONTROL!$C$32, $C$9, 100%, $E$9)</f>
        <v>3.6884000000000001</v>
      </c>
      <c r="C163" s="26">
        <f>3.6884 * CHOOSE(CONTROL!$C$32, $C$9, 100%, $E$9)</f>
        <v>3.6884000000000001</v>
      </c>
      <c r="D163" s="26">
        <f>3.69 * CHOOSE(CONTROL!$C$32, $C$9, 100%, $E$9)</f>
        <v>3.69</v>
      </c>
      <c r="E163" s="27">
        <f>4.6886 * CHOOSE(CONTROL!$C$32, $C$9, 100%, $E$9)</f>
        <v>4.6886000000000001</v>
      </c>
      <c r="F163" s="27">
        <f>4.6886 * CHOOSE(CONTROL!$C$32, $C$9, 100%, $E$9)</f>
        <v>4.6886000000000001</v>
      </c>
      <c r="G163" s="27">
        <f>4.6939 * CHOOSE(CONTROL!$C$32, $C$9, 100%, $E$9)</f>
        <v>4.6939000000000002</v>
      </c>
      <c r="H163" s="27">
        <f>7.5608 * CHOOSE(CONTROL!$C$32, $C$9, 100%, $E$9)</f>
        <v>7.5608000000000004</v>
      </c>
      <c r="I163" s="27">
        <f>7.5661 * CHOOSE(CONTROL!$C$32, $C$9, 100%, $E$9)</f>
        <v>7.5660999999999996</v>
      </c>
      <c r="J163" s="27">
        <f>7.5608 * CHOOSE(CONTROL!$C$32, $C$9, 100%, $E$9)</f>
        <v>7.5608000000000004</v>
      </c>
      <c r="K163" s="27">
        <f>7.5661 * CHOOSE(CONTROL!$C$32, $C$9, 100%, $E$9)</f>
        <v>7.5660999999999996</v>
      </c>
      <c r="L163" s="27">
        <f>4.6886 * CHOOSE(CONTROL!$C$32, $C$9, 100%, $E$9)</f>
        <v>4.6886000000000001</v>
      </c>
      <c r="M163" s="27">
        <f>4.6939 * CHOOSE(CONTROL!$C$32, $C$9, 100%, $E$9)</f>
        <v>4.6939000000000002</v>
      </c>
      <c r="N163" s="27">
        <f>4.6886 * CHOOSE(CONTROL!$C$32, $C$9, 100%, $E$9)</f>
        <v>4.6886000000000001</v>
      </c>
      <c r="O163" s="27">
        <f>4.6939 * CHOOSE(CONTROL!$C$32, $C$9, 100%, $E$9)</f>
        <v>4.6939000000000002</v>
      </c>
      <c r="P163" s="10"/>
      <c r="Q163" s="10"/>
      <c r="R163" s="10"/>
    </row>
    <row r="164" spans="1:18" ht="15" x14ac:dyDescent="0.2">
      <c r="A164" s="16">
        <v>45839</v>
      </c>
      <c r="B164" s="26">
        <f>3.7541 * CHOOSE(CONTROL!$C$32, $C$9, 100%, $E$9)</f>
        <v>3.7541000000000002</v>
      </c>
      <c r="C164" s="26">
        <f>3.7541 * CHOOSE(CONTROL!$C$32, $C$9, 100%, $E$9)</f>
        <v>3.7541000000000002</v>
      </c>
      <c r="D164" s="26">
        <f>3.7556 * CHOOSE(CONTROL!$C$32, $C$9, 100%, $E$9)</f>
        <v>3.7555999999999998</v>
      </c>
      <c r="E164" s="27">
        <f>4.7776 * CHOOSE(CONTROL!$C$32, $C$9, 100%, $E$9)</f>
        <v>4.7775999999999996</v>
      </c>
      <c r="F164" s="27">
        <f>4.7776 * CHOOSE(CONTROL!$C$32, $C$9, 100%, $E$9)</f>
        <v>4.7775999999999996</v>
      </c>
      <c r="G164" s="27">
        <f>4.7829 * CHOOSE(CONTROL!$C$32, $C$9, 100%, $E$9)</f>
        <v>4.7828999999999997</v>
      </c>
      <c r="H164" s="27">
        <f>7.5765 * CHOOSE(CONTROL!$C$32, $C$9, 100%, $E$9)</f>
        <v>7.5765000000000002</v>
      </c>
      <c r="I164" s="27">
        <f>7.5818 * CHOOSE(CONTROL!$C$32, $C$9, 100%, $E$9)</f>
        <v>7.5818000000000003</v>
      </c>
      <c r="J164" s="27">
        <f>7.5765 * CHOOSE(CONTROL!$C$32, $C$9, 100%, $E$9)</f>
        <v>7.5765000000000002</v>
      </c>
      <c r="K164" s="27">
        <f>7.5818 * CHOOSE(CONTROL!$C$32, $C$9, 100%, $E$9)</f>
        <v>7.5818000000000003</v>
      </c>
      <c r="L164" s="27">
        <f>4.7776 * CHOOSE(CONTROL!$C$32, $C$9, 100%, $E$9)</f>
        <v>4.7775999999999996</v>
      </c>
      <c r="M164" s="27">
        <f>4.7829 * CHOOSE(CONTROL!$C$32, $C$9, 100%, $E$9)</f>
        <v>4.7828999999999997</v>
      </c>
      <c r="N164" s="27">
        <f>4.7776 * CHOOSE(CONTROL!$C$32, $C$9, 100%, $E$9)</f>
        <v>4.7775999999999996</v>
      </c>
      <c r="O164" s="27">
        <f>4.7829 * CHOOSE(CONTROL!$C$32, $C$9, 100%, $E$9)</f>
        <v>4.7828999999999997</v>
      </c>
      <c r="P164" s="10"/>
      <c r="Q164" s="10"/>
      <c r="R164" s="10"/>
    </row>
    <row r="165" spans="1:18" ht="15" x14ac:dyDescent="0.2">
      <c r="A165" s="16">
        <v>45870</v>
      </c>
      <c r="B165" s="26">
        <f>3.7607 * CHOOSE(CONTROL!$C$32, $C$9, 100%, $E$9)</f>
        <v>3.7606999999999999</v>
      </c>
      <c r="C165" s="26">
        <f>3.7607 * CHOOSE(CONTROL!$C$32, $C$9, 100%, $E$9)</f>
        <v>3.7606999999999999</v>
      </c>
      <c r="D165" s="26">
        <f>3.7623 * CHOOSE(CONTROL!$C$32, $C$9, 100%, $E$9)</f>
        <v>3.7623000000000002</v>
      </c>
      <c r="E165" s="27">
        <f>4.782 * CHOOSE(CONTROL!$C$32, $C$9, 100%, $E$9)</f>
        <v>4.782</v>
      </c>
      <c r="F165" s="27">
        <f>4.782 * CHOOSE(CONTROL!$C$32, $C$9, 100%, $E$9)</f>
        <v>4.782</v>
      </c>
      <c r="G165" s="27">
        <f>4.7873 * CHOOSE(CONTROL!$C$32, $C$9, 100%, $E$9)</f>
        <v>4.7873000000000001</v>
      </c>
      <c r="H165" s="27">
        <f>7.5923 * CHOOSE(CONTROL!$C$32, $C$9, 100%, $E$9)</f>
        <v>7.5922999999999998</v>
      </c>
      <c r="I165" s="27">
        <f>7.5976 * CHOOSE(CONTROL!$C$32, $C$9, 100%, $E$9)</f>
        <v>7.5975999999999999</v>
      </c>
      <c r="J165" s="27">
        <f>7.5923 * CHOOSE(CONTROL!$C$32, $C$9, 100%, $E$9)</f>
        <v>7.5922999999999998</v>
      </c>
      <c r="K165" s="27">
        <f>7.5976 * CHOOSE(CONTROL!$C$32, $C$9, 100%, $E$9)</f>
        <v>7.5975999999999999</v>
      </c>
      <c r="L165" s="27">
        <f>4.782 * CHOOSE(CONTROL!$C$32, $C$9, 100%, $E$9)</f>
        <v>4.782</v>
      </c>
      <c r="M165" s="27">
        <f>4.7873 * CHOOSE(CONTROL!$C$32, $C$9, 100%, $E$9)</f>
        <v>4.7873000000000001</v>
      </c>
      <c r="N165" s="27">
        <f>4.782 * CHOOSE(CONTROL!$C$32, $C$9, 100%, $E$9)</f>
        <v>4.782</v>
      </c>
      <c r="O165" s="27">
        <f>4.7873 * CHOOSE(CONTROL!$C$32, $C$9, 100%, $E$9)</f>
        <v>4.7873000000000001</v>
      </c>
      <c r="P165" s="10"/>
      <c r="Q165" s="10"/>
      <c r="R165" s="10"/>
    </row>
    <row r="166" spans="1:18" ht="15" x14ac:dyDescent="0.2">
      <c r="A166" s="16">
        <v>45901</v>
      </c>
      <c r="B166" s="26">
        <f>3.7577 * CHOOSE(CONTROL!$C$32, $C$9, 100%, $E$9)</f>
        <v>3.7576999999999998</v>
      </c>
      <c r="C166" s="26">
        <f>3.7577 * CHOOSE(CONTROL!$C$32, $C$9, 100%, $E$9)</f>
        <v>3.7576999999999998</v>
      </c>
      <c r="D166" s="26">
        <f>3.7593 * CHOOSE(CONTROL!$C$32, $C$9, 100%, $E$9)</f>
        <v>3.7593000000000001</v>
      </c>
      <c r="E166" s="27">
        <f>4.78 * CHOOSE(CONTROL!$C$32, $C$9, 100%, $E$9)</f>
        <v>4.78</v>
      </c>
      <c r="F166" s="27">
        <f>4.78 * CHOOSE(CONTROL!$C$32, $C$9, 100%, $E$9)</f>
        <v>4.78</v>
      </c>
      <c r="G166" s="27">
        <f>4.7853 * CHOOSE(CONTROL!$C$32, $C$9, 100%, $E$9)</f>
        <v>4.7853000000000003</v>
      </c>
      <c r="H166" s="27">
        <f>7.6081 * CHOOSE(CONTROL!$C$32, $C$9, 100%, $E$9)</f>
        <v>7.6081000000000003</v>
      </c>
      <c r="I166" s="27">
        <f>7.6134 * CHOOSE(CONTROL!$C$32, $C$9, 100%, $E$9)</f>
        <v>7.6134000000000004</v>
      </c>
      <c r="J166" s="27">
        <f>7.6081 * CHOOSE(CONTROL!$C$32, $C$9, 100%, $E$9)</f>
        <v>7.6081000000000003</v>
      </c>
      <c r="K166" s="27">
        <f>7.6134 * CHOOSE(CONTROL!$C$32, $C$9, 100%, $E$9)</f>
        <v>7.6134000000000004</v>
      </c>
      <c r="L166" s="27">
        <f>4.78 * CHOOSE(CONTROL!$C$32, $C$9, 100%, $E$9)</f>
        <v>4.78</v>
      </c>
      <c r="M166" s="27">
        <f>4.7853 * CHOOSE(CONTROL!$C$32, $C$9, 100%, $E$9)</f>
        <v>4.7853000000000003</v>
      </c>
      <c r="N166" s="27">
        <f>4.78 * CHOOSE(CONTROL!$C$32, $C$9, 100%, $E$9)</f>
        <v>4.78</v>
      </c>
      <c r="O166" s="27">
        <f>4.7853 * CHOOSE(CONTROL!$C$32, $C$9, 100%, $E$9)</f>
        <v>4.7853000000000003</v>
      </c>
      <c r="P166" s="10"/>
      <c r="Q166" s="10"/>
      <c r="R166" s="10"/>
    </row>
    <row r="167" spans="1:18" ht="15" x14ac:dyDescent="0.2">
      <c r="A167" s="16">
        <v>45931</v>
      </c>
      <c r="B167" s="26">
        <f>3.7519 * CHOOSE(CONTROL!$C$32, $C$9, 100%, $E$9)</f>
        <v>3.7519</v>
      </c>
      <c r="C167" s="26">
        <f>3.7519 * CHOOSE(CONTROL!$C$32, $C$9, 100%, $E$9)</f>
        <v>3.7519</v>
      </c>
      <c r="D167" s="26">
        <f>3.753 * CHOOSE(CONTROL!$C$32, $C$9, 100%, $E$9)</f>
        <v>3.7530000000000001</v>
      </c>
      <c r="E167" s="27">
        <f>4.7743 * CHOOSE(CONTROL!$C$32, $C$9, 100%, $E$9)</f>
        <v>4.7743000000000002</v>
      </c>
      <c r="F167" s="27">
        <f>4.7743 * CHOOSE(CONTROL!$C$32, $C$9, 100%, $E$9)</f>
        <v>4.7743000000000002</v>
      </c>
      <c r="G167" s="27">
        <f>4.7779 * CHOOSE(CONTROL!$C$32, $C$9, 100%, $E$9)</f>
        <v>4.7778999999999998</v>
      </c>
      <c r="H167" s="27">
        <f>7.624 * CHOOSE(CONTROL!$C$32, $C$9, 100%, $E$9)</f>
        <v>7.6239999999999997</v>
      </c>
      <c r="I167" s="27">
        <f>7.6276 * CHOOSE(CONTROL!$C$32, $C$9, 100%, $E$9)</f>
        <v>7.6276000000000002</v>
      </c>
      <c r="J167" s="27">
        <f>7.624 * CHOOSE(CONTROL!$C$32, $C$9, 100%, $E$9)</f>
        <v>7.6239999999999997</v>
      </c>
      <c r="K167" s="27">
        <f>7.6276 * CHOOSE(CONTROL!$C$32, $C$9, 100%, $E$9)</f>
        <v>7.6276000000000002</v>
      </c>
      <c r="L167" s="27">
        <f>4.7743 * CHOOSE(CONTROL!$C$32, $C$9, 100%, $E$9)</f>
        <v>4.7743000000000002</v>
      </c>
      <c r="M167" s="27">
        <f>4.7779 * CHOOSE(CONTROL!$C$32, $C$9, 100%, $E$9)</f>
        <v>4.7778999999999998</v>
      </c>
      <c r="N167" s="27">
        <f>4.7743 * CHOOSE(CONTROL!$C$32, $C$9, 100%, $E$9)</f>
        <v>4.7743000000000002</v>
      </c>
      <c r="O167" s="27">
        <f>4.7779 * CHOOSE(CONTROL!$C$32, $C$9, 100%, $E$9)</f>
        <v>4.7778999999999998</v>
      </c>
      <c r="P167" s="10"/>
      <c r="Q167" s="10"/>
      <c r="R167" s="10"/>
    </row>
    <row r="168" spans="1:18" ht="15" x14ac:dyDescent="0.2">
      <c r="A168" s="16">
        <v>45962</v>
      </c>
      <c r="B168" s="26">
        <f>3.755 * CHOOSE(CONTROL!$C$32, $C$9, 100%, $E$9)</f>
        <v>3.7549999999999999</v>
      </c>
      <c r="C168" s="26">
        <f>3.755 * CHOOSE(CONTROL!$C$32, $C$9, 100%, $E$9)</f>
        <v>3.7549999999999999</v>
      </c>
      <c r="D168" s="26">
        <f>3.7561 * CHOOSE(CONTROL!$C$32, $C$9, 100%, $E$9)</f>
        <v>3.7561</v>
      </c>
      <c r="E168" s="27">
        <f>4.7763 * CHOOSE(CONTROL!$C$32, $C$9, 100%, $E$9)</f>
        <v>4.7763</v>
      </c>
      <c r="F168" s="27">
        <f>4.7763 * CHOOSE(CONTROL!$C$32, $C$9, 100%, $E$9)</f>
        <v>4.7763</v>
      </c>
      <c r="G168" s="27">
        <f>4.7799 * CHOOSE(CONTROL!$C$32, $C$9, 100%, $E$9)</f>
        <v>4.7798999999999996</v>
      </c>
      <c r="H168" s="27">
        <f>7.6399 * CHOOSE(CONTROL!$C$32, $C$9, 100%, $E$9)</f>
        <v>7.6398999999999999</v>
      </c>
      <c r="I168" s="27">
        <f>7.6435 * CHOOSE(CONTROL!$C$32, $C$9, 100%, $E$9)</f>
        <v>7.6435000000000004</v>
      </c>
      <c r="J168" s="27">
        <f>7.6399 * CHOOSE(CONTROL!$C$32, $C$9, 100%, $E$9)</f>
        <v>7.6398999999999999</v>
      </c>
      <c r="K168" s="27">
        <f>7.6435 * CHOOSE(CONTROL!$C$32, $C$9, 100%, $E$9)</f>
        <v>7.6435000000000004</v>
      </c>
      <c r="L168" s="27">
        <f>4.7763 * CHOOSE(CONTROL!$C$32, $C$9, 100%, $E$9)</f>
        <v>4.7763</v>
      </c>
      <c r="M168" s="27">
        <f>4.7799 * CHOOSE(CONTROL!$C$32, $C$9, 100%, $E$9)</f>
        <v>4.7798999999999996</v>
      </c>
      <c r="N168" s="27">
        <f>4.7763 * CHOOSE(CONTROL!$C$32, $C$9, 100%, $E$9)</f>
        <v>4.7763</v>
      </c>
      <c r="O168" s="27">
        <f>4.7799 * CHOOSE(CONTROL!$C$32, $C$9, 100%, $E$9)</f>
        <v>4.7798999999999996</v>
      </c>
    </row>
    <row r="169" spans="1:18" ht="15" x14ac:dyDescent="0.2">
      <c r="A169" s="16">
        <v>45992</v>
      </c>
      <c r="B169" s="26">
        <f>3.755 * CHOOSE(CONTROL!$C$32, $C$9, 100%, $E$9)</f>
        <v>3.7549999999999999</v>
      </c>
      <c r="C169" s="26">
        <f>3.755 * CHOOSE(CONTROL!$C$32, $C$9, 100%, $E$9)</f>
        <v>3.7549999999999999</v>
      </c>
      <c r="D169" s="26">
        <f>3.7561 * CHOOSE(CONTROL!$C$32, $C$9, 100%, $E$9)</f>
        <v>3.7561</v>
      </c>
      <c r="E169" s="27">
        <f>4.7763 * CHOOSE(CONTROL!$C$32, $C$9, 100%, $E$9)</f>
        <v>4.7763</v>
      </c>
      <c r="F169" s="27">
        <f>4.7763 * CHOOSE(CONTROL!$C$32, $C$9, 100%, $E$9)</f>
        <v>4.7763</v>
      </c>
      <c r="G169" s="27">
        <f>4.7799 * CHOOSE(CONTROL!$C$32, $C$9, 100%, $E$9)</f>
        <v>4.7798999999999996</v>
      </c>
      <c r="H169" s="27">
        <f>7.6558 * CHOOSE(CONTROL!$C$32, $C$9, 100%, $E$9)</f>
        <v>7.6558000000000002</v>
      </c>
      <c r="I169" s="27">
        <f>7.6594 * CHOOSE(CONTROL!$C$32, $C$9, 100%, $E$9)</f>
        <v>7.6593999999999998</v>
      </c>
      <c r="J169" s="27">
        <f>7.6558 * CHOOSE(CONTROL!$C$32, $C$9, 100%, $E$9)</f>
        <v>7.6558000000000002</v>
      </c>
      <c r="K169" s="27">
        <f>7.6594 * CHOOSE(CONTROL!$C$32, $C$9, 100%, $E$9)</f>
        <v>7.6593999999999998</v>
      </c>
      <c r="L169" s="27">
        <f>4.7763 * CHOOSE(CONTROL!$C$32, $C$9, 100%, $E$9)</f>
        <v>4.7763</v>
      </c>
      <c r="M169" s="27">
        <f>4.7799 * CHOOSE(CONTROL!$C$32, $C$9, 100%, $E$9)</f>
        <v>4.7798999999999996</v>
      </c>
      <c r="N169" s="27">
        <f>4.7763 * CHOOSE(CONTROL!$C$32, $C$9, 100%, $E$9)</f>
        <v>4.7763</v>
      </c>
      <c r="O169" s="27">
        <f>4.7799 * CHOOSE(CONTROL!$C$32, $C$9, 100%, $E$9)</f>
        <v>4.7798999999999996</v>
      </c>
    </row>
    <row r="170" spans="1:18" ht="15" x14ac:dyDescent="0.2">
      <c r="A170" s="16">
        <v>46023</v>
      </c>
      <c r="B170" s="26">
        <f>3.7892 * CHOOSE(CONTROL!$C$32, $C$9, 100%, $E$9)</f>
        <v>3.7892000000000001</v>
      </c>
      <c r="C170" s="26">
        <f>3.7892 * CHOOSE(CONTROL!$C$32, $C$9, 100%, $E$9)</f>
        <v>3.7892000000000001</v>
      </c>
      <c r="D170" s="26">
        <f>3.7902 * CHOOSE(CONTROL!$C$32, $C$9, 100%, $E$9)</f>
        <v>3.7902</v>
      </c>
      <c r="E170" s="27">
        <f>4.8185 * CHOOSE(CONTROL!$C$32, $C$9, 100%, $E$9)</f>
        <v>4.8185000000000002</v>
      </c>
      <c r="F170" s="27">
        <f>4.8185 * CHOOSE(CONTROL!$C$32, $C$9, 100%, $E$9)</f>
        <v>4.8185000000000002</v>
      </c>
      <c r="G170" s="27">
        <f>4.8221 * CHOOSE(CONTROL!$C$32, $C$9, 100%, $E$9)</f>
        <v>4.8220999999999998</v>
      </c>
      <c r="H170" s="27">
        <f>7.6717 * CHOOSE(CONTROL!$C$32, $C$9, 100%, $E$9)</f>
        <v>7.6717000000000004</v>
      </c>
      <c r="I170" s="27">
        <f>7.6753 * CHOOSE(CONTROL!$C$32, $C$9, 100%, $E$9)</f>
        <v>7.6753</v>
      </c>
      <c r="J170" s="27">
        <f>7.6717 * CHOOSE(CONTROL!$C$32, $C$9, 100%, $E$9)</f>
        <v>7.6717000000000004</v>
      </c>
      <c r="K170" s="27">
        <f>7.6753 * CHOOSE(CONTROL!$C$32, $C$9, 100%, $E$9)</f>
        <v>7.6753</v>
      </c>
      <c r="L170" s="27">
        <f>4.8185 * CHOOSE(CONTROL!$C$32, $C$9, 100%, $E$9)</f>
        <v>4.8185000000000002</v>
      </c>
      <c r="M170" s="27">
        <f>4.8221 * CHOOSE(CONTROL!$C$32, $C$9, 100%, $E$9)</f>
        <v>4.8220999999999998</v>
      </c>
      <c r="N170" s="27">
        <f>4.8185 * CHOOSE(CONTROL!$C$32, $C$9, 100%, $E$9)</f>
        <v>4.8185000000000002</v>
      </c>
      <c r="O170" s="27">
        <f>4.8221 * CHOOSE(CONTROL!$C$32, $C$9, 100%, $E$9)</f>
        <v>4.8220999999999998</v>
      </c>
    </row>
    <row r="171" spans="1:18" ht="15" x14ac:dyDescent="0.2">
      <c r="A171" s="16">
        <v>46054</v>
      </c>
      <c r="B171" s="26">
        <f>3.7861 * CHOOSE(CONTROL!$C$32, $C$9, 100%, $E$9)</f>
        <v>3.7860999999999998</v>
      </c>
      <c r="C171" s="26">
        <f>3.7861 * CHOOSE(CONTROL!$C$32, $C$9, 100%, $E$9)</f>
        <v>3.7860999999999998</v>
      </c>
      <c r="D171" s="26">
        <f>3.7872 * CHOOSE(CONTROL!$C$32, $C$9, 100%, $E$9)</f>
        <v>3.7871999999999999</v>
      </c>
      <c r="E171" s="27">
        <f>4.8165 * CHOOSE(CONTROL!$C$32, $C$9, 100%, $E$9)</f>
        <v>4.8164999999999996</v>
      </c>
      <c r="F171" s="27">
        <f>4.8165 * CHOOSE(CONTROL!$C$32, $C$9, 100%, $E$9)</f>
        <v>4.8164999999999996</v>
      </c>
      <c r="G171" s="27">
        <f>4.8201 * CHOOSE(CONTROL!$C$32, $C$9, 100%, $E$9)</f>
        <v>4.8201000000000001</v>
      </c>
      <c r="H171" s="27">
        <f>7.6877 * CHOOSE(CONTROL!$C$32, $C$9, 100%, $E$9)</f>
        <v>7.6877000000000004</v>
      </c>
      <c r="I171" s="27">
        <f>7.6913 * CHOOSE(CONTROL!$C$32, $C$9, 100%, $E$9)</f>
        <v>7.6913</v>
      </c>
      <c r="J171" s="27">
        <f>7.6877 * CHOOSE(CONTROL!$C$32, $C$9, 100%, $E$9)</f>
        <v>7.6877000000000004</v>
      </c>
      <c r="K171" s="27">
        <f>7.6913 * CHOOSE(CONTROL!$C$32, $C$9, 100%, $E$9)</f>
        <v>7.6913</v>
      </c>
      <c r="L171" s="27">
        <f>4.8165 * CHOOSE(CONTROL!$C$32, $C$9, 100%, $E$9)</f>
        <v>4.8164999999999996</v>
      </c>
      <c r="M171" s="27">
        <f>4.8201 * CHOOSE(CONTROL!$C$32, $C$9, 100%, $E$9)</f>
        <v>4.8201000000000001</v>
      </c>
      <c r="N171" s="27">
        <f>4.8165 * CHOOSE(CONTROL!$C$32, $C$9, 100%, $E$9)</f>
        <v>4.8164999999999996</v>
      </c>
      <c r="O171" s="27">
        <f>4.8201 * CHOOSE(CONTROL!$C$32, $C$9, 100%, $E$9)</f>
        <v>4.8201000000000001</v>
      </c>
    </row>
    <row r="172" spans="1:18" ht="15" x14ac:dyDescent="0.2">
      <c r="A172" s="16">
        <v>46082</v>
      </c>
      <c r="B172" s="26">
        <f>3.7831 * CHOOSE(CONTROL!$C$32, $C$9, 100%, $E$9)</f>
        <v>3.7831000000000001</v>
      </c>
      <c r="C172" s="26">
        <f>3.7831 * CHOOSE(CONTROL!$C$32, $C$9, 100%, $E$9)</f>
        <v>3.7831000000000001</v>
      </c>
      <c r="D172" s="26">
        <f>3.7842 * CHOOSE(CONTROL!$C$32, $C$9, 100%, $E$9)</f>
        <v>3.7841999999999998</v>
      </c>
      <c r="E172" s="27">
        <f>4.8145 * CHOOSE(CONTROL!$C$32, $C$9, 100%, $E$9)</f>
        <v>4.8144999999999998</v>
      </c>
      <c r="F172" s="27">
        <f>4.8145 * CHOOSE(CONTROL!$C$32, $C$9, 100%, $E$9)</f>
        <v>4.8144999999999998</v>
      </c>
      <c r="G172" s="27">
        <f>4.8181 * CHOOSE(CONTROL!$C$32, $C$9, 100%, $E$9)</f>
        <v>4.8181000000000003</v>
      </c>
      <c r="H172" s="27">
        <f>7.7037 * CHOOSE(CONTROL!$C$32, $C$9, 100%, $E$9)</f>
        <v>7.7037000000000004</v>
      </c>
      <c r="I172" s="27">
        <f>7.7073 * CHOOSE(CONTROL!$C$32, $C$9, 100%, $E$9)</f>
        <v>7.7073</v>
      </c>
      <c r="J172" s="27">
        <f>7.7037 * CHOOSE(CONTROL!$C$32, $C$9, 100%, $E$9)</f>
        <v>7.7037000000000004</v>
      </c>
      <c r="K172" s="27">
        <f>7.7073 * CHOOSE(CONTROL!$C$32, $C$9, 100%, $E$9)</f>
        <v>7.7073</v>
      </c>
      <c r="L172" s="27">
        <f>4.8145 * CHOOSE(CONTROL!$C$32, $C$9, 100%, $E$9)</f>
        <v>4.8144999999999998</v>
      </c>
      <c r="M172" s="27">
        <f>4.8181 * CHOOSE(CONTROL!$C$32, $C$9, 100%, $E$9)</f>
        <v>4.8181000000000003</v>
      </c>
      <c r="N172" s="27">
        <f>4.8145 * CHOOSE(CONTROL!$C$32, $C$9, 100%, $E$9)</f>
        <v>4.8144999999999998</v>
      </c>
      <c r="O172" s="27">
        <f>4.8181 * CHOOSE(CONTROL!$C$32, $C$9, 100%, $E$9)</f>
        <v>4.8181000000000003</v>
      </c>
    </row>
    <row r="173" spans="1:18" ht="15" x14ac:dyDescent="0.2">
      <c r="A173" s="16">
        <v>46113</v>
      </c>
      <c r="B173" s="26">
        <f>3.7805 * CHOOSE(CONTROL!$C$32, $C$9, 100%, $E$9)</f>
        <v>3.7805</v>
      </c>
      <c r="C173" s="26">
        <f>3.7805 * CHOOSE(CONTROL!$C$32, $C$9, 100%, $E$9)</f>
        <v>3.7805</v>
      </c>
      <c r="D173" s="26">
        <f>3.7816 * CHOOSE(CONTROL!$C$32, $C$9, 100%, $E$9)</f>
        <v>3.7816000000000001</v>
      </c>
      <c r="E173" s="27">
        <f>4.8123 * CHOOSE(CONTROL!$C$32, $C$9, 100%, $E$9)</f>
        <v>4.8122999999999996</v>
      </c>
      <c r="F173" s="27">
        <f>4.8123 * CHOOSE(CONTROL!$C$32, $C$9, 100%, $E$9)</f>
        <v>4.8122999999999996</v>
      </c>
      <c r="G173" s="27">
        <f>4.816 * CHOOSE(CONTROL!$C$32, $C$9, 100%, $E$9)</f>
        <v>4.8159999999999998</v>
      </c>
      <c r="H173" s="27">
        <f>7.7198 * CHOOSE(CONTROL!$C$32, $C$9, 100%, $E$9)</f>
        <v>7.7198000000000002</v>
      </c>
      <c r="I173" s="27">
        <f>7.7234 * CHOOSE(CONTROL!$C$32, $C$9, 100%, $E$9)</f>
        <v>7.7233999999999998</v>
      </c>
      <c r="J173" s="27">
        <f>7.7198 * CHOOSE(CONTROL!$C$32, $C$9, 100%, $E$9)</f>
        <v>7.7198000000000002</v>
      </c>
      <c r="K173" s="27">
        <f>7.7234 * CHOOSE(CONTROL!$C$32, $C$9, 100%, $E$9)</f>
        <v>7.7233999999999998</v>
      </c>
      <c r="L173" s="27">
        <f>4.8123 * CHOOSE(CONTROL!$C$32, $C$9, 100%, $E$9)</f>
        <v>4.8122999999999996</v>
      </c>
      <c r="M173" s="27">
        <f>4.816 * CHOOSE(CONTROL!$C$32, $C$9, 100%, $E$9)</f>
        <v>4.8159999999999998</v>
      </c>
      <c r="N173" s="27">
        <f>4.8123 * CHOOSE(CONTROL!$C$32, $C$9, 100%, $E$9)</f>
        <v>4.8122999999999996</v>
      </c>
      <c r="O173" s="27">
        <f>4.816 * CHOOSE(CONTROL!$C$32, $C$9, 100%, $E$9)</f>
        <v>4.8159999999999998</v>
      </c>
    </row>
    <row r="174" spans="1:18" ht="15" x14ac:dyDescent="0.2">
      <c r="A174" s="16">
        <v>46143</v>
      </c>
      <c r="B174" s="26">
        <f>3.7805 * CHOOSE(CONTROL!$C$32, $C$9, 100%, $E$9)</f>
        <v>3.7805</v>
      </c>
      <c r="C174" s="26">
        <f>3.7805 * CHOOSE(CONTROL!$C$32, $C$9, 100%, $E$9)</f>
        <v>3.7805</v>
      </c>
      <c r="D174" s="26">
        <f>3.7821 * CHOOSE(CONTROL!$C$32, $C$9, 100%, $E$9)</f>
        <v>3.7820999999999998</v>
      </c>
      <c r="E174" s="27">
        <f>4.8123 * CHOOSE(CONTROL!$C$32, $C$9, 100%, $E$9)</f>
        <v>4.8122999999999996</v>
      </c>
      <c r="F174" s="27">
        <f>4.8123 * CHOOSE(CONTROL!$C$32, $C$9, 100%, $E$9)</f>
        <v>4.8122999999999996</v>
      </c>
      <c r="G174" s="27">
        <f>4.8176 * CHOOSE(CONTROL!$C$32, $C$9, 100%, $E$9)</f>
        <v>4.8175999999999997</v>
      </c>
      <c r="H174" s="27">
        <f>7.7359 * CHOOSE(CONTROL!$C$32, $C$9, 100%, $E$9)</f>
        <v>7.7359</v>
      </c>
      <c r="I174" s="27">
        <f>7.7412 * CHOOSE(CONTROL!$C$32, $C$9, 100%, $E$9)</f>
        <v>7.7412000000000001</v>
      </c>
      <c r="J174" s="27">
        <f>7.7359 * CHOOSE(CONTROL!$C$32, $C$9, 100%, $E$9)</f>
        <v>7.7359</v>
      </c>
      <c r="K174" s="27">
        <f>7.7412 * CHOOSE(CONTROL!$C$32, $C$9, 100%, $E$9)</f>
        <v>7.7412000000000001</v>
      </c>
      <c r="L174" s="27">
        <f>4.8123 * CHOOSE(CONTROL!$C$32, $C$9, 100%, $E$9)</f>
        <v>4.8122999999999996</v>
      </c>
      <c r="M174" s="27">
        <f>4.8176 * CHOOSE(CONTROL!$C$32, $C$9, 100%, $E$9)</f>
        <v>4.8175999999999997</v>
      </c>
      <c r="N174" s="27">
        <f>4.8123 * CHOOSE(CONTROL!$C$32, $C$9, 100%, $E$9)</f>
        <v>4.8122999999999996</v>
      </c>
      <c r="O174" s="27">
        <f>4.8176 * CHOOSE(CONTROL!$C$32, $C$9, 100%, $E$9)</f>
        <v>4.8175999999999997</v>
      </c>
    </row>
    <row r="175" spans="1:18" ht="15" x14ac:dyDescent="0.2">
      <c r="A175" s="16">
        <v>46174</v>
      </c>
      <c r="B175" s="26">
        <f>3.7866 * CHOOSE(CONTROL!$C$32, $C$9, 100%, $E$9)</f>
        <v>3.7866</v>
      </c>
      <c r="C175" s="26">
        <f>3.7866 * CHOOSE(CONTROL!$C$32, $C$9, 100%, $E$9)</f>
        <v>3.7866</v>
      </c>
      <c r="D175" s="26">
        <f>3.7882 * CHOOSE(CONTROL!$C$32, $C$9, 100%, $E$9)</f>
        <v>3.7881999999999998</v>
      </c>
      <c r="E175" s="27">
        <f>4.8163 * CHOOSE(CONTROL!$C$32, $C$9, 100%, $E$9)</f>
        <v>4.8163</v>
      </c>
      <c r="F175" s="27">
        <f>4.8163 * CHOOSE(CONTROL!$C$32, $C$9, 100%, $E$9)</f>
        <v>4.8163</v>
      </c>
      <c r="G175" s="27">
        <f>4.8216 * CHOOSE(CONTROL!$C$32, $C$9, 100%, $E$9)</f>
        <v>4.8216000000000001</v>
      </c>
      <c r="H175" s="27">
        <f>7.752 * CHOOSE(CONTROL!$C$32, $C$9, 100%, $E$9)</f>
        <v>7.7519999999999998</v>
      </c>
      <c r="I175" s="27">
        <f>7.7573 * CHOOSE(CONTROL!$C$32, $C$9, 100%, $E$9)</f>
        <v>7.7572999999999999</v>
      </c>
      <c r="J175" s="27">
        <f>7.752 * CHOOSE(CONTROL!$C$32, $C$9, 100%, $E$9)</f>
        <v>7.7519999999999998</v>
      </c>
      <c r="K175" s="27">
        <f>7.7573 * CHOOSE(CONTROL!$C$32, $C$9, 100%, $E$9)</f>
        <v>7.7572999999999999</v>
      </c>
      <c r="L175" s="27">
        <f>4.8163 * CHOOSE(CONTROL!$C$32, $C$9, 100%, $E$9)</f>
        <v>4.8163</v>
      </c>
      <c r="M175" s="27">
        <f>4.8216 * CHOOSE(CONTROL!$C$32, $C$9, 100%, $E$9)</f>
        <v>4.8216000000000001</v>
      </c>
      <c r="N175" s="27">
        <f>4.8163 * CHOOSE(CONTROL!$C$32, $C$9, 100%, $E$9)</f>
        <v>4.8163</v>
      </c>
      <c r="O175" s="27">
        <f>4.8216 * CHOOSE(CONTROL!$C$32, $C$9, 100%, $E$9)</f>
        <v>4.8216000000000001</v>
      </c>
    </row>
    <row r="176" spans="1:18" ht="15" x14ac:dyDescent="0.2">
      <c r="A176" s="16">
        <v>46204</v>
      </c>
      <c r="B176" s="26">
        <f>3.8506 * CHOOSE(CONTROL!$C$32, $C$9, 100%, $E$9)</f>
        <v>3.8506</v>
      </c>
      <c r="C176" s="26">
        <f>3.8506 * CHOOSE(CONTROL!$C$32, $C$9, 100%, $E$9)</f>
        <v>3.8506</v>
      </c>
      <c r="D176" s="26">
        <f>3.8522 * CHOOSE(CONTROL!$C$32, $C$9, 100%, $E$9)</f>
        <v>3.8521999999999998</v>
      </c>
      <c r="E176" s="27">
        <f>4.9098 * CHOOSE(CONTROL!$C$32, $C$9, 100%, $E$9)</f>
        <v>4.9097999999999997</v>
      </c>
      <c r="F176" s="27">
        <f>4.9098 * CHOOSE(CONTROL!$C$32, $C$9, 100%, $E$9)</f>
        <v>4.9097999999999997</v>
      </c>
      <c r="G176" s="27">
        <f>4.9151 * CHOOSE(CONTROL!$C$32, $C$9, 100%, $E$9)</f>
        <v>4.9150999999999998</v>
      </c>
      <c r="H176" s="27">
        <f>7.7681 * CHOOSE(CONTROL!$C$32, $C$9, 100%, $E$9)</f>
        <v>7.7680999999999996</v>
      </c>
      <c r="I176" s="27">
        <f>7.7734 * CHOOSE(CONTROL!$C$32, $C$9, 100%, $E$9)</f>
        <v>7.7733999999999996</v>
      </c>
      <c r="J176" s="27">
        <f>7.7681 * CHOOSE(CONTROL!$C$32, $C$9, 100%, $E$9)</f>
        <v>7.7680999999999996</v>
      </c>
      <c r="K176" s="27">
        <f>7.7734 * CHOOSE(CONTROL!$C$32, $C$9, 100%, $E$9)</f>
        <v>7.7733999999999996</v>
      </c>
      <c r="L176" s="27">
        <f>4.9098 * CHOOSE(CONTROL!$C$32, $C$9, 100%, $E$9)</f>
        <v>4.9097999999999997</v>
      </c>
      <c r="M176" s="27">
        <f>4.9151 * CHOOSE(CONTROL!$C$32, $C$9, 100%, $E$9)</f>
        <v>4.9150999999999998</v>
      </c>
      <c r="N176" s="27">
        <f>4.9098 * CHOOSE(CONTROL!$C$32, $C$9, 100%, $E$9)</f>
        <v>4.9097999999999997</v>
      </c>
      <c r="O176" s="27">
        <f>4.9151 * CHOOSE(CONTROL!$C$32, $C$9, 100%, $E$9)</f>
        <v>4.9150999999999998</v>
      </c>
    </row>
    <row r="177" spans="1:15" ht="15" x14ac:dyDescent="0.2">
      <c r="A177" s="16">
        <v>46235</v>
      </c>
      <c r="B177" s="26">
        <f>3.8573 * CHOOSE(CONTROL!$C$32, $C$9, 100%, $E$9)</f>
        <v>3.8573</v>
      </c>
      <c r="C177" s="26">
        <f>3.8573 * CHOOSE(CONTROL!$C$32, $C$9, 100%, $E$9)</f>
        <v>3.8573</v>
      </c>
      <c r="D177" s="26">
        <f>3.8589 * CHOOSE(CONTROL!$C$32, $C$9, 100%, $E$9)</f>
        <v>3.8589000000000002</v>
      </c>
      <c r="E177" s="27">
        <f>4.9142 * CHOOSE(CONTROL!$C$32, $C$9, 100%, $E$9)</f>
        <v>4.9142000000000001</v>
      </c>
      <c r="F177" s="27">
        <f>4.9142 * CHOOSE(CONTROL!$C$32, $C$9, 100%, $E$9)</f>
        <v>4.9142000000000001</v>
      </c>
      <c r="G177" s="27">
        <f>4.9195 * CHOOSE(CONTROL!$C$32, $C$9, 100%, $E$9)</f>
        <v>4.9195000000000002</v>
      </c>
      <c r="H177" s="27">
        <f>7.7843 * CHOOSE(CONTROL!$C$32, $C$9, 100%, $E$9)</f>
        <v>7.7843</v>
      </c>
      <c r="I177" s="27">
        <f>7.7896 * CHOOSE(CONTROL!$C$32, $C$9, 100%, $E$9)</f>
        <v>7.7896000000000001</v>
      </c>
      <c r="J177" s="27">
        <f>7.7843 * CHOOSE(CONTROL!$C$32, $C$9, 100%, $E$9)</f>
        <v>7.7843</v>
      </c>
      <c r="K177" s="27">
        <f>7.7896 * CHOOSE(CONTROL!$C$32, $C$9, 100%, $E$9)</f>
        <v>7.7896000000000001</v>
      </c>
      <c r="L177" s="27">
        <f>4.9142 * CHOOSE(CONTROL!$C$32, $C$9, 100%, $E$9)</f>
        <v>4.9142000000000001</v>
      </c>
      <c r="M177" s="27">
        <f>4.9195 * CHOOSE(CONTROL!$C$32, $C$9, 100%, $E$9)</f>
        <v>4.9195000000000002</v>
      </c>
      <c r="N177" s="27">
        <f>4.9142 * CHOOSE(CONTROL!$C$32, $C$9, 100%, $E$9)</f>
        <v>4.9142000000000001</v>
      </c>
      <c r="O177" s="27">
        <f>4.9195 * CHOOSE(CONTROL!$C$32, $C$9, 100%, $E$9)</f>
        <v>4.9195000000000002</v>
      </c>
    </row>
    <row r="178" spans="1:15" ht="15" x14ac:dyDescent="0.2">
      <c r="A178" s="16">
        <v>46266</v>
      </c>
      <c r="B178" s="26">
        <f>3.8543 * CHOOSE(CONTROL!$C$32, $C$9, 100%, $E$9)</f>
        <v>3.8542999999999998</v>
      </c>
      <c r="C178" s="26">
        <f>3.8543 * CHOOSE(CONTROL!$C$32, $C$9, 100%, $E$9)</f>
        <v>3.8542999999999998</v>
      </c>
      <c r="D178" s="26">
        <f>3.8558 * CHOOSE(CONTROL!$C$32, $C$9, 100%, $E$9)</f>
        <v>3.8557999999999999</v>
      </c>
      <c r="E178" s="27">
        <f>4.9122 * CHOOSE(CONTROL!$C$32, $C$9, 100%, $E$9)</f>
        <v>4.9122000000000003</v>
      </c>
      <c r="F178" s="27">
        <f>4.9122 * CHOOSE(CONTROL!$C$32, $C$9, 100%, $E$9)</f>
        <v>4.9122000000000003</v>
      </c>
      <c r="G178" s="27">
        <f>4.9175 * CHOOSE(CONTROL!$C$32, $C$9, 100%, $E$9)</f>
        <v>4.9175000000000004</v>
      </c>
      <c r="H178" s="27">
        <f>7.8005 * CHOOSE(CONTROL!$C$32, $C$9, 100%, $E$9)</f>
        <v>7.8005000000000004</v>
      </c>
      <c r="I178" s="27">
        <f>7.8058 * CHOOSE(CONTROL!$C$32, $C$9, 100%, $E$9)</f>
        <v>7.8057999999999996</v>
      </c>
      <c r="J178" s="27">
        <f>7.8005 * CHOOSE(CONTROL!$C$32, $C$9, 100%, $E$9)</f>
        <v>7.8005000000000004</v>
      </c>
      <c r="K178" s="27">
        <f>7.8058 * CHOOSE(CONTROL!$C$32, $C$9, 100%, $E$9)</f>
        <v>7.8057999999999996</v>
      </c>
      <c r="L178" s="27">
        <f>4.9122 * CHOOSE(CONTROL!$C$32, $C$9, 100%, $E$9)</f>
        <v>4.9122000000000003</v>
      </c>
      <c r="M178" s="27">
        <f>4.9175 * CHOOSE(CONTROL!$C$32, $C$9, 100%, $E$9)</f>
        <v>4.9175000000000004</v>
      </c>
      <c r="N178" s="27">
        <f>4.9122 * CHOOSE(CONTROL!$C$32, $C$9, 100%, $E$9)</f>
        <v>4.9122000000000003</v>
      </c>
      <c r="O178" s="27">
        <f>4.9175 * CHOOSE(CONTROL!$C$32, $C$9, 100%, $E$9)</f>
        <v>4.9175000000000004</v>
      </c>
    </row>
    <row r="179" spans="1:15" ht="15" x14ac:dyDescent="0.2">
      <c r="A179" s="16">
        <v>46296</v>
      </c>
      <c r="B179" s="26">
        <f>3.8489 * CHOOSE(CONTROL!$C$32, $C$9, 100%, $E$9)</f>
        <v>3.8489</v>
      </c>
      <c r="C179" s="26">
        <f>3.8489 * CHOOSE(CONTROL!$C$32, $C$9, 100%, $E$9)</f>
        <v>3.8489</v>
      </c>
      <c r="D179" s="26">
        <f>3.8499 * CHOOSE(CONTROL!$C$32, $C$9, 100%, $E$9)</f>
        <v>3.8498999999999999</v>
      </c>
      <c r="E179" s="27">
        <f>4.9067 * CHOOSE(CONTROL!$C$32, $C$9, 100%, $E$9)</f>
        <v>4.9066999999999998</v>
      </c>
      <c r="F179" s="27">
        <f>4.9067 * CHOOSE(CONTROL!$C$32, $C$9, 100%, $E$9)</f>
        <v>4.9066999999999998</v>
      </c>
      <c r="G179" s="27">
        <f>4.9103 * CHOOSE(CONTROL!$C$32, $C$9, 100%, $E$9)</f>
        <v>4.9103000000000003</v>
      </c>
      <c r="H179" s="27">
        <f>7.8168 * CHOOSE(CONTROL!$C$32, $C$9, 100%, $E$9)</f>
        <v>7.8167999999999997</v>
      </c>
      <c r="I179" s="27">
        <f>7.8204 * CHOOSE(CONTROL!$C$32, $C$9, 100%, $E$9)</f>
        <v>7.8204000000000002</v>
      </c>
      <c r="J179" s="27">
        <f>7.8168 * CHOOSE(CONTROL!$C$32, $C$9, 100%, $E$9)</f>
        <v>7.8167999999999997</v>
      </c>
      <c r="K179" s="27">
        <f>7.8204 * CHOOSE(CONTROL!$C$32, $C$9, 100%, $E$9)</f>
        <v>7.8204000000000002</v>
      </c>
      <c r="L179" s="27">
        <f>4.9067 * CHOOSE(CONTROL!$C$32, $C$9, 100%, $E$9)</f>
        <v>4.9066999999999998</v>
      </c>
      <c r="M179" s="27">
        <f>4.9103 * CHOOSE(CONTROL!$C$32, $C$9, 100%, $E$9)</f>
        <v>4.9103000000000003</v>
      </c>
      <c r="N179" s="27">
        <f>4.9067 * CHOOSE(CONTROL!$C$32, $C$9, 100%, $E$9)</f>
        <v>4.9066999999999998</v>
      </c>
      <c r="O179" s="27">
        <f>4.9103 * CHOOSE(CONTROL!$C$32, $C$9, 100%, $E$9)</f>
        <v>4.9103000000000003</v>
      </c>
    </row>
    <row r="180" spans="1:15" ht="15" x14ac:dyDescent="0.2">
      <c r="A180" s="16">
        <v>46327</v>
      </c>
      <c r="B180" s="26">
        <f>3.8519 * CHOOSE(CONTROL!$C$32, $C$9, 100%, $E$9)</f>
        <v>3.8519000000000001</v>
      </c>
      <c r="C180" s="26">
        <f>3.8519 * CHOOSE(CONTROL!$C$32, $C$9, 100%, $E$9)</f>
        <v>3.8519000000000001</v>
      </c>
      <c r="D180" s="26">
        <f>3.853 * CHOOSE(CONTROL!$C$32, $C$9, 100%, $E$9)</f>
        <v>3.8530000000000002</v>
      </c>
      <c r="E180" s="27">
        <f>4.9087 * CHOOSE(CONTROL!$C$32, $C$9, 100%, $E$9)</f>
        <v>4.9086999999999996</v>
      </c>
      <c r="F180" s="27">
        <f>4.9087 * CHOOSE(CONTROL!$C$32, $C$9, 100%, $E$9)</f>
        <v>4.9086999999999996</v>
      </c>
      <c r="G180" s="27">
        <f>4.9123 * CHOOSE(CONTROL!$C$32, $C$9, 100%, $E$9)</f>
        <v>4.9123000000000001</v>
      </c>
      <c r="H180" s="27">
        <f>7.8331 * CHOOSE(CONTROL!$C$32, $C$9, 100%, $E$9)</f>
        <v>7.8331</v>
      </c>
      <c r="I180" s="27">
        <f>7.8367 * CHOOSE(CONTROL!$C$32, $C$9, 100%, $E$9)</f>
        <v>7.8367000000000004</v>
      </c>
      <c r="J180" s="27">
        <f>7.8331 * CHOOSE(CONTROL!$C$32, $C$9, 100%, $E$9)</f>
        <v>7.8331</v>
      </c>
      <c r="K180" s="27">
        <f>7.8367 * CHOOSE(CONTROL!$C$32, $C$9, 100%, $E$9)</f>
        <v>7.8367000000000004</v>
      </c>
      <c r="L180" s="27">
        <f>4.9087 * CHOOSE(CONTROL!$C$32, $C$9, 100%, $E$9)</f>
        <v>4.9086999999999996</v>
      </c>
      <c r="M180" s="27">
        <f>4.9123 * CHOOSE(CONTROL!$C$32, $C$9, 100%, $E$9)</f>
        <v>4.9123000000000001</v>
      </c>
      <c r="N180" s="27">
        <f>4.9087 * CHOOSE(CONTROL!$C$32, $C$9, 100%, $E$9)</f>
        <v>4.9086999999999996</v>
      </c>
      <c r="O180" s="27">
        <f>4.9123 * CHOOSE(CONTROL!$C$32, $C$9, 100%, $E$9)</f>
        <v>4.9123000000000001</v>
      </c>
    </row>
    <row r="181" spans="1:15" ht="15" x14ac:dyDescent="0.2">
      <c r="A181" s="16">
        <v>46357</v>
      </c>
      <c r="B181" s="26">
        <f>3.8519 * CHOOSE(CONTROL!$C$32, $C$9, 100%, $E$9)</f>
        <v>3.8519000000000001</v>
      </c>
      <c r="C181" s="26">
        <f>3.8519 * CHOOSE(CONTROL!$C$32, $C$9, 100%, $E$9)</f>
        <v>3.8519000000000001</v>
      </c>
      <c r="D181" s="26">
        <f>3.853 * CHOOSE(CONTROL!$C$32, $C$9, 100%, $E$9)</f>
        <v>3.8530000000000002</v>
      </c>
      <c r="E181" s="27">
        <f>4.9087 * CHOOSE(CONTROL!$C$32, $C$9, 100%, $E$9)</f>
        <v>4.9086999999999996</v>
      </c>
      <c r="F181" s="27">
        <f>4.9087 * CHOOSE(CONTROL!$C$32, $C$9, 100%, $E$9)</f>
        <v>4.9086999999999996</v>
      </c>
      <c r="G181" s="27">
        <f>4.9123 * CHOOSE(CONTROL!$C$32, $C$9, 100%, $E$9)</f>
        <v>4.9123000000000001</v>
      </c>
      <c r="H181" s="27">
        <f>7.8494 * CHOOSE(CONTROL!$C$32, $C$9, 100%, $E$9)</f>
        <v>7.8494000000000002</v>
      </c>
      <c r="I181" s="27">
        <f>7.853 * CHOOSE(CONTROL!$C$32, $C$9, 100%, $E$9)</f>
        <v>7.8529999999999998</v>
      </c>
      <c r="J181" s="27">
        <f>7.8494 * CHOOSE(CONTROL!$C$32, $C$9, 100%, $E$9)</f>
        <v>7.8494000000000002</v>
      </c>
      <c r="K181" s="27">
        <f>7.853 * CHOOSE(CONTROL!$C$32, $C$9, 100%, $E$9)</f>
        <v>7.8529999999999998</v>
      </c>
      <c r="L181" s="27">
        <f>4.9087 * CHOOSE(CONTROL!$C$32, $C$9, 100%, $E$9)</f>
        <v>4.9086999999999996</v>
      </c>
      <c r="M181" s="27">
        <f>4.9123 * CHOOSE(CONTROL!$C$32, $C$9, 100%, $E$9)</f>
        <v>4.9123000000000001</v>
      </c>
      <c r="N181" s="27">
        <f>4.9087 * CHOOSE(CONTROL!$C$32, $C$9, 100%, $E$9)</f>
        <v>4.9086999999999996</v>
      </c>
      <c r="O181" s="27">
        <f>4.9123 * CHOOSE(CONTROL!$C$32, $C$9, 100%, $E$9)</f>
        <v>4.9123000000000001</v>
      </c>
    </row>
    <row r="182" spans="1:15" ht="15" x14ac:dyDescent="0.2">
      <c r="A182" s="16">
        <v>46388</v>
      </c>
      <c r="B182" s="26">
        <f>3.8871 * CHOOSE(CONTROL!$C$32, $C$9, 100%, $E$9)</f>
        <v>3.8871000000000002</v>
      </c>
      <c r="C182" s="26">
        <f>3.8871 * CHOOSE(CONTROL!$C$32, $C$9, 100%, $E$9)</f>
        <v>3.8871000000000002</v>
      </c>
      <c r="D182" s="26">
        <f>3.8882 * CHOOSE(CONTROL!$C$32, $C$9, 100%, $E$9)</f>
        <v>3.8881999999999999</v>
      </c>
      <c r="E182" s="27">
        <f>4.9479 * CHOOSE(CONTROL!$C$32, $C$9, 100%, $E$9)</f>
        <v>4.9478999999999997</v>
      </c>
      <c r="F182" s="27">
        <f>4.9479 * CHOOSE(CONTROL!$C$32, $C$9, 100%, $E$9)</f>
        <v>4.9478999999999997</v>
      </c>
      <c r="G182" s="27">
        <f>4.9515 * CHOOSE(CONTROL!$C$32, $C$9, 100%, $E$9)</f>
        <v>4.9515000000000002</v>
      </c>
      <c r="H182" s="27">
        <f>7.8657 * CHOOSE(CONTROL!$C$32, $C$9, 100%, $E$9)</f>
        <v>7.8657000000000004</v>
      </c>
      <c r="I182" s="27">
        <f>7.8694 * CHOOSE(CONTROL!$C$32, $C$9, 100%, $E$9)</f>
        <v>7.8693999999999997</v>
      </c>
      <c r="J182" s="27">
        <f>7.8657 * CHOOSE(CONTROL!$C$32, $C$9, 100%, $E$9)</f>
        <v>7.8657000000000004</v>
      </c>
      <c r="K182" s="27">
        <f>7.8694 * CHOOSE(CONTROL!$C$32, $C$9, 100%, $E$9)</f>
        <v>7.8693999999999997</v>
      </c>
      <c r="L182" s="27">
        <f>4.9479 * CHOOSE(CONTROL!$C$32, $C$9, 100%, $E$9)</f>
        <v>4.9478999999999997</v>
      </c>
      <c r="M182" s="27">
        <f>4.9515 * CHOOSE(CONTROL!$C$32, $C$9, 100%, $E$9)</f>
        <v>4.9515000000000002</v>
      </c>
      <c r="N182" s="27">
        <f>4.9479 * CHOOSE(CONTROL!$C$32, $C$9, 100%, $E$9)</f>
        <v>4.9478999999999997</v>
      </c>
      <c r="O182" s="27">
        <f>4.9515 * CHOOSE(CONTROL!$C$32, $C$9, 100%, $E$9)</f>
        <v>4.9515000000000002</v>
      </c>
    </row>
    <row r="183" spans="1:15" ht="15" x14ac:dyDescent="0.2">
      <c r="A183" s="16">
        <v>46419</v>
      </c>
      <c r="B183" s="26">
        <f>3.884 * CHOOSE(CONTROL!$C$32, $C$9, 100%, $E$9)</f>
        <v>3.8839999999999999</v>
      </c>
      <c r="C183" s="26">
        <f>3.884 * CHOOSE(CONTROL!$C$32, $C$9, 100%, $E$9)</f>
        <v>3.8839999999999999</v>
      </c>
      <c r="D183" s="26">
        <f>3.8851 * CHOOSE(CONTROL!$C$32, $C$9, 100%, $E$9)</f>
        <v>3.8851</v>
      </c>
      <c r="E183" s="27">
        <f>4.9459 * CHOOSE(CONTROL!$C$32, $C$9, 100%, $E$9)</f>
        <v>4.9459</v>
      </c>
      <c r="F183" s="27">
        <f>4.9459 * CHOOSE(CONTROL!$C$32, $C$9, 100%, $E$9)</f>
        <v>4.9459</v>
      </c>
      <c r="G183" s="27">
        <f>4.9495 * CHOOSE(CONTROL!$C$32, $C$9, 100%, $E$9)</f>
        <v>4.9494999999999996</v>
      </c>
      <c r="H183" s="27">
        <f>7.8821 * CHOOSE(CONTROL!$C$32, $C$9, 100%, $E$9)</f>
        <v>7.8821000000000003</v>
      </c>
      <c r="I183" s="27">
        <f>7.8857 * CHOOSE(CONTROL!$C$32, $C$9, 100%, $E$9)</f>
        <v>7.8856999999999999</v>
      </c>
      <c r="J183" s="27">
        <f>7.8821 * CHOOSE(CONTROL!$C$32, $C$9, 100%, $E$9)</f>
        <v>7.8821000000000003</v>
      </c>
      <c r="K183" s="27">
        <f>7.8857 * CHOOSE(CONTROL!$C$32, $C$9, 100%, $E$9)</f>
        <v>7.8856999999999999</v>
      </c>
      <c r="L183" s="27">
        <f>4.9459 * CHOOSE(CONTROL!$C$32, $C$9, 100%, $E$9)</f>
        <v>4.9459</v>
      </c>
      <c r="M183" s="27">
        <f>4.9495 * CHOOSE(CONTROL!$C$32, $C$9, 100%, $E$9)</f>
        <v>4.9494999999999996</v>
      </c>
      <c r="N183" s="27">
        <f>4.9459 * CHOOSE(CONTROL!$C$32, $C$9, 100%, $E$9)</f>
        <v>4.9459</v>
      </c>
      <c r="O183" s="27">
        <f>4.9495 * CHOOSE(CONTROL!$C$32, $C$9, 100%, $E$9)</f>
        <v>4.9494999999999996</v>
      </c>
    </row>
    <row r="184" spans="1:15" ht="15" x14ac:dyDescent="0.2">
      <c r="A184" s="16">
        <v>46447</v>
      </c>
      <c r="B184" s="26">
        <f>3.881 * CHOOSE(CONTROL!$C$32, $C$9, 100%, $E$9)</f>
        <v>3.8809999999999998</v>
      </c>
      <c r="C184" s="26">
        <f>3.881 * CHOOSE(CONTROL!$C$32, $C$9, 100%, $E$9)</f>
        <v>3.8809999999999998</v>
      </c>
      <c r="D184" s="26">
        <f>3.8821 * CHOOSE(CONTROL!$C$32, $C$9, 100%, $E$9)</f>
        <v>3.8820999999999999</v>
      </c>
      <c r="E184" s="27">
        <f>4.9439 * CHOOSE(CONTROL!$C$32, $C$9, 100%, $E$9)</f>
        <v>4.9439000000000002</v>
      </c>
      <c r="F184" s="27">
        <f>4.9439 * CHOOSE(CONTROL!$C$32, $C$9, 100%, $E$9)</f>
        <v>4.9439000000000002</v>
      </c>
      <c r="G184" s="27">
        <f>4.9475 * CHOOSE(CONTROL!$C$32, $C$9, 100%, $E$9)</f>
        <v>4.9474999999999998</v>
      </c>
      <c r="H184" s="27">
        <f>7.8985 * CHOOSE(CONTROL!$C$32, $C$9, 100%, $E$9)</f>
        <v>7.8985000000000003</v>
      </c>
      <c r="I184" s="27">
        <f>7.9022 * CHOOSE(CONTROL!$C$32, $C$9, 100%, $E$9)</f>
        <v>7.9021999999999997</v>
      </c>
      <c r="J184" s="27">
        <f>7.8985 * CHOOSE(CONTROL!$C$32, $C$9, 100%, $E$9)</f>
        <v>7.8985000000000003</v>
      </c>
      <c r="K184" s="27">
        <f>7.9022 * CHOOSE(CONTROL!$C$32, $C$9, 100%, $E$9)</f>
        <v>7.9021999999999997</v>
      </c>
      <c r="L184" s="27">
        <f>4.9439 * CHOOSE(CONTROL!$C$32, $C$9, 100%, $E$9)</f>
        <v>4.9439000000000002</v>
      </c>
      <c r="M184" s="27">
        <f>4.9475 * CHOOSE(CONTROL!$C$32, $C$9, 100%, $E$9)</f>
        <v>4.9474999999999998</v>
      </c>
      <c r="N184" s="27">
        <f>4.9439 * CHOOSE(CONTROL!$C$32, $C$9, 100%, $E$9)</f>
        <v>4.9439000000000002</v>
      </c>
      <c r="O184" s="27">
        <f>4.9475 * CHOOSE(CONTROL!$C$32, $C$9, 100%, $E$9)</f>
        <v>4.9474999999999998</v>
      </c>
    </row>
    <row r="185" spans="1:15" ht="15" x14ac:dyDescent="0.2">
      <c r="A185" s="16">
        <v>46478</v>
      </c>
      <c r="B185" s="26">
        <f>3.8786 * CHOOSE(CONTROL!$C$32, $C$9, 100%, $E$9)</f>
        <v>3.8786</v>
      </c>
      <c r="C185" s="26">
        <f>3.8786 * CHOOSE(CONTROL!$C$32, $C$9, 100%, $E$9)</f>
        <v>3.8786</v>
      </c>
      <c r="D185" s="26">
        <f>3.8796 * CHOOSE(CONTROL!$C$32, $C$9, 100%, $E$9)</f>
        <v>3.8795999999999999</v>
      </c>
      <c r="E185" s="27">
        <f>4.9418 * CHOOSE(CONTROL!$C$32, $C$9, 100%, $E$9)</f>
        <v>4.9417999999999997</v>
      </c>
      <c r="F185" s="27">
        <f>4.9418 * CHOOSE(CONTROL!$C$32, $C$9, 100%, $E$9)</f>
        <v>4.9417999999999997</v>
      </c>
      <c r="G185" s="27">
        <f>4.9454 * CHOOSE(CONTROL!$C$32, $C$9, 100%, $E$9)</f>
        <v>4.9454000000000002</v>
      </c>
      <c r="H185" s="27">
        <f>7.915 * CHOOSE(CONTROL!$C$32, $C$9, 100%, $E$9)</f>
        <v>7.915</v>
      </c>
      <c r="I185" s="27">
        <f>7.9186 * CHOOSE(CONTROL!$C$32, $C$9, 100%, $E$9)</f>
        <v>7.9185999999999996</v>
      </c>
      <c r="J185" s="27">
        <f>7.915 * CHOOSE(CONTROL!$C$32, $C$9, 100%, $E$9)</f>
        <v>7.915</v>
      </c>
      <c r="K185" s="27">
        <f>7.9186 * CHOOSE(CONTROL!$C$32, $C$9, 100%, $E$9)</f>
        <v>7.9185999999999996</v>
      </c>
      <c r="L185" s="27">
        <f>4.9418 * CHOOSE(CONTROL!$C$32, $C$9, 100%, $E$9)</f>
        <v>4.9417999999999997</v>
      </c>
      <c r="M185" s="27">
        <f>4.9454 * CHOOSE(CONTROL!$C$32, $C$9, 100%, $E$9)</f>
        <v>4.9454000000000002</v>
      </c>
      <c r="N185" s="27">
        <f>4.9418 * CHOOSE(CONTROL!$C$32, $C$9, 100%, $E$9)</f>
        <v>4.9417999999999997</v>
      </c>
      <c r="O185" s="27">
        <f>4.9454 * CHOOSE(CONTROL!$C$32, $C$9, 100%, $E$9)</f>
        <v>4.9454000000000002</v>
      </c>
    </row>
    <row r="186" spans="1:15" ht="15" x14ac:dyDescent="0.2">
      <c r="A186" s="16">
        <v>46508</v>
      </c>
      <c r="B186" s="26">
        <f>3.8786 * CHOOSE(CONTROL!$C$32, $C$9, 100%, $E$9)</f>
        <v>3.8786</v>
      </c>
      <c r="C186" s="26">
        <f>3.8786 * CHOOSE(CONTROL!$C$32, $C$9, 100%, $E$9)</f>
        <v>3.8786</v>
      </c>
      <c r="D186" s="26">
        <f>3.8801 * CHOOSE(CONTROL!$C$32, $C$9, 100%, $E$9)</f>
        <v>3.8801000000000001</v>
      </c>
      <c r="E186" s="27">
        <f>4.9418 * CHOOSE(CONTROL!$C$32, $C$9, 100%, $E$9)</f>
        <v>4.9417999999999997</v>
      </c>
      <c r="F186" s="27">
        <f>4.9418 * CHOOSE(CONTROL!$C$32, $C$9, 100%, $E$9)</f>
        <v>4.9417999999999997</v>
      </c>
      <c r="G186" s="27">
        <f>4.9471 * CHOOSE(CONTROL!$C$32, $C$9, 100%, $E$9)</f>
        <v>4.9470999999999998</v>
      </c>
      <c r="H186" s="27">
        <f>7.9315 * CHOOSE(CONTROL!$C$32, $C$9, 100%, $E$9)</f>
        <v>7.9314999999999998</v>
      </c>
      <c r="I186" s="27">
        <f>7.9368 * CHOOSE(CONTROL!$C$32, $C$9, 100%, $E$9)</f>
        <v>7.9367999999999999</v>
      </c>
      <c r="J186" s="27">
        <f>7.9315 * CHOOSE(CONTROL!$C$32, $C$9, 100%, $E$9)</f>
        <v>7.9314999999999998</v>
      </c>
      <c r="K186" s="27">
        <f>7.9368 * CHOOSE(CONTROL!$C$32, $C$9, 100%, $E$9)</f>
        <v>7.9367999999999999</v>
      </c>
      <c r="L186" s="27">
        <f>4.9418 * CHOOSE(CONTROL!$C$32, $C$9, 100%, $E$9)</f>
        <v>4.9417999999999997</v>
      </c>
      <c r="M186" s="27">
        <f>4.9471 * CHOOSE(CONTROL!$C$32, $C$9, 100%, $E$9)</f>
        <v>4.9470999999999998</v>
      </c>
      <c r="N186" s="27">
        <f>4.9418 * CHOOSE(CONTROL!$C$32, $C$9, 100%, $E$9)</f>
        <v>4.9417999999999997</v>
      </c>
      <c r="O186" s="27">
        <f>4.9471 * CHOOSE(CONTROL!$C$32, $C$9, 100%, $E$9)</f>
        <v>4.9470999999999998</v>
      </c>
    </row>
    <row r="187" spans="1:15" ht="15" x14ac:dyDescent="0.2">
      <c r="A187" s="16">
        <v>46539</v>
      </c>
      <c r="B187" s="26">
        <f>3.8846 * CHOOSE(CONTROL!$C$32, $C$9, 100%, $E$9)</f>
        <v>3.8845999999999998</v>
      </c>
      <c r="C187" s="26">
        <f>3.8846 * CHOOSE(CONTROL!$C$32, $C$9, 100%, $E$9)</f>
        <v>3.8845999999999998</v>
      </c>
      <c r="D187" s="26">
        <f>3.8862 * CHOOSE(CONTROL!$C$32, $C$9, 100%, $E$9)</f>
        <v>3.8862000000000001</v>
      </c>
      <c r="E187" s="27">
        <f>4.9458 * CHOOSE(CONTROL!$C$32, $C$9, 100%, $E$9)</f>
        <v>4.9458000000000002</v>
      </c>
      <c r="F187" s="27">
        <f>4.9458 * CHOOSE(CONTROL!$C$32, $C$9, 100%, $E$9)</f>
        <v>4.9458000000000002</v>
      </c>
      <c r="G187" s="27">
        <f>4.9511 * CHOOSE(CONTROL!$C$32, $C$9, 100%, $E$9)</f>
        <v>4.9511000000000003</v>
      </c>
      <c r="H187" s="27">
        <f>7.948 * CHOOSE(CONTROL!$C$32, $C$9, 100%, $E$9)</f>
        <v>7.9480000000000004</v>
      </c>
      <c r="I187" s="27">
        <f>7.9533 * CHOOSE(CONTROL!$C$32, $C$9, 100%, $E$9)</f>
        <v>7.9532999999999996</v>
      </c>
      <c r="J187" s="27">
        <f>7.948 * CHOOSE(CONTROL!$C$32, $C$9, 100%, $E$9)</f>
        <v>7.9480000000000004</v>
      </c>
      <c r="K187" s="27">
        <f>7.9533 * CHOOSE(CONTROL!$C$32, $C$9, 100%, $E$9)</f>
        <v>7.9532999999999996</v>
      </c>
      <c r="L187" s="27">
        <f>4.9458 * CHOOSE(CONTROL!$C$32, $C$9, 100%, $E$9)</f>
        <v>4.9458000000000002</v>
      </c>
      <c r="M187" s="27">
        <f>4.9511 * CHOOSE(CONTROL!$C$32, $C$9, 100%, $E$9)</f>
        <v>4.9511000000000003</v>
      </c>
      <c r="N187" s="27">
        <f>4.9458 * CHOOSE(CONTROL!$C$32, $C$9, 100%, $E$9)</f>
        <v>4.9458000000000002</v>
      </c>
      <c r="O187" s="27">
        <f>4.9511 * CHOOSE(CONTROL!$C$32, $C$9, 100%, $E$9)</f>
        <v>4.9511000000000003</v>
      </c>
    </row>
    <row r="188" spans="1:15" ht="15" x14ac:dyDescent="0.2">
      <c r="A188" s="16">
        <v>46569</v>
      </c>
      <c r="B188" s="26">
        <f>3.951 * CHOOSE(CONTROL!$C$32, $C$9, 100%, $E$9)</f>
        <v>3.9510000000000001</v>
      </c>
      <c r="C188" s="26">
        <f>3.951 * CHOOSE(CONTROL!$C$32, $C$9, 100%, $E$9)</f>
        <v>3.9510000000000001</v>
      </c>
      <c r="D188" s="26">
        <f>3.9526 * CHOOSE(CONTROL!$C$32, $C$9, 100%, $E$9)</f>
        <v>3.9525999999999999</v>
      </c>
      <c r="E188" s="27">
        <f>5.0318 * CHOOSE(CONTROL!$C$32, $C$9, 100%, $E$9)</f>
        <v>5.0317999999999996</v>
      </c>
      <c r="F188" s="27">
        <f>5.0318 * CHOOSE(CONTROL!$C$32, $C$9, 100%, $E$9)</f>
        <v>5.0317999999999996</v>
      </c>
      <c r="G188" s="27">
        <f>5.0371 * CHOOSE(CONTROL!$C$32, $C$9, 100%, $E$9)</f>
        <v>5.0370999999999997</v>
      </c>
      <c r="H188" s="27">
        <f>7.9646 * CHOOSE(CONTROL!$C$32, $C$9, 100%, $E$9)</f>
        <v>7.9645999999999999</v>
      </c>
      <c r="I188" s="27">
        <f>7.9699 * CHOOSE(CONTROL!$C$32, $C$9, 100%, $E$9)</f>
        <v>7.9699</v>
      </c>
      <c r="J188" s="27">
        <f>7.9646 * CHOOSE(CONTROL!$C$32, $C$9, 100%, $E$9)</f>
        <v>7.9645999999999999</v>
      </c>
      <c r="K188" s="27">
        <f>7.9699 * CHOOSE(CONTROL!$C$32, $C$9, 100%, $E$9)</f>
        <v>7.9699</v>
      </c>
      <c r="L188" s="27">
        <f>5.0318 * CHOOSE(CONTROL!$C$32, $C$9, 100%, $E$9)</f>
        <v>5.0317999999999996</v>
      </c>
      <c r="M188" s="27">
        <f>5.0371 * CHOOSE(CONTROL!$C$32, $C$9, 100%, $E$9)</f>
        <v>5.0370999999999997</v>
      </c>
      <c r="N188" s="27">
        <f>5.0318 * CHOOSE(CONTROL!$C$32, $C$9, 100%, $E$9)</f>
        <v>5.0317999999999996</v>
      </c>
      <c r="O188" s="27">
        <f>5.0371 * CHOOSE(CONTROL!$C$32, $C$9, 100%, $E$9)</f>
        <v>5.0370999999999997</v>
      </c>
    </row>
    <row r="189" spans="1:15" ht="15" x14ac:dyDescent="0.2">
      <c r="A189" s="16">
        <v>46600</v>
      </c>
      <c r="B189" s="26">
        <f>3.9577 * CHOOSE(CONTROL!$C$32, $C$9, 100%, $E$9)</f>
        <v>3.9577</v>
      </c>
      <c r="C189" s="26">
        <f>3.9577 * CHOOSE(CONTROL!$C$32, $C$9, 100%, $E$9)</f>
        <v>3.9577</v>
      </c>
      <c r="D189" s="26">
        <f>3.9592 * CHOOSE(CONTROL!$C$32, $C$9, 100%, $E$9)</f>
        <v>3.9592000000000001</v>
      </c>
      <c r="E189" s="27">
        <f>5.0362 * CHOOSE(CONTROL!$C$32, $C$9, 100%, $E$9)</f>
        <v>5.0362</v>
      </c>
      <c r="F189" s="27">
        <f>5.0362 * CHOOSE(CONTROL!$C$32, $C$9, 100%, $E$9)</f>
        <v>5.0362</v>
      </c>
      <c r="G189" s="27">
        <f>5.0415 * CHOOSE(CONTROL!$C$32, $C$9, 100%, $E$9)</f>
        <v>5.0415000000000001</v>
      </c>
      <c r="H189" s="27">
        <f>7.9812 * CHOOSE(CONTROL!$C$32, $C$9, 100%, $E$9)</f>
        <v>7.9812000000000003</v>
      </c>
      <c r="I189" s="27">
        <f>7.9865 * CHOOSE(CONTROL!$C$32, $C$9, 100%, $E$9)</f>
        <v>7.9865000000000004</v>
      </c>
      <c r="J189" s="27">
        <f>7.9812 * CHOOSE(CONTROL!$C$32, $C$9, 100%, $E$9)</f>
        <v>7.9812000000000003</v>
      </c>
      <c r="K189" s="27">
        <f>7.9865 * CHOOSE(CONTROL!$C$32, $C$9, 100%, $E$9)</f>
        <v>7.9865000000000004</v>
      </c>
      <c r="L189" s="27">
        <f>5.0362 * CHOOSE(CONTROL!$C$32, $C$9, 100%, $E$9)</f>
        <v>5.0362</v>
      </c>
      <c r="M189" s="27">
        <f>5.0415 * CHOOSE(CONTROL!$C$32, $C$9, 100%, $E$9)</f>
        <v>5.0415000000000001</v>
      </c>
      <c r="N189" s="27">
        <f>5.0362 * CHOOSE(CONTROL!$C$32, $C$9, 100%, $E$9)</f>
        <v>5.0362</v>
      </c>
      <c r="O189" s="27">
        <f>5.0415 * CHOOSE(CONTROL!$C$32, $C$9, 100%, $E$9)</f>
        <v>5.0415000000000001</v>
      </c>
    </row>
    <row r="190" spans="1:15" ht="15" x14ac:dyDescent="0.2">
      <c r="A190" s="16">
        <v>46631</v>
      </c>
      <c r="B190" s="26">
        <f>3.9546 * CHOOSE(CONTROL!$C$32, $C$9, 100%, $E$9)</f>
        <v>3.9546000000000001</v>
      </c>
      <c r="C190" s="26">
        <f>3.9546 * CHOOSE(CONTROL!$C$32, $C$9, 100%, $E$9)</f>
        <v>3.9546000000000001</v>
      </c>
      <c r="D190" s="26">
        <f>3.9562 * CHOOSE(CONTROL!$C$32, $C$9, 100%, $E$9)</f>
        <v>3.9561999999999999</v>
      </c>
      <c r="E190" s="27">
        <f>5.0342 * CHOOSE(CONTROL!$C$32, $C$9, 100%, $E$9)</f>
        <v>5.0342000000000002</v>
      </c>
      <c r="F190" s="27">
        <f>5.0342 * CHOOSE(CONTROL!$C$32, $C$9, 100%, $E$9)</f>
        <v>5.0342000000000002</v>
      </c>
      <c r="G190" s="27">
        <f>5.0395 * CHOOSE(CONTROL!$C$32, $C$9, 100%, $E$9)</f>
        <v>5.0395000000000003</v>
      </c>
      <c r="H190" s="27">
        <f>7.9978 * CHOOSE(CONTROL!$C$32, $C$9, 100%, $E$9)</f>
        <v>7.9977999999999998</v>
      </c>
      <c r="I190" s="27">
        <f>8.0031 * CHOOSE(CONTROL!$C$32, $C$9, 100%, $E$9)</f>
        <v>8.0030999999999999</v>
      </c>
      <c r="J190" s="27">
        <f>7.9978 * CHOOSE(CONTROL!$C$32, $C$9, 100%, $E$9)</f>
        <v>7.9977999999999998</v>
      </c>
      <c r="K190" s="27">
        <f>8.0031 * CHOOSE(CONTROL!$C$32, $C$9, 100%, $E$9)</f>
        <v>8.0030999999999999</v>
      </c>
      <c r="L190" s="27">
        <f>5.0342 * CHOOSE(CONTROL!$C$32, $C$9, 100%, $E$9)</f>
        <v>5.0342000000000002</v>
      </c>
      <c r="M190" s="27">
        <f>5.0395 * CHOOSE(CONTROL!$C$32, $C$9, 100%, $E$9)</f>
        <v>5.0395000000000003</v>
      </c>
      <c r="N190" s="27">
        <f>5.0342 * CHOOSE(CONTROL!$C$32, $C$9, 100%, $E$9)</f>
        <v>5.0342000000000002</v>
      </c>
      <c r="O190" s="27">
        <f>5.0395 * CHOOSE(CONTROL!$C$32, $C$9, 100%, $E$9)</f>
        <v>5.0395000000000003</v>
      </c>
    </row>
    <row r="191" spans="1:15" ht="15" x14ac:dyDescent="0.2">
      <c r="A191" s="16">
        <v>46661</v>
      </c>
      <c r="B191" s="26">
        <f>3.9496 * CHOOSE(CONTROL!$C$32, $C$9, 100%, $E$9)</f>
        <v>3.9496000000000002</v>
      </c>
      <c r="C191" s="26">
        <f>3.9496 * CHOOSE(CONTROL!$C$32, $C$9, 100%, $E$9)</f>
        <v>3.9496000000000002</v>
      </c>
      <c r="D191" s="26">
        <f>3.9506 * CHOOSE(CONTROL!$C$32, $C$9, 100%, $E$9)</f>
        <v>3.9506000000000001</v>
      </c>
      <c r="E191" s="27">
        <f>5.0288 * CHOOSE(CONTROL!$C$32, $C$9, 100%, $E$9)</f>
        <v>5.0288000000000004</v>
      </c>
      <c r="F191" s="27">
        <f>5.0288 * CHOOSE(CONTROL!$C$32, $C$9, 100%, $E$9)</f>
        <v>5.0288000000000004</v>
      </c>
      <c r="G191" s="27">
        <f>5.0324 * CHOOSE(CONTROL!$C$32, $C$9, 100%, $E$9)</f>
        <v>5.0324</v>
      </c>
      <c r="H191" s="27">
        <f>8.0145 * CHOOSE(CONTROL!$C$32, $C$9, 100%, $E$9)</f>
        <v>8.0145</v>
      </c>
      <c r="I191" s="27">
        <f>8.0181 * CHOOSE(CONTROL!$C$32, $C$9, 100%, $E$9)</f>
        <v>8.0181000000000004</v>
      </c>
      <c r="J191" s="27">
        <f>8.0145 * CHOOSE(CONTROL!$C$32, $C$9, 100%, $E$9)</f>
        <v>8.0145</v>
      </c>
      <c r="K191" s="27">
        <f>8.0181 * CHOOSE(CONTROL!$C$32, $C$9, 100%, $E$9)</f>
        <v>8.0181000000000004</v>
      </c>
      <c r="L191" s="27">
        <f>5.0288 * CHOOSE(CONTROL!$C$32, $C$9, 100%, $E$9)</f>
        <v>5.0288000000000004</v>
      </c>
      <c r="M191" s="27">
        <f>5.0324 * CHOOSE(CONTROL!$C$32, $C$9, 100%, $E$9)</f>
        <v>5.0324</v>
      </c>
      <c r="N191" s="27">
        <f>5.0288 * CHOOSE(CONTROL!$C$32, $C$9, 100%, $E$9)</f>
        <v>5.0288000000000004</v>
      </c>
      <c r="O191" s="27">
        <f>5.0324 * CHOOSE(CONTROL!$C$32, $C$9, 100%, $E$9)</f>
        <v>5.0324</v>
      </c>
    </row>
    <row r="192" spans="1:15" ht="15" x14ac:dyDescent="0.2">
      <c r="A192" s="16">
        <v>46692</v>
      </c>
      <c r="B192" s="26">
        <f>3.9526 * CHOOSE(CONTROL!$C$32, $C$9, 100%, $E$9)</f>
        <v>3.9525999999999999</v>
      </c>
      <c r="C192" s="26">
        <f>3.9526 * CHOOSE(CONTROL!$C$32, $C$9, 100%, $E$9)</f>
        <v>3.9525999999999999</v>
      </c>
      <c r="D192" s="26">
        <f>3.9537 * CHOOSE(CONTROL!$C$32, $C$9, 100%, $E$9)</f>
        <v>3.9537</v>
      </c>
      <c r="E192" s="27">
        <f>5.0308 * CHOOSE(CONTROL!$C$32, $C$9, 100%, $E$9)</f>
        <v>5.0308000000000002</v>
      </c>
      <c r="F192" s="27">
        <f>5.0308 * CHOOSE(CONTROL!$C$32, $C$9, 100%, $E$9)</f>
        <v>5.0308000000000002</v>
      </c>
      <c r="G192" s="27">
        <f>5.0344 * CHOOSE(CONTROL!$C$32, $C$9, 100%, $E$9)</f>
        <v>5.0343999999999998</v>
      </c>
      <c r="H192" s="27">
        <f>8.0311 * CHOOSE(CONTROL!$C$32, $C$9, 100%, $E$9)</f>
        <v>8.0311000000000003</v>
      </c>
      <c r="I192" s="27">
        <f>8.0348 * CHOOSE(CONTROL!$C$32, $C$9, 100%, $E$9)</f>
        <v>8.0348000000000006</v>
      </c>
      <c r="J192" s="27">
        <f>8.0311 * CHOOSE(CONTROL!$C$32, $C$9, 100%, $E$9)</f>
        <v>8.0311000000000003</v>
      </c>
      <c r="K192" s="27">
        <f>8.0348 * CHOOSE(CONTROL!$C$32, $C$9, 100%, $E$9)</f>
        <v>8.0348000000000006</v>
      </c>
      <c r="L192" s="27">
        <f>5.0308 * CHOOSE(CONTROL!$C$32, $C$9, 100%, $E$9)</f>
        <v>5.0308000000000002</v>
      </c>
      <c r="M192" s="27">
        <f>5.0344 * CHOOSE(CONTROL!$C$32, $C$9, 100%, $E$9)</f>
        <v>5.0343999999999998</v>
      </c>
      <c r="N192" s="27">
        <f>5.0308 * CHOOSE(CONTROL!$C$32, $C$9, 100%, $E$9)</f>
        <v>5.0308000000000002</v>
      </c>
      <c r="O192" s="27">
        <f>5.0344 * CHOOSE(CONTROL!$C$32, $C$9, 100%, $E$9)</f>
        <v>5.0343999999999998</v>
      </c>
    </row>
    <row r="193" spans="1:15" ht="15" x14ac:dyDescent="0.2">
      <c r="A193" s="16">
        <v>46722</v>
      </c>
      <c r="B193" s="26">
        <f>3.9526 * CHOOSE(CONTROL!$C$32, $C$9, 100%, $E$9)</f>
        <v>3.9525999999999999</v>
      </c>
      <c r="C193" s="26">
        <f>3.9526 * CHOOSE(CONTROL!$C$32, $C$9, 100%, $E$9)</f>
        <v>3.9525999999999999</v>
      </c>
      <c r="D193" s="26">
        <f>3.9537 * CHOOSE(CONTROL!$C$32, $C$9, 100%, $E$9)</f>
        <v>3.9537</v>
      </c>
      <c r="E193" s="27">
        <f>5.0308 * CHOOSE(CONTROL!$C$32, $C$9, 100%, $E$9)</f>
        <v>5.0308000000000002</v>
      </c>
      <c r="F193" s="27">
        <f>5.0308 * CHOOSE(CONTROL!$C$32, $C$9, 100%, $E$9)</f>
        <v>5.0308000000000002</v>
      </c>
      <c r="G193" s="27">
        <f>5.0344 * CHOOSE(CONTROL!$C$32, $C$9, 100%, $E$9)</f>
        <v>5.0343999999999998</v>
      </c>
      <c r="H193" s="27">
        <f>8.0479 * CHOOSE(CONTROL!$C$32, $C$9, 100%, $E$9)</f>
        <v>8.0479000000000003</v>
      </c>
      <c r="I193" s="27">
        <f>8.0515 * CHOOSE(CONTROL!$C$32, $C$9, 100%, $E$9)</f>
        <v>8.0515000000000008</v>
      </c>
      <c r="J193" s="27">
        <f>8.0479 * CHOOSE(CONTROL!$C$32, $C$9, 100%, $E$9)</f>
        <v>8.0479000000000003</v>
      </c>
      <c r="K193" s="27">
        <f>8.0515 * CHOOSE(CONTROL!$C$32, $C$9, 100%, $E$9)</f>
        <v>8.0515000000000008</v>
      </c>
      <c r="L193" s="27">
        <f>5.0308 * CHOOSE(CONTROL!$C$32, $C$9, 100%, $E$9)</f>
        <v>5.0308000000000002</v>
      </c>
      <c r="M193" s="27">
        <f>5.0344 * CHOOSE(CONTROL!$C$32, $C$9, 100%, $E$9)</f>
        <v>5.0343999999999998</v>
      </c>
      <c r="N193" s="27">
        <f>5.0308 * CHOOSE(CONTROL!$C$32, $C$9, 100%, $E$9)</f>
        <v>5.0308000000000002</v>
      </c>
      <c r="O193" s="27">
        <f>5.0344 * CHOOSE(CONTROL!$C$32, $C$9, 100%, $E$9)</f>
        <v>5.0343999999999998</v>
      </c>
    </row>
    <row r="194" spans="1:15" ht="15" x14ac:dyDescent="0.2">
      <c r="A194" s="16">
        <v>46753</v>
      </c>
      <c r="B194" s="26">
        <f>3.9901 * CHOOSE(CONTROL!$C$32, $C$9, 100%, $E$9)</f>
        <v>3.9901</v>
      </c>
      <c r="C194" s="26">
        <f>3.9901 * CHOOSE(CONTROL!$C$32, $C$9, 100%, $E$9)</f>
        <v>3.9901</v>
      </c>
      <c r="D194" s="26">
        <f>3.9912 * CHOOSE(CONTROL!$C$32, $C$9, 100%, $E$9)</f>
        <v>3.9912000000000001</v>
      </c>
      <c r="E194" s="27">
        <f>5.0753 * CHOOSE(CONTROL!$C$32, $C$9, 100%, $E$9)</f>
        <v>5.0753000000000004</v>
      </c>
      <c r="F194" s="27">
        <f>5.0753 * CHOOSE(CONTROL!$C$32, $C$9, 100%, $E$9)</f>
        <v>5.0753000000000004</v>
      </c>
      <c r="G194" s="27">
        <f>5.0789 * CHOOSE(CONTROL!$C$32, $C$9, 100%, $E$9)</f>
        <v>5.0789</v>
      </c>
      <c r="H194" s="27">
        <f>8.0646 * CHOOSE(CONTROL!$C$32, $C$9, 100%, $E$9)</f>
        <v>8.0646000000000004</v>
      </c>
      <c r="I194" s="27">
        <f>8.0683 * CHOOSE(CONTROL!$C$32, $C$9, 100%, $E$9)</f>
        <v>8.0683000000000007</v>
      </c>
      <c r="J194" s="27">
        <f>8.0646 * CHOOSE(CONTROL!$C$32, $C$9, 100%, $E$9)</f>
        <v>8.0646000000000004</v>
      </c>
      <c r="K194" s="27">
        <f>8.0683 * CHOOSE(CONTROL!$C$32, $C$9, 100%, $E$9)</f>
        <v>8.0683000000000007</v>
      </c>
      <c r="L194" s="27">
        <f>5.0753 * CHOOSE(CONTROL!$C$32, $C$9, 100%, $E$9)</f>
        <v>5.0753000000000004</v>
      </c>
      <c r="M194" s="27">
        <f>5.0789 * CHOOSE(CONTROL!$C$32, $C$9, 100%, $E$9)</f>
        <v>5.0789</v>
      </c>
      <c r="N194" s="27">
        <f>5.0753 * CHOOSE(CONTROL!$C$32, $C$9, 100%, $E$9)</f>
        <v>5.0753000000000004</v>
      </c>
      <c r="O194" s="27">
        <f>5.0789 * CHOOSE(CONTROL!$C$32, $C$9, 100%, $E$9)</f>
        <v>5.0789</v>
      </c>
    </row>
    <row r="195" spans="1:15" ht="15" x14ac:dyDescent="0.2">
      <c r="A195" s="16">
        <v>46784</v>
      </c>
      <c r="B195" s="26">
        <f>3.9871 * CHOOSE(CONTROL!$C$32, $C$9, 100%, $E$9)</f>
        <v>3.9870999999999999</v>
      </c>
      <c r="C195" s="26">
        <f>3.9871 * CHOOSE(CONTROL!$C$32, $C$9, 100%, $E$9)</f>
        <v>3.9870999999999999</v>
      </c>
      <c r="D195" s="26">
        <f>3.9882 * CHOOSE(CONTROL!$C$32, $C$9, 100%, $E$9)</f>
        <v>3.9882</v>
      </c>
      <c r="E195" s="27">
        <f>5.0733 * CHOOSE(CONTROL!$C$32, $C$9, 100%, $E$9)</f>
        <v>5.0732999999999997</v>
      </c>
      <c r="F195" s="27">
        <f>5.0733 * CHOOSE(CONTROL!$C$32, $C$9, 100%, $E$9)</f>
        <v>5.0732999999999997</v>
      </c>
      <c r="G195" s="27">
        <f>5.0769 * CHOOSE(CONTROL!$C$32, $C$9, 100%, $E$9)</f>
        <v>5.0769000000000002</v>
      </c>
      <c r="H195" s="27">
        <f>8.0814 * CHOOSE(CONTROL!$C$32, $C$9, 100%, $E$9)</f>
        <v>8.0814000000000004</v>
      </c>
      <c r="I195" s="27">
        <f>8.0851 * CHOOSE(CONTROL!$C$32, $C$9, 100%, $E$9)</f>
        <v>8.0851000000000006</v>
      </c>
      <c r="J195" s="27">
        <f>8.0814 * CHOOSE(CONTROL!$C$32, $C$9, 100%, $E$9)</f>
        <v>8.0814000000000004</v>
      </c>
      <c r="K195" s="27">
        <f>8.0851 * CHOOSE(CONTROL!$C$32, $C$9, 100%, $E$9)</f>
        <v>8.0851000000000006</v>
      </c>
      <c r="L195" s="27">
        <f>5.0733 * CHOOSE(CONTROL!$C$32, $C$9, 100%, $E$9)</f>
        <v>5.0732999999999997</v>
      </c>
      <c r="M195" s="27">
        <f>5.0769 * CHOOSE(CONTROL!$C$32, $C$9, 100%, $E$9)</f>
        <v>5.0769000000000002</v>
      </c>
      <c r="N195" s="27">
        <f>5.0733 * CHOOSE(CONTROL!$C$32, $C$9, 100%, $E$9)</f>
        <v>5.0732999999999997</v>
      </c>
      <c r="O195" s="27">
        <f>5.0769 * CHOOSE(CONTROL!$C$32, $C$9, 100%, $E$9)</f>
        <v>5.0769000000000002</v>
      </c>
    </row>
    <row r="196" spans="1:15" ht="15" x14ac:dyDescent="0.2">
      <c r="A196" s="16">
        <v>46813</v>
      </c>
      <c r="B196" s="26">
        <f>3.984 * CHOOSE(CONTROL!$C$32, $C$9, 100%, $E$9)</f>
        <v>3.984</v>
      </c>
      <c r="C196" s="26">
        <f>3.984 * CHOOSE(CONTROL!$C$32, $C$9, 100%, $E$9)</f>
        <v>3.984</v>
      </c>
      <c r="D196" s="26">
        <f>3.9851 * CHOOSE(CONTROL!$C$32, $C$9, 100%, $E$9)</f>
        <v>3.9851000000000001</v>
      </c>
      <c r="E196" s="27">
        <f>5.0713 * CHOOSE(CONTROL!$C$32, $C$9, 100%, $E$9)</f>
        <v>5.0712999999999999</v>
      </c>
      <c r="F196" s="27">
        <f>5.0713 * CHOOSE(CONTROL!$C$32, $C$9, 100%, $E$9)</f>
        <v>5.0712999999999999</v>
      </c>
      <c r="G196" s="27">
        <f>5.0749 * CHOOSE(CONTROL!$C$32, $C$9, 100%, $E$9)</f>
        <v>5.0749000000000004</v>
      </c>
      <c r="H196" s="27">
        <f>8.0983 * CHOOSE(CONTROL!$C$32, $C$9, 100%, $E$9)</f>
        <v>8.0983000000000001</v>
      </c>
      <c r="I196" s="27">
        <f>8.1019 * CHOOSE(CONTROL!$C$32, $C$9, 100%, $E$9)</f>
        <v>8.1019000000000005</v>
      </c>
      <c r="J196" s="27">
        <f>8.0983 * CHOOSE(CONTROL!$C$32, $C$9, 100%, $E$9)</f>
        <v>8.0983000000000001</v>
      </c>
      <c r="K196" s="27">
        <f>8.1019 * CHOOSE(CONTROL!$C$32, $C$9, 100%, $E$9)</f>
        <v>8.1019000000000005</v>
      </c>
      <c r="L196" s="27">
        <f>5.0713 * CHOOSE(CONTROL!$C$32, $C$9, 100%, $E$9)</f>
        <v>5.0712999999999999</v>
      </c>
      <c r="M196" s="27">
        <f>5.0749 * CHOOSE(CONTROL!$C$32, $C$9, 100%, $E$9)</f>
        <v>5.0749000000000004</v>
      </c>
      <c r="N196" s="27">
        <f>5.0713 * CHOOSE(CONTROL!$C$32, $C$9, 100%, $E$9)</f>
        <v>5.0712999999999999</v>
      </c>
      <c r="O196" s="27">
        <f>5.0749 * CHOOSE(CONTROL!$C$32, $C$9, 100%, $E$9)</f>
        <v>5.0749000000000004</v>
      </c>
    </row>
    <row r="197" spans="1:15" ht="15" x14ac:dyDescent="0.2">
      <c r="A197" s="16">
        <v>46844</v>
      </c>
      <c r="B197" s="26">
        <f>3.9817 * CHOOSE(CONTROL!$C$32, $C$9, 100%, $E$9)</f>
        <v>3.9817</v>
      </c>
      <c r="C197" s="26">
        <f>3.9817 * CHOOSE(CONTROL!$C$32, $C$9, 100%, $E$9)</f>
        <v>3.9817</v>
      </c>
      <c r="D197" s="26">
        <f>3.9828 * CHOOSE(CONTROL!$C$32, $C$9, 100%, $E$9)</f>
        <v>3.9828000000000001</v>
      </c>
      <c r="E197" s="27">
        <f>5.0692 * CHOOSE(CONTROL!$C$32, $C$9, 100%, $E$9)</f>
        <v>5.0692000000000004</v>
      </c>
      <c r="F197" s="27">
        <f>5.0692 * CHOOSE(CONTROL!$C$32, $C$9, 100%, $E$9)</f>
        <v>5.0692000000000004</v>
      </c>
      <c r="G197" s="27">
        <f>5.0728 * CHOOSE(CONTROL!$C$32, $C$9, 100%, $E$9)</f>
        <v>5.0728</v>
      </c>
      <c r="H197" s="27">
        <f>8.1152 * CHOOSE(CONTROL!$C$32, $C$9, 100%, $E$9)</f>
        <v>8.1151999999999997</v>
      </c>
      <c r="I197" s="27">
        <f>8.1188 * CHOOSE(CONTROL!$C$32, $C$9, 100%, $E$9)</f>
        <v>8.1188000000000002</v>
      </c>
      <c r="J197" s="27">
        <f>8.1152 * CHOOSE(CONTROL!$C$32, $C$9, 100%, $E$9)</f>
        <v>8.1151999999999997</v>
      </c>
      <c r="K197" s="27">
        <f>8.1188 * CHOOSE(CONTROL!$C$32, $C$9, 100%, $E$9)</f>
        <v>8.1188000000000002</v>
      </c>
      <c r="L197" s="27">
        <f>5.0692 * CHOOSE(CONTROL!$C$32, $C$9, 100%, $E$9)</f>
        <v>5.0692000000000004</v>
      </c>
      <c r="M197" s="27">
        <f>5.0728 * CHOOSE(CONTROL!$C$32, $C$9, 100%, $E$9)</f>
        <v>5.0728</v>
      </c>
      <c r="N197" s="27">
        <f>5.0692 * CHOOSE(CONTROL!$C$32, $C$9, 100%, $E$9)</f>
        <v>5.0692000000000004</v>
      </c>
      <c r="O197" s="27">
        <f>5.0728 * CHOOSE(CONTROL!$C$32, $C$9, 100%, $E$9)</f>
        <v>5.0728</v>
      </c>
    </row>
    <row r="198" spans="1:15" ht="15" x14ac:dyDescent="0.2">
      <c r="A198" s="16">
        <v>46874</v>
      </c>
      <c r="B198" s="26">
        <f>3.9817 * CHOOSE(CONTROL!$C$32, $C$9, 100%, $E$9)</f>
        <v>3.9817</v>
      </c>
      <c r="C198" s="26">
        <f>3.9817 * CHOOSE(CONTROL!$C$32, $C$9, 100%, $E$9)</f>
        <v>3.9817</v>
      </c>
      <c r="D198" s="26">
        <f>3.9833 * CHOOSE(CONTROL!$C$32, $C$9, 100%, $E$9)</f>
        <v>3.9832999999999998</v>
      </c>
      <c r="E198" s="27">
        <f>5.0692 * CHOOSE(CONTROL!$C$32, $C$9, 100%, $E$9)</f>
        <v>5.0692000000000004</v>
      </c>
      <c r="F198" s="27">
        <f>5.0692 * CHOOSE(CONTROL!$C$32, $C$9, 100%, $E$9)</f>
        <v>5.0692000000000004</v>
      </c>
      <c r="G198" s="27">
        <f>5.0745 * CHOOSE(CONTROL!$C$32, $C$9, 100%, $E$9)</f>
        <v>5.0744999999999996</v>
      </c>
      <c r="H198" s="27">
        <f>8.1321 * CHOOSE(CONTROL!$C$32, $C$9, 100%, $E$9)</f>
        <v>8.1320999999999994</v>
      </c>
      <c r="I198" s="27">
        <f>8.1374 * CHOOSE(CONTROL!$C$32, $C$9, 100%, $E$9)</f>
        <v>8.1373999999999995</v>
      </c>
      <c r="J198" s="27">
        <f>8.1321 * CHOOSE(CONTROL!$C$32, $C$9, 100%, $E$9)</f>
        <v>8.1320999999999994</v>
      </c>
      <c r="K198" s="27">
        <f>8.1374 * CHOOSE(CONTROL!$C$32, $C$9, 100%, $E$9)</f>
        <v>8.1373999999999995</v>
      </c>
      <c r="L198" s="27">
        <f>5.0692 * CHOOSE(CONTROL!$C$32, $C$9, 100%, $E$9)</f>
        <v>5.0692000000000004</v>
      </c>
      <c r="M198" s="27">
        <f>5.0745 * CHOOSE(CONTROL!$C$32, $C$9, 100%, $E$9)</f>
        <v>5.0744999999999996</v>
      </c>
      <c r="N198" s="27">
        <f>5.0692 * CHOOSE(CONTROL!$C$32, $C$9, 100%, $E$9)</f>
        <v>5.0692000000000004</v>
      </c>
      <c r="O198" s="27">
        <f>5.0745 * CHOOSE(CONTROL!$C$32, $C$9, 100%, $E$9)</f>
        <v>5.0744999999999996</v>
      </c>
    </row>
    <row r="199" spans="1:15" ht="15" x14ac:dyDescent="0.2">
      <c r="A199" s="16">
        <v>46905</v>
      </c>
      <c r="B199" s="26">
        <f>3.9878 * CHOOSE(CONTROL!$C$32, $C$9, 100%, $E$9)</f>
        <v>3.9878</v>
      </c>
      <c r="C199" s="26">
        <f>3.9878 * CHOOSE(CONTROL!$C$32, $C$9, 100%, $E$9)</f>
        <v>3.9878</v>
      </c>
      <c r="D199" s="26">
        <f>3.9893 * CHOOSE(CONTROL!$C$32, $C$9, 100%, $E$9)</f>
        <v>3.9893000000000001</v>
      </c>
      <c r="E199" s="27">
        <f>5.0732 * CHOOSE(CONTROL!$C$32, $C$9, 100%, $E$9)</f>
        <v>5.0731999999999999</v>
      </c>
      <c r="F199" s="27">
        <f>5.0732 * CHOOSE(CONTROL!$C$32, $C$9, 100%, $E$9)</f>
        <v>5.0731999999999999</v>
      </c>
      <c r="G199" s="27">
        <f>5.0785 * CHOOSE(CONTROL!$C$32, $C$9, 100%, $E$9)</f>
        <v>5.0785</v>
      </c>
      <c r="H199" s="27">
        <f>8.149 * CHOOSE(CONTROL!$C$32, $C$9, 100%, $E$9)</f>
        <v>8.1489999999999991</v>
      </c>
      <c r="I199" s="27">
        <f>8.1543 * CHOOSE(CONTROL!$C$32, $C$9, 100%, $E$9)</f>
        <v>8.1542999999999992</v>
      </c>
      <c r="J199" s="27">
        <f>8.149 * CHOOSE(CONTROL!$C$32, $C$9, 100%, $E$9)</f>
        <v>8.1489999999999991</v>
      </c>
      <c r="K199" s="27">
        <f>8.1543 * CHOOSE(CONTROL!$C$32, $C$9, 100%, $E$9)</f>
        <v>8.1542999999999992</v>
      </c>
      <c r="L199" s="27">
        <f>5.0732 * CHOOSE(CONTROL!$C$32, $C$9, 100%, $E$9)</f>
        <v>5.0731999999999999</v>
      </c>
      <c r="M199" s="27">
        <f>5.0785 * CHOOSE(CONTROL!$C$32, $C$9, 100%, $E$9)</f>
        <v>5.0785</v>
      </c>
      <c r="N199" s="27">
        <f>5.0732 * CHOOSE(CONTROL!$C$32, $C$9, 100%, $E$9)</f>
        <v>5.0731999999999999</v>
      </c>
      <c r="O199" s="27">
        <f>5.0785 * CHOOSE(CONTROL!$C$32, $C$9, 100%, $E$9)</f>
        <v>5.0785</v>
      </c>
    </row>
    <row r="200" spans="1:15" ht="15" x14ac:dyDescent="0.2">
      <c r="A200" s="16">
        <v>46935</v>
      </c>
      <c r="B200" s="26">
        <f>4.0588 * CHOOSE(CONTROL!$C$32, $C$9, 100%, $E$9)</f>
        <v>4.0587999999999997</v>
      </c>
      <c r="C200" s="26">
        <f>4.0588 * CHOOSE(CONTROL!$C$32, $C$9, 100%, $E$9)</f>
        <v>4.0587999999999997</v>
      </c>
      <c r="D200" s="26">
        <f>4.0603 * CHOOSE(CONTROL!$C$32, $C$9, 100%, $E$9)</f>
        <v>4.0602999999999998</v>
      </c>
      <c r="E200" s="27">
        <f>5.1714 * CHOOSE(CONTROL!$C$32, $C$9, 100%, $E$9)</f>
        <v>5.1714000000000002</v>
      </c>
      <c r="F200" s="27">
        <f>5.1714 * CHOOSE(CONTROL!$C$32, $C$9, 100%, $E$9)</f>
        <v>5.1714000000000002</v>
      </c>
      <c r="G200" s="27">
        <f>5.1767 * CHOOSE(CONTROL!$C$32, $C$9, 100%, $E$9)</f>
        <v>5.1767000000000003</v>
      </c>
      <c r="H200" s="27">
        <f>8.166 * CHOOSE(CONTROL!$C$32, $C$9, 100%, $E$9)</f>
        <v>8.1660000000000004</v>
      </c>
      <c r="I200" s="27">
        <f>8.1713 * CHOOSE(CONTROL!$C$32, $C$9, 100%, $E$9)</f>
        <v>8.1713000000000005</v>
      </c>
      <c r="J200" s="27">
        <f>8.166 * CHOOSE(CONTROL!$C$32, $C$9, 100%, $E$9)</f>
        <v>8.1660000000000004</v>
      </c>
      <c r="K200" s="27">
        <f>8.1713 * CHOOSE(CONTROL!$C$32, $C$9, 100%, $E$9)</f>
        <v>8.1713000000000005</v>
      </c>
      <c r="L200" s="27">
        <f>5.1714 * CHOOSE(CONTROL!$C$32, $C$9, 100%, $E$9)</f>
        <v>5.1714000000000002</v>
      </c>
      <c r="M200" s="27">
        <f>5.1767 * CHOOSE(CONTROL!$C$32, $C$9, 100%, $E$9)</f>
        <v>5.1767000000000003</v>
      </c>
      <c r="N200" s="27">
        <f>5.1714 * CHOOSE(CONTROL!$C$32, $C$9, 100%, $E$9)</f>
        <v>5.1714000000000002</v>
      </c>
      <c r="O200" s="27">
        <f>5.1767 * CHOOSE(CONTROL!$C$32, $C$9, 100%, $E$9)</f>
        <v>5.1767000000000003</v>
      </c>
    </row>
    <row r="201" spans="1:15" ht="15" x14ac:dyDescent="0.2">
      <c r="A201" s="16">
        <v>46966</v>
      </c>
      <c r="B201" s="26">
        <f>4.0654 * CHOOSE(CONTROL!$C$32, $C$9, 100%, $E$9)</f>
        <v>4.0654000000000003</v>
      </c>
      <c r="C201" s="26">
        <f>4.0654 * CHOOSE(CONTROL!$C$32, $C$9, 100%, $E$9)</f>
        <v>4.0654000000000003</v>
      </c>
      <c r="D201" s="26">
        <f>4.067 * CHOOSE(CONTROL!$C$32, $C$9, 100%, $E$9)</f>
        <v>4.0670000000000002</v>
      </c>
      <c r="E201" s="27">
        <f>5.1758 * CHOOSE(CONTROL!$C$32, $C$9, 100%, $E$9)</f>
        <v>5.1757999999999997</v>
      </c>
      <c r="F201" s="27">
        <f>5.1758 * CHOOSE(CONTROL!$C$32, $C$9, 100%, $E$9)</f>
        <v>5.1757999999999997</v>
      </c>
      <c r="G201" s="27">
        <f>5.1811 * CHOOSE(CONTROL!$C$32, $C$9, 100%, $E$9)</f>
        <v>5.1810999999999998</v>
      </c>
      <c r="H201" s="27">
        <f>8.183 * CHOOSE(CONTROL!$C$32, $C$9, 100%, $E$9)</f>
        <v>8.1829999999999998</v>
      </c>
      <c r="I201" s="27">
        <f>8.1883 * CHOOSE(CONTROL!$C$32, $C$9, 100%, $E$9)</f>
        <v>8.1882999999999999</v>
      </c>
      <c r="J201" s="27">
        <f>8.183 * CHOOSE(CONTROL!$C$32, $C$9, 100%, $E$9)</f>
        <v>8.1829999999999998</v>
      </c>
      <c r="K201" s="27">
        <f>8.1883 * CHOOSE(CONTROL!$C$32, $C$9, 100%, $E$9)</f>
        <v>8.1882999999999999</v>
      </c>
      <c r="L201" s="27">
        <f>5.1758 * CHOOSE(CONTROL!$C$32, $C$9, 100%, $E$9)</f>
        <v>5.1757999999999997</v>
      </c>
      <c r="M201" s="27">
        <f>5.1811 * CHOOSE(CONTROL!$C$32, $C$9, 100%, $E$9)</f>
        <v>5.1810999999999998</v>
      </c>
      <c r="N201" s="27">
        <f>5.1758 * CHOOSE(CONTROL!$C$32, $C$9, 100%, $E$9)</f>
        <v>5.1757999999999997</v>
      </c>
      <c r="O201" s="27">
        <f>5.1811 * CHOOSE(CONTROL!$C$32, $C$9, 100%, $E$9)</f>
        <v>5.1810999999999998</v>
      </c>
    </row>
    <row r="202" spans="1:15" ht="15" x14ac:dyDescent="0.2">
      <c r="A202" s="16">
        <v>46997</v>
      </c>
      <c r="B202" s="26">
        <f>4.0624 * CHOOSE(CONTROL!$C$32, $C$9, 100%, $E$9)</f>
        <v>4.0624000000000002</v>
      </c>
      <c r="C202" s="26">
        <f>4.0624 * CHOOSE(CONTROL!$C$32, $C$9, 100%, $E$9)</f>
        <v>4.0624000000000002</v>
      </c>
      <c r="D202" s="26">
        <f>4.064 * CHOOSE(CONTROL!$C$32, $C$9, 100%, $E$9)</f>
        <v>4.0640000000000001</v>
      </c>
      <c r="E202" s="27">
        <f>5.1738 * CHOOSE(CONTROL!$C$32, $C$9, 100%, $E$9)</f>
        <v>5.1738</v>
      </c>
      <c r="F202" s="27">
        <f>5.1738 * CHOOSE(CONTROL!$C$32, $C$9, 100%, $E$9)</f>
        <v>5.1738</v>
      </c>
      <c r="G202" s="27">
        <f>5.1791 * CHOOSE(CONTROL!$C$32, $C$9, 100%, $E$9)</f>
        <v>5.1791</v>
      </c>
      <c r="H202" s="27">
        <f>8.2 * CHOOSE(CONTROL!$C$32, $C$9, 100%, $E$9)</f>
        <v>8.1999999999999993</v>
      </c>
      <c r="I202" s="27">
        <f>8.2053 * CHOOSE(CONTROL!$C$32, $C$9, 100%, $E$9)</f>
        <v>8.2052999999999994</v>
      </c>
      <c r="J202" s="27">
        <f>8.2 * CHOOSE(CONTROL!$C$32, $C$9, 100%, $E$9)</f>
        <v>8.1999999999999993</v>
      </c>
      <c r="K202" s="27">
        <f>8.2053 * CHOOSE(CONTROL!$C$32, $C$9, 100%, $E$9)</f>
        <v>8.2052999999999994</v>
      </c>
      <c r="L202" s="27">
        <f>5.1738 * CHOOSE(CONTROL!$C$32, $C$9, 100%, $E$9)</f>
        <v>5.1738</v>
      </c>
      <c r="M202" s="27">
        <f>5.1791 * CHOOSE(CONTROL!$C$32, $C$9, 100%, $E$9)</f>
        <v>5.1791</v>
      </c>
      <c r="N202" s="27">
        <f>5.1738 * CHOOSE(CONTROL!$C$32, $C$9, 100%, $E$9)</f>
        <v>5.1738</v>
      </c>
      <c r="O202" s="27">
        <f>5.1791 * CHOOSE(CONTROL!$C$32, $C$9, 100%, $E$9)</f>
        <v>5.1791</v>
      </c>
    </row>
    <row r="203" spans="1:15" ht="15" x14ac:dyDescent="0.2">
      <c r="A203" s="16">
        <v>47027</v>
      </c>
      <c r="B203" s="26">
        <f>4.0577 * CHOOSE(CONTROL!$C$32, $C$9, 100%, $E$9)</f>
        <v>4.0576999999999996</v>
      </c>
      <c r="C203" s="26">
        <f>4.0577 * CHOOSE(CONTROL!$C$32, $C$9, 100%, $E$9)</f>
        <v>4.0576999999999996</v>
      </c>
      <c r="D203" s="26">
        <f>4.0588 * CHOOSE(CONTROL!$C$32, $C$9, 100%, $E$9)</f>
        <v>4.0587999999999997</v>
      </c>
      <c r="E203" s="27">
        <f>5.1686 * CHOOSE(CONTROL!$C$32, $C$9, 100%, $E$9)</f>
        <v>5.1685999999999996</v>
      </c>
      <c r="F203" s="27">
        <f>5.1686 * CHOOSE(CONTROL!$C$32, $C$9, 100%, $E$9)</f>
        <v>5.1685999999999996</v>
      </c>
      <c r="G203" s="27">
        <f>5.1722 * CHOOSE(CONTROL!$C$32, $C$9, 100%, $E$9)</f>
        <v>5.1722000000000001</v>
      </c>
      <c r="H203" s="27">
        <f>8.2171 * CHOOSE(CONTROL!$C$32, $C$9, 100%, $E$9)</f>
        <v>8.2171000000000003</v>
      </c>
      <c r="I203" s="27">
        <f>8.2207 * CHOOSE(CONTROL!$C$32, $C$9, 100%, $E$9)</f>
        <v>8.2207000000000008</v>
      </c>
      <c r="J203" s="27">
        <f>8.2171 * CHOOSE(CONTROL!$C$32, $C$9, 100%, $E$9)</f>
        <v>8.2171000000000003</v>
      </c>
      <c r="K203" s="27">
        <f>8.2207 * CHOOSE(CONTROL!$C$32, $C$9, 100%, $E$9)</f>
        <v>8.2207000000000008</v>
      </c>
      <c r="L203" s="27">
        <f>5.1686 * CHOOSE(CONTROL!$C$32, $C$9, 100%, $E$9)</f>
        <v>5.1685999999999996</v>
      </c>
      <c r="M203" s="27">
        <f>5.1722 * CHOOSE(CONTROL!$C$32, $C$9, 100%, $E$9)</f>
        <v>5.1722000000000001</v>
      </c>
      <c r="N203" s="27">
        <f>5.1686 * CHOOSE(CONTROL!$C$32, $C$9, 100%, $E$9)</f>
        <v>5.1685999999999996</v>
      </c>
      <c r="O203" s="27">
        <f>5.1722 * CHOOSE(CONTROL!$C$32, $C$9, 100%, $E$9)</f>
        <v>5.1722000000000001</v>
      </c>
    </row>
    <row r="204" spans="1:15" ht="15" x14ac:dyDescent="0.2">
      <c r="A204" s="16">
        <v>47058</v>
      </c>
      <c r="B204" s="26">
        <f>4.0607 * CHOOSE(CONTROL!$C$32, $C$9, 100%, $E$9)</f>
        <v>4.0606999999999998</v>
      </c>
      <c r="C204" s="26">
        <f>4.0607 * CHOOSE(CONTROL!$C$32, $C$9, 100%, $E$9)</f>
        <v>4.0606999999999998</v>
      </c>
      <c r="D204" s="26">
        <f>4.0618 * CHOOSE(CONTROL!$C$32, $C$9, 100%, $E$9)</f>
        <v>4.0617999999999999</v>
      </c>
      <c r="E204" s="27">
        <f>5.1706 * CHOOSE(CONTROL!$C$32, $C$9, 100%, $E$9)</f>
        <v>5.1706000000000003</v>
      </c>
      <c r="F204" s="27">
        <f>5.1706 * CHOOSE(CONTROL!$C$32, $C$9, 100%, $E$9)</f>
        <v>5.1706000000000003</v>
      </c>
      <c r="G204" s="27">
        <f>5.1742 * CHOOSE(CONTROL!$C$32, $C$9, 100%, $E$9)</f>
        <v>5.1741999999999999</v>
      </c>
      <c r="H204" s="27">
        <f>8.2342 * CHOOSE(CONTROL!$C$32, $C$9, 100%, $E$9)</f>
        <v>8.2341999999999995</v>
      </c>
      <c r="I204" s="27">
        <f>8.2379 * CHOOSE(CONTROL!$C$32, $C$9, 100%, $E$9)</f>
        <v>8.2378999999999998</v>
      </c>
      <c r="J204" s="27">
        <f>8.2342 * CHOOSE(CONTROL!$C$32, $C$9, 100%, $E$9)</f>
        <v>8.2341999999999995</v>
      </c>
      <c r="K204" s="27">
        <f>8.2379 * CHOOSE(CONTROL!$C$32, $C$9, 100%, $E$9)</f>
        <v>8.2378999999999998</v>
      </c>
      <c r="L204" s="27">
        <f>5.1706 * CHOOSE(CONTROL!$C$32, $C$9, 100%, $E$9)</f>
        <v>5.1706000000000003</v>
      </c>
      <c r="M204" s="27">
        <f>5.1742 * CHOOSE(CONTROL!$C$32, $C$9, 100%, $E$9)</f>
        <v>5.1741999999999999</v>
      </c>
      <c r="N204" s="27">
        <f>5.1706 * CHOOSE(CONTROL!$C$32, $C$9, 100%, $E$9)</f>
        <v>5.1706000000000003</v>
      </c>
      <c r="O204" s="27">
        <f>5.1742 * CHOOSE(CONTROL!$C$32, $C$9, 100%, $E$9)</f>
        <v>5.1741999999999999</v>
      </c>
    </row>
    <row r="205" spans="1:15" ht="15" x14ac:dyDescent="0.2">
      <c r="A205" s="16">
        <v>47088</v>
      </c>
      <c r="B205" s="26">
        <f>4.0607 * CHOOSE(CONTROL!$C$32, $C$9, 100%, $E$9)</f>
        <v>4.0606999999999998</v>
      </c>
      <c r="C205" s="26">
        <f>4.0607 * CHOOSE(CONTROL!$C$32, $C$9, 100%, $E$9)</f>
        <v>4.0606999999999998</v>
      </c>
      <c r="D205" s="26">
        <f>4.0618 * CHOOSE(CONTROL!$C$32, $C$9, 100%, $E$9)</f>
        <v>4.0617999999999999</v>
      </c>
      <c r="E205" s="27">
        <f>5.1706 * CHOOSE(CONTROL!$C$32, $C$9, 100%, $E$9)</f>
        <v>5.1706000000000003</v>
      </c>
      <c r="F205" s="27">
        <f>5.1706 * CHOOSE(CONTROL!$C$32, $C$9, 100%, $E$9)</f>
        <v>5.1706000000000003</v>
      </c>
      <c r="G205" s="27">
        <f>5.1742 * CHOOSE(CONTROL!$C$32, $C$9, 100%, $E$9)</f>
        <v>5.1741999999999999</v>
      </c>
      <c r="H205" s="27">
        <f>8.2514 * CHOOSE(CONTROL!$C$32, $C$9, 100%, $E$9)</f>
        <v>8.2514000000000003</v>
      </c>
      <c r="I205" s="27">
        <f>8.255 * CHOOSE(CONTROL!$C$32, $C$9, 100%, $E$9)</f>
        <v>8.2550000000000008</v>
      </c>
      <c r="J205" s="27">
        <f>8.2514 * CHOOSE(CONTROL!$C$32, $C$9, 100%, $E$9)</f>
        <v>8.2514000000000003</v>
      </c>
      <c r="K205" s="27">
        <f>8.255 * CHOOSE(CONTROL!$C$32, $C$9, 100%, $E$9)</f>
        <v>8.2550000000000008</v>
      </c>
      <c r="L205" s="27">
        <f>5.1706 * CHOOSE(CONTROL!$C$32, $C$9, 100%, $E$9)</f>
        <v>5.1706000000000003</v>
      </c>
      <c r="M205" s="27">
        <f>5.1742 * CHOOSE(CONTROL!$C$32, $C$9, 100%, $E$9)</f>
        <v>5.1741999999999999</v>
      </c>
      <c r="N205" s="27">
        <f>5.1706 * CHOOSE(CONTROL!$C$32, $C$9, 100%, $E$9)</f>
        <v>5.1706000000000003</v>
      </c>
      <c r="O205" s="27">
        <f>5.1742 * CHOOSE(CONTROL!$C$32, $C$9, 100%, $E$9)</f>
        <v>5.1741999999999999</v>
      </c>
    </row>
    <row r="206" spans="1:15" ht="15" x14ac:dyDescent="0.2">
      <c r="A206" s="16">
        <v>47119</v>
      </c>
      <c r="B206" s="26">
        <f>4.0932 * CHOOSE(CONTROL!$C$32, $C$9, 100%, $E$9)</f>
        <v>4.0932000000000004</v>
      </c>
      <c r="C206" s="26">
        <f>4.0932 * CHOOSE(CONTROL!$C$32, $C$9, 100%, $E$9)</f>
        <v>4.0932000000000004</v>
      </c>
      <c r="D206" s="26">
        <f>4.0943 * CHOOSE(CONTROL!$C$32, $C$9, 100%, $E$9)</f>
        <v>4.0942999999999996</v>
      </c>
      <c r="E206" s="27">
        <f>5.2103 * CHOOSE(CONTROL!$C$32, $C$9, 100%, $E$9)</f>
        <v>5.2103000000000002</v>
      </c>
      <c r="F206" s="27">
        <f>5.2103 * CHOOSE(CONTROL!$C$32, $C$9, 100%, $E$9)</f>
        <v>5.2103000000000002</v>
      </c>
      <c r="G206" s="27">
        <f>5.2139 * CHOOSE(CONTROL!$C$32, $C$9, 100%, $E$9)</f>
        <v>5.2138999999999998</v>
      </c>
      <c r="H206" s="27">
        <f>8.2686 * CHOOSE(CONTROL!$C$32, $C$9, 100%, $E$9)</f>
        <v>8.2685999999999993</v>
      </c>
      <c r="I206" s="27">
        <f>8.2722 * CHOOSE(CONTROL!$C$32, $C$9, 100%, $E$9)</f>
        <v>8.2721999999999998</v>
      </c>
      <c r="J206" s="27">
        <f>8.2686 * CHOOSE(CONTROL!$C$32, $C$9, 100%, $E$9)</f>
        <v>8.2685999999999993</v>
      </c>
      <c r="K206" s="27">
        <f>8.2722 * CHOOSE(CONTROL!$C$32, $C$9, 100%, $E$9)</f>
        <v>8.2721999999999998</v>
      </c>
      <c r="L206" s="27">
        <f>5.2103 * CHOOSE(CONTROL!$C$32, $C$9, 100%, $E$9)</f>
        <v>5.2103000000000002</v>
      </c>
      <c r="M206" s="27">
        <f>5.2139 * CHOOSE(CONTROL!$C$32, $C$9, 100%, $E$9)</f>
        <v>5.2138999999999998</v>
      </c>
      <c r="N206" s="27">
        <f>5.2103 * CHOOSE(CONTROL!$C$32, $C$9, 100%, $E$9)</f>
        <v>5.2103000000000002</v>
      </c>
      <c r="O206" s="27">
        <f>5.2139 * CHOOSE(CONTROL!$C$32, $C$9, 100%, $E$9)</f>
        <v>5.2138999999999998</v>
      </c>
    </row>
    <row r="207" spans="1:15" ht="15" x14ac:dyDescent="0.2">
      <c r="A207" s="16">
        <v>47150</v>
      </c>
      <c r="B207" s="26">
        <f>4.0902 * CHOOSE(CONTROL!$C$32, $C$9, 100%, $E$9)</f>
        <v>4.0902000000000003</v>
      </c>
      <c r="C207" s="26">
        <f>4.0902 * CHOOSE(CONTROL!$C$32, $C$9, 100%, $E$9)</f>
        <v>4.0902000000000003</v>
      </c>
      <c r="D207" s="26">
        <f>4.0913 * CHOOSE(CONTROL!$C$32, $C$9, 100%, $E$9)</f>
        <v>4.0913000000000004</v>
      </c>
      <c r="E207" s="27">
        <f>5.2083 * CHOOSE(CONTROL!$C$32, $C$9, 100%, $E$9)</f>
        <v>5.2083000000000004</v>
      </c>
      <c r="F207" s="27">
        <f>5.2083 * CHOOSE(CONTROL!$C$32, $C$9, 100%, $E$9)</f>
        <v>5.2083000000000004</v>
      </c>
      <c r="G207" s="27">
        <f>5.2119 * CHOOSE(CONTROL!$C$32, $C$9, 100%, $E$9)</f>
        <v>5.2119</v>
      </c>
      <c r="H207" s="27">
        <f>8.2858 * CHOOSE(CONTROL!$C$32, $C$9, 100%, $E$9)</f>
        <v>8.2858000000000001</v>
      </c>
      <c r="I207" s="27">
        <f>8.2894 * CHOOSE(CONTROL!$C$32, $C$9, 100%, $E$9)</f>
        <v>8.2894000000000005</v>
      </c>
      <c r="J207" s="27">
        <f>8.2858 * CHOOSE(CONTROL!$C$32, $C$9, 100%, $E$9)</f>
        <v>8.2858000000000001</v>
      </c>
      <c r="K207" s="27">
        <f>8.2894 * CHOOSE(CONTROL!$C$32, $C$9, 100%, $E$9)</f>
        <v>8.2894000000000005</v>
      </c>
      <c r="L207" s="27">
        <f>5.2083 * CHOOSE(CONTROL!$C$32, $C$9, 100%, $E$9)</f>
        <v>5.2083000000000004</v>
      </c>
      <c r="M207" s="27">
        <f>5.2119 * CHOOSE(CONTROL!$C$32, $C$9, 100%, $E$9)</f>
        <v>5.2119</v>
      </c>
      <c r="N207" s="27">
        <f>5.2083 * CHOOSE(CONTROL!$C$32, $C$9, 100%, $E$9)</f>
        <v>5.2083000000000004</v>
      </c>
      <c r="O207" s="27">
        <f>5.2119 * CHOOSE(CONTROL!$C$32, $C$9, 100%, $E$9)</f>
        <v>5.2119</v>
      </c>
    </row>
    <row r="208" spans="1:15" ht="15" x14ac:dyDescent="0.2">
      <c r="A208" s="16">
        <v>47178</v>
      </c>
      <c r="B208" s="26">
        <f>4.0872 * CHOOSE(CONTROL!$C$32, $C$9, 100%, $E$9)</f>
        <v>4.0872000000000002</v>
      </c>
      <c r="C208" s="26">
        <f>4.0872 * CHOOSE(CONTROL!$C$32, $C$9, 100%, $E$9)</f>
        <v>4.0872000000000002</v>
      </c>
      <c r="D208" s="26">
        <f>4.0882 * CHOOSE(CONTROL!$C$32, $C$9, 100%, $E$9)</f>
        <v>4.0881999999999996</v>
      </c>
      <c r="E208" s="27">
        <f>5.2063 * CHOOSE(CONTROL!$C$32, $C$9, 100%, $E$9)</f>
        <v>5.2062999999999997</v>
      </c>
      <c r="F208" s="27">
        <f>5.2063 * CHOOSE(CONTROL!$C$32, $C$9, 100%, $E$9)</f>
        <v>5.2062999999999997</v>
      </c>
      <c r="G208" s="27">
        <f>5.2099 * CHOOSE(CONTROL!$C$32, $C$9, 100%, $E$9)</f>
        <v>5.2099000000000002</v>
      </c>
      <c r="H208" s="27">
        <f>8.3031 * CHOOSE(CONTROL!$C$32, $C$9, 100%, $E$9)</f>
        <v>8.3031000000000006</v>
      </c>
      <c r="I208" s="27">
        <f>8.3067 * CHOOSE(CONTROL!$C$32, $C$9, 100%, $E$9)</f>
        <v>8.3066999999999993</v>
      </c>
      <c r="J208" s="27">
        <f>8.3031 * CHOOSE(CONTROL!$C$32, $C$9, 100%, $E$9)</f>
        <v>8.3031000000000006</v>
      </c>
      <c r="K208" s="27">
        <f>8.3067 * CHOOSE(CONTROL!$C$32, $C$9, 100%, $E$9)</f>
        <v>8.3066999999999993</v>
      </c>
      <c r="L208" s="27">
        <f>5.2063 * CHOOSE(CONTROL!$C$32, $C$9, 100%, $E$9)</f>
        <v>5.2062999999999997</v>
      </c>
      <c r="M208" s="27">
        <f>5.2099 * CHOOSE(CONTROL!$C$32, $C$9, 100%, $E$9)</f>
        <v>5.2099000000000002</v>
      </c>
      <c r="N208" s="27">
        <f>5.2063 * CHOOSE(CONTROL!$C$32, $C$9, 100%, $E$9)</f>
        <v>5.2062999999999997</v>
      </c>
      <c r="O208" s="27">
        <f>5.2099 * CHOOSE(CONTROL!$C$32, $C$9, 100%, $E$9)</f>
        <v>5.2099000000000002</v>
      </c>
    </row>
    <row r="209" spans="1:15" ht="15" x14ac:dyDescent="0.2">
      <c r="A209" s="16">
        <v>47209</v>
      </c>
      <c r="B209" s="26">
        <f>4.0849 * CHOOSE(CONTROL!$C$32, $C$9, 100%, $E$9)</f>
        <v>4.0849000000000002</v>
      </c>
      <c r="C209" s="26">
        <f>4.0849 * CHOOSE(CONTROL!$C$32, $C$9, 100%, $E$9)</f>
        <v>4.0849000000000002</v>
      </c>
      <c r="D209" s="26">
        <f>4.086 * CHOOSE(CONTROL!$C$32, $C$9, 100%, $E$9)</f>
        <v>4.0860000000000003</v>
      </c>
      <c r="E209" s="27">
        <f>5.2043 * CHOOSE(CONTROL!$C$32, $C$9, 100%, $E$9)</f>
        <v>5.2042999999999999</v>
      </c>
      <c r="F209" s="27">
        <f>5.2043 * CHOOSE(CONTROL!$C$32, $C$9, 100%, $E$9)</f>
        <v>5.2042999999999999</v>
      </c>
      <c r="G209" s="27">
        <f>5.2079 * CHOOSE(CONTROL!$C$32, $C$9, 100%, $E$9)</f>
        <v>5.2079000000000004</v>
      </c>
      <c r="H209" s="27">
        <f>8.3204 * CHOOSE(CONTROL!$C$32, $C$9, 100%, $E$9)</f>
        <v>8.3203999999999994</v>
      </c>
      <c r="I209" s="27">
        <f>8.324 * CHOOSE(CONTROL!$C$32, $C$9, 100%, $E$9)</f>
        <v>8.3239999999999998</v>
      </c>
      <c r="J209" s="27">
        <f>8.3204 * CHOOSE(CONTROL!$C$32, $C$9, 100%, $E$9)</f>
        <v>8.3203999999999994</v>
      </c>
      <c r="K209" s="27">
        <f>8.324 * CHOOSE(CONTROL!$C$32, $C$9, 100%, $E$9)</f>
        <v>8.3239999999999998</v>
      </c>
      <c r="L209" s="27">
        <f>5.2043 * CHOOSE(CONTROL!$C$32, $C$9, 100%, $E$9)</f>
        <v>5.2042999999999999</v>
      </c>
      <c r="M209" s="27">
        <f>5.2079 * CHOOSE(CONTROL!$C$32, $C$9, 100%, $E$9)</f>
        <v>5.2079000000000004</v>
      </c>
      <c r="N209" s="27">
        <f>5.2043 * CHOOSE(CONTROL!$C$32, $C$9, 100%, $E$9)</f>
        <v>5.2042999999999999</v>
      </c>
      <c r="O209" s="27">
        <f>5.2079 * CHOOSE(CONTROL!$C$32, $C$9, 100%, $E$9)</f>
        <v>5.2079000000000004</v>
      </c>
    </row>
    <row r="210" spans="1:15" ht="15" x14ac:dyDescent="0.2">
      <c r="A210" s="16">
        <v>47239</v>
      </c>
      <c r="B210" s="26">
        <f>4.0849 * CHOOSE(CONTROL!$C$32, $C$9, 100%, $E$9)</f>
        <v>4.0849000000000002</v>
      </c>
      <c r="C210" s="26">
        <f>4.0849 * CHOOSE(CONTROL!$C$32, $C$9, 100%, $E$9)</f>
        <v>4.0849000000000002</v>
      </c>
      <c r="D210" s="26">
        <f>4.0865 * CHOOSE(CONTROL!$C$32, $C$9, 100%, $E$9)</f>
        <v>4.0865</v>
      </c>
      <c r="E210" s="27">
        <f>5.2043 * CHOOSE(CONTROL!$C$32, $C$9, 100%, $E$9)</f>
        <v>5.2042999999999999</v>
      </c>
      <c r="F210" s="27">
        <f>5.2043 * CHOOSE(CONTROL!$C$32, $C$9, 100%, $E$9)</f>
        <v>5.2042999999999999</v>
      </c>
      <c r="G210" s="27">
        <f>5.2096 * CHOOSE(CONTROL!$C$32, $C$9, 100%, $E$9)</f>
        <v>5.2096</v>
      </c>
      <c r="H210" s="27">
        <f>8.3377 * CHOOSE(CONTROL!$C$32, $C$9, 100%, $E$9)</f>
        <v>8.3376999999999999</v>
      </c>
      <c r="I210" s="27">
        <f>8.343 * CHOOSE(CONTROL!$C$32, $C$9, 100%, $E$9)</f>
        <v>8.343</v>
      </c>
      <c r="J210" s="27">
        <f>8.3377 * CHOOSE(CONTROL!$C$32, $C$9, 100%, $E$9)</f>
        <v>8.3376999999999999</v>
      </c>
      <c r="K210" s="27">
        <f>8.343 * CHOOSE(CONTROL!$C$32, $C$9, 100%, $E$9)</f>
        <v>8.343</v>
      </c>
      <c r="L210" s="27">
        <f>5.2043 * CHOOSE(CONTROL!$C$32, $C$9, 100%, $E$9)</f>
        <v>5.2042999999999999</v>
      </c>
      <c r="M210" s="27">
        <f>5.2096 * CHOOSE(CONTROL!$C$32, $C$9, 100%, $E$9)</f>
        <v>5.2096</v>
      </c>
      <c r="N210" s="27">
        <f>5.2043 * CHOOSE(CONTROL!$C$32, $C$9, 100%, $E$9)</f>
        <v>5.2042999999999999</v>
      </c>
      <c r="O210" s="27">
        <f>5.2096 * CHOOSE(CONTROL!$C$32, $C$9, 100%, $E$9)</f>
        <v>5.2096</v>
      </c>
    </row>
    <row r="211" spans="1:15" ht="15" x14ac:dyDescent="0.2">
      <c r="A211" s="16">
        <v>47270</v>
      </c>
      <c r="B211" s="26">
        <f>4.091 * CHOOSE(CONTROL!$C$32, $C$9, 100%, $E$9)</f>
        <v>4.0910000000000002</v>
      </c>
      <c r="C211" s="26">
        <f>4.091 * CHOOSE(CONTROL!$C$32, $C$9, 100%, $E$9)</f>
        <v>4.0910000000000002</v>
      </c>
      <c r="D211" s="26">
        <f>4.0925 * CHOOSE(CONTROL!$C$32, $C$9, 100%, $E$9)</f>
        <v>4.0925000000000002</v>
      </c>
      <c r="E211" s="27">
        <f>5.2083 * CHOOSE(CONTROL!$C$32, $C$9, 100%, $E$9)</f>
        <v>5.2083000000000004</v>
      </c>
      <c r="F211" s="27">
        <f>5.2083 * CHOOSE(CONTROL!$C$32, $C$9, 100%, $E$9)</f>
        <v>5.2083000000000004</v>
      </c>
      <c r="G211" s="27">
        <f>5.2136 * CHOOSE(CONTROL!$C$32, $C$9, 100%, $E$9)</f>
        <v>5.2135999999999996</v>
      </c>
      <c r="H211" s="27">
        <f>8.3551 * CHOOSE(CONTROL!$C$32, $C$9, 100%, $E$9)</f>
        <v>8.3551000000000002</v>
      </c>
      <c r="I211" s="27">
        <f>8.3604 * CHOOSE(CONTROL!$C$32, $C$9, 100%, $E$9)</f>
        <v>8.3604000000000003</v>
      </c>
      <c r="J211" s="27">
        <f>8.3551 * CHOOSE(CONTROL!$C$32, $C$9, 100%, $E$9)</f>
        <v>8.3551000000000002</v>
      </c>
      <c r="K211" s="27">
        <f>8.3604 * CHOOSE(CONTROL!$C$32, $C$9, 100%, $E$9)</f>
        <v>8.3604000000000003</v>
      </c>
      <c r="L211" s="27">
        <f>5.2083 * CHOOSE(CONTROL!$C$32, $C$9, 100%, $E$9)</f>
        <v>5.2083000000000004</v>
      </c>
      <c r="M211" s="27">
        <f>5.2136 * CHOOSE(CONTROL!$C$32, $C$9, 100%, $E$9)</f>
        <v>5.2135999999999996</v>
      </c>
      <c r="N211" s="27">
        <f>5.2083 * CHOOSE(CONTROL!$C$32, $C$9, 100%, $E$9)</f>
        <v>5.2083000000000004</v>
      </c>
      <c r="O211" s="27">
        <f>5.2136 * CHOOSE(CONTROL!$C$32, $C$9, 100%, $E$9)</f>
        <v>5.2135999999999996</v>
      </c>
    </row>
    <row r="212" spans="1:15" ht="15" x14ac:dyDescent="0.2">
      <c r="A212" s="16">
        <v>47300</v>
      </c>
      <c r="B212" s="26">
        <f>4.1496 * CHOOSE(CONTROL!$C$32, $C$9, 100%, $E$9)</f>
        <v>4.1496000000000004</v>
      </c>
      <c r="C212" s="26">
        <f>4.1496 * CHOOSE(CONTROL!$C$32, $C$9, 100%, $E$9)</f>
        <v>4.1496000000000004</v>
      </c>
      <c r="D212" s="26">
        <f>4.1512 * CHOOSE(CONTROL!$C$32, $C$9, 100%, $E$9)</f>
        <v>4.1512000000000002</v>
      </c>
      <c r="E212" s="27">
        <f>5.2949 * CHOOSE(CONTROL!$C$32, $C$9, 100%, $E$9)</f>
        <v>5.2949000000000002</v>
      </c>
      <c r="F212" s="27">
        <f>5.2949 * CHOOSE(CONTROL!$C$32, $C$9, 100%, $E$9)</f>
        <v>5.2949000000000002</v>
      </c>
      <c r="G212" s="27">
        <f>5.3002 * CHOOSE(CONTROL!$C$32, $C$9, 100%, $E$9)</f>
        <v>5.3002000000000002</v>
      </c>
      <c r="H212" s="27">
        <f>8.3725 * CHOOSE(CONTROL!$C$32, $C$9, 100%, $E$9)</f>
        <v>8.3725000000000005</v>
      </c>
      <c r="I212" s="27">
        <f>8.3778 * CHOOSE(CONTROL!$C$32, $C$9, 100%, $E$9)</f>
        <v>8.3778000000000006</v>
      </c>
      <c r="J212" s="27">
        <f>8.3725 * CHOOSE(CONTROL!$C$32, $C$9, 100%, $E$9)</f>
        <v>8.3725000000000005</v>
      </c>
      <c r="K212" s="27">
        <f>8.3778 * CHOOSE(CONTROL!$C$32, $C$9, 100%, $E$9)</f>
        <v>8.3778000000000006</v>
      </c>
      <c r="L212" s="27">
        <f>5.2949 * CHOOSE(CONTROL!$C$32, $C$9, 100%, $E$9)</f>
        <v>5.2949000000000002</v>
      </c>
      <c r="M212" s="27">
        <f>5.3002 * CHOOSE(CONTROL!$C$32, $C$9, 100%, $E$9)</f>
        <v>5.3002000000000002</v>
      </c>
      <c r="N212" s="27">
        <f>5.2949 * CHOOSE(CONTROL!$C$32, $C$9, 100%, $E$9)</f>
        <v>5.2949000000000002</v>
      </c>
      <c r="O212" s="27">
        <f>5.3002 * CHOOSE(CONTROL!$C$32, $C$9, 100%, $E$9)</f>
        <v>5.3002000000000002</v>
      </c>
    </row>
    <row r="213" spans="1:15" ht="15" x14ac:dyDescent="0.2">
      <c r="A213" s="16">
        <v>47331</v>
      </c>
      <c r="B213" s="26">
        <f>4.1563 * CHOOSE(CONTROL!$C$32, $C$9, 100%, $E$9)</f>
        <v>4.1562999999999999</v>
      </c>
      <c r="C213" s="26">
        <f>4.1563 * CHOOSE(CONTROL!$C$32, $C$9, 100%, $E$9)</f>
        <v>4.1562999999999999</v>
      </c>
      <c r="D213" s="26">
        <f>4.1579 * CHOOSE(CONTROL!$C$32, $C$9, 100%, $E$9)</f>
        <v>4.1578999999999997</v>
      </c>
      <c r="E213" s="27">
        <f>5.2993 * CHOOSE(CONTROL!$C$32, $C$9, 100%, $E$9)</f>
        <v>5.2992999999999997</v>
      </c>
      <c r="F213" s="27">
        <f>5.2993 * CHOOSE(CONTROL!$C$32, $C$9, 100%, $E$9)</f>
        <v>5.2992999999999997</v>
      </c>
      <c r="G213" s="27">
        <f>5.3046 * CHOOSE(CONTROL!$C$32, $C$9, 100%, $E$9)</f>
        <v>5.3045999999999998</v>
      </c>
      <c r="H213" s="27">
        <f>8.3899 * CHOOSE(CONTROL!$C$32, $C$9, 100%, $E$9)</f>
        <v>8.3899000000000008</v>
      </c>
      <c r="I213" s="27">
        <f>8.3952 * CHOOSE(CONTROL!$C$32, $C$9, 100%, $E$9)</f>
        <v>8.3952000000000009</v>
      </c>
      <c r="J213" s="27">
        <f>8.3899 * CHOOSE(CONTROL!$C$32, $C$9, 100%, $E$9)</f>
        <v>8.3899000000000008</v>
      </c>
      <c r="K213" s="27">
        <f>8.3952 * CHOOSE(CONTROL!$C$32, $C$9, 100%, $E$9)</f>
        <v>8.3952000000000009</v>
      </c>
      <c r="L213" s="27">
        <f>5.2993 * CHOOSE(CONTROL!$C$32, $C$9, 100%, $E$9)</f>
        <v>5.2992999999999997</v>
      </c>
      <c r="M213" s="27">
        <f>5.3046 * CHOOSE(CONTROL!$C$32, $C$9, 100%, $E$9)</f>
        <v>5.3045999999999998</v>
      </c>
      <c r="N213" s="27">
        <f>5.2993 * CHOOSE(CONTROL!$C$32, $C$9, 100%, $E$9)</f>
        <v>5.2992999999999997</v>
      </c>
      <c r="O213" s="27">
        <f>5.3046 * CHOOSE(CONTROL!$C$32, $C$9, 100%, $E$9)</f>
        <v>5.3045999999999998</v>
      </c>
    </row>
    <row r="214" spans="1:15" ht="15" x14ac:dyDescent="0.2">
      <c r="A214" s="16">
        <v>47362</v>
      </c>
      <c r="B214" s="26">
        <f>4.1533 * CHOOSE(CONTROL!$C$32, $C$9, 100%, $E$9)</f>
        <v>4.1532999999999998</v>
      </c>
      <c r="C214" s="26">
        <f>4.1533 * CHOOSE(CONTROL!$C$32, $C$9, 100%, $E$9)</f>
        <v>4.1532999999999998</v>
      </c>
      <c r="D214" s="26">
        <f>4.1548 * CHOOSE(CONTROL!$C$32, $C$9, 100%, $E$9)</f>
        <v>4.1547999999999998</v>
      </c>
      <c r="E214" s="27">
        <f>5.2973 * CHOOSE(CONTROL!$C$32, $C$9, 100%, $E$9)</f>
        <v>5.2972999999999999</v>
      </c>
      <c r="F214" s="27">
        <f>5.2973 * CHOOSE(CONTROL!$C$32, $C$9, 100%, $E$9)</f>
        <v>5.2972999999999999</v>
      </c>
      <c r="G214" s="27">
        <f>5.3026 * CHOOSE(CONTROL!$C$32, $C$9, 100%, $E$9)</f>
        <v>5.3026</v>
      </c>
      <c r="H214" s="27">
        <f>8.4074 * CHOOSE(CONTROL!$C$32, $C$9, 100%, $E$9)</f>
        <v>8.4074000000000009</v>
      </c>
      <c r="I214" s="27">
        <f>8.4127 * CHOOSE(CONTROL!$C$32, $C$9, 100%, $E$9)</f>
        <v>8.4126999999999992</v>
      </c>
      <c r="J214" s="27">
        <f>8.4074 * CHOOSE(CONTROL!$C$32, $C$9, 100%, $E$9)</f>
        <v>8.4074000000000009</v>
      </c>
      <c r="K214" s="27">
        <f>8.4127 * CHOOSE(CONTROL!$C$32, $C$9, 100%, $E$9)</f>
        <v>8.4126999999999992</v>
      </c>
      <c r="L214" s="27">
        <f>5.2973 * CHOOSE(CONTROL!$C$32, $C$9, 100%, $E$9)</f>
        <v>5.2972999999999999</v>
      </c>
      <c r="M214" s="27">
        <f>5.3026 * CHOOSE(CONTROL!$C$32, $C$9, 100%, $E$9)</f>
        <v>5.3026</v>
      </c>
      <c r="N214" s="27">
        <f>5.2973 * CHOOSE(CONTROL!$C$32, $C$9, 100%, $E$9)</f>
        <v>5.2972999999999999</v>
      </c>
      <c r="O214" s="27">
        <f>5.3026 * CHOOSE(CONTROL!$C$32, $C$9, 100%, $E$9)</f>
        <v>5.3026</v>
      </c>
    </row>
    <row r="215" spans="1:15" ht="15" x14ac:dyDescent="0.2">
      <c r="A215" s="16">
        <v>47392</v>
      </c>
      <c r="B215" s="26">
        <f>4.1489 * CHOOSE(CONTROL!$C$32, $C$9, 100%, $E$9)</f>
        <v>4.1489000000000003</v>
      </c>
      <c r="C215" s="26">
        <f>4.1489 * CHOOSE(CONTROL!$C$32, $C$9, 100%, $E$9)</f>
        <v>4.1489000000000003</v>
      </c>
      <c r="D215" s="26">
        <f>4.15 * CHOOSE(CONTROL!$C$32, $C$9, 100%, $E$9)</f>
        <v>4.1500000000000004</v>
      </c>
      <c r="E215" s="27">
        <f>5.2923 * CHOOSE(CONTROL!$C$32, $C$9, 100%, $E$9)</f>
        <v>5.2923</v>
      </c>
      <c r="F215" s="27">
        <f>5.2923 * CHOOSE(CONTROL!$C$32, $C$9, 100%, $E$9)</f>
        <v>5.2923</v>
      </c>
      <c r="G215" s="27">
        <f>5.2959 * CHOOSE(CONTROL!$C$32, $C$9, 100%, $E$9)</f>
        <v>5.2958999999999996</v>
      </c>
      <c r="H215" s="27">
        <f>8.4249 * CHOOSE(CONTROL!$C$32, $C$9, 100%, $E$9)</f>
        <v>8.4248999999999992</v>
      </c>
      <c r="I215" s="27">
        <f>8.4285 * CHOOSE(CONTROL!$C$32, $C$9, 100%, $E$9)</f>
        <v>8.4284999999999997</v>
      </c>
      <c r="J215" s="27">
        <f>8.4249 * CHOOSE(CONTROL!$C$32, $C$9, 100%, $E$9)</f>
        <v>8.4248999999999992</v>
      </c>
      <c r="K215" s="27">
        <f>8.4285 * CHOOSE(CONTROL!$C$32, $C$9, 100%, $E$9)</f>
        <v>8.4284999999999997</v>
      </c>
      <c r="L215" s="27">
        <f>5.2923 * CHOOSE(CONTROL!$C$32, $C$9, 100%, $E$9)</f>
        <v>5.2923</v>
      </c>
      <c r="M215" s="27">
        <f>5.2959 * CHOOSE(CONTROL!$C$32, $C$9, 100%, $E$9)</f>
        <v>5.2958999999999996</v>
      </c>
      <c r="N215" s="27">
        <f>5.2923 * CHOOSE(CONTROL!$C$32, $C$9, 100%, $E$9)</f>
        <v>5.2923</v>
      </c>
      <c r="O215" s="27">
        <f>5.2959 * CHOOSE(CONTROL!$C$32, $C$9, 100%, $E$9)</f>
        <v>5.2958999999999996</v>
      </c>
    </row>
    <row r="216" spans="1:15" ht="15" x14ac:dyDescent="0.2">
      <c r="A216" s="16">
        <v>47423</v>
      </c>
      <c r="B216" s="26">
        <f>4.152 * CHOOSE(CONTROL!$C$32, $C$9, 100%, $E$9)</f>
        <v>4.1520000000000001</v>
      </c>
      <c r="C216" s="26">
        <f>4.152 * CHOOSE(CONTROL!$C$32, $C$9, 100%, $E$9)</f>
        <v>4.1520000000000001</v>
      </c>
      <c r="D216" s="26">
        <f>4.153 * CHOOSE(CONTROL!$C$32, $C$9, 100%, $E$9)</f>
        <v>4.1529999999999996</v>
      </c>
      <c r="E216" s="27">
        <f>5.2943 * CHOOSE(CONTROL!$C$32, $C$9, 100%, $E$9)</f>
        <v>5.2942999999999998</v>
      </c>
      <c r="F216" s="27">
        <f>5.2943 * CHOOSE(CONTROL!$C$32, $C$9, 100%, $E$9)</f>
        <v>5.2942999999999998</v>
      </c>
      <c r="G216" s="27">
        <f>5.2979 * CHOOSE(CONTROL!$C$32, $C$9, 100%, $E$9)</f>
        <v>5.2979000000000003</v>
      </c>
      <c r="H216" s="27">
        <f>8.4425 * CHOOSE(CONTROL!$C$32, $C$9, 100%, $E$9)</f>
        <v>8.4425000000000008</v>
      </c>
      <c r="I216" s="27">
        <f>8.4461 * CHOOSE(CONTROL!$C$32, $C$9, 100%, $E$9)</f>
        <v>8.4460999999999995</v>
      </c>
      <c r="J216" s="27">
        <f>8.4425 * CHOOSE(CONTROL!$C$32, $C$9, 100%, $E$9)</f>
        <v>8.4425000000000008</v>
      </c>
      <c r="K216" s="27">
        <f>8.4461 * CHOOSE(CONTROL!$C$32, $C$9, 100%, $E$9)</f>
        <v>8.4460999999999995</v>
      </c>
      <c r="L216" s="27">
        <f>5.2943 * CHOOSE(CONTROL!$C$32, $C$9, 100%, $E$9)</f>
        <v>5.2942999999999998</v>
      </c>
      <c r="M216" s="27">
        <f>5.2979 * CHOOSE(CONTROL!$C$32, $C$9, 100%, $E$9)</f>
        <v>5.2979000000000003</v>
      </c>
      <c r="N216" s="27">
        <f>5.2943 * CHOOSE(CONTROL!$C$32, $C$9, 100%, $E$9)</f>
        <v>5.2942999999999998</v>
      </c>
      <c r="O216" s="27">
        <f>5.2979 * CHOOSE(CONTROL!$C$32, $C$9, 100%, $E$9)</f>
        <v>5.2979000000000003</v>
      </c>
    </row>
    <row r="217" spans="1:15" ht="15" x14ac:dyDescent="0.2">
      <c r="A217" s="16">
        <v>47453</v>
      </c>
      <c r="B217" s="26">
        <f>4.152 * CHOOSE(CONTROL!$C$32, $C$9, 100%, $E$9)</f>
        <v>4.1520000000000001</v>
      </c>
      <c r="C217" s="26">
        <f>4.152 * CHOOSE(CONTROL!$C$32, $C$9, 100%, $E$9)</f>
        <v>4.1520000000000001</v>
      </c>
      <c r="D217" s="26">
        <f>4.153 * CHOOSE(CONTROL!$C$32, $C$9, 100%, $E$9)</f>
        <v>4.1529999999999996</v>
      </c>
      <c r="E217" s="27">
        <f>5.2943 * CHOOSE(CONTROL!$C$32, $C$9, 100%, $E$9)</f>
        <v>5.2942999999999998</v>
      </c>
      <c r="F217" s="27">
        <f>5.2943 * CHOOSE(CONTROL!$C$32, $C$9, 100%, $E$9)</f>
        <v>5.2942999999999998</v>
      </c>
      <c r="G217" s="27">
        <f>5.2979 * CHOOSE(CONTROL!$C$32, $C$9, 100%, $E$9)</f>
        <v>5.2979000000000003</v>
      </c>
      <c r="H217" s="27">
        <f>8.4601 * CHOOSE(CONTROL!$C$32, $C$9, 100%, $E$9)</f>
        <v>8.4601000000000006</v>
      </c>
      <c r="I217" s="27">
        <f>8.4637 * CHOOSE(CONTROL!$C$32, $C$9, 100%, $E$9)</f>
        <v>8.4636999999999993</v>
      </c>
      <c r="J217" s="27">
        <f>8.4601 * CHOOSE(CONTROL!$C$32, $C$9, 100%, $E$9)</f>
        <v>8.4601000000000006</v>
      </c>
      <c r="K217" s="27">
        <f>8.4637 * CHOOSE(CONTROL!$C$32, $C$9, 100%, $E$9)</f>
        <v>8.4636999999999993</v>
      </c>
      <c r="L217" s="27">
        <f>5.2943 * CHOOSE(CONTROL!$C$32, $C$9, 100%, $E$9)</f>
        <v>5.2942999999999998</v>
      </c>
      <c r="M217" s="27">
        <f>5.2979 * CHOOSE(CONTROL!$C$32, $C$9, 100%, $E$9)</f>
        <v>5.2979000000000003</v>
      </c>
      <c r="N217" s="27">
        <f>5.2943 * CHOOSE(CONTROL!$C$32, $C$9, 100%, $E$9)</f>
        <v>5.2942999999999998</v>
      </c>
      <c r="O217" s="27">
        <f>5.2979 * CHOOSE(CONTROL!$C$32, $C$9, 100%, $E$9)</f>
        <v>5.2979000000000003</v>
      </c>
    </row>
    <row r="218" spans="1:15" ht="15" x14ac:dyDescent="0.2">
      <c r="A218" s="16">
        <v>47484</v>
      </c>
      <c r="B218" s="26">
        <f>4.1883 * CHOOSE(CONTROL!$C$32, $C$9, 100%, $E$9)</f>
        <v>4.1882999999999999</v>
      </c>
      <c r="C218" s="26">
        <f>4.1883 * CHOOSE(CONTROL!$C$32, $C$9, 100%, $E$9)</f>
        <v>4.1882999999999999</v>
      </c>
      <c r="D218" s="26">
        <f>4.1893 * CHOOSE(CONTROL!$C$32, $C$9, 100%, $E$9)</f>
        <v>4.1893000000000002</v>
      </c>
      <c r="E218" s="27">
        <f>5.3388 * CHOOSE(CONTROL!$C$32, $C$9, 100%, $E$9)</f>
        <v>5.3388</v>
      </c>
      <c r="F218" s="27">
        <f>5.3388 * CHOOSE(CONTROL!$C$32, $C$9, 100%, $E$9)</f>
        <v>5.3388</v>
      </c>
      <c r="G218" s="27">
        <f>5.3424 * CHOOSE(CONTROL!$C$32, $C$9, 100%, $E$9)</f>
        <v>5.3423999999999996</v>
      </c>
      <c r="H218" s="27">
        <f>8.4777 * CHOOSE(CONTROL!$C$32, $C$9, 100%, $E$9)</f>
        <v>8.4777000000000005</v>
      </c>
      <c r="I218" s="27">
        <f>8.4813 * CHOOSE(CONTROL!$C$32, $C$9, 100%, $E$9)</f>
        <v>8.4812999999999992</v>
      </c>
      <c r="J218" s="27">
        <f>8.4777 * CHOOSE(CONTROL!$C$32, $C$9, 100%, $E$9)</f>
        <v>8.4777000000000005</v>
      </c>
      <c r="K218" s="27">
        <f>8.4813 * CHOOSE(CONTROL!$C$32, $C$9, 100%, $E$9)</f>
        <v>8.4812999999999992</v>
      </c>
      <c r="L218" s="27">
        <f>5.3388 * CHOOSE(CONTROL!$C$32, $C$9, 100%, $E$9)</f>
        <v>5.3388</v>
      </c>
      <c r="M218" s="27">
        <f>5.3424 * CHOOSE(CONTROL!$C$32, $C$9, 100%, $E$9)</f>
        <v>5.3423999999999996</v>
      </c>
      <c r="N218" s="27">
        <f>5.3388 * CHOOSE(CONTROL!$C$32, $C$9, 100%, $E$9)</f>
        <v>5.3388</v>
      </c>
      <c r="O218" s="27">
        <f>5.3424 * CHOOSE(CONTROL!$C$32, $C$9, 100%, $E$9)</f>
        <v>5.3423999999999996</v>
      </c>
    </row>
    <row r="219" spans="1:15" ht="15" x14ac:dyDescent="0.2">
      <c r="A219" s="16">
        <v>47515</v>
      </c>
      <c r="B219" s="26">
        <f>4.1852 * CHOOSE(CONTROL!$C$32, $C$9, 100%, $E$9)</f>
        <v>4.1852</v>
      </c>
      <c r="C219" s="26">
        <f>4.1852 * CHOOSE(CONTROL!$C$32, $C$9, 100%, $E$9)</f>
        <v>4.1852</v>
      </c>
      <c r="D219" s="26">
        <f>4.1863 * CHOOSE(CONTROL!$C$32, $C$9, 100%, $E$9)</f>
        <v>4.1863000000000001</v>
      </c>
      <c r="E219" s="27">
        <f>5.3368 * CHOOSE(CONTROL!$C$32, $C$9, 100%, $E$9)</f>
        <v>5.3368000000000002</v>
      </c>
      <c r="F219" s="27">
        <f>5.3368 * CHOOSE(CONTROL!$C$32, $C$9, 100%, $E$9)</f>
        <v>5.3368000000000002</v>
      </c>
      <c r="G219" s="27">
        <f>5.3404 * CHOOSE(CONTROL!$C$32, $C$9, 100%, $E$9)</f>
        <v>5.3403999999999998</v>
      </c>
      <c r="H219" s="27">
        <f>8.4954 * CHOOSE(CONTROL!$C$32, $C$9, 100%, $E$9)</f>
        <v>8.4954000000000001</v>
      </c>
      <c r="I219" s="27">
        <f>8.499 * CHOOSE(CONTROL!$C$32, $C$9, 100%, $E$9)</f>
        <v>8.4990000000000006</v>
      </c>
      <c r="J219" s="27">
        <f>8.4954 * CHOOSE(CONTROL!$C$32, $C$9, 100%, $E$9)</f>
        <v>8.4954000000000001</v>
      </c>
      <c r="K219" s="27">
        <f>8.499 * CHOOSE(CONTROL!$C$32, $C$9, 100%, $E$9)</f>
        <v>8.4990000000000006</v>
      </c>
      <c r="L219" s="27">
        <f>5.3368 * CHOOSE(CONTROL!$C$32, $C$9, 100%, $E$9)</f>
        <v>5.3368000000000002</v>
      </c>
      <c r="M219" s="27">
        <f>5.3404 * CHOOSE(CONTROL!$C$32, $C$9, 100%, $E$9)</f>
        <v>5.3403999999999998</v>
      </c>
      <c r="N219" s="27">
        <f>5.3368 * CHOOSE(CONTROL!$C$32, $C$9, 100%, $E$9)</f>
        <v>5.3368000000000002</v>
      </c>
      <c r="O219" s="27">
        <f>5.3404 * CHOOSE(CONTROL!$C$32, $C$9, 100%, $E$9)</f>
        <v>5.3403999999999998</v>
      </c>
    </row>
    <row r="220" spans="1:15" ht="15" x14ac:dyDescent="0.2">
      <c r="A220" s="16">
        <v>47543</v>
      </c>
      <c r="B220" s="26">
        <f>4.1822 * CHOOSE(CONTROL!$C$32, $C$9, 100%, $E$9)</f>
        <v>4.1821999999999999</v>
      </c>
      <c r="C220" s="26">
        <f>4.1822 * CHOOSE(CONTROL!$C$32, $C$9, 100%, $E$9)</f>
        <v>4.1821999999999999</v>
      </c>
      <c r="D220" s="26">
        <f>4.1833 * CHOOSE(CONTROL!$C$32, $C$9, 100%, $E$9)</f>
        <v>4.1833</v>
      </c>
      <c r="E220" s="27">
        <f>5.3348 * CHOOSE(CONTROL!$C$32, $C$9, 100%, $E$9)</f>
        <v>5.3348000000000004</v>
      </c>
      <c r="F220" s="27">
        <f>5.3348 * CHOOSE(CONTROL!$C$32, $C$9, 100%, $E$9)</f>
        <v>5.3348000000000004</v>
      </c>
      <c r="G220" s="27">
        <f>5.3384 * CHOOSE(CONTROL!$C$32, $C$9, 100%, $E$9)</f>
        <v>5.3384</v>
      </c>
      <c r="H220" s="27">
        <f>8.5131 * CHOOSE(CONTROL!$C$32, $C$9, 100%, $E$9)</f>
        <v>8.5130999999999997</v>
      </c>
      <c r="I220" s="27">
        <f>8.5167 * CHOOSE(CONTROL!$C$32, $C$9, 100%, $E$9)</f>
        <v>8.5167000000000002</v>
      </c>
      <c r="J220" s="27">
        <f>8.5131 * CHOOSE(CONTROL!$C$32, $C$9, 100%, $E$9)</f>
        <v>8.5130999999999997</v>
      </c>
      <c r="K220" s="27">
        <f>8.5167 * CHOOSE(CONTROL!$C$32, $C$9, 100%, $E$9)</f>
        <v>8.5167000000000002</v>
      </c>
      <c r="L220" s="27">
        <f>5.3348 * CHOOSE(CONTROL!$C$32, $C$9, 100%, $E$9)</f>
        <v>5.3348000000000004</v>
      </c>
      <c r="M220" s="27">
        <f>5.3384 * CHOOSE(CONTROL!$C$32, $C$9, 100%, $E$9)</f>
        <v>5.3384</v>
      </c>
      <c r="N220" s="27">
        <f>5.3348 * CHOOSE(CONTROL!$C$32, $C$9, 100%, $E$9)</f>
        <v>5.3348000000000004</v>
      </c>
      <c r="O220" s="27">
        <f>5.3384 * CHOOSE(CONTROL!$C$32, $C$9, 100%, $E$9)</f>
        <v>5.3384</v>
      </c>
    </row>
    <row r="221" spans="1:15" ht="15" x14ac:dyDescent="0.2">
      <c r="A221" s="16">
        <v>47574</v>
      </c>
      <c r="B221" s="26">
        <f>4.18 * CHOOSE(CONTROL!$C$32, $C$9, 100%, $E$9)</f>
        <v>4.18</v>
      </c>
      <c r="C221" s="26">
        <f>4.18 * CHOOSE(CONTROL!$C$32, $C$9, 100%, $E$9)</f>
        <v>4.18</v>
      </c>
      <c r="D221" s="26">
        <f>4.1811 * CHOOSE(CONTROL!$C$32, $C$9, 100%, $E$9)</f>
        <v>4.1810999999999998</v>
      </c>
      <c r="E221" s="27">
        <f>5.3328 * CHOOSE(CONTROL!$C$32, $C$9, 100%, $E$9)</f>
        <v>5.3327999999999998</v>
      </c>
      <c r="F221" s="27">
        <f>5.3328 * CHOOSE(CONTROL!$C$32, $C$9, 100%, $E$9)</f>
        <v>5.3327999999999998</v>
      </c>
      <c r="G221" s="27">
        <f>5.3364 * CHOOSE(CONTROL!$C$32, $C$9, 100%, $E$9)</f>
        <v>5.3364000000000003</v>
      </c>
      <c r="H221" s="27">
        <f>8.5308 * CHOOSE(CONTROL!$C$32, $C$9, 100%, $E$9)</f>
        <v>8.5307999999999993</v>
      </c>
      <c r="I221" s="27">
        <f>8.5344 * CHOOSE(CONTROL!$C$32, $C$9, 100%, $E$9)</f>
        <v>8.5343999999999998</v>
      </c>
      <c r="J221" s="27">
        <f>8.5308 * CHOOSE(CONTROL!$C$32, $C$9, 100%, $E$9)</f>
        <v>8.5307999999999993</v>
      </c>
      <c r="K221" s="27">
        <f>8.5344 * CHOOSE(CONTROL!$C$32, $C$9, 100%, $E$9)</f>
        <v>8.5343999999999998</v>
      </c>
      <c r="L221" s="27">
        <f>5.3328 * CHOOSE(CONTROL!$C$32, $C$9, 100%, $E$9)</f>
        <v>5.3327999999999998</v>
      </c>
      <c r="M221" s="27">
        <f>5.3364 * CHOOSE(CONTROL!$C$32, $C$9, 100%, $E$9)</f>
        <v>5.3364000000000003</v>
      </c>
      <c r="N221" s="27">
        <f>5.3328 * CHOOSE(CONTROL!$C$32, $C$9, 100%, $E$9)</f>
        <v>5.3327999999999998</v>
      </c>
      <c r="O221" s="27">
        <f>5.3364 * CHOOSE(CONTROL!$C$32, $C$9, 100%, $E$9)</f>
        <v>5.3364000000000003</v>
      </c>
    </row>
    <row r="222" spans="1:15" ht="15" x14ac:dyDescent="0.2">
      <c r="A222" s="16">
        <v>47604</v>
      </c>
      <c r="B222" s="26">
        <f>4.18 * CHOOSE(CONTROL!$C$32, $C$9, 100%, $E$9)</f>
        <v>4.18</v>
      </c>
      <c r="C222" s="26">
        <f>4.18 * CHOOSE(CONTROL!$C$32, $C$9, 100%, $E$9)</f>
        <v>4.18</v>
      </c>
      <c r="D222" s="26">
        <f>4.1816 * CHOOSE(CONTROL!$C$32, $C$9, 100%, $E$9)</f>
        <v>4.1816000000000004</v>
      </c>
      <c r="E222" s="27">
        <f>5.3328 * CHOOSE(CONTROL!$C$32, $C$9, 100%, $E$9)</f>
        <v>5.3327999999999998</v>
      </c>
      <c r="F222" s="27">
        <f>5.3328 * CHOOSE(CONTROL!$C$32, $C$9, 100%, $E$9)</f>
        <v>5.3327999999999998</v>
      </c>
      <c r="G222" s="27">
        <f>5.3381 * CHOOSE(CONTROL!$C$32, $C$9, 100%, $E$9)</f>
        <v>5.3380999999999998</v>
      </c>
      <c r="H222" s="27">
        <f>8.5486 * CHOOSE(CONTROL!$C$32, $C$9, 100%, $E$9)</f>
        <v>8.5486000000000004</v>
      </c>
      <c r="I222" s="27">
        <f>8.5539 * CHOOSE(CONTROL!$C$32, $C$9, 100%, $E$9)</f>
        <v>8.5539000000000005</v>
      </c>
      <c r="J222" s="27">
        <f>8.5486 * CHOOSE(CONTROL!$C$32, $C$9, 100%, $E$9)</f>
        <v>8.5486000000000004</v>
      </c>
      <c r="K222" s="27">
        <f>8.5539 * CHOOSE(CONTROL!$C$32, $C$9, 100%, $E$9)</f>
        <v>8.5539000000000005</v>
      </c>
      <c r="L222" s="27">
        <f>5.3328 * CHOOSE(CONTROL!$C$32, $C$9, 100%, $E$9)</f>
        <v>5.3327999999999998</v>
      </c>
      <c r="M222" s="27">
        <f>5.3381 * CHOOSE(CONTROL!$C$32, $C$9, 100%, $E$9)</f>
        <v>5.3380999999999998</v>
      </c>
      <c r="N222" s="27">
        <f>5.3328 * CHOOSE(CONTROL!$C$32, $C$9, 100%, $E$9)</f>
        <v>5.3327999999999998</v>
      </c>
      <c r="O222" s="27">
        <f>5.3381 * CHOOSE(CONTROL!$C$32, $C$9, 100%, $E$9)</f>
        <v>5.3380999999999998</v>
      </c>
    </row>
    <row r="223" spans="1:15" ht="15" x14ac:dyDescent="0.2">
      <c r="A223" s="16">
        <v>47635</v>
      </c>
      <c r="B223" s="26">
        <f>4.1861 * CHOOSE(CONTROL!$C$32, $C$9, 100%, $E$9)</f>
        <v>4.1860999999999997</v>
      </c>
      <c r="C223" s="26">
        <f>4.1861 * CHOOSE(CONTROL!$C$32, $C$9, 100%, $E$9)</f>
        <v>4.1860999999999997</v>
      </c>
      <c r="D223" s="26">
        <f>4.1877 * CHOOSE(CONTROL!$C$32, $C$9, 100%, $E$9)</f>
        <v>4.1877000000000004</v>
      </c>
      <c r="E223" s="27">
        <f>5.3368 * CHOOSE(CONTROL!$C$32, $C$9, 100%, $E$9)</f>
        <v>5.3368000000000002</v>
      </c>
      <c r="F223" s="27">
        <f>5.3368 * CHOOSE(CONTROL!$C$32, $C$9, 100%, $E$9)</f>
        <v>5.3368000000000002</v>
      </c>
      <c r="G223" s="27">
        <f>5.3421 * CHOOSE(CONTROL!$C$32, $C$9, 100%, $E$9)</f>
        <v>5.3421000000000003</v>
      </c>
      <c r="H223" s="27">
        <f>8.5664 * CHOOSE(CONTROL!$C$32, $C$9, 100%, $E$9)</f>
        <v>8.5663999999999998</v>
      </c>
      <c r="I223" s="27">
        <f>8.5717 * CHOOSE(CONTROL!$C$32, $C$9, 100%, $E$9)</f>
        <v>8.5716999999999999</v>
      </c>
      <c r="J223" s="27">
        <f>8.5664 * CHOOSE(CONTROL!$C$32, $C$9, 100%, $E$9)</f>
        <v>8.5663999999999998</v>
      </c>
      <c r="K223" s="27">
        <f>8.5717 * CHOOSE(CONTROL!$C$32, $C$9, 100%, $E$9)</f>
        <v>8.5716999999999999</v>
      </c>
      <c r="L223" s="27">
        <f>5.3368 * CHOOSE(CONTROL!$C$32, $C$9, 100%, $E$9)</f>
        <v>5.3368000000000002</v>
      </c>
      <c r="M223" s="27">
        <f>5.3421 * CHOOSE(CONTROL!$C$32, $C$9, 100%, $E$9)</f>
        <v>5.3421000000000003</v>
      </c>
      <c r="N223" s="27">
        <f>5.3368 * CHOOSE(CONTROL!$C$32, $C$9, 100%, $E$9)</f>
        <v>5.3368000000000002</v>
      </c>
      <c r="O223" s="27">
        <f>5.3421 * CHOOSE(CONTROL!$C$32, $C$9, 100%, $E$9)</f>
        <v>5.3421000000000003</v>
      </c>
    </row>
    <row r="224" spans="1:15" ht="15" x14ac:dyDescent="0.2">
      <c r="A224" s="16">
        <v>47665</v>
      </c>
      <c r="B224" s="26">
        <f>4.2533 * CHOOSE(CONTROL!$C$32, $C$9, 100%, $E$9)</f>
        <v>4.2533000000000003</v>
      </c>
      <c r="C224" s="26">
        <f>4.2533 * CHOOSE(CONTROL!$C$32, $C$9, 100%, $E$9)</f>
        <v>4.2533000000000003</v>
      </c>
      <c r="D224" s="26">
        <f>4.2549 * CHOOSE(CONTROL!$C$32, $C$9, 100%, $E$9)</f>
        <v>4.2549000000000001</v>
      </c>
      <c r="E224" s="27">
        <f>5.4347 * CHOOSE(CONTROL!$C$32, $C$9, 100%, $E$9)</f>
        <v>5.4347000000000003</v>
      </c>
      <c r="F224" s="27">
        <f>5.4347 * CHOOSE(CONTROL!$C$32, $C$9, 100%, $E$9)</f>
        <v>5.4347000000000003</v>
      </c>
      <c r="G224" s="27">
        <f>5.44 * CHOOSE(CONTROL!$C$32, $C$9, 100%, $E$9)</f>
        <v>5.44</v>
      </c>
      <c r="H224" s="27">
        <f>8.5842 * CHOOSE(CONTROL!$C$32, $C$9, 100%, $E$9)</f>
        <v>8.5841999999999992</v>
      </c>
      <c r="I224" s="27">
        <f>8.5895 * CHOOSE(CONTROL!$C$32, $C$9, 100%, $E$9)</f>
        <v>8.5894999999999992</v>
      </c>
      <c r="J224" s="27">
        <f>8.5842 * CHOOSE(CONTROL!$C$32, $C$9, 100%, $E$9)</f>
        <v>8.5841999999999992</v>
      </c>
      <c r="K224" s="27">
        <f>8.5895 * CHOOSE(CONTROL!$C$32, $C$9, 100%, $E$9)</f>
        <v>8.5894999999999992</v>
      </c>
      <c r="L224" s="27">
        <f>5.4347 * CHOOSE(CONTROL!$C$32, $C$9, 100%, $E$9)</f>
        <v>5.4347000000000003</v>
      </c>
      <c r="M224" s="27">
        <f>5.44 * CHOOSE(CONTROL!$C$32, $C$9, 100%, $E$9)</f>
        <v>5.44</v>
      </c>
      <c r="N224" s="27">
        <f>5.4347 * CHOOSE(CONTROL!$C$32, $C$9, 100%, $E$9)</f>
        <v>5.4347000000000003</v>
      </c>
      <c r="O224" s="27">
        <f>5.44 * CHOOSE(CONTROL!$C$32, $C$9, 100%, $E$9)</f>
        <v>5.44</v>
      </c>
    </row>
    <row r="225" spans="1:15" ht="15" x14ac:dyDescent="0.2">
      <c r="A225" s="16">
        <v>47696</v>
      </c>
      <c r="B225" s="26">
        <f>4.26 * CHOOSE(CONTROL!$C$32, $C$9, 100%, $E$9)</f>
        <v>4.26</v>
      </c>
      <c r="C225" s="26">
        <f>4.26 * CHOOSE(CONTROL!$C$32, $C$9, 100%, $E$9)</f>
        <v>4.26</v>
      </c>
      <c r="D225" s="26">
        <f>4.2616 * CHOOSE(CONTROL!$C$32, $C$9, 100%, $E$9)</f>
        <v>4.2615999999999996</v>
      </c>
      <c r="E225" s="27">
        <f>5.4391 * CHOOSE(CONTROL!$C$32, $C$9, 100%, $E$9)</f>
        <v>5.4390999999999998</v>
      </c>
      <c r="F225" s="27">
        <f>5.4391 * CHOOSE(CONTROL!$C$32, $C$9, 100%, $E$9)</f>
        <v>5.4390999999999998</v>
      </c>
      <c r="G225" s="27">
        <f>5.4444 * CHOOSE(CONTROL!$C$32, $C$9, 100%, $E$9)</f>
        <v>5.4443999999999999</v>
      </c>
      <c r="H225" s="27">
        <f>8.6021 * CHOOSE(CONTROL!$C$32, $C$9, 100%, $E$9)</f>
        <v>8.6021000000000001</v>
      </c>
      <c r="I225" s="27">
        <f>8.6074 * CHOOSE(CONTROL!$C$32, $C$9, 100%, $E$9)</f>
        <v>8.6074000000000002</v>
      </c>
      <c r="J225" s="27">
        <f>8.6021 * CHOOSE(CONTROL!$C$32, $C$9, 100%, $E$9)</f>
        <v>8.6021000000000001</v>
      </c>
      <c r="K225" s="27">
        <f>8.6074 * CHOOSE(CONTROL!$C$32, $C$9, 100%, $E$9)</f>
        <v>8.6074000000000002</v>
      </c>
      <c r="L225" s="27">
        <f>5.4391 * CHOOSE(CONTROL!$C$32, $C$9, 100%, $E$9)</f>
        <v>5.4390999999999998</v>
      </c>
      <c r="M225" s="27">
        <f>5.4444 * CHOOSE(CONTROL!$C$32, $C$9, 100%, $E$9)</f>
        <v>5.4443999999999999</v>
      </c>
      <c r="N225" s="27">
        <f>5.4391 * CHOOSE(CONTROL!$C$32, $C$9, 100%, $E$9)</f>
        <v>5.4390999999999998</v>
      </c>
      <c r="O225" s="27">
        <f>5.4444 * CHOOSE(CONTROL!$C$32, $C$9, 100%, $E$9)</f>
        <v>5.4443999999999999</v>
      </c>
    </row>
    <row r="226" spans="1:15" ht="15" x14ac:dyDescent="0.2">
      <c r="A226" s="16">
        <v>47727</v>
      </c>
      <c r="B226" s="26">
        <f>4.2569 * CHOOSE(CONTROL!$C$32, $C$9, 100%, $E$9)</f>
        <v>4.2568999999999999</v>
      </c>
      <c r="C226" s="26">
        <f>4.2569 * CHOOSE(CONTROL!$C$32, $C$9, 100%, $E$9)</f>
        <v>4.2568999999999999</v>
      </c>
      <c r="D226" s="26">
        <f>4.2585 * CHOOSE(CONTROL!$C$32, $C$9, 100%, $E$9)</f>
        <v>4.2584999999999997</v>
      </c>
      <c r="E226" s="27">
        <f>5.4371 * CHOOSE(CONTROL!$C$32, $C$9, 100%, $E$9)</f>
        <v>5.4371</v>
      </c>
      <c r="F226" s="27">
        <f>5.4371 * CHOOSE(CONTROL!$C$32, $C$9, 100%, $E$9)</f>
        <v>5.4371</v>
      </c>
      <c r="G226" s="27">
        <f>5.4424 * CHOOSE(CONTROL!$C$32, $C$9, 100%, $E$9)</f>
        <v>5.4424000000000001</v>
      </c>
      <c r="H226" s="27">
        <f>8.62 * CHOOSE(CONTROL!$C$32, $C$9, 100%, $E$9)</f>
        <v>8.6199999999999992</v>
      </c>
      <c r="I226" s="27">
        <f>8.6253 * CHOOSE(CONTROL!$C$32, $C$9, 100%, $E$9)</f>
        <v>8.6252999999999993</v>
      </c>
      <c r="J226" s="27">
        <f>8.62 * CHOOSE(CONTROL!$C$32, $C$9, 100%, $E$9)</f>
        <v>8.6199999999999992</v>
      </c>
      <c r="K226" s="27">
        <f>8.6253 * CHOOSE(CONTROL!$C$32, $C$9, 100%, $E$9)</f>
        <v>8.6252999999999993</v>
      </c>
      <c r="L226" s="27">
        <f>5.4371 * CHOOSE(CONTROL!$C$32, $C$9, 100%, $E$9)</f>
        <v>5.4371</v>
      </c>
      <c r="M226" s="27">
        <f>5.4424 * CHOOSE(CONTROL!$C$32, $C$9, 100%, $E$9)</f>
        <v>5.4424000000000001</v>
      </c>
      <c r="N226" s="27">
        <f>5.4371 * CHOOSE(CONTROL!$C$32, $C$9, 100%, $E$9)</f>
        <v>5.4371</v>
      </c>
      <c r="O226" s="27">
        <f>5.4424 * CHOOSE(CONTROL!$C$32, $C$9, 100%, $E$9)</f>
        <v>5.4424000000000001</v>
      </c>
    </row>
    <row r="227" spans="1:15" ht="15" x14ac:dyDescent="0.2">
      <c r="A227" s="16">
        <v>47757</v>
      </c>
      <c r="B227" s="26">
        <f>4.253 * CHOOSE(CONTROL!$C$32, $C$9, 100%, $E$9)</f>
        <v>4.2530000000000001</v>
      </c>
      <c r="C227" s="26">
        <f>4.253 * CHOOSE(CONTROL!$C$32, $C$9, 100%, $E$9)</f>
        <v>4.2530000000000001</v>
      </c>
      <c r="D227" s="26">
        <f>4.254 * CHOOSE(CONTROL!$C$32, $C$9, 100%, $E$9)</f>
        <v>4.2539999999999996</v>
      </c>
      <c r="E227" s="27">
        <f>5.4323 * CHOOSE(CONTROL!$C$32, $C$9, 100%, $E$9)</f>
        <v>5.4322999999999997</v>
      </c>
      <c r="F227" s="27">
        <f>5.4323 * CHOOSE(CONTROL!$C$32, $C$9, 100%, $E$9)</f>
        <v>5.4322999999999997</v>
      </c>
      <c r="G227" s="27">
        <f>5.436 * CHOOSE(CONTROL!$C$32, $C$9, 100%, $E$9)</f>
        <v>5.4359999999999999</v>
      </c>
      <c r="H227" s="27">
        <f>8.638 * CHOOSE(CONTROL!$C$32, $C$9, 100%, $E$9)</f>
        <v>8.6379999999999999</v>
      </c>
      <c r="I227" s="27">
        <f>8.6416 * CHOOSE(CONTROL!$C$32, $C$9, 100%, $E$9)</f>
        <v>8.6416000000000004</v>
      </c>
      <c r="J227" s="27">
        <f>8.638 * CHOOSE(CONTROL!$C$32, $C$9, 100%, $E$9)</f>
        <v>8.6379999999999999</v>
      </c>
      <c r="K227" s="27">
        <f>8.6416 * CHOOSE(CONTROL!$C$32, $C$9, 100%, $E$9)</f>
        <v>8.6416000000000004</v>
      </c>
      <c r="L227" s="27">
        <f>5.4323 * CHOOSE(CONTROL!$C$32, $C$9, 100%, $E$9)</f>
        <v>5.4322999999999997</v>
      </c>
      <c r="M227" s="27">
        <f>5.436 * CHOOSE(CONTROL!$C$32, $C$9, 100%, $E$9)</f>
        <v>5.4359999999999999</v>
      </c>
      <c r="N227" s="27">
        <f>5.4323 * CHOOSE(CONTROL!$C$32, $C$9, 100%, $E$9)</f>
        <v>5.4322999999999997</v>
      </c>
      <c r="O227" s="27">
        <f>5.436 * CHOOSE(CONTROL!$C$32, $C$9, 100%, $E$9)</f>
        <v>5.4359999999999999</v>
      </c>
    </row>
    <row r="228" spans="1:15" ht="15" x14ac:dyDescent="0.2">
      <c r="A228" s="16">
        <v>47788</v>
      </c>
      <c r="B228" s="26">
        <f>4.256 * CHOOSE(CONTROL!$C$32, $C$9, 100%, $E$9)</f>
        <v>4.2560000000000002</v>
      </c>
      <c r="C228" s="26">
        <f>4.256 * CHOOSE(CONTROL!$C$32, $C$9, 100%, $E$9)</f>
        <v>4.2560000000000002</v>
      </c>
      <c r="D228" s="26">
        <f>4.2571 * CHOOSE(CONTROL!$C$32, $C$9, 100%, $E$9)</f>
        <v>4.2571000000000003</v>
      </c>
      <c r="E228" s="27">
        <f>5.4343 * CHOOSE(CONTROL!$C$32, $C$9, 100%, $E$9)</f>
        <v>5.4343000000000004</v>
      </c>
      <c r="F228" s="27">
        <f>5.4343 * CHOOSE(CONTROL!$C$32, $C$9, 100%, $E$9)</f>
        <v>5.4343000000000004</v>
      </c>
      <c r="G228" s="27">
        <f>5.438 * CHOOSE(CONTROL!$C$32, $C$9, 100%, $E$9)</f>
        <v>5.4379999999999997</v>
      </c>
      <c r="H228" s="27">
        <f>8.656 * CHOOSE(CONTROL!$C$32, $C$9, 100%, $E$9)</f>
        <v>8.6560000000000006</v>
      </c>
      <c r="I228" s="27">
        <f>8.6596 * CHOOSE(CONTROL!$C$32, $C$9, 100%, $E$9)</f>
        <v>8.6595999999999993</v>
      </c>
      <c r="J228" s="27">
        <f>8.656 * CHOOSE(CONTROL!$C$32, $C$9, 100%, $E$9)</f>
        <v>8.6560000000000006</v>
      </c>
      <c r="K228" s="27">
        <f>8.6596 * CHOOSE(CONTROL!$C$32, $C$9, 100%, $E$9)</f>
        <v>8.6595999999999993</v>
      </c>
      <c r="L228" s="27">
        <f>5.4343 * CHOOSE(CONTROL!$C$32, $C$9, 100%, $E$9)</f>
        <v>5.4343000000000004</v>
      </c>
      <c r="M228" s="27">
        <f>5.438 * CHOOSE(CONTROL!$C$32, $C$9, 100%, $E$9)</f>
        <v>5.4379999999999997</v>
      </c>
      <c r="N228" s="27">
        <f>5.4343 * CHOOSE(CONTROL!$C$32, $C$9, 100%, $E$9)</f>
        <v>5.4343000000000004</v>
      </c>
      <c r="O228" s="27">
        <f>5.438 * CHOOSE(CONTROL!$C$32, $C$9, 100%, $E$9)</f>
        <v>5.4379999999999997</v>
      </c>
    </row>
    <row r="229" spans="1:15" ht="15" x14ac:dyDescent="0.2">
      <c r="A229" s="16">
        <v>47818</v>
      </c>
      <c r="B229" s="26">
        <f>4.256 * CHOOSE(CONTROL!$C$32, $C$9, 100%, $E$9)</f>
        <v>4.2560000000000002</v>
      </c>
      <c r="C229" s="26">
        <f>4.256 * CHOOSE(CONTROL!$C$32, $C$9, 100%, $E$9)</f>
        <v>4.2560000000000002</v>
      </c>
      <c r="D229" s="26">
        <f>4.2571 * CHOOSE(CONTROL!$C$32, $C$9, 100%, $E$9)</f>
        <v>4.2571000000000003</v>
      </c>
      <c r="E229" s="27">
        <f>5.4343 * CHOOSE(CONTROL!$C$32, $C$9, 100%, $E$9)</f>
        <v>5.4343000000000004</v>
      </c>
      <c r="F229" s="27">
        <f>5.4343 * CHOOSE(CONTROL!$C$32, $C$9, 100%, $E$9)</f>
        <v>5.4343000000000004</v>
      </c>
      <c r="G229" s="27">
        <f>5.438 * CHOOSE(CONTROL!$C$32, $C$9, 100%, $E$9)</f>
        <v>5.4379999999999997</v>
      </c>
      <c r="H229" s="27">
        <f>8.674 * CHOOSE(CONTROL!$C$32, $C$9, 100%, $E$9)</f>
        <v>8.6739999999999995</v>
      </c>
      <c r="I229" s="27">
        <f>8.6776 * CHOOSE(CONTROL!$C$32, $C$9, 100%, $E$9)</f>
        <v>8.6776</v>
      </c>
      <c r="J229" s="27">
        <f>8.674 * CHOOSE(CONTROL!$C$32, $C$9, 100%, $E$9)</f>
        <v>8.6739999999999995</v>
      </c>
      <c r="K229" s="27">
        <f>8.6776 * CHOOSE(CONTROL!$C$32, $C$9, 100%, $E$9)</f>
        <v>8.6776</v>
      </c>
      <c r="L229" s="27">
        <f>5.4343 * CHOOSE(CONTROL!$C$32, $C$9, 100%, $E$9)</f>
        <v>5.4343000000000004</v>
      </c>
      <c r="M229" s="27">
        <f>5.438 * CHOOSE(CONTROL!$C$32, $C$9, 100%, $E$9)</f>
        <v>5.4379999999999997</v>
      </c>
      <c r="N229" s="27">
        <f>5.4343 * CHOOSE(CONTROL!$C$32, $C$9, 100%, $E$9)</f>
        <v>5.4343000000000004</v>
      </c>
      <c r="O229" s="27">
        <f>5.438 * CHOOSE(CONTROL!$C$32, $C$9, 100%, $E$9)</f>
        <v>5.4379999999999997</v>
      </c>
    </row>
    <row r="230" spans="1:15" ht="15" x14ac:dyDescent="0.2">
      <c r="A230" s="16">
        <v>47849</v>
      </c>
      <c r="B230" s="26">
        <f>4.2906 * CHOOSE(CONTROL!$C$32, $C$9, 100%, $E$9)</f>
        <v>4.2906000000000004</v>
      </c>
      <c r="C230" s="26">
        <f>4.2906 * CHOOSE(CONTROL!$C$32, $C$9, 100%, $E$9)</f>
        <v>4.2906000000000004</v>
      </c>
      <c r="D230" s="26">
        <f>4.2916 * CHOOSE(CONTROL!$C$32, $C$9, 100%, $E$9)</f>
        <v>4.2915999999999999</v>
      </c>
      <c r="E230" s="27">
        <f>5.4769 * CHOOSE(CONTROL!$C$32, $C$9, 100%, $E$9)</f>
        <v>5.4768999999999997</v>
      </c>
      <c r="F230" s="27">
        <f>5.4769 * CHOOSE(CONTROL!$C$32, $C$9, 100%, $E$9)</f>
        <v>5.4768999999999997</v>
      </c>
      <c r="G230" s="27">
        <f>5.4806 * CHOOSE(CONTROL!$C$32, $C$9, 100%, $E$9)</f>
        <v>5.4805999999999999</v>
      </c>
      <c r="H230" s="27">
        <f>8.6921 * CHOOSE(CONTROL!$C$32, $C$9, 100%, $E$9)</f>
        <v>8.6920999999999999</v>
      </c>
      <c r="I230" s="27">
        <f>8.6957 * CHOOSE(CONTROL!$C$32, $C$9, 100%, $E$9)</f>
        <v>8.6957000000000004</v>
      </c>
      <c r="J230" s="27">
        <f>8.6921 * CHOOSE(CONTROL!$C$32, $C$9, 100%, $E$9)</f>
        <v>8.6920999999999999</v>
      </c>
      <c r="K230" s="27">
        <f>8.6957 * CHOOSE(CONTROL!$C$32, $C$9, 100%, $E$9)</f>
        <v>8.6957000000000004</v>
      </c>
      <c r="L230" s="27">
        <f>5.4769 * CHOOSE(CONTROL!$C$32, $C$9, 100%, $E$9)</f>
        <v>5.4768999999999997</v>
      </c>
      <c r="M230" s="27">
        <f>5.4806 * CHOOSE(CONTROL!$C$32, $C$9, 100%, $E$9)</f>
        <v>5.4805999999999999</v>
      </c>
      <c r="N230" s="27">
        <f>5.4769 * CHOOSE(CONTROL!$C$32, $C$9, 100%, $E$9)</f>
        <v>5.4768999999999997</v>
      </c>
      <c r="O230" s="27">
        <f>5.4806 * CHOOSE(CONTROL!$C$32, $C$9, 100%, $E$9)</f>
        <v>5.4805999999999999</v>
      </c>
    </row>
    <row r="231" spans="1:15" ht="15" x14ac:dyDescent="0.2">
      <c r="A231" s="16">
        <v>47880</v>
      </c>
      <c r="B231" s="26">
        <f>4.2875 * CHOOSE(CONTROL!$C$32, $C$9, 100%, $E$9)</f>
        <v>4.2874999999999996</v>
      </c>
      <c r="C231" s="26">
        <f>4.2875 * CHOOSE(CONTROL!$C$32, $C$9, 100%, $E$9)</f>
        <v>4.2874999999999996</v>
      </c>
      <c r="D231" s="26">
        <f>4.2886 * CHOOSE(CONTROL!$C$32, $C$9, 100%, $E$9)</f>
        <v>4.2885999999999997</v>
      </c>
      <c r="E231" s="27">
        <f>5.4749 * CHOOSE(CONTROL!$C$32, $C$9, 100%, $E$9)</f>
        <v>5.4748999999999999</v>
      </c>
      <c r="F231" s="27">
        <f>5.4749 * CHOOSE(CONTROL!$C$32, $C$9, 100%, $E$9)</f>
        <v>5.4748999999999999</v>
      </c>
      <c r="G231" s="27">
        <f>5.4786 * CHOOSE(CONTROL!$C$32, $C$9, 100%, $E$9)</f>
        <v>5.4786000000000001</v>
      </c>
      <c r="H231" s="27">
        <f>8.7102 * CHOOSE(CONTROL!$C$32, $C$9, 100%, $E$9)</f>
        <v>8.7102000000000004</v>
      </c>
      <c r="I231" s="27">
        <f>8.7138 * CHOOSE(CONTROL!$C$32, $C$9, 100%, $E$9)</f>
        <v>8.7138000000000009</v>
      </c>
      <c r="J231" s="27">
        <f>8.7102 * CHOOSE(CONTROL!$C$32, $C$9, 100%, $E$9)</f>
        <v>8.7102000000000004</v>
      </c>
      <c r="K231" s="27">
        <f>8.7138 * CHOOSE(CONTROL!$C$32, $C$9, 100%, $E$9)</f>
        <v>8.7138000000000009</v>
      </c>
      <c r="L231" s="27">
        <f>5.4749 * CHOOSE(CONTROL!$C$32, $C$9, 100%, $E$9)</f>
        <v>5.4748999999999999</v>
      </c>
      <c r="M231" s="27">
        <f>5.4786 * CHOOSE(CONTROL!$C$32, $C$9, 100%, $E$9)</f>
        <v>5.4786000000000001</v>
      </c>
      <c r="N231" s="27">
        <f>5.4749 * CHOOSE(CONTROL!$C$32, $C$9, 100%, $E$9)</f>
        <v>5.4748999999999999</v>
      </c>
      <c r="O231" s="27">
        <f>5.4786 * CHOOSE(CONTROL!$C$32, $C$9, 100%, $E$9)</f>
        <v>5.4786000000000001</v>
      </c>
    </row>
    <row r="232" spans="1:15" ht="15" x14ac:dyDescent="0.2">
      <c r="A232" s="16">
        <v>47908</v>
      </c>
      <c r="B232" s="26">
        <f>4.2845 * CHOOSE(CONTROL!$C$32, $C$9, 100%, $E$9)</f>
        <v>4.2845000000000004</v>
      </c>
      <c r="C232" s="26">
        <f>4.2845 * CHOOSE(CONTROL!$C$32, $C$9, 100%, $E$9)</f>
        <v>4.2845000000000004</v>
      </c>
      <c r="D232" s="26">
        <f>4.2856 * CHOOSE(CONTROL!$C$32, $C$9, 100%, $E$9)</f>
        <v>4.2855999999999996</v>
      </c>
      <c r="E232" s="27">
        <f>5.4729 * CHOOSE(CONTROL!$C$32, $C$9, 100%, $E$9)</f>
        <v>5.4729000000000001</v>
      </c>
      <c r="F232" s="27">
        <f>5.4729 * CHOOSE(CONTROL!$C$32, $C$9, 100%, $E$9)</f>
        <v>5.4729000000000001</v>
      </c>
      <c r="G232" s="27">
        <f>5.4766 * CHOOSE(CONTROL!$C$32, $C$9, 100%, $E$9)</f>
        <v>5.4766000000000004</v>
      </c>
      <c r="H232" s="27">
        <f>8.7283 * CHOOSE(CONTROL!$C$32, $C$9, 100%, $E$9)</f>
        <v>8.7283000000000008</v>
      </c>
      <c r="I232" s="27">
        <f>8.7319 * CHOOSE(CONTROL!$C$32, $C$9, 100%, $E$9)</f>
        <v>8.7318999999999996</v>
      </c>
      <c r="J232" s="27">
        <f>8.7283 * CHOOSE(CONTROL!$C$32, $C$9, 100%, $E$9)</f>
        <v>8.7283000000000008</v>
      </c>
      <c r="K232" s="27">
        <f>8.7319 * CHOOSE(CONTROL!$C$32, $C$9, 100%, $E$9)</f>
        <v>8.7318999999999996</v>
      </c>
      <c r="L232" s="27">
        <f>5.4729 * CHOOSE(CONTROL!$C$32, $C$9, 100%, $E$9)</f>
        <v>5.4729000000000001</v>
      </c>
      <c r="M232" s="27">
        <f>5.4766 * CHOOSE(CONTROL!$C$32, $C$9, 100%, $E$9)</f>
        <v>5.4766000000000004</v>
      </c>
      <c r="N232" s="27">
        <f>5.4729 * CHOOSE(CONTROL!$C$32, $C$9, 100%, $E$9)</f>
        <v>5.4729000000000001</v>
      </c>
      <c r="O232" s="27">
        <f>5.4766 * CHOOSE(CONTROL!$C$32, $C$9, 100%, $E$9)</f>
        <v>5.4766000000000004</v>
      </c>
    </row>
    <row r="233" spans="1:15" ht="15" x14ac:dyDescent="0.2">
      <c r="A233" s="16">
        <v>47939</v>
      </c>
      <c r="B233" s="26">
        <f>4.2824 * CHOOSE(CONTROL!$C$32, $C$9, 100%, $E$9)</f>
        <v>4.2824</v>
      </c>
      <c r="C233" s="26">
        <f>4.2824 * CHOOSE(CONTROL!$C$32, $C$9, 100%, $E$9)</f>
        <v>4.2824</v>
      </c>
      <c r="D233" s="26">
        <f>4.2835 * CHOOSE(CONTROL!$C$32, $C$9, 100%, $E$9)</f>
        <v>4.2835000000000001</v>
      </c>
      <c r="E233" s="27">
        <f>5.471 * CHOOSE(CONTROL!$C$32, $C$9, 100%, $E$9)</f>
        <v>5.4710000000000001</v>
      </c>
      <c r="F233" s="27">
        <f>5.471 * CHOOSE(CONTROL!$C$32, $C$9, 100%, $E$9)</f>
        <v>5.4710000000000001</v>
      </c>
      <c r="G233" s="27">
        <f>5.4746 * CHOOSE(CONTROL!$C$32, $C$9, 100%, $E$9)</f>
        <v>5.4745999999999997</v>
      </c>
      <c r="H233" s="27">
        <f>8.7465 * CHOOSE(CONTROL!$C$32, $C$9, 100%, $E$9)</f>
        <v>8.7464999999999993</v>
      </c>
      <c r="I233" s="27">
        <f>8.7501 * CHOOSE(CONTROL!$C$32, $C$9, 100%, $E$9)</f>
        <v>8.7500999999999998</v>
      </c>
      <c r="J233" s="27">
        <f>8.7465 * CHOOSE(CONTROL!$C$32, $C$9, 100%, $E$9)</f>
        <v>8.7464999999999993</v>
      </c>
      <c r="K233" s="27">
        <f>8.7501 * CHOOSE(CONTROL!$C$32, $C$9, 100%, $E$9)</f>
        <v>8.7500999999999998</v>
      </c>
      <c r="L233" s="27">
        <f>5.471 * CHOOSE(CONTROL!$C$32, $C$9, 100%, $E$9)</f>
        <v>5.4710000000000001</v>
      </c>
      <c r="M233" s="27">
        <f>5.4746 * CHOOSE(CONTROL!$C$32, $C$9, 100%, $E$9)</f>
        <v>5.4745999999999997</v>
      </c>
      <c r="N233" s="27">
        <f>5.471 * CHOOSE(CONTROL!$C$32, $C$9, 100%, $E$9)</f>
        <v>5.4710000000000001</v>
      </c>
      <c r="O233" s="27">
        <f>5.4746 * CHOOSE(CONTROL!$C$32, $C$9, 100%, $E$9)</f>
        <v>5.4745999999999997</v>
      </c>
    </row>
    <row r="234" spans="1:15" ht="15" x14ac:dyDescent="0.2">
      <c r="A234" s="16">
        <v>47969</v>
      </c>
      <c r="B234" s="26">
        <f>4.2824 * CHOOSE(CONTROL!$C$32, $C$9, 100%, $E$9)</f>
        <v>4.2824</v>
      </c>
      <c r="C234" s="26">
        <f>4.2824 * CHOOSE(CONTROL!$C$32, $C$9, 100%, $E$9)</f>
        <v>4.2824</v>
      </c>
      <c r="D234" s="26">
        <f>4.284 * CHOOSE(CONTROL!$C$32, $C$9, 100%, $E$9)</f>
        <v>4.2839999999999998</v>
      </c>
      <c r="E234" s="27">
        <f>5.471 * CHOOSE(CONTROL!$C$32, $C$9, 100%, $E$9)</f>
        <v>5.4710000000000001</v>
      </c>
      <c r="F234" s="27">
        <f>5.471 * CHOOSE(CONTROL!$C$32, $C$9, 100%, $E$9)</f>
        <v>5.4710000000000001</v>
      </c>
      <c r="G234" s="27">
        <f>5.4763 * CHOOSE(CONTROL!$C$32, $C$9, 100%, $E$9)</f>
        <v>5.4763000000000002</v>
      </c>
      <c r="H234" s="27">
        <f>8.7647 * CHOOSE(CONTROL!$C$32, $C$9, 100%, $E$9)</f>
        <v>8.7646999999999995</v>
      </c>
      <c r="I234" s="27">
        <f>8.77 * CHOOSE(CONTROL!$C$32, $C$9, 100%, $E$9)</f>
        <v>8.77</v>
      </c>
      <c r="J234" s="27">
        <f>8.7647 * CHOOSE(CONTROL!$C$32, $C$9, 100%, $E$9)</f>
        <v>8.7646999999999995</v>
      </c>
      <c r="K234" s="27">
        <f>8.77 * CHOOSE(CONTROL!$C$32, $C$9, 100%, $E$9)</f>
        <v>8.77</v>
      </c>
      <c r="L234" s="27">
        <f>5.471 * CHOOSE(CONTROL!$C$32, $C$9, 100%, $E$9)</f>
        <v>5.4710000000000001</v>
      </c>
      <c r="M234" s="27">
        <f>5.4763 * CHOOSE(CONTROL!$C$32, $C$9, 100%, $E$9)</f>
        <v>5.4763000000000002</v>
      </c>
      <c r="N234" s="27">
        <f>5.471 * CHOOSE(CONTROL!$C$32, $C$9, 100%, $E$9)</f>
        <v>5.4710000000000001</v>
      </c>
      <c r="O234" s="27">
        <f>5.4763 * CHOOSE(CONTROL!$C$32, $C$9, 100%, $E$9)</f>
        <v>5.4763000000000002</v>
      </c>
    </row>
    <row r="235" spans="1:15" ht="15" x14ac:dyDescent="0.2">
      <c r="A235" s="16">
        <v>48000</v>
      </c>
      <c r="B235" s="26">
        <f>4.2885 * CHOOSE(CONTROL!$C$32, $C$9, 100%, $E$9)</f>
        <v>4.2885</v>
      </c>
      <c r="C235" s="26">
        <f>4.2885 * CHOOSE(CONTROL!$C$32, $C$9, 100%, $E$9)</f>
        <v>4.2885</v>
      </c>
      <c r="D235" s="26">
        <f>4.2901 * CHOOSE(CONTROL!$C$32, $C$9, 100%, $E$9)</f>
        <v>4.2900999999999998</v>
      </c>
      <c r="E235" s="27">
        <f>5.475 * CHOOSE(CONTROL!$C$32, $C$9, 100%, $E$9)</f>
        <v>5.4749999999999996</v>
      </c>
      <c r="F235" s="27">
        <f>5.475 * CHOOSE(CONTROL!$C$32, $C$9, 100%, $E$9)</f>
        <v>5.4749999999999996</v>
      </c>
      <c r="G235" s="27">
        <f>5.4803 * CHOOSE(CONTROL!$C$32, $C$9, 100%, $E$9)</f>
        <v>5.4802999999999997</v>
      </c>
      <c r="H235" s="27">
        <f>8.783 * CHOOSE(CONTROL!$C$32, $C$9, 100%, $E$9)</f>
        <v>8.7829999999999995</v>
      </c>
      <c r="I235" s="27">
        <f>8.7883 * CHOOSE(CONTROL!$C$32, $C$9, 100%, $E$9)</f>
        <v>8.7882999999999996</v>
      </c>
      <c r="J235" s="27">
        <f>8.783 * CHOOSE(CONTROL!$C$32, $C$9, 100%, $E$9)</f>
        <v>8.7829999999999995</v>
      </c>
      <c r="K235" s="27">
        <f>8.7883 * CHOOSE(CONTROL!$C$32, $C$9, 100%, $E$9)</f>
        <v>8.7882999999999996</v>
      </c>
      <c r="L235" s="27">
        <f>5.475 * CHOOSE(CONTROL!$C$32, $C$9, 100%, $E$9)</f>
        <v>5.4749999999999996</v>
      </c>
      <c r="M235" s="27">
        <f>5.4803 * CHOOSE(CONTROL!$C$32, $C$9, 100%, $E$9)</f>
        <v>5.4802999999999997</v>
      </c>
      <c r="N235" s="27">
        <f>5.475 * CHOOSE(CONTROL!$C$32, $C$9, 100%, $E$9)</f>
        <v>5.4749999999999996</v>
      </c>
      <c r="O235" s="27">
        <f>5.4803 * CHOOSE(CONTROL!$C$32, $C$9, 100%, $E$9)</f>
        <v>5.4802999999999997</v>
      </c>
    </row>
    <row r="236" spans="1:15" ht="15" x14ac:dyDescent="0.2">
      <c r="A236" s="16">
        <v>48030</v>
      </c>
      <c r="B236" s="26">
        <f>4.3512 * CHOOSE(CONTROL!$C$32, $C$9, 100%, $E$9)</f>
        <v>4.3512000000000004</v>
      </c>
      <c r="C236" s="26">
        <f>4.3512 * CHOOSE(CONTROL!$C$32, $C$9, 100%, $E$9)</f>
        <v>4.3512000000000004</v>
      </c>
      <c r="D236" s="26">
        <f>4.3528 * CHOOSE(CONTROL!$C$32, $C$9, 100%, $E$9)</f>
        <v>4.3528000000000002</v>
      </c>
      <c r="E236" s="27">
        <f>5.5682 * CHOOSE(CONTROL!$C$32, $C$9, 100%, $E$9)</f>
        <v>5.5682</v>
      </c>
      <c r="F236" s="27">
        <f>5.5682 * CHOOSE(CONTROL!$C$32, $C$9, 100%, $E$9)</f>
        <v>5.5682</v>
      </c>
      <c r="G236" s="27">
        <f>5.5735 * CHOOSE(CONTROL!$C$32, $C$9, 100%, $E$9)</f>
        <v>5.5735000000000001</v>
      </c>
      <c r="H236" s="27">
        <f>8.8013 * CHOOSE(CONTROL!$C$32, $C$9, 100%, $E$9)</f>
        <v>8.8012999999999995</v>
      </c>
      <c r="I236" s="27">
        <f>8.8066 * CHOOSE(CONTROL!$C$32, $C$9, 100%, $E$9)</f>
        <v>8.8065999999999995</v>
      </c>
      <c r="J236" s="27">
        <f>8.8013 * CHOOSE(CONTROL!$C$32, $C$9, 100%, $E$9)</f>
        <v>8.8012999999999995</v>
      </c>
      <c r="K236" s="27">
        <f>8.8066 * CHOOSE(CONTROL!$C$32, $C$9, 100%, $E$9)</f>
        <v>8.8065999999999995</v>
      </c>
      <c r="L236" s="27">
        <f>5.5682 * CHOOSE(CONTROL!$C$32, $C$9, 100%, $E$9)</f>
        <v>5.5682</v>
      </c>
      <c r="M236" s="27">
        <f>5.5735 * CHOOSE(CONTROL!$C$32, $C$9, 100%, $E$9)</f>
        <v>5.5735000000000001</v>
      </c>
      <c r="N236" s="27">
        <f>5.5682 * CHOOSE(CONTROL!$C$32, $C$9, 100%, $E$9)</f>
        <v>5.5682</v>
      </c>
      <c r="O236" s="27">
        <f>5.5735 * CHOOSE(CONTROL!$C$32, $C$9, 100%, $E$9)</f>
        <v>5.5735000000000001</v>
      </c>
    </row>
    <row r="237" spans="1:15" ht="15" x14ac:dyDescent="0.2">
      <c r="A237" s="16">
        <v>48061</v>
      </c>
      <c r="B237" s="26">
        <f>4.3579 * CHOOSE(CONTROL!$C$32, $C$9, 100%, $E$9)</f>
        <v>4.3578999999999999</v>
      </c>
      <c r="C237" s="26">
        <f>4.3579 * CHOOSE(CONTROL!$C$32, $C$9, 100%, $E$9)</f>
        <v>4.3578999999999999</v>
      </c>
      <c r="D237" s="26">
        <f>4.3595 * CHOOSE(CONTROL!$C$32, $C$9, 100%, $E$9)</f>
        <v>4.3594999999999997</v>
      </c>
      <c r="E237" s="27">
        <f>5.5726 * CHOOSE(CONTROL!$C$32, $C$9, 100%, $E$9)</f>
        <v>5.5726000000000004</v>
      </c>
      <c r="F237" s="27">
        <f>5.5726 * CHOOSE(CONTROL!$C$32, $C$9, 100%, $E$9)</f>
        <v>5.5726000000000004</v>
      </c>
      <c r="G237" s="27">
        <f>5.5779 * CHOOSE(CONTROL!$C$32, $C$9, 100%, $E$9)</f>
        <v>5.5778999999999996</v>
      </c>
      <c r="H237" s="27">
        <f>8.8196 * CHOOSE(CONTROL!$C$32, $C$9, 100%, $E$9)</f>
        <v>8.8195999999999994</v>
      </c>
      <c r="I237" s="27">
        <f>8.8249 * CHOOSE(CONTROL!$C$32, $C$9, 100%, $E$9)</f>
        <v>8.8248999999999995</v>
      </c>
      <c r="J237" s="27">
        <f>8.8196 * CHOOSE(CONTROL!$C$32, $C$9, 100%, $E$9)</f>
        <v>8.8195999999999994</v>
      </c>
      <c r="K237" s="27">
        <f>8.8249 * CHOOSE(CONTROL!$C$32, $C$9, 100%, $E$9)</f>
        <v>8.8248999999999995</v>
      </c>
      <c r="L237" s="27">
        <f>5.5726 * CHOOSE(CONTROL!$C$32, $C$9, 100%, $E$9)</f>
        <v>5.5726000000000004</v>
      </c>
      <c r="M237" s="27">
        <f>5.5779 * CHOOSE(CONTROL!$C$32, $C$9, 100%, $E$9)</f>
        <v>5.5778999999999996</v>
      </c>
      <c r="N237" s="27">
        <f>5.5726 * CHOOSE(CONTROL!$C$32, $C$9, 100%, $E$9)</f>
        <v>5.5726000000000004</v>
      </c>
      <c r="O237" s="27">
        <f>5.5779 * CHOOSE(CONTROL!$C$32, $C$9, 100%, $E$9)</f>
        <v>5.5778999999999996</v>
      </c>
    </row>
    <row r="238" spans="1:15" ht="15" x14ac:dyDescent="0.2">
      <c r="A238" s="16">
        <v>48092</v>
      </c>
      <c r="B238" s="26">
        <f>4.3549 * CHOOSE(CONTROL!$C$32, $C$9, 100%, $E$9)</f>
        <v>4.3548999999999998</v>
      </c>
      <c r="C238" s="26">
        <f>4.3549 * CHOOSE(CONTROL!$C$32, $C$9, 100%, $E$9)</f>
        <v>4.3548999999999998</v>
      </c>
      <c r="D238" s="26">
        <f>4.3565 * CHOOSE(CONTROL!$C$32, $C$9, 100%, $E$9)</f>
        <v>4.3564999999999996</v>
      </c>
      <c r="E238" s="27">
        <f>5.5706 * CHOOSE(CONTROL!$C$32, $C$9, 100%, $E$9)</f>
        <v>5.5705999999999998</v>
      </c>
      <c r="F238" s="27">
        <f>5.5706 * CHOOSE(CONTROL!$C$32, $C$9, 100%, $E$9)</f>
        <v>5.5705999999999998</v>
      </c>
      <c r="G238" s="27">
        <f>5.5759 * CHOOSE(CONTROL!$C$32, $C$9, 100%, $E$9)</f>
        <v>5.5758999999999999</v>
      </c>
      <c r="H238" s="27">
        <f>8.838 * CHOOSE(CONTROL!$C$32, $C$9, 100%, $E$9)</f>
        <v>8.8379999999999992</v>
      </c>
      <c r="I238" s="27">
        <f>8.8433 * CHOOSE(CONTROL!$C$32, $C$9, 100%, $E$9)</f>
        <v>8.8432999999999993</v>
      </c>
      <c r="J238" s="27">
        <f>8.838 * CHOOSE(CONTROL!$C$32, $C$9, 100%, $E$9)</f>
        <v>8.8379999999999992</v>
      </c>
      <c r="K238" s="27">
        <f>8.8433 * CHOOSE(CONTROL!$C$32, $C$9, 100%, $E$9)</f>
        <v>8.8432999999999993</v>
      </c>
      <c r="L238" s="27">
        <f>5.5706 * CHOOSE(CONTROL!$C$32, $C$9, 100%, $E$9)</f>
        <v>5.5705999999999998</v>
      </c>
      <c r="M238" s="27">
        <f>5.5759 * CHOOSE(CONTROL!$C$32, $C$9, 100%, $E$9)</f>
        <v>5.5758999999999999</v>
      </c>
      <c r="N238" s="27">
        <f>5.5706 * CHOOSE(CONTROL!$C$32, $C$9, 100%, $E$9)</f>
        <v>5.5705999999999998</v>
      </c>
      <c r="O238" s="27">
        <f>5.5759 * CHOOSE(CONTROL!$C$32, $C$9, 100%, $E$9)</f>
        <v>5.5758999999999999</v>
      </c>
    </row>
    <row r="239" spans="1:15" ht="15" x14ac:dyDescent="0.2">
      <c r="A239" s="16">
        <v>48122</v>
      </c>
      <c r="B239" s="26">
        <f>4.3513 * CHOOSE(CONTROL!$C$32, $C$9, 100%, $E$9)</f>
        <v>4.3513000000000002</v>
      </c>
      <c r="C239" s="26">
        <f>4.3513 * CHOOSE(CONTROL!$C$32, $C$9, 100%, $E$9)</f>
        <v>4.3513000000000002</v>
      </c>
      <c r="D239" s="26">
        <f>4.3523 * CHOOSE(CONTROL!$C$32, $C$9, 100%, $E$9)</f>
        <v>4.3522999999999996</v>
      </c>
      <c r="E239" s="27">
        <f>5.566 * CHOOSE(CONTROL!$C$32, $C$9, 100%, $E$9)</f>
        <v>5.5659999999999998</v>
      </c>
      <c r="F239" s="27">
        <f>5.566 * CHOOSE(CONTROL!$C$32, $C$9, 100%, $E$9)</f>
        <v>5.5659999999999998</v>
      </c>
      <c r="G239" s="27">
        <f>5.5696 * CHOOSE(CONTROL!$C$32, $C$9, 100%, $E$9)</f>
        <v>5.5696000000000003</v>
      </c>
      <c r="H239" s="27">
        <f>8.8564 * CHOOSE(CONTROL!$C$32, $C$9, 100%, $E$9)</f>
        <v>8.8564000000000007</v>
      </c>
      <c r="I239" s="27">
        <f>8.86 * CHOOSE(CONTROL!$C$32, $C$9, 100%, $E$9)</f>
        <v>8.86</v>
      </c>
      <c r="J239" s="27">
        <f>8.8564 * CHOOSE(CONTROL!$C$32, $C$9, 100%, $E$9)</f>
        <v>8.8564000000000007</v>
      </c>
      <c r="K239" s="27">
        <f>8.86 * CHOOSE(CONTROL!$C$32, $C$9, 100%, $E$9)</f>
        <v>8.86</v>
      </c>
      <c r="L239" s="27">
        <f>5.566 * CHOOSE(CONTROL!$C$32, $C$9, 100%, $E$9)</f>
        <v>5.5659999999999998</v>
      </c>
      <c r="M239" s="27">
        <f>5.5696 * CHOOSE(CONTROL!$C$32, $C$9, 100%, $E$9)</f>
        <v>5.5696000000000003</v>
      </c>
      <c r="N239" s="27">
        <f>5.566 * CHOOSE(CONTROL!$C$32, $C$9, 100%, $E$9)</f>
        <v>5.5659999999999998</v>
      </c>
      <c r="O239" s="27">
        <f>5.5696 * CHOOSE(CONTROL!$C$32, $C$9, 100%, $E$9)</f>
        <v>5.5696000000000003</v>
      </c>
    </row>
    <row r="240" spans="1:15" ht="15" x14ac:dyDescent="0.2">
      <c r="A240" s="16">
        <v>48153</v>
      </c>
      <c r="B240" s="26">
        <f>4.3543 * CHOOSE(CONTROL!$C$32, $C$9, 100%, $E$9)</f>
        <v>4.3543000000000003</v>
      </c>
      <c r="C240" s="26">
        <f>4.3543 * CHOOSE(CONTROL!$C$32, $C$9, 100%, $E$9)</f>
        <v>4.3543000000000003</v>
      </c>
      <c r="D240" s="26">
        <f>4.3554 * CHOOSE(CONTROL!$C$32, $C$9, 100%, $E$9)</f>
        <v>4.3554000000000004</v>
      </c>
      <c r="E240" s="27">
        <f>5.568 * CHOOSE(CONTROL!$C$32, $C$9, 100%, $E$9)</f>
        <v>5.5679999999999996</v>
      </c>
      <c r="F240" s="27">
        <f>5.568 * CHOOSE(CONTROL!$C$32, $C$9, 100%, $E$9)</f>
        <v>5.5679999999999996</v>
      </c>
      <c r="G240" s="27">
        <f>5.5716 * CHOOSE(CONTROL!$C$32, $C$9, 100%, $E$9)</f>
        <v>5.5716000000000001</v>
      </c>
      <c r="H240" s="27">
        <f>8.8749 * CHOOSE(CONTROL!$C$32, $C$9, 100%, $E$9)</f>
        <v>8.8749000000000002</v>
      </c>
      <c r="I240" s="27">
        <f>8.8785 * CHOOSE(CONTROL!$C$32, $C$9, 100%, $E$9)</f>
        <v>8.8785000000000007</v>
      </c>
      <c r="J240" s="27">
        <f>8.8749 * CHOOSE(CONTROL!$C$32, $C$9, 100%, $E$9)</f>
        <v>8.8749000000000002</v>
      </c>
      <c r="K240" s="27">
        <f>8.8785 * CHOOSE(CONTROL!$C$32, $C$9, 100%, $E$9)</f>
        <v>8.8785000000000007</v>
      </c>
      <c r="L240" s="27">
        <f>5.568 * CHOOSE(CONTROL!$C$32, $C$9, 100%, $E$9)</f>
        <v>5.5679999999999996</v>
      </c>
      <c r="M240" s="27">
        <f>5.5716 * CHOOSE(CONTROL!$C$32, $C$9, 100%, $E$9)</f>
        <v>5.5716000000000001</v>
      </c>
      <c r="N240" s="27">
        <f>5.568 * CHOOSE(CONTROL!$C$32, $C$9, 100%, $E$9)</f>
        <v>5.5679999999999996</v>
      </c>
      <c r="O240" s="27">
        <f>5.5716 * CHOOSE(CONTROL!$C$32, $C$9, 100%, $E$9)</f>
        <v>5.5716000000000001</v>
      </c>
    </row>
    <row r="241" spans="1:15" ht="15" x14ac:dyDescent="0.2">
      <c r="A241" s="16">
        <v>48183</v>
      </c>
      <c r="B241" s="26">
        <f>4.3543 * CHOOSE(CONTROL!$C$32, $C$9, 100%, $E$9)</f>
        <v>4.3543000000000003</v>
      </c>
      <c r="C241" s="26">
        <f>4.3543 * CHOOSE(CONTROL!$C$32, $C$9, 100%, $E$9)</f>
        <v>4.3543000000000003</v>
      </c>
      <c r="D241" s="26">
        <f>4.3554 * CHOOSE(CONTROL!$C$32, $C$9, 100%, $E$9)</f>
        <v>4.3554000000000004</v>
      </c>
      <c r="E241" s="27">
        <f>5.568 * CHOOSE(CONTROL!$C$32, $C$9, 100%, $E$9)</f>
        <v>5.5679999999999996</v>
      </c>
      <c r="F241" s="27">
        <f>5.568 * CHOOSE(CONTROL!$C$32, $C$9, 100%, $E$9)</f>
        <v>5.5679999999999996</v>
      </c>
      <c r="G241" s="27">
        <f>5.5716 * CHOOSE(CONTROL!$C$32, $C$9, 100%, $E$9)</f>
        <v>5.5716000000000001</v>
      </c>
      <c r="H241" s="27">
        <f>8.8934 * CHOOSE(CONTROL!$C$32, $C$9, 100%, $E$9)</f>
        <v>8.8933999999999997</v>
      </c>
      <c r="I241" s="27">
        <f>8.897 * CHOOSE(CONTROL!$C$32, $C$9, 100%, $E$9)</f>
        <v>8.8970000000000002</v>
      </c>
      <c r="J241" s="27">
        <f>8.8934 * CHOOSE(CONTROL!$C$32, $C$9, 100%, $E$9)</f>
        <v>8.8933999999999997</v>
      </c>
      <c r="K241" s="27">
        <f>8.897 * CHOOSE(CONTROL!$C$32, $C$9, 100%, $E$9)</f>
        <v>8.8970000000000002</v>
      </c>
      <c r="L241" s="27">
        <f>5.568 * CHOOSE(CONTROL!$C$32, $C$9, 100%, $E$9)</f>
        <v>5.5679999999999996</v>
      </c>
      <c r="M241" s="27">
        <f>5.5716 * CHOOSE(CONTROL!$C$32, $C$9, 100%, $E$9)</f>
        <v>5.5716000000000001</v>
      </c>
      <c r="N241" s="27">
        <f>5.568 * CHOOSE(CONTROL!$C$32, $C$9, 100%, $E$9)</f>
        <v>5.5679999999999996</v>
      </c>
      <c r="O241" s="27">
        <f>5.5716 * CHOOSE(CONTROL!$C$32, $C$9, 100%, $E$9)</f>
        <v>5.5716000000000001</v>
      </c>
    </row>
    <row r="242" spans="1:15" ht="15" x14ac:dyDescent="0.2">
      <c r="A242" s="16">
        <v>48214</v>
      </c>
      <c r="B242" s="26">
        <f>4.3913 * CHOOSE(CONTROL!$C$32, $C$9, 100%, $E$9)</f>
        <v>4.3913000000000002</v>
      </c>
      <c r="C242" s="26">
        <f>4.3913 * CHOOSE(CONTROL!$C$32, $C$9, 100%, $E$9)</f>
        <v>4.3913000000000002</v>
      </c>
      <c r="D242" s="26">
        <f>4.3923 * CHOOSE(CONTROL!$C$32, $C$9, 100%, $E$9)</f>
        <v>4.3922999999999996</v>
      </c>
      <c r="E242" s="27">
        <f>5.6146 * CHOOSE(CONTROL!$C$32, $C$9, 100%, $E$9)</f>
        <v>5.6146000000000003</v>
      </c>
      <c r="F242" s="27">
        <f>5.6146 * CHOOSE(CONTROL!$C$32, $C$9, 100%, $E$9)</f>
        <v>5.6146000000000003</v>
      </c>
      <c r="G242" s="27">
        <f>5.6182 * CHOOSE(CONTROL!$C$32, $C$9, 100%, $E$9)</f>
        <v>5.6181999999999999</v>
      </c>
      <c r="H242" s="27">
        <f>8.9119 * CHOOSE(CONTROL!$C$32, $C$9, 100%, $E$9)</f>
        <v>8.9118999999999993</v>
      </c>
      <c r="I242" s="27">
        <f>8.9155 * CHOOSE(CONTROL!$C$32, $C$9, 100%, $E$9)</f>
        <v>8.9154999999999998</v>
      </c>
      <c r="J242" s="27">
        <f>8.9119 * CHOOSE(CONTROL!$C$32, $C$9, 100%, $E$9)</f>
        <v>8.9118999999999993</v>
      </c>
      <c r="K242" s="27">
        <f>8.9155 * CHOOSE(CONTROL!$C$32, $C$9, 100%, $E$9)</f>
        <v>8.9154999999999998</v>
      </c>
      <c r="L242" s="27">
        <f>5.6146 * CHOOSE(CONTROL!$C$32, $C$9, 100%, $E$9)</f>
        <v>5.6146000000000003</v>
      </c>
      <c r="M242" s="27">
        <f>5.6182 * CHOOSE(CONTROL!$C$32, $C$9, 100%, $E$9)</f>
        <v>5.6181999999999999</v>
      </c>
      <c r="N242" s="27">
        <f>5.6146 * CHOOSE(CONTROL!$C$32, $C$9, 100%, $E$9)</f>
        <v>5.6146000000000003</v>
      </c>
      <c r="O242" s="27">
        <f>5.6182 * CHOOSE(CONTROL!$C$32, $C$9, 100%, $E$9)</f>
        <v>5.6181999999999999</v>
      </c>
    </row>
    <row r="243" spans="1:15" ht="15" x14ac:dyDescent="0.2">
      <c r="A243" s="16">
        <v>48245</v>
      </c>
      <c r="B243" s="26">
        <f>4.3882 * CHOOSE(CONTROL!$C$32, $C$9, 100%, $E$9)</f>
        <v>4.3882000000000003</v>
      </c>
      <c r="C243" s="26">
        <f>4.3882 * CHOOSE(CONTROL!$C$32, $C$9, 100%, $E$9)</f>
        <v>4.3882000000000003</v>
      </c>
      <c r="D243" s="26">
        <f>4.3893 * CHOOSE(CONTROL!$C$32, $C$9, 100%, $E$9)</f>
        <v>4.3893000000000004</v>
      </c>
      <c r="E243" s="27">
        <f>5.6126 * CHOOSE(CONTROL!$C$32, $C$9, 100%, $E$9)</f>
        <v>5.6125999999999996</v>
      </c>
      <c r="F243" s="27">
        <f>5.6126 * CHOOSE(CONTROL!$C$32, $C$9, 100%, $E$9)</f>
        <v>5.6125999999999996</v>
      </c>
      <c r="G243" s="27">
        <f>5.6162 * CHOOSE(CONTROL!$C$32, $C$9, 100%, $E$9)</f>
        <v>5.6162000000000001</v>
      </c>
      <c r="H243" s="27">
        <f>8.9305 * CHOOSE(CONTROL!$C$32, $C$9, 100%, $E$9)</f>
        <v>8.9305000000000003</v>
      </c>
      <c r="I243" s="27">
        <f>8.9341 * CHOOSE(CONTROL!$C$32, $C$9, 100%, $E$9)</f>
        <v>8.9341000000000008</v>
      </c>
      <c r="J243" s="27">
        <f>8.9305 * CHOOSE(CONTROL!$C$32, $C$9, 100%, $E$9)</f>
        <v>8.9305000000000003</v>
      </c>
      <c r="K243" s="27">
        <f>8.9341 * CHOOSE(CONTROL!$C$32, $C$9, 100%, $E$9)</f>
        <v>8.9341000000000008</v>
      </c>
      <c r="L243" s="27">
        <f>5.6126 * CHOOSE(CONTROL!$C$32, $C$9, 100%, $E$9)</f>
        <v>5.6125999999999996</v>
      </c>
      <c r="M243" s="27">
        <f>5.6162 * CHOOSE(CONTROL!$C$32, $C$9, 100%, $E$9)</f>
        <v>5.6162000000000001</v>
      </c>
      <c r="N243" s="27">
        <f>5.6126 * CHOOSE(CONTROL!$C$32, $C$9, 100%, $E$9)</f>
        <v>5.6125999999999996</v>
      </c>
      <c r="O243" s="27">
        <f>5.6162 * CHOOSE(CONTROL!$C$32, $C$9, 100%, $E$9)</f>
        <v>5.6162000000000001</v>
      </c>
    </row>
    <row r="244" spans="1:15" ht="15" x14ac:dyDescent="0.2">
      <c r="A244" s="16">
        <v>48274</v>
      </c>
      <c r="B244" s="26">
        <f>4.3852 * CHOOSE(CONTROL!$C$32, $C$9, 100%, $E$9)</f>
        <v>4.3852000000000002</v>
      </c>
      <c r="C244" s="26">
        <f>4.3852 * CHOOSE(CONTROL!$C$32, $C$9, 100%, $E$9)</f>
        <v>4.3852000000000002</v>
      </c>
      <c r="D244" s="26">
        <f>4.3862 * CHOOSE(CONTROL!$C$32, $C$9, 100%, $E$9)</f>
        <v>4.3861999999999997</v>
      </c>
      <c r="E244" s="27">
        <f>5.6106 * CHOOSE(CONTROL!$C$32, $C$9, 100%, $E$9)</f>
        <v>5.6105999999999998</v>
      </c>
      <c r="F244" s="27">
        <f>5.6106 * CHOOSE(CONTROL!$C$32, $C$9, 100%, $E$9)</f>
        <v>5.6105999999999998</v>
      </c>
      <c r="G244" s="27">
        <f>5.6142 * CHOOSE(CONTROL!$C$32, $C$9, 100%, $E$9)</f>
        <v>5.6142000000000003</v>
      </c>
      <c r="H244" s="27">
        <f>8.9491 * CHOOSE(CONTROL!$C$32, $C$9, 100%, $E$9)</f>
        <v>8.9490999999999996</v>
      </c>
      <c r="I244" s="27">
        <f>8.9527 * CHOOSE(CONTROL!$C$32, $C$9, 100%, $E$9)</f>
        <v>8.9527000000000001</v>
      </c>
      <c r="J244" s="27">
        <f>8.9491 * CHOOSE(CONTROL!$C$32, $C$9, 100%, $E$9)</f>
        <v>8.9490999999999996</v>
      </c>
      <c r="K244" s="27">
        <f>8.9527 * CHOOSE(CONTROL!$C$32, $C$9, 100%, $E$9)</f>
        <v>8.9527000000000001</v>
      </c>
      <c r="L244" s="27">
        <f>5.6106 * CHOOSE(CONTROL!$C$32, $C$9, 100%, $E$9)</f>
        <v>5.6105999999999998</v>
      </c>
      <c r="M244" s="27">
        <f>5.6142 * CHOOSE(CONTROL!$C$32, $C$9, 100%, $E$9)</f>
        <v>5.6142000000000003</v>
      </c>
      <c r="N244" s="27">
        <f>5.6106 * CHOOSE(CONTROL!$C$32, $C$9, 100%, $E$9)</f>
        <v>5.6105999999999998</v>
      </c>
      <c r="O244" s="27">
        <f>5.6142 * CHOOSE(CONTROL!$C$32, $C$9, 100%, $E$9)</f>
        <v>5.6142000000000003</v>
      </c>
    </row>
    <row r="245" spans="1:15" ht="15" x14ac:dyDescent="0.2">
      <c r="A245" s="16">
        <v>48305</v>
      </c>
      <c r="B245" s="26">
        <f>4.3832 * CHOOSE(CONTROL!$C$32, $C$9, 100%, $E$9)</f>
        <v>4.3832000000000004</v>
      </c>
      <c r="C245" s="26">
        <f>4.3832 * CHOOSE(CONTROL!$C$32, $C$9, 100%, $E$9)</f>
        <v>4.3832000000000004</v>
      </c>
      <c r="D245" s="26">
        <f>4.3843 * CHOOSE(CONTROL!$C$32, $C$9, 100%, $E$9)</f>
        <v>4.3842999999999996</v>
      </c>
      <c r="E245" s="27">
        <f>5.6087 * CHOOSE(CONTROL!$C$32, $C$9, 100%, $E$9)</f>
        <v>5.6086999999999998</v>
      </c>
      <c r="F245" s="27">
        <f>5.6087 * CHOOSE(CONTROL!$C$32, $C$9, 100%, $E$9)</f>
        <v>5.6086999999999998</v>
      </c>
      <c r="G245" s="27">
        <f>5.6123 * CHOOSE(CONTROL!$C$32, $C$9, 100%, $E$9)</f>
        <v>5.6123000000000003</v>
      </c>
      <c r="H245" s="27">
        <f>8.9677 * CHOOSE(CONTROL!$C$32, $C$9, 100%, $E$9)</f>
        <v>8.9677000000000007</v>
      </c>
      <c r="I245" s="27">
        <f>8.9713 * CHOOSE(CONTROL!$C$32, $C$9, 100%, $E$9)</f>
        <v>8.9712999999999994</v>
      </c>
      <c r="J245" s="27">
        <f>8.9677 * CHOOSE(CONTROL!$C$32, $C$9, 100%, $E$9)</f>
        <v>8.9677000000000007</v>
      </c>
      <c r="K245" s="27">
        <f>8.9713 * CHOOSE(CONTROL!$C$32, $C$9, 100%, $E$9)</f>
        <v>8.9712999999999994</v>
      </c>
      <c r="L245" s="27">
        <f>5.6087 * CHOOSE(CONTROL!$C$32, $C$9, 100%, $E$9)</f>
        <v>5.6086999999999998</v>
      </c>
      <c r="M245" s="27">
        <f>5.6123 * CHOOSE(CONTROL!$C$32, $C$9, 100%, $E$9)</f>
        <v>5.6123000000000003</v>
      </c>
      <c r="N245" s="27">
        <f>5.6087 * CHOOSE(CONTROL!$C$32, $C$9, 100%, $E$9)</f>
        <v>5.6086999999999998</v>
      </c>
      <c r="O245" s="27">
        <f>5.6123 * CHOOSE(CONTROL!$C$32, $C$9, 100%, $E$9)</f>
        <v>5.6123000000000003</v>
      </c>
    </row>
    <row r="246" spans="1:15" ht="15" x14ac:dyDescent="0.2">
      <c r="A246" s="16">
        <v>48335</v>
      </c>
      <c r="B246" s="26">
        <f>4.3832 * CHOOSE(CONTROL!$C$32, $C$9, 100%, $E$9)</f>
        <v>4.3832000000000004</v>
      </c>
      <c r="C246" s="26">
        <f>4.3832 * CHOOSE(CONTROL!$C$32, $C$9, 100%, $E$9)</f>
        <v>4.3832000000000004</v>
      </c>
      <c r="D246" s="26">
        <f>4.3848 * CHOOSE(CONTROL!$C$32, $C$9, 100%, $E$9)</f>
        <v>4.3848000000000003</v>
      </c>
      <c r="E246" s="27">
        <f>5.6087 * CHOOSE(CONTROL!$C$32, $C$9, 100%, $E$9)</f>
        <v>5.6086999999999998</v>
      </c>
      <c r="F246" s="27">
        <f>5.6087 * CHOOSE(CONTROL!$C$32, $C$9, 100%, $E$9)</f>
        <v>5.6086999999999998</v>
      </c>
      <c r="G246" s="27">
        <f>5.614 * CHOOSE(CONTROL!$C$32, $C$9, 100%, $E$9)</f>
        <v>5.6139999999999999</v>
      </c>
      <c r="H246" s="27">
        <f>8.9864 * CHOOSE(CONTROL!$C$32, $C$9, 100%, $E$9)</f>
        <v>8.9863999999999997</v>
      </c>
      <c r="I246" s="27">
        <f>8.9917 * CHOOSE(CONTROL!$C$32, $C$9, 100%, $E$9)</f>
        <v>8.9916999999999998</v>
      </c>
      <c r="J246" s="27">
        <f>8.9864 * CHOOSE(CONTROL!$C$32, $C$9, 100%, $E$9)</f>
        <v>8.9863999999999997</v>
      </c>
      <c r="K246" s="27">
        <f>8.9917 * CHOOSE(CONTROL!$C$32, $C$9, 100%, $E$9)</f>
        <v>8.9916999999999998</v>
      </c>
      <c r="L246" s="27">
        <f>5.6087 * CHOOSE(CONTROL!$C$32, $C$9, 100%, $E$9)</f>
        <v>5.6086999999999998</v>
      </c>
      <c r="M246" s="27">
        <f>5.614 * CHOOSE(CONTROL!$C$32, $C$9, 100%, $E$9)</f>
        <v>5.6139999999999999</v>
      </c>
      <c r="N246" s="27">
        <f>5.6087 * CHOOSE(CONTROL!$C$32, $C$9, 100%, $E$9)</f>
        <v>5.6086999999999998</v>
      </c>
      <c r="O246" s="27">
        <f>5.614 * CHOOSE(CONTROL!$C$32, $C$9, 100%, $E$9)</f>
        <v>5.6139999999999999</v>
      </c>
    </row>
    <row r="247" spans="1:15" ht="15" x14ac:dyDescent="0.2">
      <c r="A247" s="16">
        <v>48366</v>
      </c>
      <c r="B247" s="26">
        <f>4.3893 * CHOOSE(CONTROL!$C$32, $C$9, 100%, $E$9)</f>
        <v>4.3893000000000004</v>
      </c>
      <c r="C247" s="26">
        <f>4.3893 * CHOOSE(CONTROL!$C$32, $C$9, 100%, $E$9)</f>
        <v>4.3893000000000004</v>
      </c>
      <c r="D247" s="26">
        <f>4.3909 * CHOOSE(CONTROL!$C$32, $C$9, 100%, $E$9)</f>
        <v>4.3909000000000002</v>
      </c>
      <c r="E247" s="27">
        <f>5.6127 * CHOOSE(CONTROL!$C$32, $C$9, 100%, $E$9)</f>
        <v>5.6127000000000002</v>
      </c>
      <c r="F247" s="27">
        <f>5.6127 * CHOOSE(CONTROL!$C$32, $C$9, 100%, $E$9)</f>
        <v>5.6127000000000002</v>
      </c>
      <c r="G247" s="27">
        <f>5.618 * CHOOSE(CONTROL!$C$32, $C$9, 100%, $E$9)</f>
        <v>5.6180000000000003</v>
      </c>
      <c r="H247" s="27">
        <f>9.0051 * CHOOSE(CONTROL!$C$32, $C$9, 100%, $E$9)</f>
        <v>9.0051000000000005</v>
      </c>
      <c r="I247" s="27">
        <f>9.0104 * CHOOSE(CONTROL!$C$32, $C$9, 100%, $E$9)</f>
        <v>9.0104000000000006</v>
      </c>
      <c r="J247" s="27">
        <f>9.0051 * CHOOSE(CONTROL!$C$32, $C$9, 100%, $E$9)</f>
        <v>9.0051000000000005</v>
      </c>
      <c r="K247" s="27">
        <f>9.0104 * CHOOSE(CONTROL!$C$32, $C$9, 100%, $E$9)</f>
        <v>9.0104000000000006</v>
      </c>
      <c r="L247" s="27">
        <f>5.6127 * CHOOSE(CONTROL!$C$32, $C$9, 100%, $E$9)</f>
        <v>5.6127000000000002</v>
      </c>
      <c r="M247" s="27">
        <f>5.618 * CHOOSE(CONTROL!$C$32, $C$9, 100%, $E$9)</f>
        <v>5.6180000000000003</v>
      </c>
      <c r="N247" s="27">
        <f>5.6127 * CHOOSE(CONTROL!$C$32, $C$9, 100%, $E$9)</f>
        <v>5.6127000000000002</v>
      </c>
      <c r="O247" s="27">
        <f>5.618 * CHOOSE(CONTROL!$C$32, $C$9, 100%, $E$9)</f>
        <v>5.6180000000000003</v>
      </c>
    </row>
    <row r="248" spans="1:15" ht="15" x14ac:dyDescent="0.2">
      <c r="A248" s="16">
        <v>48396</v>
      </c>
      <c r="B248" s="26">
        <f>4.4571 * CHOOSE(CONTROL!$C$32, $C$9, 100%, $E$9)</f>
        <v>4.4570999999999996</v>
      </c>
      <c r="C248" s="26">
        <f>4.4571 * CHOOSE(CONTROL!$C$32, $C$9, 100%, $E$9)</f>
        <v>4.4570999999999996</v>
      </c>
      <c r="D248" s="26">
        <f>4.4586 * CHOOSE(CONTROL!$C$32, $C$9, 100%, $E$9)</f>
        <v>4.4585999999999997</v>
      </c>
      <c r="E248" s="27">
        <f>5.7152 * CHOOSE(CONTROL!$C$32, $C$9, 100%, $E$9)</f>
        <v>5.7152000000000003</v>
      </c>
      <c r="F248" s="27">
        <f>5.7152 * CHOOSE(CONTROL!$C$32, $C$9, 100%, $E$9)</f>
        <v>5.7152000000000003</v>
      </c>
      <c r="G248" s="27">
        <f>5.7205 * CHOOSE(CONTROL!$C$32, $C$9, 100%, $E$9)</f>
        <v>5.7205000000000004</v>
      </c>
      <c r="H248" s="27">
        <f>9.0239 * CHOOSE(CONTROL!$C$32, $C$9, 100%, $E$9)</f>
        <v>9.0238999999999994</v>
      </c>
      <c r="I248" s="27">
        <f>9.0292 * CHOOSE(CONTROL!$C$32, $C$9, 100%, $E$9)</f>
        <v>9.0291999999999994</v>
      </c>
      <c r="J248" s="27">
        <f>9.0239 * CHOOSE(CONTROL!$C$32, $C$9, 100%, $E$9)</f>
        <v>9.0238999999999994</v>
      </c>
      <c r="K248" s="27">
        <f>9.0292 * CHOOSE(CONTROL!$C$32, $C$9, 100%, $E$9)</f>
        <v>9.0291999999999994</v>
      </c>
      <c r="L248" s="27">
        <f>5.7152 * CHOOSE(CONTROL!$C$32, $C$9, 100%, $E$9)</f>
        <v>5.7152000000000003</v>
      </c>
      <c r="M248" s="27">
        <f>5.7205 * CHOOSE(CONTROL!$C$32, $C$9, 100%, $E$9)</f>
        <v>5.7205000000000004</v>
      </c>
      <c r="N248" s="27">
        <f>5.7152 * CHOOSE(CONTROL!$C$32, $C$9, 100%, $E$9)</f>
        <v>5.7152000000000003</v>
      </c>
      <c r="O248" s="27">
        <f>5.7205 * CHOOSE(CONTROL!$C$32, $C$9, 100%, $E$9)</f>
        <v>5.7205000000000004</v>
      </c>
    </row>
    <row r="249" spans="1:15" ht="15" x14ac:dyDescent="0.2">
      <c r="A249" s="16">
        <v>48427</v>
      </c>
      <c r="B249" s="26">
        <f>4.4637 * CHOOSE(CONTROL!$C$32, $C$9, 100%, $E$9)</f>
        <v>4.4637000000000002</v>
      </c>
      <c r="C249" s="26">
        <f>4.4637 * CHOOSE(CONTROL!$C$32, $C$9, 100%, $E$9)</f>
        <v>4.4637000000000002</v>
      </c>
      <c r="D249" s="26">
        <f>4.4653 * CHOOSE(CONTROL!$C$32, $C$9, 100%, $E$9)</f>
        <v>4.4653</v>
      </c>
      <c r="E249" s="27">
        <f>5.7196 * CHOOSE(CONTROL!$C$32, $C$9, 100%, $E$9)</f>
        <v>5.7195999999999998</v>
      </c>
      <c r="F249" s="27">
        <f>5.7196 * CHOOSE(CONTROL!$C$32, $C$9, 100%, $E$9)</f>
        <v>5.7195999999999998</v>
      </c>
      <c r="G249" s="27">
        <f>5.7249 * CHOOSE(CONTROL!$C$32, $C$9, 100%, $E$9)</f>
        <v>5.7248999999999999</v>
      </c>
      <c r="H249" s="27">
        <f>9.0427 * CHOOSE(CONTROL!$C$32, $C$9, 100%, $E$9)</f>
        <v>9.0427</v>
      </c>
      <c r="I249" s="27">
        <f>9.048 * CHOOSE(CONTROL!$C$32, $C$9, 100%, $E$9)</f>
        <v>9.048</v>
      </c>
      <c r="J249" s="27">
        <f>9.0427 * CHOOSE(CONTROL!$C$32, $C$9, 100%, $E$9)</f>
        <v>9.0427</v>
      </c>
      <c r="K249" s="27">
        <f>9.048 * CHOOSE(CONTROL!$C$32, $C$9, 100%, $E$9)</f>
        <v>9.048</v>
      </c>
      <c r="L249" s="27">
        <f>5.7196 * CHOOSE(CONTROL!$C$32, $C$9, 100%, $E$9)</f>
        <v>5.7195999999999998</v>
      </c>
      <c r="M249" s="27">
        <f>5.7249 * CHOOSE(CONTROL!$C$32, $C$9, 100%, $E$9)</f>
        <v>5.7248999999999999</v>
      </c>
      <c r="N249" s="27">
        <f>5.7196 * CHOOSE(CONTROL!$C$32, $C$9, 100%, $E$9)</f>
        <v>5.7195999999999998</v>
      </c>
      <c r="O249" s="27">
        <f>5.7249 * CHOOSE(CONTROL!$C$32, $C$9, 100%, $E$9)</f>
        <v>5.7248999999999999</v>
      </c>
    </row>
    <row r="250" spans="1:15" ht="15" x14ac:dyDescent="0.2">
      <c r="A250" s="16">
        <v>48458</v>
      </c>
      <c r="B250" s="26">
        <f>4.4607 * CHOOSE(CONTROL!$C$32, $C$9, 100%, $E$9)</f>
        <v>4.4607000000000001</v>
      </c>
      <c r="C250" s="26">
        <f>4.4607 * CHOOSE(CONTROL!$C$32, $C$9, 100%, $E$9)</f>
        <v>4.4607000000000001</v>
      </c>
      <c r="D250" s="26">
        <f>4.4623 * CHOOSE(CONTROL!$C$32, $C$9, 100%, $E$9)</f>
        <v>4.4622999999999999</v>
      </c>
      <c r="E250" s="27">
        <f>5.7176 * CHOOSE(CONTROL!$C$32, $C$9, 100%, $E$9)</f>
        <v>5.7176</v>
      </c>
      <c r="F250" s="27">
        <f>5.7176 * CHOOSE(CONTROL!$C$32, $C$9, 100%, $E$9)</f>
        <v>5.7176</v>
      </c>
      <c r="G250" s="27">
        <f>5.7229 * CHOOSE(CONTROL!$C$32, $C$9, 100%, $E$9)</f>
        <v>5.7229000000000001</v>
      </c>
      <c r="H250" s="27">
        <f>9.0615 * CHOOSE(CONTROL!$C$32, $C$9, 100%, $E$9)</f>
        <v>9.0615000000000006</v>
      </c>
      <c r="I250" s="27">
        <f>9.0668 * CHOOSE(CONTROL!$C$32, $C$9, 100%, $E$9)</f>
        <v>9.0668000000000006</v>
      </c>
      <c r="J250" s="27">
        <f>9.0615 * CHOOSE(CONTROL!$C$32, $C$9, 100%, $E$9)</f>
        <v>9.0615000000000006</v>
      </c>
      <c r="K250" s="27">
        <f>9.0668 * CHOOSE(CONTROL!$C$32, $C$9, 100%, $E$9)</f>
        <v>9.0668000000000006</v>
      </c>
      <c r="L250" s="27">
        <f>5.7176 * CHOOSE(CONTROL!$C$32, $C$9, 100%, $E$9)</f>
        <v>5.7176</v>
      </c>
      <c r="M250" s="27">
        <f>5.7229 * CHOOSE(CONTROL!$C$32, $C$9, 100%, $E$9)</f>
        <v>5.7229000000000001</v>
      </c>
      <c r="N250" s="27">
        <f>5.7176 * CHOOSE(CONTROL!$C$32, $C$9, 100%, $E$9)</f>
        <v>5.7176</v>
      </c>
      <c r="O250" s="27">
        <f>5.7229 * CHOOSE(CONTROL!$C$32, $C$9, 100%, $E$9)</f>
        <v>5.7229000000000001</v>
      </c>
    </row>
    <row r="251" spans="1:15" ht="15" x14ac:dyDescent="0.2">
      <c r="A251" s="16">
        <v>48488</v>
      </c>
      <c r="B251" s="26">
        <f>4.4575 * CHOOSE(CONTROL!$C$32, $C$9, 100%, $E$9)</f>
        <v>4.4574999999999996</v>
      </c>
      <c r="C251" s="26">
        <f>4.4575 * CHOOSE(CONTROL!$C$32, $C$9, 100%, $E$9)</f>
        <v>4.4574999999999996</v>
      </c>
      <c r="D251" s="26">
        <f>4.4586 * CHOOSE(CONTROL!$C$32, $C$9, 100%, $E$9)</f>
        <v>4.4585999999999997</v>
      </c>
      <c r="E251" s="27">
        <f>5.7132 * CHOOSE(CONTROL!$C$32, $C$9, 100%, $E$9)</f>
        <v>5.7131999999999996</v>
      </c>
      <c r="F251" s="27">
        <f>5.7132 * CHOOSE(CONTROL!$C$32, $C$9, 100%, $E$9)</f>
        <v>5.7131999999999996</v>
      </c>
      <c r="G251" s="27">
        <f>5.7168 * CHOOSE(CONTROL!$C$32, $C$9, 100%, $E$9)</f>
        <v>5.7168000000000001</v>
      </c>
      <c r="H251" s="27">
        <f>9.0804 * CHOOSE(CONTROL!$C$32, $C$9, 100%, $E$9)</f>
        <v>9.0803999999999991</v>
      </c>
      <c r="I251" s="27">
        <f>9.084 * CHOOSE(CONTROL!$C$32, $C$9, 100%, $E$9)</f>
        <v>9.0839999999999996</v>
      </c>
      <c r="J251" s="27">
        <f>9.0804 * CHOOSE(CONTROL!$C$32, $C$9, 100%, $E$9)</f>
        <v>9.0803999999999991</v>
      </c>
      <c r="K251" s="27">
        <f>9.084 * CHOOSE(CONTROL!$C$32, $C$9, 100%, $E$9)</f>
        <v>9.0839999999999996</v>
      </c>
      <c r="L251" s="27">
        <f>5.7132 * CHOOSE(CONTROL!$C$32, $C$9, 100%, $E$9)</f>
        <v>5.7131999999999996</v>
      </c>
      <c r="M251" s="27">
        <f>5.7168 * CHOOSE(CONTROL!$C$32, $C$9, 100%, $E$9)</f>
        <v>5.7168000000000001</v>
      </c>
      <c r="N251" s="27">
        <f>5.7132 * CHOOSE(CONTROL!$C$32, $C$9, 100%, $E$9)</f>
        <v>5.7131999999999996</v>
      </c>
      <c r="O251" s="27">
        <f>5.7168 * CHOOSE(CONTROL!$C$32, $C$9, 100%, $E$9)</f>
        <v>5.7168000000000001</v>
      </c>
    </row>
    <row r="252" spans="1:15" ht="15" x14ac:dyDescent="0.2">
      <c r="A252" s="16">
        <v>48519</v>
      </c>
      <c r="B252" s="26">
        <f>4.4605 * CHOOSE(CONTROL!$C$32, $C$9, 100%, $E$9)</f>
        <v>4.4604999999999997</v>
      </c>
      <c r="C252" s="26">
        <f>4.4605 * CHOOSE(CONTROL!$C$32, $C$9, 100%, $E$9)</f>
        <v>4.4604999999999997</v>
      </c>
      <c r="D252" s="26">
        <f>4.4616 * CHOOSE(CONTROL!$C$32, $C$9, 100%, $E$9)</f>
        <v>4.4615999999999998</v>
      </c>
      <c r="E252" s="27">
        <f>5.7152 * CHOOSE(CONTROL!$C$32, $C$9, 100%, $E$9)</f>
        <v>5.7152000000000003</v>
      </c>
      <c r="F252" s="27">
        <f>5.7152 * CHOOSE(CONTROL!$C$32, $C$9, 100%, $E$9)</f>
        <v>5.7152000000000003</v>
      </c>
      <c r="G252" s="27">
        <f>5.7188 * CHOOSE(CONTROL!$C$32, $C$9, 100%, $E$9)</f>
        <v>5.7187999999999999</v>
      </c>
      <c r="H252" s="27">
        <f>9.0993 * CHOOSE(CONTROL!$C$32, $C$9, 100%, $E$9)</f>
        <v>9.0992999999999995</v>
      </c>
      <c r="I252" s="27">
        <f>9.1029 * CHOOSE(CONTROL!$C$32, $C$9, 100%, $E$9)</f>
        <v>9.1029</v>
      </c>
      <c r="J252" s="27">
        <f>9.0993 * CHOOSE(CONTROL!$C$32, $C$9, 100%, $E$9)</f>
        <v>9.0992999999999995</v>
      </c>
      <c r="K252" s="27">
        <f>9.1029 * CHOOSE(CONTROL!$C$32, $C$9, 100%, $E$9)</f>
        <v>9.1029</v>
      </c>
      <c r="L252" s="27">
        <f>5.7152 * CHOOSE(CONTROL!$C$32, $C$9, 100%, $E$9)</f>
        <v>5.7152000000000003</v>
      </c>
      <c r="M252" s="27">
        <f>5.7188 * CHOOSE(CONTROL!$C$32, $C$9, 100%, $E$9)</f>
        <v>5.7187999999999999</v>
      </c>
      <c r="N252" s="27">
        <f>5.7152 * CHOOSE(CONTROL!$C$32, $C$9, 100%, $E$9)</f>
        <v>5.7152000000000003</v>
      </c>
      <c r="O252" s="27">
        <f>5.7188 * CHOOSE(CONTROL!$C$32, $C$9, 100%, $E$9)</f>
        <v>5.7187999999999999</v>
      </c>
    </row>
    <row r="253" spans="1:15" ht="15" x14ac:dyDescent="0.2">
      <c r="A253" s="16">
        <v>48549</v>
      </c>
      <c r="B253" s="26">
        <f>4.4605 * CHOOSE(CONTROL!$C$32, $C$9, 100%, $E$9)</f>
        <v>4.4604999999999997</v>
      </c>
      <c r="C253" s="26">
        <f>4.4605 * CHOOSE(CONTROL!$C$32, $C$9, 100%, $E$9)</f>
        <v>4.4604999999999997</v>
      </c>
      <c r="D253" s="26">
        <f>4.4616 * CHOOSE(CONTROL!$C$32, $C$9, 100%, $E$9)</f>
        <v>4.4615999999999998</v>
      </c>
      <c r="E253" s="27">
        <f>5.7152 * CHOOSE(CONTROL!$C$32, $C$9, 100%, $E$9)</f>
        <v>5.7152000000000003</v>
      </c>
      <c r="F253" s="27">
        <f>5.7152 * CHOOSE(CONTROL!$C$32, $C$9, 100%, $E$9)</f>
        <v>5.7152000000000003</v>
      </c>
      <c r="G253" s="27">
        <f>5.7188 * CHOOSE(CONTROL!$C$32, $C$9, 100%, $E$9)</f>
        <v>5.7187999999999999</v>
      </c>
      <c r="H253" s="27">
        <f>9.1183 * CHOOSE(CONTROL!$C$32, $C$9, 100%, $E$9)</f>
        <v>9.1182999999999996</v>
      </c>
      <c r="I253" s="27">
        <f>9.1219 * CHOOSE(CONTROL!$C$32, $C$9, 100%, $E$9)</f>
        <v>9.1219000000000001</v>
      </c>
      <c r="J253" s="27">
        <f>9.1183 * CHOOSE(CONTROL!$C$32, $C$9, 100%, $E$9)</f>
        <v>9.1182999999999996</v>
      </c>
      <c r="K253" s="27">
        <f>9.1219 * CHOOSE(CONTROL!$C$32, $C$9, 100%, $E$9)</f>
        <v>9.1219000000000001</v>
      </c>
      <c r="L253" s="27">
        <f>5.7152 * CHOOSE(CONTROL!$C$32, $C$9, 100%, $E$9)</f>
        <v>5.7152000000000003</v>
      </c>
      <c r="M253" s="27">
        <f>5.7188 * CHOOSE(CONTROL!$C$32, $C$9, 100%, $E$9)</f>
        <v>5.7187999999999999</v>
      </c>
      <c r="N253" s="27">
        <f>5.7152 * CHOOSE(CONTROL!$C$32, $C$9, 100%, $E$9)</f>
        <v>5.7152000000000003</v>
      </c>
      <c r="O253" s="27">
        <f>5.7188 * CHOOSE(CONTROL!$C$32, $C$9, 100%, $E$9)</f>
        <v>5.7187999999999999</v>
      </c>
    </row>
    <row r="254" spans="1:15" ht="15" x14ac:dyDescent="0.2">
      <c r="A254" s="16">
        <v>48580</v>
      </c>
      <c r="B254" s="26">
        <f>4.4966 * CHOOSE(CONTROL!$C$32, $C$9, 100%, $E$9)</f>
        <v>4.4965999999999999</v>
      </c>
      <c r="C254" s="26">
        <f>4.4966 * CHOOSE(CONTROL!$C$32, $C$9, 100%, $E$9)</f>
        <v>4.4965999999999999</v>
      </c>
      <c r="D254" s="26">
        <f>4.4977 * CHOOSE(CONTROL!$C$32, $C$9, 100%, $E$9)</f>
        <v>4.4977</v>
      </c>
      <c r="E254" s="27">
        <f>5.7608 * CHOOSE(CONTROL!$C$32, $C$9, 100%, $E$9)</f>
        <v>5.7607999999999997</v>
      </c>
      <c r="F254" s="27">
        <f>5.7608 * CHOOSE(CONTROL!$C$32, $C$9, 100%, $E$9)</f>
        <v>5.7607999999999997</v>
      </c>
      <c r="G254" s="27">
        <f>5.7644 * CHOOSE(CONTROL!$C$32, $C$9, 100%, $E$9)</f>
        <v>5.7644000000000002</v>
      </c>
      <c r="H254" s="27">
        <f>9.1373 * CHOOSE(CONTROL!$C$32, $C$9, 100%, $E$9)</f>
        <v>9.1372999999999998</v>
      </c>
      <c r="I254" s="27">
        <f>9.1409 * CHOOSE(CONTROL!$C$32, $C$9, 100%, $E$9)</f>
        <v>9.1409000000000002</v>
      </c>
      <c r="J254" s="27">
        <f>9.1373 * CHOOSE(CONTROL!$C$32, $C$9, 100%, $E$9)</f>
        <v>9.1372999999999998</v>
      </c>
      <c r="K254" s="27">
        <f>9.1409 * CHOOSE(CONTROL!$C$32, $C$9, 100%, $E$9)</f>
        <v>9.1409000000000002</v>
      </c>
      <c r="L254" s="27">
        <f>5.7608 * CHOOSE(CONTROL!$C$32, $C$9, 100%, $E$9)</f>
        <v>5.7607999999999997</v>
      </c>
      <c r="M254" s="27">
        <f>5.7644 * CHOOSE(CONTROL!$C$32, $C$9, 100%, $E$9)</f>
        <v>5.7644000000000002</v>
      </c>
      <c r="N254" s="27">
        <f>5.7608 * CHOOSE(CONTROL!$C$32, $C$9, 100%, $E$9)</f>
        <v>5.7607999999999997</v>
      </c>
      <c r="O254" s="27">
        <f>5.7644 * CHOOSE(CONTROL!$C$32, $C$9, 100%, $E$9)</f>
        <v>5.7644000000000002</v>
      </c>
    </row>
    <row r="255" spans="1:15" ht="15" x14ac:dyDescent="0.2">
      <c r="A255" s="16">
        <v>48611</v>
      </c>
      <c r="B255" s="26">
        <f>4.4936 * CHOOSE(CONTROL!$C$32, $C$9, 100%, $E$9)</f>
        <v>4.4935999999999998</v>
      </c>
      <c r="C255" s="26">
        <f>4.4936 * CHOOSE(CONTROL!$C$32, $C$9, 100%, $E$9)</f>
        <v>4.4935999999999998</v>
      </c>
      <c r="D255" s="26">
        <f>4.4946 * CHOOSE(CONTROL!$C$32, $C$9, 100%, $E$9)</f>
        <v>4.4946000000000002</v>
      </c>
      <c r="E255" s="27">
        <f>5.7588 * CHOOSE(CONTROL!$C$32, $C$9, 100%, $E$9)</f>
        <v>5.7587999999999999</v>
      </c>
      <c r="F255" s="27">
        <f>5.7588 * CHOOSE(CONTROL!$C$32, $C$9, 100%, $E$9)</f>
        <v>5.7587999999999999</v>
      </c>
      <c r="G255" s="27">
        <f>5.7624 * CHOOSE(CONTROL!$C$32, $C$9, 100%, $E$9)</f>
        <v>5.7624000000000004</v>
      </c>
      <c r="H255" s="27">
        <f>9.1563 * CHOOSE(CONTROL!$C$32, $C$9, 100%, $E$9)</f>
        <v>9.1562999999999999</v>
      </c>
      <c r="I255" s="27">
        <f>9.1599 * CHOOSE(CONTROL!$C$32, $C$9, 100%, $E$9)</f>
        <v>9.1599000000000004</v>
      </c>
      <c r="J255" s="27">
        <f>9.1563 * CHOOSE(CONTROL!$C$32, $C$9, 100%, $E$9)</f>
        <v>9.1562999999999999</v>
      </c>
      <c r="K255" s="27">
        <f>9.1599 * CHOOSE(CONTROL!$C$32, $C$9, 100%, $E$9)</f>
        <v>9.1599000000000004</v>
      </c>
      <c r="L255" s="27">
        <f>5.7588 * CHOOSE(CONTROL!$C$32, $C$9, 100%, $E$9)</f>
        <v>5.7587999999999999</v>
      </c>
      <c r="M255" s="27">
        <f>5.7624 * CHOOSE(CONTROL!$C$32, $C$9, 100%, $E$9)</f>
        <v>5.7624000000000004</v>
      </c>
      <c r="N255" s="27">
        <f>5.7588 * CHOOSE(CONTROL!$C$32, $C$9, 100%, $E$9)</f>
        <v>5.7587999999999999</v>
      </c>
      <c r="O255" s="27">
        <f>5.7624 * CHOOSE(CONTROL!$C$32, $C$9, 100%, $E$9)</f>
        <v>5.7624000000000004</v>
      </c>
    </row>
    <row r="256" spans="1:15" ht="15" x14ac:dyDescent="0.2">
      <c r="A256" s="16">
        <v>48639</v>
      </c>
      <c r="B256" s="26">
        <f>4.4905 * CHOOSE(CONTROL!$C$32, $C$9, 100%, $E$9)</f>
        <v>4.4904999999999999</v>
      </c>
      <c r="C256" s="26">
        <f>4.4905 * CHOOSE(CONTROL!$C$32, $C$9, 100%, $E$9)</f>
        <v>4.4904999999999999</v>
      </c>
      <c r="D256" s="26">
        <f>4.4916 * CHOOSE(CONTROL!$C$32, $C$9, 100%, $E$9)</f>
        <v>4.4916</v>
      </c>
      <c r="E256" s="27">
        <f>5.7568 * CHOOSE(CONTROL!$C$32, $C$9, 100%, $E$9)</f>
        <v>5.7568000000000001</v>
      </c>
      <c r="F256" s="27">
        <f>5.7568 * CHOOSE(CONTROL!$C$32, $C$9, 100%, $E$9)</f>
        <v>5.7568000000000001</v>
      </c>
      <c r="G256" s="27">
        <f>5.7604 * CHOOSE(CONTROL!$C$32, $C$9, 100%, $E$9)</f>
        <v>5.7603999999999997</v>
      </c>
      <c r="H256" s="27">
        <f>9.1754 * CHOOSE(CONTROL!$C$32, $C$9, 100%, $E$9)</f>
        <v>9.1753999999999998</v>
      </c>
      <c r="I256" s="27">
        <f>9.179 * CHOOSE(CONTROL!$C$32, $C$9, 100%, $E$9)</f>
        <v>9.1790000000000003</v>
      </c>
      <c r="J256" s="27">
        <f>9.1754 * CHOOSE(CONTROL!$C$32, $C$9, 100%, $E$9)</f>
        <v>9.1753999999999998</v>
      </c>
      <c r="K256" s="27">
        <f>9.179 * CHOOSE(CONTROL!$C$32, $C$9, 100%, $E$9)</f>
        <v>9.1790000000000003</v>
      </c>
      <c r="L256" s="27">
        <f>5.7568 * CHOOSE(CONTROL!$C$32, $C$9, 100%, $E$9)</f>
        <v>5.7568000000000001</v>
      </c>
      <c r="M256" s="27">
        <f>5.7604 * CHOOSE(CONTROL!$C$32, $C$9, 100%, $E$9)</f>
        <v>5.7603999999999997</v>
      </c>
      <c r="N256" s="27">
        <f>5.7568 * CHOOSE(CONTROL!$C$32, $C$9, 100%, $E$9)</f>
        <v>5.7568000000000001</v>
      </c>
      <c r="O256" s="27">
        <f>5.7604 * CHOOSE(CONTROL!$C$32, $C$9, 100%, $E$9)</f>
        <v>5.7603999999999997</v>
      </c>
    </row>
    <row r="257" spans="1:15" ht="15" x14ac:dyDescent="0.2">
      <c r="A257" s="16">
        <v>48670</v>
      </c>
      <c r="B257" s="26">
        <f>4.4887 * CHOOSE(CONTROL!$C$32, $C$9, 100%, $E$9)</f>
        <v>4.4886999999999997</v>
      </c>
      <c r="C257" s="26">
        <f>4.4887 * CHOOSE(CONTROL!$C$32, $C$9, 100%, $E$9)</f>
        <v>4.4886999999999997</v>
      </c>
      <c r="D257" s="26">
        <f>4.4897 * CHOOSE(CONTROL!$C$32, $C$9, 100%, $E$9)</f>
        <v>4.4897</v>
      </c>
      <c r="E257" s="27">
        <f>5.755 * CHOOSE(CONTROL!$C$32, $C$9, 100%, $E$9)</f>
        <v>5.7549999999999999</v>
      </c>
      <c r="F257" s="27">
        <f>5.755 * CHOOSE(CONTROL!$C$32, $C$9, 100%, $E$9)</f>
        <v>5.7549999999999999</v>
      </c>
      <c r="G257" s="27">
        <f>5.7586 * CHOOSE(CONTROL!$C$32, $C$9, 100%, $E$9)</f>
        <v>5.7586000000000004</v>
      </c>
      <c r="H257" s="27">
        <f>9.1945 * CHOOSE(CONTROL!$C$32, $C$9, 100%, $E$9)</f>
        <v>9.1944999999999997</v>
      </c>
      <c r="I257" s="27">
        <f>9.1981 * CHOOSE(CONTROL!$C$32, $C$9, 100%, $E$9)</f>
        <v>9.1981000000000002</v>
      </c>
      <c r="J257" s="27">
        <f>9.1945 * CHOOSE(CONTROL!$C$32, $C$9, 100%, $E$9)</f>
        <v>9.1944999999999997</v>
      </c>
      <c r="K257" s="27">
        <f>9.1981 * CHOOSE(CONTROL!$C$32, $C$9, 100%, $E$9)</f>
        <v>9.1981000000000002</v>
      </c>
      <c r="L257" s="27">
        <f>5.755 * CHOOSE(CONTROL!$C$32, $C$9, 100%, $E$9)</f>
        <v>5.7549999999999999</v>
      </c>
      <c r="M257" s="27">
        <f>5.7586 * CHOOSE(CONTROL!$C$32, $C$9, 100%, $E$9)</f>
        <v>5.7586000000000004</v>
      </c>
      <c r="N257" s="27">
        <f>5.755 * CHOOSE(CONTROL!$C$32, $C$9, 100%, $E$9)</f>
        <v>5.7549999999999999</v>
      </c>
      <c r="O257" s="27">
        <f>5.7586 * CHOOSE(CONTROL!$C$32, $C$9, 100%, $E$9)</f>
        <v>5.7586000000000004</v>
      </c>
    </row>
    <row r="258" spans="1:15" ht="15" x14ac:dyDescent="0.2">
      <c r="A258" s="16">
        <v>48700</v>
      </c>
      <c r="B258" s="26">
        <f>4.4887 * CHOOSE(CONTROL!$C$32, $C$9, 100%, $E$9)</f>
        <v>4.4886999999999997</v>
      </c>
      <c r="C258" s="26">
        <f>4.4887 * CHOOSE(CONTROL!$C$32, $C$9, 100%, $E$9)</f>
        <v>4.4886999999999997</v>
      </c>
      <c r="D258" s="26">
        <f>4.4902 * CHOOSE(CONTROL!$C$32, $C$9, 100%, $E$9)</f>
        <v>4.4901999999999997</v>
      </c>
      <c r="E258" s="27">
        <f>5.755 * CHOOSE(CONTROL!$C$32, $C$9, 100%, $E$9)</f>
        <v>5.7549999999999999</v>
      </c>
      <c r="F258" s="27">
        <f>5.755 * CHOOSE(CONTROL!$C$32, $C$9, 100%, $E$9)</f>
        <v>5.7549999999999999</v>
      </c>
      <c r="G258" s="27">
        <f>5.7602 * CHOOSE(CONTROL!$C$32, $C$9, 100%, $E$9)</f>
        <v>5.7602000000000002</v>
      </c>
      <c r="H258" s="27">
        <f>9.2136 * CHOOSE(CONTROL!$C$32, $C$9, 100%, $E$9)</f>
        <v>9.2135999999999996</v>
      </c>
      <c r="I258" s="27">
        <f>9.2189 * CHOOSE(CONTROL!$C$32, $C$9, 100%, $E$9)</f>
        <v>9.2188999999999997</v>
      </c>
      <c r="J258" s="27">
        <f>9.2136 * CHOOSE(CONTROL!$C$32, $C$9, 100%, $E$9)</f>
        <v>9.2135999999999996</v>
      </c>
      <c r="K258" s="27">
        <f>9.2189 * CHOOSE(CONTROL!$C$32, $C$9, 100%, $E$9)</f>
        <v>9.2188999999999997</v>
      </c>
      <c r="L258" s="27">
        <f>5.755 * CHOOSE(CONTROL!$C$32, $C$9, 100%, $E$9)</f>
        <v>5.7549999999999999</v>
      </c>
      <c r="M258" s="27">
        <f>5.7602 * CHOOSE(CONTROL!$C$32, $C$9, 100%, $E$9)</f>
        <v>5.7602000000000002</v>
      </c>
      <c r="N258" s="27">
        <f>5.755 * CHOOSE(CONTROL!$C$32, $C$9, 100%, $E$9)</f>
        <v>5.7549999999999999</v>
      </c>
      <c r="O258" s="27">
        <f>5.7602 * CHOOSE(CONTROL!$C$32, $C$9, 100%, $E$9)</f>
        <v>5.7602000000000002</v>
      </c>
    </row>
    <row r="259" spans="1:15" ht="15" x14ac:dyDescent="0.2">
      <c r="A259" s="16">
        <v>48731</v>
      </c>
      <c r="B259" s="26">
        <f>4.4947 * CHOOSE(CONTROL!$C$32, $C$9, 100%, $E$9)</f>
        <v>4.4946999999999999</v>
      </c>
      <c r="C259" s="26">
        <f>4.4947 * CHOOSE(CONTROL!$C$32, $C$9, 100%, $E$9)</f>
        <v>4.4946999999999999</v>
      </c>
      <c r="D259" s="26">
        <f>4.4963 * CHOOSE(CONTROL!$C$32, $C$9, 100%, $E$9)</f>
        <v>4.4962999999999997</v>
      </c>
      <c r="E259" s="27">
        <f>5.759 * CHOOSE(CONTROL!$C$32, $C$9, 100%, $E$9)</f>
        <v>5.7590000000000003</v>
      </c>
      <c r="F259" s="27">
        <f>5.759 * CHOOSE(CONTROL!$C$32, $C$9, 100%, $E$9)</f>
        <v>5.7590000000000003</v>
      </c>
      <c r="G259" s="27">
        <f>5.7642 * CHOOSE(CONTROL!$C$32, $C$9, 100%, $E$9)</f>
        <v>5.7641999999999998</v>
      </c>
      <c r="H259" s="27">
        <f>9.2328 * CHOOSE(CONTROL!$C$32, $C$9, 100%, $E$9)</f>
        <v>9.2327999999999992</v>
      </c>
      <c r="I259" s="27">
        <f>9.2381 * CHOOSE(CONTROL!$C$32, $C$9, 100%, $E$9)</f>
        <v>9.2380999999999993</v>
      </c>
      <c r="J259" s="27">
        <f>9.2328 * CHOOSE(CONTROL!$C$32, $C$9, 100%, $E$9)</f>
        <v>9.2327999999999992</v>
      </c>
      <c r="K259" s="27">
        <f>9.2381 * CHOOSE(CONTROL!$C$32, $C$9, 100%, $E$9)</f>
        <v>9.2380999999999993</v>
      </c>
      <c r="L259" s="27">
        <f>5.759 * CHOOSE(CONTROL!$C$32, $C$9, 100%, $E$9)</f>
        <v>5.7590000000000003</v>
      </c>
      <c r="M259" s="27">
        <f>5.7642 * CHOOSE(CONTROL!$C$32, $C$9, 100%, $E$9)</f>
        <v>5.7641999999999998</v>
      </c>
      <c r="N259" s="27">
        <f>5.759 * CHOOSE(CONTROL!$C$32, $C$9, 100%, $E$9)</f>
        <v>5.7590000000000003</v>
      </c>
      <c r="O259" s="27">
        <f>5.7642 * CHOOSE(CONTROL!$C$32, $C$9, 100%, $E$9)</f>
        <v>5.7641999999999998</v>
      </c>
    </row>
    <row r="260" spans="1:15" ht="15" x14ac:dyDescent="0.2">
      <c r="A260" s="16">
        <v>48761</v>
      </c>
      <c r="B260" s="26">
        <f>4.5602 * CHOOSE(CONTROL!$C$32, $C$9, 100%, $E$9)</f>
        <v>4.5602</v>
      </c>
      <c r="C260" s="26">
        <f>4.5602 * CHOOSE(CONTROL!$C$32, $C$9, 100%, $E$9)</f>
        <v>4.5602</v>
      </c>
      <c r="D260" s="26">
        <f>4.5618 * CHOOSE(CONTROL!$C$32, $C$9, 100%, $E$9)</f>
        <v>4.5617999999999999</v>
      </c>
      <c r="E260" s="27">
        <f>5.8589 * CHOOSE(CONTROL!$C$32, $C$9, 100%, $E$9)</f>
        <v>5.8589000000000002</v>
      </c>
      <c r="F260" s="27">
        <f>5.8589 * CHOOSE(CONTROL!$C$32, $C$9, 100%, $E$9)</f>
        <v>5.8589000000000002</v>
      </c>
      <c r="G260" s="27">
        <f>5.8642 * CHOOSE(CONTROL!$C$32, $C$9, 100%, $E$9)</f>
        <v>5.8642000000000003</v>
      </c>
      <c r="H260" s="27">
        <f>9.2521 * CHOOSE(CONTROL!$C$32, $C$9, 100%, $E$9)</f>
        <v>9.2521000000000004</v>
      </c>
      <c r="I260" s="27">
        <f>9.2574 * CHOOSE(CONTROL!$C$32, $C$9, 100%, $E$9)</f>
        <v>9.2574000000000005</v>
      </c>
      <c r="J260" s="27">
        <f>9.2521 * CHOOSE(CONTROL!$C$32, $C$9, 100%, $E$9)</f>
        <v>9.2521000000000004</v>
      </c>
      <c r="K260" s="27">
        <f>9.2574 * CHOOSE(CONTROL!$C$32, $C$9, 100%, $E$9)</f>
        <v>9.2574000000000005</v>
      </c>
      <c r="L260" s="27">
        <f>5.8589 * CHOOSE(CONTROL!$C$32, $C$9, 100%, $E$9)</f>
        <v>5.8589000000000002</v>
      </c>
      <c r="M260" s="27">
        <f>5.8642 * CHOOSE(CONTROL!$C$32, $C$9, 100%, $E$9)</f>
        <v>5.8642000000000003</v>
      </c>
      <c r="N260" s="27">
        <f>5.8589 * CHOOSE(CONTROL!$C$32, $C$9, 100%, $E$9)</f>
        <v>5.8589000000000002</v>
      </c>
      <c r="O260" s="27">
        <f>5.8642 * CHOOSE(CONTROL!$C$32, $C$9, 100%, $E$9)</f>
        <v>5.8642000000000003</v>
      </c>
    </row>
    <row r="261" spans="1:15" ht="15" x14ac:dyDescent="0.2">
      <c r="A261" s="16">
        <v>48792</v>
      </c>
      <c r="B261" s="26">
        <f>4.5669 * CHOOSE(CONTROL!$C$32, $C$9, 100%, $E$9)</f>
        <v>4.5669000000000004</v>
      </c>
      <c r="C261" s="26">
        <f>4.5669 * CHOOSE(CONTROL!$C$32, $C$9, 100%, $E$9)</f>
        <v>4.5669000000000004</v>
      </c>
      <c r="D261" s="26">
        <f>4.5685 * CHOOSE(CONTROL!$C$32, $C$9, 100%, $E$9)</f>
        <v>4.5685000000000002</v>
      </c>
      <c r="E261" s="27">
        <f>5.8633 * CHOOSE(CONTROL!$C$32, $C$9, 100%, $E$9)</f>
        <v>5.8632999999999997</v>
      </c>
      <c r="F261" s="27">
        <f>5.8633 * CHOOSE(CONTROL!$C$32, $C$9, 100%, $E$9)</f>
        <v>5.8632999999999997</v>
      </c>
      <c r="G261" s="27">
        <f>5.8686 * CHOOSE(CONTROL!$C$32, $C$9, 100%, $E$9)</f>
        <v>5.8685999999999998</v>
      </c>
      <c r="H261" s="27">
        <f>9.2713 * CHOOSE(CONTROL!$C$32, $C$9, 100%, $E$9)</f>
        <v>9.2713000000000001</v>
      </c>
      <c r="I261" s="27">
        <f>9.2766 * CHOOSE(CONTROL!$C$32, $C$9, 100%, $E$9)</f>
        <v>9.2766000000000002</v>
      </c>
      <c r="J261" s="27">
        <f>9.2713 * CHOOSE(CONTROL!$C$32, $C$9, 100%, $E$9)</f>
        <v>9.2713000000000001</v>
      </c>
      <c r="K261" s="27">
        <f>9.2766 * CHOOSE(CONTROL!$C$32, $C$9, 100%, $E$9)</f>
        <v>9.2766000000000002</v>
      </c>
      <c r="L261" s="27">
        <f>5.8633 * CHOOSE(CONTROL!$C$32, $C$9, 100%, $E$9)</f>
        <v>5.8632999999999997</v>
      </c>
      <c r="M261" s="27">
        <f>5.8686 * CHOOSE(CONTROL!$C$32, $C$9, 100%, $E$9)</f>
        <v>5.8685999999999998</v>
      </c>
      <c r="N261" s="27">
        <f>5.8633 * CHOOSE(CONTROL!$C$32, $C$9, 100%, $E$9)</f>
        <v>5.8632999999999997</v>
      </c>
      <c r="O261" s="27">
        <f>5.8686 * CHOOSE(CONTROL!$C$32, $C$9, 100%, $E$9)</f>
        <v>5.8685999999999998</v>
      </c>
    </row>
    <row r="262" spans="1:15" ht="15" x14ac:dyDescent="0.2">
      <c r="A262" s="16">
        <v>48823</v>
      </c>
      <c r="B262" s="26">
        <f>4.5638 * CHOOSE(CONTROL!$C$32, $C$9, 100%, $E$9)</f>
        <v>4.5637999999999996</v>
      </c>
      <c r="C262" s="26">
        <f>4.5638 * CHOOSE(CONTROL!$C$32, $C$9, 100%, $E$9)</f>
        <v>4.5637999999999996</v>
      </c>
      <c r="D262" s="26">
        <f>4.5654 * CHOOSE(CONTROL!$C$32, $C$9, 100%, $E$9)</f>
        <v>4.5654000000000003</v>
      </c>
      <c r="E262" s="27">
        <f>5.8613 * CHOOSE(CONTROL!$C$32, $C$9, 100%, $E$9)</f>
        <v>5.8613</v>
      </c>
      <c r="F262" s="27">
        <f>5.8613 * CHOOSE(CONTROL!$C$32, $C$9, 100%, $E$9)</f>
        <v>5.8613</v>
      </c>
      <c r="G262" s="27">
        <f>5.8666 * CHOOSE(CONTROL!$C$32, $C$9, 100%, $E$9)</f>
        <v>5.8666</v>
      </c>
      <c r="H262" s="27">
        <f>9.2907 * CHOOSE(CONTROL!$C$32, $C$9, 100%, $E$9)</f>
        <v>9.2906999999999993</v>
      </c>
      <c r="I262" s="27">
        <f>9.296 * CHOOSE(CONTROL!$C$32, $C$9, 100%, $E$9)</f>
        <v>9.2959999999999994</v>
      </c>
      <c r="J262" s="27">
        <f>9.2907 * CHOOSE(CONTROL!$C$32, $C$9, 100%, $E$9)</f>
        <v>9.2906999999999993</v>
      </c>
      <c r="K262" s="27">
        <f>9.296 * CHOOSE(CONTROL!$C$32, $C$9, 100%, $E$9)</f>
        <v>9.2959999999999994</v>
      </c>
      <c r="L262" s="27">
        <f>5.8613 * CHOOSE(CONTROL!$C$32, $C$9, 100%, $E$9)</f>
        <v>5.8613</v>
      </c>
      <c r="M262" s="27">
        <f>5.8666 * CHOOSE(CONTROL!$C$32, $C$9, 100%, $E$9)</f>
        <v>5.8666</v>
      </c>
      <c r="N262" s="27">
        <f>5.8613 * CHOOSE(CONTROL!$C$32, $C$9, 100%, $E$9)</f>
        <v>5.8613</v>
      </c>
      <c r="O262" s="27">
        <f>5.8666 * CHOOSE(CONTROL!$C$32, $C$9, 100%, $E$9)</f>
        <v>5.8666</v>
      </c>
    </row>
    <row r="263" spans="1:15" ht="15" x14ac:dyDescent="0.2">
      <c r="A263" s="16">
        <v>48853</v>
      </c>
      <c r="B263" s="26">
        <f>4.561 * CHOOSE(CONTROL!$C$32, $C$9, 100%, $E$9)</f>
        <v>4.5609999999999999</v>
      </c>
      <c r="C263" s="26">
        <f>4.561 * CHOOSE(CONTROL!$C$32, $C$9, 100%, $E$9)</f>
        <v>4.5609999999999999</v>
      </c>
      <c r="D263" s="26">
        <f>4.5621 * CHOOSE(CONTROL!$C$32, $C$9, 100%, $E$9)</f>
        <v>4.5621</v>
      </c>
      <c r="E263" s="27">
        <f>5.8571 * CHOOSE(CONTROL!$C$32, $C$9, 100%, $E$9)</f>
        <v>5.8571</v>
      </c>
      <c r="F263" s="27">
        <f>5.8571 * CHOOSE(CONTROL!$C$32, $C$9, 100%, $E$9)</f>
        <v>5.8571</v>
      </c>
      <c r="G263" s="27">
        <f>5.8607 * CHOOSE(CONTROL!$C$32, $C$9, 100%, $E$9)</f>
        <v>5.8606999999999996</v>
      </c>
      <c r="H263" s="27">
        <f>9.31 * CHOOSE(CONTROL!$C$32, $C$9, 100%, $E$9)</f>
        <v>9.31</v>
      </c>
      <c r="I263" s="27">
        <f>9.3136 * CHOOSE(CONTROL!$C$32, $C$9, 100%, $E$9)</f>
        <v>9.3135999999999992</v>
      </c>
      <c r="J263" s="27">
        <f>9.31 * CHOOSE(CONTROL!$C$32, $C$9, 100%, $E$9)</f>
        <v>9.31</v>
      </c>
      <c r="K263" s="27">
        <f>9.3136 * CHOOSE(CONTROL!$C$32, $C$9, 100%, $E$9)</f>
        <v>9.3135999999999992</v>
      </c>
      <c r="L263" s="27">
        <f>5.8571 * CHOOSE(CONTROL!$C$32, $C$9, 100%, $E$9)</f>
        <v>5.8571</v>
      </c>
      <c r="M263" s="27">
        <f>5.8607 * CHOOSE(CONTROL!$C$32, $C$9, 100%, $E$9)</f>
        <v>5.8606999999999996</v>
      </c>
      <c r="N263" s="27">
        <f>5.8571 * CHOOSE(CONTROL!$C$32, $C$9, 100%, $E$9)</f>
        <v>5.8571</v>
      </c>
      <c r="O263" s="27">
        <f>5.8607 * CHOOSE(CONTROL!$C$32, $C$9, 100%, $E$9)</f>
        <v>5.8606999999999996</v>
      </c>
    </row>
    <row r="264" spans="1:15" ht="15" x14ac:dyDescent="0.2">
      <c r="A264" s="16">
        <v>48884</v>
      </c>
      <c r="B264" s="26">
        <f>4.564 * CHOOSE(CONTROL!$C$32, $C$9, 100%, $E$9)</f>
        <v>4.5640000000000001</v>
      </c>
      <c r="C264" s="26">
        <f>4.564 * CHOOSE(CONTROL!$C$32, $C$9, 100%, $E$9)</f>
        <v>4.5640000000000001</v>
      </c>
      <c r="D264" s="26">
        <f>4.5651 * CHOOSE(CONTROL!$C$32, $C$9, 100%, $E$9)</f>
        <v>4.5651000000000002</v>
      </c>
      <c r="E264" s="27">
        <f>5.8591 * CHOOSE(CONTROL!$C$32, $C$9, 100%, $E$9)</f>
        <v>5.8590999999999998</v>
      </c>
      <c r="F264" s="27">
        <f>5.8591 * CHOOSE(CONTROL!$C$32, $C$9, 100%, $E$9)</f>
        <v>5.8590999999999998</v>
      </c>
      <c r="G264" s="27">
        <f>5.8627 * CHOOSE(CONTROL!$C$32, $C$9, 100%, $E$9)</f>
        <v>5.8627000000000002</v>
      </c>
      <c r="H264" s="27">
        <f>9.3294 * CHOOSE(CONTROL!$C$32, $C$9, 100%, $E$9)</f>
        <v>9.3293999999999997</v>
      </c>
      <c r="I264" s="27">
        <f>9.333 * CHOOSE(CONTROL!$C$32, $C$9, 100%, $E$9)</f>
        <v>9.3330000000000002</v>
      </c>
      <c r="J264" s="27">
        <f>9.3294 * CHOOSE(CONTROL!$C$32, $C$9, 100%, $E$9)</f>
        <v>9.3293999999999997</v>
      </c>
      <c r="K264" s="27">
        <f>9.333 * CHOOSE(CONTROL!$C$32, $C$9, 100%, $E$9)</f>
        <v>9.3330000000000002</v>
      </c>
      <c r="L264" s="27">
        <f>5.8591 * CHOOSE(CONTROL!$C$32, $C$9, 100%, $E$9)</f>
        <v>5.8590999999999998</v>
      </c>
      <c r="M264" s="27">
        <f>5.8627 * CHOOSE(CONTROL!$C$32, $C$9, 100%, $E$9)</f>
        <v>5.8627000000000002</v>
      </c>
      <c r="N264" s="27">
        <f>5.8591 * CHOOSE(CONTROL!$C$32, $C$9, 100%, $E$9)</f>
        <v>5.8590999999999998</v>
      </c>
      <c r="O264" s="27">
        <f>5.8627 * CHOOSE(CONTROL!$C$32, $C$9, 100%, $E$9)</f>
        <v>5.8627000000000002</v>
      </c>
    </row>
    <row r="265" spans="1:15" ht="15" x14ac:dyDescent="0.2">
      <c r="A265" s="16">
        <v>48914</v>
      </c>
      <c r="B265" s="26">
        <f>4.564 * CHOOSE(CONTROL!$C$32, $C$9, 100%, $E$9)</f>
        <v>4.5640000000000001</v>
      </c>
      <c r="C265" s="26">
        <f>4.564 * CHOOSE(CONTROL!$C$32, $C$9, 100%, $E$9)</f>
        <v>4.5640000000000001</v>
      </c>
      <c r="D265" s="26">
        <f>4.5651 * CHOOSE(CONTROL!$C$32, $C$9, 100%, $E$9)</f>
        <v>4.5651000000000002</v>
      </c>
      <c r="E265" s="27">
        <f>5.8591 * CHOOSE(CONTROL!$C$32, $C$9, 100%, $E$9)</f>
        <v>5.8590999999999998</v>
      </c>
      <c r="F265" s="27">
        <f>5.8591 * CHOOSE(CONTROL!$C$32, $C$9, 100%, $E$9)</f>
        <v>5.8590999999999998</v>
      </c>
      <c r="G265" s="27">
        <f>5.8627 * CHOOSE(CONTROL!$C$32, $C$9, 100%, $E$9)</f>
        <v>5.8627000000000002</v>
      </c>
      <c r="H265" s="27">
        <f>9.3488 * CHOOSE(CONTROL!$C$32, $C$9, 100%, $E$9)</f>
        <v>9.3488000000000007</v>
      </c>
      <c r="I265" s="27">
        <f>9.3525 * CHOOSE(CONTROL!$C$32, $C$9, 100%, $E$9)</f>
        <v>9.3524999999999991</v>
      </c>
      <c r="J265" s="27">
        <f>9.3488 * CHOOSE(CONTROL!$C$32, $C$9, 100%, $E$9)</f>
        <v>9.3488000000000007</v>
      </c>
      <c r="K265" s="27">
        <f>9.3525 * CHOOSE(CONTROL!$C$32, $C$9, 100%, $E$9)</f>
        <v>9.3524999999999991</v>
      </c>
      <c r="L265" s="27">
        <f>5.8591 * CHOOSE(CONTROL!$C$32, $C$9, 100%, $E$9)</f>
        <v>5.8590999999999998</v>
      </c>
      <c r="M265" s="27">
        <f>5.8627 * CHOOSE(CONTROL!$C$32, $C$9, 100%, $E$9)</f>
        <v>5.8627000000000002</v>
      </c>
      <c r="N265" s="27">
        <f>5.8591 * CHOOSE(CONTROL!$C$32, $C$9, 100%, $E$9)</f>
        <v>5.8590999999999998</v>
      </c>
      <c r="O265" s="27">
        <f>5.8627 * CHOOSE(CONTROL!$C$32, $C$9, 100%, $E$9)</f>
        <v>5.8627000000000002</v>
      </c>
    </row>
    <row r="266" spans="1:15" ht="15" x14ac:dyDescent="0.2">
      <c r="A266" s="16">
        <v>48945</v>
      </c>
      <c r="B266" s="26">
        <f>4.6027 * CHOOSE(CONTROL!$C$32, $C$9, 100%, $E$9)</f>
        <v>4.6026999999999996</v>
      </c>
      <c r="C266" s="26">
        <f>4.6027 * CHOOSE(CONTROL!$C$32, $C$9, 100%, $E$9)</f>
        <v>4.6026999999999996</v>
      </c>
      <c r="D266" s="26">
        <f>4.6037 * CHOOSE(CONTROL!$C$32, $C$9, 100%, $E$9)</f>
        <v>4.6036999999999999</v>
      </c>
      <c r="E266" s="27">
        <f>5.9092 * CHOOSE(CONTROL!$C$32, $C$9, 100%, $E$9)</f>
        <v>5.9092000000000002</v>
      </c>
      <c r="F266" s="27">
        <f>5.9092 * CHOOSE(CONTROL!$C$32, $C$9, 100%, $E$9)</f>
        <v>5.9092000000000002</v>
      </c>
      <c r="G266" s="27">
        <f>5.9129 * CHOOSE(CONTROL!$C$32, $C$9, 100%, $E$9)</f>
        <v>5.9128999999999996</v>
      </c>
      <c r="H266" s="27">
        <f>9.3683 * CHOOSE(CONTROL!$C$32, $C$9, 100%, $E$9)</f>
        <v>9.3682999999999996</v>
      </c>
      <c r="I266" s="27">
        <f>9.3719 * CHOOSE(CONTROL!$C$32, $C$9, 100%, $E$9)</f>
        <v>9.3719000000000001</v>
      </c>
      <c r="J266" s="27">
        <f>9.3683 * CHOOSE(CONTROL!$C$32, $C$9, 100%, $E$9)</f>
        <v>9.3682999999999996</v>
      </c>
      <c r="K266" s="27">
        <f>9.3719 * CHOOSE(CONTROL!$C$32, $C$9, 100%, $E$9)</f>
        <v>9.3719000000000001</v>
      </c>
      <c r="L266" s="27">
        <f>5.9092 * CHOOSE(CONTROL!$C$32, $C$9, 100%, $E$9)</f>
        <v>5.9092000000000002</v>
      </c>
      <c r="M266" s="27">
        <f>5.9129 * CHOOSE(CONTROL!$C$32, $C$9, 100%, $E$9)</f>
        <v>5.9128999999999996</v>
      </c>
      <c r="N266" s="27">
        <f>5.9092 * CHOOSE(CONTROL!$C$32, $C$9, 100%, $E$9)</f>
        <v>5.9092000000000002</v>
      </c>
      <c r="O266" s="27">
        <f>5.9129 * CHOOSE(CONTROL!$C$32, $C$9, 100%, $E$9)</f>
        <v>5.9128999999999996</v>
      </c>
    </row>
    <row r="267" spans="1:15" ht="15" x14ac:dyDescent="0.2">
      <c r="A267" s="16">
        <v>48976</v>
      </c>
      <c r="B267" s="26">
        <f>4.5996 * CHOOSE(CONTROL!$C$32, $C$9, 100%, $E$9)</f>
        <v>4.5995999999999997</v>
      </c>
      <c r="C267" s="26">
        <f>4.5996 * CHOOSE(CONTROL!$C$32, $C$9, 100%, $E$9)</f>
        <v>4.5995999999999997</v>
      </c>
      <c r="D267" s="26">
        <f>4.6007 * CHOOSE(CONTROL!$C$32, $C$9, 100%, $E$9)</f>
        <v>4.6006999999999998</v>
      </c>
      <c r="E267" s="27">
        <f>5.9072 * CHOOSE(CONTROL!$C$32, $C$9, 100%, $E$9)</f>
        <v>5.9071999999999996</v>
      </c>
      <c r="F267" s="27">
        <f>5.9072 * CHOOSE(CONTROL!$C$32, $C$9, 100%, $E$9)</f>
        <v>5.9071999999999996</v>
      </c>
      <c r="G267" s="27">
        <f>5.9109 * CHOOSE(CONTROL!$C$32, $C$9, 100%, $E$9)</f>
        <v>5.9108999999999998</v>
      </c>
      <c r="H267" s="27">
        <f>9.3878 * CHOOSE(CONTROL!$C$32, $C$9, 100%, $E$9)</f>
        <v>9.3878000000000004</v>
      </c>
      <c r="I267" s="27">
        <f>9.3915 * CHOOSE(CONTROL!$C$32, $C$9, 100%, $E$9)</f>
        <v>9.3915000000000006</v>
      </c>
      <c r="J267" s="27">
        <f>9.3878 * CHOOSE(CONTROL!$C$32, $C$9, 100%, $E$9)</f>
        <v>9.3878000000000004</v>
      </c>
      <c r="K267" s="27">
        <f>9.3915 * CHOOSE(CONTROL!$C$32, $C$9, 100%, $E$9)</f>
        <v>9.3915000000000006</v>
      </c>
      <c r="L267" s="27">
        <f>5.9072 * CHOOSE(CONTROL!$C$32, $C$9, 100%, $E$9)</f>
        <v>5.9071999999999996</v>
      </c>
      <c r="M267" s="27">
        <f>5.9109 * CHOOSE(CONTROL!$C$32, $C$9, 100%, $E$9)</f>
        <v>5.9108999999999998</v>
      </c>
      <c r="N267" s="27">
        <f>5.9072 * CHOOSE(CONTROL!$C$32, $C$9, 100%, $E$9)</f>
        <v>5.9071999999999996</v>
      </c>
      <c r="O267" s="27">
        <f>5.9109 * CHOOSE(CONTROL!$C$32, $C$9, 100%, $E$9)</f>
        <v>5.9108999999999998</v>
      </c>
    </row>
    <row r="268" spans="1:15" ht="15" x14ac:dyDescent="0.2">
      <c r="A268" s="16">
        <v>49004</v>
      </c>
      <c r="B268" s="26">
        <f>4.5966 * CHOOSE(CONTROL!$C$32, $C$9, 100%, $E$9)</f>
        <v>4.5965999999999996</v>
      </c>
      <c r="C268" s="26">
        <f>4.5966 * CHOOSE(CONTROL!$C$32, $C$9, 100%, $E$9)</f>
        <v>4.5965999999999996</v>
      </c>
      <c r="D268" s="26">
        <f>4.5977 * CHOOSE(CONTROL!$C$32, $C$9, 100%, $E$9)</f>
        <v>4.5976999999999997</v>
      </c>
      <c r="E268" s="27">
        <f>5.9052 * CHOOSE(CONTROL!$C$32, $C$9, 100%, $E$9)</f>
        <v>5.9051999999999998</v>
      </c>
      <c r="F268" s="27">
        <f>5.9052 * CHOOSE(CONTROL!$C$32, $C$9, 100%, $E$9)</f>
        <v>5.9051999999999998</v>
      </c>
      <c r="G268" s="27">
        <f>5.9089 * CHOOSE(CONTROL!$C$32, $C$9, 100%, $E$9)</f>
        <v>5.9089</v>
      </c>
      <c r="H268" s="27">
        <f>9.4074 * CHOOSE(CONTROL!$C$32, $C$9, 100%, $E$9)</f>
        <v>9.4074000000000009</v>
      </c>
      <c r="I268" s="27">
        <f>9.411 * CHOOSE(CONTROL!$C$32, $C$9, 100%, $E$9)</f>
        <v>9.4109999999999996</v>
      </c>
      <c r="J268" s="27">
        <f>9.4074 * CHOOSE(CONTROL!$C$32, $C$9, 100%, $E$9)</f>
        <v>9.4074000000000009</v>
      </c>
      <c r="K268" s="27">
        <f>9.411 * CHOOSE(CONTROL!$C$32, $C$9, 100%, $E$9)</f>
        <v>9.4109999999999996</v>
      </c>
      <c r="L268" s="27">
        <f>5.9052 * CHOOSE(CONTROL!$C$32, $C$9, 100%, $E$9)</f>
        <v>5.9051999999999998</v>
      </c>
      <c r="M268" s="27">
        <f>5.9089 * CHOOSE(CONTROL!$C$32, $C$9, 100%, $E$9)</f>
        <v>5.9089</v>
      </c>
      <c r="N268" s="27">
        <f>5.9052 * CHOOSE(CONTROL!$C$32, $C$9, 100%, $E$9)</f>
        <v>5.9051999999999998</v>
      </c>
      <c r="O268" s="27">
        <f>5.9089 * CHOOSE(CONTROL!$C$32, $C$9, 100%, $E$9)</f>
        <v>5.9089</v>
      </c>
    </row>
    <row r="269" spans="1:15" ht="15" x14ac:dyDescent="0.2">
      <c r="A269" s="16">
        <v>49035</v>
      </c>
      <c r="B269" s="26">
        <f>4.5948 * CHOOSE(CONTROL!$C$32, $C$9, 100%, $E$9)</f>
        <v>4.5948000000000002</v>
      </c>
      <c r="C269" s="26">
        <f>4.5948 * CHOOSE(CONTROL!$C$32, $C$9, 100%, $E$9)</f>
        <v>4.5948000000000002</v>
      </c>
      <c r="D269" s="26">
        <f>4.5959 * CHOOSE(CONTROL!$C$32, $C$9, 100%, $E$9)</f>
        <v>4.5959000000000003</v>
      </c>
      <c r="E269" s="27">
        <f>5.9035 * CHOOSE(CONTROL!$C$32, $C$9, 100%, $E$9)</f>
        <v>5.9035000000000002</v>
      </c>
      <c r="F269" s="27">
        <f>5.9035 * CHOOSE(CONTROL!$C$32, $C$9, 100%, $E$9)</f>
        <v>5.9035000000000002</v>
      </c>
      <c r="G269" s="27">
        <f>5.9071 * CHOOSE(CONTROL!$C$32, $C$9, 100%, $E$9)</f>
        <v>5.9070999999999998</v>
      </c>
      <c r="H269" s="27">
        <f>9.427 * CHOOSE(CONTROL!$C$32, $C$9, 100%, $E$9)</f>
        <v>9.4269999999999996</v>
      </c>
      <c r="I269" s="27">
        <f>9.4306 * CHOOSE(CONTROL!$C$32, $C$9, 100%, $E$9)</f>
        <v>9.4306000000000001</v>
      </c>
      <c r="J269" s="27">
        <f>9.427 * CHOOSE(CONTROL!$C$32, $C$9, 100%, $E$9)</f>
        <v>9.4269999999999996</v>
      </c>
      <c r="K269" s="27">
        <f>9.4306 * CHOOSE(CONTROL!$C$32, $C$9, 100%, $E$9)</f>
        <v>9.4306000000000001</v>
      </c>
      <c r="L269" s="27">
        <f>5.9035 * CHOOSE(CONTROL!$C$32, $C$9, 100%, $E$9)</f>
        <v>5.9035000000000002</v>
      </c>
      <c r="M269" s="27">
        <f>5.9071 * CHOOSE(CONTROL!$C$32, $C$9, 100%, $E$9)</f>
        <v>5.9070999999999998</v>
      </c>
      <c r="N269" s="27">
        <f>5.9035 * CHOOSE(CONTROL!$C$32, $C$9, 100%, $E$9)</f>
        <v>5.9035000000000002</v>
      </c>
      <c r="O269" s="27">
        <f>5.9071 * CHOOSE(CONTROL!$C$32, $C$9, 100%, $E$9)</f>
        <v>5.9070999999999998</v>
      </c>
    </row>
    <row r="270" spans="1:15" ht="15" x14ac:dyDescent="0.2">
      <c r="A270" s="16">
        <v>49065</v>
      </c>
      <c r="B270" s="26">
        <f>4.5948 * CHOOSE(CONTROL!$C$32, $C$9, 100%, $E$9)</f>
        <v>4.5948000000000002</v>
      </c>
      <c r="C270" s="26">
        <f>4.5948 * CHOOSE(CONTROL!$C$32, $C$9, 100%, $E$9)</f>
        <v>4.5948000000000002</v>
      </c>
      <c r="D270" s="26">
        <f>4.5964 * CHOOSE(CONTROL!$C$32, $C$9, 100%, $E$9)</f>
        <v>4.5964</v>
      </c>
      <c r="E270" s="27">
        <f>5.9035 * CHOOSE(CONTROL!$C$32, $C$9, 100%, $E$9)</f>
        <v>5.9035000000000002</v>
      </c>
      <c r="F270" s="27">
        <f>5.9035 * CHOOSE(CONTROL!$C$32, $C$9, 100%, $E$9)</f>
        <v>5.9035000000000002</v>
      </c>
      <c r="G270" s="27">
        <f>5.9088 * CHOOSE(CONTROL!$C$32, $C$9, 100%, $E$9)</f>
        <v>5.9088000000000003</v>
      </c>
      <c r="H270" s="27">
        <f>9.4466 * CHOOSE(CONTROL!$C$32, $C$9, 100%, $E$9)</f>
        <v>9.4466000000000001</v>
      </c>
      <c r="I270" s="27">
        <f>9.4519 * CHOOSE(CONTROL!$C$32, $C$9, 100%, $E$9)</f>
        <v>9.4519000000000002</v>
      </c>
      <c r="J270" s="27">
        <f>9.4466 * CHOOSE(CONTROL!$C$32, $C$9, 100%, $E$9)</f>
        <v>9.4466000000000001</v>
      </c>
      <c r="K270" s="27">
        <f>9.4519 * CHOOSE(CONTROL!$C$32, $C$9, 100%, $E$9)</f>
        <v>9.4519000000000002</v>
      </c>
      <c r="L270" s="27">
        <f>5.9035 * CHOOSE(CONTROL!$C$32, $C$9, 100%, $E$9)</f>
        <v>5.9035000000000002</v>
      </c>
      <c r="M270" s="27">
        <f>5.9088 * CHOOSE(CONTROL!$C$32, $C$9, 100%, $E$9)</f>
        <v>5.9088000000000003</v>
      </c>
      <c r="N270" s="27">
        <f>5.9035 * CHOOSE(CONTROL!$C$32, $C$9, 100%, $E$9)</f>
        <v>5.9035000000000002</v>
      </c>
      <c r="O270" s="27">
        <f>5.9088 * CHOOSE(CONTROL!$C$32, $C$9, 100%, $E$9)</f>
        <v>5.9088000000000003</v>
      </c>
    </row>
    <row r="271" spans="1:15" ht="15" x14ac:dyDescent="0.2">
      <c r="A271" s="16">
        <v>49096</v>
      </c>
      <c r="B271" s="26">
        <f>4.6009 * CHOOSE(CONTROL!$C$32, $C$9, 100%, $E$9)</f>
        <v>4.6009000000000002</v>
      </c>
      <c r="C271" s="26">
        <f>4.6009 * CHOOSE(CONTROL!$C$32, $C$9, 100%, $E$9)</f>
        <v>4.6009000000000002</v>
      </c>
      <c r="D271" s="26">
        <f>4.6025 * CHOOSE(CONTROL!$C$32, $C$9, 100%, $E$9)</f>
        <v>4.6025</v>
      </c>
      <c r="E271" s="27">
        <f>5.9075 * CHOOSE(CONTROL!$C$32, $C$9, 100%, $E$9)</f>
        <v>5.9074999999999998</v>
      </c>
      <c r="F271" s="27">
        <f>5.9075 * CHOOSE(CONTROL!$C$32, $C$9, 100%, $E$9)</f>
        <v>5.9074999999999998</v>
      </c>
      <c r="G271" s="27">
        <f>5.9128 * CHOOSE(CONTROL!$C$32, $C$9, 100%, $E$9)</f>
        <v>5.9127999999999998</v>
      </c>
      <c r="H271" s="27">
        <f>9.4663 * CHOOSE(CONTROL!$C$32, $C$9, 100%, $E$9)</f>
        <v>9.4663000000000004</v>
      </c>
      <c r="I271" s="27">
        <f>9.4716 * CHOOSE(CONTROL!$C$32, $C$9, 100%, $E$9)</f>
        <v>9.4716000000000005</v>
      </c>
      <c r="J271" s="27">
        <f>9.4663 * CHOOSE(CONTROL!$C$32, $C$9, 100%, $E$9)</f>
        <v>9.4663000000000004</v>
      </c>
      <c r="K271" s="27">
        <f>9.4716 * CHOOSE(CONTROL!$C$32, $C$9, 100%, $E$9)</f>
        <v>9.4716000000000005</v>
      </c>
      <c r="L271" s="27">
        <f>5.9075 * CHOOSE(CONTROL!$C$32, $C$9, 100%, $E$9)</f>
        <v>5.9074999999999998</v>
      </c>
      <c r="M271" s="27">
        <f>5.9128 * CHOOSE(CONTROL!$C$32, $C$9, 100%, $E$9)</f>
        <v>5.9127999999999998</v>
      </c>
      <c r="N271" s="27">
        <f>5.9075 * CHOOSE(CONTROL!$C$32, $C$9, 100%, $E$9)</f>
        <v>5.9074999999999998</v>
      </c>
      <c r="O271" s="27">
        <f>5.9128 * CHOOSE(CONTROL!$C$32, $C$9, 100%, $E$9)</f>
        <v>5.9127999999999998</v>
      </c>
    </row>
    <row r="272" spans="1:15" ht="15" x14ac:dyDescent="0.2">
      <c r="A272" s="16">
        <v>49126</v>
      </c>
      <c r="B272" s="26">
        <f>4.6716 * CHOOSE(CONTROL!$C$32, $C$9, 100%, $E$9)</f>
        <v>4.6715999999999998</v>
      </c>
      <c r="C272" s="26">
        <f>4.6716 * CHOOSE(CONTROL!$C$32, $C$9, 100%, $E$9)</f>
        <v>4.6715999999999998</v>
      </c>
      <c r="D272" s="26">
        <f>4.6731 * CHOOSE(CONTROL!$C$32, $C$9, 100%, $E$9)</f>
        <v>4.6730999999999998</v>
      </c>
      <c r="E272" s="27">
        <f>6.0182 * CHOOSE(CONTROL!$C$32, $C$9, 100%, $E$9)</f>
        <v>6.0182000000000002</v>
      </c>
      <c r="F272" s="27">
        <f>6.0182 * CHOOSE(CONTROL!$C$32, $C$9, 100%, $E$9)</f>
        <v>6.0182000000000002</v>
      </c>
      <c r="G272" s="27">
        <f>6.0235 * CHOOSE(CONTROL!$C$32, $C$9, 100%, $E$9)</f>
        <v>6.0235000000000003</v>
      </c>
      <c r="H272" s="27">
        <f>9.486 * CHOOSE(CONTROL!$C$32, $C$9, 100%, $E$9)</f>
        <v>9.4860000000000007</v>
      </c>
      <c r="I272" s="27">
        <f>9.4913 * CHOOSE(CONTROL!$C$32, $C$9, 100%, $E$9)</f>
        <v>9.4913000000000007</v>
      </c>
      <c r="J272" s="27">
        <f>9.486 * CHOOSE(CONTROL!$C$32, $C$9, 100%, $E$9)</f>
        <v>9.4860000000000007</v>
      </c>
      <c r="K272" s="27">
        <f>9.4913 * CHOOSE(CONTROL!$C$32, $C$9, 100%, $E$9)</f>
        <v>9.4913000000000007</v>
      </c>
      <c r="L272" s="27">
        <f>6.0182 * CHOOSE(CONTROL!$C$32, $C$9, 100%, $E$9)</f>
        <v>6.0182000000000002</v>
      </c>
      <c r="M272" s="27">
        <f>6.0235 * CHOOSE(CONTROL!$C$32, $C$9, 100%, $E$9)</f>
        <v>6.0235000000000003</v>
      </c>
      <c r="N272" s="27">
        <f>6.0182 * CHOOSE(CONTROL!$C$32, $C$9, 100%, $E$9)</f>
        <v>6.0182000000000002</v>
      </c>
      <c r="O272" s="27">
        <f>6.0235 * CHOOSE(CONTROL!$C$32, $C$9, 100%, $E$9)</f>
        <v>6.0235000000000003</v>
      </c>
    </row>
    <row r="273" spans="1:15" ht="15" x14ac:dyDescent="0.2">
      <c r="A273" s="16">
        <v>49157</v>
      </c>
      <c r="B273" s="26">
        <f>4.6783 * CHOOSE(CONTROL!$C$32, $C$9, 100%, $E$9)</f>
        <v>4.6783000000000001</v>
      </c>
      <c r="C273" s="26">
        <f>4.6783 * CHOOSE(CONTROL!$C$32, $C$9, 100%, $E$9)</f>
        <v>4.6783000000000001</v>
      </c>
      <c r="D273" s="26">
        <f>4.6798 * CHOOSE(CONTROL!$C$32, $C$9, 100%, $E$9)</f>
        <v>4.6798000000000002</v>
      </c>
      <c r="E273" s="27">
        <f>6.0226 * CHOOSE(CONTROL!$C$32, $C$9, 100%, $E$9)</f>
        <v>6.0225999999999997</v>
      </c>
      <c r="F273" s="27">
        <f>6.0226 * CHOOSE(CONTROL!$C$32, $C$9, 100%, $E$9)</f>
        <v>6.0225999999999997</v>
      </c>
      <c r="G273" s="27">
        <f>6.0279 * CHOOSE(CONTROL!$C$32, $C$9, 100%, $E$9)</f>
        <v>6.0278999999999998</v>
      </c>
      <c r="H273" s="27">
        <f>9.5058 * CHOOSE(CONTROL!$C$32, $C$9, 100%, $E$9)</f>
        <v>9.5058000000000007</v>
      </c>
      <c r="I273" s="27">
        <f>9.5111 * CHOOSE(CONTROL!$C$32, $C$9, 100%, $E$9)</f>
        <v>9.5111000000000008</v>
      </c>
      <c r="J273" s="27">
        <f>9.5058 * CHOOSE(CONTROL!$C$32, $C$9, 100%, $E$9)</f>
        <v>9.5058000000000007</v>
      </c>
      <c r="K273" s="27">
        <f>9.5111 * CHOOSE(CONTROL!$C$32, $C$9, 100%, $E$9)</f>
        <v>9.5111000000000008</v>
      </c>
      <c r="L273" s="27">
        <f>6.0226 * CHOOSE(CONTROL!$C$32, $C$9, 100%, $E$9)</f>
        <v>6.0225999999999997</v>
      </c>
      <c r="M273" s="27">
        <f>6.0279 * CHOOSE(CONTROL!$C$32, $C$9, 100%, $E$9)</f>
        <v>6.0278999999999998</v>
      </c>
      <c r="N273" s="27">
        <f>6.0226 * CHOOSE(CONTROL!$C$32, $C$9, 100%, $E$9)</f>
        <v>6.0225999999999997</v>
      </c>
      <c r="O273" s="27">
        <f>6.0279 * CHOOSE(CONTROL!$C$32, $C$9, 100%, $E$9)</f>
        <v>6.0278999999999998</v>
      </c>
    </row>
    <row r="274" spans="1:15" ht="15" x14ac:dyDescent="0.2">
      <c r="A274" s="16">
        <v>49188</v>
      </c>
      <c r="B274" s="26">
        <f>4.6752 * CHOOSE(CONTROL!$C$32, $C$9, 100%, $E$9)</f>
        <v>4.6752000000000002</v>
      </c>
      <c r="C274" s="26">
        <f>4.6752 * CHOOSE(CONTROL!$C$32, $C$9, 100%, $E$9)</f>
        <v>4.6752000000000002</v>
      </c>
      <c r="D274" s="26">
        <f>4.6768 * CHOOSE(CONTROL!$C$32, $C$9, 100%, $E$9)</f>
        <v>4.6768000000000001</v>
      </c>
      <c r="E274" s="27">
        <f>6.0206 * CHOOSE(CONTROL!$C$32, $C$9, 100%, $E$9)</f>
        <v>6.0206</v>
      </c>
      <c r="F274" s="27">
        <f>6.0206 * CHOOSE(CONTROL!$C$32, $C$9, 100%, $E$9)</f>
        <v>6.0206</v>
      </c>
      <c r="G274" s="27">
        <f>6.0259 * CHOOSE(CONTROL!$C$32, $C$9, 100%, $E$9)</f>
        <v>6.0259</v>
      </c>
      <c r="H274" s="27">
        <f>9.5256 * CHOOSE(CONTROL!$C$32, $C$9, 100%, $E$9)</f>
        <v>9.5256000000000007</v>
      </c>
      <c r="I274" s="27">
        <f>9.5309 * CHOOSE(CONTROL!$C$32, $C$9, 100%, $E$9)</f>
        <v>9.5309000000000008</v>
      </c>
      <c r="J274" s="27">
        <f>9.5256 * CHOOSE(CONTROL!$C$32, $C$9, 100%, $E$9)</f>
        <v>9.5256000000000007</v>
      </c>
      <c r="K274" s="27">
        <f>9.5309 * CHOOSE(CONTROL!$C$32, $C$9, 100%, $E$9)</f>
        <v>9.5309000000000008</v>
      </c>
      <c r="L274" s="27">
        <f>6.0206 * CHOOSE(CONTROL!$C$32, $C$9, 100%, $E$9)</f>
        <v>6.0206</v>
      </c>
      <c r="M274" s="27">
        <f>6.0259 * CHOOSE(CONTROL!$C$32, $C$9, 100%, $E$9)</f>
        <v>6.0259</v>
      </c>
      <c r="N274" s="27">
        <f>6.0206 * CHOOSE(CONTROL!$C$32, $C$9, 100%, $E$9)</f>
        <v>6.0206</v>
      </c>
      <c r="O274" s="27">
        <f>6.0259 * CHOOSE(CONTROL!$C$32, $C$9, 100%, $E$9)</f>
        <v>6.0259</v>
      </c>
    </row>
    <row r="275" spans="1:15" ht="15" x14ac:dyDescent="0.2">
      <c r="A275" s="16">
        <v>49218</v>
      </c>
      <c r="B275" s="26">
        <f>4.6728 * CHOOSE(CONTROL!$C$32, $C$9, 100%, $E$9)</f>
        <v>4.6727999999999996</v>
      </c>
      <c r="C275" s="26">
        <f>4.6728 * CHOOSE(CONTROL!$C$32, $C$9, 100%, $E$9)</f>
        <v>4.6727999999999996</v>
      </c>
      <c r="D275" s="26">
        <f>4.6739 * CHOOSE(CONTROL!$C$32, $C$9, 100%, $E$9)</f>
        <v>4.6738999999999997</v>
      </c>
      <c r="E275" s="27">
        <f>6.0166 * CHOOSE(CONTROL!$C$32, $C$9, 100%, $E$9)</f>
        <v>6.0166000000000004</v>
      </c>
      <c r="F275" s="27">
        <f>6.0166 * CHOOSE(CONTROL!$C$32, $C$9, 100%, $E$9)</f>
        <v>6.0166000000000004</v>
      </c>
      <c r="G275" s="27">
        <f>6.0202 * CHOOSE(CONTROL!$C$32, $C$9, 100%, $E$9)</f>
        <v>6.0202</v>
      </c>
      <c r="H275" s="27">
        <f>9.5454 * CHOOSE(CONTROL!$C$32, $C$9, 100%, $E$9)</f>
        <v>9.5454000000000008</v>
      </c>
      <c r="I275" s="27">
        <f>9.5491 * CHOOSE(CONTROL!$C$32, $C$9, 100%, $E$9)</f>
        <v>9.5490999999999993</v>
      </c>
      <c r="J275" s="27">
        <f>9.5454 * CHOOSE(CONTROL!$C$32, $C$9, 100%, $E$9)</f>
        <v>9.5454000000000008</v>
      </c>
      <c r="K275" s="27">
        <f>9.5491 * CHOOSE(CONTROL!$C$32, $C$9, 100%, $E$9)</f>
        <v>9.5490999999999993</v>
      </c>
      <c r="L275" s="27">
        <f>6.0166 * CHOOSE(CONTROL!$C$32, $C$9, 100%, $E$9)</f>
        <v>6.0166000000000004</v>
      </c>
      <c r="M275" s="27">
        <f>6.0202 * CHOOSE(CONTROL!$C$32, $C$9, 100%, $E$9)</f>
        <v>6.0202</v>
      </c>
      <c r="N275" s="27">
        <f>6.0166 * CHOOSE(CONTROL!$C$32, $C$9, 100%, $E$9)</f>
        <v>6.0166000000000004</v>
      </c>
      <c r="O275" s="27">
        <f>6.0202 * CHOOSE(CONTROL!$C$32, $C$9, 100%, $E$9)</f>
        <v>6.0202</v>
      </c>
    </row>
    <row r="276" spans="1:15" ht="15" x14ac:dyDescent="0.2">
      <c r="A276" s="16">
        <v>49249</v>
      </c>
      <c r="B276" s="26">
        <f>4.6758 * CHOOSE(CONTROL!$C$32, $C$9, 100%, $E$9)</f>
        <v>4.6757999999999997</v>
      </c>
      <c r="C276" s="26">
        <f>4.6758 * CHOOSE(CONTROL!$C$32, $C$9, 100%, $E$9)</f>
        <v>4.6757999999999997</v>
      </c>
      <c r="D276" s="26">
        <f>4.6769 * CHOOSE(CONTROL!$C$32, $C$9, 100%, $E$9)</f>
        <v>4.6768999999999998</v>
      </c>
      <c r="E276" s="27">
        <f>6.0186 * CHOOSE(CONTROL!$C$32, $C$9, 100%, $E$9)</f>
        <v>6.0186000000000002</v>
      </c>
      <c r="F276" s="27">
        <f>6.0186 * CHOOSE(CONTROL!$C$32, $C$9, 100%, $E$9)</f>
        <v>6.0186000000000002</v>
      </c>
      <c r="G276" s="27">
        <f>6.0222 * CHOOSE(CONTROL!$C$32, $C$9, 100%, $E$9)</f>
        <v>6.0221999999999998</v>
      </c>
      <c r="H276" s="27">
        <f>9.5653 * CHOOSE(CONTROL!$C$32, $C$9, 100%, $E$9)</f>
        <v>9.5653000000000006</v>
      </c>
      <c r="I276" s="27">
        <f>9.569 * CHOOSE(CONTROL!$C$32, $C$9, 100%, $E$9)</f>
        <v>9.5690000000000008</v>
      </c>
      <c r="J276" s="27">
        <f>9.5653 * CHOOSE(CONTROL!$C$32, $C$9, 100%, $E$9)</f>
        <v>9.5653000000000006</v>
      </c>
      <c r="K276" s="27">
        <f>9.569 * CHOOSE(CONTROL!$C$32, $C$9, 100%, $E$9)</f>
        <v>9.5690000000000008</v>
      </c>
      <c r="L276" s="27">
        <f>6.0186 * CHOOSE(CONTROL!$C$32, $C$9, 100%, $E$9)</f>
        <v>6.0186000000000002</v>
      </c>
      <c r="M276" s="27">
        <f>6.0222 * CHOOSE(CONTROL!$C$32, $C$9, 100%, $E$9)</f>
        <v>6.0221999999999998</v>
      </c>
      <c r="N276" s="27">
        <f>6.0186 * CHOOSE(CONTROL!$C$32, $C$9, 100%, $E$9)</f>
        <v>6.0186000000000002</v>
      </c>
      <c r="O276" s="27">
        <f>6.0222 * CHOOSE(CONTROL!$C$32, $C$9, 100%, $E$9)</f>
        <v>6.0221999999999998</v>
      </c>
    </row>
    <row r="277" spans="1:15" ht="15" x14ac:dyDescent="0.2">
      <c r="A277" s="16">
        <v>49279</v>
      </c>
      <c r="B277" s="26">
        <f>4.6758 * CHOOSE(CONTROL!$C$32, $C$9, 100%, $E$9)</f>
        <v>4.6757999999999997</v>
      </c>
      <c r="C277" s="26">
        <f>4.6758 * CHOOSE(CONTROL!$C$32, $C$9, 100%, $E$9)</f>
        <v>4.6757999999999997</v>
      </c>
      <c r="D277" s="26">
        <f>4.6769 * CHOOSE(CONTROL!$C$32, $C$9, 100%, $E$9)</f>
        <v>4.6768999999999998</v>
      </c>
      <c r="E277" s="27">
        <f>6.0186 * CHOOSE(CONTROL!$C$32, $C$9, 100%, $E$9)</f>
        <v>6.0186000000000002</v>
      </c>
      <c r="F277" s="27">
        <f>6.0186 * CHOOSE(CONTROL!$C$32, $C$9, 100%, $E$9)</f>
        <v>6.0186000000000002</v>
      </c>
      <c r="G277" s="27">
        <f>6.0222 * CHOOSE(CONTROL!$C$32, $C$9, 100%, $E$9)</f>
        <v>6.0221999999999998</v>
      </c>
      <c r="H277" s="27">
        <f>9.5853 * CHOOSE(CONTROL!$C$32, $C$9, 100%, $E$9)</f>
        <v>9.5853000000000002</v>
      </c>
      <c r="I277" s="27">
        <f>9.5889 * CHOOSE(CONTROL!$C$32, $C$9, 100%, $E$9)</f>
        <v>9.5889000000000006</v>
      </c>
      <c r="J277" s="27">
        <f>9.5853 * CHOOSE(CONTROL!$C$32, $C$9, 100%, $E$9)</f>
        <v>9.5853000000000002</v>
      </c>
      <c r="K277" s="27">
        <f>9.5889 * CHOOSE(CONTROL!$C$32, $C$9, 100%, $E$9)</f>
        <v>9.5889000000000006</v>
      </c>
      <c r="L277" s="27">
        <f>6.0186 * CHOOSE(CONTROL!$C$32, $C$9, 100%, $E$9)</f>
        <v>6.0186000000000002</v>
      </c>
      <c r="M277" s="27">
        <f>6.0222 * CHOOSE(CONTROL!$C$32, $C$9, 100%, $E$9)</f>
        <v>6.0221999999999998</v>
      </c>
      <c r="N277" s="27">
        <f>6.0186 * CHOOSE(CONTROL!$C$32, $C$9, 100%, $E$9)</f>
        <v>6.0186000000000002</v>
      </c>
      <c r="O277" s="27">
        <f>6.0222 * CHOOSE(CONTROL!$C$32, $C$9, 100%, $E$9)</f>
        <v>6.0221999999999998</v>
      </c>
    </row>
    <row r="278" spans="1:15" ht="15" x14ac:dyDescent="0.2">
      <c r="A278" s="16">
        <v>49310</v>
      </c>
      <c r="B278" s="26">
        <f>4.713 * CHOOSE(CONTROL!$C$32, $C$9, 100%, $E$9)</f>
        <v>4.7130000000000001</v>
      </c>
      <c r="C278" s="26">
        <f>4.713 * CHOOSE(CONTROL!$C$32, $C$9, 100%, $E$9)</f>
        <v>4.7130000000000001</v>
      </c>
      <c r="D278" s="26">
        <f>4.7141 * CHOOSE(CONTROL!$C$32, $C$9, 100%, $E$9)</f>
        <v>4.7141000000000002</v>
      </c>
      <c r="E278" s="27">
        <f>6.0663 * CHOOSE(CONTROL!$C$32, $C$9, 100%, $E$9)</f>
        <v>6.0663</v>
      </c>
      <c r="F278" s="27">
        <f>6.0663 * CHOOSE(CONTROL!$C$32, $C$9, 100%, $E$9)</f>
        <v>6.0663</v>
      </c>
      <c r="G278" s="27">
        <f>6.0699 * CHOOSE(CONTROL!$C$32, $C$9, 100%, $E$9)</f>
        <v>6.0698999999999996</v>
      </c>
      <c r="H278" s="27">
        <f>9.6052 * CHOOSE(CONTROL!$C$32, $C$9, 100%, $E$9)</f>
        <v>9.6052</v>
      </c>
      <c r="I278" s="27">
        <f>9.6088 * CHOOSE(CONTROL!$C$32, $C$9, 100%, $E$9)</f>
        <v>9.6088000000000005</v>
      </c>
      <c r="J278" s="27">
        <f>9.6052 * CHOOSE(CONTROL!$C$32, $C$9, 100%, $E$9)</f>
        <v>9.6052</v>
      </c>
      <c r="K278" s="27">
        <f>9.6088 * CHOOSE(CONTROL!$C$32, $C$9, 100%, $E$9)</f>
        <v>9.6088000000000005</v>
      </c>
      <c r="L278" s="27">
        <f>6.0663 * CHOOSE(CONTROL!$C$32, $C$9, 100%, $E$9)</f>
        <v>6.0663</v>
      </c>
      <c r="M278" s="27">
        <f>6.0699 * CHOOSE(CONTROL!$C$32, $C$9, 100%, $E$9)</f>
        <v>6.0698999999999996</v>
      </c>
      <c r="N278" s="27">
        <f>6.0663 * CHOOSE(CONTROL!$C$32, $C$9, 100%, $E$9)</f>
        <v>6.0663</v>
      </c>
      <c r="O278" s="27">
        <f>6.0699 * CHOOSE(CONTROL!$C$32, $C$9, 100%, $E$9)</f>
        <v>6.0698999999999996</v>
      </c>
    </row>
    <row r="279" spans="1:15" ht="15" x14ac:dyDescent="0.2">
      <c r="A279" s="16">
        <v>49341</v>
      </c>
      <c r="B279" s="26">
        <f>4.71 * CHOOSE(CONTROL!$C$32, $C$9, 100%, $E$9)</f>
        <v>4.71</v>
      </c>
      <c r="C279" s="26">
        <f>4.71 * CHOOSE(CONTROL!$C$32, $C$9, 100%, $E$9)</f>
        <v>4.71</v>
      </c>
      <c r="D279" s="26">
        <f>4.711 * CHOOSE(CONTROL!$C$32, $C$9, 100%, $E$9)</f>
        <v>4.7110000000000003</v>
      </c>
      <c r="E279" s="27">
        <f>6.3757 * CHOOSE(CONTROL!$C$32, $C$9, 100%, $E$9)</f>
        <v>6.3757000000000001</v>
      </c>
      <c r="F279" s="27">
        <f>6.3757 * CHOOSE(CONTROL!$C$32, $C$9, 100%, $E$9)</f>
        <v>6.3757000000000001</v>
      </c>
      <c r="G279" s="27">
        <f>6.3793 * CHOOSE(CONTROL!$C$32, $C$9, 100%, $E$9)</f>
        <v>6.3792999999999997</v>
      </c>
      <c r="H279" s="27">
        <f>9.6252 * CHOOSE(CONTROL!$C$32, $C$9, 100%, $E$9)</f>
        <v>9.6251999999999995</v>
      </c>
      <c r="I279" s="27">
        <f>9.6289 * CHOOSE(CONTROL!$C$32, $C$9, 100%, $E$9)</f>
        <v>9.6288999999999998</v>
      </c>
      <c r="J279" s="27">
        <f>9.6252 * CHOOSE(CONTROL!$C$32, $C$9, 100%, $E$9)</f>
        <v>9.6251999999999995</v>
      </c>
      <c r="K279" s="27">
        <f>9.6289 * CHOOSE(CONTROL!$C$32, $C$9, 100%, $E$9)</f>
        <v>9.6288999999999998</v>
      </c>
      <c r="L279" s="27">
        <f>6.3757 * CHOOSE(CONTROL!$C$32, $C$9, 100%, $E$9)</f>
        <v>6.3757000000000001</v>
      </c>
      <c r="M279" s="27">
        <f>6.3793 * CHOOSE(CONTROL!$C$32, $C$9, 100%, $E$9)</f>
        <v>6.3792999999999997</v>
      </c>
      <c r="N279" s="27">
        <f>6.3757 * CHOOSE(CONTROL!$C$32, $C$9, 100%, $E$9)</f>
        <v>6.3757000000000001</v>
      </c>
      <c r="O279" s="27">
        <f>6.3793 * CHOOSE(CONTROL!$C$32, $C$9, 100%, $E$9)</f>
        <v>6.3792999999999997</v>
      </c>
    </row>
    <row r="280" spans="1:15" ht="15" x14ac:dyDescent="0.2">
      <c r="A280" s="16">
        <v>49369</v>
      </c>
      <c r="B280" s="26">
        <f>4.7069 * CHOOSE(CONTROL!$C$32, $C$9, 100%, $E$9)</f>
        <v>4.7069000000000001</v>
      </c>
      <c r="C280" s="26">
        <f>4.7069 * CHOOSE(CONTROL!$C$32, $C$9, 100%, $E$9)</f>
        <v>4.7069000000000001</v>
      </c>
      <c r="D280" s="26">
        <f>4.708 * CHOOSE(CONTROL!$C$32, $C$9, 100%, $E$9)</f>
        <v>4.7080000000000002</v>
      </c>
      <c r="E280" s="27">
        <f>6.0623 * CHOOSE(CONTROL!$C$32, $C$9, 100%, $E$9)</f>
        <v>6.0622999999999996</v>
      </c>
      <c r="F280" s="27">
        <f>6.0623 * CHOOSE(CONTROL!$C$32, $C$9, 100%, $E$9)</f>
        <v>6.0622999999999996</v>
      </c>
      <c r="G280" s="27">
        <f>6.0659 * CHOOSE(CONTROL!$C$32, $C$9, 100%, $E$9)</f>
        <v>6.0659000000000001</v>
      </c>
      <c r="H280" s="27">
        <f>9.6453 * CHOOSE(CONTROL!$C$32, $C$9, 100%, $E$9)</f>
        <v>9.6453000000000007</v>
      </c>
      <c r="I280" s="27">
        <f>9.6489 * CHOOSE(CONTROL!$C$32, $C$9, 100%, $E$9)</f>
        <v>9.6488999999999994</v>
      </c>
      <c r="J280" s="27">
        <f>9.6453 * CHOOSE(CONTROL!$C$32, $C$9, 100%, $E$9)</f>
        <v>9.6453000000000007</v>
      </c>
      <c r="K280" s="27">
        <f>9.6489 * CHOOSE(CONTROL!$C$32, $C$9, 100%, $E$9)</f>
        <v>9.6488999999999994</v>
      </c>
      <c r="L280" s="27">
        <f>6.0623 * CHOOSE(CONTROL!$C$32, $C$9, 100%, $E$9)</f>
        <v>6.0622999999999996</v>
      </c>
      <c r="M280" s="27">
        <f>6.0659 * CHOOSE(CONTROL!$C$32, $C$9, 100%, $E$9)</f>
        <v>6.0659000000000001</v>
      </c>
      <c r="N280" s="27">
        <f>6.0623 * CHOOSE(CONTROL!$C$32, $C$9, 100%, $E$9)</f>
        <v>6.0622999999999996</v>
      </c>
      <c r="O280" s="27">
        <f>6.0659 * CHOOSE(CONTROL!$C$32, $C$9, 100%, $E$9)</f>
        <v>6.0659000000000001</v>
      </c>
    </row>
    <row r="281" spans="1:15" ht="15" x14ac:dyDescent="0.2">
      <c r="A281" s="16">
        <v>49400</v>
      </c>
      <c r="B281" s="26">
        <f>4.7052 * CHOOSE(CONTROL!$C$32, $C$9, 100%, $E$9)</f>
        <v>4.7051999999999996</v>
      </c>
      <c r="C281" s="26">
        <f>4.7052 * CHOOSE(CONTROL!$C$32, $C$9, 100%, $E$9)</f>
        <v>4.7051999999999996</v>
      </c>
      <c r="D281" s="26">
        <f>4.7063 * CHOOSE(CONTROL!$C$32, $C$9, 100%, $E$9)</f>
        <v>4.7062999999999997</v>
      </c>
      <c r="E281" s="27">
        <f>6.0605 * CHOOSE(CONTROL!$C$32, $C$9, 100%, $E$9)</f>
        <v>6.0605000000000002</v>
      </c>
      <c r="F281" s="27">
        <f>6.0605 * CHOOSE(CONTROL!$C$32, $C$9, 100%, $E$9)</f>
        <v>6.0605000000000002</v>
      </c>
      <c r="G281" s="27">
        <f>6.0642 * CHOOSE(CONTROL!$C$32, $C$9, 100%, $E$9)</f>
        <v>6.0641999999999996</v>
      </c>
      <c r="H281" s="27">
        <f>9.6654 * CHOOSE(CONTROL!$C$32, $C$9, 100%, $E$9)</f>
        <v>9.6654</v>
      </c>
      <c r="I281" s="27">
        <f>9.669 * CHOOSE(CONTROL!$C$32, $C$9, 100%, $E$9)</f>
        <v>9.6690000000000005</v>
      </c>
      <c r="J281" s="27">
        <f>9.6654 * CHOOSE(CONTROL!$C$32, $C$9, 100%, $E$9)</f>
        <v>9.6654</v>
      </c>
      <c r="K281" s="27">
        <f>9.669 * CHOOSE(CONTROL!$C$32, $C$9, 100%, $E$9)</f>
        <v>9.6690000000000005</v>
      </c>
      <c r="L281" s="27">
        <f>6.0605 * CHOOSE(CONTROL!$C$32, $C$9, 100%, $E$9)</f>
        <v>6.0605000000000002</v>
      </c>
      <c r="M281" s="27">
        <f>6.0642 * CHOOSE(CONTROL!$C$32, $C$9, 100%, $E$9)</f>
        <v>6.0641999999999996</v>
      </c>
      <c r="N281" s="27">
        <f>6.0605 * CHOOSE(CONTROL!$C$32, $C$9, 100%, $E$9)</f>
        <v>6.0605000000000002</v>
      </c>
      <c r="O281" s="27">
        <f>6.0642 * CHOOSE(CONTROL!$C$32, $C$9, 100%, $E$9)</f>
        <v>6.0641999999999996</v>
      </c>
    </row>
    <row r="282" spans="1:15" ht="15" x14ac:dyDescent="0.2">
      <c r="A282" s="16">
        <v>49430</v>
      </c>
      <c r="B282" s="26">
        <f>4.7052 * CHOOSE(CONTROL!$C$32, $C$9, 100%, $E$9)</f>
        <v>4.7051999999999996</v>
      </c>
      <c r="C282" s="26">
        <f>4.7052 * CHOOSE(CONTROL!$C$32, $C$9, 100%, $E$9)</f>
        <v>4.7051999999999996</v>
      </c>
      <c r="D282" s="26">
        <f>4.7068 * CHOOSE(CONTROL!$C$32, $C$9, 100%, $E$9)</f>
        <v>4.7068000000000003</v>
      </c>
      <c r="E282" s="27">
        <f>6.0605 * CHOOSE(CONTROL!$C$32, $C$9, 100%, $E$9)</f>
        <v>6.0605000000000002</v>
      </c>
      <c r="F282" s="27">
        <f>6.0605 * CHOOSE(CONTROL!$C$32, $C$9, 100%, $E$9)</f>
        <v>6.0605000000000002</v>
      </c>
      <c r="G282" s="27">
        <f>6.0658 * CHOOSE(CONTROL!$C$32, $C$9, 100%, $E$9)</f>
        <v>6.0658000000000003</v>
      </c>
      <c r="H282" s="27">
        <f>9.6855 * CHOOSE(CONTROL!$C$32, $C$9, 100%, $E$9)</f>
        <v>9.6854999999999993</v>
      </c>
      <c r="I282" s="27">
        <f>9.6908 * CHOOSE(CONTROL!$C$32, $C$9, 100%, $E$9)</f>
        <v>9.6907999999999994</v>
      </c>
      <c r="J282" s="27">
        <f>9.6855 * CHOOSE(CONTROL!$C$32, $C$9, 100%, $E$9)</f>
        <v>9.6854999999999993</v>
      </c>
      <c r="K282" s="27">
        <f>9.6908 * CHOOSE(CONTROL!$C$32, $C$9, 100%, $E$9)</f>
        <v>9.6907999999999994</v>
      </c>
      <c r="L282" s="27">
        <f>6.0605 * CHOOSE(CONTROL!$C$32, $C$9, 100%, $E$9)</f>
        <v>6.0605000000000002</v>
      </c>
      <c r="M282" s="27">
        <f>6.0658 * CHOOSE(CONTROL!$C$32, $C$9, 100%, $E$9)</f>
        <v>6.0658000000000003</v>
      </c>
      <c r="N282" s="27">
        <f>6.0605 * CHOOSE(CONTROL!$C$32, $C$9, 100%, $E$9)</f>
        <v>6.0605000000000002</v>
      </c>
      <c r="O282" s="27">
        <f>6.0658 * CHOOSE(CONTROL!$C$32, $C$9, 100%, $E$9)</f>
        <v>6.0658000000000003</v>
      </c>
    </row>
    <row r="283" spans="1:15" ht="15" x14ac:dyDescent="0.2">
      <c r="A283" s="16">
        <v>49461</v>
      </c>
      <c r="B283" s="26">
        <f>4.7113 * CHOOSE(CONTROL!$C$32, $C$9, 100%, $E$9)</f>
        <v>4.7112999999999996</v>
      </c>
      <c r="C283" s="26">
        <f>4.7113 * CHOOSE(CONTROL!$C$32, $C$9, 100%, $E$9)</f>
        <v>4.7112999999999996</v>
      </c>
      <c r="D283" s="26">
        <f>4.7129 * CHOOSE(CONTROL!$C$32, $C$9, 100%, $E$9)</f>
        <v>4.7129000000000003</v>
      </c>
      <c r="E283" s="27">
        <f>6.0645 * CHOOSE(CONTROL!$C$32, $C$9, 100%, $E$9)</f>
        <v>6.0644999999999998</v>
      </c>
      <c r="F283" s="27">
        <f>6.0645 * CHOOSE(CONTROL!$C$32, $C$9, 100%, $E$9)</f>
        <v>6.0644999999999998</v>
      </c>
      <c r="G283" s="27">
        <f>6.0698 * CHOOSE(CONTROL!$C$32, $C$9, 100%, $E$9)</f>
        <v>6.0697999999999999</v>
      </c>
      <c r="H283" s="27">
        <f>9.7057 * CHOOSE(CONTROL!$C$32, $C$9, 100%, $E$9)</f>
        <v>9.7057000000000002</v>
      </c>
      <c r="I283" s="27">
        <f>9.711 * CHOOSE(CONTROL!$C$32, $C$9, 100%, $E$9)</f>
        <v>9.7110000000000003</v>
      </c>
      <c r="J283" s="27">
        <f>9.7057 * CHOOSE(CONTROL!$C$32, $C$9, 100%, $E$9)</f>
        <v>9.7057000000000002</v>
      </c>
      <c r="K283" s="27">
        <f>9.711 * CHOOSE(CONTROL!$C$32, $C$9, 100%, $E$9)</f>
        <v>9.7110000000000003</v>
      </c>
      <c r="L283" s="27">
        <f>6.0645 * CHOOSE(CONTROL!$C$32, $C$9, 100%, $E$9)</f>
        <v>6.0644999999999998</v>
      </c>
      <c r="M283" s="27">
        <f>6.0698 * CHOOSE(CONTROL!$C$32, $C$9, 100%, $E$9)</f>
        <v>6.0697999999999999</v>
      </c>
      <c r="N283" s="27">
        <f>6.0645 * CHOOSE(CONTROL!$C$32, $C$9, 100%, $E$9)</f>
        <v>6.0644999999999998</v>
      </c>
      <c r="O283" s="27">
        <f>6.0698 * CHOOSE(CONTROL!$C$32, $C$9, 100%, $E$9)</f>
        <v>6.0697999999999999</v>
      </c>
    </row>
    <row r="284" spans="1:15" ht="15" x14ac:dyDescent="0.2">
      <c r="A284" s="16">
        <v>49491</v>
      </c>
      <c r="B284" s="26">
        <f>4.7784 * CHOOSE(CONTROL!$C$32, $C$9, 100%, $E$9)</f>
        <v>4.7784000000000004</v>
      </c>
      <c r="C284" s="26">
        <f>4.7784 * CHOOSE(CONTROL!$C$32, $C$9, 100%, $E$9)</f>
        <v>4.7784000000000004</v>
      </c>
      <c r="D284" s="26">
        <f>4.7799 * CHOOSE(CONTROL!$C$32, $C$9, 100%, $E$9)</f>
        <v>4.7798999999999996</v>
      </c>
      <c r="E284" s="27">
        <f>6.1692 * CHOOSE(CONTROL!$C$32, $C$9, 100%, $E$9)</f>
        <v>6.1692</v>
      </c>
      <c r="F284" s="27">
        <f>6.1692 * CHOOSE(CONTROL!$C$32, $C$9, 100%, $E$9)</f>
        <v>6.1692</v>
      </c>
      <c r="G284" s="27">
        <f>6.1745 * CHOOSE(CONTROL!$C$32, $C$9, 100%, $E$9)</f>
        <v>6.1745000000000001</v>
      </c>
      <c r="H284" s="27">
        <f>9.7259 * CHOOSE(CONTROL!$C$32, $C$9, 100%, $E$9)</f>
        <v>9.7258999999999993</v>
      </c>
      <c r="I284" s="27">
        <f>9.7312 * CHOOSE(CONTROL!$C$32, $C$9, 100%, $E$9)</f>
        <v>9.7311999999999994</v>
      </c>
      <c r="J284" s="27">
        <f>9.7259 * CHOOSE(CONTROL!$C$32, $C$9, 100%, $E$9)</f>
        <v>9.7258999999999993</v>
      </c>
      <c r="K284" s="27">
        <f>9.7312 * CHOOSE(CONTROL!$C$32, $C$9, 100%, $E$9)</f>
        <v>9.7311999999999994</v>
      </c>
      <c r="L284" s="27">
        <f>6.1692 * CHOOSE(CONTROL!$C$32, $C$9, 100%, $E$9)</f>
        <v>6.1692</v>
      </c>
      <c r="M284" s="27">
        <f>6.1745 * CHOOSE(CONTROL!$C$32, $C$9, 100%, $E$9)</f>
        <v>6.1745000000000001</v>
      </c>
      <c r="N284" s="27">
        <f>6.1692 * CHOOSE(CONTROL!$C$32, $C$9, 100%, $E$9)</f>
        <v>6.1692</v>
      </c>
      <c r="O284" s="27">
        <f>6.1745 * CHOOSE(CONTROL!$C$32, $C$9, 100%, $E$9)</f>
        <v>6.1745000000000001</v>
      </c>
    </row>
    <row r="285" spans="1:15" ht="15" x14ac:dyDescent="0.2">
      <c r="A285" s="16">
        <v>49522</v>
      </c>
      <c r="B285" s="26">
        <f>4.785 * CHOOSE(CONTROL!$C$32, $C$9, 100%, $E$9)</f>
        <v>4.7850000000000001</v>
      </c>
      <c r="C285" s="26">
        <f>4.785 * CHOOSE(CONTROL!$C$32, $C$9, 100%, $E$9)</f>
        <v>4.7850000000000001</v>
      </c>
      <c r="D285" s="26">
        <f>4.7866 * CHOOSE(CONTROL!$C$32, $C$9, 100%, $E$9)</f>
        <v>4.7866</v>
      </c>
      <c r="E285" s="27">
        <f>6.523 * CHOOSE(CONTROL!$C$32, $C$9, 100%, $E$9)</f>
        <v>6.5229999999999997</v>
      </c>
      <c r="F285" s="27">
        <f>6.523 * CHOOSE(CONTROL!$C$32, $C$9, 100%, $E$9)</f>
        <v>6.5229999999999997</v>
      </c>
      <c r="G285" s="27">
        <f>6.5283 * CHOOSE(CONTROL!$C$32, $C$9, 100%, $E$9)</f>
        <v>6.5282999999999998</v>
      </c>
      <c r="H285" s="27">
        <f>9.7462 * CHOOSE(CONTROL!$C$32, $C$9, 100%, $E$9)</f>
        <v>9.7462</v>
      </c>
      <c r="I285" s="27">
        <f>9.7515 * CHOOSE(CONTROL!$C$32, $C$9, 100%, $E$9)</f>
        <v>9.7515000000000001</v>
      </c>
      <c r="J285" s="27">
        <f>9.7462 * CHOOSE(CONTROL!$C$32, $C$9, 100%, $E$9)</f>
        <v>9.7462</v>
      </c>
      <c r="K285" s="27">
        <f>9.7515 * CHOOSE(CONTROL!$C$32, $C$9, 100%, $E$9)</f>
        <v>9.7515000000000001</v>
      </c>
      <c r="L285" s="27">
        <f>6.523 * CHOOSE(CONTROL!$C$32, $C$9, 100%, $E$9)</f>
        <v>6.5229999999999997</v>
      </c>
      <c r="M285" s="27">
        <f>6.5283 * CHOOSE(CONTROL!$C$32, $C$9, 100%, $E$9)</f>
        <v>6.5282999999999998</v>
      </c>
      <c r="N285" s="27">
        <f>6.523 * CHOOSE(CONTROL!$C$32, $C$9, 100%, $E$9)</f>
        <v>6.5229999999999997</v>
      </c>
      <c r="O285" s="27">
        <f>6.5283 * CHOOSE(CONTROL!$C$32, $C$9, 100%, $E$9)</f>
        <v>6.5282999999999998</v>
      </c>
    </row>
    <row r="286" spans="1:15" ht="15" x14ac:dyDescent="0.2">
      <c r="A286" s="16">
        <v>49553</v>
      </c>
      <c r="B286" s="26">
        <f>4.782 * CHOOSE(CONTROL!$C$32, $C$9, 100%, $E$9)</f>
        <v>4.782</v>
      </c>
      <c r="C286" s="26">
        <f>4.782 * CHOOSE(CONTROL!$C$32, $C$9, 100%, $E$9)</f>
        <v>4.782</v>
      </c>
      <c r="D286" s="26">
        <f>4.7836 * CHOOSE(CONTROL!$C$32, $C$9, 100%, $E$9)</f>
        <v>4.7835999999999999</v>
      </c>
      <c r="E286" s="27">
        <f>6.5105 * CHOOSE(CONTROL!$C$32, $C$9, 100%, $E$9)</f>
        <v>6.5105000000000004</v>
      </c>
      <c r="F286" s="27">
        <f>6.5105 * CHOOSE(CONTROL!$C$32, $C$9, 100%, $E$9)</f>
        <v>6.5105000000000004</v>
      </c>
      <c r="G286" s="27">
        <f>6.5158 * CHOOSE(CONTROL!$C$32, $C$9, 100%, $E$9)</f>
        <v>6.5157999999999996</v>
      </c>
      <c r="H286" s="27">
        <f>9.7665 * CHOOSE(CONTROL!$C$32, $C$9, 100%, $E$9)</f>
        <v>9.7665000000000006</v>
      </c>
      <c r="I286" s="27">
        <f>9.7718 * CHOOSE(CONTROL!$C$32, $C$9, 100%, $E$9)</f>
        <v>9.7718000000000007</v>
      </c>
      <c r="J286" s="27">
        <f>9.7665 * CHOOSE(CONTROL!$C$32, $C$9, 100%, $E$9)</f>
        <v>9.7665000000000006</v>
      </c>
      <c r="K286" s="27">
        <f>9.7718 * CHOOSE(CONTROL!$C$32, $C$9, 100%, $E$9)</f>
        <v>9.7718000000000007</v>
      </c>
      <c r="L286" s="27">
        <f>6.5105 * CHOOSE(CONTROL!$C$32, $C$9, 100%, $E$9)</f>
        <v>6.5105000000000004</v>
      </c>
      <c r="M286" s="27">
        <f>6.5158 * CHOOSE(CONTROL!$C$32, $C$9, 100%, $E$9)</f>
        <v>6.5157999999999996</v>
      </c>
      <c r="N286" s="27">
        <f>6.5105 * CHOOSE(CONTROL!$C$32, $C$9, 100%, $E$9)</f>
        <v>6.5105000000000004</v>
      </c>
      <c r="O286" s="27">
        <f>6.5158 * CHOOSE(CONTROL!$C$32, $C$9, 100%, $E$9)</f>
        <v>6.5157999999999996</v>
      </c>
    </row>
    <row r="287" spans="1:15" ht="15" x14ac:dyDescent="0.2">
      <c r="A287" s="16">
        <v>49583</v>
      </c>
      <c r="B287" s="26">
        <f>4.78 * CHOOSE(CONTROL!$C$32, $C$9, 100%, $E$9)</f>
        <v>4.78</v>
      </c>
      <c r="C287" s="26">
        <f>4.78 * CHOOSE(CONTROL!$C$32, $C$9, 100%, $E$9)</f>
        <v>4.78</v>
      </c>
      <c r="D287" s="26">
        <f>4.781 * CHOOSE(CONTROL!$C$32, $C$9, 100%, $E$9)</f>
        <v>4.7809999999999997</v>
      </c>
      <c r="E287" s="27">
        <f>6.1678 * CHOOSE(CONTROL!$C$32, $C$9, 100%, $E$9)</f>
        <v>6.1677999999999997</v>
      </c>
      <c r="F287" s="27">
        <f>6.1678 * CHOOSE(CONTROL!$C$32, $C$9, 100%, $E$9)</f>
        <v>6.1677999999999997</v>
      </c>
      <c r="G287" s="27">
        <f>6.1714 * CHOOSE(CONTROL!$C$32, $C$9, 100%, $E$9)</f>
        <v>6.1714000000000002</v>
      </c>
      <c r="H287" s="27">
        <f>9.7868 * CHOOSE(CONTROL!$C$32, $C$9, 100%, $E$9)</f>
        <v>9.7867999999999995</v>
      </c>
      <c r="I287" s="27">
        <f>9.7905 * CHOOSE(CONTROL!$C$32, $C$9, 100%, $E$9)</f>
        <v>9.7904999999999998</v>
      </c>
      <c r="J287" s="27">
        <f>9.7868 * CHOOSE(CONTROL!$C$32, $C$9, 100%, $E$9)</f>
        <v>9.7867999999999995</v>
      </c>
      <c r="K287" s="27">
        <f>9.7905 * CHOOSE(CONTROL!$C$32, $C$9, 100%, $E$9)</f>
        <v>9.7904999999999998</v>
      </c>
      <c r="L287" s="27">
        <f>6.1678 * CHOOSE(CONTROL!$C$32, $C$9, 100%, $E$9)</f>
        <v>6.1677999999999997</v>
      </c>
      <c r="M287" s="27">
        <f>6.1714 * CHOOSE(CONTROL!$C$32, $C$9, 100%, $E$9)</f>
        <v>6.1714000000000002</v>
      </c>
      <c r="N287" s="27">
        <f>6.1678 * CHOOSE(CONTROL!$C$32, $C$9, 100%, $E$9)</f>
        <v>6.1677999999999997</v>
      </c>
      <c r="O287" s="27">
        <f>6.1714 * CHOOSE(CONTROL!$C$32, $C$9, 100%, $E$9)</f>
        <v>6.1714000000000002</v>
      </c>
    </row>
    <row r="288" spans="1:15" ht="15" x14ac:dyDescent="0.2">
      <c r="A288" s="16">
        <v>49614</v>
      </c>
      <c r="B288" s="26">
        <f>4.783 * CHOOSE(CONTROL!$C$32, $C$9, 100%, $E$9)</f>
        <v>4.7830000000000004</v>
      </c>
      <c r="C288" s="26">
        <f>4.783 * CHOOSE(CONTROL!$C$32, $C$9, 100%, $E$9)</f>
        <v>4.7830000000000004</v>
      </c>
      <c r="D288" s="26">
        <f>4.7841 * CHOOSE(CONTROL!$C$32, $C$9, 100%, $E$9)</f>
        <v>4.7840999999999996</v>
      </c>
      <c r="E288" s="27">
        <f>6.1698 * CHOOSE(CONTROL!$C$32, $C$9, 100%, $E$9)</f>
        <v>6.1698000000000004</v>
      </c>
      <c r="F288" s="27">
        <f>6.1698 * CHOOSE(CONTROL!$C$32, $C$9, 100%, $E$9)</f>
        <v>6.1698000000000004</v>
      </c>
      <c r="G288" s="27">
        <f>6.1734 * CHOOSE(CONTROL!$C$32, $C$9, 100%, $E$9)</f>
        <v>6.1734</v>
      </c>
      <c r="H288" s="27">
        <f>9.8072 * CHOOSE(CONTROL!$C$32, $C$9, 100%, $E$9)</f>
        <v>9.8071999999999999</v>
      </c>
      <c r="I288" s="27">
        <f>9.8108 * CHOOSE(CONTROL!$C$32, $C$9, 100%, $E$9)</f>
        <v>9.8108000000000004</v>
      </c>
      <c r="J288" s="27">
        <f>9.8072 * CHOOSE(CONTROL!$C$32, $C$9, 100%, $E$9)</f>
        <v>9.8071999999999999</v>
      </c>
      <c r="K288" s="27">
        <f>9.8108 * CHOOSE(CONTROL!$C$32, $C$9, 100%, $E$9)</f>
        <v>9.8108000000000004</v>
      </c>
      <c r="L288" s="27">
        <f>6.1698 * CHOOSE(CONTROL!$C$32, $C$9, 100%, $E$9)</f>
        <v>6.1698000000000004</v>
      </c>
      <c r="M288" s="27">
        <f>6.1734 * CHOOSE(CONTROL!$C$32, $C$9, 100%, $E$9)</f>
        <v>6.1734</v>
      </c>
      <c r="N288" s="27">
        <f>6.1698 * CHOOSE(CONTROL!$C$32, $C$9, 100%, $E$9)</f>
        <v>6.1698000000000004</v>
      </c>
      <c r="O288" s="27">
        <f>6.1734 * CHOOSE(CONTROL!$C$32, $C$9, 100%, $E$9)</f>
        <v>6.1734</v>
      </c>
    </row>
    <row r="289" spans="1:15" ht="15" x14ac:dyDescent="0.2">
      <c r="A289" s="16">
        <v>49644</v>
      </c>
      <c r="B289" s="26">
        <f>4.783 * CHOOSE(CONTROL!$C$32, $C$9, 100%, $E$9)</f>
        <v>4.7830000000000004</v>
      </c>
      <c r="C289" s="26">
        <f>4.783 * CHOOSE(CONTROL!$C$32, $C$9, 100%, $E$9)</f>
        <v>4.7830000000000004</v>
      </c>
      <c r="D289" s="26">
        <f>4.7841 * CHOOSE(CONTROL!$C$32, $C$9, 100%, $E$9)</f>
        <v>4.7840999999999996</v>
      </c>
      <c r="E289" s="27">
        <f>6.5096 * CHOOSE(CONTROL!$C$32, $C$9, 100%, $E$9)</f>
        <v>6.5095999999999998</v>
      </c>
      <c r="F289" s="27">
        <f>6.5096 * CHOOSE(CONTROL!$C$32, $C$9, 100%, $E$9)</f>
        <v>6.5095999999999998</v>
      </c>
      <c r="G289" s="27">
        <f>6.5132 * CHOOSE(CONTROL!$C$32, $C$9, 100%, $E$9)</f>
        <v>6.5132000000000003</v>
      </c>
      <c r="H289" s="27">
        <f>9.8277 * CHOOSE(CONTROL!$C$32, $C$9, 100%, $E$9)</f>
        <v>9.8277000000000001</v>
      </c>
      <c r="I289" s="27">
        <f>9.8313 * CHOOSE(CONTROL!$C$32, $C$9, 100%, $E$9)</f>
        <v>9.8313000000000006</v>
      </c>
      <c r="J289" s="27">
        <f>9.8277 * CHOOSE(CONTROL!$C$32, $C$9, 100%, $E$9)</f>
        <v>9.8277000000000001</v>
      </c>
      <c r="K289" s="27">
        <f>9.8313 * CHOOSE(CONTROL!$C$32, $C$9, 100%, $E$9)</f>
        <v>9.8313000000000006</v>
      </c>
      <c r="L289" s="27">
        <f>6.5096 * CHOOSE(CONTROL!$C$32, $C$9, 100%, $E$9)</f>
        <v>6.5095999999999998</v>
      </c>
      <c r="M289" s="27">
        <f>6.5132 * CHOOSE(CONTROL!$C$32, $C$9, 100%, $E$9)</f>
        <v>6.5132000000000003</v>
      </c>
      <c r="N289" s="27">
        <f>6.5096 * CHOOSE(CONTROL!$C$32, $C$9, 100%, $E$9)</f>
        <v>6.5095999999999998</v>
      </c>
      <c r="O289" s="27">
        <f>6.5132 * CHOOSE(CONTROL!$C$32, $C$9, 100%, $E$9)</f>
        <v>6.5132000000000003</v>
      </c>
    </row>
    <row r="290" spans="1:15" ht="15" x14ac:dyDescent="0.2">
      <c r="A290" s="16">
        <v>49675</v>
      </c>
      <c r="B290" s="26">
        <f>4.8216 * CHOOSE(CONTROL!$C$32, $C$9, 100%, $E$9)</f>
        <v>4.8216000000000001</v>
      </c>
      <c r="C290" s="26">
        <f>4.8216 * CHOOSE(CONTROL!$C$32, $C$9, 100%, $E$9)</f>
        <v>4.8216000000000001</v>
      </c>
      <c r="D290" s="26">
        <f>4.8227 * CHOOSE(CONTROL!$C$32, $C$9, 100%, $E$9)</f>
        <v>4.8227000000000002</v>
      </c>
      <c r="E290" s="27">
        <f>6.5301 * CHOOSE(CONTROL!$C$32, $C$9, 100%, $E$9)</f>
        <v>6.5301</v>
      </c>
      <c r="F290" s="27">
        <f>6.5301 * CHOOSE(CONTROL!$C$32, $C$9, 100%, $E$9)</f>
        <v>6.5301</v>
      </c>
      <c r="G290" s="27">
        <f>6.5337 * CHOOSE(CONTROL!$C$32, $C$9, 100%, $E$9)</f>
        <v>6.5336999999999996</v>
      </c>
      <c r="H290" s="27">
        <f>9.8481 * CHOOSE(CONTROL!$C$32, $C$9, 100%, $E$9)</f>
        <v>9.8481000000000005</v>
      </c>
      <c r="I290" s="27">
        <f>9.8518 * CHOOSE(CONTROL!$C$32, $C$9, 100%, $E$9)</f>
        <v>9.8518000000000008</v>
      </c>
      <c r="J290" s="27">
        <f>9.8481 * CHOOSE(CONTROL!$C$32, $C$9, 100%, $E$9)</f>
        <v>9.8481000000000005</v>
      </c>
      <c r="K290" s="27">
        <f>9.8518 * CHOOSE(CONTROL!$C$32, $C$9, 100%, $E$9)</f>
        <v>9.8518000000000008</v>
      </c>
      <c r="L290" s="27">
        <f>6.5301 * CHOOSE(CONTROL!$C$32, $C$9, 100%, $E$9)</f>
        <v>6.5301</v>
      </c>
      <c r="M290" s="27">
        <f>6.5337 * CHOOSE(CONTROL!$C$32, $C$9, 100%, $E$9)</f>
        <v>6.5336999999999996</v>
      </c>
      <c r="N290" s="27">
        <f>6.5301 * CHOOSE(CONTROL!$C$32, $C$9, 100%, $E$9)</f>
        <v>6.5301</v>
      </c>
      <c r="O290" s="27">
        <f>6.5337 * CHOOSE(CONTROL!$C$32, $C$9, 100%, $E$9)</f>
        <v>6.5336999999999996</v>
      </c>
    </row>
    <row r="291" spans="1:15" ht="15" x14ac:dyDescent="0.2">
      <c r="A291" s="16">
        <v>49706</v>
      </c>
      <c r="B291" s="26">
        <f>4.8186 * CHOOSE(CONTROL!$C$32, $C$9, 100%, $E$9)</f>
        <v>4.8186</v>
      </c>
      <c r="C291" s="26">
        <f>4.8186 * CHOOSE(CONTROL!$C$32, $C$9, 100%, $E$9)</f>
        <v>4.8186</v>
      </c>
      <c r="D291" s="26">
        <f>4.8196 * CHOOSE(CONTROL!$C$32, $C$9, 100%, $E$9)</f>
        <v>4.8196000000000003</v>
      </c>
      <c r="E291" s="27">
        <f>6.4268 * CHOOSE(CONTROL!$C$32, $C$9, 100%, $E$9)</f>
        <v>6.4268000000000001</v>
      </c>
      <c r="F291" s="27">
        <f>6.4268 * CHOOSE(CONTROL!$C$32, $C$9, 100%, $E$9)</f>
        <v>6.4268000000000001</v>
      </c>
      <c r="G291" s="27">
        <f>6.4304 * CHOOSE(CONTROL!$C$32, $C$9, 100%, $E$9)</f>
        <v>6.4303999999999997</v>
      </c>
      <c r="H291" s="27">
        <f>9.8687 * CHOOSE(CONTROL!$C$32, $C$9, 100%, $E$9)</f>
        <v>9.8687000000000005</v>
      </c>
      <c r="I291" s="27">
        <f>9.8723 * CHOOSE(CONTROL!$C$32, $C$9, 100%, $E$9)</f>
        <v>9.8722999999999992</v>
      </c>
      <c r="J291" s="27">
        <f>9.8687 * CHOOSE(CONTROL!$C$32, $C$9, 100%, $E$9)</f>
        <v>9.8687000000000005</v>
      </c>
      <c r="K291" s="27">
        <f>9.8723 * CHOOSE(CONTROL!$C$32, $C$9, 100%, $E$9)</f>
        <v>9.8722999999999992</v>
      </c>
      <c r="L291" s="27">
        <f>6.4268 * CHOOSE(CONTROL!$C$32, $C$9, 100%, $E$9)</f>
        <v>6.4268000000000001</v>
      </c>
      <c r="M291" s="27">
        <f>6.4304 * CHOOSE(CONTROL!$C$32, $C$9, 100%, $E$9)</f>
        <v>6.4303999999999997</v>
      </c>
      <c r="N291" s="27">
        <f>6.4268 * CHOOSE(CONTROL!$C$32, $C$9, 100%, $E$9)</f>
        <v>6.4268000000000001</v>
      </c>
      <c r="O291" s="27">
        <f>6.4304 * CHOOSE(CONTROL!$C$32, $C$9, 100%, $E$9)</f>
        <v>6.4303999999999997</v>
      </c>
    </row>
    <row r="292" spans="1:15" ht="15" x14ac:dyDescent="0.2">
      <c r="A292" s="16">
        <v>49735</v>
      </c>
      <c r="B292" s="26">
        <f>4.8155 * CHOOSE(CONTROL!$C$32, $C$9, 100%, $E$9)</f>
        <v>4.8155000000000001</v>
      </c>
      <c r="C292" s="26">
        <f>4.8155 * CHOOSE(CONTROL!$C$32, $C$9, 100%, $E$9)</f>
        <v>4.8155000000000001</v>
      </c>
      <c r="D292" s="26">
        <f>4.8166 * CHOOSE(CONTROL!$C$32, $C$9, 100%, $E$9)</f>
        <v>4.8166000000000002</v>
      </c>
      <c r="E292" s="27">
        <f>6.5044 * CHOOSE(CONTROL!$C$32, $C$9, 100%, $E$9)</f>
        <v>6.5044000000000004</v>
      </c>
      <c r="F292" s="27">
        <f>6.5044 * CHOOSE(CONTROL!$C$32, $C$9, 100%, $E$9)</f>
        <v>6.5044000000000004</v>
      </c>
      <c r="G292" s="27">
        <f>6.508 * CHOOSE(CONTROL!$C$32, $C$9, 100%, $E$9)</f>
        <v>6.508</v>
      </c>
      <c r="H292" s="27">
        <f>9.8892 * CHOOSE(CONTROL!$C$32, $C$9, 100%, $E$9)</f>
        <v>9.8892000000000007</v>
      </c>
      <c r="I292" s="27">
        <f>9.8928 * CHOOSE(CONTROL!$C$32, $C$9, 100%, $E$9)</f>
        <v>9.8927999999999994</v>
      </c>
      <c r="J292" s="27">
        <f>9.8892 * CHOOSE(CONTROL!$C$32, $C$9, 100%, $E$9)</f>
        <v>9.8892000000000007</v>
      </c>
      <c r="K292" s="27">
        <f>9.8928 * CHOOSE(CONTROL!$C$32, $C$9, 100%, $E$9)</f>
        <v>9.8927999999999994</v>
      </c>
      <c r="L292" s="27">
        <f>6.5044 * CHOOSE(CONTROL!$C$32, $C$9, 100%, $E$9)</f>
        <v>6.5044000000000004</v>
      </c>
      <c r="M292" s="27">
        <f>6.508 * CHOOSE(CONTROL!$C$32, $C$9, 100%, $E$9)</f>
        <v>6.508</v>
      </c>
      <c r="N292" s="27">
        <f>6.5044 * CHOOSE(CONTROL!$C$32, $C$9, 100%, $E$9)</f>
        <v>6.5044000000000004</v>
      </c>
      <c r="O292" s="27">
        <f>6.508 * CHOOSE(CONTROL!$C$32, $C$9, 100%, $E$9)</f>
        <v>6.508</v>
      </c>
    </row>
    <row r="293" spans="1:15" ht="15" x14ac:dyDescent="0.2">
      <c r="A293" s="16">
        <v>49766</v>
      </c>
      <c r="B293" s="26">
        <f>4.814 * CHOOSE(CONTROL!$C$32, $C$9, 100%, $E$9)</f>
        <v>4.8140000000000001</v>
      </c>
      <c r="C293" s="26">
        <f>4.814 * CHOOSE(CONTROL!$C$32, $C$9, 100%, $E$9)</f>
        <v>4.8140000000000001</v>
      </c>
      <c r="D293" s="26">
        <f>4.815 * CHOOSE(CONTROL!$C$32, $C$9, 100%, $E$9)</f>
        <v>4.8150000000000004</v>
      </c>
      <c r="E293" s="27">
        <f>6.5859 * CHOOSE(CONTROL!$C$32, $C$9, 100%, $E$9)</f>
        <v>6.5858999999999996</v>
      </c>
      <c r="F293" s="27">
        <f>6.5859 * CHOOSE(CONTROL!$C$32, $C$9, 100%, $E$9)</f>
        <v>6.5858999999999996</v>
      </c>
      <c r="G293" s="27">
        <f>6.5895 * CHOOSE(CONTROL!$C$32, $C$9, 100%, $E$9)</f>
        <v>6.5895000000000001</v>
      </c>
      <c r="H293" s="27">
        <f>9.9098 * CHOOSE(CONTROL!$C$32, $C$9, 100%, $E$9)</f>
        <v>9.9098000000000006</v>
      </c>
      <c r="I293" s="27">
        <f>9.9134 * CHOOSE(CONTROL!$C$32, $C$9, 100%, $E$9)</f>
        <v>9.9133999999999993</v>
      </c>
      <c r="J293" s="27">
        <f>9.9098 * CHOOSE(CONTROL!$C$32, $C$9, 100%, $E$9)</f>
        <v>9.9098000000000006</v>
      </c>
      <c r="K293" s="27">
        <f>9.9134 * CHOOSE(CONTROL!$C$32, $C$9, 100%, $E$9)</f>
        <v>9.9133999999999993</v>
      </c>
      <c r="L293" s="27">
        <f>6.5859 * CHOOSE(CONTROL!$C$32, $C$9, 100%, $E$9)</f>
        <v>6.5858999999999996</v>
      </c>
      <c r="M293" s="27">
        <f>6.5895 * CHOOSE(CONTROL!$C$32, $C$9, 100%, $E$9)</f>
        <v>6.5895000000000001</v>
      </c>
      <c r="N293" s="27">
        <f>6.5859 * CHOOSE(CONTROL!$C$32, $C$9, 100%, $E$9)</f>
        <v>6.5858999999999996</v>
      </c>
      <c r="O293" s="27">
        <f>6.5895 * CHOOSE(CONTROL!$C$32, $C$9, 100%, $E$9)</f>
        <v>6.5895000000000001</v>
      </c>
    </row>
    <row r="294" spans="1:15" ht="15" x14ac:dyDescent="0.2">
      <c r="A294" s="16">
        <v>49796</v>
      </c>
      <c r="B294" s="26">
        <f>4.814 * CHOOSE(CONTROL!$C$32, $C$9, 100%, $E$9)</f>
        <v>4.8140000000000001</v>
      </c>
      <c r="C294" s="26">
        <f>4.814 * CHOOSE(CONTROL!$C$32, $C$9, 100%, $E$9)</f>
        <v>4.8140000000000001</v>
      </c>
      <c r="D294" s="26">
        <f>4.8155 * CHOOSE(CONTROL!$C$32, $C$9, 100%, $E$9)</f>
        <v>4.8155000000000001</v>
      </c>
      <c r="E294" s="27">
        <f>6.2171 * CHOOSE(CONTROL!$C$32, $C$9, 100%, $E$9)</f>
        <v>6.2171000000000003</v>
      </c>
      <c r="F294" s="27">
        <f>6.2171 * CHOOSE(CONTROL!$C$32, $C$9, 100%, $E$9)</f>
        <v>6.2171000000000003</v>
      </c>
      <c r="G294" s="27">
        <f>6.2224 * CHOOSE(CONTROL!$C$32, $C$9, 100%, $E$9)</f>
        <v>6.2224000000000004</v>
      </c>
      <c r="H294" s="27">
        <f>9.9305 * CHOOSE(CONTROL!$C$32, $C$9, 100%, $E$9)</f>
        <v>9.9305000000000003</v>
      </c>
      <c r="I294" s="27">
        <f>9.9358 * CHOOSE(CONTROL!$C$32, $C$9, 100%, $E$9)</f>
        <v>9.9358000000000004</v>
      </c>
      <c r="J294" s="27">
        <f>9.9305 * CHOOSE(CONTROL!$C$32, $C$9, 100%, $E$9)</f>
        <v>9.9305000000000003</v>
      </c>
      <c r="K294" s="27">
        <f>9.9358 * CHOOSE(CONTROL!$C$32, $C$9, 100%, $E$9)</f>
        <v>9.9358000000000004</v>
      </c>
      <c r="L294" s="27">
        <f>6.2171 * CHOOSE(CONTROL!$C$32, $C$9, 100%, $E$9)</f>
        <v>6.2171000000000003</v>
      </c>
      <c r="M294" s="27">
        <f>6.2224 * CHOOSE(CONTROL!$C$32, $C$9, 100%, $E$9)</f>
        <v>6.2224000000000004</v>
      </c>
      <c r="N294" s="27">
        <f>6.2171 * CHOOSE(CONTROL!$C$32, $C$9, 100%, $E$9)</f>
        <v>6.2171000000000003</v>
      </c>
      <c r="O294" s="27">
        <f>6.2224 * CHOOSE(CONTROL!$C$32, $C$9, 100%, $E$9)</f>
        <v>6.2224000000000004</v>
      </c>
    </row>
    <row r="295" spans="1:15" ht="15" x14ac:dyDescent="0.2">
      <c r="A295" s="16">
        <v>49827</v>
      </c>
      <c r="B295" s="26">
        <f>4.82 * CHOOSE(CONTROL!$C$32, $C$9, 100%, $E$9)</f>
        <v>4.82</v>
      </c>
      <c r="C295" s="26">
        <f>4.82 * CHOOSE(CONTROL!$C$32, $C$9, 100%, $E$9)</f>
        <v>4.82</v>
      </c>
      <c r="D295" s="26">
        <f>4.8216 * CHOOSE(CONTROL!$C$32, $C$9, 100%, $E$9)</f>
        <v>4.8216000000000001</v>
      </c>
      <c r="E295" s="27">
        <f>6.5901 * CHOOSE(CONTROL!$C$32, $C$9, 100%, $E$9)</f>
        <v>6.5900999999999996</v>
      </c>
      <c r="F295" s="27">
        <f>6.5901 * CHOOSE(CONTROL!$C$32, $C$9, 100%, $E$9)</f>
        <v>6.5900999999999996</v>
      </c>
      <c r="G295" s="27">
        <f>6.5954 * CHOOSE(CONTROL!$C$32, $C$9, 100%, $E$9)</f>
        <v>6.5953999999999997</v>
      </c>
      <c r="H295" s="27">
        <f>9.9511 * CHOOSE(CONTROL!$C$32, $C$9, 100%, $E$9)</f>
        <v>9.9511000000000003</v>
      </c>
      <c r="I295" s="27">
        <f>9.9564 * CHOOSE(CONTROL!$C$32, $C$9, 100%, $E$9)</f>
        <v>9.9564000000000004</v>
      </c>
      <c r="J295" s="27">
        <f>9.9511 * CHOOSE(CONTROL!$C$32, $C$9, 100%, $E$9)</f>
        <v>9.9511000000000003</v>
      </c>
      <c r="K295" s="27">
        <f>9.9564 * CHOOSE(CONTROL!$C$32, $C$9, 100%, $E$9)</f>
        <v>9.9564000000000004</v>
      </c>
      <c r="L295" s="27">
        <f>6.5901 * CHOOSE(CONTROL!$C$32, $C$9, 100%, $E$9)</f>
        <v>6.5900999999999996</v>
      </c>
      <c r="M295" s="27">
        <f>6.5954 * CHOOSE(CONTROL!$C$32, $C$9, 100%, $E$9)</f>
        <v>6.5953999999999997</v>
      </c>
      <c r="N295" s="27">
        <f>6.5901 * CHOOSE(CONTROL!$C$32, $C$9, 100%, $E$9)</f>
        <v>6.5900999999999996</v>
      </c>
      <c r="O295" s="27">
        <f>6.5954 * CHOOSE(CONTROL!$C$32, $C$9, 100%, $E$9)</f>
        <v>6.5953999999999997</v>
      </c>
    </row>
    <row r="296" spans="1:15" ht="15" x14ac:dyDescent="0.2">
      <c r="A296" s="16">
        <v>49857</v>
      </c>
      <c r="B296" s="26">
        <f>4.8896 * CHOOSE(CONTROL!$C$32, $C$9, 100%, $E$9)</f>
        <v>4.8895999999999997</v>
      </c>
      <c r="C296" s="26">
        <f>4.8896 * CHOOSE(CONTROL!$C$32, $C$9, 100%, $E$9)</f>
        <v>4.8895999999999997</v>
      </c>
      <c r="D296" s="26">
        <f>4.8911 * CHOOSE(CONTROL!$C$32, $C$9, 100%, $E$9)</f>
        <v>4.8910999999999998</v>
      </c>
      <c r="E296" s="27">
        <f>6.5201 * CHOOSE(CONTROL!$C$32, $C$9, 100%, $E$9)</f>
        <v>6.5201000000000002</v>
      </c>
      <c r="F296" s="27">
        <f>6.5201 * CHOOSE(CONTROL!$C$32, $C$9, 100%, $E$9)</f>
        <v>6.5201000000000002</v>
      </c>
      <c r="G296" s="27">
        <f>6.5254 * CHOOSE(CONTROL!$C$32, $C$9, 100%, $E$9)</f>
        <v>6.5254000000000003</v>
      </c>
      <c r="H296" s="27">
        <f>9.9719 * CHOOSE(CONTROL!$C$32, $C$9, 100%, $E$9)</f>
        <v>9.9718999999999998</v>
      </c>
      <c r="I296" s="27">
        <f>9.9772 * CHOOSE(CONTROL!$C$32, $C$9, 100%, $E$9)</f>
        <v>9.9771999999999998</v>
      </c>
      <c r="J296" s="27">
        <f>9.9719 * CHOOSE(CONTROL!$C$32, $C$9, 100%, $E$9)</f>
        <v>9.9718999999999998</v>
      </c>
      <c r="K296" s="27">
        <f>9.9772 * CHOOSE(CONTROL!$C$32, $C$9, 100%, $E$9)</f>
        <v>9.9771999999999998</v>
      </c>
      <c r="L296" s="27">
        <f>6.5201 * CHOOSE(CONTROL!$C$32, $C$9, 100%, $E$9)</f>
        <v>6.5201000000000002</v>
      </c>
      <c r="M296" s="27">
        <f>6.5254 * CHOOSE(CONTROL!$C$32, $C$9, 100%, $E$9)</f>
        <v>6.5254000000000003</v>
      </c>
      <c r="N296" s="27">
        <f>6.5201 * CHOOSE(CONTROL!$C$32, $C$9, 100%, $E$9)</f>
        <v>6.5201000000000002</v>
      </c>
      <c r="O296" s="27">
        <f>6.5254 * CHOOSE(CONTROL!$C$32, $C$9, 100%, $E$9)</f>
        <v>6.5254000000000003</v>
      </c>
    </row>
    <row r="297" spans="1:15" ht="15" x14ac:dyDescent="0.2">
      <c r="A297" s="16">
        <v>49888</v>
      </c>
      <c r="B297" s="26">
        <f>4.8962 * CHOOSE(CONTROL!$C$32, $C$9, 100%, $E$9)</f>
        <v>4.8962000000000003</v>
      </c>
      <c r="C297" s="26">
        <f>4.8962 * CHOOSE(CONTROL!$C$32, $C$9, 100%, $E$9)</f>
        <v>4.8962000000000003</v>
      </c>
      <c r="D297" s="26">
        <f>4.8978 * CHOOSE(CONTROL!$C$32, $C$9, 100%, $E$9)</f>
        <v>4.8978000000000002</v>
      </c>
      <c r="E297" s="27">
        <f>6.4284 * CHOOSE(CONTROL!$C$32, $C$9, 100%, $E$9)</f>
        <v>6.4283999999999999</v>
      </c>
      <c r="F297" s="27">
        <f>6.4284 * CHOOSE(CONTROL!$C$32, $C$9, 100%, $E$9)</f>
        <v>6.4283999999999999</v>
      </c>
      <c r="G297" s="27">
        <f>6.4336 * CHOOSE(CONTROL!$C$32, $C$9, 100%, $E$9)</f>
        <v>6.4336000000000002</v>
      </c>
      <c r="H297" s="27">
        <f>9.9927 * CHOOSE(CONTROL!$C$32, $C$9, 100%, $E$9)</f>
        <v>9.9926999999999992</v>
      </c>
      <c r="I297" s="27">
        <f>9.9979 * CHOOSE(CONTROL!$C$32, $C$9, 100%, $E$9)</f>
        <v>9.9978999999999996</v>
      </c>
      <c r="J297" s="27">
        <f>9.9927 * CHOOSE(CONTROL!$C$32, $C$9, 100%, $E$9)</f>
        <v>9.9926999999999992</v>
      </c>
      <c r="K297" s="27">
        <f>9.9979 * CHOOSE(CONTROL!$C$32, $C$9, 100%, $E$9)</f>
        <v>9.9978999999999996</v>
      </c>
      <c r="L297" s="27">
        <f>6.4284 * CHOOSE(CONTROL!$C$32, $C$9, 100%, $E$9)</f>
        <v>6.4283999999999999</v>
      </c>
      <c r="M297" s="27">
        <f>6.4336 * CHOOSE(CONTROL!$C$32, $C$9, 100%, $E$9)</f>
        <v>6.4336000000000002</v>
      </c>
      <c r="N297" s="27">
        <f>6.4284 * CHOOSE(CONTROL!$C$32, $C$9, 100%, $E$9)</f>
        <v>6.4283999999999999</v>
      </c>
      <c r="O297" s="27">
        <f>6.4336 * CHOOSE(CONTROL!$C$32, $C$9, 100%, $E$9)</f>
        <v>6.4336000000000002</v>
      </c>
    </row>
    <row r="298" spans="1:15" ht="15" x14ac:dyDescent="0.2">
      <c r="A298" s="16">
        <v>49919</v>
      </c>
      <c r="B298" s="26">
        <f>4.8932 * CHOOSE(CONTROL!$C$32, $C$9, 100%, $E$9)</f>
        <v>4.8932000000000002</v>
      </c>
      <c r="C298" s="26">
        <f>4.8932 * CHOOSE(CONTROL!$C$32, $C$9, 100%, $E$9)</f>
        <v>4.8932000000000002</v>
      </c>
      <c r="D298" s="26">
        <f>4.8948 * CHOOSE(CONTROL!$C$32, $C$9, 100%, $E$9)</f>
        <v>4.8948</v>
      </c>
      <c r="E298" s="27">
        <f>6.4155 * CHOOSE(CONTROL!$C$32, $C$9, 100%, $E$9)</f>
        <v>6.4154999999999998</v>
      </c>
      <c r="F298" s="27">
        <f>6.4155 * CHOOSE(CONTROL!$C$32, $C$9, 100%, $E$9)</f>
        <v>6.4154999999999998</v>
      </c>
      <c r="G298" s="27">
        <f>6.4208 * CHOOSE(CONTROL!$C$32, $C$9, 100%, $E$9)</f>
        <v>6.4207999999999998</v>
      </c>
      <c r="H298" s="27">
        <f>10.0135 * CHOOSE(CONTROL!$C$32, $C$9, 100%, $E$9)</f>
        <v>10.013500000000001</v>
      </c>
      <c r="I298" s="27">
        <f>10.0188 * CHOOSE(CONTROL!$C$32, $C$9, 100%, $E$9)</f>
        <v>10.018800000000001</v>
      </c>
      <c r="J298" s="27">
        <f>10.0135 * CHOOSE(CONTROL!$C$32, $C$9, 100%, $E$9)</f>
        <v>10.013500000000001</v>
      </c>
      <c r="K298" s="27">
        <f>10.0188 * CHOOSE(CONTROL!$C$32, $C$9, 100%, $E$9)</f>
        <v>10.018800000000001</v>
      </c>
      <c r="L298" s="27">
        <f>6.4155 * CHOOSE(CONTROL!$C$32, $C$9, 100%, $E$9)</f>
        <v>6.4154999999999998</v>
      </c>
      <c r="M298" s="27">
        <f>6.4208 * CHOOSE(CONTROL!$C$32, $C$9, 100%, $E$9)</f>
        <v>6.4207999999999998</v>
      </c>
      <c r="N298" s="27">
        <f>6.4155 * CHOOSE(CONTROL!$C$32, $C$9, 100%, $E$9)</f>
        <v>6.4154999999999998</v>
      </c>
      <c r="O298" s="27">
        <f>6.4208 * CHOOSE(CONTROL!$C$32, $C$9, 100%, $E$9)</f>
        <v>6.4207999999999998</v>
      </c>
    </row>
    <row r="299" spans="1:15" ht="15" x14ac:dyDescent="0.2">
      <c r="A299" s="16">
        <v>49949</v>
      </c>
      <c r="B299" s="26">
        <f>4.8916 * CHOOSE(CONTROL!$C$32, $C$9, 100%, $E$9)</f>
        <v>4.8916000000000004</v>
      </c>
      <c r="C299" s="26">
        <f>4.8916 * CHOOSE(CONTROL!$C$32, $C$9, 100%, $E$9)</f>
        <v>4.8916000000000004</v>
      </c>
      <c r="D299" s="26">
        <f>4.8927 * CHOOSE(CONTROL!$C$32, $C$9, 100%, $E$9)</f>
        <v>4.8926999999999996</v>
      </c>
      <c r="E299" s="27">
        <f>6.4449 * CHOOSE(CONTROL!$C$32, $C$9, 100%, $E$9)</f>
        <v>6.4448999999999996</v>
      </c>
      <c r="F299" s="27">
        <f>6.4449 * CHOOSE(CONTROL!$C$32, $C$9, 100%, $E$9)</f>
        <v>6.4448999999999996</v>
      </c>
      <c r="G299" s="27">
        <f>6.4486 * CHOOSE(CONTROL!$C$32, $C$9, 100%, $E$9)</f>
        <v>6.4485999999999999</v>
      </c>
      <c r="H299" s="27">
        <f>10.0343 * CHOOSE(CONTROL!$C$32, $C$9, 100%, $E$9)</f>
        <v>10.0343</v>
      </c>
      <c r="I299" s="27">
        <f>10.0379 * CHOOSE(CONTROL!$C$32, $C$9, 100%, $E$9)</f>
        <v>10.0379</v>
      </c>
      <c r="J299" s="27">
        <f>10.0343 * CHOOSE(CONTROL!$C$32, $C$9, 100%, $E$9)</f>
        <v>10.0343</v>
      </c>
      <c r="K299" s="27">
        <f>10.0379 * CHOOSE(CONTROL!$C$32, $C$9, 100%, $E$9)</f>
        <v>10.0379</v>
      </c>
      <c r="L299" s="27">
        <f>6.4449 * CHOOSE(CONTROL!$C$32, $C$9, 100%, $E$9)</f>
        <v>6.4448999999999996</v>
      </c>
      <c r="M299" s="27">
        <f>6.4486 * CHOOSE(CONTROL!$C$32, $C$9, 100%, $E$9)</f>
        <v>6.4485999999999999</v>
      </c>
      <c r="N299" s="27">
        <f>6.4449 * CHOOSE(CONTROL!$C$32, $C$9, 100%, $E$9)</f>
        <v>6.4448999999999996</v>
      </c>
      <c r="O299" s="27">
        <f>6.4486 * CHOOSE(CONTROL!$C$32, $C$9, 100%, $E$9)</f>
        <v>6.4485999999999999</v>
      </c>
    </row>
    <row r="300" spans="1:15" ht="15" x14ac:dyDescent="0.2">
      <c r="A300" s="16">
        <v>49980</v>
      </c>
      <c r="B300" s="26">
        <f>4.8946 * CHOOSE(CONTROL!$C$32, $C$9, 100%, $E$9)</f>
        <v>4.8945999999999996</v>
      </c>
      <c r="C300" s="26">
        <f>4.8946 * CHOOSE(CONTROL!$C$32, $C$9, 100%, $E$9)</f>
        <v>4.8945999999999996</v>
      </c>
      <c r="D300" s="26">
        <f>4.8957 * CHOOSE(CONTROL!$C$32, $C$9, 100%, $E$9)</f>
        <v>4.8956999999999997</v>
      </c>
      <c r="E300" s="27">
        <f>6.4685 * CHOOSE(CONTROL!$C$32, $C$9, 100%, $E$9)</f>
        <v>6.4684999999999997</v>
      </c>
      <c r="F300" s="27">
        <f>6.4685 * CHOOSE(CONTROL!$C$32, $C$9, 100%, $E$9)</f>
        <v>6.4684999999999997</v>
      </c>
      <c r="G300" s="27">
        <f>6.4721 * CHOOSE(CONTROL!$C$32, $C$9, 100%, $E$9)</f>
        <v>6.4721000000000002</v>
      </c>
      <c r="H300" s="27">
        <f>10.0552 * CHOOSE(CONTROL!$C$32, $C$9, 100%, $E$9)</f>
        <v>10.055199999999999</v>
      </c>
      <c r="I300" s="27">
        <f>10.0589 * CHOOSE(CONTROL!$C$32, $C$9, 100%, $E$9)</f>
        <v>10.0589</v>
      </c>
      <c r="J300" s="27">
        <f>10.0552 * CHOOSE(CONTROL!$C$32, $C$9, 100%, $E$9)</f>
        <v>10.055199999999999</v>
      </c>
      <c r="K300" s="27">
        <f>10.0589 * CHOOSE(CONTROL!$C$32, $C$9, 100%, $E$9)</f>
        <v>10.0589</v>
      </c>
      <c r="L300" s="27">
        <f>6.4685 * CHOOSE(CONTROL!$C$32, $C$9, 100%, $E$9)</f>
        <v>6.4684999999999997</v>
      </c>
      <c r="M300" s="27">
        <f>6.4721 * CHOOSE(CONTROL!$C$32, $C$9, 100%, $E$9)</f>
        <v>6.4721000000000002</v>
      </c>
      <c r="N300" s="27">
        <f>6.4685 * CHOOSE(CONTROL!$C$32, $C$9, 100%, $E$9)</f>
        <v>6.4684999999999997</v>
      </c>
      <c r="O300" s="27">
        <f>6.4721 * CHOOSE(CONTROL!$C$32, $C$9, 100%, $E$9)</f>
        <v>6.4721000000000002</v>
      </c>
    </row>
    <row r="301" spans="1:15" ht="15" x14ac:dyDescent="0.2">
      <c r="A301" s="16">
        <v>50010</v>
      </c>
      <c r="B301" s="26">
        <f>4.8946 * CHOOSE(CONTROL!$C$32, $C$9, 100%, $E$9)</f>
        <v>4.8945999999999996</v>
      </c>
      <c r="C301" s="26">
        <f>4.8946 * CHOOSE(CONTROL!$C$32, $C$9, 100%, $E$9)</f>
        <v>4.8945999999999996</v>
      </c>
      <c r="D301" s="26">
        <f>4.8957 * CHOOSE(CONTROL!$C$32, $C$9, 100%, $E$9)</f>
        <v>4.8956999999999997</v>
      </c>
      <c r="E301" s="27">
        <f>6.4149 * CHOOSE(CONTROL!$C$32, $C$9, 100%, $E$9)</f>
        <v>6.4149000000000003</v>
      </c>
      <c r="F301" s="27">
        <f>6.4149 * CHOOSE(CONTROL!$C$32, $C$9, 100%, $E$9)</f>
        <v>6.4149000000000003</v>
      </c>
      <c r="G301" s="27">
        <f>6.4185 * CHOOSE(CONTROL!$C$32, $C$9, 100%, $E$9)</f>
        <v>6.4184999999999999</v>
      </c>
      <c r="H301" s="27">
        <f>10.0762 * CHOOSE(CONTROL!$C$32, $C$9, 100%, $E$9)</f>
        <v>10.0762</v>
      </c>
      <c r="I301" s="27">
        <f>10.0798 * CHOOSE(CONTROL!$C$32, $C$9, 100%, $E$9)</f>
        <v>10.079800000000001</v>
      </c>
      <c r="J301" s="27">
        <f>10.0762 * CHOOSE(CONTROL!$C$32, $C$9, 100%, $E$9)</f>
        <v>10.0762</v>
      </c>
      <c r="K301" s="27">
        <f>10.0798 * CHOOSE(CONTROL!$C$32, $C$9, 100%, $E$9)</f>
        <v>10.079800000000001</v>
      </c>
      <c r="L301" s="27">
        <f>6.4149 * CHOOSE(CONTROL!$C$32, $C$9, 100%, $E$9)</f>
        <v>6.4149000000000003</v>
      </c>
      <c r="M301" s="27">
        <f>6.4185 * CHOOSE(CONTROL!$C$32, $C$9, 100%, $E$9)</f>
        <v>6.4184999999999999</v>
      </c>
      <c r="N301" s="27">
        <f>6.4149 * CHOOSE(CONTROL!$C$32, $C$9, 100%, $E$9)</f>
        <v>6.4149000000000003</v>
      </c>
      <c r="O301" s="27">
        <f>6.4185 * CHOOSE(CONTROL!$C$32, $C$9, 100%, $E$9)</f>
        <v>6.4184999999999999</v>
      </c>
    </row>
    <row r="302" spans="1:15" ht="15" x14ac:dyDescent="0.2">
      <c r="A302" s="16">
        <v>50041</v>
      </c>
      <c r="B302" s="26">
        <f>4.9322 * CHOOSE(CONTROL!$C$32, $C$9, 100%, $E$9)</f>
        <v>4.9321999999999999</v>
      </c>
      <c r="C302" s="26">
        <f>4.9322 * CHOOSE(CONTROL!$C$32, $C$9, 100%, $E$9)</f>
        <v>4.9321999999999999</v>
      </c>
      <c r="D302" s="26">
        <f>4.9333 * CHOOSE(CONTROL!$C$32, $C$9, 100%, $E$9)</f>
        <v>4.9333</v>
      </c>
      <c r="E302" s="27">
        <f>6.4909 * CHOOSE(CONTROL!$C$32, $C$9, 100%, $E$9)</f>
        <v>6.4908999999999999</v>
      </c>
      <c r="F302" s="27">
        <f>6.4909 * CHOOSE(CONTROL!$C$32, $C$9, 100%, $E$9)</f>
        <v>6.4908999999999999</v>
      </c>
      <c r="G302" s="27">
        <f>6.4945 * CHOOSE(CONTROL!$C$32, $C$9, 100%, $E$9)</f>
        <v>6.4945000000000004</v>
      </c>
      <c r="H302" s="27">
        <f>10.0972 * CHOOSE(CONTROL!$C$32, $C$9, 100%, $E$9)</f>
        <v>10.097200000000001</v>
      </c>
      <c r="I302" s="27">
        <f>10.1008 * CHOOSE(CONTROL!$C$32, $C$9, 100%, $E$9)</f>
        <v>10.1008</v>
      </c>
      <c r="J302" s="27">
        <f>10.0972 * CHOOSE(CONTROL!$C$32, $C$9, 100%, $E$9)</f>
        <v>10.097200000000001</v>
      </c>
      <c r="K302" s="27">
        <f>10.1008 * CHOOSE(CONTROL!$C$32, $C$9, 100%, $E$9)</f>
        <v>10.1008</v>
      </c>
      <c r="L302" s="27">
        <f>6.4909 * CHOOSE(CONTROL!$C$32, $C$9, 100%, $E$9)</f>
        <v>6.4908999999999999</v>
      </c>
      <c r="M302" s="27">
        <f>6.4945 * CHOOSE(CONTROL!$C$32, $C$9, 100%, $E$9)</f>
        <v>6.4945000000000004</v>
      </c>
      <c r="N302" s="27">
        <f>6.4909 * CHOOSE(CONTROL!$C$32, $C$9, 100%, $E$9)</f>
        <v>6.4908999999999999</v>
      </c>
      <c r="O302" s="27">
        <f>6.4945 * CHOOSE(CONTROL!$C$32, $C$9, 100%, $E$9)</f>
        <v>6.4945000000000004</v>
      </c>
    </row>
    <row r="303" spans="1:15" ht="15" x14ac:dyDescent="0.2">
      <c r="A303" s="16">
        <v>50072</v>
      </c>
      <c r="B303" s="26">
        <f>4.9291 * CHOOSE(CONTROL!$C$32, $C$9, 100%, $E$9)</f>
        <v>4.9291</v>
      </c>
      <c r="C303" s="26">
        <f>4.9291 * CHOOSE(CONTROL!$C$32, $C$9, 100%, $E$9)</f>
        <v>4.9291</v>
      </c>
      <c r="D303" s="26">
        <f>4.9302 * CHOOSE(CONTROL!$C$32, $C$9, 100%, $E$9)</f>
        <v>4.9302000000000001</v>
      </c>
      <c r="E303" s="27">
        <f>6.3843 * CHOOSE(CONTROL!$C$32, $C$9, 100%, $E$9)</f>
        <v>6.3842999999999996</v>
      </c>
      <c r="F303" s="27">
        <f>6.3843 * CHOOSE(CONTROL!$C$32, $C$9, 100%, $E$9)</f>
        <v>6.3842999999999996</v>
      </c>
      <c r="G303" s="27">
        <f>6.3879 * CHOOSE(CONTROL!$C$32, $C$9, 100%, $E$9)</f>
        <v>6.3879000000000001</v>
      </c>
      <c r="H303" s="27">
        <f>10.1182 * CHOOSE(CONTROL!$C$32, $C$9, 100%, $E$9)</f>
        <v>10.1182</v>
      </c>
      <c r="I303" s="27">
        <f>10.1218 * CHOOSE(CONTROL!$C$32, $C$9, 100%, $E$9)</f>
        <v>10.1218</v>
      </c>
      <c r="J303" s="27">
        <f>10.1182 * CHOOSE(CONTROL!$C$32, $C$9, 100%, $E$9)</f>
        <v>10.1182</v>
      </c>
      <c r="K303" s="27">
        <f>10.1218 * CHOOSE(CONTROL!$C$32, $C$9, 100%, $E$9)</f>
        <v>10.1218</v>
      </c>
      <c r="L303" s="27">
        <f>6.3843 * CHOOSE(CONTROL!$C$32, $C$9, 100%, $E$9)</f>
        <v>6.3842999999999996</v>
      </c>
      <c r="M303" s="27">
        <f>6.3879 * CHOOSE(CONTROL!$C$32, $C$9, 100%, $E$9)</f>
        <v>6.3879000000000001</v>
      </c>
      <c r="N303" s="27">
        <f>6.3843 * CHOOSE(CONTROL!$C$32, $C$9, 100%, $E$9)</f>
        <v>6.3842999999999996</v>
      </c>
      <c r="O303" s="27">
        <f>6.3879 * CHOOSE(CONTROL!$C$32, $C$9, 100%, $E$9)</f>
        <v>6.3879000000000001</v>
      </c>
    </row>
    <row r="304" spans="1:15" ht="15" x14ac:dyDescent="0.2">
      <c r="A304" s="16">
        <v>50100</v>
      </c>
      <c r="B304" s="26">
        <f>4.9261 * CHOOSE(CONTROL!$C$32, $C$9, 100%, $E$9)</f>
        <v>4.9260999999999999</v>
      </c>
      <c r="C304" s="26">
        <f>4.9261 * CHOOSE(CONTROL!$C$32, $C$9, 100%, $E$9)</f>
        <v>4.9260999999999999</v>
      </c>
      <c r="D304" s="26">
        <f>4.9272 * CHOOSE(CONTROL!$C$32, $C$9, 100%, $E$9)</f>
        <v>4.9272</v>
      </c>
      <c r="E304" s="27">
        <f>6.4645 * CHOOSE(CONTROL!$C$32, $C$9, 100%, $E$9)</f>
        <v>6.4645000000000001</v>
      </c>
      <c r="F304" s="27">
        <f>6.4645 * CHOOSE(CONTROL!$C$32, $C$9, 100%, $E$9)</f>
        <v>6.4645000000000001</v>
      </c>
      <c r="G304" s="27">
        <f>6.4681 * CHOOSE(CONTROL!$C$32, $C$9, 100%, $E$9)</f>
        <v>6.4680999999999997</v>
      </c>
      <c r="H304" s="27">
        <f>10.1393 * CHOOSE(CONTROL!$C$32, $C$9, 100%, $E$9)</f>
        <v>10.1393</v>
      </c>
      <c r="I304" s="27">
        <f>10.1429 * CHOOSE(CONTROL!$C$32, $C$9, 100%, $E$9)</f>
        <v>10.142899999999999</v>
      </c>
      <c r="J304" s="27">
        <f>10.1393 * CHOOSE(CONTROL!$C$32, $C$9, 100%, $E$9)</f>
        <v>10.1393</v>
      </c>
      <c r="K304" s="27">
        <f>10.1429 * CHOOSE(CONTROL!$C$32, $C$9, 100%, $E$9)</f>
        <v>10.142899999999999</v>
      </c>
      <c r="L304" s="27">
        <f>6.4645 * CHOOSE(CONTROL!$C$32, $C$9, 100%, $E$9)</f>
        <v>6.4645000000000001</v>
      </c>
      <c r="M304" s="27">
        <f>6.4681 * CHOOSE(CONTROL!$C$32, $C$9, 100%, $E$9)</f>
        <v>6.4680999999999997</v>
      </c>
      <c r="N304" s="27">
        <f>6.4645 * CHOOSE(CONTROL!$C$32, $C$9, 100%, $E$9)</f>
        <v>6.4645000000000001</v>
      </c>
      <c r="O304" s="27">
        <f>6.4681 * CHOOSE(CONTROL!$C$32, $C$9, 100%, $E$9)</f>
        <v>6.4680999999999997</v>
      </c>
    </row>
    <row r="305" spans="1:15" ht="15" x14ac:dyDescent="0.2">
      <c r="A305" s="16">
        <v>50131</v>
      </c>
      <c r="B305" s="26">
        <f>4.9246 * CHOOSE(CONTROL!$C$32, $C$9, 100%, $E$9)</f>
        <v>4.9245999999999999</v>
      </c>
      <c r="C305" s="26">
        <f>4.9246 * CHOOSE(CONTROL!$C$32, $C$9, 100%, $E$9)</f>
        <v>4.9245999999999999</v>
      </c>
      <c r="D305" s="26">
        <f>4.9257 * CHOOSE(CONTROL!$C$32, $C$9, 100%, $E$9)</f>
        <v>4.9257</v>
      </c>
      <c r="E305" s="27">
        <f>6.5488 * CHOOSE(CONTROL!$C$32, $C$9, 100%, $E$9)</f>
        <v>6.5488</v>
      </c>
      <c r="F305" s="27">
        <f>6.5488 * CHOOSE(CONTROL!$C$32, $C$9, 100%, $E$9)</f>
        <v>6.5488</v>
      </c>
      <c r="G305" s="27">
        <f>6.5524 * CHOOSE(CONTROL!$C$32, $C$9, 100%, $E$9)</f>
        <v>6.5523999999999996</v>
      </c>
      <c r="H305" s="27">
        <f>10.1604 * CHOOSE(CONTROL!$C$32, $C$9, 100%, $E$9)</f>
        <v>10.160399999999999</v>
      </c>
      <c r="I305" s="27">
        <f>10.164 * CHOOSE(CONTROL!$C$32, $C$9, 100%, $E$9)</f>
        <v>10.164</v>
      </c>
      <c r="J305" s="27">
        <f>10.1604 * CHOOSE(CONTROL!$C$32, $C$9, 100%, $E$9)</f>
        <v>10.160399999999999</v>
      </c>
      <c r="K305" s="27">
        <f>10.164 * CHOOSE(CONTROL!$C$32, $C$9, 100%, $E$9)</f>
        <v>10.164</v>
      </c>
      <c r="L305" s="27">
        <f>6.5488 * CHOOSE(CONTROL!$C$32, $C$9, 100%, $E$9)</f>
        <v>6.5488</v>
      </c>
      <c r="M305" s="27">
        <f>6.5524 * CHOOSE(CONTROL!$C$32, $C$9, 100%, $E$9)</f>
        <v>6.5523999999999996</v>
      </c>
      <c r="N305" s="27">
        <f>6.5488 * CHOOSE(CONTROL!$C$32, $C$9, 100%, $E$9)</f>
        <v>6.5488</v>
      </c>
      <c r="O305" s="27">
        <f>6.5524 * CHOOSE(CONTROL!$C$32, $C$9, 100%, $E$9)</f>
        <v>6.5523999999999996</v>
      </c>
    </row>
    <row r="306" spans="1:15" ht="15" x14ac:dyDescent="0.2">
      <c r="A306" s="16">
        <v>50161</v>
      </c>
      <c r="B306" s="26">
        <f>4.9246 * CHOOSE(CONTROL!$C$32, $C$9, 100%, $E$9)</f>
        <v>4.9245999999999999</v>
      </c>
      <c r="C306" s="26">
        <f>4.9246 * CHOOSE(CONTROL!$C$32, $C$9, 100%, $E$9)</f>
        <v>4.9245999999999999</v>
      </c>
      <c r="D306" s="26">
        <f>4.9262 * CHOOSE(CONTROL!$C$32, $C$9, 100%, $E$9)</f>
        <v>4.9261999999999997</v>
      </c>
      <c r="E306" s="27">
        <f>6.5819 * CHOOSE(CONTROL!$C$32, $C$9, 100%, $E$9)</f>
        <v>6.5819000000000001</v>
      </c>
      <c r="F306" s="27">
        <f>6.5819 * CHOOSE(CONTROL!$C$32, $C$9, 100%, $E$9)</f>
        <v>6.5819000000000001</v>
      </c>
      <c r="G306" s="27">
        <f>6.5872 * CHOOSE(CONTROL!$C$32, $C$9, 100%, $E$9)</f>
        <v>6.5872000000000002</v>
      </c>
      <c r="H306" s="27">
        <f>10.1816 * CHOOSE(CONTROL!$C$32, $C$9, 100%, $E$9)</f>
        <v>10.1816</v>
      </c>
      <c r="I306" s="27">
        <f>10.1869 * CHOOSE(CONTROL!$C$32, $C$9, 100%, $E$9)</f>
        <v>10.1869</v>
      </c>
      <c r="J306" s="27">
        <f>10.1816 * CHOOSE(CONTROL!$C$32, $C$9, 100%, $E$9)</f>
        <v>10.1816</v>
      </c>
      <c r="K306" s="27">
        <f>10.1869 * CHOOSE(CONTROL!$C$32, $C$9, 100%, $E$9)</f>
        <v>10.1869</v>
      </c>
      <c r="L306" s="27">
        <f>6.5819 * CHOOSE(CONTROL!$C$32, $C$9, 100%, $E$9)</f>
        <v>6.5819000000000001</v>
      </c>
      <c r="M306" s="27">
        <f>6.5872 * CHOOSE(CONTROL!$C$32, $C$9, 100%, $E$9)</f>
        <v>6.5872000000000002</v>
      </c>
      <c r="N306" s="27">
        <f>6.5819 * CHOOSE(CONTROL!$C$32, $C$9, 100%, $E$9)</f>
        <v>6.5819000000000001</v>
      </c>
      <c r="O306" s="27">
        <f>6.5872 * CHOOSE(CONTROL!$C$32, $C$9, 100%, $E$9)</f>
        <v>6.5872000000000002</v>
      </c>
    </row>
    <row r="307" spans="1:15" ht="15" x14ac:dyDescent="0.2">
      <c r="A307" s="16">
        <v>50192</v>
      </c>
      <c r="B307" s="26">
        <f>4.9307 * CHOOSE(CONTROL!$C$32, $C$9, 100%, $E$9)</f>
        <v>4.9306999999999999</v>
      </c>
      <c r="C307" s="26">
        <f>4.9307 * CHOOSE(CONTROL!$C$32, $C$9, 100%, $E$9)</f>
        <v>4.9306999999999999</v>
      </c>
      <c r="D307" s="26">
        <f>4.9323 * CHOOSE(CONTROL!$C$32, $C$9, 100%, $E$9)</f>
        <v>4.9322999999999997</v>
      </c>
      <c r="E307" s="27">
        <f>6.553 * CHOOSE(CONTROL!$C$32, $C$9, 100%, $E$9)</f>
        <v>6.5529999999999999</v>
      </c>
      <c r="F307" s="27">
        <f>6.553 * CHOOSE(CONTROL!$C$32, $C$9, 100%, $E$9)</f>
        <v>6.5529999999999999</v>
      </c>
      <c r="G307" s="27">
        <f>6.5583 * CHOOSE(CONTROL!$C$32, $C$9, 100%, $E$9)</f>
        <v>6.5583</v>
      </c>
      <c r="H307" s="27">
        <f>10.2028 * CHOOSE(CONTROL!$C$32, $C$9, 100%, $E$9)</f>
        <v>10.2028</v>
      </c>
      <c r="I307" s="27">
        <f>10.2081 * CHOOSE(CONTROL!$C$32, $C$9, 100%, $E$9)</f>
        <v>10.2081</v>
      </c>
      <c r="J307" s="27">
        <f>10.2028 * CHOOSE(CONTROL!$C$32, $C$9, 100%, $E$9)</f>
        <v>10.2028</v>
      </c>
      <c r="K307" s="27">
        <f>10.2081 * CHOOSE(CONTROL!$C$32, $C$9, 100%, $E$9)</f>
        <v>10.2081</v>
      </c>
      <c r="L307" s="27">
        <f>6.553 * CHOOSE(CONTROL!$C$32, $C$9, 100%, $E$9)</f>
        <v>6.5529999999999999</v>
      </c>
      <c r="M307" s="27">
        <f>6.5583 * CHOOSE(CONTROL!$C$32, $C$9, 100%, $E$9)</f>
        <v>6.5583</v>
      </c>
      <c r="N307" s="27">
        <f>6.553 * CHOOSE(CONTROL!$C$32, $C$9, 100%, $E$9)</f>
        <v>6.5529999999999999</v>
      </c>
      <c r="O307" s="27">
        <f>6.5583 * CHOOSE(CONTROL!$C$32, $C$9, 100%, $E$9)</f>
        <v>6.5583</v>
      </c>
    </row>
    <row r="308" spans="1:15" ht="15" x14ac:dyDescent="0.2">
      <c r="A308" s="16">
        <v>50222</v>
      </c>
      <c r="B308" s="26">
        <f>4.9977 * CHOOSE(CONTROL!$C$32, $C$9, 100%, $E$9)</f>
        <v>4.9977</v>
      </c>
      <c r="C308" s="26">
        <f>4.9977 * CHOOSE(CONTROL!$C$32, $C$9, 100%, $E$9)</f>
        <v>4.9977</v>
      </c>
      <c r="D308" s="26">
        <f>4.9993 * CHOOSE(CONTROL!$C$32, $C$9, 100%, $E$9)</f>
        <v>4.9992999999999999</v>
      </c>
      <c r="E308" s="27">
        <f>6.6146 * CHOOSE(CONTROL!$C$32, $C$9, 100%, $E$9)</f>
        <v>6.6146000000000003</v>
      </c>
      <c r="F308" s="27">
        <f>6.6146 * CHOOSE(CONTROL!$C$32, $C$9, 100%, $E$9)</f>
        <v>6.6146000000000003</v>
      </c>
      <c r="G308" s="27">
        <f>6.6199 * CHOOSE(CONTROL!$C$32, $C$9, 100%, $E$9)</f>
        <v>6.6199000000000003</v>
      </c>
      <c r="H308" s="27">
        <f>10.2241 * CHOOSE(CONTROL!$C$32, $C$9, 100%, $E$9)</f>
        <v>10.2241</v>
      </c>
      <c r="I308" s="27">
        <f>10.2293 * CHOOSE(CONTROL!$C$32, $C$9, 100%, $E$9)</f>
        <v>10.2293</v>
      </c>
      <c r="J308" s="27">
        <f>10.2241 * CHOOSE(CONTROL!$C$32, $C$9, 100%, $E$9)</f>
        <v>10.2241</v>
      </c>
      <c r="K308" s="27">
        <f>10.2293 * CHOOSE(CONTROL!$C$32, $C$9, 100%, $E$9)</f>
        <v>10.2293</v>
      </c>
      <c r="L308" s="27">
        <f>6.6146 * CHOOSE(CONTROL!$C$32, $C$9, 100%, $E$9)</f>
        <v>6.6146000000000003</v>
      </c>
      <c r="M308" s="27">
        <f>6.6199 * CHOOSE(CONTROL!$C$32, $C$9, 100%, $E$9)</f>
        <v>6.6199000000000003</v>
      </c>
      <c r="N308" s="27">
        <f>6.6146 * CHOOSE(CONTROL!$C$32, $C$9, 100%, $E$9)</f>
        <v>6.6146000000000003</v>
      </c>
      <c r="O308" s="27">
        <f>6.6199 * CHOOSE(CONTROL!$C$32, $C$9, 100%, $E$9)</f>
        <v>6.6199000000000003</v>
      </c>
    </row>
    <row r="309" spans="1:15" ht="15" x14ac:dyDescent="0.2">
      <c r="A309" s="16">
        <v>50253</v>
      </c>
      <c r="B309" s="26">
        <f>5.0044 * CHOOSE(CONTROL!$C$32, $C$9, 100%, $E$9)</f>
        <v>5.0044000000000004</v>
      </c>
      <c r="C309" s="26">
        <f>5.0044 * CHOOSE(CONTROL!$C$32, $C$9, 100%, $E$9)</f>
        <v>5.0044000000000004</v>
      </c>
      <c r="D309" s="26">
        <f>5.006 * CHOOSE(CONTROL!$C$32, $C$9, 100%, $E$9)</f>
        <v>5.0060000000000002</v>
      </c>
      <c r="E309" s="27">
        <f>6.5198 * CHOOSE(CONTROL!$C$32, $C$9, 100%, $E$9)</f>
        <v>6.5198</v>
      </c>
      <c r="F309" s="27">
        <f>6.5198 * CHOOSE(CONTROL!$C$32, $C$9, 100%, $E$9)</f>
        <v>6.5198</v>
      </c>
      <c r="G309" s="27">
        <f>6.525 * CHOOSE(CONTROL!$C$32, $C$9, 100%, $E$9)</f>
        <v>6.5250000000000004</v>
      </c>
      <c r="H309" s="27">
        <f>10.2454 * CHOOSE(CONTROL!$C$32, $C$9, 100%, $E$9)</f>
        <v>10.2454</v>
      </c>
      <c r="I309" s="27">
        <f>10.2506 * CHOOSE(CONTROL!$C$32, $C$9, 100%, $E$9)</f>
        <v>10.2506</v>
      </c>
      <c r="J309" s="27">
        <f>10.2454 * CHOOSE(CONTROL!$C$32, $C$9, 100%, $E$9)</f>
        <v>10.2454</v>
      </c>
      <c r="K309" s="27">
        <f>10.2506 * CHOOSE(CONTROL!$C$32, $C$9, 100%, $E$9)</f>
        <v>10.2506</v>
      </c>
      <c r="L309" s="27">
        <f>6.5198 * CHOOSE(CONTROL!$C$32, $C$9, 100%, $E$9)</f>
        <v>6.5198</v>
      </c>
      <c r="M309" s="27">
        <f>6.525 * CHOOSE(CONTROL!$C$32, $C$9, 100%, $E$9)</f>
        <v>6.5250000000000004</v>
      </c>
      <c r="N309" s="27">
        <f>6.5198 * CHOOSE(CONTROL!$C$32, $C$9, 100%, $E$9)</f>
        <v>6.5198</v>
      </c>
      <c r="O309" s="27">
        <f>6.525 * CHOOSE(CONTROL!$C$32, $C$9, 100%, $E$9)</f>
        <v>6.5250000000000004</v>
      </c>
    </row>
    <row r="310" spans="1:15" ht="15" x14ac:dyDescent="0.2">
      <c r="A310" s="16">
        <v>50284</v>
      </c>
      <c r="B310" s="26">
        <f>5.0014 * CHOOSE(CONTROL!$C$32, $C$9, 100%, $E$9)</f>
        <v>5.0014000000000003</v>
      </c>
      <c r="C310" s="26">
        <f>5.0014 * CHOOSE(CONTROL!$C$32, $C$9, 100%, $E$9)</f>
        <v>5.0014000000000003</v>
      </c>
      <c r="D310" s="26">
        <f>5.003 * CHOOSE(CONTROL!$C$32, $C$9, 100%, $E$9)</f>
        <v>5.0030000000000001</v>
      </c>
      <c r="E310" s="27">
        <f>6.5066 * CHOOSE(CONTROL!$C$32, $C$9, 100%, $E$9)</f>
        <v>6.5065999999999997</v>
      </c>
      <c r="F310" s="27">
        <f>6.5066 * CHOOSE(CONTROL!$C$32, $C$9, 100%, $E$9)</f>
        <v>6.5065999999999997</v>
      </c>
      <c r="G310" s="27">
        <f>6.5119 * CHOOSE(CONTROL!$C$32, $C$9, 100%, $E$9)</f>
        <v>6.5118999999999998</v>
      </c>
      <c r="H310" s="27">
        <f>10.2667 * CHOOSE(CONTROL!$C$32, $C$9, 100%, $E$9)</f>
        <v>10.2667</v>
      </c>
      <c r="I310" s="27">
        <f>10.272 * CHOOSE(CONTROL!$C$32, $C$9, 100%, $E$9)</f>
        <v>10.272</v>
      </c>
      <c r="J310" s="27">
        <f>10.2667 * CHOOSE(CONTROL!$C$32, $C$9, 100%, $E$9)</f>
        <v>10.2667</v>
      </c>
      <c r="K310" s="27">
        <f>10.272 * CHOOSE(CONTROL!$C$32, $C$9, 100%, $E$9)</f>
        <v>10.272</v>
      </c>
      <c r="L310" s="27">
        <f>6.5066 * CHOOSE(CONTROL!$C$32, $C$9, 100%, $E$9)</f>
        <v>6.5065999999999997</v>
      </c>
      <c r="M310" s="27">
        <f>6.5119 * CHOOSE(CONTROL!$C$32, $C$9, 100%, $E$9)</f>
        <v>6.5118999999999998</v>
      </c>
      <c r="N310" s="27">
        <f>6.5066 * CHOOSE(CONTROL!$C$32, $C$9, 100%, $E$9)</f>
        <v>6.5065999999999997</v>
      </c>
      <c r="O310" s="27">
        <f>6.5119 * CHOOSE(CONTROL!$C$32, $C$9, 100%, $E$9)</f>
        <v>6.5118999999999998</v>
      </c>
    </row>
    <row r="311" spans="1:15" ht="15" x14ac:dyDescent="0.2">
      <c r="A311" s="16">
        <v>50314</v>
      </c>
      <c r="B311" s="26">
        <f>5.0002 * CHOOSE(CONTROL!$C$32, $C$9, 100%, $E$9)</f>
        <v>5.0002000000000004</v>
      </c>
      <c r="C311" s="26">
        <f>5.0002 * CHOOSE(CONTROL!$C$32, $C$9, 100%, $E$9)</f>
        <v>5.0002000000000004</v>
      </c>
      <c r="D311" s="26">
        <f>5.0012 * CHOOSE(CONTROL!$C$32, $C$9, 100%, $E$9)</f>
        <v>5.0011999999999999</v>
      </c>
      <c r="E311" s="27">
        <f>6.5374 * CHOOSE(CONTROL!$C$32, $C$9, 100%, $E$9)</f>
        <v>6.5373999999999999</v>
      </c>
      <c r="F311" s="27">
        <f>6.5374 * CHOOSE(CONTROL!$C$32, $C$9, 100%, $E$9)</f>
        <v>6.5373999999999999</v>
      </c>
      <c r="G311" s="27">
        <f>6.541 * CHOOSE(CONTROL!$C$32, $C$9, 100%, $E$9)</f>
        <v>6.5410000000000004</v>
      </c>
      <c r="H311" s="27">
        <f>10.2881 * CHOOSE(CONTROL!$C$32, $C$9, 100%, $E$9)</f>
        <v>10.2881</v>
      </c>
      <c r="I311" s="27">
        <f>10.2917 * CHOOSE(CONTROL!$C$32, $C$9, 100%, $E$9)</f>
        <v>10.291700000000001</v>
      </c>
      <c r="J311" s="27">
        <f>10.2881 * CHOOSE(CONTROL!$C$32, $C$9, 100%, $E$9)</f>
        <v>10.2881</v>
      </c>
      <c r="K311" s="27">
        <f>10.2917 * CHOOSE(CONTROL!$C$32, $C$9, 100%, $E$9)</f>
        <v>10.291700000000001</v>
      </c>
      <c r="L311" s="27">
        <f>6.5374 * CHOOSE(CONTROL!$C$32, $C$9, 100%, $E$9)</f>
        <v>6.5373999999999999</v>
      </c>
      <c r="M311" s="27">
        <f>6.541 * CHOOSE(CONTROL!$C$32, $C$9, 100%, $E$9)</f>
        <v>6.5410000000000004</v>
      </c>
      <c r="N311" s="27">
        <f>6.5374 * CHOOSE(CONTROL!$C$32, $C$9, 100%, $E$9)</f>
        <v>6.5373999999999999</v>
      </c>
      <c r="O311" s="27">
        <f>6.541 * CHOOSE(CONTROL!$C$32, $C$9, 100%, $E$9)</f>
        <v>6.5410000000000004</v>
      </c>
    </row>
    <row r="312" spans="1:15" ht="15" x14ac:dyDescent="0.2">
      <c r="A312" s="16">
        <v>50345</v>
      </c>
      <c r="B312" s="26">
        <f>5.0032 * CHOOSE(CONTROL!$C$32, $C$9, 100%, $E$9)</f>
        <v>5.0031999999999996</v>
      </c>
      <c r="C312" s="26">
        <f>5.0032 * CHOOSE(CONTROL!$C$32, $C$9, 100%, $E$9)</f>
        <v>5.0031999999999996</v>
      </c>
      <c r="D312" s="26">
        <f>5.0043 * CHOOSE(CONTROL!$C$32, $C$9, 100%, $E$9)</f>
        <v>5.0042999999999997</v>
      </c>
      <c r="E312" s="27">
        <f>6.5616 * CHOOSE(CONTROL!$C$32, $C$9, 100%, $E$9)</f>
        <v>6.5616000000000003</v>
      </c>
      <c r="F312" s="27">
        <f>6.5616 * CHOOSE(CONTROL!$C$32, $C$9, 100%, $E$9)</f>
        <v>6.5616000000000003</v>
      </c>
      <c r="G312" s="27">
        <f>6.5652 * CHOOSE(CONTROL!$C$32, $C$9, 100%, $E$9)</f>
        <v>6.5651999999999999</v>
      </c>
      <c r="H312" s="27">
        <f>10.3095 * CHOOSE(CONTROL!$C$32, $C$9, 100%, $E$9)</f>
        <v>10.3095</v>
      </c>
      <c r="I312" s="27">
        <f>10.3131 * CHOOSE(CONTROL!$C$32, $C$9, 100%, $E$9)</f>
        <v>10.3131</v>
      </c>
      <c r="J312" s="27">
        <f>10.3095 * CHOOSE(CONTROL!$C$32, $C$9, 100%, $E$9)</f>
        <v>10.3095</v>
      </c>
      <c r="K312" s="27">
        <f>10.3131 * CHOOSE(CONTROL!$C$32, $C$9, 100%, $E$9)</f>
        <v>10.3131</v>
      </c>
      <c r="L312" s="27">
        <f>6.5616 * CHOOSE(CONTROL!$C$32, $C$9, 100%, $E$9)</f>
        <v>6.5616000000000003</v>
      </c>
      <c r="M312" s="27">
        <f>6.5652 * CHOOSE(CONTROL!$C$32, $C$9, 100%, $E$9)</f>
        <v>6.5651999999999999</v>
      </c>
      <c r="N312" s="27">
        <f>6.5616 * CHOOSE(CONTROL!$C$32, $C$9, 100%, $E$9)</f>
        <v>6.5616000000000003</v>
      </c>
      <c r="O312" s="27">
        <f>6.5652 * CHOOSE(CONTROL!$C$32, $C$9, 100%, $E$9)</f>
        <v>6.5651999999999999</v>
      </c>
    </row>
    <row r="313" spans="1:15" ht="15" x14ac:dyDescent="0.2">
      <c r="A313" s="16">
        <v>50375</v>
      </c>
      <c r="B313" s="26">
        <f>5.0032 * CHOOSE(CONTROL!$C$32, $C$9, 100%, $E$9)</f>
        <v>5.0031999999999996</v>
      </c>
      <c r="C313" s="26">
        <f>5.0032 * CHOOSE(CONTROL!$C$32, $C$9, 100%, $E$9)</f>
        <v>5.0031999999999996</v>
      </c>
      <c r="D313" s="26">
        <f>5.0043 * CHOOSE(CONTROL!$C$32, $C$9, 100%, $E$9)</f>
        <v>5.0042999999999997</v>
      </c>
      <c r="E313" s="27">
        <f>6.5063 * CHOOSE(CONTROL!$C$32, $C$9, 100%, $E$9)</f>
        <v>6.5063000000000004</v>
      </c>
      <c r="F313" s="27">
        <f>6.5063 * CHOOSE(CONTROL!$C$32, $C$9, 100%, $E$9)</f>
        <v>6.5063000000000004</v>
      </c>
      <c r="G313" s="27">
        <f>6.51 * CHOOSE(CONTROL!$C$32, $C$9, 100%, $E$9)</f>
        <v>6.51</v>
      </c>
      <c r="H313" s="27">
        <f>10.331 * CHOOSE(CONTROL!$C$32, $C$9, 100%, $E$9)</f>
        <v>10.331</v>
      </c>
      <c r="I313" s="27">
        <f>10.3346 * CHOOSE(CONTROL!$C$32, $C$9, 100%, $E$9)</f>
        <v>10.3346</v>
      </c>
      <c r="J313" s="27">
        <f>10.331 * CHOOSE(CONTROL!$C$32, $C$9, 100%, $E$9)</f>
        <v>10.331</v>
      </c>
      <c r="K313" s="27">
        <f>10.3346 * CHOOSE(CONTROL!$C$32, $C$9, 100%, $E$9)</f>
        <v>10.3346</v>
      </c>
      <c r="L313" s="27">
        <f>6.5063 * CHOOSE(CONTROL!$C$32, $C$9, 100%, $E$9)</f>
        <v>6.5063000000000004</v>
      </c>
      <c r="M313" s="27">
        <f>6.51 * CHOOSE(CONTROL!$C$32, $C$9, 100%, $E$9)</f>
        <v>6.51</v>
      </c>
      <c r="N313" s="27">
        <f>6.5063 * CHOOSE(CONTROL!$C$32, $C$9, 100%, $E$9)</f>
        <v>6.5063000000000004</v>
      </c>
      <c r="O313" s="27">
        <f>6.51 * CHOOSE(CONTROL!$C$32, $C$9, 100%, $E$9)</f>
        <v>6.51</v>
      </c>
    </row>
    <row r="314" spans="1:15" ht="15" x14ac:dyDescent="0.2">
      <c r="A314" s="16">
        <v>50406</v>
      </c>
      <c r="B314" s="26">
        <f>5.043 * CHOOSE(CONTROL!$C$32, $C$9, 100%, $E$9)</f>
        <v>5.0430000000000001</v>
      </c>
      <c r="C314" s="26">
        <f>5.043 * CHOOSE(CONTROL!$C$32, $C$9, 100%, $E$9)</f>
        <v>5.0430000000000001</v>
      </c>
      <c r="D314" s="26">
        <f>5.044 * CHOOSE(CONTROL!$C$32, $C$9, 100%, $E$9)</f>
        <v>5.0439999999999996</v>
      </c>
      <c r="E314" s="27">
        <f>6.5545 * CHOOSE(CONTROL!$C$32, $C$9, 100%, $E$9)</f>
        <v>6.5545</v>
      </c>
      <c r="F314" s="27">
        <f>6.5545 * CHOOSE(CONTROL!$C$32, $C$9, 100%, $E$9)</f>
        <v>6.5545</v>
      </c>
      <c r="G314" s="27">
        <f>6.5582 * CHOOSE(CONTROL!$C$32, $C$9, 100%, $E$9)</f>
        <v>6.5582000000000003</v>
      </c>
      <c r="H314" s="27">
        <f>10.3525 * CHOOSE(CONTROL!$C$32, $C$9, 100%, $E$9)</f>
        <v>10.352499999999999</v>
      </c>
      <c r="I314" s="27">
        <f>10.3561 * CHOOSE(CONTROL!$C$32, $C$9, 100%, $E$9)</f>
        <v>10.3561</v>
      </c>
      <c r="J314" s="27">
        <f>10.3525 * CHOOSE(CONTROL!$C$32, $C$9, 100%, $E$9)</f>
        <v>10.352499999999999</v>
      </c>
      <c r="K314" s="27">
        <f>10.3561 * CHOOSE(CONTROL!$C$32, $C$9, 100%, $E$9)</f>
        <v>10.3561</v>
      </c>
      <c r="L314" s="27">
        <f>6.5545 * CHOOSE(CONTROL!$C$32, $C$9, 100%, $E$9)</f>
        <v>6.5545</v>
      </c>
      <c r="M314" s="27">
        <f>6.5582 * CHOOSE(CONTROL!$C$32, $C$9, 100%, $E$9)</f>
        <v>6.5582000000000003</v>
      </c>
      <c r="N314" s="27">
        <f>6.5545 * CHOOSE(CONTROL!$C$32, $C$9, 100%, $E$9)</f>
        <v>6.5545</v>
      </c>
      <c r="O314" s="27">
        <f>6.5582 * CHOOSE(CONTROL!$C$32, $C$9, 100%, $E$9)</f>
        <v>6.5582000000000003</v>
      </c>
    </row>
    <row r="315" spans="1:15" ht="15" x14ac:dyDescent="0.2">
      <c r="A315" s="16">
        <v>50437</v>
      </c>
      <c r="B315" s="26">
        <f>5.0399 * CHOOSE(CONTROL!$C$32, $C$9, 100%, $E$9)</f>
        <v>5.0399000000000003</v>
      </c>
      <c r="C315" s="26">
        <f>5.0399 * CHOOSE(CONTROL!$C$32, $C$9, 100%, $E$9)</f>
        <v>5.0399000000000003</v>
      </c>
      <c r="D315" s="26">
        <f>5.041 * CHOOSE(CONTROL!$C$32, $C$9, 100%, $E$9)</f>
        <v>5.0410000000000004</v>
      </c>
      <c r="E315" s="27">
        <f>6.4445 * CHOOSE(CONTROL!$C$32, $C$9, 100%, $E$9)</f>
        <v>6.4444999999999997</v>
      </c>
      <c r="F315" s="27">
        <f>6.4445 * CHOOSE(CONTROL!$C$32, $C$9, 100%, $E$9)</f>
        <v>6.4444999999999997</v>
      </c>
      <c r="G315" s="27">
        <f>6.4481 * CHOOSE(CONTROL!$C$32, $C$9, 100%, $E$9)</f>
        <v>6.4481000000000002</v>
      </c>
      <c r="H315" s="27">
        <f>10.3741 * CHOOSE(CONTROL!$C$32, $C$9, 100%, $E$9)</f>
        <v>10.3741</v>
      </c>
      <c r="I315" s="27">
        <f>10.3777 * CHOOSE(CONTROL!$C$32, $C$9, 100%, $E$9)</f>
        <v>10.377700000000001</v>
      </c>
      <c r="J315" s="27">
        <f>10.3741 * CHOOSE(CONTROL!$C$32, $C$9, 100%, $E$9)</f>
        <v>10.3741</v>
      </c>
      <c r="K315" s="27">
        <f>10.3777 * CHOOSE(CONTROL!$C$32, $C$9, 100%, $E$9)</f>
        <v>10.377700000000001</v>
      </c>
      <c r="L315" s="27">
        <f>6.4445 * CHOOSE(CONTROL!$C$32, $C$9, 100%, $E$9)</f>
        <v>6.4444999999999997</v>
      </c>
      <c r="M315" s="27">
        <f>6.4481 * CHOOSE(CONTROL!$C$32, $C$9, 100%, $E$9)</f>
        <v>6.4481000000000002</v>
      </c>
      <c r="N315" s="27">
        <f>6.4445 * CHOOSE(CONTROL!$C$32, $C$9, 100%, $E$9)</f>
        <v>6.4444999999999997</v>
      </c>
      <c r="O315" s="27">
        <f>6.4481 * CHOOSE(CONTROL!$C$32, $C$9, 100%, $E$9)</f>
        <v>6.4481000000000002</v>
      </c>
    </row>
    <row r="316" spans="1:15" ht="15" x14ac:dyDescent="0.2">
      <c r="A316" s="16">
        <v>50465</v>
      </c>
      <c r="B316" s="26">
        <f>5.0369 * CHOOSE(CONTROL!$C$32, $C$9, 100%, $E$9)</f>
        <v>5.0369000000000002</v>
      </c>
      <c r="C316" s="26">
        <f>5.0369 * CHOOSE(CONTROL!$C$32, $C$9, 100%, $E$9)</f>
        <v>5.0369000000000002</v>
      </c>
      <c r="D316" s="26">
        <f>5.038 * CHOOSE(CONTROL!$C$32, $C$9, 100%, $E$9)</f>
        <v>5.0380000000000003</v>
      </c>
      <c r="E316" s="27">
        <f>6.5275 * CHOOSE(CONTROL!$C$32, $C$9, 100%, $E$9)</f>
        <v>6.5274999999999999</v>
      </c>
      <c r="F316" s="27">
        <f>6.5275 * CHOOSE(CONTROL!$C$32, $C$9, 100%, $E$9)</f>
        <v>6.5274999999999999</v>
      </c>
      <c r="G316" s="27">
        <f>6.5311 * CHOOSE(CONTROL!$C$32, $C$9, 100%, $E$9)</f>
        <v>6.5311000000000003</v>
      </c>
      <c r="H316" s="27">
        <f>10.3957 * CHOOSE(CONTROL!$C$32, $C$9, 100%, $E$9)</f>
        <v>10.3957</v>
      </c>
      <c r="I316" s="27">
        <f>10.3993 * CHOOSE(CONTROL!$C$32, $C$9, 100%, $E$9)</f>
        <v>10.3993</v>
      </c>
      <c r="J316" s="27">
        <f>10.3957 * CHOOSE(CONTROL!$C$32, $C$9, 100%, $E$9)</f>
        <v>10.3957</v>
      </c>
      <c r="K316" s="27">
        <f>10.3993 * CHOOSE(CONTROL!$C$32, $C$9, 100%, $E$9)</f>
        <v>10.3993</v>
      </c>
      <c r="L316" s="27">
        <f>6.5275 * CHOOSE(CONTROL!$C$32, $C$9, 100%, $E$9)</f>
        <v>6.5274999999999999</v>
      </c>
      <c r="M316" s="27">
        <f>6.5311 * CHOOSE(CONTROL!$C$32, $C$9, 100%, $E$9)</f>
        <v>6.5311000000000003</v>
      </c>
      <c r="N316" s="27">
        <f>6.5275 * CHOOSE(CONTROL!$C$32, $C$9, 100%, $E$9)</f>
        <v>6.5274999999999999</v>
      </c>
      <c r="O316" s="27">
        <f>6.5311 * CHOOSE(CONTROL!$C$32, $C$9, 100%, $E$9)</f>
        <v>6.5311000000000003</v>
      </c>
    </row>
    <row r="317" spans="1:15" ht="15" x14ac:dyDescent="0.2">
      <c r="A317" s="16">
        <v>50496</v>
      </c>
      <c r="B317" s="26">
        <f>5.0356 * CHOOSE(CONTROL!$C$32, $C$9, 100%, $E$9)</f>
        <v>5.0355999999999996</v>
      </c>
      <c r="C317" s="26">
        <f>5.0356 * CHOOSE(CONTROL!$C$32, $C$9, 100%, $E$9)</f>
        <v>5.0355999999999996</v>
      </c>
      <c r="D317" s="26">
        <f>5.0366 * CHOOSE(CONTROL!$C$32, $C$9, 100%, $E$9)</f>
        <v>5.0366</v>
      </c>
      <c r="E317" s="27">
        <f>6.6146 * CHOOSE(CONTROL!$C$32, $C$9, 100%, $E$9)</f>
        <v>6.6146000000000003</v>
      </c>
      <c r="F317" s="27">
        <f>6.6146 * CHOOSE(CONTROL!$C$32, $C$9, 100%, $E$9)</f>
        <v>6.6146000000000003</v>
      </c>
      <c r="G317" s="27">
        <f>6.6182 * CHOOSE(CONTROL!$C$32, $C$9, 100%, $E$9)</f>
        <v>6.6181999999999999</v>
      </c>
      <c r="H317" s="27">
        <f>10.4174 * CHOOSE(CONTROL!$C$32, $C$9, 100%, $E$9)</f>
        <v>10.417400000000001</v>
      </c>
      <c r="I317" s="27">
        <f>10.421 * CHOOSE(CONTROL!$C$32, $C$9, 100%, $E$9)</f>
        <v>10.420999999999999</v>
      </c>
      <c r="J317" s="27">
        <f>10.4174 * CHOOSE(CONTROL!$C$32, $C$9, 100%, $E$9)</f>
        <v>10.417400000000001</v>
      </c>
      <c r="K317" s="27">
        <f>10.421 * CHOOSE(CONTROL!$C$32, $C$9, 100%, $E$9)</f>
        <v>10.420999999999999</v>
      </c>
      <c r="L317" s="27">
        <f>6.6146 * CHOOSE(CONTROL!$C$32, $C$9, 100%, $E$9)</f>
        <v>6.6146000000000003</v>
      </c>
      <c r="M317" s="27">
        <f>6.6182 * CHOOSE(CONTROL!$C$32, $C$9, 100%, $E$9)</f>
        <v>6.6181999999999999</v>
      </c>
      <c r="N317" s="27">
        <f>6.6146 * CHOOSE(CONTROL!$C$32, $C$9, 100%, $E$9)</f>
        <v>6.6146000000000003</v>
      </c>
      <c r="O317" s="27">
        <f>6.6182 * CHOOSE(CONTROL!$C$32, $C$9, 100%, $E$9)</f>
        <v>6.6181999999999999</v>
      </c>
    </row>
    <row r="318" spans="1:15" ht="15" x14ac:dyDescent="0.2">
      <c r="A318" s="16">
        <v>50526</v>
      </c>
      <c r="B318" s="26">
        <f>5.0356 * CHOOSE(CONTROL!$C$32, $C$9, 100%, $E$9)</f>
        <v>5.0355999999999996</v>
      </c>
      <c r="C318" s="26">
        <f>5.0356 * CHOOSE(CONTROL!$C$32, $C$9, 100%, $E$9)</f>
        <v>5.0355999999999996</v>
      </c>
      <c r="D318" s="26">
        <f>5.0371 * CHOOSE(CONTROL!$C$32, $C$9, 100%, $E$9)</f>
        <v>5.0370999999999997</v>
      </c>
      <c r="E318" s="27">
        <f>6.6488 * CHOOSE(CONTROL!$C$32, $C$9, 100%, $E$9)</f>
        <v>6.6487999999999996</v>
      </c>
      <c r="F318" s="27">
        <f>6.6488 * CHOOSE(CONTROL!$C$32, $C$9, 100%, $E$9)</f>
        <v>6.6487999999999996</v>
      </c>
      <c r="G318" s="27">
        <f>6.6541 * CHOOSE(CONTROL!$C$32, $C$9, 100%, $E$9)</f>
        <v>6.6540999999999997</v>
      </c>
      <c r="H318" s="27">
        <f>10.4391 * CHOOSE(CONTROL!$C$32, $C$9, 100%, $E$9)</f>
        <v>10.4391</v>
      </c>
      <c r="I318" s="27">
        <f>10.4444 * CHOOSE(CONTROL!$C$32, $C$9, 100%, $E$9)</f>
        <v>10.4444</v>
      </c>
      <c r="J318" s="27">
        <f>10.4391 * CHOOSE(CONTROL!$C$32, $C$9, 100%, $E$9)</f>
        <v>10.4391</v>
      </c>
      <c r="K318" s="27">
        <f>10.4444 * CHOOSE(CONTROL!$C$32, $C$9, 100%, $E$9)</f>
        <v>10.4444</v>
      </c>
      <c r="L318" s="27">
        <f>6.6488 * CHOOSE(CONTROL!$C$32, $C$9, 100%, $E$9)</f>
        <v>6.6487999999999996</v>
      </c>
      <c r="M318" s="27">
        <f>6.6541 * CHOOSE(CONTROL!$C$32, $C$9, 100%, $E$9)</f>
        <v>6.6540999999999997</v>
      </c>
      <c r="N318" s="27">
        <f>6.6488 * CHOOSE(CONTROL!$C$32, $C$9, 100%, $E$9)</f>
        <v>6.6487999999999996</v>
      </c>
      <c r="O318" s="27">
        <f>6.6541 * CHOOSE(CONTROL!$C$32, $C$9, 100%, $E$9)</f>
        <v>6.6540999999999997</v>
      </c>
    </row>
    <row r="319" spans="1:15" ht="15" x14ac:dyDescent="0.2">
      <c r="A319" s="16">
        <v>50557</v>
      </c>
      <c r="B319" s="26">
        <f>5.0416 * CHOOSE(CONTROL!$C$32, $C$9, 100%, $E$9)</f>
        <v>5.0415999999999999</v>
      </c>
      <c r="C319" s="26">
        <f>5.0416 * CHOOSE(CONTROL!$C$32, $C$9, 100%, $E$9)</f>
        <v>5.0415999999999999</v>
      </c>
      <c r="D319" s="26">
        <f>5.0432 * CHOOSE(CONTROL!$C$32, $C$9, 100%, $E$9)</f>
        <v>5.0431999999999997</v>
      </c>
      <c r="E319" s="27">
        <f>6.6188 * CHOOSE(CONTROL!$C$32, $C$9, 100%, $E$9)</f>
        <v>6.6188000000000002</v>
      </c>
      <c r="F319" s="27">
        <f>6.6188 * CHOOSE(CONTROL!$C$32, $C$9, 100%, $E$9)</f>
        <v>6.6188000000000002</v>
      </c>
      <c r="G319" s="27">
        <f>6.6241 * CHOOSE(CONTROL!$C$32, $C$9, 100%, $E$9)</f>
        <v>6.6241000000000003</v>
      </c>
      <c r="H319" s="27">
        <f>10.4608 * CHOOSE(CONTROL!$C$32, $C$9, 100%, $E$9)</f>
        <v>10.460800000000001</v>
      </c>
      <c r="I319" s="27">
        <f>10.4661 * CHOOSE(CONTROL!$C$32, $C$9, 100%, $E$9)</f>
        <v>10.466100000000001</v>
      </c>
      <c r="J319" s="27">
        <f>10.4608 * CHOOSE(CONTROL!$C$32, $C$9, 100%, $E$9)</f>
        <v>10.460800000000001</v>
      </c>
      <c r="K319" s="27">
        <f>10.4661 * CHOOSE(CONTROL!$C$32, $C$9, 100%, $E$9)</f>
        <v>10.466100000000001</v>
      </c>
      <c r="L319" s="27">
        <f>6.6188 * CHOOSE(CONTROL!$C$32, $C$9, 100%, $E$9)</f>
        <v>6.6188000000000002</v>
      </c>
      <c r="M319" s="27">
        <f>6.6241 * CHOOSE(CONTROL!$C$32, $C$9, 100%, $E$9)</f>
        <v>6.6241000000000003</v>
      </c>
      <c r="N319" s="27">
        <f>6.6188 * CHOOSE(CONTROL!$C$32, $C$9, 100%, $E$9)</f>
        <v>6.6188000000000002</v>
      </c>
      <c r="O319" s="27">
        <f>6.6241 * CHOOSE(CONTROL!$C$32, $C$9, 100%, $E$9)</f>
        <v>6.6241000000000003</v>
      </c>
    </row>
    <row r="320" spans="1:15" ht="15" x14ac:dyDescent="0.2">
      <c r="A320" s="16">
        <v>50587</v>
      </c>
      <c r="B320" s="26">
        <f>5.1131 * CHOOSE(CONTROL!$C$32, $C$9, 100%, $E$9)</f>
        <v>5.1131000000000002</v>
      </c>
      <c r="C320" s="26">
        <f>5.1131 * CHOOSE(CONTROL!$C$32, $C$9, 100%, $E$9)</f>
        <v>5.1131000000000002</v>
      </c>
      <c r="D320" s="26">
        <f>5.1147 * CHOOSE(CONTROL!$C$32, $C$9, 100%, $E$9)</f>
        <v>5.1147</v>
      </c>
      <c r="E320" s="27">
        <f>6.6086 * CHOOSE(CONTROL!$C$32, $C$9, 100%, $E$9)</f>
        <v>6.6086</v>
      </c>
      <c r="F320" s="27">
        <f>6.6086 * CHOOSE(CONTROL!$C$32, $C$9, 100%, $E$9)</f>
        <v>6.6086</v>
      </c>
      <c r="G320" s="27">
        <f>6.6139 * CHOOSE(CONTROL!$C$32, $C$9, 100%, $E$9)</f>
        <v>6.6139000000000001</v>
      </c>
      <c r="H320" s="27">
        <f>10.4826 * CHOOSE(CONTROL!$C$32, $C$9, 100%, $E$9)</f>
        <v>10.4826</v>
      </c>
      <c r="I320" s="27">
        <f>10.4879 * CHOOSE(CONTROL!$C$32, $C$9, 100%, $E$9)</f>
        <v>10.4879</v>
      </c>
      <c r="J320" s="27">
        <f>10.4826 * CHOOSE(CONTROL!$C$32, $C$9, 100%, $E$9)</f>
        <v>10.4826</v>
      </c>
      <c r="K320" s="27">
        <f>10.4879 * CHOOSE(CONTROL!$C$32, $C$9, 100%, $E$9)</f>
        <v>10.4879</v>
      </c>
      <c r="L320" s="27">
        <f>6.6086 * CHOOSE(CONTROL!$C$32, $C$9, 100%, $E$9)</f>
        <v>6.6086</v>
      </c>
      <c r="M320" s="27">
        <f>6.6139 * CHOOSE(CONTROL!$C$32, $C$9, 100%, $E$9)</f>
        <v>6.6139000000000001</v>
      </c>
      <c r="N320" s="27">
        <f>6.6086 * CHOOSE(CONTROL!$C$32, $C$9, 100%, $E$9)</f>
        <v>6.6086</v>
      </c>
      <c r="O320" s="27">
        <f>6.6139 * CHOOSE(CONTROL!$C$32, $C$9, 100%, $E$9)</f>
        <v>6.6139000000000001</v>
      </c>
    </row>
    <row r="321" spans="1:15" ht="15" x14ac:dyDescent="0.2">
      <c r="A321" s="16">
        <v>50618</v>
      </c>
      <c r="B321" s="26">
        <f>5.1198 * CHOOSE(CONTROL!$C$32, $C$9, 100%, $E$9)</f>
        <v>5.1197999999999997</v>
      </c>
      <c r="C321" s="26">
        <f>5.1198 * CHOOSE(CONTROL!$C$32, $C$9, 100%, $E$9)</f>
        <v>5.1197999999999997</v>
      </c>
      <c r="D321" s="26">
        <f>5.1214 * CHOOSE(CONTROL!$C$32, $C$9, 100%, $E$9)</f>
        <v>5.1214000000000004</v>
      </c>
      <c r="E321" s="27">
        <f>6.5105 * CHOOSE(CONTROL!$C$32, $C$9, 100%, $E$9)</f>
        <v>6.5105000000000004</v>
      </c>
      <c r="F321" s="27">
        <f>6.5105 * CHOOSE(CONTROL!$C$32, $C$9, 100%, $E$9)</f>
        <v>6.5105000000000004</v>
      </c>
      <c r="G321" s="27">
        <f>6.5158 * CHOOSE(CONTROL!$C$32, $C$9, 100%, $E$9)</f>
        <v>6.5157999999999996</v>
      </c>
      <c r="H321" s="27">
        <f>10.5044 * CHOOSE(CONTROL!$C$32, $C$9, 100%, $E$9)</f>
        <v>10.5044</v>
      </c>
      <c r="I321" s="27">
        <f>10.5097 * CHOOSE(CONTROL!$C$32, $C$9, 100%, $E$9)</f>
        <v>10.5097</v>
      </c>
      <c r="J321" s="27">
        <f>10.5044 * CHOOSE(CONTROL!$C$32, $C$9, 100%, $E$9)</f>
        <v>10.5044</v>
      </c>
      <c r="K321" s="27">
        <f>10.5097 * CHOOSE(CONTROL!$C$32, $C$9, 100%, $E$9)</f>
        <v>10.5097</v>
      </c>
      <c r="L321" s="27">
        <f>6.5105 * CHOOSE(CONTROL!$C$32, $C$9, 100%, $E$9)</f>
        <v>6.5105000000000004</v>
      </c>
      <c r="M321" s="27">
        <f>6.5158 * CHOOSE(CONTROL!$C$32, $C$9, 100%, $E$9)</f>
        <v>6.5157999999999996</v>
      </c>
      <c r="N321" s="27">
        <f>6.5105 * CHOOSE(CONTROL!$C$32, $C$9, 100%, $E$9)</f>
        <v>6.5105000000000004</v>
      </c>
      <c r="O321" s="27">
        <f>6.5158 * CHOOSE(CONTROL!$C$32, $C$9, 100%, $E$9)</f>
        <v>6.5157999999999996</v>
      </c>
    </row>
    <row r="322" spans="1:15" ht="15" x14ac:dyDescent="0.2">
      <c r="A322" s="16">
        <v>50649</v>
      </c>
      <c r="B322" s="26">
        <f>5.1167 * CHOOSE(CONTROL!$C$32, $C$9, 100%, $E$9)</f>
        <v>5.1166999999999998</v>
      </c>
      <c r="C322" s="26">
        <f>5.1167 * CHOOSE(CONTROL!$C$32, $C$9, 100%, $E$9)</f>
        <v>5.1166999999999998</v>
      </c>
      <c r="D322" s="26">
        <f>5.1183 * CHOOSE(CONTROL!$C$32, $C$9, 100%, $E$9)</f>
        <v>5.1182999999999996</v>
      </c>
      <c r="E322" s="27">
        <f>6.4969 * CHOOSE(CONTROL!$C$32, $C$9, 100%, $E$9)</f>
        <v>6.4969000000000001</v>
      </c>
      <c r="F322" s="27">
        <f>6.4969 * CHOOSE(CONTROL!$C$32, $C$9, 100%, $E$9)</f>
        <v>6.4969000000000001</v>
      </c>
      <c r="G322" s="27">
        <f>6.5022 * CHOOSE(CONTROL!$C$32, $C$9, 100%, $E$9)</f>
        <v>6.5022000000000002</v>
      </c>
      <c r="H322" s="27">
        <f>10.5263 * CHOOSE(CONTROL!$C$32, $C$9, 100%, $E$9)</f>
        <v>10.526300000000001</v>
      </c>
      <c r="I322" s="27">
        <f>10.5316 * CHOOSE(CONTROL!$C$32, $C$9, 100%, $E$9)</f>
        <v>10.531599999999999</v>
      </c>
      <c r="J322" s="27">
        <f>10.5263 * CHOOSE(CONTROL!$C$32, $C$9, 100%, $E$9)</f>
        <v>10.526300000000001</v>
      </c>
      <c r="K322" s="27">
        <f>10.5316 * CHOOSE(CONTROL!$C$32, $C$9, 100%, $E$9)</f>
        <v>10.531599999999999</v>
      </c>
      <c r="L322" s="27">
        <f>6.4969 * CHOOSE(CONTROL!$C$32, $C$9, 100%, $E$9)</f>
        <v>6.4969000000000001</v>
      </c>
      <c r="M322" s="27">
        <f>6.5022 * CHOOSE(CONTROL!$C$32, $C$9, 100%, $E$9)</f>
        <v>6.5022000000000002</v>
      </c>
      <c r="N322" s="27">
        <f>6.4969 * CHOOSE(CONTROL!$C$32, $C$9, 100%, $E$9)</f>
        <v>6.4969000000000001</v>
      </c>
      <c r="O322" s="27">
        <f>6.5022 * CHOOSE(CONTROL!$C$32, $C$9, 100%, $E$9)</f>
        <v>6.5022000000000002</v>
      </c>
    </row>
    <row r="323" spans="1:15" ht="15" x14ac:dyDescent="0.2">
      <c r="A323" s="16">
        <v>50679</v>
      </c>
      <c r="B323" s="26">
        <f>5.1159 * CHOOSE(CONTROL!$C$32, $C$9, 100%, $E$9)</f>
        <v>5.1158999999999999</v>
      </c>
      <c r="C323" s="26">
        <f>5.1159 * CHOOSE(CONTROL!$C$32, $C$9, 100%, $E$9)</f>
        <v>5.1158999999999999</v>
      </c>
      <c r="D323" s="26">
        <f>5.117 * CHOOSE(CONTROL!$C$32, $C$9, 100%, $E$9)</f>
        <v>5.117</v>
      </c>
      <c r="E323" s="27">
        <f>6.5292 * CHOOSE(CONTROL!$C$32, $C$9, 100%, $E$9)</f>
        <v>6.5292000000000003</v>
      </c>
      <c r="F323" s="27">
        <f>6.5292 * CHOOSE(CONTROL!$C$32, $C$9, 100%, $E$9)</f>
        <v>6.5292000000000003</v>
      </c>
      <c r="G323" s="27">
        <f>6.5328 * CHOOSE(CONTROL!$C$32, $C$9, 100%, $E$9)</f>
        <v>6.5327999999999999</v>
      </c>
      <c r="H323" s="27">
        <f>10.5483 * CHOOSE(CONTROL!$C$32, $C$9, 100%, $E$9)</f>
        <v>10.548299999999999</v>
      </c>
      <c r="I323" s="27">
        <f>10.5519 * CHOOSE(CONTROL!$C$32, $C$9, 100%, $E$9)</f>
        <v>10.5519</v>
      </c>
      <c r="J323" s="27">
        <f>10.5483 * CHOOSE(CONTROL!$C$32, $C$9, 100%, $E$9)</f>
        <v>10.548299999999999</v>
      </c>
      <c r="K323" s="27">
        <f>10.5519 * CHOOSE(CONTROL!$C$32, $C$9, 100%, $E$9)</f>
        <v>10.5519</v>
      </c>
      <c r="L323" s="27">
        <f>6.5292 * CHOOSE(CONTROL!$C$32, $C$9, 100%, $E$9)</f>
        <v>6.5292000000000003</v>
      </c>
      <c r="M323" s="27">
        <f>6.5328 * CHOOSE(CONTROL!$C$32, $C$9, 100%, $E$9)</f>
        <v>6.5327999999999999</v>
      </c>
      <c r="N323" s="27">
        <f>6.5292 * CHOOSE(CONTROL!$C$32, $C$9, 100%, $E$9)</f>
        <v>6.5292000000000003</v>
      </c>
      <c r="O323" s="27">
        <f>6.5328 * CHOOSE(CONTROL!$C$32, $C$9, 100%, $E$9)</f>
        <v>6.5327999999999999</v>
      </c>
    </row>
    <row r="324" spans="1:15" ht="15" x14ac:dyDescent="0.2">
      <c r="A324" s="16">
        <v>50710</v>
      </c>
      <c r="B324" s="26">
        <f>5.119 * CHOOSE(CONTROL!$C$32, $C$9, 100%, $E$9)</f>
        <v>5.1189999999999998</v>
      </c>
      <c r="C324" s="26">
        <f>5.119 * CHOOSE(CONTROL!$C$32, $C$9, 100%, $E$9)</f>
        <v>5.1189999999999998</v>
      </c>
      <c r="D324" s="26">
        <f>5.1201 * CHOOSE(CONTROL!$C$32, $C$9, 100%, $E$9)</f>
        <v>5.1200999999999999</v>
      </c>
      <c r="E324" s="27">
        <f>6.5541 * CHOOSE(CONTROL!$C$32, $C$9, 100%, $E$9)</f>
        <v>6.5541</v>
      </c>
      <c r="F324" s="27">
        <f>6.5541 * CHOOSE(CONTROL!$C$32, $C$9, 100%, $E$9)</f>
        <v>6.5541</v>
      </c>
      <c r="G324" s="27">
        <f>6.5578 * CHOOSE(CONTROL!$C$32, $C$9, 100%, $E$9)</f>
        <v>6.5578000000000003</v>
      </c>
      <c r="H324" s="27">
        <f>10.5702 * CHOOSE(CONTROL!$C$32, $C$9, 100%, $E$9)</f>
        <v>10.5702</v>
      </c>
      <c r="I324" s="27">
        <f>10.5738 * CHOOSE(CONTROL!$C$32, $C$9, 100%, $E$9)</f>
        <v>10.5738</v>
      </c>
      <c r="J324" s="27">
        <f>10.5702 * CHOOSE(CONTROL!$C$32, $C$9, 100%, $E$9)</f>
        <v>10.5702</v>
      </c>
      <c r="K324" s="27">
        <f>10.5738 * CHOOSE(CONTROL!$C$32, $C$9, 100%, $E$9)</f>
        <v>10.5738</v>
      </c>
      <c r="L324" s="27">
        <f>6.5541 * CHOOSE(CONTROL!$C$32, $C$9, 100%, $E$9)</f>
        <v>6.5541</v>
      </c>
      <c r="M324" s="27">
        <f>6.5578 * CHOOSE(CONTROL!$C$32, $C$9, 100%, $E$9)</f>
        <v>6.5578000000000003</v>
      </c>
      <c r="N324" s="27">
        <f>6.5541 * CHOOSE(CONTROL!$C$32, $C$9, 100%, $E$9)</f>
        <v>6.5541</v>
      </c>
      <c r="O324" s="27">
        <f>6.5578 * CHOOSE(CONTROL!$C$32, $C$9, 100%, $E$9)</f>
        <v>6.5578000000000003</v>
      </c>
    </row>
    <row r="325" spans="1:15" ht="15" x14ac:dyDescent="0.2">
      <c r="A325" s="16">
        <v>50740</v>
      </c>
      <c r="B325" s="26">
        <f>5.119 * CHOOSE(CONTROL!$C$32, $C$9, 100%, $E$9)</f>
        <v>5.1189999999999998</v>
      </c>
      <c r="C325" s="26">
        <f>5.119 * CHOOSE(CONTROL!$C$32, $C$9, 100%, $E$9)</f>
        <v>5.1189999999999998</v>
      </c>
      <c r="D325" s="26">
        <f>5.1201 * CHOOSE(CONTROL!$C$32, $C$9, 100%, $E$9)</f>
        <v>5.1200999999999999</v>
      </c>
      <c r="E325" s="27">
        <f>6.533 * CHOOSE(CONTROL!$C$32, $C$9, 100%, $E$9)</f>
        <v>6.5330000000000004</v>
      </c>
      <c r="F325" s="27">
        <f>6.533 * CHOOSE(CONTROL!$C$32, $C$9, 100%, $E$9)</f>
        <v>6.5330000000000004</v>
      </c>
      <c r="G325" s="27">
        <f>6.5367 * CHOOSE(CONTROL!$C$32, $C$9, 100%, $E$9)</f>
        <v>6.5366999999999997</v>
      </c>
      <c r="H325" s="27">
        <f>10.5923 * CHOOSE(CONTROL!$C$32, $C$9, 100%, $E$9)</f>
        <v>10.5923</v>
      </c>
      <c r="I325" s="27">
        <f>10.5959 * CHOOSE(CONTROL!$C$32, $C$9, 100%, $E$9)</f>
        <v>10.5959</v>
      </c>
      <c r="J325" s="27">
        <f>10.5923 * CHOOSE(CONTROL!$C$32, $C$9, 100%, $E$9)</f>
        <v>10.5923</v>
      </c>
      <c r="K325" s="27">
        <f>10.5959 * CHOOSE(CONTROL!$C$32, $C$9, 100%, $E$9)</f>
        <v>10.5959</v>
      </c>
      <c r="L325" s="27">
        <f>6.533 * CHOOSE(CONTROL!$C$32, $C$9, 100%, $E$9)</f>
        <v>6.5330000000000004</v>
      </c>
      <c r="M325" s="27">
        <f>6.5367 * CHOOSE(CONTROL!$C$32, $C$9, 100%, $E$9)</f>
        <v>6.5366999999999997</v>
      </c>
      <c r="N325" s="27">
        <f>6.533 * CHOOSE(CONTROL!$C$32, $C$9, 100%, $E$9)</f>
        <v>6.5330000000000004</v>
      </c>
      <c r="O325" s="27">
        <f>6.5367 * CHOOSE(CONTROL!$C$32, $C$9, 100%, $E$9)</f>
        <v>6.5366999999999997</v>
      </c>
    </row>
    <row r="326" spans="1:15" ht="15" x14ac:dyDescent="0.2">
      <c r="A326" s="16">
        <v>50771</v>
      </c>
      <c r="B326" s="26">
        <f>5.1575 * CHOOSE(CONTROL!$C$32, $C$9, 100%, $E$9)</f>
        <v>5.1574999999999998</v>
      </c>
      <c r="C326" s="26">
        <f>5.1575 * CHOOSE(CONTROL!$C$32, $C$9, 100%, $E$9)</f>
        <v>5.1574999999999998</v>
      </c>
      <c r="D326" s="26">
        <f>5.1586 * CHOOSE(CONTROL!$C$32, $C$9, 100%, $E$9)</f>
        <v>5.1585999999999999</v>
      </c>
      <c r="E326" s="27">
        <f>6.5634 * CHOOSE(CONTROL!$C$32, $C$9, 100%, $E$9)</f>
        <v>6.5633999999999997</v>
      </c>
      <c r="F326" s="27">
        <f>6.5634 * CHOOSE(CONTROL!$C$32, $C$9, 100%, $E$9)</f>
        <v>6.5633999999999997</v>
      </c>
      <c r="G326" s="27">
        <f>6.567 * CHOOSE(CONTROL!$C$32, $C$9, 100%, $E$9)</f>
        <v>6.5670000000000002</v>
      </c>
      <c r="H326" s="27">
        <f>10.6143 * CHOOSE(CONTROL!$C$32, $C$9, 100%, $E$9)</f>
        <v>10.6143</v>
      </c>
      <c r="I326" s="27">
        <f>10.6179 * CHOOSE(CONTROL!$C$32, $C$9, 100%, $E$9)</f>
        <v>10.617900000000001</v>
      </c>
      <c r="J326" s="27">
        <f>10.6143 * CHOOSE(CONTROL!$C$32, $C$9, 100%, $E$9)</f>
        <v>10.6143</v>
      </c>
      <c r="K326" s="27">
        <f>10.6179 * CHOOSE(CONTROL!$C$32, $C$9, 100%, $E$9)</f>
        <v>10.617900000000001</v>
      </c>
      <c r="L326" s="27">
        <f>6.5634 * CHOOSE(CONTROL!$C$32, $C$9, 100%, $E$9)</f>
        <v>6.5633999999999997</v>
      </c>
      <c r="M326" s="27">
        <f>6.567 * CHOOSE(CONTROL!$C$32, $C$9, 100%, $E$9)</f>
        <v>6.5670000000000002</v>
      </c>
      <c r="N326" s="27">
        <f>6.5634 * CHOOSE(CONTROL!$C$32, $C$9, 100%, $E$9)</f>
        <v>6.5633999999999997</v>
      </c>
      <c r="O326" s="27">
        <f>6.567 * CHOOSE(CONTROL!$C$32, $C$9, 100%, $E$9)</f>
        <v>6.5670000000000002</v>
      </c>
    </row>
    <row r="327" spans="1:15" ht="15" x14ac:dyDescent="0.2">
      <c r="A327" s="16">
        <v>50802</v>
      </c>
      <c r="B327" s="26">
        <f>5.1544 * CHOOSE(CONTROL!$C$32, $C$9, 100%, $E$9)</f>
        <v>5.1543999999999999</v>
      </c>
      <c r="C327" s="26">
        <f>5.1544 * CHOOSE(CONTROL!$C$32, $C$9, 100%, $E$9)</f>
        <v>5.1543999999999999</v>
      </c>
      <c r="D327" s="26">
        <f>5.1555 * CHOOSE(CONTROL!$C$32, $C$9, 100%, $E$9)</f>
        <v>5.1555</v>
      </c>
      <c r="E327" s="27">
        <f>6.4498 * CHOOSE(CONTROL!$C$32, $C$9, 100%, $E$9)</f>
        <v>6.4497999999999998</v>
      </c>
      <c r="F327" s="27">
        <f>6.4498 * CHOOSE(CONTROL!$C$32, $C$9, 100%, $E$9)</f>
        <v>6.4497999999999998</v>
      </c>
      <c r="G327" s="27">
        <f>6.4535 * CHOOSE(CONTROL!$C$32, $C$9, 100%, $E$9)</f>
        <v>6.4535</v>
      </c>
      <c r="H327" s="27">
        <f>10.6364 * CHOOSE(CONTROL!$C$32, $C$9, 100%, $E$9)</f>
        <v>10.6364</v>
      </c>
      <c r="I327" s="27">
        <f>10.64 * CHOOSE(CONTROL!$C$32, $C$9, 100%, $E$9)</f>
        <v>10.64</v>
      </c>
      <c r="J327" s="27">
        <f>10.6364 * CHOOSE(CONTROL!$C$32, $C$9, 100%, $E$9)</f>
        <v>10.6364</v>
      </c>
      <c r="K327" s="27">
        <f>10.64 * CHOOSE(CONTROL!$C$32, $C$9, 100%, $E$9)</f>
        <v>10.64</v>
      </c>
      <c r="L327" s="27">
        <f>6.4498 * CHOOSE(CONTROL!$C$32, $C$9, 100%, $E$9)</f>
        <v>6.4497999999999998</v>
      </c>
      <c r="M327" s="27">
        <f>6.4535 * CHOOSE(CONTROL!$C$32, $C$9, 100%, $E$9)</f>
        <v>6.4535</v>
      </c>
      <c r="N327" s="27">
        <f>6.4498 * CHOOSE(CONTROL!$C$32, $C$9, 100%, $E$9)</f>
        <v>6.4497999999999998</v>
      </c>
      <c r="O327" s="27">
        <f>6.4535 * CHOOSE(CONTROL!$C$32, $C$9, 100%, $E$9)</f>
        <v>6.4535</v>
      </c>
    </row>
    <row r="328" spans="1:15" ht="15" x14ac:dyDescent="0.2">
      <c r="A328" s="16">
        <v>50830</v>
      </c>
      <c r="B328" s="26">
        <f>5.1514 * CHOOSE(CONTROL!$C$32, $C$9, 100%, $E$9)</f>
        <v>5.1513999999999998</v>
      </c>
      <c r="C328" s="26">
        <f>5.1514 * CHOOSE(CONTROL!$C$32, $C$9, 100%, $E$9)</f>
        <v>5.1513999999999998</v>
      </c>
      <c r="D328" s="26">
        <f>5.1525 * CHOOSE(CONTROL!$C$32, $C$9, 100%, $E$9)</f>
        <v>5.1524999999999999</v>
      </c>
      <c r="E328" s="27">
        <f>6.5356 * CHOOSE(CONTROL!$C$32, $C$9, 100%, $E$9)</f>
        <v>6.5355999999999996</v>
      </c>
      <c r="F328" s="27">
        <f>6.5356 * CHOOSE(CONTROL!$C$32, $C$9, 100%, $E$9)</f>
        <v>6.5355999999999996</v>
      </c>
      <c r="G328" s="27">
        <f>6.5392 * CHOOSE(CONTROL!$C$32, $C$9, 100%, $E$9)</f>
        <v>6.5392000000000001</v>
      </c>
      <c r="H328" s="27">
        <f>10.6586 * CHOOSE(CONTROL!$C$32, $C$9, 100%, $E$9)</f>
        <v>10.6586</v>
      </c>
      <c r="I328" s="27">
        <f>10.6622 * CHOOSE(CONTROL!$C$32, $C$9, 100%, $E$9)</f>
        <v>10.6622</v>
      </c>
      <c r="J328" s="27">
        <f>10.6586 * CHOOSE(CONTROL!$C$32, $C$9, 100%, $E$9)</f>
        <v>10.6586</v>
      </c>
      <c r="K328" s="27">
        <f>10.6622 * CHOOSE(CONTROL!$C$32, $C$9, 100%, $E$9)</f>
        <v>10.6622</v>
      </c>
      <c r="L328" s="27">
        <f>6.5356 * CHOOSE(CONTROL!$C$32, $C$9, 100%, $E$9)</f>
        <v>6.5355999999999996</v>
      </c>
      <c r="M328" s="27">
        <f>6.5392 * CHOOSE(CONTROL!$C$32, $C$9, 100%, $E$9)</f>
        <v>6.5392000000000001</v>
      </c>
      <c r="N328" s="27">
        <f>6.5356 * CHOOSE(CONTROL!$C$32, $C$9, 100%, $E$9)</f>
        <v>6.5355999999999996</v>
      </c>
      <c r="O328" s="27">
        <f>6.5392 * CHOOSE(CONTROL!$C$32, $C$9, 100%, $E$9)</f>
        <v>6.5392000000000001</v>
      </c>
    </row>
    <row r="329" spans="1:15" ht="15" x14ac:dyDescent="0.2">
      <c r="A329" s="16">
        <v>50861</v>
      </c>
      <c r="B329" s="26">
        <f>5.1502 * CHOOSE(CONTROL!$C$32, $C$9, 100%, $E$9)</f>
        <v>5.1501999999999999</v>
      </c>
      <c r="C329" s="26">
        <f>5.1502 * CHOOSE(CONTROL!$C$32, $C$9, 100%, $E$9)</f>
        <v>5.1501999999999999</v>
      </c>
      <c r="D329" s="26">
        <f>5.1512 * CHOOSE(CONTROL!$C$32, $C$9, 100%, $E$9)</f>
        <v>5.1512000000000002</v>
      </c>
      <c r="E329" s="27">
        <f>6.6256 * CHOOSE(CONTROL!$C$32, $C$9, 100%, $E$9)</f>
        <v>6.6256000000000004</v>
      </c>
      <c r="F329" s="27">
        <f>6.6256 * CHOOSE(CONTROL!$C$32, $C$9, 100%, $E$9)</f>
        <v>6.6256000000000004</v>
      </c>
      <c r="G329" s="27">
        <f>6.6292 * CHOOSE(CONTROL!$C$32, $C$9, 100%, $E$9)</f>
        <v>6.6292</v>
      </c>
      <c r="H329" s="27">
        <f>10.6808 * CHOOSE(CONTROL!$C$32, $C$9, 100%, $E$9)</f>
        <v>10.6808</v>
      </c>
      <c r="I329" s="27">
        <f>10.6844 * CHOOSE(CONTROL!$C$32, $C$9, 100%, $E$9)</f>
        <v>10.6844</v>
      </c>
      <c r="J329" s="27">
        <f>10.6808 * CHOOSE(CONTROL!$C$32, $C$9, 100%, $E$9)</f>
        <v>10.6808</v>
      </c>
      <c r="K329" s="27">
        <f>10.6844 * CHOOSE(CONTROL!$C$32, $C$9, 100%, $E$9)</f>
        <v>10.6844</v>
      </c>
      <c r="L329" s="27">
        <f>6.6256 * CHOOSE(CONTROL!$C$32, $C$9, 100%, $E$9)</f>
        <v>6.6256000000000004</v>
      </c>
      <c r="M329" s="27">
        <f>6.6292 * CHOOSE(CONTROL!$C$32, $C$9, 100%, $E$9)</f>
        <v>6.6292</v>
      </c>
      <c r="N329" s="27">
        <f>6.6256 * CHOOSE(CONTROL!$C$32, $C$9, 100%, $E$9)</f>
        <v>6.6256000000000004</v>
      </c>
      <c r="O329" s="27">
        <f>6.6292 * CHOOSE(CONTROL!$C$32, $C$9, 100%, $E$9)</f>
        <v>6.6292</v>
      </c>
    </row>
    <row r="330" spans="1:15" ht="15" x14ac:dyDescent="0.2">
      <c r="A330" s="16">
        <v>50891</v>
      </c>
      <c r="B330" s="26">
        <f>5.1502 * CHOOSE(CONTROL!$C$32, $C$9, 100%, $E$9)</f>
        <v>5.1501999999999999</v>
      </c>
      <c r="C330" s="26">
        <f>5.1502 * CHOOSE(CONTROL!$C$32, $C$9, 100%, $E$9)</f>
        <v>5.1501999999999999</v>
      </c>
      <c r="D330" s="26">
        <f>5.1517 * CHOOSE(CONTROL!$C$32, $C$9, 100%, $E$9)</f>
        <v>5.1516999999999999</v>
      </c>
      <c r="E330" s="27">
        <f>6.661 * CHOOSE(CONTROL!$C$32, $C$9, 100%, $E$9)</f>
        <v>6.6609999999999996</v>
      </c>
      <c r="F330" s="27">
        <f>6.661 * CHOOSE(CONTROL!$C$32, $C$9, 100%, $E$9)</f>
        <v>6.6609999999999996</v>
      </c>
      <c r="G330" s="27">
        <f>6.6663 * CHOOSE(CONTROL!$C$32, $C$9, 100%, $E$9)</f>
        <v>6.6662999999999997</v>
      </c>
      <c r="H330" s="27">
        <f>10.703 * CHOOSE(CONTROL!$C$32, $C$9, 100%, $E$9)</f>
        <v>10.702999999999999</v>
      </c>
      <c r="I330" s="27">
        <f>10.7083 * CHOOSE(CONTROL!$C$32, $C$9, 100%, $E$9)</f>
        <v>10.708299999999999</v>
      </c>
      <c r="J330" s="27">
        <f>10.703 * CHOOSE(CONTROL!$C$32, $C$9, 100%, $E$9)</f>
        <v>10.702999999999999</v>
      </c>
      <c r="K330" s="27">
        <f>10.7083 * CHOOSE(CONTROL!$C$32, $C$9, 100%, $E$9)</f>
        <v>10.708299999999999</v>
      </c>
      <c r="L330" s="27">
        <f>6.661 * CHOOSE(CONTROL!$C$32, $C$9, 100%, $E$9)</f>
        <v>6.6609999999999996</v>
      </c>
      <c r="M330" s="27">
        <f>6.6663 * CHOOSE(CONTROL!$C$32, $C$9, 100%, $E$9)</f>
        <v>6.6662999999999997</v>
      </c>
      <c r="N330" s="27">
        <f>6.661 * CHOOSE(CONTROL!$C$32, $C$9, 100%, $E$9)</f>
        <v>6.6609999999999996</v>
      </c>
      <c r="O330" s="27">
        <f>6.6663 * CHOOSE(CONTROL!$C$32, $C$9, 100%, $E$9)</f>
        <v>6.6662999999999997</v>
      </c>
    </row>
    <row r="331" spans="1:15" ht="15" x14ac:dyDescent="0.2">
      <c r="A331" s="16">
        <v>50922</v>
      </c>
      <c r="B331" s="26">
        <f>5.1562 * CHOOSE(CONTROL!$C$32, $C$9, 100%, $E$9)</f>
        <v>5.1562000000000001</v>
      </c>
      <c r="C331" s="26">
        <f>5.1562 * CHOOSE(CONTROL!$C$32, $C$9, 100%, $E$9)</f>
        <v>5.1562000000000001</v>
      </c>
      <c r="D331" s="26">
        <f>5.1578 * CHOOSE(CONTROL!$C$32, $C$9, 100%, $E$9)</f>
        <v>5.1577999999999999</v>
      </c>
      <c r="E331" s="27">
        <f>6.6299 * CHOOSE(CONTROL!$C$32, $C$9, 100%, $E$9)</f>
        <v>6.6299000000000001</v>
      </c>
      <c r="F331" s="27">
        <f>6.6299 * CHOOSE(CONTROL!$C$32, $C$9, 100%, $E$9)</f>
        <v>6.6299000000000001</v>
      </c>
      <c r="G331" s="27">
        <f>6.6352 * CHOOSE(CONTROL!$C$32, $C$9, 100%, $E$9)</f>
        <v>6.6352000000000002</v>
      </c>
      <c r="H331" s="27">
        <f>10.7253 * CHOOSE(CONTROL!$C$32, $C$9, 100%, $E$9)</f>
        <v>10.725300000000001</v>
      </c>
      <c r="I331" s="27">
        <f>10.7306 * CHOOSE(CONTROL!$C$32, $C$9, 100%, $E$9)</f>
        <v>10.730600000000001</v>
      </c>
      <c r="J331" s="27">
        <f>10.7253 * CHOOSE(CONTROL!$C$32, $C$9, 100%, $E$9)</f>
        <v>10.725300000000001</v>
      </c>
      <c r="K331" s="27">
        <f>10.7306 * CHOOSE(CONTROL!$C$32, $C$9, 100%, $E$9)</f>
        <v>10.730600000000001</v>
      </c>
      <c r="L331" s="27">
        <f>6.6299 * CHOOSE(CONTROL!$C$32, $C$9, 100%, $E$9)</f>
        <v>6.6299000000000001</v>
      </c>
      <c r="M331" s="27">
        <f>6.6352 * CHOOSE(CONTROL!$C$32, $C$9, 100%, $E$9)</f>
        <v>6.6352000000000002</v>
      </c>
      <c r="N331" s="27">
        <f>6.6299 * CHOOSE(CONTROL!$C$32, $C$9, 100%, $E$9)</f>
        <v>6.6299000000000001</v>
      </c>
      <c r="O331" s="27">
        <f>6.6352 * CHOOSE(CONTROL!$C$32, $C$9, 100%, $E$9)</f>
        <v>6.6352000000000002</v>
      </c>
    </row>
    <row r="332" spans="1:15" ht="15" x14ac:dyDescent="0.2">
      <c r="A332" s="16">
        <v>50952</v>
      </c>
      <c r="B332" s="26">
        <f>5.2245 * CHOOSE(CONTROL!$C$32, $C$9, 100%, $E$9)</f>
        <v>5.2244999999999999</v>
      </c>
      <c r="C332" s="26">
        <f>5.2245 * CHOOSE(CONTROL!$C$32, $C$9, 100%, $E$9)</f>
        <v>5.2244999999999999</v>
      </c>
      <c r="D332" s="26">
        <f>5.226 * CHOOSE(CONTROL!$C$32, $C$9, 100%, $E$9)</f>
        <v>5.226</v>
      </c>
      <c r="E332" s="27">
        <f>6.6597 * CHOOSE(CONTROL!$C$32, $C$9, 100%, $E$9)</f>
        <v>6.6597</v>
      </c>
      <c r="F332" s="27">
        <f>6.6597 * CHOOSE(CONTROL!$C$32, $C$9, 100%, $E$9)</f>
        <v>6.6597</v>
      </c>
      <c r="G332" s="27">
        <f>6.665 * CHOOSE(CONTROL!$C$32, $C$9, 100%, $E$9)</f>
        <v>6.665</v>
      </c>
      <c r="H332" s="27">
        <f>10.7477 * CHOOSE(CONTROL!$C$32, $C$9, 100%, $E$9)</f>
        <v>10.7477</v>
      </c>
      <c r="I332" s="27">
        <f>10.753 * CHOOSE(CONTROL!$C$32, $C$9, 100%, $E$9)</f>
        <v>10.753</v>
      </c>
      <c r="J332" s="27">
        <f>10.7477 * CHOOSE(CONTROL!$C$32, $C$9, 100%, $E$9)</f>
        <v>10.7477</v>
      </c>
      <c r="K332" s="27">
        <f>10.753 * CHOOSE(CONTROL!$C$32, $C$9, 100%, $E$9)</f>
        <v>10.753</v>
      </c>
      <c r="L332" s="27">
        <f>6.6597 * CHOOSE(CONTROL!$C$32, $C$9, 100%, $E$9)</f>
        <v>6.6597</v>
      </c>
      <c r="M332" s="27">
        <f>6.665 * CHOOSE(CONTROL!$C$32, $C$9, 100%, $E$9)</f>
        <v>6.665</v>
      </c>
      <c r="N332" s="27">
        <f>6.6597 * CHOOSE(CONTROL!$C$32, $C$9, 100%, $E$9)</f>
        <v>6.6597</v>
      </c>
      <c r="O332" s="27">
        <f>6.665 * CHOOSE(CONTROL!$C$32, $C$9, 100%, $E$9)</f>
        <v>6.665</v>
      </c>
    </row>
    <row r="333" spans="1:15" ht="15" x14ac:dyDescent="0.2">
      <c r="A333" s="16">
        <v>50983</v>
      </c>
      <c r="B333" s="26">
        <f>5.2312 * CHOOSE(CONTROL!$C$32, $C$9, 100%, $E$9)</f>
        <v>5.2312000000000003</v>
      </c>
      <c r="C333" s="26">
        <f>5.2312 * CHOOSE(CONTROL!$C$32, $C$9, 100%, $E$9)</f>
        <v>5.2312000000000003</v>
      </c>
      <c r="D333" s="26">
        <f>5.2327 * CHOOSE(CONTROL!$C$32, $C$9, 100%, $E$9)</f>
        <v>5.2327000000000004</v>
      </c>
      <c r="E333" s="27">
        <f>6.5583 * CHOOSE(CONTROL!$C$32, $C$9, 100%, $E$9)</f>
        <v>6.5583</v>
      </c>
      <c r="F333" s="27">
        <f>6.5583 * CHOOSE(CONTROL!$C$32, $C$9, 100%, $E$9)</f>
        <v>6.5583</v>
      </c>
      <c r="G333" s="27">
        <f>6.5635 * CHOOSE(CONTROL!$C$32, $C$9, 100%, $E$9)</f>
        <v>6.5635000000000003</v>
      </c>
      <c r="H333" s="27">
        <f>10.7701 * CHOOSE(CONTROL!$C$32, $C$9, 100%, $E$9)</f>
        <v>10.770099999999999</v>
      </c>
      <c r="I333" s="27">
        <f>10.7754 * CHOOSE(CONTROL!$C$32, $C$9, 100%, $E$9)</f>
        <v>10.775399999999999</v>
      </c>
      <c r="J333" s="27">
        <f>10.7701 * CHOOSE(CONTROL!$C$32, $C$9, 100%, $E$9)</f>
        <v>10.770099999999999</v>
      </c>
      <c r="K333" s="27">
        <f>10.7754 * CHOOSE(CONTROL!$C$32, $C$9, 100%, $E$9)</f>
        <v>10.775399999999999</v>
      </c>
      <c r="L333" s="27">
        <f>6.5583 * CHOOSE(CONTROL!$C$32, $C$9, 100%, $E$9)</f>
        <v>6.5583</v>
      </c>
      <c r="M333" s="27">
        <f>6.5635 * CHOOSE(CONTROL!$C$32, $C$9, 100%, $E$9)</f>
        <v>6.5635000000000003</v>
      </c>
      <c r="N333" s="27">
        <f>6.5583 * CHOOSE(CONTROL!$C$32, $C$9, 100%, $E$9)</f>
        <v>6.5583</v>
      </c>
      <c r="O333" s="27">
        <f>6.5635 * CHOOSE(CONTROL!$C$32, $C$9, 100%, $E$9)</f>
        <v>6.5635000000000003</v>
      </c>
    </row>
    <row r="334" spans="1:15" ht="15" x14ac:dyDescent="0.2">
      <c r="A334" s="16">
        <v>51014</v>
      </c>
      <c r="B334" s="26">
        <f>5.2281 * CHOOSE(CONTROL!$C$32, $C$9, 100%, $E$9)</f>
        <v>5.2281000000000004</v>
      </c>
      <c r="C334" s="26">
        <f>5.2281 * CHOOSE(CONTROL!$C$32, $C$9, 100%, $E$9)</f>
        <v>5.2281000000000004</v>
      </c>
      <c r="D334" s="26">
        <f>5.2297 * CHOOSE(CONTROL!$C$32, $C$9, 100%, $E$9)</f>
        <v>5.2297000000000002</v>
      </c>
      <c r="E334" s="27">
        <f>6.5443 * CHOOSE(CONTROL!$C$32, $C$9, 100%, $E$9)</f>
        <v>6.5442999999999998</v>
      </c>
      <c r="F334" s="27">
        <f>6.5443 * CHOOSE(CONTROL!$C$32, $C$9, 100%, $E$9)</f>
        <v>6.5442999999999998</v>
      </c>
      <c r="G334" s="27">
        <f>6.5496 * CHOOSE(CONTROL!$C$32, $C$9, 100%, $E$9)</f>
        <v>6.5495999999999999</v>
      </c>
      <c r="H334" s="27">
        <f>10.7925 * CHOOSE(CONTROL!$C$32, $C$9, 100%, $E$9)</f>
        <v>10.7925</v>
      </c>
      <c r="I334" s="27">
        <f>10.7978 * CHOOSE(CONTROL!$C$32, $C$9, 100%, $E$9)</f>
        <v>10.797800000000001</v>
      </c>
      <c r="J334" s="27">
        <f>10.7925 * CHOOSE(CONTROL!$C$32, $C$9, 100%, $E$9)</f>
        <v>10.7925</v>
      </c>
      <c r="K334" s="27">
        <f>10.7978 * CHOOSE(CONTROL!$C$32, $C$9, 100%, $E$9)</f>
        <v>10.797800000000001</v>
      </c>
      <c r="L334" s="27">
        <f>6.5443 * CHOOSE(CONTROL!$C$32, $C$9, 100%, $E$9)</f>
        <v>6.5442999999999998</v>
      </c>
      <c r="M334" s="27">
        <f>6.5496 * CHOOSE(CONTROL!$C$32, $C$9, 100%, $E$9)</f>
        <v>6.5495999999999999</v>
      </c>
      <c r="N334" s="27">
        <f>6.5443 * CHOOSE(CONTROL!$C$32, $C$9, 100%, $E$9)</f>
        <v>6.5442999999999998</v>
      </c>
      <c r="O334" s="27">
        <f>6.5496 * CHOOSE(CONTROL!$C$32, $C$9, 100%, $E$9)</f>
        <v>6.5495999999999999</v>
      </c>
    </row>
    <row r="335" spans="1:15" ht="15" x14ac:dyDescent="0.2">
      <c r="A335" s="16">
        <v>51044</v>
      </c>
      <c r="B335" s="26">
        <f>5.2277 * CHOOSE(CONTROL!$C$32, $C$9, 100%, $E$9)</f>
        <v>5.2276999999999996</v>
      </c>
      <c r="C335" s="26">
        <f>5.2277 * CHOOSE(CONTROL!$C$32, $C$9, 100%, $E$9)</f>
        <v>5.2276999999999996</v>
      </c>
      <c r="D335" s="26">
        <f>5.2288 * CHOOSE(CONTROL!$C$32, $C$9, 100%, $E$9)</f>
        <v>5.2287999999999997</v>
      </c>
      <c r="E335" s="27">
        <f>6.5781 * CHOOSE(CONTROL!$C$32, $C$9, 100%, $E$9)</f>
        <v>6.5781000000000001</v>
      </c>
      <c r="F335" s="27">
        <f>6.5781 * CHOOSE(CONTROL!$C$32, $C$9, 100%, $E$9)</f>
        <v>6.5781000000000001</v>
      </c>
      <c r="G335" s="27">
        <f>6.5817 * CHOOSE(CONTROL!$C$32, $C$9, 100%, $E$9)</f>
        <v>6.5816999999999997</v>
      </c>
      <c r="H335" s="27">
        <f>10.815 * CHOOSE(CONTROL!$C$32, $C$9, 100%, $E$9)</f>
        <v>10.815</v>
      </c>
      <c r="I335" s="27">
        <f>10.8186 * CHOOSE(CONTROL!$C$32, $C$9, 100%, $E$9)</f>
        <v>10.8186</v>
      </c>
      <c r="J335" s="27">
        <f>10.815 * CHOOSE(CONTROL!$C$32, $C$9, 100%, $E$9)</f>
        <v>10.815</v>
      </c>
      <c r="K335" s="27">
        <f>10.8186 * CHOOSE(CONTROL!$C$32, $C$9, 100%, $E$9)</f>
        <v>10.8186</v>
      </c>
      <c r="L335" s="27">
        <f>6.5781 * CHOOSE(CONTROL!$C$32, $C$9, 100%, $E$9)</f>
        <v>6.5781000000000001</v>
      </c>
      <c r="M335" s="27">
        <f>6.5817 * CHOOSE(CONTROL!$C$32, $C$9, 100%, $E$9)</f>
        <v>6.5816999999999997</v>
      </c>
      <c r="N335" s="27">
        <f>6.5781 * CHOOSE(CONTROL!$C$32, $C$9, 100%, $E$9)</f>
        <v>6.5781000000000001</v>
      </c>
      <c r="O335" s="27">
        <f>6.5817 * CHOOSE(CONTROL!$C$32, $C$9, 100%, $E$9)</f>
        <v>6.5816999999999997</v>
      </c>
    </row>
    <row r="336" spans="1:15" ht="15" x14ac:dyDescent="0.2">
      <c r="A336" s="16">
        <v>51075</v>
      </c>
      <c r="B336" s="26">
        <f>5.2308 * CHOOSE(CONTROL!$C$32, $C$9, 100%, $E$9)</f>
        <v>5.2308000000000003</v>
      </c>
      <c r="C336" s="26">
        <f>5.2308 * CHOOSE(CONTROL!$C$32, $C$9, 100%, $E$9)</f>
        <v>5.2308000000000003</v>
      </c>
      <c r="D336" s="26">
        <f>5.2319 * CHOOSE(CONTROL!$C$32, $C$9, 100%, $E$9)</f>
        <v>5.2319000000000004</v>
      </c>
      <c r="E336" s="27">
        <f>6.6038 * CHOOSE(CONTROL!$C$32, $C$9, 100%, $E$9)</f>
        <v>6.6037999999999997</v>
      </c>
      <c r="F336" s="27">
        <f>6.6038 * CHOOSE(CONTROL!$C$32, $C$9, 100%, $E$9)</f>
        <v>6.6037999999999997</v>
      </c>
      <c r="G336" s="27">
        <f>6.6074 * CHOOSE(CONTROL!$C$32, $C$9, 100%, $E$9)</f>
        <v>6.6074000000000002</v>
      </c>
      <c r="H336" s="27">
        <f>10.8375 * CHOOSE(CONTROL!$C$32, $C$9, 100%, $E$9)</f>
        <v>10.8375</v>
      </c>
      <c r="I336" s="27">
        <f>10.8412 * CHOOSE(CONTROL!$C$32, $C$9, 100%, $E$9)</f>
        <v>10.841200000000001</v>
      </c>
      <c r="J336" s="27">
        <f>10.8375 * CHOOSE(CONTROL!$C$32, $C$9, 100%, $E$9)</f>
        <v>10.8375</v>
      </c>
      <c r="K336" s="27">
        <f>10.8412 * CHOOSE(CONTROL!$C$32, $C$9, 100%, $E$9)</f>
        <v>10.841200000000001</v>
      </c>
      <c r="L336" s="27">
        <f>6.6038 * CHOOSE(CONTROL!$C$32, $C$9, 100%, $E$9)</f>
        <v>6.6037999999999997</v>
      </c>
      <c r="M336" s="27">
        <f>6.6074 * CHOOSE(CONTROL!$C$32, $C$9, 100%, $E$9)</f>
        <v>6.6074000000000002</v>
      </c>
      <c r="N336" s="27">
        <f>6.6038 * CHOOSE(CONTROL!$C$32, $C$9, 100%, $E$9)</f>
        <v>6.6037999999999997</v>
      </c>
      <c r="O336" s="27">
        <f>6.6074 * CHOOSE(CONTROL!$C$32, $C$9, 100%, $E$9)</f>
        <v>6.6074000000000002</v>
      </c>
    </row>
    <row r="337" spans="1:15" ht="15" x14ac:dyDescent="0.2">
      <c r="A337" s="16">
        <v>51105</v>
      </c>
      <c r="B337" s="26">
        <f>5.2308 * CHOOSE(CONTROL!$C$32, $C$9, 100%, $E$9)</f>
        <v>5.2308000000000003</v>
      </c>
      <c r="C337" s="26">
        <f>5.2308 * CHOOSE(CONTROL!$C$32, $C$9, 100%, $E$9)</f>
        <v>5.2308000000000003</v>
      </c>
      <c r="D337" s="26">
        <f>5.2319 * CHOOSE(CONTROL!$C$32, $C$9, 100%, $E$9)</f>
        <v>5.2319000000000004</v>
      </c>
      <c r="E337" s="27">
        <f>6.5448 * CHOOSE(CONTROL!$C$32, $C$9, 100%, $E$9)</f>
        <v>6.5448000000000004</v>
      </c>
      <c r="F337" s="27">
        <f>6.5448 * CHOOSE(CONTROL!$C$32, $C$9, 100%, $E$9)</f>
        <v>6.5448000000000004</v>
      </c>
      <c r="G337" s="27">
        <f>6.5485 * CHOOSE(CONTROL!$C$32, $C$9, 100%, $E$9)</f>
        <v>6.5484999999999998</v>
      </c>
      <c r="H337" s="27">
        <f>10.8601 * CHOOSE(CONTROL!$C$32, $C$9, 100%, $E$9)</f>
        <v>10.860099999999999</v>
      </c>
      <c r="I337" s="27">
        <f>10.8637 * CHOOSE(CONTROL!$C$32, $C$9, 100%, $E$9)</f>
        <v>10.8637</v>
      </c>
      <c r="J337" s="27">
        <f>10.8601 * CHOOSE(CONTROL!$C$32, $C$9, 100%, $E$9)</f>
        <v>10.860099999999999</v>
      </c>
      <c r="K337" s="27">
        <f>10.8637 * CHOOSE(CONTROL!$C$32, $C$9, 100%, $E$9)</f>
        <v>10.8637</v>
      </c>
      <c r="L337" s="27">
        <f>6.5448 * CHOOSE(CONTROL!$C$32, $C$9, 100%, $E$9)</f>
        <v>6.5448000000000004</v>
      </c>
      <c r="M337" s="27">
        <f>6.5485 * CHOOSE(CONTROL!$C$32, $C$9, 100%, $E$9)</f>
        <v>6.5484999999999998</v>
      </c>
      <c r="N337" s="27">
        <f>6.5448 * CHOOSE(CONTROL!$C$32, $C$9, 100%, $E$9)</f>
        <v>6.5448000000000004</v>
      </c>
      <c r="O337" s="27">
        <f>6.5485 * CHOOSE(CONTROL!$C$32, $C$9, 100%, $E$9)</f>
        <v>6.5484999999999998</v>
      </c>
    </row>
    <row r="338" spans="1:15" ht="15" x14ac:dyDescent="0.2">
      <c r="A338" s="16">
        <v>51136</v>
      </c>
      <c r="B338" s="26">
        <f>5.2721 * CHOOSE(CONTROL!$C$32, $C$9, 100%, $E$9)</f>
        <v>5.2721</v>
      </c>
      <c r="C338" s="26">
        <f>5.2721 * CHOOSE(CONTROL!$C$32, $C$9, 100%, $E$9)</f>
        <v>5.2721</v>
      </c>
      <c r="D338" s="26">
        <f>5.2732 * CHOOSE(CONTROL!$C$32, $C$9, 100%, $E$9)</f>
        <v>5.2732000000000001</v>
      </c>
      <c r="E338" s="27">
        <f>6.6042 * CHOOSE(CONTROL!$C$32, $C$9, 100%, $E$9)</f>
        <v>6.6041999999999996</v>
      </c>
      <c r="F338" s="27">
        <f>6.6042 * CHOOSE(CONTROL!$C$32, $C$9, 100%, $E$9)</f>
        <v>6.6041999999999996</v>
      </c>
      <c r="G338" s="27">
        <f>6.6078 * CHOOSE(CONTROL!$C$32, $C$9, 100%, $E$9)</f>
        <v>6.6078000000000001</v>
      </c>
      <c r="H338" s="27">
        <f>10.8827 * CHOOSE(CONTROL!$C$32, $C$9, 100%, $E$9)</f>
        <v>10.8827</v>
      </c>
      <c r="I338" s="27">
        <f>10.8864 * CHOOSE(CONTROL!$C$32, $C$9, 100%, $E$9)</f>
        <v>10.8864</v>
      </c>
      <c r="J338" s="27">
        <f>10.8827 * CHOOSE(CONTROL!$C$32, $C$9, 100%, $E$9)</f>
        <v>10.8827</v>
      </c>
      <c r="K338" s="27">
        <f>10.8864 * CHOOSE(CONTROL!$C$32, $C$9, 100%, $E$9)</f>
        <v>10.8864</v>
      </c>
      <c r="L338" s="27">
        <f>6.6042 * CHOOSE(CONTROL!$C$32, $C$9, 100%, $E$9)</f>
        <v>6.6041999999999996</v>
      </c>
      <c r="M338" s="27">
        <f>6.6078 * CHOOSE(CONTROL!$C$32, $C$9, 100%, $E$9)</f>
        <v>6.6078000000000001</v>
      </c>
      <c r="N338" s="27">
        <f>6.6042 * CHOOSE(CONTROL!$C$32, $C$9, 100%, $E$9)</f>
        <v>6.6041999999999996</v>
      </c>
      <c r="O338" s="27">
        <f>6.6078 * CHOOSE(CONTROL!$C$32, $C$9, 100%, $E$9)</f>
        <v>6.6078000000000001</v>
      </c>
    </row>
    <row r="339" spans="1:15" ht="15" x14ac:dyDescent="0.2">
      <c r="A339" s="16">
        <v>51167</v>
      </c>
      <c r="B339" s="26">
        <f>5.2691 * CHOOSE(CONTROL!$C$32, $C$9, 100%, $E$9)</f>
        <v>5.2690999999999999</v>
      </c>
      <c r="C339" s="26">
        <f>5.2691 * CHOOSE(CONTROL!$C$32, $C$9, 100%, $E$9)</f>
        <v>5.2690999999999999</v>
      </c>
      <c r="D339" s="26">
        <f>5.2702 * CHOOSE(CONTROL!$C$32, $C$9, 100%, $E$9)</f>
        <v>5.2702</v>
      </c>
      <c r="E339" s="27">
        <f>6.487 * CHOOSE(CONTROL!$C$32, $C$9, 100%, $E$9)</f>
        <v>6.4870000000000001</v>
      </c>
      <c r="F339" s="27">
        <f>6.487 * CHOOSE(CONTROL!$C$32, $C$9, 100%, $E$9)</f>
        <v>6.4870000000000001</v>
      </c>
      <c r="G339" s="27">
        <f>6.4906 * CHOOSE(CONTROL!$C$32, $C$9, 100%, $E$9)</f>
        <v>6.4905999999999997</v>
      </c>
      <c r="H339" s="27">
        <f>10.9054 * CHOOSE(CONTROL!$C$32, $C$9, 100%, $E$9)</f>
        <v>10.9054</v>
      </c>
      <c r="I339" s="27">
        <f>10.909 * CHOOSE(CONTROL!$C$32, $C$9, 100%, $E$9)</f>
        <v>10.909000000000001</v>
      </c>
      <c r="J339" s="27">
        <f>10.9054 * CHOOSE(CONTROL!$C$32, $C$9, 100%, $E$9)</f>
        <v>10.9054</v>
      </c>
      <c r="K339" s="27">
        <f>10.909 * CHOOSE(CONTROL!$C$32, $C$9, 100%, $E$9)</f>
        <v>10.909000000000001</v>
      </c>
      <c r="L339" s="27">
        <f>6.487 * CHOOSE(CONTROL!$C$32, $C$9, 100%, $E$9)</f>
        <v>6.4870000000000001</v>
      </c>
      <c r="M339" s="27">
        <f>6.4906 * CHOOSE(CONTROL!$C$32, $C$9, 100%, $E$9)</f>
        <v>6.4905999999999997</v>
      </c>
      <c r="N339" s="27">
        <f>6.487 * CHOOSE(CONTROL!$C$32, $C$9, 100%, $E$9)</f>
        <v>6.4870000000000001</v>
      </c>
      <c r="O339" s="27">
        <f>6.4906 * CHOOSE(CONTROL!$C$32, $C$9, 100%, $E$9)</f>
        <v>6.4905999999999997</v>
      </c>
    </row>
    <row r="340" spans="1:15" ht="15" x14ac:dyDescent="0.2">
      <c r="A340" s="16">
        <v>51196</v>
      </c>
      <c r="B340" s="26">
        <f>5.266 * CHOOSE(CONTROL!$C$32, $C$9, 100%, $E$9)</f>
        <v>5.266</v>
      </c>
      <c r="C340" s="26">
        <f>5.266 * CHOOSE(CONTROL!$C$32, $C$9, 100%, $E$9)</f>
        <v>5.266</v>
      </c>
      <c r="D340" s="26">
        <f>5.2671 * CHOOSE(CONTROL!$C$32, $C$9, 100%, $E$9)</f>
        <v>5.2671000000000001</v>
      </c>
      <c r="E340" s="27">
        <f>6.5756 * CHOOSE(CONTROL!$C$32, $C$9, 100%, $E$9)</f>
        <v>6.5755999999999997</v>
      </c>
      <c r="F340" s="27">
        <f>6.5756 * CHOOSE(CONTROL!$C$32, $C$9, 100%, $E$9)</f>
        <v>6.5755999999999997</v>
      </c>
      <c r="G340" s="27">
        <f>6.5792 * CHOOSE(CONTROL!$C$32, $C$9, 100%, $E$9)</f>
        <v>6.5792000000000002</v>
      </c>
      <c r="H340" s="27">
        <f>10.9281 * CHOOSE(CONTROL!$C$32, $C$9, 100%, $E$9)</f>
        <v>10.928100000000001</v>
      </c>
      <c r="I340" s="27">
        <f>10.9317 * CHOOSE(CONTROL!$C$32, $C$9, 100%, $E$9)</f>
        <v>10.931699999999999</v>
      </c>
      <c r="J340" s="27">
        <f>10.9281 * CHOOSE(CONTROL!$C$32, $C$9, 100%, $E$9)</f>
        <v>10.928100000000001</v>
      </c>
      <c r="K340" s="27">
        <f>10.9317 * CHOOSE(CONTROL!$C$32, $C$9, 100%, $E$9)</f>
        <v>10.931699999999999</v>
      </c>
      <c r="L340" s="27">
        <f>6.5756 * CHOOSE(CONTROL!$C$32, $C$9, 100%, $E$9)</f>
        <v>6.5755999999999997</v>
      </c>
      <c r="M340" s="27">
        <f>6.5792 * CHOOSE(CONTROL!$C$32, $C$9, 100%, $E$9)</f>
        <v>6.5792000000000002</v>
      </c>
      <c r="N340" s="27">
        <f>6.5756 * CHOOSE(CONTROL!$C$32, $C$9, 100%, $E$9)</f>
        <v>6.5755999999999997</v>
      </c>
      <c r="O340" s="27">
        <f>6.5792 * CHOOSE(CONTROL!$C$32, $C$9, 100%, $E$9)</f>
        <v>6.5792000000000002</v>
      </c>
    </row>
    <row r="341" spans="1:15" ht="15" x14ac:dyDescent="0.2">
      <c r="A341" s="16">
        <v>51227</v>
      </c>
      <c r="B341" s="26">
        <f>5.2649 * CHOOSE(CONTROL!$C$32, $C$9, 100%, $E$9)</f>
        <v>5.2648999999999999</v>
      </c>
      <c r="C341" s="26">
        <f>5.2649 * CHOOSE(CONTROL!$C$32, $C$9, 100%, $E$9)</f>
        <v>5.2648999999999999</v>
      </c>
      <c r="D341" s="26">
        <f>5.266 * CHOOSE(CONTROL!$C$32, $C$9, 100%, $E$9)</f>
        <v>5.266</v>
      </c>
      <c r="E341" s="27">
        <f>6.6687 * CHOOSE(CONTROL!$C$32, $C$9, 100%, $E$9)</f>
        <v>6.6687000000000003</v>
      </c>
      <c r="F341" s="27">
        <f>6.6687 * CHOOSE(CONTROL!$C$32, $C$9, 100%, $E$9)</f>
        <v>6.6687000000000003</v>
      </c>
      <c r="G341" s="27">
        <f>6.6723 * CHOOSE(CONTROL!$C$32, $C$9, 100%, $E$9)</f>
        <v>6.6722999999999999</v>
      </c>
      <c r="H341" s="27">
        <f>10.9509 * CHOOSE(CONTROL!$C$32, $C$9, 100%, $E$9)</f>
        <v>10.950900000000001</v>
      </c>
      <c r="I341" s="27">
        <f>10.9545 * CHOOSE(CONTROL!$C$32, $C$9, 100%, $E$9)</f>
        <v>10.954499999999999</v>
      </c>
      <c r="J341" s="27">
        <f>10.9509 * CHOOSE(CONTROL!$C$32, $C$9, 100%, $E$9)</f>
        <v>10.950900000000001</v>
      </c>
      <c r="K341" s="27">
        <f>10.9545 * CHOOSE(CONTROL!$C$32, $C$9, 100%, $E$9)</f>
        <v>10.954499999999999</v>
      </c>
      <c r="L341" s="27">
        <f>6.6687 * CHOOSE(CONTROL!$C$32, $C$9, 100%, $E$9)</f>
        <v>6.6687000000000003</v>
      </c>
      <c r="M341" s="27">
        <f>6.6723 * CHOOSE(CONTROL!$C$32, $C$9, 100%, $E$9)</f>
        <v>6.6722999999999999</v>
      </c>
      <c r="N341" s="27">
        <f>6.6687 * CHOOSE(CONTROL!$C$32, $C$9, 100%, $E$9)</f>
        <v>6.6687000000000003</v>
      </c>
      <c r="O341" s="27">
        <f>6.6723 * CHOOSE(CONTROL!$C$32, $C$9, 100%, $E$9)</f>
        <v>6.6722999999999999</v>
      </c>
    </row>
    <row r="342" spans="1:15" ht="15" x14ac:dyDescent="0.2">
      <c r="A342" s="16">
        <v>51257</v>
      </c>
      <c r="B342" s="26">
        <f>5.2649 * CHOOSE(CONTROL!$C$32, $C$9, 100%, $E$9)</f>
        <v>5.2648999999999999</v>
      </c>
      <c r="C342" s="26">
        <f>5.2649 * CHOOSE(CONTROL!$C$32, $C$9, 100%, $E$9)</f>
        <v>5.2648999999999999</v>
      </c>
      <c r="D342" s="26">
        <f>5.2665 * CHOOSE(CONTROL!$C$32, $C$9, 100%, $E$9)</f>
        <v>5.2664999999999997</v>
      </c>
      <c r="E342" s="27">
        <f>6.7052 * CHOOSE(CONTROL!$C$32, $C$9, 100%, $E$9)</f>
        <v>6.7051999999999996</v>
      </c>
      <c r="F342" s="27">
        <f>6.7052 * CHOOSE(CONTROL!$C$32, $C$9, 100%, $E$9)</f>
        <v>6.7051999999999996</v>
      </c>
      <c r="G342" s="27">
        <f>6.7105 * CHOOSE(CONTROL!$C$32, $C$9, 100%, $E$9)</f>
        <v>6.7104999999999997</v>
      </c>
      <c r="H342" s="27">
        <f>10.9737 * CHOOSE(CONTROL!$C$32, $C$9, 100%, $E$9)</f>
        <v>10.973699999999999</v>
      </c>
      <c r="I342" s="27">
        <f>10.979 * CHOOSE(CONTROL!$C$32, $C$9, 100%, $E$9)</f>
        <v>10.978999999999999</v>
      </c>
      <c r="J342" s="27">
        <f>10.9737 * CHOOSE(CONTROL!$C$32, $C$9, 100%, $E$9)</f>
        <v>10.973699999999999</v>
      </c>
      <c r="K342" s="27">
        <f>10.979 * CHOOSE(CONTROL!$C$32, $C$9, 100%, $E$9)</f>
        <v>10.978999999999999</v>
      </c>
      <c r="L342" s="27">
        <f>6.7052 * CHOOSE(CONTROL!$C$32, $C$9, 100%, $E$9)</f>
        <v>6.7051999999999996</v>
      </c>
      <c r="M342" s="27">
        <f>6.7105 * CHOOSE(CONTROL!$C$32, $C$9, 100%, $E$9)</f>
        <v>6.7104999999999997</v>
      </c>
      <c r="N342" s="27">
        <f>6.7052 * CHOOSE(CONTROL!$C$32, $C$9, 100%, $E$9)</f>
        <v>6.7051999999999996</v>
      </c>
      <c r="O342" s="27">
        <f>6.7105 * CHOOSE(CONTROL!$C$32, $C$9, 100%, $E$9)</f>
        <v>6.7104999999999997</v>
      </c>
    </row>
    <row r="343" spans="1:15" ht="15" x14ac:dyDescent="0.2">
      <c r="A343" s="16">
        <v>51288</v>
      </c>
      <c r="B343" s="26">
        <f>5.271 * CHOOSE(CONTROL!$C$32, $C$9, 100%, $E$9)</f>
        <v>5.2709999999999999</v>
      </c>
      <c r="C343" s="26">
        <f>5.271 * CHOOSE(CONTROL!$C$32, $C$9, 100%, $E$9)</f>
        <v>5.2709999999999999</v>
      </c>
      <c r="D343" s="26">
        <f>5.2726 * CHOOSE(CONTROL!$C$32, $C$9, 100%, $E$9)</f>
        <v>5.2725999999999997</v>
      </c>
      <c r="E343" s="27">
        <f>6.673 * CHOOSE(CONTROL!$C$32, $C$9, 100%, $E$9)</f>
        <v>6.673</v>
      </c>
      <c r="F343" s="27">
        <f>6.673 * CHOOSE(CONTROL!$C$32, $C$9, 100%, $E$9)</f>
        <v>6.673</v>
      </c>
      <c r="G343" s="27">
        <f>6.6782 * CHOOSE(CONTROL!$C$32, $C$9, 100%, $E$9)</f>
        <v>6.6782000000000004</v>
      </c>
      <c r="H343" s="27">
        <f>10.9966 * CHOOSE(CONTROL!$C$32, $C$9, 100%, $E$9)</f>
        <v>10.996600000000001</v>
      </c>
      <c r="I343" s="27">
        <f>11.0019 * CHOOSE(CONTROL!$C$32, $C$9, 100%, $E$9)</f>
        <v>11.001899999999999</v>
      </c>
      <c r="J343" s="27">
        <f>10.9966 * CHOOSE(CONTROL!$C$32, $C$9, 100%, $E$9)</f>
        <v>10.996600000000001</v>
      </c>
      <c r="K343" s="27">
        <f>11.0019 * CHOOSE(CONTROL!$C$32, $C$9, 100%, $E$9)</f>
        <v>11.001899999999999</v>
      </c>
      <c r="L343" s="27">
        <f>6.673 * CHOOSE(CONTROL!$C$32, $C$9, 100%, $E$9)</f>
        <v>6.673</v>
      </c>
      <c r="M343" s="27">
        <f>6.6782 * CHOOSE(CONTROL!$C$32, $C$9, 100%, $E$9)</f>
        <v>6.6782000000000004</v>
      </c>
      <c r="N343" s="27">
        <f>6.673 * CHOOSE(CONTROL!$C$32, $C$9, 100%, $E$9)</f>
        <v>6.673</v>
      </c>
      <c r="O343" s="27">
        <f>6.6782 * CHOOSE(CONTROL!$C$32, $C$9, 100%, $E$9)</f>
        <v>6.6782000000000004</v>
      </c>
    </row>
    <row r="344" spans="1:15" ht="15" x14ac:dyDescent="0.2">
      <c r="A344" s="16">
        <v>51318</v>
      </c>
      <c r="B344" s="26">
        <f>5.345 * CHOOSE(CONTROL!$C$32, $C$9, 100%, $E$9)</f>
        <v>5.3449999999999998</v>
      </c>
      <c r="C344" s="26">
        <f>5.345 * CHOOSE(CONTROL!$C$32, $C$9, 100%, $E$9)</f>
        <v>5.3449999999999998</v>
      </c>
      <c r="D344" s="26">
        <f>5.3466 * CHOOSE(CONTROL!$C$32, $C$9, 100%, $E$9)</f>
        <v>5.3465999999999996</v>
      </c>
      <c r="E344" s="27">
        <f>6.6813 * CHOOSE(CONTROL!$C$32, $C$9, 100%, $E$9)</f>
        <v>6.6813000000000002</v>
      </c>
      <c r="F344" s="27">
        <f>6.6813 * CHOOSE(CONTROL!$C$32, $C$9, 100%, $E$9)</f>
        <v>6.6813000000000002</v>
      </c>
      <c r="G344" s="27">
        <f>6.6866 * CHOOSE(CONTROL!$C$32, $C$9, 100%, $E$9)</f>
        <v>6.6866000000000003</v>
      </c>
      <c r="H344" s="27">
        <f>11.0195 * CHOOSE(CONTROL!$C$32, $C$9, 100%, $E$9)</f>
        <v>11.019500000000001</v>
      </c>
      <c r="I344" s="27">
        <f>11.0248 * CHOOSE(CONTROL!$C$32, $C$9, 100%, $E$9)</f>
        <v>11.024800000000001</v>
      </c>
      <c r="J344" s="27">
        <f>11.0195 * CHOOSE(CONTROL!$C$32, $C$9, 100%, $E$9)</f>
        <v>11.019500000000001</v>
      </c>
      <c r="K344" s="27">
        <f>11.0248 * CHOOSE(CONTROL!$C$32, $C$9, 100%, $E$9)</f>
        <v>11.024800000000001</v>
      </c>
      <c r="L344" s="27">
        <f>6.6813 * CHOOSE(CONTROL!$C$32, $C$9, 100%, $E$9)</f>
        <v>6.6813000000000002</v>
      </c>
      <c r="M344" s="27">
        <f>6.6866 * CHOOSE(CONTROL!$C$32, $C$9, 100%, $E$9)</f>
        <v>6.6866000000000003</v>
      </c>
      <c r="N344" s="27">
        <f>6.6813 * CHOOSE(CONTROL!$C$32, $C$9, 100%, $E$9)</f>
        <v>6.6813000000000002</v>
      </c>
      <c r="O344" s="27">
        <f>6.6866 * CHOOSE(CONTROL!$C$32, $C$9, 100%, $E$9)</f>
        <v>6.6866000000000003</v>
      </c>
    </row>
    <row r="345" spans="1:15" ht="15" x14ac:dyDescent="0.2">
      <c r="A345" s="16">
        <v>51349</v>
      </c>
      <c r="B345" s="26">
        <f>5.3517 * CHOOSE(CONTROL!$C$32, $C$9, 100%, $E$9)</f>
        <v>5.3517000000000001</v>
      </c>
      <c r="C345" s="26">
        <f>5.3517 * CHOOSE(CONTROL!$C$32, $C$9, 100%, $E$9)</f>
        <v>5.3517000000000001</v>
      </c>
      <c r="D345" s="26">
        <f>5.3533 * CHOOSE(CONTROL!$C$32, $C$9, 100%, $E$9)</f>
        <v>5.3532999999999999</v>
      </c>
      <c r="E345" s="27">
        <f>6.5764 * CHOOSE(CONTROL!$C$32, $C$9, 100%, $E$9)</f>
        <v>6.5763999999999996</v>
      </c>
      <c r="F345" s="27">
        <f>6.5764 * CHOOSE(CONTROL!$C$32, $C$9, 100%, $E$9)</f>
        <v>6.5763999999999996</v>
      </c>
      <c r="G345" s="27">
        <f>6.5817 * CHOOSE(CONTROL!$C$32, $C$9, 100%, $E$9)</f>
        <v>6.5816999999999997</v>
      </c>
      <c r="H345" s="27">
        <f>11.0424 * CHOOSE(CONTROL!$C$32, $C$9, 100%, $E$9)</f>
        <v>11.042400000000001</v>
      </c>
      <c r="I345" s="27">
        <f>11.0477 * CHOOSE(CONTROL!$C$32, $C$9, 100%, $E$9)</f>
        <v>11.047700000000001</v>
      </c>
      <c r="J345" s="27">
        <f>11.0424 * CHOOSE(CONTROL!$C$32, $C$9, 100%, $E$9)</f>
        <v>11.042400000000001</v>
      </c>
      <c r="K345" s="27">
        <f>11.0477 * CHOOSE(CONTROL!$C$32, $C$9, 100%, $E$9)</f>
        <v>11.047700000000001</v>
      </c>
      <c r="L345" s="27">
        <f>6.5764 * CHOOSE(CONTROL!$C$32, $C$9, 100%, $E$9)</f>
        <v>6.5763999999999996</v>
      </c>
      <c r="M345" s="27">
        <f>6.5817 * CHOOSE(CONTROL!$C$32, $C$9, 100%, $E$9)</f>
        <v>6.5816999999999997</v>
      </c>
      <c r="N345" s="27">
        <f>6.5764 * CHOOSE(CONTROL!$C$32, $C$9, 100%, $E$9)</f>
        <v>6.5763999999999996</v>
      </c>
      <c r="O345" s="27">
        <f>6.5817 * CHOOSE(CONTROL!$C$32, $C$9, 100%, $E$9)</f>
        <v>6.5816999999999997</v>
      </c>
    </row>
    <row r="346" spans="1:15" ht="15" x14ac:dyDescent="0.2">
      <c r="A346" s="16">
        <v>51380</v>
      </c>
      <c r="B346" s="26">
        <f>5.3487 * CHOOSE(CONTROL!$C$32, $C$9, 100%, $E$9)</f>
        <v>5.3487</v>
      </c>
      <c r="C346" s="26">
        <f>5.3487 * CHOOSE(CONTROL!$C$32, $C$9, 100%, $E$9)</f>
        <v>5.3487</v>
      </c>
      <c r="D346" s="26">
        <f>5.3502 * CHOOSE(CONTROL!$C$32, $C$9, 100%, $E$9)</f>
        <v>5.3502000000000001</v>
      </c>
      <c r="E346" s="27">
        <f>6.5621 * CHOOSE(CONTROL!$C$32, $C$9, 100%, $E$9)</f>
        <v>6.5621</v>
      </c>
      <c r="F346" s="27">
        <f>6.5621 * CHOOSE(CONTROL!$C$32, $C$9, 100%, $E$9)</f>
        <v>6.5621</v>
      </c>
      <c r="G346" s="27">
        <f>6.5674 * CHOOSE(CONTROL!$C$32, $C$9, 100%, $E$9)</f>
        <v>6.5674000000000001</v>
      </c>
      <c r="H346" s="27">
        <f>11.0654 * CHOOSE(CONTROL!$C$32, $C$9, 100%, $E$9)</f>
        <v>11.0654</v>
      </c>
      <c r="I346" s="27">
        <f>11.0707 * CHOOSE(CONTROL!$C$32, $C$9, 100%, $E$9)</f>
        <v>11.0707</v>
      </c>
      <c r="J346" s="27">
        <f>11.0654 * CHOOSE(CONTROL!$C$32, $C$9, 100%, $E$9)</f>
        <v>11.0654</v>
      </c>
      <c r="K346" s="27">
        <f>11.0707 * CHOOSE(CONTROL!$C$32, $C$9, 100%, $E$9)</f>
        <v>11.0707</v>
      </c>
      <c r="L346" s="27">
        <f>6.5621 * CHOOSE(CONTROL!$C$32, $C$9, 100%, $E$9)</f>
        <v>6.5621</v>
      </c>
      <c r="M346" s="27">
        <f>6.5674 * CHOOSE(CONTROL!$C$32, $C$9, 100%, $E$9)</f>
        <v>6.5674000000000001</v>
      </c>
      <c r="N346" s="27">
        <f>6.5621 * CHOOSE(CONTROL!$C$32, $C$9, 100%, $E$9)</f>
        <v>6.5621</v>
      </c>
      <c r="O346" s="27">
        <f>6.5674 * CHOOSE(CONTROL!$C$32, $C$9, 100%, $E$9)</f>
        <v>6.5674000000000001</v>
      </c>
    </row>
    <row r="347" spans="1:15" ht="15" x14ac:dyDescent="0.2">
      <c r="A347" s="16">
        <v>51410</v>
      </c>
      <c r="B347" s="26">
        <f>5.3487 * CHOOSE(CONTROL!$C$32, $C$9, 100%, $E$9)</f>
        <v>5.3487</v>
      </c>
      <c r="C347" s="26">
        <f>5.3487 * CHOOSE(CONTROL!$C$32, $C$9, 100%, $E$9)</f>
        <v>5.3487</v>
      </c>
      <c r="D347" s="26">
        <f>5.3498 * CHOOSE(CONTROL!$C$32, $C$9, 100%, $E$9)</f>
        <v>5.3498000000000001</v>
      </c>
      <c r="E347" s="27">
        <f>6.5974 * CHOOSE(CONTROL!$C$32, $C$9, 100%, $E$9)</f>
        <v>6.5974000000000004</v>
      </c>
      <c r="F347" s="27">
        <f>6.5974 * CHOOSE(CONTROL!$C$32, $C$9, 100%, $E$9)</f>
        <v>6.5974000000000004</v>
      </c>
      <c r="G347" s="27">
        <f>6.601 * CHOOSE(CONTROL!$C$32, $C$9, 100%, $E$9)</f>
        <v>6.601</v>
      </c>
      <c r="H347" s="27">
        <f>11.0885 * CHOOSE(CONTROL!$C$32, $C$9, 100%, $E$9)</f>
        <v>11.0885</v>
      </c>
      <c r="I347" s="27">
        <f>11.0921 * CHOOSE(CONTROL!$C$32, $C$9, 100%, $E$9)</f>
        <v>11.0921</v>
      </c>
      <c r="J347" s="27">
        <f>11.0885 * CHOOSE(CONTROL!$C$32, $C$9, 100%, $E$9)</f>
        <v>11.0885</v>
      </c>
      <c r="K347" s="27">
        <f>11.0921 * CHOOSE(CONTROL!$C$32, $C$9, 100%, $E$9)</f>
        <v>11.0921</v>
      </c>
      <c r="L347" s="27">
        <f>6.5974 * CHOOSE(CONTROL!$C$32, $C$9, 100%, $E$9)</f>
        <v>6.5974000000000004</v>
      </c>
      <c r="M347" s="27">
        <f>6.601 * CHOOSE(CONTROL!$C$32, $C$9, 100%, $E$9)</f>
        <v>6.601</v>
      </c>
      <c r="N347" s="27">
        <f>6.5974 * CHOOSE(CONTROL!$C$32, $C$9, 100%, $E$9)</f>
        <v>6.5974000000000004</v>
      </c>
      <c r="O347" s="27">
        <f>6.601 * CHOOSE(CONTROL!$C$32, $C$9, 100%, $E$9)</f>
        <v>6.601</v>
      </c>
    </row>
    <row r="348" spans="1:15" ht="15" x14ac:dyDescent="0.2">
      <c r="A348" s="16">
        <v>51441</v>
      </c>
      <c r="B348" s="26">
        <f>5.3518 * CHOOSE(CONTROL!$C$32, $C$9, 100%, $E$9)</f>
        <v>5.3517999999999999</v>
      </c>
      <c r="C348" s="26">
        <f>5.3518 * CHOOSE(CONTROL!$C$32, $C$9, 100%, $E$9)</f>
        <v>5.3517999999999999</v>
      </c>
      <c r="D348" s="26">
        <f>5.3528 * CHOOSE(CONTROL!$C$32, $C$9, 100%, $E$9)</f>
        <v>5.3528000000000002</v>
      </c>
      <c r="E348" s="27">
        <f>6.6239 * CHOOSE(CONTROL!$C$32, $C$9, 100%, $E$9)</f>
        <v>6.6238999999999999</v>
      </c>
      <c r="F348" s="27">
        <f>6.6239 * CHOOSE(CONTROL!$C$32, $C$9, 100%, $E$9)</f>
        <v>6.6238999999999999</v>
      </c>
      <c r="G348" s="27">
        <f>6.6275 * CHOOSE(CONTROL!$C$32, $C$9, 100%, $E$9)</f>
        <v>6.6275000000000004</v>
      </c>
      <c r="H348" s="27">
        <f>11.1116 * CHOOSE(CONTROL!$C$32, $C$9, 100%, $E$9)</f>
        <v>11.111599999999999</v>
      </c>
      <c r="I348" s="27">
        <f>11.1152 * CHOOSE(CONTROL!$C$32, $C$9, 100%, $E$9)</f>
        <v>11.1152</v>
      </c>
      <c r="J348" s="27">
        <f>11.1116 * CHOOSE(CONTROL!$C$32, $C$9, 100%, $E$9)</f>
        <v>11.111599999999999</v>
      </c>
      <c r="K348" s="27">
        <f>11.1152 * CHOOSE(CONTROL!$C$32, $C$9, 100%, $E$9)</f>
        <v>11.1152</v>
      </c>
      <c r="L348" s="27">
        <f>6.6239 * CHOOSE(CONTROL!$C$32, $C$9, 100%, $E$9)</f>
        <v>6.6238999999999999</v>
      </c>
      <c r="M348" s="27">
        <f>6.6275 * CHOOSE(CONTROL!$C$32, $C$9, 100%, $E$9)</f>
        <v>6.6275000000000004</v>
      </c>
      <c r="N348" s="27">
        <f>6.6239 * CHOOSE(CONTROL!$C$32, $C$9, 100%, $E$9)</f>
        <v>6.6238999999999999</v>
      </c>
      <c r="O348" s="27">
        <f>6.6275 * CHOOSE(CONTROL!$C$32, $C$9, 100%, $E$9)</f>
        <v>6.6275000000000004</v>
      </c>
    </row>
    <row r="349" spans="1:15" ht="15" x14ac:dyDescent="0.2">
      <c r="A349" s="16">
        <v>51471</v>
      </c>
      <c r="B349" s="26">
        <f>5.3518 * CHOOSE(CONTROL!$C$32, $C$9, 100%, $E$9)</f>
        <v>5.3517999999999999</v>
      </c>
      <c r="C349" s="26">
        <f>5.3518 * CHOOSE(CONTROL!$C$32, $C$9, 100%, $E$9)</f>
        <v>5.3517999999999999</v>
      </c>
      <c r="D349" s="26">
        <f>5.3528 * CHOOSE(CONTROL!$C$32, $C$9, 100%, $E$9)</f>
        <v>5.3528000000000002</v>
      </c>
      <c r="E349" s="27">
        <f>6.563 * CHOOSE(CONTROL!$C$32, $C$9, 100%, $E$9)</f>
        <v>6.5629999999999997</v>
      </c>
      <c r="F349" s="27">
        <f>6.563 * CHOOSE(CONTROL!$C$32, $C$9, 100%, $E$9)</f>
        <v>6.5629999999999997</v>
      </c>
      <c r="G349" s="27">
        <f>6.5666 * CHOOSE(CONTROL!$C$32, $C$9, 100%, $E$9)</f>
        <v>6.5666000000000002</v>
      </c>
      <c r="H349" s="27">
        <f>11.1347 * CHOOSE(CONTROL!$C$32, $C$9, 100%, $E$9)</f>
        <v>11.1347</v>
      </c>
      <c r="I349" s="27">
        <f>11.1384 * CHOOSE(CONTROL!$C$32, $C$9, 100%, $E$9)</f>
        <v>11.138400000000001</v>
      </c>
      <c r="J349" s="27">
        <f>11.1347 * CHOOSE(CONTROL!$C$32, $C$9, 100%, $E$9)</f>
        <v>11.1347</v>
      </c>
      <c r="K349" s="27">
        <f>11.1384 * CHOOSE(CONTROL!$C$32, $C$9, 100%, $E$9)</f>
        <v>11.138400000000001</v>
      </c>
      <c r="L349" s="27">
        <f>6.563 * CHOOSE(CONTROL!$C$32, $C$9, 100%, $E$9)</f>
        <v>6.5629999999999997</v>
      </c>
      <c r="M349" s="27">
        <f>6.5666 * CHOOSE(CONTROL!$C$32, $C$9, 100%, $E$9)</f>
        <v>6.5666000000000002</v>
      </c>
      <c r="N349" s="27">
        <f>6.563 * CHOOSE(CONTROL!$C$32, $C$9, 100%, $E$9)</f>
        <v>6.5629999999999997</v>
      </c>
      <c r="O349" s="27">
        <f>6.5666 * CHOOSE(CONTROL!$C$32, $C$9, 100%, $E$9)</f>
        <v>6.5666000000000002</v>
      </c>
    </row>
    <row r="350" spans="1:15" ht="15" x14ac:dyDescent="0.2">
      <c r="A350" s="16">
        <v>51502</v>
      </c>
      <c r="B350" s="26">
        <f>5.3929 * CHOOSE(CONTROL!$C$32, $C$9, 100%, $E$9)</f>
        <v>5.3929</v>
      </c>
      <c r="C350" s="26">
        <f>5.3929 * CHOOSE(CONTROL!$C$32, $C$9, 100%, $E$9)</f>
        <v>5.3929</v>
      </c>
      <c r="D350" s="26">
        <f>5.3939 * CHOOSE(CONTROL!$C$32, $C$9, 100%, $E$9)</f>
        <v>5.3939000000000004</v>
      </c>
      <c r="E350" s="27">
        <f>6.6304 * CHOOSE(CONTROL!$C$32, $C$9, 100%, $E$9)</f>
        <v>6.6303999999999998</v>
      </c>
      <c r="F350" s="27">
        <f>6.6304 * CHOOSE(CONTROL!$C$32, $C$9, 100%, $E$9)</f>
        <v>6.6303999999999998</v>
      </c>
      <c r="G350" s="27">
        <f>6.6341 * CHOOSE(CONTROL!$C$32, $C$9, 100%, $E$9)</f>
        <v>6.6341000000000001</v>
      </c>
      <c r="H350" s="27">
        <f>11.1579 * CHOOSE(CONTROL!$C$32, $C$9, 100%, $E$9)</f>
        <v>11.1579</v>
      </c>
      <c r="I350" s="27">
        <f>11.1616 * CHOOSE(CONTROL!$C$32, $C$9, 100%, $E$9)</f>
        <v>11.1616</v>
      </c>
      <c r="J350" s="27">
        <f>11.1579 * CHOOSE(CONTROL!$C$32, $C$9, 100%, $E$9)</f>
        <v>11.1579</v>
      </c>
      <c r="K350" s="27">
        <f>11.1616 * CHOOSE(CONTROL!$C$32, $C$9, 100%, $E$9)</f>
        <v>11.1616</v>
      </c>
      <c r="L350" s="27">
        <f>6.6304 * CHOOSE(CONTROL!$C$32, $C$9, 100%, $E$9)</f>
        <v>6.6303999999999998</v>
      </c>
      <c r="M350" s="27">
        <f>6.6341 * CHOOSE(CONTROL!$C$32, $C$9, 100%, $E$9)</f>
        <v>6.6341000000000001</v>
      </c>
      <c r="N350" s="27">
        <f>6.6304 * CHOOSE(CONTROL!$C$32, $C$9, 100%, $E$9)</f>
        <v>6.6303999999999998</v>
      </c>
      <c r="O350" s="27">
        <f>6.6341 * CHOOSE(CONTROL!$C$32, $C$9, 100%, $E$9)</f>
        <v>6.6341000000000001</v>
      </c>
    </row>
    <row r="351" spans="1:15" ht="15" x14ac:dyDescent="0.2">
      <c r="A351" s="16">
        <v>51533</v>
      </c>
      <c r="B351" s="26">
        <f>5.3898 * CHOOSE(CONTROL!$C$32, $C$9, 100%, $E$9)</f>
        <v>5.3898000000000001</v>
      </c>
      <c r="C351" s="26">
        <f>5.3898 * CHOOSE(CONTROL!$C$32, $C$9, 100%, $E$9)</f>
        <v>5.3898000000000001</v>
      </c>
      <c r="D351" s="26">
        <f>5.3909 * CHOOSE(CONTROL!$C$32, $C$9, 100%, $E$9)</f>
        <v>5.3909000000000002</v>
      </c>
      <c r="E351" s="27">
        <f>6.5096 * CHOOSE(CONTROL!$C$32, $C$9, 100%, $E$9)</f>
        <v>6.5095999999999998</v>
      </c>
      <c r="F351" s="27">
        <f>6.5096 * CHOOSE(CONTROL!$C$32, $C$9, 100%, $E$9)</f>
        <v>6.5095999999999998</v>
      </c>
      <c r="G351" s="27">
        <f>6.5132 * CHOOSE(CONTROL!$C$32, $C$9, 100%, $E$9)</f>
        <v>6.5132000000000003</v>
      </c>
      <c r="H351" s="27">
        <f>11.1812 * CHOOSE(CONTROL!$C$32, $C$9, 100%, $E$9)</f>
        <v>11.1812</v>
      </c>
      <c r="I351" s="27">
        <f>11.1848 * CHOOSE(CONTROL!$C$32, $C$9, 100%, $E$9)</f>
        <v>11.184799999999999</v>
      </c>
      <c r="J351" s="27">
        <f>11.1812 * CHOOSE(CONTROL!$C$32, $C$9, 100%, $E$9)</f>
        <v>11.1812</v>
      </c>
      <c r="K351" s="27">
        <f>11.1848 * CHOOSE(CONTROL!$C$32, $C$9, 100%, $E$9)</f>
        <v>11.184799999999999</v>
      </c>
      <c r="L351" s="27">
        <f>6.5096 * CHOOSE(CONTROL!$C$32, $C$9, 100%, $E$9)</f>
        <v>6.5095999999999998</v>
      </c>
      <c r="M351" s="27">
        <f>6.5132 * CHOOSE(CONTROL!$C$32, $C$9, 100%, $E$9)</f>
        <v>6.5132000000000003</v>
      </c>
      <c r="N351" s="27">
        <f>6.5096 * CHOOSE(CONTROL!$C$32, $C$9, 100%, $E$9)</f>
        <v>6.5095999999999998</v>
      </c>
      <c r="O351" s="27">
        <f>6.5132 * CHOOSE(CONTROL!$C$32, $C$9, 100%, $E$9)</f>
        <v>6.5132000000000003</v>
      </c>
    </row>
    <row r="352" spans="1:15" ht="15" x14ac:dyDescent="0.2">
      <c r="A352" s="16">
        <v>51561</v>
      </c>
      <c r="B352" s="26">
        <f>5.3868 * CHOOSE(CONTROL!$C$32, $C$9, 100%, $E$9)</f>
        <v>5.3868</v>
      </c>
      <c r="C352" s="26">
        <f>5.3868 * CHOOSE(CONTROL!$C$32, $C$9, 100%, $E$9)</f>
        <v>5.3868</v>
      </c>
      <c r="D352" s="26">
        <f>5.3878 * CHOOSE(CONTROL!$C$32, $C$9, 100%, $E$9)</f>
        <v>5.3878000000000004</v>
      </c>
      <c r="E352" s="27">
        <f>6.6011 * CHOOSE(CONTROL!$C$32, $C$9, 100%, $E$9)</f>
        <v>6.6010999999999997</v>
      </c>
      <c r="F352" s="27">
        <f>6.6011 * CHOOSE(CONTROL!$C$32, $C$9, 100%, $E$9)</f>
        <v>6.6010999999999997</v>
      </c>
      <c r="G352" s="27">
        <f>6.6047 * CHOOSE(CONTROL!$C$32, $C$9, 100%, $E$9)</f>
        <v>6.6047000000000002</v>
      </c>
      <c r="H352" s="27">
        <f>11.2045 * CHOOSE(CONTROL!$C$32, $C$9, 100%, $E$9)</f>
        <v>11.204499999999999</v>
      </c>
      <c r="I352" s="27">
        <f>11.2081 * CHOOSE(CONTROL!$C$32, $C$9, 100%, $E$9)</f>
        <v>11.2081</v>
      </c>
      <c r="J352" s="27">
        <f>11.2045 * CHOOSE(CONTROL!$C$32, $C$9, 100%, $E$9)</f>
        <v>11.204499999999999</v>
      </c>
      <c r="K352" s="27">
        <f>11.2081 * CHOOSE(CONTROL!$C$32, $C$9, 100%, $E$9)</f>
        <v>11.2081</v>
      </c>
      <c r="L352" s="27">
        <f>6.6011 * CHOOSE(CONTROL!$C$32, $C$9, 100%, $E$9)</f>
        <v>6.6010999999999997</v>
      </c>
      <c r="M352" s="27">
        <f>6.6047 * CHOOSE(CONTROL!$C$32, $C$9, 100%, $E$9)</f>
        <v>6.6047000000000002</v>
      </c>
      <c r="N352" s="27">
        <f>6.6011 * CHOOSE(CONTROL!$C$32, $C$9, 100%, $E$9)</f>
        <v>6.6010999999999997</v>
      </c>
      <c r="O352" s="27">
        <f>6.6047 * CHOOSE(CONTROL!$C$32, $C$9, 100%, $E$9)</f>
        <v>6.6047000000000002</v>
      </c>
    </row>
    <row r="353" spans="1:15" ht="15" x14ac:dyDescent="0.2">
      <c r="A353" s="16">
        <v>51592</v>
      </c>
      <c r="B353" s="26">
        <f>5.3858 * CHOOSE(CONTROL!$C$32, $C$9, 100%, $E$9)</f>
        <v>5.3857999999999997</v>
      </c>
      <c r="C353" s="26">
        <f>5.3858 * CHOOSE(CONTROL!$C$32, $C$9, 100%, $E$9)</f>
        <v>5.3857999999999997</v>
      </c>
      <c r="D353" s="26">
        <f>5.3868 * CHOOSE(CONTROL!$C$32, $C$9, 100%, $E$9)</f>
        <v>5.3868</v>
      </c>
      <c r="E353" s="27">
        <f>6.6974 * CHOOSE(CONTROL!$C$32, $C$9, 100%, $E$9)</f>
        <v>6.6974</v>
      </c>
      <c r="F353" s="27">
        <f>6.6974 * CHOOSE(CONTROL!$C$32, $C$9, 100%, $E$9)</f>
        <v>6.6974</v>
      </c>
      <c r="G353" s="27">
        <f>6.701 * CHOOSE(CONTROL!$C$32, $C$9, 100%, $E$9)</f>
        <v>6.7009999999999996</v>
      </c>
      <c r="H353" s="27">
        <f>11.2278 * CHOOSE(CONTROL!$C$32, $C$9, 100%, $E$9)</f>
        <v>11.2278</v>
      </c>
      <c r="I353" s="27">
        <f>11.2314 * CHOOSE(CONTROL!$C$32, $C$9, 100%, $E$9)</f>
        <v>11.231400000000001</v>
      </c>
      <c r="J353" s="27">
        <f>11.2278 * CHOOSE(CONTROL!$C$32, $C$9, 100%, $E$9)</f>
        <v>11.2278</v>
      </c>
      <c r="K353" s="27">
        <f>11.2314 * CHOOSE(CONTROL!$C$32, $C$9, 100%, $E$9)</f>
        <v>11.231400000000001</v>
      </c>
      <c r="L353" s="27">
        <f>6.6974 * CHOOSE(CONTROL!$C$32, $C$9, 100%, $E$9)</f>
        <v>6.6974</v>
      </c>
      <c r="M353" s="27">
        <f>6.701 * CHOOSE(CONTROL!$C$32, $C$9, 100%, $E$9)</f>
        <v>6.7009999999999996</v>
      </c>
      <c r="N353" s="27">
        <f>6.6974 * CHOOSE(CONTROL!$C$32, $C$9, 100%, $E$9)</f>
        <v>6.6974</v>
      </c>
      <c r="O353" s="27">
        <f>6.701 * CHOOSE(CONTROL!$C$32, $C$9, 100%, $E$9)</f>
        <v>6.7009999999999996</v>
      </c>
    </row>
    <row r="354" spans="1:15" ht="15" x14ac:dyDescent="0.2">
      <c r="A354" s="16">
        <v>51622</v>
      </c>
      <c r="B354" s="26">
        <f>5.3858 * CHOOSE(CONTROL!$C$32, $C$9, 100%, $E$9)</f>
        <v>5.3857999999999997</v>
      </c>
      <c r="C354" s="26">
        <f>5.3858 * CHOOSE(CONTROL!$C$32, $C$9, 100%, $E$9)</f>
        <v>5.3857999999999997</v>
      </c>
      <c r="D354" s="26">
        <f>5.3873 * CHOOSE(CONTROL!$C$32, $C$9, 100%, $E$9)</f>
        <v>5.3872999999999998</v>
      </c>
      <c r="E354" s="27">
        <f>6.7351 * CHOOSE(CONTROL!$C$32, $C$9, 100%, $E$9)</f>
        <v>6.7351000000000001</v>
      </c>
      <c r="F354" s="27">
        <f>6.7351 * CHOOSE(CONTROL!$C$32, $C$9, 100%, $E$9)</f>
        <v>6.7351000000000001</v>
      </c>
      <c r="G354" s="27">
        <f>6.7404 * CHOOSE(CONTROL!$C$32, $C$9, 100%, $E$9)</f>
        <v>6.7404000000000002</v>
      </c>
      <c r="H354" s="27">
        <f>11.2512 * CHOOSE(CONTROL!$C$32, $C$9, 100%, $E$9)</f>
        <v>11.251200000000001</v>
      </c>
      <c r="I354" s="27">
        <f>11.2565 * CHOOSE(CONTROL!$C$32, $C$9, 100%, $E$9)</f>
        <v>11.256500000000001</v>
      </c>
      <c r="J354" s="27">
        <f>11.2512 * CHOOSE(CONTROL!$C$32, $C$9, 100%, $E$9)</f>
        <v>11.251200000000001</v>
      </c>
      <c r="K354" s="27">
        <f>11.2565 * CHOOSE(CONTROL!$C$32, $C$9, 100%, $E$9)</f>
        <v>11.256500000000001</v>
      </c>
      <c r="L354" s="27">
        <f>6.7351 * CHOOSE(CONTROL!$C$32, $C$9, 100%, $E$9)</f>
        <v>6.7351000000000001</v>
      </c>
      <c r="M354" s="27">
        <f>6.7404 * CHOOSE(CONTROL!$C$32, $C$9, 100%, $E$9)</f>
        <v>6.7404000000000002</v>
      </c>
      <c r="N354" s="27">
        <f>6.7351 * CHOOSE(CONTROL!$C$32, $C$9, 100%, $E$9)</f>
        <v>6.7351000000000001</v>
      </c>
      <c r="O354" s="27">
        <f>6.7404 * CHOOSE(CONTROL!$C$32, $C$9, 100%, $E$9)</f>
        <v>6.7404000000000002</v>
      </c>
    </row>
    <row r="355" spans="1:15" ht="15" x14ac:dyDescent="0.2">
      <c r="A355" s="16">
        <v>51653</v>
      </c>
      <c r="B355" s="26">
        <f>5.3918 * CHOOSE(CONTROL!$C$32, $C$9, 100%, $E$9)</f>
        <v>5.3917999999999999</v>
      </c>
      <c r="C355" s="26">
        <f>5.3918 * CHOOSE(CONTROL!$C$32, $C$9, 100%, $E$9)</f>
        <v>5.3917999999999999</v>
      </c>
      <c r="D355" s="26">
        <f>5.3934 * CHOOSE(CONTROL!$C$32, $C$9, 100%, $E$9)</f>
        <v>5.3933999999999997</v>
      </c>
      <c r="E355" s="27">
        <f>6.7016 * CHOOSE(CONTROL!$C$32, $C$9, 100%, $E$9)</f>
        <v>6.7016</v>
      </c>
      <c r="F355" s="27">
        <f>6.7016 * CHOOSE(CONTROL!$C$32, $C$9, 100%, $E$9)</f>
        <v>6.7016</v>
      </c>
      <c r="G355" s="27">
        <f>6.7069 * CHOOSE(CONTROL!$C$32, $C$9, 100%, $E$9)</f>
        <v>6.7069000000000001</v>
      </c>
      <c r="H355" s="27">
        <f>11.2747 * CHOOSE(CONTROL!$C$32, $C$9, 100%, $E$9)</f>
        <v>11.274699999999999</v>
      </c>
      <c r="I355" s="27">
        <f>11.28 * CHOOSE(CONTROL!$C$32, $C$9, 100%, $E$9)</f>
        <v>11.28</v>
      </c>
      <c r="J355" s="27">
        <f>11.2747 * CHOOSE(CONTROL!$C$32, $C$9, 100%, $E$9)</f>
        <v>11.274699999999999</v>
      </c>
      <c r="K355" s="27">
        <f>11.28 * CHOOSE(CONTROL!$C$32, $C$9, 100%, $E$9)</f>
        <v>11.28</v>
      </c>
      <c r="L355" s="27">
        <f>6.7016 * CHOOSE(CONTROL!$C$32, $C$9, 100%, $E$9)</f>
        <v>6.7016</v>
      </c>
      <c r="M355" s="27">
        <f>6.7069 * CHOOSE(CONTROL!$C$32, $C$9, 100%, $E$9)</f>
        <v>6.7069000000000001</v>
      </c>
      <c r="N355" s="27">
        <f>6.7016 * CHOOSE(CONTROL!$C$32, $C$9, 100%, $E$9)</f>
        <v>6.7016</v>
      </c>
      <c r="O355" s="27">
        <f>6.7069 * CHOOSE(CONTROL!$C$32, $C$9, 100%, $E$9)</f>
        <v>6.7069000000000001</v>
      </c>
    </row>
    <row r="356" spans="1:15" ht="15" x14ac:dyDescent="0.2">
      <c r="A356" s="16">
        <v>51683</v>
      </c>
      <c r="B356" s="26">
        <f>5.4648 * CHOOSE(CONTROL!$C$32, $C$9, 100%, $E$9)</f>
        <v>5.4648000000000003</v>
      </c>
      <c r="C356" s="26">
        <f>5.4648 * CHOOSE(CONTROL!$C$32, $C$9, 100%, $E$9)</f>
        <v>5.4648000000000003</v>
      </c>
      <c r="D356" s="26">
        <f>5.4664 * CHOOSE(CONTROL!$C$32, $C$9, 100%, $E$9)</f>
        <v>5.4664000000000001</v>
      </c>
      <c r="E356" s="27">
        <f>6.7253 * CHOOSE(CONTROL!$C$32, $C$9, 100%, $E$9)</f>
        <v>6.7252999999999998</v>
      </c>
      <c r="F356" s="27">
        <f>6.7253 * CHOOSE(CONTROL!$C$32, $C$9, 100%, $E$9)</f>
        <v>6.7252999999999998</v>
      </c>
      <c r="G356" s="27">
        <f>6.7306 * CHOOSE(CONTROL!$C$32, $C$9, 100%, $E$9)</f>
        <v>6.7305999999999999</v>
      </c>
      <c r="H356" s="27">
        <f>11.2981 * CHOOSE(CONTROL!$C$32, $C$9, 100%, $E$9)</f>
        <v>11.2981</v>
      </c>
      <c r="I356" s="27">
        <f>11.3034 * CHOOSE(CONTROL!$C$32, $C$9, 100%, $E$9)</f>
        <v>11.3034</v>
      </c>
      <c r="J356" s="27">
        <f>11.2981 * CHOOSE(CONTROL!$C$32, $C$9, 100%, $E$9)</f>
        <v>11.2981</v>
      </c>
      <c r="K356" s="27">
        <f>11.3034 * CHOOSE(CONTROL!$C$32, $C$9, 100%, $E$9)</f>
        <v>11.3034</v>
      </c>
      <c r="L356" s="27">
        <f>6.7253 * CHOOSE(CONTROL!$C$32, $C$9, 100%, $E$9)</f>
        <v>6.7252999999999998</v>
      </c>
      <c r="M356" s="27">
        <f>6.7306 * CHOOSE(CONTROL!$C$32, $C$9, 100%, $E$9)</f>
        <v>6.7305999999999999</v>
      </c>
      <c r="N356" s="27">
        <f>6.7253 * CHOOSE(CONTROL!$C$32, $C$9, 100%, $E$9)</f>
        <v>6.7252999999999998</v>
      </c>
      <c r="O356" s="27">
        <f>6.7306 * CHOOSE(CONTROL!$C$32, $C$9, 100%, $E$9)</f>
        <v>6.7305999999999999</v>
      </c>
    </row>
    <row r="357" spans="1:15" ht="15" x14ac:dyDescent="0.2">
      <c r="A357" s="16">
        <v>51714</v>
      </c>
      <c r="B357" s="26">
        <f>5.4715 * CHOOSE(CONTROL!$C$32, $C$9, 100%, $E$9)</f>
        <v>5.4714999999999998</v>
      </c>
      <c r="C357" s="26">
        <f>5.4715 * CHOOSE(CONTROL!$C$32, $C$9, 100%, $E$9)</f>
        <v>5.4714999999999998</v>
      </c>
      <c r="D357" s="26">
        <f>5.4731 * CHOOSE(CONTROL!$C$32, $C$9, 100%, $E$9)</f>
        <v>5.4730999999999996</v>
      </c>
      <c r="E357" s="27">
        <f>6.6169 * CHOOSE(CONTROL!$C$32, $C$9, 100%, $E$9)</f>
        <v>6.6169000000000002</v>
      </c>
      <c r="F357" s="27">
        <f>6.6169 * CHOOSE(CONTROL!$C$32, $C$9, 100%, $E$9)</f>
        <v>6.6169000000000002</v>
      </c>
      <c r="G357" s="27">
        <f>6.6222 * CHOOSE(CONTROL!$C$32, $C$9, 100%, $E$9)</f>
        <v>6.6222000000000003</v>
      </c>
      <c r="H357" s="27">
        <f>11.3217 * CHOOSE(CONTROL!$C$32, $C$9, 100%, $E$9)</f>
        <v>11.3217</v>
      </c>
      <c r="I357" s="27">
        <f>11.327 * CHOOSE(CONTROL!$C$32, $C$9, 100%, $E$9)</f>
        <v>11.327</v>
      </c>
      <c r="J357" s="27">
        <f>11.3217 * CHOOSE(CONTROL!$C$32, $C$9, 100%, $E$9)</f>
        <v>11.3217</v>
      </c>
      <c r="K357" s="27">
        <f>11.327 * CHOOSE(CONTROL!$C$32, $C$9, 100%, $E$9)</f>
        <v>11.327</v>
      </c>
      <c r="L357" s="27">
        <f>6.6169 * CHOOSE(CONTROL!$C$32, $C$9, 100%, $E$9)</f>
        <v>6.6169000000000002</v>
      </c>
      <c r="M357" s="27">
        <f>6.6222 * CHOOSE(CONTROL!$C$32, $C$9, 100%, $E$9)</f>
        <v>6.6222000000000003</v>
      </c>
      <c r="N357" s="27">
        <f>6.6169 * CHOOSE(CONTROL!$C$32, $C$9, 100%, $E$9)</f>
        <v>6.6169000000000002</v>
      </c>
      <c r="O357" s="27">
        <f>6.6222 * CHOOSE(CONTROL!$C$32, $C$9, 100%, $E$9)</f>
        <v>6.6222000000000003</v>
      </c>
    </row>
    <row r="358" spans="1:15" ht="15" x14ac:dyDescent="0.2">
      <c r="A358" s="16">
        <v>51745</v>
      </c>
      <c r="B358" s="26">
        <f>5.4685 * CHOOSE(CONTROL!$C$32, $C$9, 100%, $E$9)</f>
        <v>5.4684999999999997</v>
      </c>
      <c r="C358" s="26">
        <f>5.4685 * CHOOSE(CONTROL!$C$32, $C$9, 100%, $E$9)</f>
        <v>5.4684999999999997</v>
      </c>
      <c r="D358" s="26">
        <f>5.47 * CHOOSE(CONTROL!$C$32, $C$9, 100%, $E$9)</f>
        <v>5.47</v>
      </c>
      <c r="E358" s="27">
        <f>6.6022 * CHOOSE(CONTROL!$C$32, $C$9, 100%, $E$9)</f>
        <v>6.6021999999999998</v>
      </c>
      <c r="F358" s="27">
        <f>6.6022 * CHOOSE(CONTROL!$C$32, $C$9, 100%, $E$9)</f>
        <v>6.6021999999999998</v>
      </c>
      <c r="G358" s="27">
        <f>6.6075 * CHOOSE(CONTROL!$C$32, $C$9, 100%, $E$9)</f>
        <v>6.6074999999999999</v>
      </c>
      <c r="H358" s="27">
        <f>11.3453 * CHOOSE(CONTROL!$C$32, $C$9, 100%, $E$9)</f>
        <v>11.3453</v>
      </c>
      <c r="I358" s="27">
        <f>11.3506 * CHOOSE(CONTROL!$C$32, $C$9, 100%, $E$9)</f>
        <v>11.3506</v>
      </c>
      <c r="J358" s="27">
        <f>11.3453 * CHOOSE(CONTROL!$C$32, $C$9, 100%, $E$9)</f>
        <v>11.3453</v>
      </c>
      <c r="K358" s="27">
        <f>11.3506 * CHOOSE(CONTROL!$C$32, $C$9, 100%, $E$9)</f>
        <v>11.3506</v>
      </c>
      <c r="L358" s="27">
        <f>6.6022 * CHOOSE(CONTROL!$C$32, $C$9, 100%, $E$9)</f>
        <v>6.6021999999999998</v>
      </c>
      <c r="M358" s="27">
        <f>6.6075 * CHOOSE(CONTROL!$C$32, $C$9, 100%, $E$9)</f>
        <v>6.6074999999999999</v>
      </c>
      <c r="N358" s="27">
        <f>6.6022 * CHOOSE(CONTROL!$C$32, $C$9, 100%, $E$9)</f>
        <v>6.6021999999999998</v>
      </c>
      <c r="O358" s="27">
        <f>6.6075 * CHOOSE(CONTROL!$C$32, $C$9, 100%, $E$9)</f>
        <v>6.6074999999999999</v>
      </c>
    </row>
    <row r="359" spans="1:15" ht="15" x14ac:dyDescent="0.2">
      <c r="A359" s="16">
        <v>51775</v>
      </c>
      <c r="B359" s="26">
        <f>5.469 * CHOOSE(CONTROL!$C$32, $C$9, 100%, $E$9)</f>
        <v>5.4690000000000003</v>
      </c>
      <c r="C359" s="26">
        <f>5.469 * CHOOSE(CONTROL!$C$32, $C$9, 100%, $E$9)</f>
        <v>5.4690000000000003</v>
      </c>
      <c r="D359" s="26">
        <f>5.47 * CHOOSE(CONTROL!$C$32, $C$9, 100%, $E$9)</f>
        <v>5.47</v>
      </c>
      <c r="E359" s="27">
        <f>6.639 * CHOOSE(CONTROL!$C$32, $C$9, 100%, $E$9)</f>
        <v>6.6390000000000002</v>
      </c>
      <c r="F359" s="27">
        <f>6.639 * CHOOSE(CONTROL!$C$32, $C$9, 100%, $E$9)</f>
        <v>6.6390000000000002</v>
      </c>
      <c r="G359" s="27">
        <f>6.6427 * CHOOSE(CONTROL!$C$32, $C$9, 100%, $E$9)</f>
        <v>6.6426999999999996</v>
      </c>
      <c r="H359" s="27">
        <f>11.3689 * CHOOSE(CONTROL!$C$32, $C$9, 100%, $E$9)</f>
        <v>11.3689</v>
      </c>
      <c r="I359" s="27">
        <f>11.3725 * CHOOSE(CONTROL!$C$32, $C$9, 100%, $E$9)</f>
        <v>11.3725</v>
      </c>
      <c r="J359" s="27">
        <f>11.3689 * CHOOSE(CONTROL!$C$32, $C$9, 100%, $E$9)</f>
        <v>11.3689</v>
      </c>
      <c r="K359" s="27">
        <f>11.3725 * CHOOSE(CONTROL!$C$32, $C$9, 100%, $E$9)</f>
        <v>11.3725</v>
      </c>
      <c r="L359" s="27">
        <f>6.639 * CHOOSE(CONTROL!$C$32, $C$9, 100%, $E$9)</f>
        <v>6.6390000000000002</v>
      </c>
      <c r="M359" s="27">
        <f>6.6427 * CHOOSE(CONTROL!$C$32, $C$9, 100%, $E$9)</f>
        <v>6.6426999999999996</v>
      </c>
      <c r="N359" s="27">
        <f>6.639 * CHOOSE(CONTROL!$C$32, $C$9, 100%, $E$9)</f>
        <v>6.6390000000000002</v>
      </c>
      <c r="O359" s="27">
        <f>6.6427 * CHOOSE(CONTROL!$C$32, $C$9, 100%, $E$9)</f>
        <v>6.6426999999999996</v>
      </c>
    </row>
    <row r="360" spans="1:15" ht="15" x14ac:dyDescent="0.2">
      <c r="A360" s="16">
        <v>51806</v>
      </c>
      <c r="B360" s="26">
        <f>5.472 * CHOOSE(CONTROL!$C$32, $C$9, 100%, $E$9)</f>
        <v>5.4720000000000004</v>
      </c>
      <c r="C360" s="26">
        <f>5.472 * CHOOSE(CONTROL!$C$32, $C$9, 100%, $E$9)</f>
        <v>5.4720000000000004</v>
      </c>
      <c r="D360" s="26">
        <f>5.4731 * CHOOSE(CONTROL!$C$32, $C$9, 100%, $E$9)</f>
        <v>5.4730999999999996</v>
      </c>
      <c r="E360" s="27">
        <f>6.6663 * CHOOSE(CONTROL!$C$32, $C$9, 100%, $E$9)</f>
        <v>6.6662999999999997</v>
      </c>
      <c r="F360" s="27">
        <f>6.6663 * CHOOSE(CONTROL!$C$32, $C$9, 100%, $E$9)</f>
        <v>6.6662999999999997</v>
      </c>
      <c r="G360" s="27">
        <f>6.6699 * CHOOSE(CONTROL!$C$32, $C$9, 100%, $E$9)</f>
        <v>6.6699000000000002</v>
      </c>
      <c r="H360" s="27">
        <f>11.3926 * CHOOSE(CONTROL!$C$32, $C$9, 100%, $E$9)</f>
        <v>11.3926</v>
      </c>
      <c r="I360" s="27">
        <f>11.3962 * CHOOSE(CONTROL!$C$32, $C$9, 100%, $E$9)</f>
        <v>11.3962</v>
      </c>
      <c r="J360" s="27">
        <f>11.3926 * CHOOSE(CONTROL!$C$32, $C$9, 100%, $E$9)</f>
        <v>11.3926</v>
      </c>
      <c r="K360" s="27">
        <f>11.3962 * CHOOSE(CONTROL!$C$32, $C$9, 100%, $E$9)</f>
        <v>11.3962</v>
      </c>
      <c r="L360" s="27">
        <f>6.6663 * CHOOSE(CONTROL!$C$32, $C$9, 100%, $E$9)</f>
        <v>6.6662999999999997</v>
      </c>
      <c r="M360" s="27">
        <f>6.6699 * CHOOSE(CONTROL!$C$32, $C$9, 100%, $E$9)</f>
        <v>6.6699000000000002</v>
      </c>
      <c r="N360" s="27">
        <f>6.6663 * CHOOSE(CONTROL!$C$32, $C$9, 100%, $E$9)</f>
        <v>6.6662999999999997</v>
      </c>
      <c r="O360" s="27">
        <f>6.6699 * CHOOSE(CONTROL!$C$32, $C$9, 100%, $E$9)</f>
        <v>6.6699000000000002</v>
      </c>
    </row>
    <row r="361" spans="1:15" ht="15" x14ac:dyDescent="0.2">
      <c r="A361" s="16">
        <v>51836</v>
      </c>
      <c r="B361" s="26">
        <f>5.472 * CHOOSE(CONTROL!$C$32, $C$9, 100%, $E$9)</f>
        <v>5.4720000000000004</v>
      </c>
      <c r="C361" s="26">
        <f>5.472 * CHOOSE(CONTROL!$C$32, $C$9, 100%, $E$9)</f>
        <v>5.4720000000000004</v>
      </c>
      <c r="D361" s="26">
        <f>5.4731 * CHOOSE(CONTROL!$C$32, $C$9, 100%, $E$9)</f>
        <v>5.4730999999999996</v>
      </c>
      <c r="E361" s="27">
        <f>6.6035 * CHOOSE(CONTROL!$C$32, $C$9, 100%, $E$9)</f>
        <v>6.6035000000000004</v>
      </c>
      <c r="F361" s="27">
        <f>6.6035 * CHOOSE(CONTROL!$C$32, $C$9, 100%, $E$9)</f>
        <v>6.6035000000000004</v>
      </c>
      <c r="G361" s="27">
        <f>6.6071 * CHOOSE(CONTROL!$C$32, $C$9, 100%, $E$9)</f>
        <v>6.6071</v>
      </c>
      <c r="H361" s="27">
        <f>11.4163 * CHOOSE(CONTROL!$C$32, $C$9, 100%, $E$9)</f>
        <v>11.4163</v>
      </c>
      <c r="I361" s="27">
        <f>11.4199 * CHOOSE(CONTROL!$C$32, $C$9, 100%, $E$9)</f>
        <v>11.4199</v>
      </c>
      <c r="J361" s="27">
        <f>11.4163 * CHOOSE(CONTROL!$C$32, $C$9, 100%, $E$9)</f>
        <v>11.4163</v>
      </c>
      <c r="K361" s="27">
        <f>11.4199 * CHOOSE(CONTROL!$C$32, $C$9, 100%, $E$9)</f>
        <v>11.4199</v>
      </c>
      <c r="L361" s="27">
        <f>6.6035 * CHOOSE(CONTROL!$C$32, $C$9, 100%, $E$9)</f>
        <v>6.6035000000000004</v>
      </c>
      <c r="M361" s="27">
        <f>6.6071 * CHOOSE(CONTROL!$C$32, $C$9, 100%, $E$9)</f>
        <v>6.6071</v>
      </c>
      <c r="N361" s="27">
        <f>6.6035 * CHOOSE(CONTROL!$C$32, $C$9, 100%, $E$9)</f>
        <v>6.6035000000000004</v>
      </c>
      <c r="O361" s="27">
        <f>6.6071 * CHOOSE(CONTROL!$C$32, $C$9, 100%, $E$9)</f>
        <v>6.6071</v>
      </c>
    </row>
    <row r="362" spans="1:15" ht="15" x14ac:dyDescent="0.2">
      <c r="A362" s="16">
        <v>51867</v>
      </c>
      <c r="B362" s="26">
        <f>5.5145 * CHOOSE(CONTROL!$C$32, $C$9, 100%, $E$9)</f>
        <v>5.5145</v>
      </c>
      <c r="C362" s="26">
        <f>5.5145 * CHOOSE(CONTROL!$C$32, $C$9, 100%, $E$9)</f>
        <v>5.5145</v>
      </c>
      <c r="D362" s="26">
        <f>5.5156 * CHOOSE(CONTROL!$C$32, $C$9, 100%, $E$9)</f>
        <v>5.5156000000000001</v>
      </c>
      <c r="E362" s="27">
        <f>6.6708 * CHOOSE(CONTROL!$C$32, $C$9, 100%, $E$9)</f>
        <v>6.6707999999999998</v>
      </c>
      <c r="F362" s="27">
        <f>6.6708 * CHOOSE(CONTROL!$C$32, $C$9, 100%, $E$9)</f>
        <v>6.6707999999999998</v>
      </c>
      <c r="G362" s="27">
        <f>6.6744 * CHOOSE(CONTROL!$C$32, $C$9, 100%, $E$9)</f>
        <v>6.6744000000000003</v>
      </c>
      <c r="H362" s="27">
        <f>11.4401 * CHOOSE(CONTROL!$C$32, $C$9, 100%, $E$9)</f>
        <v>11.440099999999999</v>
      </c>
      <c r="I362" s="27">
        <f>11.4437 * CHOOSE(CONTROL!$C$32, $C$9, 100%, $E$9)</f>
        <v>11.4437</v>
      </c>
      <c r="J362" s="27">
        <f>11.4401 * CHOOSE(CONTROL!$C$32, $C$9, 100%, $E$9)</f>
        <v>11.440099999999999</v>
      </c>
      <c r="K362" s="27">
        <f>11.4437 * CHOOSE(CONTROL!$C$32, $C$9, 100%, $E$9)</f>
        <v>11.4437</v>
      </c>
      <c r="L362" s="27">
        <f>6.6708 * CHOOSE(CONTROL!$C$32, $C$9, 100%, $E$9)</f>
        <v>6.6707999999999998</v>
      </c>
      <c r="M362" s="27">
        <f>6.6744 * CHOOSE(CONTROL!$C$32, $C$9, 100%, $E$9)</f>
        <v>6.6744000000000003</v>
      </c>
      <c r="N362" s="27">
        <f>6.6708 * CHOOSE(CONTROL!$C$32, $C$9, 100%, $E$9)</f>
        <v>6.6707999999999998</v>
      </c>
      <c r="O362" s="27">
        <f>6.6744 * CHOOSE(CONTROL!$C$32, $C$9, 100%, $E$9)</f>
        <v>6.6744000000000003</v>
      </c>
    </row>
    <row r="363" spans="1:15" ht="15" x14ac:dyDescent="0.2">
      <c r="A363" s="16">
        <v>51898</v>
      </c>
      <c r="B363" s="26">
        <f>5.5115 * CHOOSE(CONTROL!$C$32, $C$9, 100%, $E$9)</f>
        <v>5.5114999999999998</v>
      </c>
      <c r="C363" s="26">
        <f>5.5115 * CHOOSE(CONTROL!$C$32, $C$9, 100%, $E$9)</f>
        <v>5.5114999999999998</v>
      </c>
      <c r="D363" s="26">
        <f>5.5125 * CHOOSE(CONTROL!$C$32, $C$9, 100%, $E$9)</f>
        <v>5.5125000000000002</v>
      </c>
      <c r="E363" s="27">
        <f>6.5461 * CHOOSE(CONTROL!$C$32, $C$9, 100%, $E$9)</f>
        <v>6.5461</v>
      </c>
      <c r="F363" s="27">
        <f>6.5461 * CHOOSE(CONTROL!$C$32, $C$9, 100%, $E$9)</f>
        <v>6.5461</v>
      </c>
      <c r="G363" s="27">
        <f>6.5497 * CHOOSE(CONTROL!$C$32, $C$9, 100%, $E$9)</f>
        <v>6.5496999999999996</v>
      </c>
      <c r="H363" s="27">
        <f>11.4639 * CHOOSE(CONTROL!$C$32, $C$9, 100%, $E$9)</f>
        <v>11.463900000000001</v>
      </c>
      <c r="I363" s="27">
        <f>11.4676 * CHOOSE(CONTROL!$C$32, $C$9, 100%, $E$9)</f>
        <v>11.467599999999999</v>
      </c>
      <c r="J363" s="27">
        <f>11.4639 * CHOOSE(CONTROL!$C$32, $C$9, 100%, $E$9)</f>
        <v>11.463900000000001</v>
      </c>
      <c r="K363" s="27">
        <f>11.4676 * CHOOSE(CONTROL!$C$32, $C$9, 100%, $E$9)</f>
        <v>11.467599999999999</v>
      </c>
      <c r="L363" s="27">
        <f>6.5461 * CHOOSE(CONTROL!$C$32, $C$9, 100%, $E$9)</f>
        <v>6.5461</v>
      </c>
      <c r="M363" s="27">
        <f>6.5497 * CHOOSE(CONTROL!$C$32, $C$9, 100%, $E$9)</f>
        <v>6.5496999999999996</v>
      </c>
      <c r="N363" s="27">
        <f>6.5461 * CHOOSE(CONTROL!$C$32, $C$9, 100%, $E$9)</f>
        <v>6.5461</v>
      </c>
      <c r="O363" s="27">
        <f>6.5497 * CHOOSE(CONTROL!$C$32, $C$9, 100%, $E$9)</f>
        <v>6.5496999999999996</v>
      </c>
    </row>
    <row r="364" spans="1:15" ht="15" x14ac:dyDescent="0.2">
      <c r="A364" s="16">
        <v>51926</v>
      </c>
      <c r="B364" s="26">
        <f>5.5084 * CHOOSE(CONTROL!$C$32, $C$9, 100%, $E$9)</f>
        <v>5.5084</v>
      </c>
      <c r="C364" s="26">
        <f>5.5084 * CHOOSE(CONTROL!$C$32, $C$9, 100%, $E$9)</f>
        <v>5.5084</v>
      </c>
      <c r="D364" s="26">
        <f>5.5095 * CHOOSE(CONTROL!$C$32, $C$9, 100%, $E$9)</f>
        <v>5.5095000000000001</v>
      </c>
      <c r="E364" s="27">
        <f>6.6406 * CHOOSE(CONTROL!$C$32, $C$9, 100%, $E$9)</f>
        <v>6.6406000000000001</v>
      </c>
      <c r="F364" s="27">
        <f>6.6406 * CHOOSE(CONTROL!$C$32, $C$9, 100%, $E$9)</f>
        <v>6.6406000000000001</v>
      </c>
      <c r="G364" s="27">
        <f>6.6442 * CHOOSE(CONTROL!$C$32, $C$9, 100%, $E$9)</f>
        <v>6.6441999999999997</v>
      </c>
      <c r="H364" s="27">
        <f>11.4878 * CHOOSE(CONTROL!$C$32, $C$9, 100%, $E$9)</f>
        <v>11.4878</v>
      </c>
      <c r="I364" s="27">
        <f>11.4914 * CHOOSE(CONTROL!$C$32, $C$9, 100%, $E$9)</f>
        <v>11.491400000000001</v>
      </c>
      <c r="J364" s="27">
        <f>11.4878 * CHOOSE(CONTROL!$C$32, $C$9, 100%, $E$9)</f>
        <v>11.4878</v>
      </c>
      <c r="K364" s="27">
        <f>11.4914 * CHOOSE(CONTROL!$C$32, $C$9, 100%, $E$9)</f>
        <v>11.491400000000001</v>
      </c>
      <c r="L364" s="27">
        <f>6.6406 * CHOOSE(CONTROL!$C$32, $C$9, 100%, $E$9)</f>
        <v>6.6406000000000001</v>
      </c>
      <c r="M364" s="27">
        <f>6.6442 * CHOOSE(CONTROL!$C$32, $C$9, 100%, $E$9)</f>
        <v>6.6441999999999997</v>
      </c>
      <c r="N364" s="27">
        <f>6.6406 * CHOOSE(CONTROL!$C$32, $C$9, 100%, $E$9)</f>
        <v>6.6406000000000001</v>
      </c>
      <c r="O364" s="27">
        <f>6.6442 * CHOOSE(CONTROL!$C$32, $C$9, 100%, $E$9)</f>
        <v>6.6441999999999997</v>
      </c>
    </row>
    <row r="365" spans="1:15" ht="15" x14ac:dyDescent="0.2">
      <c r="A365" s="16">
        <v>51957</v>
      </c>
      <c r="B365" s="26">
        <f>5.5075 * CHOOSE(CONTROL!$C$32, $C$9, 100%, $E$9)</f>
        <v>5.5075000000000003</v>
      </c>
      <c r="C365" s="26">
        <f>5.5075 * CHOOSE(CONTROL!$C$32, $C$9, 100%, $E$9)</f>
        <v>5.5075000000000003</v>
      </c>
      <c r="D365" s="26">
        <f>5.5086 * CHOOSE(CONTROL!$C$32, $C$9, 100%, $E$9)</f>
        <v>5.5086000000000004</v>
      </c>
      <c r="E365" s="27">
        <f>6.7402 * CHOOSE(CONTROL!$C$32, $C$9, 100%, $E$9)</f>
        <v>6.7401999999999997</v>
      </c>
      <c r="F365" s="27">
        <f>6.7402 * CHOOSE(CONTROL!$C$32, $C$9, 100%, $E$9)</f>
        <v>6.7401999999999997</v>
      </c>
      <c r="G365" s="27">
        <f>6.7438 * CHOOSE(CONTROL!$C$32, $C$9, 100%, $E$9)</f>
        <v>6.7438000000000002</v>
      </c>
      <c r="H365" s="27">
        <f>11.5118 * CHOOSE(CONTROL!$C$32, $C$9, 100%, $E$9)</f>
        <v>11.511799999999999</v>
      </c>
      <c r="I365" s="27">
        <f>11.5154 * CHOOSE(CONTROL!$C$32, $C$9, 100%, $E$9)</f>
        <v>11.5154</v>
      </c>
      <c r="J365" s="27">
        <f>11.5118 * CHOOSE(CONTROL!$C$32, $C$9, 100%, $E$9)</f>
        <v>11.511799999999999</v>
      </c>
      <c r="K365" s="27">
        <f>11.5154 * CHOOSE(CONTROL!$C$32, $C$9, 100%, $E$9)</f>
        <v>11.5154</v>
      </c>
      <c r="L365" s="27">
        <f>6.7402 * CHOOSE(CONTROL!$C$32, $C$9, 100%, $E$9)</f>
        <v>6.7401999999999997</v>
      </c>
      <c r="M365" s="27">
        <f>6.7438 * CHOOSE(CONTROL!$C$32, $C$9, 100%, $E$9)</f>
        <v>6.7438000000000002</v>
      </c>
      <c r="N365" s="27">
        <f>6.7402 * CHOOSE(CONTROL!$C$32, $C$9, 100%, $E$9)</f>
        <v>6.7401999999999997</v>
      </c>
      <c r="O365" s="27">
        <f>6.7438 * CHOOSE(CONTROL!$C$32, $C$9, 100%, $E$9)</f>
        <v>6.7438000000000002</v>
      </c>
    </row>
    <row r="366" spans="1:15" ht="15" x14ac:dyDescent="0.2">
      <c r="A366" s="16">
        <v>51987</v>
      </c>
      <c r="B366" s="26">
        <f>5.5075 * CHOOSE(CONTROL!$C$32, $C$9, 100%, $E$9)</f>
        <v>5.5075000000000003</v>
      </c>
      <c r="C366" s="26">
        <f>5.5075 * CHOOSE(CONTROL!$C$32, $C$9, 100%, $E$9)</f>
        <v>5.5075000000000003</v>
      </c>
      <c r="D366" s="26">
        <f>5.5091 * CHOOSE(CONTROL!$C$32, $C$9, 100%, $E$9)</f>
        <v>5.5091000000000001</v>
      </c>
      <c r="E366" s="27">
        <f>6.7791 * CHOOSE(CONTROL!$C$32, $C$9, 100%, $E$9)</f>
        <v>6.7790999999999997</v>
      </c>
      <c r="F366" s="27">
        <f>6.7791 * CHOOSE(CONTROL!$C$32, $C$9, 100%, $E$9)</f>
        <v>6.7790999999999997</v>
      </c>
      <c r="G366" s="27">
        <f>6.7844 * CHOOSE(CONTROL!$C$32, $C$9, 100%, $E$9)</f>
        <v>6.7843999999999998</v>
      </c>
      <c r="H366" s="27">
        <f>11.5357 * CHOOSE(CONTROL!$C$32, $C$9, 100%, $E$9)</f>
        <v>11.5357</v>
      </c>
      <c r="I366" s="27">
        <f>11.541 * CHOOSE(CONTROL!$C$32, $C$9, 100%, $E$9)</f>
        <v>11.541</v>
      </c>
      <c r="J366" s="27">
        <f>11.5357 * CHOOSE(CONTROL!$C$32, $C$9, 100%, $E$9)</f>
        <v>11.5357</v>
      </c>
      <c r="K366" s="27">
        <f>11.541 * CHOOSE(CONTROL!$C$32, $C$9, 100%, $E$9)</f>
        <v>11.541</v>
      </c>
      <c r="L366" s="27">
        <f>6.7791 * CHOOSE(CONTROL!$C$32, $C$9, 100%, $E$9)</f>
        <v>6.7790999999999997</v>
      </c>
      <c r="M366" s="27">
        <f>6.7844 * CHOOSE(CONTROL!$C$32, $C$9, 100%, $E$9)</f>
        <v>6.7843999999999998</v>
      </c>
      <c r="N366" s="27">
        <f>6.7791 * CHOOSE(CONTROL!$C$32, $C$9, 100%, $E$9)</f>
        <v>6.7790999999999997</v>
      </c>
      <c r="O366" s="27">
        <f>6.7844 * CHOOSE(CONTROL!$C$32, $C$9, 100%, $E$9)</f>
        <v>6.7843999999999998</v>
      </c>
    </row>
    <row r="367" spans="1:15" ht="15" x14ac:dyDescent="0.2">
      <c r="A367" s="16">
        <v>52018</v>
      </c>
      <c r="B367" s="26">
        <f>5.5136 * CHOOSE(CONTROL!$C$32, $C$9, 100%, $E$9)</f>
        <v>5.5136000000000003</v>
      </c>
      <c r="C367" s="26">
        <f>5.5136 * CHOOSE(CONTROL!$C$32, $C$9, 100%, $E$9)</f>
        <v>5.5136000000000003</v>
      </c>
      <c r="D367" s="26">
        <f>5.5152 * CHOOSE(CONTROL!$C$32, $C$9, 100%, $E$9)</f>
        <v>5.5152000000000001</v>
      </c>
      <c r="E367" s="27">
        <f>6.7444 * CHOOSE(CONTROL!$C$32, $C$9, 100%, $E$9)</f>
        <v>6.7443999999999997</v>
      </c>
      <c r="F367" s="27">
        <f>6.7444 * CHOOSE(CONTROL!$C$32, $C$9, 100%, $E$9)</f>
        <v>6.7443999999999997</v>
      </c>
      <c r="G367" s="27">
        <f>6.7497 * CHOOSE(CONTROL!$C$32, $C$9, 100%, $E$9)</f>
        <v>6.7496999999999998</v>
      </c>
      <c r="H367" s="27">
        <f>11.5598 * CHOOSE(CONTROL!$C$32, $C$9, 100%, $E$9)</f>
        <v>11.559799999999999</v>
      </c>
      <c r="I367" s="27">
        <f>11.5651 * CHOOSE(CONTROL!$C$32, $C$9, 100%, $E$9)</f>
        <v>11.565099999999999</v>
      </c>
      <c r="J367" s="27">
        <f>11.5598 * CHOOSE(CONTROL!$C$32, $C$9, 100%, $E$9)</f>
        <v>11.559799999999999</v>
      </c>
      <c r="K367" s="27">
        <f>11.5651 * CHOOSE(CONTROL!$C$32, $C$9, 100%, $E$9)</f>
        <v>11.565099999999999</v>
      </c>
      <c r="L367" s="27">
        <f>6.7444 * CHOOSE(CONTROL!$C$32, $C$9, 100%, $E$9)</f>
        <v>6.7443999999999997</v>
      </c>
      <c r="M367" s="27">
        <f>6.7497 * CHOOSE(CONTROL!$C$32, $C$9, 100%, $E$9)</f>
        <v>6.7496999999999998</v>
      </c>
      <c r="N367" s="27">
        <f>6.7444 * CHOOSE(CONTROL!$C$32, $C$9, 100%, $E$9)</f>
        <v>6.7443999999999997</v>
      </c>
      <c r="O367" s="27">
        <f>6.7497 * CHOOSE(CONTROL!$C$32, $C$9, 100%, $E$9)</f>
        <v>6.7496999999999998</v>
      </c>
    </row>
    <row r="368" spans="1:15" ht="15" x14ac:dyDescent="0.2">
      <c r="A368" s="16">
        <v>52048</v>
      </c>
      <c r="B368" s="26">
        <f>5.5892 * CHOOSE(CONTROL!$C$32, $C$9, 100%, $E$9)</f>
        <v>5.5891999999999999</v>
      </c>
      <c r="C368" s="26">
        <f>5.5892 * CHOOSE(CONTROL!$C$32, $C$9, 100%, $E$9)</f>
        <v>5.5891999999999999</v>
      </c>
      <c r="D368" s="26">
        <f>5.5907 * CHOOSE(CONTROL!$C$32, $C$9, 100%, $E$9)</f>
        <v>5.5907</v>
      </c>
      <c r="E368" s="27">
        <f>6.7633 * CHOOSE(CONTROL!$C$32, $C$9, 100%, $E$9)</f>
        <v>6.7633000000000001</v>
      </c>
      <c r="F368" s="27">
        <f>6.7633 * CHOOSE(CONTROL!$C$32, $C$9, 100%, $E$9)</f>
        <v>6.7633000000000001</v>
      </c>
      <c r="G368" s="27">
        <f>6.7686 * CHOOSE(CONTROL!$C$32, $C$9, 100%, $E$9)</f>
        <v>6.7686000000000002</v>
      </c>
      <c r="H368" s="27">
        <f>11.5839 * CHOOSE(CONTROL!$C$32, $C$9, 100%, $E$9)</f>
        <v>11.5839</v>
      </c>
      <c r="I368" s="27">
        <f>11.5892 * CHOOSE(CONTROL!$C$32, $C$9, 100%, $E$9)</f>
        <v>11.5892</v>
      </c>
      <c r="J368" s="27">
        <f>11.5839 * CHOOSE(CONTROL!$C$32, $C$9, 100%, $E$9)</f>
        <v>11.5839</v>
      </c>
      <c r="K368" s="27">
        <f>11.5892 * CHOOSE(CONTROL!$C$32, $C$9, 100%, $E$9)</f>
        <v>11.5892</v>
      </c>
      <c r="L368" s="27">
        <f>6.7633 * CHOOSE(CONTROL!$C$32, $C$9, 100%, $E$9)</f>
        <v>6.7633000000000001</v>
      </c>
      <c r="M368" s="27">
        <f>6.7686 * CHOOSE(CONTROL!$C$32, $C$9, 100%, $E$9)</f>
        <v>6.7686000000000002</v>
      </c>
      <c r="N368" s="27">
        <f>6.7633 * CHOOSE(CONTROL!$C$32, $C$9, 100%, $E$9)</f>
        <v>6.7633000000000001</v>
      </c>
      <c r="O368" s="27">
        <f>6.7686 * CHOOSE(CONTROL!$C$32, $C$9, 100%, $E$9)</f>
        <v>6.7686000000000002</v>
      </c>
    </row>
    <row r="369" spans="1:15" ht="15" x14ac:dyDescent="0.2">
      <c r="A369" s="16">
        <v>52079</v>
      </c>
      <c r="B369" s="26">
        <f>5.5958 * CHOOSE(CONTROL!$C$32, $C$9, 100%, $E$9)</f>
        <v>5.5957999999999997</v>
      </c>
      <c r="C369" s="26">
        <f>5.5958 * CHOOSE(CONTROL!$C$32, $C$9, 100%, $E$9)</f>
        <v>5.5957999999999997</v>
      </c>
      <c r="D369" s="26">
        <f>5.5974 * CHOOSE(CONTROL!$C$32, $C$9, 100%, $E$9)</f>
        <v>5.5974000000000004</v>
      </c>
      <c r="E369" s="27">
        <f>6.6512 * CHOOSE(CONTROL!$C$32, $C$9, 100%, $E$9)</f>
        <v>6.6512000000000002</v>
      </c>
      <c r="F369" s="27">
        <f>6.6512 * CHOOSE(CONTROL!$C$32, $C$9, 100%, $E$9)</f>
        <v>6.6512000000000002</v>
      </c>
      <c r="G369" s="27">
        <f>6.6565 * CHOOSE(CONTROL!$C$32, $C$9, 100%, $E$9)</f>
        <v>6.6565000000000003</v>
      </c>
      <c r="H369" s="27">
        <f>11.608 * CHOOSE(CONTROL!$C$32, $C$9, 100%, $E$9)</f>
        <v>11.608000000000001</v>
      </c>
      <c r="I369" s="27">
        <f>11.6133 * CHOOSE(CONTROL!$C$32, $C$9, 100%, $E$9)</f>
        <v>11.613300000000001</v>
      </c>
      <c r="J369" s="27">
        <f>11.608 * CHOOSE(CONTROL!$C$32, $C$9, 100%, $E$9)</f>
        <v>11.608000000000001</v>
      </c>
      <c r="K369" s="27">
        <f>11.6133 * CHOOSE(CONTROL!$C$32, $C$9, 100%, $E$9)</f>
        <v>11.613300000000001</v>
      </c>
      <c r="L369" s="27">
        <f>6.6512 * CHOOSE(CONTROL!$C$32, $C$9, 100%, $E$9)</f>
        <v>6.6512000000000002</v>
      </c>
      <c r="M369" s="27">
        <f>6.6565 * CHOOSE(CONTROL!$C$32, $C$9, 100%, $E$9)</f>
        <v>6.6565000000000003</v>
      </c>
      <c r="N369" s="27">
        <f>6.6512 * CHOOSE(CONTROL!$C$32, $C$9, 100%, $E$9)</f>
        <v>6.6512000000000002</v>
      </c>
      <c r="O369" s="27">
        <f>6.6565 * CHOOSE(CONTROL!$C$32, $C$9, 100%, $E$9)</f>
        <v>6.6565000000000003</v>
      </c>
    </row>
    <row r="370" spans="1:15" ht="15" x14ac:dyDescent="0.2">
      <c r="A370" s="16">
        <v>52110</v>
      </c>
      <c r="B370" s="26">
        <f>5.5928 * CHOOSE(CONTROL!$C$32, $C$9, 100%, $E$9)</f>
        <v>5.5928000000000004</v>
      </c>
      <c r="C370" s="26">
        <f>5.5928 * CHOOSE(CONTROL!$C$32, $C$9, 100%, $E$9)</f>
        <v>5.5928000000000004</v>
      </c>
      <c r="D370" s="26">
        <f>5.5944 * CHOOSE(CONTROL!$C$32, $C$9, 100%, $E$9)</f>
        <v>5.5944000000000003</v>
      </c>
      <c r="E370" s="27">
        <f>6.6361 * CHOOSE(CONTROL!$C$32, $C$9, 100%, $E$9)</f>
        <v>6.6360999999999999</v>
      </c>
      <c r="F370" s="27">
        <f>6.6361 * CHOOSE(CONTROL!$C$32, $C$9, 100%, $E$9)</f>
        <v>6.6360999999999999</v>
      </c>
      <c r="G370" s="27">
        <f>6.6414 * CHOOSE(CONTROL!$C$32, $C$9, 100%, $E$9)</f>
        <v>6.6414</v>
      </c>
      <c r="H370" s="27">
        <f>11.6322 * CHOOSE(CONTROL!$C$32, $C$9, 100%, $E$9)</f>
        <v>11.632199999999999</v>
      </c>
      <c r="I370" s="27">
        <f>11.6375 * CHOOSE(CONTROL!$C$32, $C$9, 100%, $E$9)</f>
        <v>11.637499999999999</v>
      </c>
      <c r="J370" s="27">
        <f>11.6322 * CHOOSE(CONTROL!$C$32, $C$9, 100%, $E$9)</f>
        <v>11.632199999999999</v>
      </c>
      <c r="K370" s="27">
        <f>11.6375 * CHOOSE(CONTROL!$C$32, $C$9, 100%, $E$9)</f>
        <v>11.637499999999999</v>
      </c>
      <c r="L370" s="27">
        <f>6.6361 * CHOOSE(CONTROL!$C$32, $C$9, 100%, $E$9)</f>
        <v>6.6360999999999999</v>
      </c>
      <c r="M370" s="27">
        <f>6.6414 * CHOOSE(CONTROL!$C$32, $C$9, 100%, $E$9)</f>
        <v>6.6414</v>
      </c>
      <c r="N370" s="27">
        <f>6.6361 * CHOOSE(CONTROL!$C$32, $C$9, 100%, $E$9)</f>
        <v>6.6360999999999999</v>
      </c>
      <c r="O370" s="27">
        <f>6.6414 * CHOOSE(CONTROL!$C$32, $C$9, 100%, $E$9)</f>
        <v>6.6414</v>
      </c>
    </row>
    <row r="371" spans="1:15" ht="15" x14ac:dyDescent="0.2">
      <c r="A371" s="16">
        <v>52140</v>
      </c>
      <c r="B371" s="26">
        <f>5.5938 * CHOOSE(CONTROL!$C$32, $C$9, 100%, $E$9)</f>
        <v>5.5937999999999999</v>
      </c>
      <c r="C371" s="26">
        <f>5.5938 * CHOOSE(CONTROL!$C$32, $C$9, 100%, $E$9)</f>
        <v>5.5937999999999999</v>
      </c>
      <c r="D371" s="26">
        <f>5.5949 * CHOOSE(CONTROL!$C$32, $C$9, 100%, $E$9)</f>
        <v>5.5949</v>
      </c>
      <c r="E371" s="27">
        <f>6.6746 * CHOOSE(CONTROL!$C$32, $C$9, 100%, $E$9)</f>
        <v>6.6745999999999999</v>
      </c>
      <c r="F371" s="27">
        <f>6.6746 * CHOOSE(CONTROL!$C$32, $C$9, 100%, $E$9)</f>
        <v>6.6745999999999999</v>
      </c>
      <c r="G371" s="27">
        <f>6.6782 * CHOOSE(CONTROL!$C$32, $C$9, 100%, $E$9)</f>
        <v>6.6782000000000004</v>
      </c>
      <c r="H371" s="27">
        <f>11.6564 * CHOOSE(CONTROL!$C$32, $C$9, 100%, $E$9)</f>
        <v>11.6564</v>
      </c>
      <c r="I371" s="27">
        <f>11.66 * CHOOSE(CONTROL!$C$32, $C$9, 100%, $E$9)</f>
        <v>11.66</v>
      </c>
      <c r="J371" s="27">
        <f>11.6564 * CHOOSE(CONTROL!$C$32, $C$9, 100%, $E$9)</f>
        <v>11.6564</v>
      </c>
      <c r="K371" s="27">
        <f>11.66 * CHOOSE(CONTROL!$C$32, $C$9, 100%, $E$9)</f>
        <v>11.66</v>
      </c>
      <c r="L371" s="27">
        <f>6.6746 * CHOOSE(CONTROL!$C$32, $C$9, 100%, $E$9)</f>
        <v>6.6745999999999999</v>
      </c>
      <c r="M371" s="27">
        <f>6.6782 * CHOOSE(CONTROL!$C$32, $C$9, 100%, $E$9)</f>
        <v>6.6782000000000004</v>
      </c>
      <c r="N371" s="27">
        <f>6.6746 * CHOOSE(CONTROL!$C$32, $C$9, 100%, $E$9)</f>
        <v>6.6745999999999999</v>
      </c>
      <c r="O371" s="27">
        <f>6.6782 * CHOOSE(CONTROL!$C$32, $C$9, 100%, $E$9)</f>
        <v>6.6782000000000004</v>
      </c>
    </row>
    <row r="372" spans="1:15" ht="15" x14ac:dyDescent="0.2">
      <c r="A372" s="16">
        <v>52171</v>
      </c>
      <c r="B372" s="26">
        <f>5.5968 * CHOOSE(CONTROL!$C$32, $C$9, 100%, $E$9)</f>
        <v>5.5968</v>
      </c>
      <c r="C372" s="26">
        <f>5.5968 * CHOOSE(CONTROL!$C$32, $C$9, 100%, $E$9)</f>
        <v>5.5968</v>
      </c>
      <c r="D372" s="26">
        <f>5.5979 * CHOOSE(CONTROL!$C$32, $C$9, 100%, $E$9)</f>
        <v>5.5979000000000001</v>
      </c>
      <c r="E372" s="27">
        <f>6.7026 * CHOOSE(CONTROL!$C$32, $C$9, 100%, $E$9)</f>
        <v>6.7026000000000003</v>
      </c>
      <c r="F372" s="27">
        <f>6.7026 * CHOOSE(CONTROL!$C$32, $C$9, 100%, $E$9)</f>
        <v>6.7026000000000003</v>
      </c>
      <c r="G372" s="27">
        <f>6.7063 * CHOOSE(CONTROL!$C$32, $C$9, 100%, $E$9)</f>
        <v>6.7062999999999997</v>
      </c>
      <c r="H372" s="27">
        <f>11.6807 * CHOOSE(CONTROL!$C$32, $C$9, 100%, $E$9)</f>
        <v>11.6807</v>
      </c>
      <c r="I372" s="27">
        <f>11.6843 * CHOOSE(CONTROL!$C$32, $C$9, 100%, $E$9)</f>
        <v>11.6843</v>
      </c>
      <c r="J372" s="27">
        <f>11.6807 * CHOOSE(CONTROL!$C$32, $C$9, 100%, $E$9)</f>
        <v>11.6807</v>
      </c>
      <c r="K372" s="27">
        <f>11.6843 * CHOOSE(CONTROL!$C$32, $C$9, 100%, $E$9)</f>
        <v>11.6843</v>
      </c>
      <c r="L372" s="27">
        <f>6.7026 * CHOOSE(CONTROL!$C$32, $C$9, 100%, $E$9)</f>
        <v>6.7026000000000003</v>
      </c>
      <c r="M372" s="27">
        <f>6.7063 * CHOOSE(CONTROL!$C$32, $C$9, 100%, $E$9)</f>
        <v>6.7062999999999997</v>
      </c>
      <c r="N372" s="27">
        <f>6.7026 * CHOOSE(CONTROL!$C$32, $C$9, 100%, $E$9)</f>
        <v>6.7026000000000003</v>
      </c>
      <c r="O372" s="27">
        <f>6.7063 * CHOOSE(CONTROL!$C$32, $C$9, 100%, $E$9)</f>
        <v>6.7062999999999997</v>
      </c>
    </row>
    <row r="373" spans="1:15" ht="15" x14ac:dyDescent="0.2">
      <c r="A373" s="16">
        <v>52201</v>
      </c>
      <c r="B373" s="26">
        <f>5.5968 * CHOOSE(CONTROL!$C$32, $C$9, 100%, $E$9)</f>
        <v>5.5968</v>
      </c>
      <c r="C373" s="26">
        <f>5.5968 * CHOOSE(CONTROL!$C$32, $C$9, 100%, $E$9)</f>
        <v>5.5968</v>
      </c>
      <c r="D373" s="26">
        <f>5.5979 * CHOOSE(CONTROL!$C$32, $C$9, 100%, $E$9)</f>
        <v>5.5979000000000001</v>
      </c>
      <c r="E373" s="27">
        <f>6.6378 * CHOOSE(CONTROL!$C$32, $C$9, 100%, $E$9)</f>
        <v>6.6378000000000004</v>
      </c>
      <c r="F373" s="27">
        <f>6.6378 * CHOOSE(CONTROL!$C$32, $C$9, 100%, $E$9)</f>
        <v>6.6378000000000004</v>
      </c>
      <c r="G373" s="27">
        <f>6.6414 * CHOOSE(CONTROL!$C$32, $C$9, 100%, $E$9)</f>
        <v>6.6414</v>
      </c>
      <c r="H373" s="27">
        <f>11.705 * CHOOSE(CONTROL!$C$32, $C$9, 100%, $E$9)</f>
        <v>11.705</v>
      </c>
      <c r="I373" s="27">
        <f>11.7086 * CHOOSE(CONTROL!$C$32, $C$9, 100%, $E$9)</f>
        <v>11.708600000000001</v>
      </c>
      <c r="J373" s="27">
        <f>11.705 * CHOOSE(CONTROL!$C$32, $C$9, 100%, $E$9)</f>
        <v>11.705</v>
      </c>
      <c r="K373" s="27">
        <f>11.7086 * CHOOSE(CONTROL!$C$32, $C$9, 100%, $E$9)</f>
        <v>11.708600000000001</v>
      </c>
      <c r="L373" s="27">
        <f>6.6378 * CHOOSE(CONTROL!$C$32, $C$9, 100%, $E$9)</f>
        <v>6.6378000000000004</v>
      </c>
      <c r="M373" s="27">
        <f>6.6414 * CHOOSE(CONTROL!$C$32, $C$9, 100%, $E$9)</f>
        <v>6.6414</v>
      </c>
      <c r="N373" s="27">
        <f>6.6378 * CHOOSE(CONTROL!$C$32, $C$9, 100%, $E$9)</f>
        <v>6.6378000000000004</v>
      </c>
      <c r="O373" s="27">
        <f>6.6414 * CHOOSE(CONTROL!$C$32, $C$9, 100%, $E$9)</f>
        <v>6.6414</v>
      </c>
    </row>
    <row r="374" spans="1:15" ht="15" x14ac:dyDescent="0.2">
      <c r="A374" s="16">
        <v>52232</v>
      </c>
      <c r="B374" s="26">
        <f>5.6399 * CHOOSE(CONTROL!$C$32, $C$9, 100%, $E$9)</f>
        <v>5.6398999999999999</v>
      </c>
      <c r="C374" s="26">
        <f>5.6399 * CHOOSE(CONTROL!$C$32, $C$9, 100%, $E$9)</f>
        <v>5.6398999999999999</v>
      </c>
      <c r="D374" s="26">
        <f>5.6409 * CHOOSE(CONTROL!$C$32, $C$9, 100%, $E$9)</f>
        <v>5.6409000000000002</v>
      </c>
      <c r="E374" s="27">
        <f>6.7096 * CHOOSE(CONTROL!$C$32, $C$9, 100%, $E$9)</f>
        <v>6.7096</v>
      </c>
      <c r="F374" s="27">
        <f>6.7096 * CHOOSE(CONTROL!$C$32, $C$9, 100%, $E$9)</f>
        <v>6.7096</v>
      </c>
      <c r="G374" s="27">
        <f>6.7132 * CHOOSE(CONTROL!$C$32, $C$9, 100%, $E$9)</f>
        <v>6.7131999999999996</v>
      </c>
      <c r="H374" s="27">
        <f>11.7294 * CHOOSE(CONTROL!$C$32, $C$9, 100%, $E$9)</f>
        <v>11.7294</v>
      </c>
      <c r="I374" s="27">
        <f>11.733 * CHOOSE(CONTROL!$C$32, $C$9, 100%, $E$9)</f>
        <v>11.733000000000001</v>
      </c>
      <c r="J374" s="27">
        <f>11.7294 * CHOOSE(CONTROL!$C$32, $C$9, 100%, $E$9)</f>
        <v>11.7294</v>
      </c>
      <c r="K374" s="27">
        <f>11.733 * CHOOSE(CONTROL!$C$32, $C$9, 100%, $E$9)</f>
        <v>11.733000000000001</v>
      </c>
      <c r="L374" s="27">
        <f>6.7096 * CHOOSE(CONTROL!$C$32, $C$9, 100%, $E$9)</f>
        <v>6.7096</v>
      </c>
      <c r="M374" s="27">
        <f>6.7132 * CHOOSE(CONTROL!$C$32, $C$9, 100%, $E$9)</f>
        <v>6.7131999999999996</v>
      </c>
      <c r="N374" s="27">
        <f>6.7096 * CHOOSE(CONTROL!$C$32, $C$9, 100%, $E$9)</f>
        <v>6.7096</v>
      </c>
      <c r="O374" s="27">
        <f>6.7132 * CHOOSE(CONTROL!$C$32, $C$9, 100%, $E$9)</f>
        <v>6.7131999999999996</v>
      </c>
    </row>
    <row r="375" spans="1:15" ht="15" x14ac:dyDescent="0.2">
      <c r="A375" s="16">
        <v>52263</v>
      </c>
      <c r="B375" s="26">
        <f>5.6368 * CHOOSE(CONTROL!$C$32, $C$9, 100%, $E$9)</f>
        <v>5.6368</v>
      </c>
      <c r="C375" s="26">
        <f>5.6368 * CHOOSE(CONTROL!$C$32, $C$9, 100%, $E$9)</f>
        <v>5.6368</v>
      </c>
      <c r="D375" s="26">
        <f>5.6379 * CHOOSE(CONTROL!$C$32, $C$9, 100%, $E$9)</f>
        <v>5.6379000000000001</v>
      </c>
      <c r="E375" s="27">
        <f>6.5809 * CHOOSE(CONTROL!$C$32, $C$9, 100%, $E$9)</f>
        <v>6.5808999999999997</v>
      </c>
      <c r="F375" s="27">
        <f>6.5809 * CHOOSE(CONTROL!$C$32, $C$9, 100%, $E$9)</f>
        <v>6.5808999999999997</v>
      </c>
      <c r="G375" s="27">
        <f>6.5845 * CHOOSE(CONTROL!$C$32, $C$9, 100%, $E$9)</f>
        <v>6.5845000000000002</v>
      </c>
      <c r="H375" s="27">
        <f>11.7539 * CHOOSE(CONTROL!$C$32, $C$9, 100%, $E$9)</f>
        <v>11.7539</v>
      </c>
      <c r="I375" s="27">
        <f>11.7575 * CHOOSE(CONTROL!$C$32, $C$9, 100%, $E$9)</f>
        <v>11.7575</v>
      </c>
      <c r="J375" s="27">
        <f>11.7539 * CHOOSE(CONTROL!$C$32, $C$9, 100%, $E$9)</f>
        <v>11.7539</v>
      </c>
      <c r="K375" s="27">
        <f>11.7575 * CHOOSE(CONTROL!$C$32, $C$9, 100%, $E$9)</f>
        <v>11.7575</v>
      </c>
      <c r="L375" s="27">
        <f>6.5809 * CHOOSE(CONTROL!$C$32, $C$9, 100%, $E$9)</f>
        <v>6.5808999999999997</v>
      </c>
      <c r="M375" s="27">
        <f>6.5845 * CHOOSE(CONTROL!$C$32, $C$9, 100%, $E$9)</f>
        <v>6.5845000000000002</v>
      </c>
      <c r="N375" s="27">
        <f>6.5809 * CHOOSE(CONTROL!$C$32, $C$9, 100%, $E$9)</f>
        <v>6.5808999999999997</v>
      </c>
      <c r="O375" s="27">
        <f>6.5845 * CHOOSE(CONTROL!$C$32, $C$9, 100%, $E$9)</f>
        <v>6.5845000000000002</v>
      </c>
    </row>
    <row r="376" spans="1:15" ht="15" x14ac:dyDescent="0.2">
      <c r="A376" s="16">
        <v>52291</v>
      </c>
      <c r="B376" s="26">
        <f>5.6338 * CHOOSE(CONTROL!$C$32, $C$9, 100%, $E$9)</f>
        <v>5.6337999999999999</v>
      </c>
      <c r="C376" s="26">
        <f>5.6338 * CHOOSE(CONTROL!$C$32, $C$9, 100%, $E$9)</f>
        <v>5.6337999999999999</v>
      </c>
      <c r="D376" s="26">
        <f>5.6349 * CHOOSE(CONTROL!$C$32, $C$9, 100%, $E$9)</f>
        <v>5.6349</v>
      </c>
      <c r="E376" s="27">
        <f>6.6786 * CHOOSE(CONTROL!$C$32, $C$9, 100%, $E$9)</f>
        <v>6.6786000000000003</v>
      </c>
      <c r="F376" s="27">
        <f>6.6786 * CHOOSE(CONTROL!$C$32, $C$9, 100%, $E$9)</f>
        <v>6.6786000000000003</v>
      </c>
      <c r="G376" s="27">
        <f>6.6822 * CHOOSE(CONTROL!$C$32, $C$9, 100%, $E$9)</f>
        <v>6.6821999999999999</v>
      </c>
      <c r="H376" s="27">
        <f>11.7783 * CHOOSE(CONTROL!$C$32, $C$9, 100%, $E$9)</f>
        <v>11.7783</v>
      </c>
      <c r="I376" s="27">
        <f>11.782 * CHOOSE(CONTROL!$C$32, $C$9, 100%, $E$9)</f>
        <v>11.782</v>
      </c>
      <c r="J376" s="27">
        <f>11.7783 * CHOOSE(CONTROL!$C$32, $C$9, 100%, $E$9)</f>
        <v>11.7783</v>
      </c>
      <c r="K376" s="27">
        <f>11.782 * CHOOSE(CONTROL!$C$32, $C$9, 100%, $E$9)</f>
        <v>11.782</v>
      </c>
      <c r="L376" s="27">
        <f>6.6786 * CHOOSE(CONTROL!$C$32, $C$9, 100%, $E$9)</f>
        <v>6.6786000000000003</v>
      </c>
      <c r="M376" s="27">
        <f>6.6822 * CHOOSE(CONTROL!$C$32, $C$9, 100%, $E$9)</f>
        <v>6.6821999999999999</v>
      </c>
      <c r="N376" s="27">
        <f>6.6786 * CHOOSE(CONTROL!$C$32, $C$9, 100%, $E$9)</f>
        <v>6.6786000000000003</v>
      </c>
      <c r="O376" s="27">
        <f>6.6822 * CHOOSE(CONTROL!$C$32, $C$9, 100%, $E$9)</f>
        <v>6.6821999999999999</v>
      </c>
    </row>
    <row r="377" spans="1:15" ht="15" x14ac:dyDescent="0.2">
      <c r="A377" s="16">
        <v>52322</v>
      </c>
      <c r="B377" s="26">
        <f>5.633 * CHOOSE(CONTROL!$C$32, $C$9, 100%, $E$9)</f>
        <v>5.633</v>
      </c>
      <c r="C377" s="26">
        <f>5.633 * CHOOSE(CONTROL!$C$32, $C$9, 100%, $E$9)</f>
        <v>5.633</v>
      </c>
      <c r="D377" s="26">
        <f>5.6341 * CHOOSE(CONTROL!$C$32, $C$9, 100%, $E$9)</f>
        <v>5.6341000000000001</v>
      </c>
      <c r="E377" s="27">
        <f>6.7815 * CHOOSE(CONTROL!$C$32, $C$9, 100%, $E$9)</f>
        <v>6.7815000000000003</v>
      </c>
      <c r="F377" s="27">
        <f>6.7815 * CHOOSE(CONTROL!$C$32, $C$9, 100%, $E$9)</f>
        <v>6.7815000000000003</v>
      </c>
      <c r="G377" s="27">
        <f>6.7852 * CHOOSE(CONTROL!$C$32, $C$9, 100%, $E$9)</f>
        <v>6.7851999999999997</v>
      </c>
      <c r="H377" s="27">
        <f>11.8029 * CHOOSE(CONTROL!$C$32, $C$9, 100%, $E$9)</f>
        <v>11.802899999999999</v>
      </c>
      <c r="I377" s="27">
        <f>11.8065 * CHOOSE(CONTROL!$C$32, $C$9, 100%, $E$9)</f>
        <v>11.8065</v>
      </c>
      <c r="J377" s="27">
        <f>11.8029 * CHOOSE(CONTROL!$C$32, $C$9, 100%, $E$9)</f>
        <v>11.802899999999999</v>
      </c>
      <c r="K377" s="27">
        <f>11.8065 * CHOOSE(CONTROL!$C$32, $C$9, 100%, $E$9)</f>
        <v>11.8065</v>
      </c>
      <c r="L377" s="27">
        <f>6.7815 * CHOOSE(CONTROL!$C$32, $C$9, 100%, $E$9)</f>
        <v>6.7815000000000003</v>
      </c>
      <c r="M377" s="27">
        <f>6.7852 * CHOOSE(CONTROL!$C$32, $C$9, 100%, $E$9)</f>
        <v>6.7851999999999997</v>
      </c>
      <c r="N377" s="27">
        <f>6.7815 * CHOOSE(CONTROL!$C$32, $C$9, 100%, $E$9)</f>
        <v>6.7815000000000003</v>
      </c>
      <c r="O377" s="27">
        <f>6.7852 * CHOOSE(CONTROL!$C$32, $C$9, 100%, $E$9)</f>
        <v>6.7851999999999997</v>
      </c>
    </row>
    <row r="378" spans="1:15" ht="15" x14ac:dyDescent="0.2">
      <c r="A378" s="16">
        <v>52352</v>
      </c>
      <c r="B378" s="26">
        <f>5.633 * CHOOSE(CONTROL!$C$32, $C$9, 100%, $E$9)</f>
        <v>5.633</v>
      </c>
      <c r="C378" s="26">
        <f>5.633 * CHOOSE(CONTROL!$C$32, $C$9, 100%, $E$9)</f>
        <v>5.633</v>
      </c>
      <c r="D378" s="26">
        <f>5.6346 * CHOOSE(CONTROL!$C$32, $C$9, 100%, $E$9)</f>
        <v>5.6345999999999998</v>
      </c>
      <c r="E378" s="27">
        <f>6.8217 * CHOOSE(CONTROL!$C$32, $C$9, 100%, $E$9)</f>
        <v>6.8216999999999999</v>
      </c>
      <c r="F378" s="27">
        <f>6.8217 * CHOOSE(CONTROL!$C$32, $C$9, 100%, $E$9)</f>
        <v>6.8216999999999999</v>
      </c>
      <c r="G378" s="27">
        <f>6.827 * CHOOSE(CONTROL!$C$32, $C$9, 100%, $E$9)</f>
        <v>6.827</v>
      </c>
      <c r="H378" s="27">
        <f>11.8275 * CHOOSE(CONTROL!$C$32, $C$9, 100%, $E$9)</f>
        <v>11.827500000000001</v>
      </c>
      <c r="I378" s="27">
        <f>11.8328 * CHOOSE(CONTROL!$C$32, $C$9, 100%, $E$9)</f>
        <v>11.832800000000001</v>
      </c>
      <c r="J378" s="27">
        <f>11.8275 * CHOOSE(CONTROL!$C$32, $C$9, 100%, $E$9)</f>
        <v>11.827500000000001</v>
      </c>
      <c r="K378" s="27">
        <f>11.8328 * CHOOSE(CONTROL!$C$32, $C$9, 100%, $E$9)</f>
        <v>11.832800000000001</v>
      </c>
      <c r="L378" s="27">
        <f>6.8217 * CHOOSE(CONTROL!$C$32, $C$9, 100%, $E$9)</f>
        <v>6.8216999999999999</v>
      </c>
      <c r="M378" s="27">
        <f>6.827 * CHOOSE(CONTROL!$C$32, $C$9, 100%, $E$9)</f>
        <v>6.827</v>
      </c>
      <c r="N378" s="27">
        <f>6.8217 * CHOOSE(CONTROL!$C$32, $C$9, 100%, $E$9)</f>
        <v>6.8216999999999999</v>
      </c>
      <c r="O378" s="27">
        <f>6.827 * CHOOSE(CONTROL!$C$32, $C$9, 100%, $E$9)</f>
        <v>6.827</v>
      </c>
    </row>
    <row r="379" spans="1:15" ht="15" x14ac:dyDescent="0.2">
      <c r="A379" s="16">
        <v>52383</v>
      </c>
      <c r="B379" s="26">
        <f>5.6391 * CHOOSE(CONTROL!$C$32, $C$9, 100%, $E$9)</f>
        <v>5.6391</v>
      </c>
      <c r="C379" s="26">
        <f>5.6391 * CHOOSE(CONTROL!$C$32, $C$9, 100%, $E$9)</f>
        <v>5.6391</v>
      </c>
      <c r="D379" s="26">
        <f>5.6407 * CHOOSE(CONTROL!$C$32, $C$9, 100%, $E$9)</f>
        <v>5.6406999999999998</v>
      </c>
      <c r="E379" s="27">
        <f>6.7858 * CHOOSE(CONTROL!$C$32, $C$9, 100%, $E$9)</f>
        <v>6.7858000000000001</v>
      </c>
      <c r="F379" s="27">
        <f>6.7858 * CHOOSE(CONTROL!$C$32, $C$9, 100%, $E$9)</f>
        <v>6.7858000000000001</v>
      </c>
      <c r="G379" s="27">
        <f>6.7911 * CHOOSE(CONTROL!$C$32, $C$9, 100%, $E$9)</f>
        <v>6.7911000000000001</v>
      </c>
      <c r="H379" s="27">
        <f>11.8521 * CHOOSE(CONTROL!$C$32, $C$9, 100%, $E$9)</f>
        <v>11.8521</v>
      </c>
      <c r="I379" s="27">
        <f>11.8574 * CHOOSE(CONTROL!$C$32, $C$9, 100%, $E$9)</f>
        <v>11.8574</v>
      </c>
      <c r="J379" s="27">
        <f>11.8521 * CHOOSE(CONTROL!$C$32, $C$9, 100%, $E$9)</f>
        <v>11.8521</v>
      </c>
      <c r="K379" s="27">
        <f>11.8574 * CHOOSE(CONTROL!$C$32, $C$9, 100%, $E$9)</f>
        <v>11.8574</v>
      </c>
      <c r="L379" s="27">
        <f>6.7858 * CHOOSE(CONTROL!$C$32, $C$9, 100%, $E$9)</f>
        <v>6.7858000000000001</v>
      </c>
      <c r="M379" s="27">
        <f>6.7911 * CHOOSE(CONTROL!$C$32, $C$9, 100%, $E$9)</f>
        <v>6.7911000000000001</v>
      </c>
      <c r="N379" s="27">
        <f>6.7858 * CHOOSE(CONTROL!$C$32, $C$9, 100%, $E$9)</f>
        <v>6.7858000000000001</v>
      </c>
      <c r="O379" s="27">
        <f>6.7911 * CHOOSE(CONTROL!$C$32, $C$9, 100%, $E$9)</f>
        <v>6.7911000000000001</v>
      </c>
    </row>
    <row r="380" spans="1:15" ht="15" x14ac:dyDescent="0.2">
      <c r="A380" s="16">
        <v>52413</v>
      </c>
      <c r="B380" s="26">
        <f>5.7154 * CHOOSE(CONTROL!$C$32, $C$9, 100%, $E$9)</f>
        <v>5.7153999999999998</v>
      </c>
      <c r="C380" s="26">
        <f>5.7154 * CHOOSE(CONTROL!$C$32, $C$9, 100%, $E$9)</f>
        <v>5.7153999999999998</v>
      </c>
      <c r="D380" s="26">
        <f>5.7169 * CHOOSE(CONTROL!$C$32, $C$9, 100%, $E$9)</f>
        <v>5.7168999999999999</v>
      </c>
      <c r="E380" s="27">
        <f>6.8109 * CHOOSE(CONTROL!$C$32, $C$9, 100%, $E$9)</f>
        <v>6.8109000000000002</v>
      </c>
      <c r="F380" s="27">
        <f>6.8109 * CHOOSE(CONTROL!$C$32, $C$9, 100%, $E$9)</f>
        <v>6.8109000000000002</v>
      </c>
      <c r="G380" s="27">
        <f>6.8162 * CHOOSE(CONTROL!$C$32, $C$9, 100%, $E$9)</f>
        <v>6.8162000000000003</v>
      </c>
      <c r="H380" s="27">
        <f>11.8768 * CHOOSE(CONTROL!$C$32, $C$9, 100%, $E$9)</f>
        <v>11.876799999999999</v>
      </c>
      <c r="I380" s="27">
        <f>11.8821 * CHOOSE(CONTROL!$C$32, $C$9, 100%, $E$9)</f>
        <v>11.882099999999999</v>
      </c>
      <c r="J380" s="27">
        <f>11.8768 * CHOOSE(CONTROL!$C$32, $C$9, 100%, $E$9)</f>
        <v>11.876799999999999</v>
      </c>
      <c r="K380" s="27">
        <f>11.8821 * CHOOSE(CONTROL!$C$32, $C$9, 100%, $E$9)</f>
        <v>11.882099999999999</v>
      </c>
      <c r="L380" s="27">
        <f>6.8109 * CHOOSE(CONTROL!$C$32, $C$9, 100%, $E$9)</f>
        <v>6.8109000000000002</v>
      </c>
      <c r="M380" s="27">
        <f>6.8162 * CHOOSE(CONTROL!$C$32, $C$9, 100%, $E$9)</f>
        <v>6.8162000000000003</v>
      </c>
      <c r="N380" s="27">
        <f>6.8109 * CHOOSE(CONTROL!$C$32, $C$9, 100%, $E$9)</f>
        <v>6.8109000000000002</v>
      </c>
      <c r="O380" s="27">
        <f>6.8162 * CHOOSE(CONTROL!$C$32, $C$9, 100%, $E$9)</f>
        <v>6.8162000000000003</v>
      </c>
    </row>
    <row r="381" spans="1:15" ht="15" x14ac:dyDescent="0.2">
      <c r="A381" s="16">
        <v>52444</v>
      </c>
      <c r="B381" s="26">
        <f>5.7221 * CHOOSE(CONTROL!$C$32, $C$9, 100%, $E$9)</f>
        <v>5.7221000000000002</v>
      </c>
      <c r="C381" s="26">
        <f>5.7221 * CHOOSE(CONTROL!$C$32, $C$9, 100%, $E$9)</f>
        <v>5.7221000000000002</v>
      </c>
      <c r="D381" s="26">
        <f>5.7236 * CHOOSE(CONTROL!$C$32, $C$9, 100%, $E$9)</f>
        <v>5.7236000000000002</v>
      </c>
      <c r="E381" s="27">
        <f>6.695 * CHOOSE(CONTROL!$C$32, $C$9, 100%, $E$9)</f>
        <v>6.6950000000000003</v>
      </c>
      <c r="F381" s="27">
        <f>6.695 * CHOOSE(CONTROL!$C$32, $C$9, 100%, $E$9)</f>
        <v>6.6950000000000003</v>
      </c>
      <c r="G381" s="27">
        <f>6.7003 * CHOOSE(CONTROL!$C$32, $C$9, 100%, $E$9)</f>
        <v>6.7003000000000004</v>
      </c>
      <c r="H381" s="27">
        <f>11.9015 * CHOOSE(CONTROL!$C$32, $C$9, 100%, $E$9)</f>
        <v>11.9015</v>
      </c>
      <c r="I381" s="27">
        <f>11.9068 * CHOOSE(CONTROL!$C$32, $C$9, 100%, $E$9)</f>
        <v>11.9068</v>
      </c>
      <c r="J381" s="27">
        <f>11.9015 * CHOOSE(CONTROL!$C$32, $C$9, 100%, $E$9)</f>
        <v>11.9015</v>
      </c>
      <c r="K381" s="27">
        <f>11.9068 * CHOOSE(CONTROL!$C$32, $C$9, 100%, $E$9)</f>
        <v>11.9068</v>
      </c>
      <c r="L381" s="27">
        <f>6.695 * CHOOSE(CONTROL!$C$32, $C$9, 100%, $E$9)</f>
        <v>6.6950000000000003</v>
      </c>
      <c r="M381" s="27">
        <f>6.7003 * CHOOSE(CONTROL!$C$32, $C$9, 100%, $E$9)</f>
        <v>6.7003000000000004</v>
      </c>
      <c r="N381" s="27">
        <f>6.695 * CHOOSE(CONTROL!$C$32, $C$9, 100%, $E$9)</f>
        <v>6.6950000000000003</v>
      </c>
      <c r="O381" s="27">
        <f>6.7003 * CHOOSE(CONTROL!$C$32, $C$9, 100%, $E$9)</f>
        <v>6.7003000000000004</v>
      </c>
    </row>
    <row r="382" spans="1:15" ht="15" x14ac:dyDescent="0.2">
      <c r="A382" s="16">
        <v>52475</v>
      </c>
      <c r="B382" s="26">
        <f>5.719 * CHOOSE(CONTROL!$C$32, $C$9, 100%, $E$9)</f>
        <v>5.7190000000000003</v>
      </c>
      <c r="C382" s="26">
        <f>5.719 * CHOOSE(CONTROL!$C$32, $C$9, 100%, $E$9)</f>
        <v>5.7190000000000003</v>
      </c>
      <c r="D382" s="26">
        <f>5.7206 * CHOOSE(CONTROL!$C$32, $C$9, 100%, $E$9)</f>
        <v>5.7206000000000001</v>
      </c>
      <c r="E382" s="27">
        <f>6.6795 * CHOOSE(CONTROL!$C$32, $C$9, 100%, $E$9)</f>
        <v>6.6795</v>
      </c>
      <c r="F382" s="27">
        <f>6.6795 * CHOOSE(CONTROL!$C$32, $C$9, 100%, $E$9)</f>
        <v>6.6795</v>
      </c>
      <c r="G382" s="27">
        <f>6.6848 * CHOOSE(CONTROL!$C$32, $C$9, 100%, $E$9)</f>
        <v>6.6848000000000001</v>
      </c>
      <c r="H382" s="27">
        <f>11.9263 * CHOOSE(CONTROL!$C$32, $C$9, 100%, $E$9)</f>
        <v>11.926299999999999</v>
      </c>
      <c r="I382" s="27">
        <f>11.9316 * CHOOSE(CONTROL!$C$32, $C$9, 100%, $E$9)</f>
        <v>11.9316</v>
      </c>
      <c r="J382" s="27">
        <f>11.9263 * CHOOSE(CONTROL!$C$32, $C$9, 100%, $E$9)</f>
        <v>11.926299999999999</v>
      </c>
      <c r="K382" s="27">
        <f>11.9316 * CHOOSE(CONTROL!$C$32, $C$9, 100%, $E$9)</f>
        <v>11.9316</v>
      </c>
      <c r="L382" s="27">
        <f>6.6795 * CHOOSE(CONTROL!$C$32, $C$9, 100%, $E$9)</f>
        <v>6.6795</v>
      </c>
      <c r="M382" s="27">
        <f>6.6848 * CHOOSE(CONTROL!$C$32, $C$9, 100%, $E$9)</f>
        <v>6.6848000000000001</v>
      </c>
      <c r="N382" s="27">
        <f>6.6795 * CHOOSE(CONTROL!$C$32, $C$9, 100%, $E$9)</f>
        <v>6.6795</v>
      </c>
      <c r="O382" s="27">
        <f>6.6848 * CHOOSE(CONTROL!$C$32, $C$9, 100%, $E$9)</f>
        <v>6.6848000000000001</v>
      </c>
    </row>
    <row r="383" spans="1:15" ht="15" x14ac:dyDescent="0.2">
      <c r="A383" s="16">
        <v>52505</v>
      </c>
      <c r="B383" s="26">
        <f>5.7205 * CHOOSE(CONTROL!$C$32, $C$9, 100%, $E$9)</f>
        <v>5.7205000000000004</v>
      </c>
      <c r="C383" s="26">
        <f>5.7205 * CHOOSE(CONTROL!$C$32, $C$9, 100%, $E$9)</f>
        <v>5.7205000000000004</v>
      </c>
      <c r="D383" s="26">
        <f>5.7215 * CHOOSE(CONTROL!$C$32, $C$9, 100%, $E$9)</f>
        <v>5.7214999999999998</v>
      </c>
      <c r="E383" s="27">
        <f>6.7197 * CHOOSE(CONTROL!$C$32, $C$9, 100%, $E$9)</f>
        <v>6.7196999999999996</v>
      </c>
      <c r="F383" s="27">
        <f>6.7197 * CHOOSE(CONTROL!$C$32, $C$9, 100%, $E$9)</f>
        <v>6.7196999999999996</v>
      </c>
      <c r="G383" s="27">
        <f>6.7233 * CHOOSE(CONTROL!$C$32, $C$9, 100%, $E$9)</f>
        <v>6.7233000000000001</v>
      </c>
      <c r="H383" s="27">
        <f>11.9512 * CHOOSE(CONTROL!$C$32, $C$9, 100%, $E$9)</f>
        <v>11.9512</v>
      </c>
      <c r="I383" s="27">
        <f>11.9548 * CHOOSE(CONTROL!$C$32, $C$9, 100%, $E$9)</f>
        <v>11.954800000000001</v>
      </c>
      <c r="J383" s="27">
        <f>11.9512 * CHOOSE(CONTROL!$C$32, $C$9, 100%, $E$9)</f>
        <v>11.9512</v>
      </c>
      <c r="K383" s="27">
        <f>11.9548 * CHOOSE(CONTROL!$C$32, $C$9, 100%, $E$9)</f>
        <v>11.954800000000001</v>
      </c>
      <c r="L383" s="27">
        <f>6.7197 * CHOOSE(CONTROL!$C$32, $C$9, 100%, $E$9)</f>
        <v>6.7196999999999996</v>
      </c>
      <c r="M383" s="27">
        <f>6.7233 * CHOOSE(CONTROL!$C$32, $C$9, 100%, $E$9)</f>
        <v>6.7233000000000001</v>
      </c>
      <c r="N383" s="27">
        <f>6.7197 * CHOOSE(CONTROL!$C$32, $C$9, 100%, $E$9)</f>
        <v>6.7196999999999996</v>
      </c>
      <c r="O383" s="27">
        <f>6.7233 * CHOOSE(CONTROL!$C$32, $C$9, 100%, $E$9)</f>
        <v>6.7233000000000001</v>
      </c>
    </row>
    <row r="384" spans="1:15" ht="15" x14ac:dyDescent="0.2">
      <c r="A384" s="16">
        <v>52536</v>
      </c>
      <c r="B384" s="26">
        <f>5.7235 * CHOOSE(CONTROL!$C$32, $C$9, 100%, $E$9)</f>
        <v>5.7234999999999996</v>
      </c>
      <c r="C384" s="26">
        <f>5.7235 * CHOOSE(CONTROL!$C$32, $C$9, 100%, $E$9)</f>
        <v>5.7234999999999996</v>
      </c>
      <c r="D384" s="26">
        <f>5.7246 * CHOOSE(CONTROL!$C$32, $C$9, 100%, $E$9)</f>
        <v>5.7245999999999997</v>
      </c>
      <c r="E384" s="27">
        <f>6.7486 * CHOOSE(CONTROL!$C$32, $C$9, 100%, $E$9)</f>
        <v>6.7485999999999997</v>
      </c>
      <c r="F384" s="27">
        <f>6.7486 * CHOOSE(CONTROL!$C$32, $C$9, 100%, $E$9)</f>
        <v>6.7485999999999997</v>
      </c>
      <c r="G384" s="27">
        <f>6.7522 * CHOOSE(CONTROL!$C$32, $C$9, 100%, $E$9)</f>
        <v>6.7522000000000002</v>
      </c>
      <c r="H384" s="27">
        <f>11.9761 * CHOOSE(CONTROL!$C$32, $C$9, 100%, $E$9)</f>
        <v>11.976100000000001</v>
      </c>
      <c r="I384" s="27">
        <f>11.9797 * CHOOSE(CONTROL!$C$32, $C$9, 100%, $E$9)</f>
        <v>11.979699999999999</v>
      </c>
      <c r="J384" s="27">
        <f>11.9761 * CHOOSE(CONTROL!$C$32, $C$9, 100%, $E$9)</f>
        <v>11.976100000000001</v>
      </c>
      <c r="K384" s="27">
        <f>11.9797 * CHOOSE(CONTROL!$C$32, $C$9, 100%, $E$9)</f>
        <v>11.979699999999999</v>
      </c>
      <c r="L384" s="27">
        <f>6.7486 * CHOOSE(CONTROL!$C$32, $C$9, 100%, $E$9)</f>
        <v>6.7485999999999997</v>
      </c>
      <c r="M384" s="27">
        <f>6.7522 * CHOOSE(CONTROL!$C$32, $C$9, 100%, $E$9)</f>
        <v>6.7522000000000002</v>
      </c>
      <c r="N384" s="27">
        <f>6.7486 * CHOOSE(CONTROL!$C$32, $C$9, 100%, $E$9)</f>
        <v>6.7485999999999997</v>
      </c>
      <c r="O384" s="27">
        <f>6.7522 * CHOOSE(CONTROL!$C$32, $C$9, 100%, $E$9)</f>
        <v>6.7522000000000002</v>
      </c>
    </row>
    <row r="385" spans="1:15" ht="15" x14ac:dyDescent="0.2">
      <c r="A385" s="16">
        <v>52566</v>
      </c>
      <c r="B385" s="26">
        <f>5.7235 * CHOOSE(CONTROL!$C$32, $C$9, 100%, $E$9)</f>
        <v>5.7234999999999996</v>
      </c>
      <c r="C385" s="26">
        <f>5.7235 * CHOOSE(CONTROL!$C$32, $C$9, 100%, $E$9)</f>
        <v>5.7234999999999996</v>
      </c>
      <c r="D385" s="26">
        <f>5.7246 * CHOOSE(CONTROL!$C$32, $C$9, 100%, $E$9)</f>
        <v>5.7245999999999997</v>
      </c>
      <c r="E385" s="27">
        <f>6.6816 * CHOOSE(CONTROL!$C$32, $C$9, 100%, $E$9)</f>
        <v>6.6816000000000004</v>
      </c>
      <c r="F385" s="27">
        <f>6.6816 * CHOOSE(CONTROL!$C$32, $C$9, 100%, $E$9)</f>
        <v>6.6816000000000004</v>
      </c>
      <c r="G385" s="27">
        <f>6.6852 * CHOOSE(CONTROL!$C$32, $C$9, 100%, $E$9)</f>
        <v>6.6852</v>
      </c>
      <c r="H385" s="27">
        <f>12.001 * CHOOSE(CONTROL!$C$32, $C$9, 100%, $E$9)</f>
        <v>12.000999999999999</v>
      </c>
      <c r="I385" s="27">
        <f>12.0046 * CHOOSE(CONTROL!$C$32, $C$9, 100%, $E$9)</f>
        <v>12.0046</v>
      </c>
      <c r="J385" s="27">
        <f>12.001 * CHOOSE(CONTROL!$C$32, $C$9, 100%, $E$9)</f>
        <v>12.000999999999999</v>
      </c>
      <c r="K385" s="27">
        <f>12.0046 * CHOOSE(CONTROL!$C$32, $C$9, 100%, $E$9)</f>
        <v>12.0046</v>
      </c>
      <c r="L385" s="27">
        <f>6.6816 * CHOOSE(CONTROL!$C$32, $C$9, 100%, $E$9)</f>
        <v>6.6816000000000004</v>
      </c>
      <c r="M385" s="27">
        <f>6.6852 * CHOOSE(CONTROL!$C$32, $C$9, 100%, $E$9)</f>
        <v>6.6852</v>
      </c>
      <c r="N385" s="27">
        <f>6.6816 * CHOOSE(CONTROL!$C$32, $C$9, 100%, $E$9)</f>
        <v>6.6816000000000004</v>
      </c>
      <c r="O385" s="27">
        <f>6.6852 * CHOOSE(CONTROL!$C$32, $C$9, 100%, $E$9)</f>
        <v>6.6852</v>
      </c>
    </row>
    <row r="386" spans="1:15" ht="15" x14ac:dyDescent="0.2">
      <c r="A386" s="16">
        <v>52597</v>
      </c>
      <c r="B386" s="26">
        <f>5.7676 * CHOOSE(CONTROL!$C$32, $C$9, 100%, $E$9)</f>
        <v>5.7675999999999998</v>
      </c>
      <c r="C386" s="26">
        <f>5.7676 * CHOOSE(CONTROL!$C$32, $C$9, 100%, $E$9)</f>
        <v>5.7675999999999998</v>
      </c>
      <c r="D386" s="26">
        <f>5.7686 * CHOOSE(CONTROL!$C$32, $C$9, 100%, $E$9)</f>
        <v>5.7686000000000002</v>
      </c>
      <c r="E386" s="27">
        <f>6.7573 * CHOOSE(CONTROL!$C$32, $C$9, 100%, $E$9)</f>
        <v>6.7572999999999999</v>
      </c>
      <c r="F386" s="27">
        <f>6.7573 * CHOOSE(CONTROL!$C$32, $C$9, 100%, $E$9)</f>
        <v>6.7572999999999999</v>
      </c>
      <c r="G386" s="27">
        <f>6.7609 * CHOOSE(CONTROL!$C$32, $C$9, 100%, $E$9)</f>
        <v>6.7609000000000004</v>
      </c>
      <c r="H386" s="27">
        <f>12.026 * CHOOSE(CONTROL!$C$32, $C$9, 100%, $E$9)</f>
        <v>12.026</v>
      </c>
      <c r="I386" s="27">
        <f>12.0297 * CHOOSE(CONTROL!$C$32, $C$9, 100%, $E$9)</f>
        <v>12.0297</v>
      </c>
      <c r="J386" s="27">
        <f>12.026 * CHOOSE(CONTROL!$C$32, $C$9, 100%, $E$9)</f>
        <v>12.026</v>
      </c>
      <c r="K386" s="27">
        <f>12.0297 * CHOOSE(CONTROL!$C$32, $C$9, 100%, $E$9)</f>
        <v>12.0297</v>
      </c>
      <c r="L386" s="27">
        <f>6.7573 * CHOOSE(CONTROL!$C$32, $C$9, 100%, $E$9)</f>
        <v>6.7572999999999999</v>
      </c>
      <c r="M386" s="27">
        <f>6.7609 * CHOOSE(CONTROL!$C$32, $C$9, 100%, $E$9)</f>
        <v>6.7609000000000004</v>
      </c>
      <c r="N386" s="27">
        <f>6.7573 * CHOOSE(CONTROL!$C$32, $C$9, 100%, $E$9)</f>
        <v>6.7572999999999999</v>
      </c>
      <c r="O386" s="27">
        <f>6.7609 * CHOOSE(CONTROL!$C$32, $C$9, 100%, $E$9)</f>
        <v>6.7609000000000004</v>
      </c>
    </row>
    <row r="387" spans="1:15" ht="15" x14ac:dyDescent="0.2">
      <c r="A387" s="16">
        <v>52628</v>
      </c>
      <c r="B387" s="26">
        <f>5.7645 * CHOOSE(CONTROL!$C$32, $C$9, 100%, $E$9)</f>
        <v>5.7645</v>
      </c>
      <c r="C387" s="26">
        <f>5.7645 * CHOOSE(CONTROL!$C$32, $C$9, 100%, $E$9)</f>
        <v>5.7645</v>
      </c>
      <c r="D387" s="26">
        <f>5.7656 * CHOOSE(CONTROL!$C$32, $C$9, 100%, $E$9)</f>
        <v>5.7656000000000001</v>
      </c>
      <c r="E387" s="27">
        <f>6.6244 * CHOOSE(CONTROL!$C$32, $C$9, 100%, $E$9)</f>
        <v>6.6243999999999996</v>
      </c>
      <c r="F387" s="27">
        <f>6.6244 * CHOOSE(CONTROL!$C$32, $C$9, 100%, $E$9)</f>
        <v>6.6243999999999996</v>
      </c>
      <c r="G387" s="27">
        <f>6.628 * CHOOSE(CONTROL!$C$32, $C$9, 100%, $E$9)</f>
        <v>6.6280000000000001</v>
      </c>
      <c r="H387" s="27">
        <f>12.0511 * CHOOSE(CONTROL!$C$32, $C$9, 100%, $E$9)</f>
        <v>12.0511</v>
      </c>
      <c r="I387" s="27">
        <f>12.0547 * CHOOSE(CONTROL!$C$32, $C$9, 100%, $E$9)</f>
        <v>12.0547</v>
      </c>
      <c r="J387" s="27">
        <f>12.0511 * CHOOSE(CONTROL!$C$32, $C$9, 100%, $E$9)</f>
        <v>12.0511</v>
      </c>
      <c r="K387" s="27">
        <f>12.0547 * CHOOSE(CONTROL!$C$32, $C$9, 100%, $E$9)</f>
        <v>12.0547</v>
      </c>
      <c r="L387" s="27">
        <f>6.6244 * CHOOSE(CONTROL!$C$32, $C$9, 100%, $E$9)</f>
        <v>6.6243999999999996</v>
      </c>
      <c r="M387" s="27">
        <f>6.628 * CHOOSE(CONTROL!$C$32, $C$9, 100%, $E$9)</f>
        <v>6.6280000000000001</v>
      </c>
      <c r="N387" s="27">
        <f>6.6244 * CHOOSE(CONTROL!$C$32, $C$9, 100%, $E$9)</f>
        <v>6.6243999999999996</v>
      </c>
      <c r="O387" s="27">
        <f>6.628 * CHOOSE(CONTROL!$C$32, $C$9, 100%, $E$9)</f>
        <v>6.6280000000000001</v>
      </c>
    </row>
    <row r="388" spans="1:15" ht="15" x14ac:dyDescent="0.2">
      <c r="A388" s="16">
        <v>52657</v>
      </c>
      <c r="B388" s="26">
        <f>5.7615 * CHOOSE(CONTROL!$C$32, $C$9, 100%, $E$9)</f>
        <v>5.7614999999999998</v>
      </c>
      <c r="C388" s="26">
        <f>5.7615 * CHOOSE(CONTROL!$C$32, $C$9, 100%, $E$9)</f>
        <v>5.7614999999999998</v>
      </c>
      <c r="D388" s="26">
        <f>5.7626 * CHOOSE(CONTROL!$C$32, $C$9, 100%, $E$9)</f>
        <v>5.7625999999999999</v>
      </c>
      <c r="E388" s="27">
        <f>6.7254 * CHOOSE(CONTROL!$C$32, $C$9, 100%, $E$9)</f>
        <v>6.7253999999999996</v>
      </c>
      <c r="F388" s="27">
        <f>6.7254 * CHOOSE(CONTROL!$C$32, $C$9, 100%, $E$9)</f>
        <v>6.7253999999999996</v>
      </c>
      <c r="G388" s="27">
        <f>6.729 * CHOOSE(CONTROL!$C$32, $C$9, 100%, $E$9)</f>
        <v>6.7290000000000001</v>
      </c>
      <c r="H388" s="27">
        <f>12.0762 * CHOOSE(CONTROL!$C$32, $C$9, 100%, $E$9)</f>
        <v>12.0762</v>
      </c>
      <c r="I388" s="27">
        <f>12.0798 * CHOOSE(CONTROL!$C$32, $C$9, 100%, $E$9)</f>
        <v>12.079800000000001</v>
      </c>
      <c r="J388" s="27">
        <f>12.0762 * CHOOSE(CONTROL!$C$32, $C$9, 100%, $E$9)</f>
        <v>12.0762</v>
      </c>
      <c r="K388" s="27">
        <f>12.0798 * CHOOSE(CONTROL!$C$32, $C$9, 100%, $E$9)</f>
        <v>12.079800000000001</v>
      </c>
      <c r="L388" s="27">
        <f>6.7254 * CHOOSE(CONTROL!$C$32, $C$9, 100%, $E$9)</f>
        <v>6.7253999999999996</v>
      </c>
      <c r="M388" s="27">
        <f>6.729 * CHOOSE(CONTROL!$C$32, $C$9, 100%, $E$9)</f>
        <v>6.7290000000000001</v>
      </c>
      <c r="N388" s="27">
        <f>6.7254 * CHOOSE(CONTROL!$C$32, $C$9, 100%, $E$9)</f>
        <v>6.7253999999999996</v>
      </c>
      <c r="O388" s="27">
        <f>6.729 * CHOOSE(CONTROL!$C$32, $C$9, 100%, $E$9)</f>
        <v>6.7290000000000001</v>
      </c>
    </row>
    <row r="389" spans="1:15" ht="15" x14ac:dyDescent="0.2">
      <c r="A389" s="16">
        <v>52688</v>
      </c>
      <c r="B389" s="26">
        <f>5.7608 * CHOOSE(CONTROL!$C$32, $C$9, 100%, $E$9)</f>
        <v>5.7607999999999997</v>
      </c>
      <c r="C389" s="26">
        <f>5.7608 * CHOOSE(CONTROL!$C$32, $C$9, 100%, $E$9)</f>
        <v>5.7607999999999997</v>
      </c>
      <c r="D389" s="26">
        <f>5.7619 * CHOOSE(CONTROL!$C$32, $C$9, 100%, $E$9)</f>
        <v>5.7618999999999998</v>
      </c>
      <c r="E389" s="27">
        <f>6.8318 * CHOOSE(CONTROL!$C$32, $C$9, 100%, $E$9)</f>
        <v>6.8318000000000003</v>
      </c>
      <c r="F389" s="27">
        <f>6.8318 * CHOOSE(CONTROL!$C$32, $C$9, 100%, $E$9)</f>
        <v>6.8318000000000003</v>
      </c>
      <c r="G389" s="27">
        <f>6.8354 * CHOOSE(CONTROL!$C$32, $C$9, 100%, $E$9)</f>
        <v>6.8353999999999999</v>
      </c>
      <c r="H389" s="27">
        <f>12.1014 * CHOOSE(CONTROL!$C$32, $C$9, 100%, $E$9)</f>
        <v>12.1014</v>
      </c>
      <c r="I389" s="27">
        <f>12.105 * CHOOSE(CONTROL!$C$32, $C$9, 100%, $E$9)</f>
        <v>12.105</v>
      </c>
      <c r="J389" s="27">
        <f>12.1014 * CHOOSE(CONTROL!$C$32, $C$9, 100%, $E$9)</f>
        <v>12.1014</v>
      </c>
      <c r="K389" s="27">
        <f>12.105 * CHOOSE(CONTROL!$C$32, $C$9, 100%, $E$9)</f>
        <v>12.105</v>
      </c>
      <c r="L389" s="27">
        <f>6.8318 * CHOOSE(CONTROL!$C$32, $C$9, 100%, $E$9)</f>
        <v>6.8318000000000003</v>
      </c>
      <c r="M389" s="27">
        <f>6.8354 * CHOOSE(CONTROL!$C$32, $C$9, 100%, $E$9)</f>
        <v>6.8353999999999999</v>
      </c>
      <c r="N389" s="27">
        <f>6.8318 * CHOOSE(CONTROL!$C$32, $C$9, 100%, $E$9)</f>
        <v>6.8318000000000003</v>
      </c>
      <c r="O389" s="27">
        <f>6.8354 * CHOOSE(CONTROL!$C$32, $C$9, 100%, $E$9)</f>
        <v>6.8353999999999999</v>
      </c>
    </row>
    <row r="390" spans="1:15" ht="15" x14ac:dyDescent="0.2">
      <c r="A390" s="16">
        <v>52718</v>
      </c>
      <c r="B390" s="26">
        <f>5.7608 * CHOOSE(CONTROL!$C$32, $C$9, 100%, $E$9)</f>
        <v>5.7607999999999997</v>
      </c>
      <c r="C390" s="26">
        <f>5.7608 * CHOOSE(CONTROL!$C$32, $C$9, 100%, $E$9)</f>
        <v>5.7607999999999997</v>
      </c>
      <c r="D390" s="26">
        <f>5.7624 * CHOOSE(CONTROL!$C$32, $C$9, 100%, $E$9)</f>
        <v>5.7624000000000004</v>
      </c>
      <c r="E390" s="27">
        <f>6.8733 * CHOOSE(CONTROL!$C$32, $C$9, 100%, $E$9)</f>
        <v>6.8733000000000004</v>
      </c>
      <c r="F390" s="27">
        <f>6.8733 * CHOOSE(CONTROL!$C$32, $C$9, 100%, $E$9)</f>
        <v>6.8733000000000004</v>
      </c>
      <c r="G390" s="27">
        <f>6.8786 * CHOOSE(CONTROL!$C$32, $C$9, 100%, $E$9)</f>
        <v>6.8785999999999996</v>
      </c>
      <c r="H390" s="27">
        <f>12.1266 * CHOOSE(CONTROL!$C$32, $C$9, 100%, $E$9)</f>
        <v>12.1266</v>
      </c>
      <c r="I390" s="27">
        <f>12.1319 * CHOOSE(CONTROL!$C$32, $C$9, 100%, $E$9)</f>
        <v>12.1319</v>
      </c>
      <c r="J390" s="27">
        <f>12.1266 * CHOOSE(CONTROL!$C$32, $C$9, 100%, $E$9)</f>
        <v>12.1266</v>
      </c>
      <c r="K390" s="27">
        <f>12.1319 * CHOOSE(CONTROL!$C$32, $C$9, 100%, $E$9)</f>
        <v>12.1319</v>
      </c>
      <c r="L390" s="27">
        <f>6.8733 * CHOOSE(CONTROL!$C$32, $C$9, 100%, $E$9)</f>
        <v>6.8733000000000004</v>
      </c>
      <c r="M390" s="27">
        <f>6.8786 * CHOOSE(CONTROL!$C$32, $C$9, 100%, $E$9)</f>
        <v>6.8785999999999996</v>
      </c>
      <c r="N390" s="27">
        <f>6.8733 * CHOOSE(CONTROL!$C$32, $C$9, 100%, $E$9)</f>
        <v>6.8733000000000004</v>
      </c>
      <c r="O390" s="27">
        <f>6.8786 * CHOOSE(CONTROL!$C$32, $C$9, 100%, $E$9)</f>
        <v>6.8785999999999996</v>
      </c>
    </row>
    <row r="391" spans="1:15" ht="15" x14ac:dyDescent="0.2">
      <c r="A391" s="16">
        <v>52749</v>
      </c>
      <c r="B391" s="26">
        <f>5.7669 * CHOOSE(CONTROL!$C$32, $C$9, 100%, $E$9)</f>
        <v>5.7668999999999997</v>
      </c>
      <c r="C391" s="26">
        <f>5.7669 * CHOOSE(CONTROL!$C$32, $C$9, 100%, $E$9)</f>
        <v>5.7668999999999997</v>
      </c>
      <c r="D391" s="26">
        <f>5.7685 * CHOOSE(CONTROL!$C$32, $C$9, 100%, $E$9)</f>
        <v>5.7685000000000004</v>
      </c>
      <c r="E391" s="27">
        <f>6.836 * CHOOSE(CONTROL!$C$32, $C$9, 100%, $E$9)</f>
        <v>6.8360000000000003</v>
      </c>
      <c r="F391" s="27">
        <f>6.836 * CHOOSE(CONTROL!$C$32, $C$9, 100%, $E$9)</f>
        <v>6.8360000000000003</v>
      </c>
      <c r="G391" s="27">
        <f>6.8413 * CHOOSE(CONTROL!$C$32, $C$9, 100%, $E$9)</f>
        <v>6.8413000000000004</v>
      </c>
      <c r="H391" s="27">
        <f>12.1518 * CHOOSE(CONTROL!$C$32, $C$9, 100%, $E$9)</f>
        <v>12.1518</v>
      </c>
      <c r="I391" s="27">
        <f>12.1571 * CHOOSE(CONTROL!$C$32, $C$9, 100%, $E$9)</f>
        <v>12.1571</v>
      </c>
      <c r="J391" s="27">
        <f>12.1518 * CHOOSE(CONTROL!$C$32, $C$9, 100%, $E$9)</f>
        <v>12.1518</v>
      </c>
      <c r="K391" s="27">
        <f>12.1571 * CHOOSE(CONTROL!$C$32, $C$9, 100%, $E$9)</f>
        <v>12.1571</v>
      </c>
      <c r="L391" s="27">
        <f>6.836 * CHOOSE(CONTROL!$C$32, $C$9, 100%, $E$9)</f>
        <v>6.8360000000000003</v>
      </c>
      <c r="M391" s="27">
        <f>6.8413 * CHOOSE(CONTROL!$C$32, $C$9, 100%, $E$9)</f>
        <v>6.8413000000000004</v>
      </c>
      <c r="N391" s="27">
        <f>6.836 * CHOOSE(CONTROL!$C$32, $C$9, 100%, $E$9)</f>
        <v>6.8360000000000003</v>
      </c>
      <c r="O391" s="27">
        <f>6.8413 * CHOOSE(CONTROL!$C$32, $C$9, 100%, $E$9)</f>
        <v>6.8413000000000004</v>
      </c>
    </row>
    <row r="392" spans="1:15" ht="15" x14ac:dyDescent="0.2">
      <c r="A392" s="16">
        <v>52779</v>
      </c>
      <c r="B392" s="26">
        <f>5.845 * CHOOSE(CONTROL!$C$32, $C$9, 100%, $E$9)</f>
        <v>5.8449999999999998</v>
      </c>
      <c r="C392" s="26">
        <f>5.845 * CHOOSE(CONTROL!$C$32, $C$9, 100%, $E$9)</f>
        <v>5.8449999999999998</v>
      </c>
      <c r="D392" s="26">
        <f>5.8465 * CHOOSE(CONTROL!$C$32, $C$9, 100%, $E$9)</f>
        <v>5.8464999999999998</v>
      </c>
      <c r="E392" s="27">
        <f>6.8655 * CHOOSE(CONTROL!$C$32, $C$9, 100%, $E$9)</f>
        <v>6.8654999999999999</v>
      </c>
      <c r="F392" s="27">
        <f>6.8655 * CHOOSE(CONTROL!$C$32, $C$9, 100%, $E$9)</f>
        <v>6.8654999999999999</v>
      </c>
      <c r="G392" s="27">
        <f>6.8708 * CHOOSE(CONTROL!$C$32, $C$9, 100%, $E$9)</f>
        <v>6.8708</v>
      </c>
      <c r="H392" s="27">
        <f>12.1771 * CHOOSE(CONTROL!$C$32, $C$9, 100%, $E$9)</f>
        <v>12.177099999999999</v>
      </c>
      <c r="I392" s="27">
        <f>12.1824 * CHOOSE(CONTROL!$C$32, $C$9, 100%, $E$9)</f>
        <v>12.182399999999999</v>
      </c>
      <c r="J392" s="27">
        <f>12.1771 * CHOOSE(CONTROL!$C$32, $C$9, 100%, $E$9)</f>
        <v>12.177099999999999</v>
      </c>
      <c r="K392" s="27">
        <f>12.1824 * CHOOSE(CONTROL!$C$32, $C$9, 100%, $E$9)</f>
        <v>12.182399999999999</v>
      </c>
      <c r="L392" s="27">
        <f>6.8655 * CHOOSE(CONTROL!$C$32, $C$9, 100%, $E$9)</f>
        <v>6.8654999999999999</v>
      </c>
      <c r="M392" s="27">
        <f>6.8708 * CHOOSE(CONTROL!$C$32, $C$9, 100%, $E$9)</f>
        <v>6.8708</v>
      </c>
      <c r="N392" s="27">
        <f>6.8655 * CHOOSE(CONTROL!$C$32, $C$9, 100%, $E$9)</f>
        <v>6.8654999999999999</v>
      </c>
      <c r="O392" s="27">
        <f>6.8708 * CHOOSE(CONTROL!$C$32, $C$9, 100%, $E$9)</f>
        <v>6.8708</v>
      </c>
    </row>
    <row r="393" spans="1:15" ht="15" x14ac:dyDescent="0.2">
      <c r="A393" s="16">
        <v>52810</v>
      </c>
      <c r="B393" s="26">
        <f>5.8516 * CHOOSE(CONTROL!$C$32, $C$9, 100%, $E$9)</f>
        <v>5.8516000000000004</v>
      </c>
      <c r="C393" s="26">
        <f>5.8516 * CHOOSE(CONTROL!$C$32, $C$9, 100%, $E$9)</f>
        <v>5.8516000000000004</v>
      </c>
      <c r="D393" s="26">
        <f>5.8532 * CHOOSE(CONTROL!$C$32, $C$9, 100%, $E$9)</f>
        <v>5.8532000000000002</v>
      </c>
      <c r="E393" s="27">
        <f>6.7456 * CHOOSE(CONTROL!$C$32, $C$9, 100%, $E$9)</f>
        <v>6.7455999999999996</v>
      </c>
      <c r="F393" s="27">
        <f>6.7456 * CHOOSE(CONTROL!$C$32, $C$9, 100%, $E$9)</f>
        <v>6.7455999999999996</v>
      </c>
      <c r="G393" s="27">
        <f>6.7509 * CHOOSE(CONTROL!$C$32, $C$9, 100%, $E$9)</f>
        <v>6.7508999999999997</v>
      </c>
      <c r="H393" s="27">
        <f>12.2025 * CHOOSE(CONTROL!$C$32, $C$9, 100%, $E$9)</f>
        <v>12.202500000000001</v>
      </c>
      <c r="I393" s="27">
        <f>12.2078 * CHOOSE(CONTROL!$C$32, $C$9, 100%, $E$9)</f>
        <v>12.207800000000001</v>
      </c>
      <c r="J393" s="27">
        <f>12.2025 * CHOOSE(CONTROL!$C$32, $C$9, 100%, $E$9)</f>
        <v>12.202500000000001</v>
      </c>
      <c r="K393" s="27">
        <f>12.2078 * CHOOSE(CONTROL!$C$32, $C$9, 100%, $E$9)</f>
        <v>12.207800000000001</v>
      </c>
      <c r="L393" s="27">
        <f>6.7456 * CHOOSE(CONTROL!$C$32, $C$9, 100%, $E$9)</f>
        <v>6.7455999999999996</v>
      </c>
      <c r="M393" s="27">
        <f>6.7509 * CHOOSE(CONTROL!$C$32, $C$9, 100%, $E$9)</f>
        <v>6.7508999999999997</v>
      </c>
      <c r="N393" s="27">
        <f>6.7456 * CHOOSE(CONTROL!$C$32, $C$9, 100%, $E$9)</f>
        <v>6.7455999999999996</v>
      </c>
      <c r="O393" s="27">
        <f>6.7509 * CHOOSE(CONTROL!$C$32, $C$9, 100%, $E$9)</f>
        <v>6.7508999999999997</v>
      </c>
    </row>
    <row r="394" spans="1:15" ht="15" x14ac:dyDescent="0.2">
      <c r="A394" s="16">
        <v>52841</v>
      </c>
      <c r="B394" s="26">
        <f>5.8486 * CHOOSE(CONTROL!$C$32, $C$9, 100%, $E$9)</f>
        <v>5.8486000000000002</v>
      </c>
      <c r="C394" s="26">
        <f>5.8486 * CHOOSE(CONTROL!$C$32, $C$9, 100%, $E$9)</f>
        <v>5.8486000000000002</v>
      </c>
      <c r="D394" s="26">
        <f>5.8502 * CHOOSE(CONTROL!$C$32, $C$9, 100%, $E$9)</f>
        <v>5.8502000000000001</v>
      </c>
      <c r="E394" s="27">
        <f>6.7297 * CHOOSE(CONTROL!$C$32, $C$9, 100%, $E$9)</f>
        <v>6.7297000000000002</v>
      </c>
      <c r="F394" s="27">
        <f>6.7297 * CHOOSE(CONTROL!$C$32, $C$9, 100%, $E$9)</f>
        <v>6.7297000000000002</v>
      </c>
      <c r="G394" s="27">
        <f>6.735 * CHOOSE(CONTROL!$C$32, $C$9, 100%, $E$9)</f>
        <v>6.7350000000000003</v>
      </c>
      <c r="H394" s="27">
        <f>12.2279 * CHOOSE(CONTROL!$C$32, $C$9, 100%, $E$9)</f>
        <v>12.2279</v>
      </c>
      <c r="I394" s="27">
        <f>12.2332 * CHOOSE(CONTROL!$C$32, $C$9, 100%, $E$9)</f>
        <v>12.2332</v>
      </c>
      <c r="J394" s="27">
        <f>12.2279 * CHOOSE(CONTROL!$C$32, $C$9, 100%, $E$9)</f>
        <v>12.2279</v>
      </c>
      <c r="K394" s="27">
        <f>12.2332 * CHOOSE(CONTROL!$C$32, $C$9, 100%, $E$9)</f>
        <v>12.2332</v>
      </c>
      <c r="L394" s="27">
        <f>6.7297 * CHOOSE(CONTROL!$C$32, $C$9, 100%, $E$9)</f>
        <v>6.7297000000000002</v>
      </c>
      <c r="M394" s="27">
        <f>6.735 * CHOOSE(CONTROL!$C$32, $C$9, 100%, $E$9)</f>
        <v>6.7350000000000003</v>
      </c>
      <c r="N394" s="27">
        <f>6.7297 * CHOOSE(CONTROL!$C$32, $C$9, 100%, $E$9)</f>
        <v>6.7297000000000002</v>
      </c>
      <c r="O394" s="27">
        <f>6.735 * CHOOSE(CONTROL!$C$32, $C$9, 100%, $E$9)</f>
        <v>6.7350000000000003</v>
      </c>
    </row>
    <row r="395" spans="1:15" ht="15" x14ac:dyDescent="0.2">
      <c r="A395" s="16">
        <v>52871</v>
      </c>
      <c r="B395" s="26">
        <f>5.8505 * CHOOSE(CONTROL!$C$32, $C$9, 100%, $E$9)</f>
        <v>5.8505000000000003</v>
      </c>
      <c r="C395" s="26">
        <f>5.8505 * CHOOSE(CONTROL!$C$32, $C$9, 100%, $E$9)</f>
        <v>5.8505000000000003</v>
      </c>
      <c r="D395" s="26">
        <f>5.8516 * CHOOSE(CONTROL!$C$32, $C$9, 100%, $E$9)</f>
        <v>5.8516000000000004</v>
      </c>
      <c r="E395" s="27">
        <f>6.7716 * CHOOSE(CONTROL!$C$32, $C$9, 100%, $E$9)</f>
        <v>6.7716000000000003</v>
      </c>
      <c r="F395" s="27">
        <f>6.7716 * CHOOSE(CONTROL!$C$32, $C$9, 100%, $E$9)</f>
        <v>6.7716000000000003</v>
      </c>
      <c r="G395" s="27">
        <f>6.7752 * CHOOSE(CONTROL!$C$32, $C$9, 100%, $E$9)</f>
        <v>6.7751999999999999</v>
      </c>
      <c r="H395" s="27">
        <f>12.2534 * CHOOSE(CONTROL!$C$32, $C$9, 100%, $E$9)</f>
        <v>12.253399999999999</v>
      </c>
      <c r="I395" s="27">
        <f>12.257 * CHOOSE(CONTROL!$C$32, $C$9, 100%, $E$9)</f>
        <v>12.257</v>
      </c>
      <c r="J395" s="27">
        <f>12.2534 * CHOOSE(CONTROL!$C$32, $C$9, 100%, $E$9)</f>
        <v>12.253399999999999</v>
      </c>
      <c r="K395" s="27">
        <f>12.257 * CHOOSE(CONTROL!$C$32, $C$9, 100%, $E$9)</f>
        <v>12.257</v>
      </c>
      <c r="L395" s="27">
        <f>6.7716 * CHOOSE(CONTROL!$C$32, $C$9, 100%, $E$9)</f>
        <v>6.7716000000000003</v>
      </c>
      <c r="M395" s="27">
        <f>6.7752 * CHOOSE(CONTROL!$C$32, $C$9, 100%, $E$9)</f>
        <v>6.7751999999999999</v>
      </c>
      <c r="N395" s="27">
        <f>6.7716 * CHOOSE(CONTROL!$C$32, $C$9, 100%, $E$9)</f>
        <v>6.7716000000000003</v>
      </c>
      <c r="O395" s="27">
        <f>6.7752 * CHOOSE(CONTROL!$C$32, $C$9, 100%, $E$9)</f>
        <v>6.7751999999999999</v>
      </c>
    </row>
    <row r="396" spans="1:15" ht="15" x14ac:dyDescent="0.2">
      <c r="A396" s="16">
        <v>52902</v>
      </c>
      <c r="B396" s="26">
        <f>5.8536 * CHOOSE(CONTROL!$C$32, $C$9, 100%, $E$9)</f>
        <v>5.8536000000000001</v>
      </c>
      <c r="C396" s="26">
        <f>5.8536 * CHOOSE(CONTROL!$C$32, $C$9, 100%, $E$9)</f>
        <v>5.8536000000000001</v>
      </c>
      <c r="D396" s="26">
        <f>5.8546 * CHOOSE(CONTROL!$C$32, $C$9, 100%, $E$9)</f>
        <v>5.8545999999999996</v>
      </c>
      <c r="E396" s="27">
        <f>6.8014 * CHOOSE(CONTROL!$C$32, $C$9, 100%, $E$9)</f>
        <v>6.8014000000000001</v>
      </c>
      <c r="F396" s="27">
        <f>6.8014 * CHOOSE(CONTROL!$C$32, $C$9, 100%, $E$9)</f>
        <v>6.8014000000000001</v>
      </c>
      <c r="G396" s="27">
        <f>6.805 * CHOOSE(CONTROL!$C$32, $C$9, 100%, $E$9)</f>
        <v>6.8049999999999997</v>
      </c>
      <c r="H396" s="27">
        <f>12.2789 * CHOOSE(CONTROL!$C$32, $C$9, 100%, $E$9)</f>
        <v>12.2789</v>
      </c>
      <c r="I396" s="27">
        <f>12.2826 * CHOOSE(CONTROL!$C$32, $C$9, 100%, $E$9)</f>
        <v>12.2826</v>
      </c>
      <c r="J396" s="27">
        <f>12.2789 * CHOOSE(CONTROL!$C$32, $C$9, 100%, $E$9)</f>
        <v>12.2789</v>
      </c>
      <c r="K396" s="27">
        <f>12.2826 * CHOOSE(CONTROL!$C$32, $C$9, 100%, $E$9)</f>
        <v>12.2826</v>
      </c>
      <c r="L396" s="27">
        <f>6.8014 * CHOOSE(CONTROL!$C$32, $C$9, 100%, $E$9)</f>
        <v>6.8014000000000001</v>
      </c>
      <c r="M396" s="27">
        <f>6.805 * CHOOSE(CONTROL!$C$32, $C$9, 100%, $E$9)</f>
        <v>6.8049999999999997</v>
      </c>
      <c r="N396" s="27">
        <f>6.8014 * CHOOSE(CONTROL!$C$32, $C$9, 100%, $E$9)</f>
        <v>6.8014000000000001</v>
      </c>
      <c r="O396" s="27">
        <f>6.805 * CHOOSE(CONTROL!$C$32, $C$9, 100%, $E$9)</f>
        <v>6.8049999999999997</v>
      </c>
    </row>
    <row r="397" spans="1:15" ht="15" x14ac:dyDescent="0.2">
      <c r="A397" s="16">
        <v>52932</v>
      </c>
      <c r="B397" s="26">
        <f>5.8536 * CHOOSE(CONTROL!$C$32, $C$9, 100%, $E$9)</f>
        <v>5.8536000000000001</v>
      </c>
      <c r="C397" s="26">
        <f>5.8536 * CHOOSE(CONTROL!$C$32, $C$9, 100%, $E$9)</f>
        <v>5.8536000000000001</v>
      </c>
      <c r="D397" s="26">
        <f>5.8546 * CHOOSE(CONTROL!$C$32, $C$9, 100%, $E$9)</f>
        <v>5.8545999999999996</v>
      </c>
      <c r="E397" s="27">
        <f>6.7322 * CHOOSE(CONTROL!$C$32, $C$9, 100%, $E$9)</f>
        <v>6.7321999999999997</v>
      </c>
      <c r="F397" s="27">
        <f>6.7322 * CHOOSE(CONTROL!$C$32, $C$9, 100%, $E$9)</f>
        <v>6.7321999999999997</v>
      </c>
      <c r="G397" s="27">
        <f>6.7358 * CHOOSE(CONTROL!$C$32, $C$9, 100%, $E$9)</f>
        <v>6.7358000000000002</v>
      </c>
      <c r="H397" s="27">
        <f>12.3045 * CHOOSE(CONTROL!$C$32, $C$9, 100%, $E$9)</f>
        <v>12.304500000000001</v>
      </c>
      <c r="I397" s="27">
        <f>12.3081 * CHOOSE(CONTROL!$C$32, $C$9, 100%, $E$9)</f>
        <v>12.3081</v>
      </c>
      <c r="J397" s="27">
        <f>12.3045 * CHOOSE(CONTROL!$C$32, $C$9, 100%, $E$9)</f>
        <v>12.304500000000001</v>
      </c>
      <c r="K397" s="27">
        <f>12.3081 * CHOOSE(CONTROL!$C$32, $C$9, 100%, $E$9)</f>
        <v>12.3081</v>
      </c>
      <c r="L397" s="27">
        <f>6.7322 * CHOOSE(CONTROL!$C$32, $C$9, 100%, $E$9)</f>
        <v>6.7321999999999997</v>
      </c>
      <c r="M397" s="27">
        <f>6.7358 * CHOOSE(CONTROL!$C$32, $C$9, 100%, $E$9)</f>
        <v>6.7358000000000002</v>
      </c>
      <c r="N397" s="27">
        <f>6.7322 * CHOOSE(CONTROL!$C$32, $C$9, 100%, $E$9)</f>
        <v>6.7321999999999997</v>
      </c>
      <c r="O397" s="27">
        <f>6.7358 * CHOOSE(CONTROL!$C$32, $C$9, 100%, $E$9)</f>
        <v>6.7358000000000002</v>
      </c>
    </row>
    <row r="398" spans="1:15" ht="15" x14ac:dyDescent="0.2">
      <c r="A398" s="16">
        <v>52963</v>
      </c>
      <c r="B398" s="26">
        <f>5.8984 * CHOOSE(CONTROL!$C$32, $C$9, 100%, $E$9)</f>
        <v>5.8983999999999996</v>
      </c>
      <c r="C398" s="26">
        <f>5.8984 * CHOOSE(CONTROL!$C$32, $C$9, 100%, $E$9)</f>
        <v>5.8983999999999996</v>
      </c>
      <c r="D398" s="26">
        <f>5.8995 * CHOOSE(CONTROL!$C$32, $C$9, 100%, $E$9)</f>
        <v>5.8994999999999997</v>
      </c>
      <c r="E398" s="27">
        <f>6.8151 * CHOOSE(CONTROL!$C$32, $C$9, 100%, $E$9)</f>
        <v>6.8151000000000002</v>
      </c>
      <c r="F398" s="27">
        <f>6.8151 * CHOOSE(CONTROL!$C$32, $C$9, 100%, $E$9)</f>
        <v>6.8151000000000002</v>
      </c>
      <c r="G398" s="27">
        <f>6.8187 * CHOOSE(CONTROL!$C$32, $C$9, 100%, $E$9)</f>
        <v>6.8186999999999998</v>
      </c>
      <c r="H398" s="27">
        <f>12.3302 * CHOOSE(CONTROL!$C$32, $C$9, 100%, $E$9)</f>
        <v>12.3302</v>
      </c>
      <c r="I398" s="27">
        <f>12.3338 * CHOOSE(CONTROL!$C$32, $C$9, 100%, $E$9)</f>
        <v>12.3338</v>
      </c>
      <c r="J398" s="27">
        <f>12.3302 * CHOOSE(CONTROL!$C$32, $C$9, 100%, $E$9)</f>
        <v>12.3302</v>
      </c>
      <c r="K398" s="27">
        <f>12.3338 * CHOOSE(CONTROL!$C$32, $C$9, 100%, $E$9)</f>
        <v>12.3338</v>
      </c>
      <c r="L398" s="27">
        <f>6.8151 * CHOOSE(CONTROL!$C$32, $C$9, 100%, $E$9)</f>
        <v>6.8151000000000002</v>
      </c>
      <c r="M398" s="27">
        <f>6.8187 * CHOOSE(CONTROL!$C$32, $C$9, 100%, $E$9)</f>
        <v>6.8186999999999998</v>
      </c>
      <c r="N398" s="27">
        <f>6.8151 * CHOOSE(CONTROL!$C$32, $C$9, 100%, $E$9)</f>
        <v>6.8151000000000002</v>
      </c>
      <c r="O398" s="27">
        <f>6.8187 * CHOOSE(CONTROL!$C$32, $C$9, 100%, $E$9)</f>
        <v>6.8186999999999998</v>
      </c>
    </row>
    <row r="399" spans="1:15" ht="15" x14ac:dyDescent="0.2">
      <c r="A399" s="16">
        <v>52994</v>
      </c>
      <c r="B399" s="26">
        <f>5.8954 * CHOOSE(CONTROL!$C$32, $C$9, 100%, $E$9)</f>
        <v>5.8954000000000004</v>
      </c>
      <c r="C399" s="26">
        <f>5.8954 * CHOOSE(CONTROL!$C$32, $C$9, 100%, $E$9)</f>
        <v>5.8954000000000004</v>
      </c>
      <c r="D399" s="26">
        <f>5.8965 * CHOOSE(CONTROL!$C$32, $C$9, 100%, $E$9)</f>
        <v>5.8964999999999996</v>
      </c>
      <c r="E399" s="27">
        <f>6.678 * CHOOSE(CONTROL!$C$32, $C$9, 100%, $E$9)</f>
        <v>6.6779999999999999</v>
      </c>
      <c r="F399" s="27">
        <f>6.678 * CHOOSE(CONTROL!$C$32, $C$9, 100%, $E$9)</f>
        <v>6.6779999999999999</v>
      </c>
      <c r="G399" s="27">
        <f>6.6816 * CHOOSE(CONTROL!$C$32, $C$9, 100%, $E$9)</f>
        <v>6.6816000000000004</v>
      </c>
      <c r="H399" s="27">
        <f>12.3558 * CHOOSE(CONTROL!$C$32, $C$9, 100%, $E$9)</f>
        <v>12.3558</v>
      </c>
      <c r="I399" s="27">
        <f>12.3595 * CHOOSE(CONTROL!$C$32, $C$9, 100%, $E$9)</f>
        <v>12.359500000000001</v>
      </c>
      <c r="J399" s="27">
        <f>12.3558 * CHOOSE(CONTROL!$C$32, $C$9, 100%, $E$9)</f>
        <v>12.3558</v>
      </c>
      <c r="K399" s="27">
        <f>12.3595 * CHOOSE(CONTROL!$C$32, $C$9, 100%, $E$9)</f>
        <v>12.359500000000001</v>
      </c>
      <c r="L399" s="27">
        <f>6.678 * CHOOSE(CONTROL!$C$32, $C$9, 100%, $E$9)</f>
        <v>6.6779999999999999</v>
      </c>
      <c r="M399" s="27">
        <f>6.6816 * CHOOSE(CONTROL!$C$32, $C$9, 100%, $E$9)</f>
        <v>6.6816000000000004</v>
      </c>
      <c r="N399" s="27">
        <f>6.678 * CHOOSE(CONTROL!$C$32, $C$9, 100%, $E$9)</f>
        <v>6.6779999999999999</v>
      </c>
      <c r="O399" s="27">
        <f>6.6816 * CHOOSE(CONTROL!$C$32, $C$9, 100%, $E$9)</f>
        <v>6.6816000000000004</v>
      </c>
    </row>
    <row r="400" spans="1:15" ht="15" x14ac:dyDescent="0.2">
      <c r="A400" s="16">
        <v>53022</v>
      </c>
      <c r="B400" s="26">
        <f>5.8924 * CHOOSE(CONTROL!$C$32, $C$9, 100%, $E$9)</f>
        <v>5.8924000000000003</v>
      </c>
      <c r="C400" s="26">
        <f>5.8924 * CHOOSE(CONTROL!$C$32, $C$9, 100%, $E$9)</f>
        <v>5.8924000000000003</v>
      </c>
      <c r="D400" s="26">
        <f>5.8934 * CHOOSE(CONTROL!$C$32, $C$9, 100%, $E$9)</f>
        <v>5.8933999999999997</v>
      </c>
      <c r="E400" s="27">
        <f>6.7823 * CHOOSE(CONTROL!$C$32, $C$9, 100%, $E$9)</f>
        <v>6.7823000000000002</v>
      </c>
      <c r="F400" s="27">
        <f>6.7823 * CHOOSE(CONTROL!$C$32, $C$9, 100%, $E$9)</f>
        <v>6.7823000000000002</v>
      </c>
      <c r="G400" s="27">
        <f>6.7859 * CHOOSE(CONTROL!$C$32, $C$9, 100%, $E$9)</f>
        <v>6.7858999999999998</v>
      </c>
      <c r="H400" s="27">
        <f>12.3816 * CHOOSE(CONTROL!$C$32, $C$9, 100%, $E$9)</f>
        <v>12.381600000000001</v>
      </c>
      <c r="I400" s="27">
        <f>12.3852 * CHOOSE(CONTROL!$C$32, $C$9, 100%, $E$9)</f>
        <v>12.385199999999999</v>
      </c>
      <c r="J400" s="27">
        <f>12.3816 * CHOOSE(CONTROL!$C$32, $C$9, 100%, $E$9)</f>
        <v>12.381600000000001</v>
      </c>
      <c r="K400" s="27">
        <f>12.3852 * CHOOSE(CONTROL!$C$32, $C$9, 100%, $E$9)</f>
        <v>12.385199999999999</v>
      </c>
      <c r="L400" s="27">
        <f>6.7823 * CHOOSE(CONTROL!$C$32, $C$9, 100%, $E$9)</f>
        <v>6.7823000000000002</v>
      </c>
      <c r="M400" s="27">
        <f>6.7859 * CHOOSE(CONTROL!$C$32, $C$9, 100%, $E$9)</f>
        <v>6.7858999999999998</v>
      </c>
      <c r="N400" s="27">
        <f>6.7823 * CHOOSE(CONTROL!$C$32, $C$9, 100%, $E$9)</f>
        <v>6.7823000000000002</v>
      </c>
      <c r="O400" s="27">
        <f>6.7859 * CHOOSE(CONTROL!$C$32, $C$9, 100%, $E$9)</f>
        <v>6.7858999999999998</v>
      </c>
    </row>
    <row r="401" spans="1:15" ht="15" x14ac:dyDescent="0.2">
      <c r="A401" s="16">
        <v>53053</v>
      </c>
      <c r="B401" s="26">
        <f>5.8918 * CHOOSE(CONTROL!$C$32, $C$9, 100%, $E$9)</f>
        <v>5.8917999999999999</v>
      </c>
      <c r="C401" s="26">
        <f>5.8918 * CHOOSE(CONTROL!$C$32, $C$9, 100%, $E$9)</f>
        <v>5.8917999999999999</v>
      </c>
      <c r="D401" s="26">
        <f>5.8929 * CHOOSE(CONTROL!$C$32, $C$9, 100%, $E$9)</f>
        <v>5.8929</v>
      </c>
      <c r="E401" s="27">
        <f>6.8923 * CHOOSE(CONTROL!$C$32, $C$9, 100%, $E$9)</f>
        <v>6.8922999999999996</v>
      </c>
      <c r="F401" s="27">
        <f>6.8923 * CHOOSE(CONTROL!$C$32, $C$9, 100%, $E$9)</f>
        <v>6.8922999999999996</v>
      </c>
      <c r="G401" s="27">
        <f>6.896 * CHOOSE(CONTROL!$C$32, $C$9, 100%, $E$9)</f>
        <v>6.8959999999999999</v>
      </c>
      <c r="H401" s="27">
        <f>12.4074 * CHOOSE(CONTROL!$C$32, $C$9, 100%, $E$9)</f>
        <v>12.407400000000001</v>
      </c>
      <c r="I401" s="27">
        <f>12.411 * CHOOSE(CONTROL!$C$32, $C$9, 100%, $E$9)</f>
        <v>12.411</v>
      </c>
      <c r="J401" s="27">
        <f>12.4074 * CHOOSE(CONTROL!$C$32, $C$9, 100%, $E$9)</f>
        <v>12.407400000000001</v>
      </c>
      <c r="K401" s="27">
        <f>12.411 * CHOOSE(CONTROL!$C$32, $C$9, 100%, $E$9)</f>
        <v>12.411</v>
      </c>
      <c r="L401" s="27">
        <f>6.8923 * CHOOSE(CONTROL!$C$32, $C$9, 100%, $E$9)</f>
        <v>6.8922999999999996</v>
      </c>
      <c r="M401" s="27">
        <f>6.896 * CHOOSE(CONTROL!$C$32, $C$9, 100%, $E$9)</f>
        <v>6.8959999999999999</v>
      </c>
      <c r="N401" s="27">
        <f>6.8923 * CHOOSE(CONTROL!$C$32, $C$9, 100%, $E$9)</f>
        <v>6.8922999999999996</v>
      </c>
      <c r="O401" s="27">
        <f>6.896 * CHOOSE(CONTROL!$C$32, $C$9, 100%, $E$9)</f>
        <v>6.8959999999999999</v>
      </c>
    </row>
    <row r="402" spans="1:15" ht="15" x14ac:dyDescent="0.2">
      <c r="A402" s="16">
        <v>53083</v>
      </c>
      <c r="B402" s="26">
        <f>5.8918 * CHOOSE(CONTROL!$C$32, $C$9, 100%, $E$9)</f>
        <v>5.8917999999999999</v>
      </c>
      <c r="C402" s="26">
        <f>5.8918 * CHOOSE(CONTROL!$C$32, $C$9, 100%, $E$9)</f>
        <v>5.8917999999999999</v>
      </c>
      <c r="D402" s="26">
        <f>5.8934 * CHOOSE(CONTROL!$C$32, $C$9, 100%, $E$9)</f>
        <v>5.8933999999999997</v>
      </c>
      <c r="E402" s="27">
        <f>6.9352 * CHOOSE(CONTROL!$C$32, $C$9, 100%, $E$9)</f>
        <v>6.9352</v>
      </c>
      <c r="F402" s="27">
        <f>6.9352 * CHOOSE(CONTROL!$C$32, $C$9, 100%, $E$9)</f>
        <v>6.9352</v>
      </c>
      <c r="G402" s="27">
        <f>6.9405 * CHOOSE(CONTROL!$C$32, $C$9, 100%, $E$9)</f>
        <v>6.9405000000000001</v>
      </c>
      <c r="H402" s="27">
        <f>12.4332 * CHOOSE(CONTROL!$C$32, $C$9, 100%, $E$9)</f>
        <v>12.433199999999999</v>
      </c>
      <c r="I402" s="27">
        <f>12.4385 * CHOOSE(CONTROL!$C$32, $C$9, 100%, $E$9)</f>
        <v>12.438499999999999</v>
      </c>
      <c r="J402" s="27">
        <f>12.4332 * CHOOSE(CONTROL!$C$32, $C$9, 100%, $E$9)</f>
        <v>12.433199999999999</v>
      </c>
      <c r="K402" s="27">
        <f>12.4385 * CHOOSE(CONTROL!$C$32, $C$9, 100%, $E$9)</f>
        <v>12.438499999999999</v>
      </c>
      <c r="L402" s="27">
        <f>6.9352 * CHOOSE(CONTROL!$C$32, $C$9, 100%, $E$9)</f>
        <v>6.9352</v>
      </c>
      <c r="M402" s="27">
        <f>6.9405 * CHOOSE(CONTROL!$C$32, $C$9, 100%, $E$9)</f>
        <v>6.9405000000000001</v>
      </c>
      <c r="N402" s="27">
        <f>6.9352 * CHOOSE(CONTROL!$C$32, $C$9, 100%, $E$9)</f>
        <v>6.9352</v>
      </c>
      <c r="O402" s="27">
        <f>6.9405 * CHOOSE(CONTROL!$C$32, $C$9, 100%, $E$9)</f>
        <v>6.9405000000000001</v>
      </c>
    </row>
    <row r="403" spans="1:15" ht="15" x14ac:dyDescent="0.2">
      <c r="A403" s="16">
        <v>53114</v>
      </c>
      <c r="B403" s="26">
        <f>5.8979 * CHOOSE(CONTROL!$C$32, $C$9, 100%, $E$9)</f>
        <v>5.8978999999999999</v>
      </c>
      <c r="C403" s="26">
        <f>5.8979 * CHOOSE(CONTROL!$C$32, $C$9, 100%, $E$9)</f>
        <v>5.8978999999999999</v>
      </c>
      <c r="D403" s="26">
        <f>5.8995 * CHOOSE(CONTROL!$C$32, $C$9, 100%, $E$9)</f>
        <v>5.8994999999999997</v>
      </c>
      <c r="E403" s="27">
        <f>6.8966 * CHOOSE(CONTROL!$C$32, $C$9, 100%, $E$9)</f>
        <v>6.8966000000000003</v>
      </c>
      <c r="F403" s="27">
        <f>6.8966 * CHOOSE(CONTROL!$C$32, $C$9, 100%, $E$9)</f>
        <v>6.8966000000000003</v>
      </c>
      <c r="G403" s="27">
        <f>6.9019 * CHOOSE(CONTROL!$C$32, $C$9, 100%, $E$9)</f>
        <v>6.9019000000000004</v>
      </c>
      <c r="H403" s="27">
        <f>12.4591 * CHOOSE(CONTROL!$C$32, $C$9, 100%, $E$9)</f>
        <v>12.459099999999999</v>
      </c>
      <c r="I403" s="27">
        <f>12.4644 * CHOOSE(CONTROL!$C$32, $C$9, 100%, $E$9)</f>
        <v>12.464399999999999</v>
      </c>
      <c r="J403" s="27">
        <f>12.4591 * CHOOSE(CONTROL!$C$32, $C$9, 100%, $E$9)</f>
        <v>12.459099999999999</v>
      </c>
      <c r="K403" s="27">
        <f>12.4644 * CHOOSE(CONTROL!$C$32, $C$9, 100%, $E$9)</f>
        <v>12.464399999999999</v>
      </c>
      <c r="L403" s="27">
        <f>6.8966 * CHOOSE(CONTROL!$C$32, $C$9, 100%, $E$9)</f>
        <v>6.8966000000000003</v>
      </c>
      <c r="M403" s="27">
        <f>6.9019 * CHOOSE(CONTROL!$C$32, $C$9, 100%, $E$9)</f>
        <v>6.9019000000000004</v>
      </c>
      <c r="N403" s="27">
        <f>6.8966 * CHOOSE(CONTROL!$C$32, $C$9, 100%, $E$9)</f>
        <v>6.8966000000000003</v>
      </c>
      <c r="O403" s="27">
        <f>6.9019 * CHOOSE(CONTROL!$C$32, $C$9, 100%, $E$9)</f>
        <v>6.9019000000000004</v>
      </c>
    </row>
    <row r="404" spans="1:15" ht="15" x14ac:dyDescent="0.2">
      <c r="A404" s="16">
        <v>53144</v>
      </c>
      <c r="B404" s="26">
        <f>5.9772 * CHOOSE(CONTROL!$C$32, $C$9, 100%, $E$9)</f>
        <v>5.9771999999999998</v>
      </c>
      <c r="C404" s="26">
        <f>5.9772 * CHOOSE(CONTROL!$C$32, $C$9, 100%, $E$9)</f>
        <v>5.9771999999999998</v>
      </c>
      <c r="D404" s="26">
        <f>5.9788 * CHOOSE(CONTROL!$C$32, $C$9, 100%, $E$9)</f>
        <v>5.9787999999999997</v>
      </c>
      <c r="E404" s="27">
        <f>6.9386 * CHOOSE(CONTROL!$C$32, $C$9, 100%, $E$9)</f>
        <v>6.9386000000000001</v>
      </c>
      <c r="F404" s="27">
        <f>6.9386 * CHOOSE(CONTROL!$C$32, $C$9, 100%, $E$9)</f>
        <v>6.9386000000000001</v>
      </c>
      <c r="G404" s="27">
        <f>6.9439 * CHOOSE(CONTROL!$C$32, $C$9, 100%, $E$9)</f>
        <v>6.9439000000000002</v>
      </c>
      <c r="H404" s="27">
        <f>12.4851 * CHOOSE(CONTROL!$C$32, $C$9, 100%, $E$9)</f>
        <v>12.485099999999999</v>
      </c>
      <c r="I404" s="27">
        <f>12.4904 * CHOOSE(CONTROL!$C$32, $C$9, 100%, $E$9)</f>
        <v>12.490399999999999</v>
      </c>
      <c r="J404" s="27">
        <f>12.4851 * CHOOSE(CONTROL!$C$32, $C$9, 100%, $E$9)</f>
        <v>12.485099999999999</v>
      </c>
      <c r="K404" s="27">
        <f>12.4904 * CHOOSE(CONTROL!$C$32, $C$9, 100%, $E$9)</f>
        <v>12.490399999999999</v>
      </c>
      <c r="L404" s="27">
        <f>6.9386 * CHOOSE(CONTROL!$C$32, $C$9, 100%, $E$9)</f>
        <v>6.9386000000000001</v>
      </c>
      <c r="M404" s="27">
        <f>6.9439 * CHOOSE(CONTROL!$C$32, $C$9, 100%, $E$9)</f>
        <v>6.9439000000000002</v>
      </c>
      <c r="N404" s="27">
        <f>6.9386 * CHOOSE(CONTROL!$C$32, $C$9, 100%, $E$9)</f>
        <v>6.9386000000000001</v>
      </c>
      <c r="O404" s="27">
        <f>6.9439 * CHOOSE(CONTROL!$C$32, $C$9, 100%, $E$9)</f>
        <v>6.9439000000000002</v>
      </c>
    </row>
    <row r="405" spans="1:15" ht="15" x14ac:dyDescent="0.2">
      <c r="A405" s="16">
        <v>53175</v>
      </c>
      <c r="B405" s="26">
        <f>5.9839 * CHOOSE(CONTROL!$C$32, $C$9, 100%, $E$9)</f>
        <v>5.9839000000000002</v>
      </c>
      <c r="C405" s="26">
        <f>5.9839 * CHOOSE(CONTROL!$C$32, $C$9, 100%, $E$9)</f>
        <v>5.9839000000000002</v>
      </c>
      <c r="D405" s="26">
        <f>5.9855 * CHOOSE(CONTROL!$C$32, $C$9, 100%, $E$9)</f>
        <v>5.9855</v>
      </c>
      <c r="E405" s="27">
        <f>6.8147 * CHOOSE(CONTROL!$C$32, $C$9, 100%, $E$9)</f>
        <v>6.8147000000000002</v>
      </c>
      <c r="F405" s="27">
        <f>6.8147 * CHOOSE(CONTROL!$C$32, $C$9, 100%, $E$9)</f>
        <v>6.8147000000000002</v>
      </c>
      <c r="G405" s="27">
        <f>6.82 * CHOOSE(CONTROL!$C$32, $C$9, 100%, $E$9)</f>
        <v>6.82</v>
      </c>
      <c r="H405" s="27">
        <f>12.5111 * CHOOSE(CONTROL!$C$32, $C$9, 100%, $E$9)</f>
        <v>12.511100000000001</v>
      </c>
      <c r="I405" s="27">
        <f>12.5164 * CHOOSE(CONTROL!$C$32, $C$9, 100%, $E$9)</f>
        <v>12.516400000000001</v>
      </c>
      <c r="J405" s="27">
        <f>12.5111 * CHOOSE(CONTROL!$C$32, $C$9, 100%, $E$9)</f>
        <v>12.511100000000001</v>
      </c>
      <c r="K405" s="27">
        <f>12.5164 * CHOOSE(CONTROL!$C$32, $C$9, 100%, $E$9)</f>
        <v>12.516400000000001</v>
      </c>
      <c r="L405" s="27">
        <f>6.8147 * CHOOSE(CONTROL!$C$32, $C$9, 100%, $E$9)</f>
        <v>6.8147000000000002</v>
      </c>
      <c r="M405" s="27">
        <f>6.82 * CHOOSE(CONTROL!$C$32, $C$9, 100%, $E$9)</f>
        <v>6.82</v>
      </c>
      <c r="N405" s="27">
        <f>6.8147 * CHOOSE(CONTROL!$C$32, $C$9, 100%, $E$9)</f>
        <v>6.8147000000000002</v>
      </c>
      <c r="O405" s="27">
        <f>6.82 * CHOOSE(CONTROL!$C$32, $C$9, 100%, $E$9)</f>
        <v>6.82</v>
      </c>
    </row>
    <row r="406" spans="1:15" ht="15" x14ac:dyDescent="0.2">
      <c r="A406" s="16">
        <v>53206</v>
      </c>
      <c r="B406" s="26">
        <f>5.9809 * CHOOSE(CONTROL!$C$32, $C$9, 100%, $E$9)</f>
        <v>5.9809000000000001</v>
      </c>
      <c r="C406" s="26">
        <f>5.9809 * CHOOSE(CONTROL!$C$32, $C$9, 100%, $E$9)</f>
        <v>5.9809000000000001</v>
      </c>
      <c r="D406" s="26">
        <f>5.9824 * CHOOSE(CONTROL!$C$32, $C$9, 100%, $E$9)</f>
        <v>5.9824000000000002</v>
      </c>
      <c r="E406" s="27">
        <f>6.7983 * CHOOSE(CONTROL!$C$32, $C$9, 100%, $E$9)</f>
        <v>6.7983000000000002</v>
      </c>
      <c r="F406" s="27">
        <f>6.7983 * CHOOSE(CONTROL!$C$32, $C$9, 100%, $E$9)</f>
        <v>6.7983000000000002</v>
      </c>
      <c r="G406" s="27">
        <f>6.8036 * CHOOSE(CONTROL!$C$32, $C$9, 100%, $E$9)</f>
        <v>6.8036000000000003</v>
      </c>
      <c r="H406" s="27">
        <f>12.5372 * CHOOSE(CONTROL!$C$32, $C$9, 100%, $E$9)</f>
        <v>12.5372</v>
      </c>
      <c r="I406" s="27">
        <f>12.5425 * CHOOSE(CONTROL!$C$32, $C$9, 100%, $E$9)</f>
        <v>12.5425</v>
      </c>
      <c r="J406" s="27">
        <f>12.5372 * CHOOSE(CONTROL!$C$32, $C$9, 100%, $E$9)</f>
        <v>12.5372</v>
      </c>
      <c r="K406" s="27">
        <f>12.5425 * CHOOSE(CONTROL!$C$32, $C$9, 100%, $E$9)</f>
        <v>12.5425</v>
      </c>
      <c r="L406" s="27">
        <f>6.7983 * CHOOSE(CONTROL!$C$32, $C$9, 100%, $E$9)</f>
        <v>6.7983000000000002</v>
      </c>
      <c r="M406" s="27">
        <f>6.8036 * CHOOSE(CONTROL!$C$32, $C$9, 100%, $E$9)</f>
        <v>6.8036000000000003</v>
      </c>
      <c r="N406" s="27">
        <f>6.7983 * CHOOSE(CONTROL!$C$32, $C$9, 100%, $E$9)</f>
        <v>6.7983000000000002</v>
      </c>
      <c r="O406" s="27">
        <f>6.8036 * CHOOSE(CONTROL!$C$32, $C$9, 100%, $E$9)</f>
        <v>6.8036000000000003</v>
      </c>
    </row>
    <row r="407" spans="1:15" ht="15" x14ac:dyDescent="0.2">
      <c r="A407" s="16">
        <v>53236</v>
      </c>
      <c r="B407" s="26">
        <f>5.9833 * CHOOSE(CONTROL!$C$32, $C$9, 100%, $E$9)</f>
        <v>5.9832999999999998</v>
      </c>
      <c r="C407" s="26">
        <f>5.9833 * CHOOSE(CONTROL!$C$32, $C$9, 100%, $E$9)</f>
        <v>5.9832999999999998</v>
      </c>
      <c r="D407" s="26">
        <f>5.9844 * CHOOSE(CONTROL!$C$32, $C$9, 100%, $E$9)</f>
        <v>5.9843999999999999</v>
      </c>
      <c r="E407" s="27">
        <f>6.842 * CHOOSE(CONTROL!$C$32, $C$9, 100%, $E$9)</f>
        <v>6.8419999999999996</v>
      </c>
      <c r="F407" s="27">
        <f>6.842 * CHOOSE(CONTROL!$C$32, $C$9, 100%, $E$9)</f>
        <v>6.8419999999999996</v>
      </c>
      <c r="G407" s="27">
        <f>6.8456 * CHOOSE(CONTROL!$C$32, $C$9, 100%, $E$9)</f>
        <v>6.8456000000000001</v>
      </c>
      <c r="H407" s="27">
        <f>12.5633 * CHOOSE(CONTROL!$C$32, $C$9, 100%, $E$9)</f>
        <v>12.5633</v>
      </c>
      <c r="I407" s="27">
        <f>12.5669 * CHOOSE(CONTROL!$C$32, $C$9, 100%, $E$9)</f>
        <v>12.5669</v>
      </c>
      <c r="J407" s="27">
        <f>12.5633 * CHOOSE(CONTROL!$C$32, $C$9, 100%, $E$9)</f>
        <v>12.5633</v>
      </c>
      <c r="K407" s="27">
        <f>12.5669 * CHOOSE(CONTROL!$C$32, $C$9, 100%, $E$9)</f>
        <v>12.5669</v>
      </c>
      <c r="L407" s="27">
        <f>6.842 * CHOOSE(CONTROL!$C$32, $C$9, 100%, $E$9)</f>
        <v>6.8419999999999996</v>
      </c>
      <c r="M407" s="27">
        <f>6.8456 * CHOOSE(CONTROL!$C$32, $C$9, 100%, $E$9)</f>
        <v>6.8456000000000001</v>
      </c>
      <c r="N407" s="27">
        <f>6.842 * CHOOSE(CONTROL!$C$32, $C$9, 100%, $E$9)</f>
        <v>6.8419999999999996</v>
      </c>
      <c r="O407" s="27">
        <f>6.8456 * CHOOSE(CONTROL!$C$32, $C$9, 100%, $E$9)</f>
        <v>6.8456000000000001</v>
      </c>
    </row>
    <row r="408" spans="1:15" ht="15" x14ac:dyDescent="0.2">
      <c r="A408" s="16">
        <v>53267</v>
      </c>
      <c r="B408" s="26">
        <f>5.9863 * CHOOSE(CONTROL!$C$32, $C$9, 100%, $E$9)</f>
        <v>5.9863</v>
      </c>
      <c r="C408" s="26">
        <f>5.9863 * CHOOSE(CONTROL!$C$32, $C$9, 100%, $E$9)</f>
        <v>5.9863</v>
      </c>
      <c r="D408" s="26">
        <f>5.9874 * CHOOSE(CONTROL!$C$32, $C$9, 100%, $E$9)</f>
        <v>5.9874000000000001</v>
      </c>
      <c r="E408" s="27">
        <f>6.8727 * CHOOSE(CONTROL!$C$32, $C$9, 100%, $E$9)</f>
        <v>6.8727</v>
      </c>
      <c r="F408" s="27">
        <f>6.8727 * CHOOSE(CONTROL!$C$32, $C$9, 100%, $E$9)</f>
        <v>6.8727</v>
      </c>
      <c r="G408" s="27">
        <f>6.8763 * CHOOSE(CONTROL!$C$32, $C$9, 100%, $E$9)</f>
        <v>6.8762999999999996</v>
      </c>
      <c r="H408" s="27">
        <f>12.5895 * CHOOSE(CONTROL!$C$32, $C$9, 100%, $E$9)</f>
        <v>12.589499999999999</v>
      </c>
      <c r="I408" s="27">
        <f>12.5931 * CHOOSE(CONTROL!$C$32, $C$9, 100%, $E$9)</f>
        <v>12.5931</v>
      </c>
      <c r="J408" s="27">
        <f>12.5895 * CHOOSE(CONTROL!$C$32, $C$9, 100%, $E$9)</f>
        <v>12.589499999999999</v>
      </c>
      <c r="K408" s="27">
        <f>12.5931 * CHOOSE(CONTROL!$C$32, $C$9, 100%, $E$9)</f>
        <v>12.5931</v>
      </c>
      <c r="L408" s="27">
        <f>6.8727 * CHOOSE(CONTROL!$C$32, $C$9, 100%, $E$9)</f>
        <v>6.8727</v>
      </c>
      <c r="M408" s="27">
        <f>6.8763 * CHOOSE(CONTROL!$C$32, $C$9, 100%, $E$9)</f>
        <v>6.8762999999999996</v>
      </c>
      <c r="N408" s="27">
        <f>6.8727 * CHOOSE(CONTROL!$C$32, $C$9, 100%, $E$9)</f>
        <v>6.8727</v>
      </c>
      <c r="O408" s="27">
        <f>6.8763 * CHOOSE(CONTROL!$C$32, $C$9, 100%, $E$9)</f>
        <v>6.8762999999999996</v>
      </c>
    </row>
    <row r="409" spans="1:15" ht="15" x14ac:dyDescent="0.2">
      <c r="A409" s="16">
        <v>53297</v>
      </c>
      <c r="B409" s="26">
        <f>5.9863 * CHOOSE(CONTROL!$C$32, $C$9, 100%, $E$9)</f>
        <v>5.9863</v>
      </c>
      <c r="C409" s="26">
        <f>5.9863 * CHOOSE(CONTROL!$C$32, $C$9, 100%, $E$9)</f>
        <v>5.9863</v>
      </c>
      <c r="D409" s="26">
        <f>5.9874 * CHOOSE(CONTROL!$C$32, $C$9, 100%, $E$9)</f>
        <v>5.9874000000000001</v>
      </c>
      <c r="E409" s="27">
        <f>6.8013 * CHOOSE(CONTROL!$C$32, $C$9, 100%, $E$9)</f>
        <v>6.8013000000000003</v>
      </c>
      <c r="F409" s="27">
        <f>6.8013 * CHOOSE(CONTROL!$C$32, $C$9, 100%, $E$9)</f>
        <v>6.8013000000000003</v>
      </c>
      <c r="G409" s="27">
        <f>6.8049 * CHOOSE(CONTROL!$C$32, $C$9, 100%, $E$9)</f>
        <v>6.8048999999999999</v>
      </c>
      <c r="H409" s="27">
        <f>12.6157 * CHOOSE(CONTROL!$C$32, $C$9, 100%, $E$9)</f>
        <v>12.6157</v>
      </c>
      <c r="I409" s="27">
        <f>12.6193 * CHOOSE(CONTROL!$C$32, $C$9, 100%, $E$9)</f>
        <v>12.619300000000001</v>
      </c>
      <c r="J409" s="27">
        <f>12.6157 * CHOOSE(CONTROL!$C$32, $C$9, 100%, $E$9)</f>
        <v>12.6157</v>
      </c>
      <c r="K409" s="27">
        <f>12.6193 * CHOOSE(CONTROL!$C$32, $C$9, 100%, $E$9)</f>
        <v>12.619300000000001</v>
      </c>
      <c r="L409" s="27">
        <f>6.8013 * CHOOSE(CONTROL!$C$32, $C$9, 100%, $E$9)</f>
        <v>6.8013000000000003</v>
      </c>
      <c r="M409" s="27">
        <f>6.8049 * CHOOSE(CONTROL!$C$32, $C$9, 100%, $E$9)</f>
        <v>6.8048999999999999</v>
      </c>
      <c r="N409" s="27">
        <f>6.8013 * CHOOSE(CONTROL!$C$32, $C$9, 100%, $E$9)</f>
        <v>6.8013000000000003</v>
      </c>
      <c r="O409" s="27">
        <f>6.8049 * CHOOSE(CONTROL!$C$32, $C$9, 100%, $E$9)</f>
        <v>6.8048999999999999</v>
      </c>
    </row>
    <row r="410" spans="1:15" ht="15" x14ac:dyDescent="0.2">
      <c r="A410" s="16">
        <v>53328</v>
      </c>
      <c r="B410" s="26">
        <f>6.0321 * CHOOSE(CONTROL!$C$32, $C$9, 100%, $E$9)</f>
        <v>6.0320999999999998</v>
      </c>
      <c r="C410" s="26">
        <f>6.0321 * CHOOSE(CONTROL!$C$32, $C$9, 100%, $E$9)</f>
        <v>6.0320999999999998</v>
      </c>
      <c r="D410" s="26">
        <f>6.0332 * CHOOSE(CONTROL!$C$32, $C$9, 100%, $E$9)</f>
        <v>6.0331999999999999</v>
      </c>
      <c r="E410" s="27">
        <f>6.8926 * CHOOSE(CONTROL!$C$32, $C$9, 100%, $E$9)</f>
        <v>6.8925999999999998</v>
      </c>
      <c r="F410" s="27">
        <f>6.8926 * CHOOSE(CONTROL!$C$32, $C$9, 100%, $E$9)</f>
        <v>6.8925999999999998</v>
      </c>
      <c r="G410" s="27">
        <f>6.8962 * CHOOSE(CONTROL!$C$32, $C$9, 100%, $E$9)</f>
        <v>6.8962000000000003</v>
      </c>
      <c r="H410" s="27">
        <f>12.642 * CHOOSE(CONTROL!$C$32, $C$9, 100%, $E$9)</f>
        <v>12.641999999999999</v>
      </c>
      <c r="I410" s="27">
        <f>12.6456 * CHOOSE(CONTROL!$C$32, $C$9, 100%, $E$9)</f>
        <v>12.6456</v>
      </c>
      <c r="J410" s="27">
        <f>12.642 * CHOOSE(CONTROL!$C$32, $C$9, 100%, $E$9)</f>
        <v>12.641999999999999</v>
      </c>
      <c r="K410" s="27">
        <f>12.6456 * CHOOSE(CONTROL!$C$32, $C$9, 100%, $E$9)</f>
        <v>12.6456</v>
      </c>
      <c r="L410" s="27">
        <f>6.8926 * CHOOSE(CONTROL!$C$32, $C$9, 100%, $E$9)</f>
        <v>6.8925999999999998</v>
      </c>
      <c r="M410" s="27">
        <f>6.8962 * CHOOSE(CONTROL!$C$32, $C$9, 100%, $E$9)</f>
        <v>6.8962000000000003</v>
      </c>
      <c r="N410" s="27">
        <f>6.8926 * CHOOSE(CONTROL!$C$32, $C$9, 100%, $E$9)</f>
        <v>6.8925999999999998</v>
      </c>
      <c r="O410" s="27">
        <f>6.8962 * CHOOSE(CONTROL!$C$32, $C$9, 100%, $E$9)</f>
        <v>6.8962000000000003</v>
      </c>
    </row>
    <row r="411" spans="1:15" ht="15" x14ac:dyDescent="0.2">
      <c r="A411" s="16">
        <v>53359</v>
      </c>
      <c r="B411" s="26">
        <f>6.0291 * CHOOSE(CONTROL!$C$32, $C$9, 100%, $E$9)</f>
        <v>6.0290999999999997</v>
      </c>
      <c r="C411" s="26">
        <f>6.0291 * CHOOSE(CONTROL!$C$32, $C$9, 100%, $E$9)</f>
        <v>6.0290999999999997</v>
      </c>
      <c r="D411" s="26">
        <f>6.0302 * CHOOSE(CONTROL!$C$32, $C$9, 100%, $E$9)</f>
        <v>6.0301999999999998</v>
      </c>
      <c r="E411" s="27">
        <f>6.7511 * CHOOSE(CONTROL!$C$32, $C$9, 100%, $E$9)</f>
        <v>6.7511000000000001</v>
      </c>
      <c r="F411" s="27">
        <f>6.7511 * CHOOSE(CONTROL!$C$32, $C$9, 100%, $E$9)</f>
        <v>6.7511000000000001</v>
      </c>
      <c r="G411" s="27">
        <f>6.7547 * CHOOSE(CONTROL!$C$32, $C$9, 100%, $E$9)</f>
        <v>6.7546999999999997</v>
      </c>
      <c r="H411" s="27">
        <f>12.6683 * CHOOSE(CONTROL!$C$32, $C$9, 100%, $E$9)</f>
        <v>12.6683</v>
      </c>
      <c r="I411" s="27">
        <f>12.6719 * CHOOSE(CONTROL!$C$32, $C$9, 100%, $E$9)</f>
        <v>12.671900000000001</v>
      </c>
      <c r="J411" s="27">
        <f>12.6683 * CHOOSE(CONTROL!$C$32, $C$9, 100%, $E$9)</f>
        <v>12.6683</v>
      </c>
      <c r="K411" s="27">
        <f>12.6719 * CHOOSE(CONTROL!$C$32, $C$9, 100%, $E$9)</f>
        <v>12.671900000000001</v>
      </c>
      <c r="L411" s="27">
        <f>6.7511 * CHOOSE(CONTROL!$C$32, $C$9, 100%, $E$9)</f>
        <v>6.7511000000000001</v>
      </c>
      <c r="M411" s="27">
        <f>6.7547 * CHOOSE(CONTROL!$C$32, $C$9, 100%, $E$9)</f>
        <v>6.7546999999999997</v>
      </c>
      <c r="N411" s="27">
        <f>6.7511 * CHOOSE(CONTROL!$C$32, $C$9, 100%, $E$9)</f>
        <v>6.7511000000000001</v>
      </c>
      <c r="O411" s="27">
        <f>6.7547 * CHOOSE(CONTROL!$C$32, $C$9, 100%, $E$9)</f>
        <v>6.7546999999999997</v>
      </c>
    </row>
    <row r="412" spans="1:15" ht="15" x14ac:dyDescent="0.2">
      <c r="A412" s="16">
        <v>53387</v>
      </c>
      <c r="B412" s="26">
        <f>6.0261 * CHOOSE(CONTROL!$C$32, $C$9, 100%, $E$9)</f>
        <v>6.0260999999999996</v>
      </c>
      <c r="C412" s="26">
        <f>6.0261 * CHOOSE(CONTROL!$C$32, $C$9, 100%, $E$9)</f>
        <v>6.0260999999999996</v>
      </c>
      <c r="D412" s="26">
        <f>6.0271 * CHOOSE(CONTROL!$C$32, $C$9, 100%, $E$9)</f>
        <v>6.0270999999999999</v>
      </c>
      <c r="E412" s="27">
        <f>6.8589 * CHOOSE(CONTROL!$C$32, $C$9, 100%, $E$9)</f>
        <v>6.8589000000000002</v>
      </c>
      <c r="F412" s="27">
        <f>6.8589 * CHOOSE(CONTROL!$C$32, $C$9, 100%, $E$9)</f>
        <v>6.8589000000000002</v>
      </c>
      <c r="G412" s="27">
        <f>6.8625 * CHOOSE(CONTROL!$C$32, $C$9, 100%, $E$9)</f>
        <v>6.8624999999999998</v>
      </c>
      <c r="H412" s="27">
        <f>12.6947 * CHOOSE(CONTROL!$C$32, $C$9, 100%, $E$9)</f>
        <v>12.694699999999999</v>
      </c>
      <c r="I412" s="27">
        <f>12.6983 * CHOOSE(CONTROL!$C$32, $C$9, 100%, $E$9)</f>
        <v>12.6983</v>
      </c>
      <c r="J412" s="27">
        <f>12.6947 * CHOOSE(CONTROL!$C$32, $C$9, 100%, $E$9)</f>
        <v>12.694699999999999</v>
      </c>
      <c r="K412" s="27">
        <f>12.6983 * CHOOSE(CONTROL!$C$32, $C$9, 100%, $E$9)</f>
        <v>12.6983</v>
      </c>
      <c r="L412" s="27">
        <f>6.8589 * CHOOSE(CONTROL!$C$32, $C$9, 100%, $E$9)</f>
        <v>6.8589000000000002</v>
      </c>
      <c r="M412" s="27">
        <f>6.8625 * CHOOSE(CONTROL!$C$32, $C$9, 100%, $E$9)</f>
        <v>6.8624999999999998</v>
      </c>
      <c r="N412" s="27">
        <f>6.8589 * CHOOSE(CONTROL!$C$32, $C$9, 100%, $E$9)</f>
        <v>6.8589000000000002</v>
      </c>
      <c r="O412" s="27">
        <f>6.8625 * CHOOSE(CONTROL!$C$32, $C$9, 100%, $E$9)</f>
        <v>6.8624999999999998</v>
      </c>
    </row>
    <row r="413" spans="1:15" ht="15" x14ac:dyDescent="0.2">
      <c r="A413" s="16">
        <v>53418</v>
      </c>
      <c r="B413" s="26">
        <f>6.0257 * CHOOSE(CONTROL!$C$32, $C$9, 100%, $E$9)</f>
        <v>6.0256999999999996</v>
      </c>
      <c r="C413" s="26">
        <f>6.0257 * CHOOSE(CONTROL!$C$32, $C$9, 100%, $E$9)</f>
        <v>6.0256999999999996</v>
      </c>
      <c r="D413" s="26">
        <f>6.0268 * CHOOSE(CONTROL!$C$32, $C$9, 100%, $E$9)</f>
        <v>6.0267999999999997</v>
      </c>
      <c r="E413" s="27">
        <f>6.9726 * CHOOSE(CONTROL!$C$32, $C$9, 100%, $E$9)</f>
        <v>6.9725999999999999</v>
      </c>
      <c r="F413" s="27">
        <f>6.9726 * CHOOSE(CONTROL!$C$32, $C$9, 100%, $E$9)</f>
        <v>6.9725999999999999</v>
      </c>
      <c r="G413" s="27">
        <f>6.9762 * CHOOSE(CONTROL!$C$32, $C$9, 100%, $E$9)</f>
        <v>6.9762000000000004</v>
      </c>
      <c r="H413" s="27">
        <f>12.7211 * CHOOSE(CONTROL!$C$32, $C$9, 100%, $E$9)</f>
        <v>12.7211</v>
      </c>
      <c r="I413" s="27">
        <f>12.7248 * CHOOSE(CONTROL!$C$32, $C$9, 100%, $E$9)</f>
        <v>12.7248</v>
      </c>
      <c r="J413" s="27">
        <f>12.7211 * CHOOSE(CONTROL!$C$32, $C$9, 100%, $E$9)</f>
        <v>12.7211</v>
      </c>
      <c r="K413" s="27">
        <f>12.7248 * CHOOSE(CONTROL!$C$32, $C$9, 100%, $E$9)</f>
        <v>12.7248</v>
      </c>
      <c r="L413" s="27">
        <f>6.9726 * CHOOSE(CONTROL!$C$32, $C$9, 100%, $E$9)</f>
        <v>6.9725999999999999</v>
      </c>
      <c r="M413" s="27">
        <f>6.9762 * CHOOSE(CONTROL!$C$32, $C$9, 100%, $E$9)</f>
        <v>6.9762000000000004</v>
      </c>
      <c r="N413" s="27">
        <f>6.9726 * CHOOSE(CONTROL!$C$32, $C$9, 100%, $E$9)</f>
        <v>6.9725999999999999</v>
      </c>
      <c r="O413" s="27">
        <f>6.9762 * CHOOSE(CONTROL!$C$32, $C$9, 100%, $E$9)</f>
        <v>6.9762000000000004</v>
      </c>
    </row>
    <row r="414" spans="1:15" ht="15" x14ac:dyDescent="0.2">
      <c r="A414" s="16">
        <v>53448</v>
      </c>
      <c r="B414" s="26">
        <f>6.0257 * CHOOSE(CONTROL!$C$32, $C$9, 100%, $E$9)</f>
        <v>6.0256999999999996</v>
      </c>
      <c r="C414" s="26">
        <f>6.0257 * CHOOSE(CONTROL!$C$32, $C$9, 100%, $E$9)</f>
        <v>6.0256999999999996</v>
      </c>
      <c r="D414" s="26">
        <f>6.0273 * CHOOSE(CONTROL!$C$32, $C$9, 100%, $E$9)</f>
        <v>6.0273000000000003</v>
      </c>
      <c r="E414" s="27">
        <f>7.0168 * CHOOSE(CONTROL!$C$32, $C$9, 100%, $E$9)</f>
        <v>7.0167999999999999</v>
      </c>
      <c r="F414" s="27">
        <f>7.0168 * CHOOSE(CONTROL!$C$32, $C$9, 100%, $E$9)</f>
        <v>7.0167999999999999</v>
      </c>
      <c r="G414" s="27">
        <f>7.0221 * CHOOSE(CONTROL!$C$32, $C$9, 100%, $E$9)</f>
        <v>7.0221</v>
      </c>
      <c r="H414" s="27">
        <f>12.7476 * CHOOSE(CONTROL!$C$32, $C$9, 100%, $E$9)</f>
        <v>12.7476</v>
      </c>
      <c r="I414" s="27">
        <f>12.7529 * CHOOSE(CONTROL!$C$32, $C$9, 100%, $E$9)</f>
        <v>12.7529</v>
      </c>
      <c r="J414" s="27">
        <f>12.7476 * CHOOSE(CONTROL!$C$32, $C$9, 100%, $E$9)</f>
        <v>12.7476</v>
      </c>
      <c r="K414" s="27">
        <f>12.7529 * CHOOSE(CONTROL!$C$32, $C$9, 100%, $E$9)</f>
        <v>12.7529</v>
      </c>
      <c r="L414" s="27">
        <f>7.0168 * CHOOSE(CONTROL!$C$32, $C$9, 100%, $E$9)</f>
        <v>7.0167999999999999</v>
      </c>
      <c r="M414" s="27">
        <f>7.0221 * CHOOSE(CONTROL!$C$32, $C$9, 100%, $E$9)</f>
        <v>7.0221</v>
      </c>
      <c r="N414" s="27">
        <f>7.0168 * CHOOSE(CONTROL!$C$32, $C$9, 100%, $E$9)</f>
        <v>7.0167999999999999</v>
      </c>
      <c r="O414" s="27">
        <f>7.0221 * CHOOSE(CONTROL!$C$32, $C$9, 100%, $E$9)</f>
        <v>7.0221</v>
      </c>
    </row>
    <row r="415" spans="1:15" ht="15" x14ac:dyDescent="0.2">
      <c r="A415" s="16">
        <v>53479</v>
      </c>
      <c r="B415" s="26">
        <f>6.0318 * CHOOSE(CONTROL!$C$32, $C$9, 100%, $E$9)</f>
        <v>6.0317999999999996</v>
      </c>
      <c r="C415" s="26">
        <f>6.0318 * CHOOSE(CONTROL!$C$32, $C$9, 100%, $E$9)</f>
        <v>6.0317999999999996</v>
      </c>
      <c r="D415" s="26">
        <f>6.0333 * CHOOSE(CONTROL!$C$32, $C$9, 100%, $E$9)</f>
        <v>6.0332999999999997</v>
      </c>
      <c r="E415" s="27">
        <f>6.9768 * CHOOSE(CONTROL!$C$32, $C$9, 100%, $E$9)</f>
        <v>6.9767999999999999</v>
      </c>
      <c r="F415" s="27">
        <f>6.9768 * CHOOSE(CONTROL!$C$32, $C$9, 100%, $E$9)</f>
        <v>6.9767999999999999</v>
      </c>
      <c r="G415" s="27">
        <f>6.9821 * CHOOSE(CONTROL!$C$32, $C$9, 100%, $E$9)</f>
        <v>6.9821</v>
      </c>
      <c r="H415" s="27">
        <f>12.7742 * CHOOSE(CONTROL!$C$32, $C$9, 100%, $E$9)</f>
        <v>12.7742</v>
      </c>
      <c r="I415" s="27">
        <f>12.7795 * CHOOSE(CONTROL!$C$32, $C$9, 100%, $E$9)</f>
        <v>12.779500000000001</v>
      </c>
      <c r="J415" s="27">
        <f>12.7742 * CHOOSE(CONTROL!$C$32, $C$9, 100%, $E$9)</f>
        <v>12.7742</v>
      </c>
      <c r="K415" s="27">
        <f>12.7795 * CHOOSE(CONTROL!$C$32, $C$9, 100%, $E$9)</f>
        <v>12.779500000000001</v>
      </c>
      <c r="L415" s="27">
        <f>6.9768 * CHOOSE(CONTROL!$C$32, $C$9, 100%, $E$9)</f>
        <v>6.9767999999999999</v>
      </c>
      <c r="M415" s="27">
        <f>6.9821 * CHOOSE(CONTROL!$C$32, $C$9, 100%, $E$9)</f>
        <v>6.9821</v>
      </c>
      <c r="N415" s="27">
        <f>6.9768 * CHOOSE(CONTROL!$C$32, $C$9, 100%, $E$9)</f>
        <v>6.9767999999999999</v>
      </c>
      <c r="O415" s="27">
        <f>6.9821 * CHOOSE(CONTROL!$C$32, $C$9, 100%, $E$9)</f>
        <v>6.9821</v>
      </c>
    </row>
    <row r="416" spans="1:15" ht="15" x14ac:dyDescent="0.2">
      <c r="A416" s="16">
        <v>53509</v>
      </c>
      <c r="B416" s="26">
        <f>6.1126 * CHOOSE(CONTROL!$C$32, $C$9, 100%, $E$9)</f>
        <v>6.1125999999999996</v>
      </c>
      <c r="C416" s="26">
        <f>6.1126 * CHOOSE(CONTROL!$C$32, $C$9, 100%, $E$9)</f>
        <v>6.1125999999999996</v>
      </c>
      <c r="D416" s="26">
        <f>6.1142 * CHOOSE(CONTROL!$C$32, $C$9, 100%, $E$9)</f>
        <v>6.1142000000000003</v>
      </c>
      <c r="E416" s="27">
        <f>7.0342 * CHOOSE(CONTROL!$C$32, $C$9, 100%, $E$9)</f>
        <v>7.0342000000000002</v>
      </c>
      <c r="F416" s="27">
        <f>7.0342 * CHOOSE(CONTROL!$C$32, $C$9, 100%, $E$9)</f>
        <v>7.0342000000000002</v>
      </c>
      <c r="G416" s="27">
        <f>7.0395 * CHOOSE(CONTROL!$C$32, $C$9, 100%, $E$9)</f>
        <v>7.0395000000000003</v>
      </c>
      <c r="H416" s="27">
        <f>12.8008 * CHOOSE(CONTROL!$C$32, $C$9, 100%, $E$9)</f>
        <v>12.800800000000001</v>
      </c>
      <c r="I416" s="27">
        <f>12.8061 * CHOOSE(CONTROL!$C$32, $C$9, 100%, $E$9)</f>
        <v>12.806100000000001</v>
      </c>
      <c r="J416" s="27">
        <f>12.8008 * CHOOSE(CONTROL!$C$32, $C$9, 100%, $E$9)</f>
        <v>12.800800000000001</v>
      </c>
      <c r="K416" s="27">
        <f>12.8061 * CHOOSE(CONTROL!$C$32, $C$9, 100%, $E$9)</f>
        <v>12.806100000000001</v>
      </c>
      <c r="L416" s="27">
        <f>7.0342 * CHOOSE(CONTROL!$C$32, $C$9, 100%, $E$9)</f>
        <v>7.0342000000000002</v>
      </c>
      <c r="M416" s="27">
        <f>7.0395 * CHOOSE(CONTROL!$C$32, $C$9, 100%, $E$9)</f>
        <v>7.0395000000000003</v>
      </c>
      <c r="N416" s="27">
        <f>7.0342 * CHOOSE(CONTROL!$C$32, $C$9, 100%, $E$9)</f>
        <v>7.0342000000000002</v>
      </c>
      <c r="O416" s="27">
        <f>7.0395 * CHOOSE(CONTROL!$C$32, $C$9, 100%, $E$9)</f>
        <v>7.0395000000000003</v>
      </c>
    </row>
    <row r="417" spans="1:15" ht="15" x14ac:dyDescent="0.2">
      <c r="A417" s="16">
        <v>53540</v>
      </c>
      <c r="B417" s="26">
        <f>6.1193 * CHOOSE(CONTROL!$C$32, $C$9, 100%, $E$9)</f>
        <v>6.1193</v>
      </c>
      <c r="C417" s="26">
        <f>6.1193 * CHOOSE(CONTROL!$C$32, $C$9, 100%, $E$9)</f>
        <v>6.1193</v>
      </c>
      <c r="D417" s="26">
        <f>6.1209 * CHOOSE(CONTROL!$C$32, $C$9, 100%, $E$9)</f>
        <v>6.1208999999999998</v>
      </c>
      <c r="E417" s="27">
        <f>6.9061 * CHOOSE(CONTROL!$C$32, $C$9, 100%, $E$9)</f>
        <v>6.9061000000000003</v>
      </c>
      <c r="F417" s="27">
        <f>6.9061 * CHOOSE(CONTROL!$C$32, $C$9, 100%, $E$9)</f>
        <v>6.9061000000000003</v>
      </c>
      <c r="G417" s="27">
        <f>6.9114 * CHOOSE(CONTROL!$C$32, $C$9, 100%, $E$9)</f>
        <v>6.9114000000000004</v>
      </c>
      <c r="H417" s="27">
        <f>12.8275 * CHOOSE(CONTROL!$C$32, $C$9, 100%, $E$9)</f>
        <v>12.827500000000001</v>
      </c>
      <c r="I417" s="27">
        <f>12.8328 * CHOOSE(CONTROL!$C$32, $C$9, 100%, $E$9)</f>
        <v>12.832800000000001</v>
      </c>
      <c r="J417" s="27">
        <f>12.8275 * CHOOSE(CONTROL!$C$32, $C$9, 100%, $E$9)</f>
        <v>12.827500000000001</v>
      </c>
      <c r="K417" s="27">
        <f>12.8328 * CHOOSE(CONTROL!$C$32, $C$9, 100%, $E$9)</f>
        <v>12.832800000000001</v>
      </c>
      <c r="L417" s="27">
        <f>6.9061 * CHOOSE(CONTROL!$C$32, $C$9, 100%, $E$9)</f>
        <v>6.9061000000000003</v>
      </c>
      <c r="M417" s="27">
        <f>6.9114 * CHOOSE(CONTROL!$C$32, $C$9, 100%, $E$9)</f>
        <v>6.9114000000000004</v>
      </c>
      <c r="N417" s="27">
        <f>6.9061 * CHOOSE(CONTROL!$C$32, $C$9, 100%, $E$9)</f>
        <v>6.9061000000000003</v>
      </c>
      <c r="O417" s="27">
        <f>6.9114 * CHOOSE(CONTROL!$C$32, $C$9, 100%, $E$9)</f>
        <v>6.9114000000000004</v>
      </c>
    </row>
    <row r="418" spans="1:15" ht="15" x14ac:dyDescent="0.2">
      <c r="A418" s="16">
        <v>53571</v>
      </c>
      <c r="B418" s="26">
        <f>6.1163 * CHOOSE(CONTROL!$C$32, $C$9, 100%, $E$9)</f>
        <v>6.1162999999999998</v>
      </c>
      <c r="C418" s="26">
        <f>6.1163 * CHOOSE(CONTROL!$C$32, $C$9, 100%, $E$9)</f>
        <v>6.1162999999999998</v>
      </c>
      <c r="D418" s="26">
        <f>6.1178 * CHOOSE(CONTROL!$C$32, $C$9, 100%, $E$9)</f>
        <v>6.1177999999999999</v>
      </c>
      <c r="E418" s="27">
        <f>6.8892 * CHOOSE(CONTROL!$C$32, $C$9, 100%, $E$9)</f>
        <v>6.8891999999999998</v>
      </c>
      <c r="F418" s="27">
        <f>6.8892 * CHOOSE(CONTROL!$C$32, $C$9, 100%, $E$9)</f>
        <v>6.8891999999999998</v>
      </c>
      <c r="G418" s="27">
        <f>6.8945 * CHOOSE(CONTROL!$C$32, $C$9, 100%, $E$9)</f>
        <v>6.8944999999999999</v>
      </c>
      <c r="H418" s="27">
        <f>12.8542 * CHOOSE(CONTROL!$C$32, $C$9, 100%, $E$9)</f>
        <v>12.854200000000001</v>
      </c>
      <c r="I418" s="27">
        <f>12.8595 * CHOOSE(CONTROL!$C$32, $C$9, 100%, $E$9)</f>
        <v>12.859500000000001</v>
      </c>
      <c r="J418" s="27">
        <f>12.8542 * CHOOSE(CONTROL!$C$32, $C$9, 100%, $E$9)</f>
        <v>12.854200000000001</v>
      </c>
      <c r="K418" s="27">
        <f>12.8595 * CHOOSE(CONTROL!$C$32, $C$9, 100%, $E$9)</f>
        <v>12.859500000000001</v>
      </c>
      <c r="L418" s="27">
        <f>6.8892 * CHOOSE(CONTROL!$C$32, $C$9, 100%, $E$9)</f>
        <v>6.8891999999999998</v>
      </c>
      <c r="M418" s="27">
        <f>6.8945 * CHOOSE(CONTROL!$C$32, $C$9, 100%, $E$9)</f>
        <v>6.8944999999999999</v>
      </c>
      <c r="N418" s="27">
        <f>6.8892 * CHOOSE(CONTROL!$C$32, $C$9, 100%, $E$9)</f>
        <v>6.8891999999999998</v>
      </c>
      <c r="O418" s="27">
        <f>6.8945 * CHOOSE(CONTROL!$C$32, $C$9, 100%, $E$9)</f>
        <v>6.8944999999999999</v>
      </c>
    </row>
    <row r="419" spans="1:15" ht="15" x14ac:dyDescent="0.2">
      <c r="A419" s="16">
        <v>53601</v>
      </c>
      <c r="B419" s="26">
        <f>6.1192 * CHOOSE(CONTROL!$C$32, $C$9, 100%, $E$9)</f>
        <v>6.1192000000000002</v>
      </c>
      <c r="C419" s="26">
        <f>6.1192 * CHOOSE(CONTROL!$C$32, $C$9, 100%, $E$9)</f>
        <v>6.1192000000000002</v>
      </c>
      <c r="D419" s="26">
        <f>6.1203 * CHOOSE(CONTROL!$C$32, $C$9, 100%, $E$9)</f>
        <v>6.1203000000000003</v>
      </c>
      <c r="E419" s="27">
        <f>6.9348 * CHOOSE(CONTROL!$C$32, $C$9, 100%, $E$9)</f>
        <v>6.9348000000000001</v>
      </c>
      <c r="F419" s="27">
        <f>6.9348 * CHOOSE(CONTROL!$C$32, $C$9, 100%, $E$9)</f>
        <v>6.9348000000000001</v>
      </c>
      <c r="G419" s="27">
        <f>6.9384 * CHOOSE(CONTROL!$C$32, $C$9, 100%, $E$9)</f>
        <v>6.9383999999999997</v>
      </c>
      <c r="H419" s="27">
        <f>12.881 * CHOOSE(CONTROL!$C$32, $C$9, 100%, $E$9)</f>
        <v>12.881</v>
      </c>
      <c r="I419" s="27">
        <f>12.8846 * CHOOSE(CONTROL!$C$32, $C$9, 100%, $E$9)</f>
        <v>12.884600000000001</v>
      </c>
      <c r="J419" s="27">
        <f>12.881 * CHOOSE(CONTROL!$C$32, $C$9, 100%, $E$9)</f>
        <v>12.881</v>
      </c>
      <c r="K419" s="27">
        <f>12.8846 * CHOOSE(CONTROL!$C$32, $C$9, 100%, $E$9)</f>
        <v>12.884600000000001</v>
      </c>
      <c r="L419" s="27">
        <f>6.9348 * CHOOSE(CONTROL!$C$32, $C$9, 100%, $E$9)</f>
        <v>6.9348000000000001</v>
      </c>
      <c r="M419" s="27">
        <f>6.9384 * CHOOSE(CONTROL!$C$32, $C$9, 100%, $E$9)</f>
        <v>6.9383999999999997</v>
      </c>
      <c r="N419" s="27">
        <f>6.9348 * CHOOSE(CONTROL!$C$32, $C$9, 100%, $E$9)</f>
        <v>6.9348000000000001</v>
      </c>
      <c r="O419" s="27">
        <f>6.9384 * CHOOSE(CONTROL!$C$32, $C$9, 100%, $E$9)</f>
        <v>6.9383999999999997</v>
      </c>
    </row>
    <row r="420" spans="1:15" ht="15" x14ac:dyDescent="0.2">
      <c r="A420" s="16">
        <v>53632</v>
      </c>
      <c r="B420" s="26">
        <f>6.1222 * CHOOSE(CONTROL!$C$32, $C$9, 100%, $E$9)</f>
        <v>6.1222000000000003</v>
      </c>
      <c r="C420" s="26">
        <f>6.1222 * CHOOSE(CONTROL!$C$32, $C$9, 100%, $E$9)</f>
        <v>6.1222000000000003</v>
      </c>
      <c r="D420" s="26">
        <f>6.1233 * CHOOSE(CONTROL!$C$32, $C$9, 100%, $E$9)</f>
        <v>6.1233000000000004</v>
      </c>
      <c r="E420" s="27">
        <f>6.9664 * CHOOSE(CONTROL!$C$32, $C$9, 100%, $E$9)</f>
        <v>6.9664000000000001</v>
      </c>
      <c r="F420" s="27">
        <f>6.9664 * CHOOSE(CONTROL!$C$32, $C$9, 100%, $E$9)</f>
        <v>6.9664000000000001</v>
      </c>
      <c r="G420" s="27">
        <f>6.97 * CHOOSE(CONTROL!$C$32, $C$9, 100%, $E$9)</f>
        <v>6.97</v>
      </c>
      <c r="H420" s="27">
        <f>12.9078 * CHOOSE(CONTROL!$C$32, $C$9, 100%, $E$9)</f>
        <v>12.9078</v>
      </c>
      <c r="I420" s="27">
        <f>12.9114 * CHOOSE(CONTROL!$C$32, $C$9, 100%, $E$9)</f>
        <v>12.9114</v>
      </c>
      <c r="J420" s="27">
        <f>12.9078 * CHOOSE(CONTROL!$C$32, $C$9, 100%, $E$9)</f>
        <v>12.9078</v>
      </c>
      <c r="K420" s="27">
        <f>12.9114 * CHOOSE(CONTROL!$C$32, $C$9, 100%, $E$9)</f>
        <v>12.9114</v>
      </c>
      <c r="L420" s="27">
        <f>6.9664 * CHOOSE(CONTROL!$C$32, $C$9, 100%, $E$9)</f>
        <v>6.9664000000000001</v>
      </c>
      <c r="M420" s="27">
        <f>6.97 * CHOOSE(CONTROL!$C$32, $C$9, 100%, $E$9)</f>
        <v>6.97</v>
      </c>
      <c r="N420" s="27">
        <f>6.9664 * CHOOSE(CONTROL!$C$32, $C$9, 100%, $E$9)</f>
        <v>6.9664000000000001</v>
      </c>
      <c r="O420" s="27">
        <f>6.97 * CHOOSE(CONTROL!$C$32, $C$9, 100%, $E$9)</f>
        <v>6.97</v>
      </c>
    </row>
    <row r="421" spans="1:15" ht="15" x14ac:dyDescent="0.2">
      <c r="A421" s="16">
        <v>53662</v>
      </c>
      <c r="B421" s="26">
        <f>6.1222 * CHOOSE(CONTROL!$C$32, $C$9, 100%, $E$9)</f>
        <v>6.1222000000000003</v>
      </c>
      <c r="C421" s="26">
        <f>6.1222 * CHOOSE(CONTROL!$C$32, $C$9, 100%, $E$9)</f>
        <v>6.1222000000000003</v>
      </c>
      <c r="D421" s="26">
        <f>6.1233 * CHOOSE(CONTROL!$C$32, $C$9, 100%, $E$9)</f>
        <v>6.1233000000000004</v>
      </c>
      <c r="E421" s="27">
        <f>6.8927 * CHOOSE(CONTROL!$C$32, $C$9, 100%, $E$9)</f>
        <v>6.8926999999999996</v>
      </c>
      <c r="F421" s="27">
        <f>6.8927 * CHOOSE(CONTROL!$C$32, $C$9, 100%, $E$9)</f>
        <v>6.8926999999999996</v>
      </c>
      <c r="G421" s="27">
        <f>6.8963 * CHOOSE(CONTROL!$C$32, $C$9, 100%, $E$9)</f>
        <v>6.8963000000000001</v>
      </c>
      <c r="H421" s="27">
        <f>12.9347 * CHOOSE(CONTROL!$C$32, $C$9, 100%, $E$9)</f>
        <v>12.934699999999999</v>
      </c>
      <c r="I421" s="27">
        <f>12.9383 * CHOOSE(CONTROL!$C$32, $C$9, 100%, $E$9)</f>
        <v>12.9383</v>
      </c>
      <c r="J421" s="27">
        <f>12.9347 * CHOOSE(CONTROL!$C$32, $C$9, 100%, $E$9)</f>
        <v>12.934699999999999</v>
      </c>
      <c r="K421" s="27">
        <f>12.9383 * CHOOSE(CONTROL!$C$32, $C$9, 100%, $E$9)</f>
        <v>12.9383</v>
      </c>
      <c r="L421" s="27">
        <f>6.8927 * CHOOSE(CONTROL!$C$32, $C$9, 100%, $E$9)</f>
        <v>6.8926999999999996</v>
      </c>
      <c r="M421" s="27">
        <f>6.8963 * CHOOSE(CONTROL!$C$32, $C$9, 100%, $E$9)</f>
        <v>6.8963000000000001</v>
      </c>
      <c r="N421" s="27">
        <f>6.8927 * CHOOSE(CONTROL!$C$32, $C$9, 100%, $E$9)</f>
        <v>6.8926999999999996</v>
      </c>
      <c r="O421" s="27">
        <f>6.8963 * CHOOSE(CONTROL!$C$32, $C$9, 100%, $E$9)</f>
        <v>6.8963000000000001</v>
      </c>
    </row>
    <row r="422" spans="1:15" ht="15" x14ac:dyDescent="0.2">
      <c r="A422" s="16">
        <v>53693</v>
      </c>
      <c r="B422" s="26">
        <f>6.169 * CHOOSE(CONTROL!$C$32, $C$9, 100%, $E$9)</f>
        <v>6.1689999999999996</v>
      </c>
      <c r="C422" s="26">
        <f>6.169 * CHOOSE(CONTROL!$C$32, $C$9, 100%, $E$9)</f>
        <v>6.1689999999999996</v>
      </c>
      <c r="D422" s="26">
        <f>6.17 * CHOOSE(CONTROL!$C$32, $C$9, 100%, $E$9)</f>
        <v>6.17</v>
      </c>
      <c r="E422" s="27">
        <f>6.9915 * CHOOSE(CONTROL!$C$32, $C$9, 100%, $E$9)</f>
        <v>6.9915000000000003</v>
      </c>
      <c r="F422" s="27">
        <f>6.9915 * CHOOSE(CONTROL!$C$32, $C$9, 100%, $E$9)</f>
        <v>6.9915000000000003</v>
      </c>
      <c r="G422" s="27">
        <f>6.9951 * CHOOSE(CONTROL!$C$32, $C$9, 100%, $E$9)</f>
        <v>6.9950999999999999</v>
      </c>
      <c r="H422" s="27">
        <f>12.9617 * CHOOSE(CONTROL!$C$32, $C$9, 100%, $E$9)</f>
        <v>12.9617</v>
      </c>
      <c r="I422" s="27">
        <f>12.9653 * CHOOSE(CONTROL!$C$32, $C$9, 100%, $E$9)</f>
        <v>12.965299999999999</v>
      </c>
      <c r="J422" s="27">
        <f>12.9617 * CHOOSE(CONTROL!$C$32, $C$9, 100%, $E$9)</f>
        <v>12.9617</v>
      </c>
      <c r="K422" s="27">
        <f>12.9653 * CHOOSE(CONTROL!$C$32, $C$9, 100%, $E$9)</f>
        <v>12.965299999999999</v>
      </c>
      <c r="L422" s="27">
        <f>6.9915 * CHOOSE(CONTROL!$C$32, $C$9, 100%, $E$9)</f>
        <v>6.9915000000000003</v>
      </c>
      <c r="M422" s="27">
        <f>6.9951 * CHOOSE(CONTROL!$C$32, $C$9, 100%, $E$9)</f>
        <v>6.9950999999999999</v>
      </c>
      <c r="N422" s="27">
        <f>6.9915 * CHOOSE(CONTROL!$C$32, $C$9, 100%, $E$9)</f>
        <v>6.9915000000000003</v>
      </c>
      <c r="O422" s="27">
        <f>6.9951 * CHOOSE(CONTROL!$C$32, $C$9, 100%, $E$9)</f>
        <v>6.9950999999999999</v>
      </c>
    </row>
    <row r="423" spans="1:15" ht="15" x14ac:dyDescent="0.2">
      <c r="A423" s="16">
        <v>53724</v>
      </c>
      <c r="B423" s="26">
        <f>6.1659 * CHOOSE(CONTROL!$C$32, $C$9, 100%, $E$9)</f>
        <v>6.1658999999999997</v>
      </c>
      <c r="C423" s="26">
        <f>6.1659 * CHOOSE(CONTROL!$C$32, $C$9, 100%, $E$9)</f>
        <v>6.1658999999999997</v>
      </c>
      <c r="D423" s="26">
        <f>6.167 * CHOOSE(CONTROL!$C$32, $C$9, 100%, $E$9)</f>
        <v>6.1669999999999998</v>
      </c>
      <c r="E423" s="27">
        <f>6.8455 * CHOOSE(CONTROL!$C$32, $C$9, 100%, $E$9)</f>
        <v>6.8455000000000004</v>
      </c>
      <c r="F423" s="27">
        <f>6.8455 * CHOOSE(CONTROL!$C$32, $C$9, 100%, $E$9)</f>
        <v>6.8455000000000004</v>
      </c>
      <c r="G423" s="27">
        <f>6.8491 * CHOOSE(CONTROL!$C$32, $C$9, 100%, $E$9)</f>
        <v>6.8491</v>
      </c>
      <c r="H423" s="27">
        <f>12.9887 * CHOOSE(CONTROL!$C$32, $C$9, 100%, $E$9)</f>
        <v>12.9887</v>
      </c>
      <c r="I423" s="27">
        <f>12.9923 * CHOOSE(CONTROL!$C$32, $C$9, 100%, $E$9)</f>
        <v>12.9923</v>
      </c>
      <c r="J423" s="27">
        <f>12.9887 * CHOOSE(CONTROL!$C$32, $C$9, 100%, $E$9)</f>
        <v>12.9887</v>
      </c>
      <c r="K423" s="27">
        <f>12.9923 * CHOOSE(CONTROL!$C$32, $C$9, 100%, $E$9)</f>
        <v>12.9923</v>
      </c>
      <c r="L423" s="27">
        <f>6.8455 * CHOOSE(CONTROL!$C$32, $C$9, 100%, $E$9)</f>
        <v>6.8455000000000004</v>
      </c>
      <c r="M423" s="27">
        <f>6.8491 * CHOOSE(CONTROL!$C$32, $C$9, 100%, $E$9)</f>
        <v>6.8491</v>
      </c>
      <c r="N423" s="27">
        <f>6.8455 * CHOOSE(CONTROL!$C$32, $C$9, 100%, $E$9)</f>
        <v>6.8455000000000004</v>
      </c>
      <c r="O423" s="27">
        <f>6.8491 * CHOOSE(CONTROL!$C$32, $C$9, 100%, $E$9)</f>
        <v>6.8491</v>
      </c>
    </row>
    <row r="424" spans="1:15" ht="15" x14ac:dyDescent="0.2">
      <c r="A424" s="16">
        <v>53752</v>
      </c>
      <c r="B424" s="26">
        <f>6.1629 * CHOOSE(CONTROL!$C$32, $C$9, 100%, $E$9)</f>
        <v>6.1628999999999996</v>
      </c>
      <c r="C424" s="26">
        <f>6.1629 * CHOOSE(CONTROL!$C$32, $C$9, 100%, $E$9)</f>
        <v>6.1628999999999996</v>
      </c>
      <c r="D424" s="26">
        <f>6.164 * CHOOSE(CONTROL!$C$32, $C$9, 100%, $E$9)</f>
        <v>6.1639999999999997</v>
      </c>
      <c r="E424" s="27">
        <f>6.9568 * CHOOSE(CONTROL!$C$32, $C$9, 100%, $E$9)</f>
        <v>6.9568000000000003</v>
      </c>
      <c r="F424" s="27">
        <f>6.9568 * CHOOSE(CONTROL!$C$32, $C$9, 100%, $E$9)</f>
        <v>6.9568000000000003</v>
      </c>
      <c r="G424" s="27">
        <f>6.9605 * CHOOSE(CONTROL!$C$32, $C$9, 100%, $E$9)</f>
        <v>6.9604999999999997</v>
      </c>
      <c r="H424" s="27">
        <f>13.0157 * CHOOSE(CONTROL!$C$32, $C$9, 100%, $E$9)</f>
        <v>13.015700000000001</v>
      </c>
      <c r="I424" s="27">
        <f>13.0193 * CHOOSE(CONTROL!$C$32, $C$9, 100%, $E$9)</f>
        <v>13.019299999999999</v>
      </c>
      <c r="J424" s="27">
        <f>13.0157 * CHOOSE(CONTROL!$C$32, $C$9, 100%, $E$9)</f>
        <v>13.015700000000001</v>
      </c>
      <c r="K424" s="27">
        <f>13.0193 * CHOOSE(CONTROL!$C$32, $C$9, 100%, $E$9)</f>
        <v>13.019299999999999</v>
      </c>
      <c r="L424" s="27">
        <f>6.9568 * CHOOSE(CONTROL!$C$32, $C$9, 100%, $E$9)</f>
        <v>6.9568000000000003</v>
      </c>
      <c r="M424" s="27">
        <f>6.9605 * CHOOSE(CONTROL!$C$32, $C$9, 100%, $E$9)</f>
        <v>6.9604999999999997</v>
      </c>
      <c r="N424" s="27">
        <f>6.9568 * CHOOSE(CONTROL!$C$32, $C$9, 100%, $E$9)</f>
        <v>6.9568000000000003</v>
      </c>
      <c r="O424" s="27">
        <f>6.9605 * CHOOSE(CONTROL!$C$32, $C$9, 100%, $E$9)</f>
        <v>6.9604999999999997</v>
      </c>
    </row>
    <row r="425" spans="1:15" ht="15" x14ac:dyDescent="0.2">
      <c r="A425" s="16">
        <v>53783</v>
      </c>
      <c r="B425" s="26">
        <f>6.1626 * CHOOSE(CONTROL!$C$32, $C$9, 100%, $E$9)</f>
        <v>6.1626000000000003</v>
      </c>
      <c r="C425" s="26">
        <f>6.1626 * CHOOSE(CONTROL!$C$32, $C$9, 100%, $E$9)</f>
        <v>6.1626000000000003</v>
      </c>
      <c r="D425" s="26">
        <f>6.1637 * CHOOSE(CONTROL!$C$32, $C$9, 100%, $E$9)</f>
        <v>6.1637000000000004</v>
      </c>
      <c r="E425" s="27">
        <f>7.0744 * CHOOSE(CONTROL!$C$32, $C$9, 100%, $E$9)</f>
        <v>7.0743999999999998</v>
      </c>
      <c r="F425" s="27">
        <f>7.0744 * CHOOSE(CONTROL!$C$32, $C$9, 100%, $E$9)</f>
        <v>7.0743999999999998</v>
      </c>
      <c r="G425" s="27">
        <f>7.078 * CHOOSE(CONTROL!$C$32, $C$9, 100%, $E$9)</f>
        <v>7.0780000000000003</v>
      </c>
      <c r="H425" s="27">
        <f>13.0428 * CHOOSE(CONTROL!$C$32, $C$9, 100%, $E$9)</f>
        <v>13.0428</v>
      </c>
      <c r="I425" s="27">
        <f>13.0465 * CHOOSE(CONTROL!$C$32, $C$9, 100%, $E$9)</f>
        <v>13.0465</v>
      </c>
      <c r="J425" s="27">
        <f>13.0428 * CHOOSE(CONTROL!$C$32, $C$9, 100%, $E$9)</f>
        <v>13.0428</v>
      </c>
      <c r="K425" s="27">
        <f>13.0465 * CHOOSE(CONTROL!$C$32, $C$9, 100%, $E$9)</f>
        <v>13.0465</v>
      </c>
      <c r="L425" s="27">
        <f>7.0744 * CHOOSE(CONTROL!$C$32, $C$9, 100%, $E$9)</f>
        <v>7.0743999999999998</v>
      </c>
      <c r="M425" s="27">
        <f>7.078 * CHOOSE(CONTROL!$C$32, $C$9, 100%, $E$9)</f>
        <v>7.0780000000000003</v>
      </c>
      <c r="N425" s="27">
        <f>7.0744 * CHOOSE(CONTROL!$C$32, $C$9, 100%, $E$9)</f>
        <v>7.0743999999999998</v>
      </c>
      <c r="O425" s="27">
        <f>7.078 * CHOOSE(CONTROL!$C$32, $C$9, 100%, $E$9)</f>
        <v>7.0780000000000003</v>
      </c>
    </row>
    <row r="426" spans="1:15" ht="15" x14ac:dyDescent="0.2">
      <c r="A426" s="16">
        <v>53813</v>
      </c>
      <c r="B426" s="26">
        <f>6.1626 * CHOOSE(CONTROL!$C$32, $C$9, 100%, $E$9)</f>
        <v>6.1626000000000003</v>
      </c>
      <c r="C426" s="26">
        <f>6.1626 * CHOOSE(CONTROL!$C$32, $C$9, 100%, $E$9)</f>
        <v>6.1626000000000003</v>
      </c>
      <c r="D426" s="26">
        <f>6.1642 * CHOOSE(CONTROL!$C$32, $C$9, 100%, $E$9)</f>
        <v>6.1642000000000001</v>
      </c>
      <c r="E426" s="27">
        <f>7.1201 * CHOOSE(CONTROL!$C$32, $C$9, 100%, $E$9)</f>
        <v>7.1200999999999999</v>
      </c>
      <c r="F426" s="27">
        <f>7.1201 * CHOOSE(CONTROL!$C$32, $C$9, 100%, $E$9)</f>
        <v>7.1200999999999999</v>
      </c>
      <c r="G426" s="27">
        <f>7.1254 * CHOOSE(CONTROL!$C$32, $C$9, 100%, $E$9)</f>
        <v>7.1254</v>
      </c>
      <c r="H426" s="27">
        <f>13.07 * CHOOSE(CONTROL!$C$32, $C$9, 100%, $E$9)</f>
        <v>13.07</v>
      </c>
      <c r="I426" s="27">
        <f>13.0753 * CHOOSE(CONTROL!$C$32, $C$9, 100%, $E$9)</f>
        <v>13.0753</v>
      </c>
      <c r="J426" s="27">
        <f>13.07 * CHOOSE(CONTROL!$C$32, $C$9, 100%, $E$9)</f>
        <v>13.07</v>
      </c>
      <c r="K426" s="27">
        <f>13.0753 * CHOOSE(CONTROL!$C$32, $C$9, 100%, $E$9)</f>
        <v>13.0753</v>
      </c>
      <c r="L426" s="27">
        <f>7.1201 * CHOOSE(CONTROL!$C$32, $C$9, 100%, $E$9)</f>
        <v>7.1200999999999999</v>
      </c>
      <c r="M426" s="27">
        <f>7.1254 * CHOOSE(CONTROL!$C$32, $C$9, 100%, $E$9)</f>
        <v>7.1254</v>
      </c>
      <c r="N426" s="27">
        <f>7.1201 * CHOOSE(CONTROL!$C$32, $C$9, 100%, $E$9)</f>
        <v>7.1200999999999999</v>
      </c>
      <c r="O426" s="27">
        <f>7.1254 * CHOOSE(CONTROL!$C$32, $C$9, 100%, $E$9)</f>
        <v>7.1254</v>
      </c>
    </row>
    <row r="427" spans="1:15" ht="15" x14ac:dyDescent="0.2">
      <c r="A427" s="16">
        <v>53844</v>
      </c>
      <c r="B427" s="26">
        <f>6.1687 * CHOOSE(CONTROL!$C$32, $C$9, 100%, $E$9)</f>
        <v>6.1687000000000003</v>
      </c>
      <c r="C427" s="26">
        <f>6.1687 * CHOOSE(CONTROL!$C$32, $C$9, 100%, $E$9)</f>
        <v>6.1687000000000003</v>
      </c>
      <c r="D427" s="26">
        <f>6.1703 * CHOOSE(CONTROL!$C$32, $C$9, 100%, $E$9)</f>
        <v>6.1703000000000001</v>
      </c>
      <c r="E427" s="27">
        <f>7.0787 * CHOOSE(CONTROL!$C$32, $C$9, 100%, $E$9)</f>
        <v>7.0787000000000004</v>
      </c>
      <c r="F427" s="27">
        <f>7.0787 * CHOOSE(CONTROL!$C$32, $C$9, 100%, $E$9)</f>
        <v>7.0787000000000004</v>
      </c>
      <c r="G427" s="27">
        <f>7.0839 * CHOOSE(CONTROL!$C$32, $C$9, 100%, $E$9)</f>
        <v>7.0838999999999999</v>
      </c>
      <c r="H427" s="27">
        <f>13.0972 * CHOOSE(CONTROL!$C$32, $C$9, 100%, $E$9)</f>
        <v>13.097200000000001</v>
      </c>
      <c r="I427" s="27">
        <f>13.1025 * CHOOSE(CONTROL!$C$32, $C$9, 100%, $E$9)</f>
        <v>13.102499999999999</v>
      </c>
      <c r="J427" s="27">
        <f>13.0972 * CHOOSE(CONTROL!$C$32, $C$9, 100%, $E$9)</f>
        <v>13.097200000000001</v>
      </c>
      <c r="K427" s="27">
        <f>13.1025 * CHOOSE(CONTROL!$C$32, $C$9, 100%, $E$9)</f>
        <v>13.102499999999999</v>
      </c>
      <c r="L427" s="27">
        <f>7.0787 * CHOOSE(CONTROL!$C$32, $C$9, 100%, $E$9)</f>
        <v>7.0787000000000004</v>
      </c>
      <c r="M427" s="27">
        <f>7.0839 * CHOOSE(CONTROL!$C$32, $C$9, 100%, $E$9)</f>
        <v>7.0838999999999999</v>
      </c>
      <c r="N427" s="27">
        <f>7.0787 * CHOOSE(CONTROL!$C$32, $C$9, 100%, $E$9)</f>
        <v>7.0787000000000004</v>
      </c>
      <c r="O427" s="27">
        <f>7.0839 * CHOOSE(CONTROL!$C$32, $C$9, 100%, $E$9)</f>
        <v>7.0838999999999999</v>
      </c>
    </row>
    <row r="428" spans="1:15" ht="15" x14ac:dyDescent="0.2">
      <c r="A428" s="16">
        <v>53874</v>
      </c>
      <c r="B428" s="26">
        <f>6.251 * CHOOSE(CONTROL!$C$32, $C$9, 100%, $E$9)</f>
        <v>6.2510000000000003</v>
      </c>
      <c r="C428" s="26">
        <f>6.251 * CHOOSE(CONTROL!$C$32, $C$9, 100%, $E$9)</f>
        <v>6.2510000000000003</v>
      </c>
      <c r="D428" s="26">
        <f>6.2526 * CHOOSE(CONTROL!$C$32, $C$9, 100%, $E$9)</f>
        <v>6.2526000000000002</v>
      </c>
      <c r="E428" s="27">
        <f>7.149 * CHOOSE(CONTROL!$C$32, $C$9, 100%, $E$9)</f>
        <v>7.149</v>
      </c>
      <c r="F428" s="27">
        <f>7.149 * CHOOSE(CONTROL!$C$32, $C$9, 100%, $E$9)</f>
        <v>7.149</v>
      </c>
      <c r="G428" s="27">
        <f>7.1543 * CHOOSE(CONTROL!$C$32, $C$9, 100%, $E$9)</f>
        <v>7.1543000000000001</v>
      </c>
      <c r="H428" s="27">
        <f>13.1245 * CHOOSE(CONTROL!$C$32, $C$9, 100%, $E$9)</f>
        <v>13.124499999999999</v>
      </c>
      <c r="I428" s="27">
        <f>13.1298 * CHOOSE(CONTROL!$C$32, $C$9, 100%, $E$9)</f>
        <v>13.129799999999999</v>
      </c>
      <c r="J428" s="27">
        <f>13.1245 * CHOOSE(CONTROL!$C$32, $C$9, 100%, $E$9)</f>
        <v>13.124499999999999</v>
      </c>
      <c r="K428" s="27">
        <f>13.1298 * CHOOSE(CONTROL!$C$32, $C$9, 100%, $E$9)</f>
        <v>13.129799999999999</v>
      </c>
      <c r="L428" s="27">
        <f>7.149 * CHOOSE(CONTROL!$C$32, $C$9, 100%, $E$9)</f>
        <v>7.149</v>
      </c>
      <c r="M428" s="27">
        <f>7.1543 * CHOOSE(CONTROL!$C$32, $C$9, 100%, $E$9)</f>
        <v>7.1543000000000001</v>
      </c>
      <c r="N428" s="27">
        <f>7.149 * CHOOSE(CONTROL!$C$32, $C$9, 100%, $E$9)</f>
        <v>7.149</v>
      </c>
      <c r="O428" s="27">
        <f>7.1543 * CHOOSE(CONTROL!$C$32, $C$9, 100%, $E$9)</f>
        <v>7.1543000000000001</v>
      </c>
    </row>
    <row r="429" spans="1:15" ht="15" x14ac:dyDescent="0.2">
      <c r="A429" s="16">
        <v>53905</v>
      </c>
      <c r="B429" s="26">
        <f>6.2577 * CHOOSE(CONTROL!$C$32, $C$9, 100%, $E$9)</f>
        <v>6.2576999999999998</v>
      </c>
      <c r="C429" s="26">
        <f>6.2577 * CHOOSE(CONTROL!$C$32, $C$9, 100%, $E$9)</f>
        <v>6.2576999999999998</v>
      </c>
      <c r="D429" s="26">
        <f>6.2593 * CHOOSE(CONTROL!$C$32, $C$9, 100%, $E$9)</f>
        <v>6.2592999999999996</v>
      </c>
      <c r="E429" s="27">
        <f>7.0166 * CHOOSE(CONTROL!$C$32, $C$9, 100%, $E$9)</f>
        <v>7.0166000000000004</v>
      </c>
      <c r="F429" s="27">
        <f>7.0166 * CHOOSE(CONTROL!$C$32, $C$9, 100%, $E$9)</f>
        <v>7.0166000000000004</v>
      </c>
      <c r="G429" s="27">
        <f>7.0219 * CHOOSE(CONTROL!$C$32, $C$9, 100%, $E$9)</f>
        <v>7.0218999999999996</v>
      </c>
      <c r="H429" s="27">
        <f>13.1519 * CHOOSE(CONTROL!$C$32, $C$9, 100%, $E$9)</f>
        <v>13.151899999999999</v>
      </c>
      <c r="I429" s="27">
        <f>13.1572 * CHOOSE(CONTROL!$C$32, $C$9, 100%, $E$9)</f>
        <v>13.1572</v>
      </c>
      <c r="J429" s="27">
        <f>13.1519 * CHOOSE(CONTROL!$C$32, $C$9, 100%, $E$9)</f>
        <v>13.151899999999999</v>
      </c>
      <c r="K429" s="27">
        <f>13.1572 * CHOOSE(CONTROL!$C$32, $C$9, 100%, $E$9)</f>
        <v>13.1572</v>
      </c>
      <c r="L429" s="27">
        <f>7.0166 * CHOOSE(CONTROL!$C$32, $C$9, 100%, $E$9)</f>
        <v>7.0166000000000004</v>
      </c>
      <c r="M429" s="27">
        <f>7.0219 * CHOOSE(CONTROL!$C$32, $C$9, 100%, $E$9)</f>
        <v>7.0218999999999996</v>
      </c>
      <c r="N429" s="27">
        <f>7.0166 * CHOOSE(CONTROL!$C$32, $C$9, 100%, $E$9)</f>
        <v>7.0166000000000004</v>
      </c>
      <c r="O429" s="27">
        <f>7.0219 * CHOOSE(CONTROL!$C$32, $C$9, 100%, $E$9)</f>
        <v>7.0218999999999996</v>
      </c>
    </row>
    <row r="430" spans="1:15" ht="15" x14ac:dyDescent="0.2">
      <c r="A430" s="16">
        <v>53936</v>
      </c>
      <c r="B430" s="26">
        <f>6.2547 * CHOOSE(CONTROL!$C$32, $C$9, 100%, $E$9)</f>
        <v>6.2546999999999997</v>
      </c>
      <c r="C430" s="26">
        <f>6.2547 * CHOOSE(CONTROL!$C$32, $C$9, 100%, $E$9)</f>
        <v>6.2546999999999997</v>
      </c>
      <c r="D430" s="26">
        <f>6.2562 * CHOOSE(CONTROL!$C$32, $C$9, 100%, $E$9)</f>
        <v>6.2561999999999998</v>
      </c>
      <c r="E430" s="27">
        <f>6.9993 * CHOOSE(CONTROL!$C$32, $C$9, 100%, $E$9)</f>
        <v>6.9992999999999999</v>
      </c>
      <c r="F430" s="27">
        <f>6.9993 * CHOOSE(CONTROL!$C$32, $C$9, 100%, $E$9)</f>
        <v>6.9992999999999999</v>
      </c>
      <c r="G430" s="27">
        <f>7.0045 * CHOOSE(CONTROL!$C$32, $C$9, 100%, $E$9)</f>
        <v>7.0045000000000002</v>
      </c>
      <c r="H430" s="27">
        <f>13.1793 * CHOOSE(CONTROL!$C$32, $C$9, 100%, $E$9)</f>
        <v>13.1793</v>
      </c>
      <c r="I430" s="27">
        <f>13.1846 * CHOOSE(CONTROL!$C$32, $C$9, 100%, $E$9)</f>
        <v>13.1846</v>
      </c>
      <c r="J430" s="27">
        <f>13.1793 * CHOOSE(CONTROL!$C$32, $C$9, 100%, $E$9)</f>
        <v>13.1793</v>
      </c>
      <c r="K430" s="27">
        <f>13.1846 * CHOOSE(CONTROL!$C$32, $C$9, 100%, $E$9)</f>
        <v>13.1846</v>
      </c>
      <c r="L430" s="27">
        <f>6.9993 * CHOOSE(CONTROL!$C$32, $C$9, 100%, $E$9)</f>
        <v>6.9992999999999999</v>
      </c>
      <c r="M430" s="27">
        <f>7.0045 * CHOOSE(CONTROL!$C$32, $C$9, 100%, $E$9)</f>
        <v>7.0045000000000002</v>
      </c>
      <c r="N430" s="27">
        <f>6.9993 * CHOOSE(CONTROL!$C$32, $C$9, 100%, $E$9)</f>
        <v>6.9992999999999999</v>
      </c>
      <c r="O430" s="27">
        <f>7.0045 * CHOOSE(CONTROL!$C$32, $C$9, 100%, $E$9)</f>
        <v>7.0045000000000002</v>
      </c>
    </row>
    <row r="431" spans="1:15" ht="15" x14ac:dyDescent="0.2">
      <c r="A431" s="16">
        <v>53966</v>
      </c>
      <c r="B431" s="26">
        <f>6.2581 * CHOOSE(CONTROL!$C$32, $C$9, 100%, $E$9)</f>
        <v>6.2580999999999998</v>
      </c>
      <c r="C431" s="26">
        <f>6.2581 * CHOOSE(CONTROL!$C$32, $C$9, 100%, $E$9)</f>
        <v>6.2580999999999998</v>
      </c>
      <c r="D431" s="26">
        <f>6.2592 * CHOOSE(CONTROL!$C$32, $C$9, 100%, $E$9)</f>
        <v>6.2591999999999999</v>
      </c>
      <c r="E431" s="27">
        <f>7.0467 * CHOOSE(CONTROL!$C$32, $C$9, 100%, $E$9)</f>
        <v>7.0467000000000004</v>
      </c>
      <c r="F431" s="27">
        <f>7.0467 * CHOOSE(CONTROL!$C$32, $C$9, 100%, $E$9)</f>
        <v>7.0467000000000004</v>
      </c>
      <c r="G431" s="27">
        <f>7.0504 * CHOOSE(CONTROL!$C$32, $C$9, 100%, $E$9)</f>
        <v>7.0503999999999998</v>
      </c>
      <c r="H431" s="27">
        <f>13.2067 * CHOOSE(CONTROL!$C$32, $C$9, 100%, $E$9)</f>
        <v>13.2067</v>
      </c>
      <c r="I431" s="27">
        <f>13.2103 * CHOOSE(CONTROL!$C$32, $C$9, 100%, $E$9)</f>
        <v>13.2103</v>
      </c>
      <c r="J431" s="27">
        <f>13.2067 * CHOOSE(CONTROL!$C$32, $C$9, 100%, $E$9)</f>
        <v>13.2067</v>
      </c>
      <c r="K431" s="27">
        <f>13.2103 * CHOOSE(CONTROL!$C$32, $C$9, 100%, $E$9)</f>
        <v>13.2103</v>
      </c>
      <c r="L431" s="27">
        <f>7.0467 * CHOOSE(CONTROL!$C$32, $C$9, 100%, $E$9)</f>
        <v>7.0467000000000004</v>
      </c>
      <c r="M431" s="27">
        <f>7.0504 * CHOOSE(CONTROL!$C$32, $C$9, 100%, $E$9)</f>
        <v>7.0503999999999998</v>
      </c>
      <c r="N431" s="27">
        <f>7.0467 * CHOOSE(CONTROL!$C$32, $C$9, 100%, $E$9)</f>
        <v>7.0467000000000004</v>
      </c>
      <c r="O431" s="27">
        <f>7.0504 * CHOOSE(CONTROL!$C$32, $C$9, 100%, $E$9)</f>
        <v>7.0503999999999998</v>
      </c>
    </row>
    <row r="432" spans="1:15" ht="15" x14ac:dyDescent="0.2">
      <c r="A432" s="16">
        <v>53997</v>
      </c>
      <c r="B432" s="26">
        <f>6.2611 * CHOOSE(CONTROL!$C$32, $C$9, 100%, $E$9)</f>
        <v>6.2610999999999999</v>
      </c>
      <c r="C432" s="26">
        <f>6.2611 * CHOOSE(CONTROL!$C$32, $C$9, 100%, $E$9)</f>
        <v>6.2610999999999999</v>
      </c>
      <c r="D432" s="26">
        <f>6.2622 * CHOOSE(CONTROL!$C$32, $C$9, 100%, $E$9)</f>
        <v>6.2622</v>
      </c>
      <c r="E432" s="27">
        <f>7.0793 * CHOOSE(CONTROL!$C$32, $C$9, 100%, $E$9)</f>
        <v>7.0792999999999999</v>
      </c>
      <c r="F432" s="27">
        <f>7.0793 * CHOOSE(CONTROL!$C$32, $C$9, 100%, $E$9)</f>
        <v>7.0792999999999999</v>
      </c>
      <c r="G432" s="27">
        <f>7.0829 * CHOOSE(CONTROL!$C$32, $C$9, 100%, $E$9)</f>
        <v>7.0829000000000004</v>
      </c>
      <c r="H432" s="27">
        <f>13.2342 * CHOOSE(CONTROL!$C$32, $C$9, 100%, $E$9)</f>
        <v>13.2342</v>
      </c>
      <c r="I432" s="27">
        <f>13.2379 * CHOOSE(CONTROL!$C$32, $C$9, 100%, $E$9)</f>
        <v>13.2379</v>
      </c>
      <c r="J432" s="27">
        <f>13.2342 * CHOOSE(CONTROL!$C$32, $C$9, 100%, $E$9)</f>
        <v>13.2342</v>
      </c>
      <c r="K432" s="27">
        <f>13.2379 * CHOOSE(CONTROL!$C$32, $C$9, 100%, $E$9)</f>
        <v>13.2379</v>
      </c>
      <c r="L432" s="27">
        <f>7.0793 * CHOOSE(CONTROL!$C$32, $C$9, 100%, $E$9)</f>
        <v>7.0792999999999999</v>
      </c>
      <c r="M432" s="27">
        <f>7.0829 * CHOOSE(CONTROL!$C$32, $C$9, 100%, $E$9)</f>
        <v>7.0829000000000004</v>
      </c>
      <c r="N432" s="27">
        <f>7.0793 * CHOOSE(CONTROL!$C$32, $C$9, 100%, $E$9)</f>
        <v>7.0792999999999999</v>
      </c>
      <c r="O432" s="27">
        <f>7.0829 * CHOOSE(CONTROL!$C$32, $C$9, 100%, $E$9)</f>
        <v>7.0829000000000004</v>
      </c>
    </row>
    <row r="433" spans="1:15" ht="15" x14ac:dyDescent="0.2">
      <c r="A433" s="16">
        <v>54027</v>
      </c>
      <c r="B433" s="26">
        <f>6.2611 * CHOOSE(CONTROL!$C$32, $C$9, 100%, $E$9)</f>
        <v>6.2610999999999999</v>
      </c>
      <c r="C433" s="26">
        <f>6.2611 * CHOOSE(CONTROL!$C$32, $C$9, 100%, $E$9)</f>
        <v>6.2610999999999999</v>
      </c>
      <c r="D433" s="26">
        <f>6.2622 * CHOOSE(CONTROL!$C$32, $C$9, 100%, $E$9)</f>
        <v>6.2622</v>
      </c>
      <c r="E433" s="27">
        <f>7.0032 * CHOOSE(CONTROL!$C$32, $C$9, 100%, $E$9)</f>
        <v>7.0031999999999996</v>
      </c>
      <c r="F433" s="27">
        <f>7.0032 * CHOOSE(CONTROL!$C$32, $C$9, 100%, $E$9)</f>
        <v>7.0031999999999996</v>
      </c>
      <c r="G433" s="27">
        <f>7.0068 * CHOOSE(CONTROL!$C$32, $C$9, 100%, $E$9)</f>
        <v>7.0068000000000001</v>
      </c>
      <c r="H433" s="27">
        <f>13.2618 * CHOOSE(CONTROL!$C$32, $C$9, 100%, $E$9)</f>
        <v>13.261799999999999</v>
      </c>
      <c r="I433" s="27">
        <f>13.2654 * CHOOSE(CONTROL!$C$32, $C$9, 100%, $E$9)</f>
        <v>13.2654</v>
      </c>
      <c r="J433" s="27">
        <f>13.2618 * CHOOSE(CONTROL!$C$32, $C$9, 100%, $E$9)</f>
        <v>13.261799999999999</v>
      </c>
      <c r="K433" s="27">
        <f>13.2654 * CHOOSE(CONTROL!$C$32, $C$9, 100%, $E$9)</f>
        <v>13.2654</v>
      </c>
      <c r="L433" s="27">
        <f>7.0032 * CHOOSE(CONTROL!$C$32, $C$9, 100%, $E$9)</f>
        <v>7.0031999999999996</v>
      </c>
      <c r="M433" s="27">
        <f>7.0068 * CHOOSE(CONTROL!$C$32, $C$9, 100%, $E$9)</f>
        <v>7.0068000000000001</v>
      </c>
      <c r="N433" s="27">
        <f>7.0032 * CHOOSE(CONTROL!$C$32, $C$9, 100%, $E$9)</f>
        <v>7.0031999999999996</v>
      </c>
      <c r="O433" s="27">
        <f>7.0068 * CHOOSE(CONTROL!$C$32, $C$9, 100%, $E$9)</f>
        <v>7.0068000000000001</v>
      </c>
    </row>
    <row r="434" spans="1:15" ht="15" x14ac:dyDescent="0.2">
      <c r="A434" s="16">
        <v>54058</v>
      </c>
      <c r="B434" s="26">
        <f>6.3089 * CHOOSE(CONTROL!$C$32, $C$9, 100%, $E$9)</f>
        <v>6.3089000000000004</v>
      </c>
      <c r="C434" s="26">
        <f>6.3089 * CHOOSE(CONTROL!$C$32, $C$9, 100%, $E$9)</f>
        <v>6.3089000000000004</v>
      </c>
      <c r="D434" s="26">
        <f>6.3099 * CHOOSE(CONTROL!$C$32, $C$9, 100%, $E$9)</f>
        <v>6.3098999999999998</v>
      </c>
      <c r="E434" s="27">
        <f>7.1107 * CHOOSE(CONTROL!$C$32, $C$9, 100%, $E$9)</f>
        <v>7.1106999999999996</v>
      </c>
      <c r="F434" s="27">
        <f>7.1107 * CHOOSE(CONTROL!$C$32, $C$9, 100%, $E$9)</f>
        <v>7.1106999999999996</v>
      </c>
      <c r="G434" s="27">
        <f>7.1143 * CHOOSE(CONTROL!$C$32, $C$9, 100%, $E$9)</f>
        <v>7.1143000000000001</v>
      </c>
      <c r="H434" s="27">
        <f>13.2894 * CHOOSE(CONTROL!$C$32, $C$9, 100%, $E$9)</f>
        <v>13.289400000000001</v>
      </c>
      <c r="I434" s="27">
        <f>13.2931 * CHOOSE(CONTROL!$C$32, $C$9, 100%, $E$9)</f>
        <v>13.293100000000001</v>
      </c>
      <c r="J434" s="27">
        <f>13.2894 * CHOOSE(CONTROL!$C$32, $C$9, 100%, $E$9)</f>
        <v>13.289400000000001</v>
      </c>
      <c r="K434" s="27">
        <f>13.2931 * CHOOSE(CONTROL!$C$32, $C$9, 100%, $E$9)</f>
        <v>13.293100000000001</v>
      </c>
      <c r="L434" s="27">
        <f>7.1107 * CHOOSE(CONTROL!$C$32, $C$9, 100%, $E$9)</f>
        <v>7.1106999999999996</v>
      </c>
      <c r="M434" s="27">
        <f>7.1143 * CHOOSE(CONTROL!$C$32, $C$9, 100%, $E$9)</f>
        <v>7.1143000000000001</v>
      </c>
      <c r="N434" s="27">
        <f>7.1107 * CHOOSE(CONTROL!$C$32, $C$9, 100%, $E$9)</f>
        <v>7.1106999999999996</v>
      </c>
      <c r="O434" s="27">
        <f>7.1143 * CHOOSE(CONTROL!$C$32, $C$9, 100%, $E$9)</f>
        <v>7.1143000000000001</v>
      </c>
    </row>
    <row r="435" spans="1:15" ht="15" x14ac:dyDescent="0.2">
      <c r="A435" s="16">
        <v>54089</v>
      </c>
      <c r="B435" s="26">
        <f>6.3058 * CHOOSE(CONTROL!$C$32, $C$9, 100%, $E$9)</f>
        <v>6.3057999999999996</v>
      </c>
      <c r="C435" s="26">
        <f>6.3058 * CHOOSE(CONTROL!$C$32, $C$9, 100%, $E$9)</f>
        <v>6.3057999999999996</v>
      </c>
      <c r="D435" s="26">
        <f>6.3069 * CHOOSE(CONTROL!$C$32, $C$9, 100%, $E$9)</f>
        <v>6.3068999999999997</v>
      </c>
      <c r="E435" s="27">
        <f>6.96 * CHOOSE(CONTROL!$C$32, $C$9, 100%, $E$9)</f>
        <v>6.96</v>
      </c>
      <c r="F435" s="27">
        <f>6.96 * CHOOSE(CONTROL!$C$32, $C$9, 100%, $E$9)</f>
        <v>6.96</v>
      </c>
      <c r="G435" s="27">
        <f>6.9636 * CHOOSE(CONTROL!$C$32, $C$9, 100%, $E$9)</f>
        <v>6.9635999999999996</v>
      </c>
      <c r="H435" s="27">
        <f>13.3171 * CHOOSE(CONTROL!$C$32, $C$9, 100%, $E$9)</f>
        <v>13.3171</v>
      </c>
      <c r="I435" s="27">
        <f>13.3207 * CHOOSE(CONTROL!$C$32, $C$9, 100%, $E$9)</f>
        <v>13.3207</v>
      </c>
      <c r="J435" s="27">
        <f>13.3171 * CHOOSE(CONTROL!$C$32, $C$9, 100%, $E$9)</f>
        <v>13.3171</v>
      </c>
      <c r="K435" s="27">
        <f>13.3207 * CHOOSE(CONTROL!$C$32, $C$9, 100%, $E$9)</f>
        <v>13.3207</v>
      </c>
      <c r="L435" s="27">
        <f>6.96 * CHOOSE(CONTROL!$C$32, $C$9, 100%, $E$9)</f>
        <v>6.96</v>
      </c>
      <c r="M435" s="27">
        <f>6.9636 * CHOOSE(CONTROL!$C$32, $C$9, 100%, $E$9)</f>
        <v>6.9635999999999996</v>
      </c>
      <c r="N435" s="27">
        <f>6.96 * CHOOSE(CONTROL!$C$32, $C$9, 100%, $E$9)</f>
        <v>6.96</v>
      </c>
      <c r="O435" s="27">
        <f>6.9636 * CHOOSE(CONTROL!$C$32, $C$9, 100%, $E$9)</f>
        <v>6.9635999999999996</v>
      </c>
    </row>
    <row r="436" spans="1:15" ht="15" x14ac:dyDescent="0.2">
      <c r="A436" s="16">
        <v>54118</v>
      </c>
      <c r="B436" s="26">
        <f>6.3028 * CHOOSE(CONTROL!$C$32, $C$9, 100%, $E$9)</f>
        <v>6.3028000000000004</v>
      </c>
      <c r="C436" s="26">
        <f>6.3028 * CHOOSE(CONTROL!$C$32, $C$9, 100%, $E$9)</f>
        <v>6.3028000000000004</v>
      </c>
      <c r="D436" s="26">
        <f>6.3038 * CHOOSE(CONTROL!$C$32, $C$9, 100%, $E$9)</f>
        <v>6.3037999999999998</v>
      </c>
      <c r="E436" s="27">
        <f>7.075 * CHOOSE(CONTROL!$C$32, $C$9, 100%, $E$9)</f>
        <v>7.0750000000000002</v>
      </c>
      <c r="F436" s="27">
        <f>7.075 * CHOOSE(CONTROL!$C$32, $C$9, 100%, $E$9)</f>
        <v>7.0750000000000002</v>
      </c>
      <c r="G436" s="27">
        <f>7.0786 * CHOOSE(CONTROL!$C$32, $C$9, 100%, $E$9)</f>
        <v>7.0785999999999998</v>
      </c>
      <c r="H436" s="27">
        <f>13.3449 * CHOOSE(CONTROL!$C$32, $C$9, 100%, $E$9)</f>
        <v>13.344900000000001</v>
      </c>
      <c r="I436" s="27">
        <f>13.3485 * CHOOSE(CONTROL!$C$32, $C$9, 100%, $E$9)</f>
        <v>13.3485</v>
      </c>
      <c r="J436" s="27">
        <f>13.3449 * CHOOSE(CONTROL!$C$32, $C$9, 100%, $E$9)</f>
        <v>13.344900000000001</v>
      </c>
      <c r="K436" s="27">
        <f>13.3485 * CHOOSE(CONTROL!$C$32, $C$9, 100%, $E$9)</f>
        <v>13.3485</v>
      </c>
      <c r="L436" s="27">
        <f>7.075 * CHOOSE(CONTROL!$C$32, $C$9, 100%, $E$9)</f>
        <v>7.0750000000000002</v>
      </c>
      <c r="M436" s="27">
        <f>7.0786 * CHOOSE(CONTROL!$C$32, $C$9, 100%, $E$9)</f>
        <v>7.0785999999999998</v>
      </c>
      <c r="N436" s="27">
        <f>7.075 * CHOOSE(CONTROL!$C$32, $C$9, 100%, $E$9)</f>
        <v>7.0750000000000002</v>
      </c>
      <c r="O436" s="27">
        <f>7.0786 * CHOOSE(CONTROL!$C$32, $C$9, 100%, $E$9)</f>
        <v>7.0785999999999998</v>
      </c>
    </row>
    <row r="437" spans="1:15" ht="15" x14ac:dyDescent="0.2">
      <c r="A437" s="16">
        <v>54149</v>
      </c>
      <c r="B437" s="26">
        <f>6.3027 * CHOOSE(CONTROL!$C$32, $C$9, 100%, $E$9)</f>
        <v>6.3026999999999997</v>
      </c>
      <c r="C437" s="26">
        <f>6.3027 * CHOOSE(CONTROL!$C$32, $C$9, 100%, $E$9)</f>
        <v>6.3026999999999997</v>
      </c>
      <c r="D437" s="26">
        <f>6.3037 * CHOOSE(CONTROL!$C$32, $C$9, 100%, $E$9)</f>
        <v>6.3037000000000001</v>
      </c>
      <c r="E437" s="27">
        <f>7.1965 * CHOOSE(CONTROL!$C$32, $C$9, 100%, $E$9)</f>
        <v>7.1965000000000003</v>
      </c>
      <c r="F437" s="27">
        <f>7.1965 * CHOOSE(CONTROL!$C$32, $C$9, 100%, $E$9)</f>
        <v>7.1965000000000003</v>
      </c>
      <c r="G437" s="27">
        <f>7.2001 * CHOOSE(CONTROL!$C$32, $C$9, 100%, $E$9)</f>
        <v>7.2000999999999999</v>
      </c>
      <c r="H437" s="27">
        <f>13.3727 * CHOOSE(CONTROL!$C$32, $C$9, 100%, $E$9)</f>
        <v>13.3727</v>
      </c>
      <c r="I437" s="27">
        <f>13.3763 * CHOOSE(CONTROL!$C$32, $C$9, 100%, $E$9)</f>
        <v>13.376300000000001</v>
      </c>
      <c r="J437" s="27">
        <f>13.3727 * CHOOSE(CONTROL!$C$32, $C$9, 100%, $E$9)</f>
        <v>13.3727</v>
      </c>
      <c r="K437" s="27">
        <f>13.3763 * CHOOSE(CONTROL!$C$32, $C$9, 100%, $E$9)</f>
        <v>13.376300000000001</v>
      </c>
      <c r="L437" s="27">
        <f>7.1965 * CHOOSE(CONTROL!$C$32, $C$9, 100%, $E$9)</f>
        <v>7.1965000000000003</v>
      </c>
      <c r="M437" s="27">
        <f>7.2001 * CHOOSE(CONTROL!$C$32, $C$9, 100%, $E$9)</f>
        <v>7.2000999999999999</v>
      </c>
      <c r="N437" s="27">
        <f>7.1965 * CHOOSE(CONTROL!$C$32, $C$9, 100%, $E$9)</f>
        <v>7.1965000000000003</v>
      </c>
      <c r="O437" s="27">
        <f>7.2001 * CHOOSE(CONTROL!$C$32, $C$9, 100%, $E$9)</f>
        <v>7.2000999999999999</v>
      </c>
    </row>
    <row r="438" spans="1:15" ht="15" x14ac:dyDescent="0.2">
      <c r="A438" s="16">
        <v>54179</v>
      </c>
      <c r="B438" s="26">
        <f>6.3027 * CHOOSE(CONTROL!$C$32, $C$9, 100%, $E$9)</f>
        <v>6.3026999999999997</v>
      </c>
      <c r="C438" s="26">
        <f>6.3027 * CHOOSE(CONTROL!$C$32, $C$9, 100%, $E$9)</f>
        <v>6.3026999999999997</v>
      </c>
      <c r="D438" s="26">
        <f>6.3042 * CHOOSE(CONTROL!$C$32, $C$9, 100%, $E$9)</f>
        <v>6.3041999999999998</v>
      </c>
      <c r="E438" s="27">
        <f>7.2437 * CHOOSE(CONTROL!$C$32, $C$9, 100%, $E$9)</f>
        <v>7.2436999999999996</v>
      </c>
      <c r="F438" s="27">
        <f>7.2437 * CHOOSE(CONTROL!$C$32, $C$9, 100%, $E$9)</f>
        <v>7.2436999999999996</v>
      </c>
      <c r="G438" s="27">
        <f>7.249 * CHOOSE(CONTROL!$C$32, $C$9, 100%, $E$9)</f>
        <v>7.2489999999999997</v>
      </c>
      <c r="H438" s="27">
        <f>13.4005 * CHOOSE(CONTROL!$C$32, $C$9, 100%, $E$9)</f>
        <v>13.400499999999999</v>
      </c>
      <c r="I438" s="27">
        <f>13.4058 * CHOOSE(CONTROL!$C$32, $C$9, 100%, $E$9)</f>
        <v>13.405799999999999</v>
      </c>
      <c r="J438" s="27">
        <f>13.4005 * CHOOSE(CONTROL!$C$32, $C$9, 100%, $E$9)</f>
        <v>13.400499999999999</v>
      </c>
      <c r="K438" s="27">
        <f>13.4058 * CHOOSE(CONTROL!$C$32, $C$9, 100%, $E$9)</f>
        <v>13.405799999999999</v>
      </c>
      <c r="L438" s="27">
        <f>7.2437 * CHOOSE(CONTROL!$C$32, $C$9, 100%, $E$9)</f>
        <v>7.2436999999999996</v>
      </c>
      <c r="M438" s="27">
        <f>7.249 * CHOOSE(CONTROL!$C$32, $C$9, 100%, $E$9)</f>
        <v>7.2489999999999997</v>
      </c>
      <c r="N438" s="27">
        <f>7.2437 * CHOOSE(CONTROL!$C$32, $C$9, 100%, $E$9)</f>
        <v>7.2436999999999996</v>
      </c>
      <c r="O438" s="27">
        <f>7.249 * CHOOSE(CONTROL!$C$32, $C$9, 100%, $E$9)</f>
        <v>7.2489999999999997</v>
      </c>
    </row>
    <row r="439" spans="1:15" ht="15" x14ac:dyDescent="0.2">
      <c r="A439" s="16">
        <v>54210</v>
      </c>
      <c r="B439" s="26">
        <f>6.3087 * CHOOSE(CONTROL!$C$32, $C$9, 100%, $E$9)</f>
        <v>6.3087</v>
      </c>
      <c r="C439" s="26">
        <f>6.3087 * CHOOSE(CONTROL!$C$32, $C$9, 100%, $E$9)</f>
        <v>6.3087</v>
      </c>
      <c r="D439" s="26">
        <f>6.3103 * CHOOSE(CONTROL!$C$32, $C$9, 100%, $E$9)</f>
        <v>6.3102999999999998</v>
      </c>
      <c r="E439" s="27">
        <f>7.2008 * CHOOSE(CONTROL!$C$32, $C$9, 100%, $E$9)</f>
        <v>7.2008000000000001</v>
      </c>
      <c r="F439" s="27">
        <f>7.2008 * CHOOSE(CONTROL!$C$32, $C$9, 100%, $E$9)</f>
        <v>7.2008000000000001</v>
      </c>
      <c r="G439" s="27">
        <f>7.206 * CHOOSE(CONTROL!$C$32, $C$9, 100%, $E$9)</f>
        <v>7.2060000000000004</v>
      </c>
      <c r="H439" s="27">
        <f>13.4285 * CHOOSE(CONTROL!$C$32, $C$9, 100%, $E$9)</f>
        <v>13.4285</v>
      </c>
      <c r="I439" s="27">
        <f>13.4337 * CHOOSE(CONTROL!$C$32, $C$9, 100%, $E$9)</f>
        <v>13.4337</v>
      </c>
      <c r="J439" s="27">
        <f>13.4285 * CHOOSE(CONTROL!$C$32, $C$9, 100%, $E$9)</f>
        <v>13.4285</v>
      </c>
      <c r="K439" s="27">
        <f>13.4337 * CHOOSE(CONTROL!$C$32, $C$9, 100%, $E$9)</f>
        <v>13.4337</v>
      </c>
      <c r="L439" s="27">
        <f>7.2008 * CHOOSE(CONTROL!$C$32, $C$9, 100%, $E$9)</f>
        <v>7.2008000000000001</v>
      </c>
      <c r="M439" s="27">
        <f>7.206 * CHOOSE(CONTROL!$C$32, $C$9, 100%, $E$9)</f>
        <v>7.2060000000000004</v>
      </c>
      <c r="N439" s="27">
        <f>7.2008 * CHOOSE(CONTROL!$C$32, $C$9, 100%, $E$9)</f>
        <v>7.2008000000000001</v>
      </c>
      <c r="O439" s="27">
        <f>7.206 * CHOOSE(CONTROL!$C$32, $C$9, 100%, $E$9)</f>
        <v>7.2060000000000004</v>
      </c>
    </row>
    <row r="440" spans="1:15" ht="15" x14ac:dyDescent="0.2">
      <c r="A440" s="16">
        <v>54240</v>
      </c>
      <c r="B440" s="26">
        <f>6.3926 * CHOOSE(CONTROL!$C$32, $C$9, 100%, $E$9)</f>
        <v>6.3925999999999998</v>
      </c>
      <c r="C440" s="26">
        <f>6.3926 * CHOOSE(CONTROL!$C$32, $C$9, 100%, $E$9)</f>
        <v>6.3925999999999998</v>
      </c>
      <c r="D440" s="26">
        <f>6.3942 * CHOOSE(CONTROL!$C$32, $C$9, 100%, $E$9)</f>
        <v>6.3941999999999997</v>
      </c>
      <c r="E440" s="27">
        <f>7.2866 * CHOOSE(CONTROL!$C$32, $C$9, 100%, $E$9)</f>
        <v>7.2866</v>
      </c>
      <c r="F440" s="27">
        <f>7.2866 * CHOOSE(CONTROL!$C$32, $C$9, 100%, $E$9)</f>
        <v>7.2866</v>
      </c>
      <c r="G440" s="27">
        <f>7.2919 * CHOOSE(CONTROL!$C$32, $C$9, 100%, $E$9)</f>
        <v>7.2919</v>
      </c>
      <c r="H440" s="27">
        <f>13.4564 * CHOOSE(CONTROL!$C$32, $C$9, 100%, $E$9)</f>
        <v>13.4564</v>
      </c>
      <c r="I440" s="27">
        <f>13.4617 * CHOOSE(CONTROL!$C$32, $C$9, 100%, $E$9)</f>
        <v>13.4617</v>
      </c>
      <c r="J440" s="27">
        <f>13.4564 * CHOOSE(CONTROL!$C$32, $C$9, 100%, $E$9)</f>
        <v>13.4564</v>
      </c>
      <c r="K440" s="27">
        <f>13.4617 * CHOOSE(CONTROL!$C$32, $C$9, 100%, $E$9)</f>
        <v>13.4617</v>
      </c>
      <c r="L440" s="27">
        <f>7.2866 * CHOOSE(CONTROL!$C$32, $C$9, 100%, $E$9)</f>
        <v>7.2866</v>
      </c>
      <c r="M440" s="27">
        <f>7.2919 * CHOOSE(CONTROL!$C$32, $C$9, 100%, $E$9)</f>
        <v>7.2919</v>
      </c>
      <c r="N440" s="27">
        <f>7.2866 * CHOOSE(CONTROL!$C$32, $C$9, 100%, $E$9)</f>
        <v>7.2866</v>
      </c>
      <c r="O440" s="27">
        <f>7.2919 * CHOOSE(CONTROL!$C$32, $C$9, 100%, $E$9)</f>
        <v>7.2919</v>
      </c>
    </row>
    <row r="441" spans="1:15" ht="15" x14ac:dyDescent="0.2">
      <c r="A441" s="16">
        <v>54271</v>
      </c>
      <c r="B441" s="26">
        <f>6.3993 * CHOOSE(CONTROL!$C$32, $C$9, 100%, $E$9)</f>
        <v>6.3993000000000002</v>
      </c>
      <c r="C441" s="26">
        <f>6.3993 * CHOOSE(CONTROL!$C$32, $C$9, 100%, $E$9)</f>
        <v>6.3993000000000002</v>
      </c>
      <c r="D441" s="26">
        <f>6.4009 * CHOOSE(CONTROL!$C$32, $C$9, 100%, $E$9)</f>
        <v>6.4009</v>
      </c>
      <c r="E441" s="27">
        <f>7.1497 * CHOOSE(CONTROL!$C$32, $C$9, 100%, $E$9)</f>
        <v>7.1497000000000002</v>
      </c>
      <c r="F441" s="27">
        <f>7.1497 * CHOOSE(CONTROL!$C$32, $C$9, 100%, $E$9)</f>
        <v>7.1497000000000002</v>
      </c>
      <c r="G441" s="27">
        <f>7.155 * CHOOSE(CONTROL!$C$32, $C$9, 100%, $E$9)</f>
        <v>7.1550000000000002</v>
      </c>
      <c r="H441" s="27">
        <f>13.4845 * CHOOSE(CONTROL!$C$32, $C$9, 100%, $E$9)</f>
        <v>13.484500000000001</v>
      </c>
      <c r="I441" s="27">
        <f>13.4898 * CHOOSE(CONTROL!$C$32, $C$9, 100%, $E$9)</f>
        <v>13.489800000000001</v>
      </c>
      <c r="J441" s="27">
        <f>13.4845 * CHOOSE(CONTROL!$C$32, $C$9, 100%, $E$9)</f>
        <v>13.484500000000001</v>
      </c>
      <c r="K441" s="27">
        <f>13.4898 * CHOOSE(CONTROL!$C$32, $C$9, 100%, $E$9)</f>
        <v>13.489800000000001</v>
      </c>
      <c r="L441" s="27">
        <f>7.1497 * CHOOSE(CONTROL!$C$32, $C$9, 100%, $E$9)</f>
        <v>7.1497000000000002</v>
      </c>
      <c r="M441" s="27">
        <f>7.155 * CHOOSE(CONTROL!$C$32, $C$9, 100%, $E$9)</f>
        <v>7.1550000000000002</v>
      </c>
      <c r="N441" s="27">
        <f>7.1497 * CHOOSE(CONTROL!$C$32, $C$9, 100%, $E$9)</f>
        <v>7.1497000000000002</v>
      </c>
      <c r="O441" s="27">
        <f>7.155 * CHOOSE(CONTROL!$C$32, $C$9, 100%, $E$9)</f>
        <v>7.1550000000000002</v>
      </c>
    </row>
    <row r="442" spans="1:15" ht="15" x14ac:dyDescent="0.2">
      <c r="A442" s="16">
        <v>54302</v>
      </c>
      <c r="B442" s="26">
        <f>6.3963 * CHOOSE(CONTROL!$C$32, $C$9, 100%, $E$9)</f>
        <v>6.3963000000000001</v>
      </c>
      <c r="C442" s="26">
        <f>6.3963 * CHOOSE(CONTROL!$C$32, $C$9, 100%, $E$9)</f>
        <v>6.3963000000000001</v>
      </c>
      <c r="D442" s="26">
        <f>6.3978 * CHOOSE(CONTROL!$C$32, $C$9, 100%, $E$9)</f>
        <v>6.3978000000000002</v>
      </c>
      <c r="E442" s="27">
        <f>7.1319 * CHOOSE(CONTROL!$C$32, $C$9, 100%, $E$9)</f>
        <v>7.1318999999999999</v>
      </c>
      <c r="F442" s="27">
        <f>7.1319 * CHOOSE(CONTROL!$C$32, $C$9, 100%, $E$9)</f>
        <v>7.1318999999999999</v>
      </c>
      <c r="G442" s="27">
        <f>7.1372 * CHOOSE(CONTROL!$C$32, $C$9, 100%, $E$9)</f>
        <v>7.1372</v>
      </c>
      <c r="H442" s="27">
        <f>13.5126 * CHOOSE(CONTROL!$C$32, $C$9, 100%, $E$9)</f>
        <v>13.512600000000001</v>
      </c>
      <c r="I442" s="27">
        <f>13.5178 * CHOOSE(CONTROL!$C$32, $C$9, 100%, $E$9)</f>
        <v>13.517799999999999</v>
      </c>
      <c r="J442" s="27">
        <f>13.5126 * CHOOSE(CONTROL!$C$32, $C$9, 100%, $E$9)</f>
        <v>13.512600000000001</v>
      </c>
      <c r="K442" s="27">
        <f>13.5178 * CHOOSE(CONTROL!$C$32, $C$9, 100%, $E$9)</f>
        <v>13.517799999999999</v>
      </c>
      <c r="L442" s="27">
        <f>7.1319 * CHOOSE(CONTROL!$C$32, $C$9, 100%, $E$9)</f>
        <v>7.1318999999999999</v>
      </c>
      <c r="M442" s="27">
        <f>7.1372 * CHOOSE(CONTROL!$C$32, $C$9, 100%, $E$9)</f>
        <v>7.1372</v>
      </c>
      <c r="N442" s="27">
        <f>7.1319 * CHOOSE(CONTROL!$C$32, $C$9, 100%, $E$9)</f>
        <v>7.1318999999999999</v>
      </c>
      <c r="O442" s="27">
        <f>7.1372 * CHOOSE(CONTROL!$C$32, $C$9, 100%, $E$9)</f>
        <v>7.1372</v>
      </c>
    </row>
    <row r="443" spans="1:15" ht="15" x14ac:dyDescent="0.2">
      <c r="A443" s="16">
        <v>54332</v>
      </c>
      <c r="B443" s="26">
        <f>6.4002 * CHOOSE(CONTROL!$C$32, $C$9, 100%, $E$9)</f>
        <v>6.4001999999999999</v>
      </c>
      <c r="C443" s="26">
        <f>6.4002 * CHOOSE(CONTROL!$C$32, $C$9, 100%, $E$9)</f>
        <v>6.4001999999999999</v>
      </c>
      <c r="D443" s="26">
        <f>6.4013 * CHOOSE(CONTROL!$C$32, $C$9, 100%, $E$9)</f>
        <v>6.4013</v>
      </c>
      <c r="E443" s="27">
        <f>7.1814 * CHOOSE(CONTROL!$C$32, $C$9, 100%, $E$9)</f>
        <v>7.1814</v>
      </c>
      <c r="F443" s="27">
        <f>7.1814 * CHOOSE(CONTROL!$C$32, $C$9, 100%, $E$9)</f>
        <v>7.1814</v>
      </c>
      <c r="G443" s="27">
        <f>7.185 * CHOOSE(CONTROL!$C$32, $C$9, 100%, $E$9)</f>
        <v>7.1849999999999996</v>
      </c>
      <c r="H443" s="27">
        <f>13.5407 * CHOOSE(CONTROL!$C$32, $C$9, 100%, $E$9)</f>
        <v>13.540699999999999</v>
      </c>
      <c r="I443" s="27">
        <f>13.5443 * CHOOSE(CONTROL!$C$32, $C$9, 100%, $E$9)</f>
        <v>13.5443</v>
      </c>
      <c r="J443" s="27">
        <f>13.5407 * CHOOSE(CONTROL!$C$32, $C$9, 100%, $E$9)</f>
        <v>13.540699999999999</v>
      </c>
      <c r="K443" s="27">
        <f>13.5443 * CHOOSE(CONTROL!$C$32, $C$9, 100%, $E$9)</f>
        <v>13.5443</v>
      </c>
      <c r="L443" s="27">
        <f>7.1814 * CHOOSE(CONTROL!$C$32, $C$9, 100%, $E$9)</f>
        <v>7.1814</v>
      </c>
      <c r="M443" s="27">
        <f>7.185 * CHOOSE(CONTROL!$C$32, $C$9, 100%, $E$9)</f>
        <v>7.1849999999999996</v>
      </c>
      <c r="N443" s="27">
        <f>7.1814 * CHOOSE(CONTROL!$C$32, $C$9, 100%, $E$9)</f>
        <v>7.1814</v>
      </c>
      <c r="O443" s="27">
        <f>7.185 * CHOOSE(CONTROL!$C$32, $C$9, 100%, $E$9)</f>
        <v>7.1849999999999996</v>
      </c>
    </row>
    <row r="444" spans="1:15" ht="15" x14ac:dyDescent="0.2">
      <c r="A444" s="16">
        <v>54363</v>
      </c>
      <c r="B444" s="26">
        <f>6.4033 * CHOOSE(CONTROL!$C$32, $C$9, 100%, $E$9)</f>
        <v>6.4032999999999998</v>
      </c>
      <c r="C444" s="26">
        <f>6.4033 * CHOOSE(CONTROL!$C$32, $C$9, 100%, $E$9)</f>
        <v>6.4032999999999998</v>
      </c>
      <c r="D444" s="26">
        <f>6.4043 * CHOOSE(CONTROL!$C$32, $C$9, 100%, $E$9)</f>
        <v>6.4043000000000001</v>
      </c>
      <c r="E444" s="27">
        <f>7.2149 * CHOOSE(CONTROL!$C$32, $C$9, 100%, $E$9)</f>
        <v>7.2149000000000001</v>
      </c>
      <c r="F444" s="27">
        <f>7.2149 * CHOOSE(CONTROL!$C$32, $C$9, 100%, $E$9)</f>
        <v>7.2149000000000001</v>
      </c>
      <c r="G444" s="27">
        <f>7.2185 * CHOOSE(CONTROL!$C$32, $C$9, 100%, $E$9)</f>
        <v>7.2184999999999997</v>
      </c>
      <c r="H444" s="27">
        <f>13.5689 * CHOOSE(CONTROL!$C$32, $C$9, 100%, $E$9)</f>
        <v>13.568899999999999</v>
      </c>
      <c r="I444" s="27">
        <f>13.5725 * CHOOSE(CONTROL!$C$32, $C$9, 100%, $E$9)</f>
        <v>13.5725</v>
      </c>
      <c r="J444" s="27">
        <f>13.5689 * CHOOSE(CONTROL!$C$32, $C$9, 100%, $E$9)</f>
        <v>13.568899999999999</v>
      </c>
      <c r="K444" s="27">
        <f>13.5725 * CHOOSE(CONTROL!$C$32, $C$9, 100%, $E$9)</f>
        <v>13.5725</v>
      </c>
      <c r="L444" s="27">
        <f>7.2149 * CHOOSE(CONTROL!$C$32, $C$9, 100%, $E$9)</f>
        <v>7.2149000000000001</v>
      </c>
      <c r="M444" s="27">
        <f>7.2185 * CHOOSE(CONTROL!$C$32, $C$9, 100%, $E$9)</f>
        <v>7.2184999999999997</v>
      </c>
      <c r="N444" s="27">
        <f>7.2149 * CHOOSE(CONTROL!$C$32, $C$9, 100%, $E$9)</f>
        <v>7.2149000000000001</v>
      </c>
      <c r="O444" s="27">
        <f>7.2185 * CHOOSE(CONTROL!$C$32, $C$9, 100%, $E$9)</f>
        <v>7.2184999999999997</v>
      </c>
    </row>
    <row r="445" spans="1:15" ht="15" x14ac:dyDescent="0.2">
      <c r="A445" s="16">
        <v>54393</v>
      </c>
      <c r="B445" s="26">
        <f>6.4033 * CHOOSE(CONTROL!$C$32, $C$9, 100%, $E$9)</f>
        <v>6.4032999999999998</v>
      </c>
      <c r="C445" s="26">
        <f>6.4033 * CHOOSE(CONTROL!$C$32, $C$9, 100%, $E$9)</f>
        <v>6.4032999999999998</v>
      </c>
      <c r="D445" s="26">
        <f>6.4043 * CHOOSE(CONTROL!$C$32, $C$9, 100%, $E$9)</f>
        <v>6.4043000000000001</v>
      </c>
      <c r="E445" s="27">
        <f>7.1363 * CHOOSE(CONTROL!$C$32, $C$9, 100%, $E$9)</f>
        <v>7.1363000000000003</v>
      </c>
      <c r="F445" s="27">
        <f>7.1363 * CHOOSE(CONTROL!$C$32, $C$9, 100%, $E$9)</f>
        <v>7.1363000000000003</v>
      </c>
      <c r="G445" s="27">
        <f>7.1399 * CHOOSE(CONTROL!$C$32, $C$9, 100%, $E$9)</f>
        <v>7.1398999999999999</v>
      </c>
      <c r="H445" s="27">
        <f>13.5972 * CHOOSE(CONTROL!$C$32, $C$9, 100%, $E$9)</f>
        <v>13.597200000000001</v>
      </c>
      <c r="I445" s="27">
        <f>13.6008 * CHOOSE(CONTROL!$C$32, $C$9, 100%, $E$9)</f>
        <v>13.6008</v>
      </c>
      <c r="J445" s="27">
        <f>13.5972 * CHOOSE(CONTROL!$C$32, $C$9, 100%, $E$9)</f>
        <v>13.597200000000001</v>
      </c>
      <c r="K445" s="27">
        <f>13.6008 * CHOOSE(CONTROL!$C$32, $C$9, 100%, $E$9)</f>
        <v>13.6008</v>
      </c>
      <c r="L445" s="27">
        <f>7.1363 * CHOOSE(CONTROL!$C$32, $C$9, 100%, $E$9)</f>
        <v>7.1363000000000003</v>
      </c>
      <c r="M445" s="27">
        <f>7.1399 * CHOOSE(CONTROL!$C$32, $C$9, 100%, $E$9)</f>
        <v>7.1398999999999999</v>
      </c>
      <c r="N445" s="27">
        <f>7.1363 * CHOOSE(CONTROL!$C$32, $C$9, 100%, $E$9)</f>
        <v>7.1363000000000003</v>
      </c>
      <c r="O445" s="27">
        <f>7.1399 * CHOOSE(CONTROL!$C$32, $C$9, 100%, $E$9)</f>
        <v>7.1398999999999999</v>
      </c>
    </row>
    <row r="446" spans="1:15" ht="15" x14ac:dyDescent="0.2">
      <c r="A446" s="16">
        <v>54424</v>
      </c>
      <c r="B446" s="26">
        <f>6.4519 * CHOOSE(CONTROL!$C$32, $C$9, 100%, $E$9)</f>
        <v>6.4519000000000002</v>
      </c>
      <c r="C446" s="26">
        <f>6.4519 * CHOOSE(CONTROL!$C$32, $C$9, 100%, $E$9)</f>
        <v>6.4519000000000002</v>
      </c>
      <c r="D446" s="26">
        <f>6.453 * CHOOSE(CONTROL!$C$32, $C$9, 100%, $E$9)</f>
        <v>6.4530000000000003</v>
      </c>
      <c r="E446" s="27">
        <f>7.2513 * CHOOSE(CONTROL!$C$32, $C$9, 100%, $E$9)</f>
        <v>7.2512999999999996</v>
      </c>
      <c r="F446" s="27">
        <f>7.2513 * CHOOSE(CONTROL!$C$32, $C$9, 100%, $E$9)</f>
        <v>7.2512999999999996</v>
      </c>
      <c r="G446" s="27">
        <f>7.2549 * CHOOSE(CONTROL!$C$32, $C$9, 100%, $E$9)</f>
        <v>7.2549000000000001</v>
      </c>
      <c r="H446" s="27">
        <f>13.6255 * CHOOSE(CONTROL!$C$32, $C$9, 100%, $E$9)</f>
        <v>13.625500000000001</v>
      </c>
      <c r="I446" s="27">
        <f>13.6291 * CHOOSE(CONTROL!$C$32, $C$9, 100%, $E$9)</f>
        <v>13.629099999999999</v>
      </c>
      <c r="J446" s="27">
        <f>13.6255 * CHOOSE(CONTROL!$C$32, $C$9, 100%, $E$9)</f>
        <v>13.625500000000001</v>
      </c>
      <c r="K446" s="27">
        <f>13.6291 * CHOOSE(CONTROL!$C$32, $C$9, 100%, $E$9)</f>
        <v>13.629099999999999</v>
      </c>
      <c r="L446" s="27">
        <f>7.2513 * CHOOSE(CONTROL!$C$32, $C$9, 100%, $E$9)</f>
        <v>7.2512999999999996</v>
      </c>
      <c r="M446" s="27">
        <f>7.2549 * CHOOSE(CONTROL!$C$32, $C$9, 100%, $E$9)</f>
        <v>7.2549000000000001</v>
      </c>
      <c r="N446" s="27">
        <f>7.2513 * CHOOSE(CONTROL!$C$32, $C$9, 100%, $E$9)</f>
        <v>7.2512999999999996</v>
      </c>
      <c r="O446" s="27">
        <f>7.2549 * CHOOSE(CONTROL!$C$32, $C$9, 100%, $E$9)</f>
        <v>7.2549000000000001</v>
      </c>
    </row>
    <row r="447" spans="1:15" ht="15" x14ac:dyDescent="0.2">
      <c r="A447" s="16">
        <v>54455</v>
      </c>
      <c r="B447" s="26">
        <f>6.4489 * CHOOSE(CONTROL!$C$32, $C$9, 100%, $E$9)</f>
        <v>6.4489000000000001</v>
      </c>
      <c r="C447" s="26">
        <f>6.4489 * CHOOSE(CONTROL!$C$32, $C$9, 100%, $E$9)</f>
        <v>6.4489000000000001</v>
      </c>
      <c r="D447" s="26">
        <f>6.45 * CHOOSE(CONTROL!$C$32, $C$9, 100%, $E$9)</f>
        <v>6.45</v>
      </c>
      <c r="E447" s="27">
        <f>7.0958 * CHOOSE(CONTROL!$C$32, $C$9, 100%, $E$9)</f>
        <v>7.0957999999999997</v>
      </c>
      <c r="F447" s="27">
        <f>7.0958 * CHOOSE(CONTROL!$C$32, $C$9, 100%, $E$9)</f>
        <v>7.0957999999999997</v>
      </c>
      <c r="G447" s="27">
        <f>7.0994 * CHOOSE(CONTROL!$C$32, $C$9, 100%, $E$9)</f>
        <v>7.0994000000000002</v>
      </c>
      <c r="H447" s="27">
        <f>13.6539 * CHOOSE(CONTROL!$C$32, $C$9, 100%, $E$9)</f>
        <v>13.6539</v>
      </c>
      <c r="I447" s="27">
        <f>13.6575 * CHOOSE(CONTROL!$C$32, $C$9, 100%, $E$9)</f>
        <v>13.657500000000001</v>
      </c>
      <c r="J447" s="27">
        <f>13.6539 * CHOOSE(CONTROL!$C$32, $C$9, 100%, $E$9)</f>
        <v>13.6539</v>
      </c>
      <c r="K447" s="27">
        <f>13.6575 * CHOOSE(CONTROL!$C$32, $C$9, 100%, $E$9)</f>
        <v>13.657500000000001</v>
      </c>
      <c r="L447" s="27">
        <f>7.0958 * CHOOSE(CONTROL!$C$32, $C$9, 100%, $E$9)</f>
        <v>7.0957999999999997</v>
      </c>
      <c r="M447" s="27">
        <f>7.0994 * CHOOSE(CONTROL!$C$32, $C$9, 100%, $E$9)</f>
        <v>7.0994000000000002</v>
      </c>
      <c r="N447" s="27">
        <f>7.0958 * CHOOSE(CONTROL!$C$32, $C$9, 100%, $E$9)</f>
        <v>7.0957999999999997</v>
      </c>
      <c r="O447" s="27">
        <f>7.0994 * CHOOSE(CONTROL!$C$32, $C$9, 100%, $E$9)</f>
        <v>7.0994000000000002</v>
      </c>
    </row>
    <row r="448" spans="1:15" ht="15" x14ac:dyDescent="0.2">
      <c r="A448" s="16">
        <v>54483</v>
      </c>
      <c r="B448" s="26">
        <f>6.4459 * CHOOSE(CONTROL!$C$32, $C$9, 100%, $E$9)</f>
        <v>6.4459</v>
      </c>
      <c r="C448" s="26">
        <f>6.4459 * CHOOSE(CONTROL!$C$32, $C$9, 100%, $E$9)</f>
        <v>6.4459</v>
      </c>
      <c r="D448" s="26">
        <f>6.4469 * CHOOSE(CONTROL!$C$32, $C$9, 100%, $E$9)</f>
        <v>6.4469000000000003</v>
      </c>
      <c r="E448" s="27">
        <f>7.2146 * CHOOSE(CONTROL!$C$32, $C$9, 100%, $E$9)</f>
        <v>7.2145999999999999</v>
      </c>
      <c r="F448" s="27">
        <f>7.2146 * CHOOSE(CONTROL!$C$32, $C$9, 100%, $E$9)</f>
        <v>7.2145999999999999</v>
      </c>
      <c r="G448" s="27">
        <f>7.2182 * CHOOSE(CONTROL!$C$32, $C$9, 100%, $E$9)</f>
        <v>7.2182000000000004</v>
      </c>
      <c r="H448" s="27">
        <f>13.6823 * CHOOSE(CONTROL!$C$32, $C$9, 100%, $E$9)</f>
        <v>13.6823</v>
      </c>
      <c r="I448" s="27">
        <f>13.686 * CHOOSE(CONTROL!$C$32, $C$9, 100%, $E$9)</f>
        <v>13.686</v>
      </c>
      <c r="J448" s="27">
        <f>13.6823 * CHOOSE(CONTROL!$C$32, $C$9, 100%, $E$9)</f>
        <v>13.6823</v>
      </c>
      <c r="K448" s="27">
        <f>13.686 * CHOOSE(CONTROL!$C$32, $C$9, 100%, $E$9)</f>
        <v>13.686</v>
      </c>
      <c r="L448" s="27">
        <f>7.2146 * CHOOSE(CONTROL!$C$32, $C$9, 100%, $E$9)</f>
        <v>7.2145999999999999</v>
      </c>
      <c r="M448" s="27">
        <f>7.2182 * CHOOSE(CONTROL!$C$32, $C$9, 100%, $E$9)</f>
        <v>7.2182000000000004</v>
      </c>
      <c r="N448" s="27">
        <f>7.2146 * CHOOSE(CONTROL!$C$32, $C$9, 100%, $E$9)</f>
        <v>7.2145999999999999</v>
      </c>
      <c r="O448" s="27">
        <f>7.2182 * CHOOSE(CONTROL!$C$32, $C$9, 100%, $E$9)</f>
        <v>7.2182000000000004</v>
      </c>
    </row>
    <row r="449" spans="1:15" ht="15" x14ac:dyDescent="0.2">
      <c r="A449" s="16">
        <v>54514</v>
      </c>
      <c r="B449" s="26">
        <f>6.4459 * CHOOSE(CONTROL!$C$32, $C$9, 100%, $E$9)</f>
        <v>6.4459</v>
      </c>
      <c r="C449" s="26">
        <f>6.4459 * CHOOSE(CONTROL!$C$32, $C$9, 100%, $E$9)</f>
        <v>6.4459</v>
      </c>
      <c r="D449" s="26">
        <f>6.447 * CHOOSE(CONTROL!$C$32, $C$9, 100%, $E$9)</f>
        <v>6.4470000000000001</v>
      </c>
      <c r="E449" s="27">
        <f>7.3402 * CHOOSE(CONTROL!$C$32, $C$9, 100%, $E$9)</f>
        <v>7.3402000000000003</v>
      </c>
      <c r="F449" s="27">
        <f>7.3402 * CHOOSE(CONTROL!$C$32, $C$9, 100%, $E$9)</f>
        <v>7.3402000000000003</v>
      </c>
      <c r="G449" s="27">
        <f>7.3438 * CHOOSE(CONTROL!$C$32, $C$9, 100%, $E$9)</f>
        <v>7.3437999999999999</v>
      </c>
      <c r="H449" s="27">
        <f>13.7108 * CHOOSE(CONTROL!$C$32, $C$9, 100%, $E$9)</f>
        <v>13.710800000000001</v>
      </c>
      <c r="I449" s="27">
        <f>13.7145 * CHOOSE(CONTROL!$C$32, $C$9, 100%, $E$9)</f>
        <v>13.714499999999999</v>
      </c>
      <c r="J449" s="27">
        <f>13.7108 * CHOOSE(CONTROL!$C$32, $C$9, 100%, $E$9)</f>
        <v>13.710800000000001</v>
      </c>
      <c r="K449" s="27">
        <f>13.7145 * CHOOSE(CONTROL!$C$32, $C$9, 100%, $E$9)</f>
        <v>13.714499999999999</v>
      </c>
      <c r="L449" s="27">
        <f>7.3402 * CHOOSE(CONTROL!$C$32, $C$9, 100%, $E$9)</f>
        <v>7.3402000000000003</v>
      </c>
      <c r="M449" s="27">
        <f>7.3438 * CHOOSE(CONTROL!$C$32, $C$9, 100%, $E$9)</f>
        <v>7.3437999999999999</v>
      </c>
      <c r="N449" s="27">
        <f>7.3402 * CHOOSE(CONTROL!$C$32, $C$9, 100%, $E$9)</f>
        <v>7.3402000000000003</v>
      </c>
      <c r="O449" s="27">
        <f>7.3438 * CHOOSE(CONTROL!$C$32, $C$9, 100%, $E$9)</f>
        <v>7.3437999999999999</v>
      </c>
    </row>
    <row r="450" spans="1:15" ht="15" x14ac:dyDescent="0.2">
      <c r="A450" s="16">
        <v>54544</v>
      </c>
      <c r="B450" s="26">
        <f>6.4459 * CHOOSE(CONTROL!$C$32, $C$9, 100%, $E$9)</f>
        <v>6.4459</v>
      </c>
      <c r="C450" s="26">
        <f>6.4459 * CHOOSE(CONTROL!$C$32, $C$9, 100%, $E$9)</f>
        <v>6.4459</v>
      </c>
      <c r="D450" s="26">
        <f>6.4475 * CHOOSE(CONTROL!$C$32, $C$9, 100%, $E$9)</f>
        <v>6.4474999999999998</v>
      </c>
      <c r="E450" s="27">
        <f>7.3889 * CHOOSE(CONTROL!$C$32, $C$9, 100%, $E$9)</f>
        <v>7.3888999999999996</v>
      </c>
      <c r="F450" s="27">
        <f>7.3889 * CHOOSE(CONTROL!$C$32, $C$9, 100%, $E$9)</f>
        <v>7.3888999999999996</v>
      </c>
      <c r="G450" s="27">
        <f>7.3942 * CHOOSE(CONTROL!$C$32, $C$9, 100%, $E$9)</f>
        <v>7.3941999999999997</v>
      </c>
      <c r="H450" s="27">
        <f>13.7394 * CHOOSE(CONTROL!$C$32, $C$9, 100%, $E$9)</f>
        <v>13.7394</v>
      </c>
      <c r="I450" s="27">
        <f>13.7447 * CHOOSE(CONTROL!$C$32, $C$9, 100%, $E$9)</f>
        <v>13.7447</v>
      </c>
      <c r="J450" s="27">
        <f>13.7394 * CHOOSE(CONTROL!$C$32, $C$9, 100%, $E$9)</f>
        <v>13.7394</v>
      </c>
      <c r="K450" s="27">
        <f>13.7447 * CHOOSE(CONTROL!$C$32, $C$9, 100%, $E$9)</f>
        <v>13.7447</v>
      </c>
      <c r="L450" s="27">
        <f>7.3889 * CHOOSE(CONTROL!$C$32, $C$9, 100%, $E$9)</f>
        <v>7.3888999999999996</v>
      </c>
      <c r="M450" s="27">
        <f>7.3942 * CHOOSE(CONTROL!$C$32, $C$9, 100%, $E$9)</f>
        <v>7.3941999999999997</v>
      </c>
      <c r="N450" s="27">
        <f>7.3889 * CHOOSE(CONTROL!$C$32, $C$9, 100%, $E$9)</f>
        <v>7.3888999999999996</v>
      </c>
      <c r="O450" s="27">
        <f>7.3942 * CHOOSE(CONTROL!$C$32, $C$9, 100%, $E$9)</f>
        <v>7.3941999999999997</v>
      </c>
    </row>
    <row r="451" spans="1:15" ht="15" x14ac:dyDescent="0.2">
      <c r="A451" s="16">
        <v>54575</v>
      </c>
      <c r="B451" s="26">
        <f>6.452 * CHOOSE(CONTROL!$C$32, $C$9, 100%, $E$9)</f>
        <v>6.452</v>
      </c>
      <c r="C451" s="26">
        <f>6.452 * CHOOSE(CONTROL!$C$32, $C$9, 100%, $E$9)</f>
        <v>6.452</v>
      </c>
      <c r="D451" s="26">
        <f>6.4535 * CHOOSE(CONTROL!$C$32, $C$9, 100%, $E$9)</f>
        <v>6.4535</v>
      </c>
      <c r="E451" s="27">
        <f>7.3444 * CHOOSE(CONTROL!$C$32, $C$9, 100%, $E$9)</f>
        <v>7.3444000000000003</v>
      </c>
      <c r="F451" s="27">
        <f>7.3444 * CHOOSE(CONTROL!$C$32, $C$9, 100%, $E$9)</f>
        <v>7.3444000000000003</v>
      </c>
      <c r="G451" s="27">
        <f>7.3497 * CHOOSE(CONTROL!$C$32, $C$9, 100%, $E$9)</f>
        <v>7.3497000000000003</v>
      </c>
      <c r="H451" s="27">
        <f>13.768 * CHOOSE(CONTROL!$C$32, $C$9, 100%, $E$9)</f>
        <v>13.768000000000001</v>
      </c>
      <c r="I451" s="27">
        <f>13.7733 * CHOOSE(CONTROL!$C$32, $C$9, 100%, $E$9)</f>
        <v>13.773300000000001</v>
      </c>
      <c r="J451" s="27">
        <f>13.768 * CHOOSE(CONTROL!$C$32, $C$9, 100%, $E$9)</f>
        <v>13.768000000000001</v>
      </c>
      <c r="K451" s="27">
        <f>13.7733 * CHOOSE(CONTROL!$C$32, $C$9, 100%, $E$9)</f>
        <v>13.773300000000001</v>
      </c>
      <c r="L451" s="27">
        <f>7.3444 * CHOOSE(CONTROL!$C$32, $C$9, 100%, $E$9)</f>
        <v>7.3444000000000003</v>
      </c>
      <c r="M451" s="27">
        <f>7.3497 * CHOOSE(CONTROL!$C$32, $C$9, 100%, $E$9)</f>
        <v>7.3497000000000003</v>
      </c>
      <c r="N451" s="27">
        <f>7.3444 * CHOOSE(CONTROL!$C$32, $C$9, 100%, $E$9)</f>
        <v>7.3444000000000003</v>
      </c>
      <c r="O451" s="27">
        <f>7.3497 * CHOOSE(CONTROL!$C$32, $C$9, 100%, $E$9)</f>
        <v>7.3497000000000003</v>
      </c>
    </row>
    <row r="452" spans="1:15" ht="15" x14ac:dyDescent="0.2">
      <c r="A452" s="16">
        <v>54605</v>
      </c>
      <c r="B452" s="26">
        <f>6.5374 * CHOOSE(CONTROL!$C$32, $C$9, 100%, $E$9)</f>
        <v>6.5373999999999999</v>
      </c>
      <c r="C452" s="26">
        <f>6.5374 * CHOOSE(CONTROL!$C$32, $C$9, 100%, $E$9)</f>
        <v>6.5373999999999999</v>
      </c>
      <c r="D452" s="26">
        <f>6.539 * CHOOSE(CONTROL!$C$32, $C$9, 100%, $E$9)</f>
        <v>6.5389999999999997</v>
      </c>
      <c r="E452" s="27">
        <f>7.4428 * CHOOSE(CONTROL!$C$32, $C$9, 100%, $E$9)</f>
        <v>7.4428000000000001</v>
      </c>
      <c r="F452" s="27">
        <f>7.4428 * CHOOSE(CONTROL!$C$32, $C$9, 100%, $E$9)</f>
        <v>7.4428000000000001</v>
      </c>
      <c r="G452" s="27">
        <f>7.448 * CHOOSE(CONTROL!$C$32, $C$9, 100%, $E$9)</f>
        <v>7.4480000000000004</v>
      </c>
      <c r="H452" s="27">
        <f>13.7967 * CHOOSE(CONTROL!$C$32, $C$9, 100%, $E$9)</f>
        <v>13.7967</v>
      </c>
      <c r="I452" s="27">
        <f>13.802 * CHOOSE(CONTROL!$C$32, $C$9, 100%, $E$9)</f>
        <v>13.802</v>
      </c>
      <c r="J452" s="27">
        <f>13.7967 * CHOOSE(CONTROL!$C$32, $C$9, 100%, $E$9)</f>
        <v>13.7967</v>
      </c>
      <c r="K452" s="27">
        <f>13.802 * CHOOSE(CONTROL!$C$32, $C$9, 100%, $E$9)</f>
        <v>13.802</v>
      </c>
      <c r="L452" s="27">
        <f>7.4428 * CHOOSE(CONTROL!$C$32, $C$9, 100%, $E$9)</f>
        <v>7.4428000000000001</v>
      </c>
      <c r="M452" s="27">
        <f>7.448 * CHOOSE(CONTROL!$C$32, $C$9, 100%, $E$9)</f>
        <v>7.4480000000000004</v>
      </c>
      <c r="N452" s="27">
        <f>7.4428 * CHOOSE(CONTROL!$C$32, $C$9, 100%, $E$9)</f>
        <v>7.4428000000000001</v>
      </c>
      <c r="O452" s="27">
        <f>7.448 * CHOOSE(CONTROL!$C$32, $C$9, 100%, $E$9)</f>
        <v>7.4480000000000004</v>
      </c>
    </row>
    <row r="453" spans="1:15" ht="15" x14ac:dyDescent="0.2">
      <c r="A453" s="16">
        <v>54636</v>
      </c>
      <c r="B453" s="26">
        <f>6.5441 * CHOOSE(CONTROL!$C$32, $C$9, 100%, $E$9)</f>
        <v>6.5441000000000003</v>
      </c>
      <c r="C453" s="26">
        <f>6.5441 * CHOOSE(CONTROL!$C$32, $C$9, 100%, $E$9)</f>
        <v>6.5441000000000003</v>
      </c>
      <c r="D453" s="26">
        <f>6.5457 * CHOOSE(CONTROL!$C$32, $C$9, 100%, $E$9)</f>
        <v>6.5457000000000001</v>
      </c>
      <c r="E453" s="27">
        <f>7.3013 * CHOOSE(CONTROL!$C$32, $C$9, 100%, $E$9)</f>
        <v>7.3013000000000003</v>
      </c>
      <c r="F453" s="27">
        <f>7.3013 * CHOOSE(CONTROL!$C$32, $C$9, 100%, $E$9)</f>
        <v>7.3013000000000003</v>
      </c>
      <c r="G453" s="27">
        <f>7.3066 * CHOOSE(CONTROL!$C$32, $C$9, 100%, $E$9)</f>
        <v>7.3066000000000004</v>
      </c>
      <c r="H453" s="27">
        <f>13.8255 * CHOOSE(CONTROL!$C$32, $C$9, 100%, $E$9)</f>
        <v>13.8255</v>
      </c>
      <c r="I453" s="27">
        <f>13.8308 * CHOOSE(CONTROL!$C$32, $C$9, 100%, $E$9)</f>
        <v>13.8308</v>
      </c>
      <c r="J453" s="27">
        <f>13.8255 * CHOOSE(CONTROL!$C$32, $C$9, 100%, $E$9)</f>
        <v>13.8255</v>
      </c>
      <c r="K453" s="27">
        <f>13.8308 * CHOOSE(CONTROL!$C$32, $C$9, 100%, $E$9)</f>
        <v>13.8308</v>
      </c>
      <c r="L453" s="27">
        <f>7.3013 * CHOOSE(CONTROL!$C$32, $C$9, 100%, $E$9)</f>
        <v>7.3013000000000003</v>
      </c>
      <c r="M453" s="27">
        <f>7.3066 * CHOOSE(CONTROL!$C$32, $C$9, 100%, $E$9)</f>
        <v>7.3066000000000004</v>
      </c>
      <c r="N453" s="27">
        <f>7.3013 * CHOOSE(CONTROL!$C$32, $C$9, 100%, $E$9)</f>
        <v>7.3013000000000003</v>
      </c>
      <c r="O453" s="27">
        <f>7.3066 * CHOOSE(CONTROL!$C$32, $C$9, 100%, $E$9)</f>
        <v>7.3066000000000004</v>
      </c>
    </row>
    <row r="454" spans="1:15" ht="15" x14ac:dyDescent="0.2">
      <c r="A454" s="16">
        <v>54667</v>
      </c>
      <c r="B454" s="26">
        <f>6.541 * CHOOSE(CONTROL!$C$32, $C$9, 100%, $E$9)</f>
        <v>6.5410000000000004</v>
      </c>
      <c r="C454" s="26">
        <f>6.541 * CHOOSE(CONTROL!$C$32, $C$9, 100%, $E$9)</f>
        <v>6.5410000000000004</v>
      </c>
      <c r="D454" s="26">
        <f>6.5426 * CHOOSE(CONTROL!$C$32, $C$9, 100%, $E$9)</f>
        <v>6.5426000000000002</v>
      </c>
      <c r="E454" s="27">
        <f>7.283 * CHOOSE(CONTROL!$C$32, $C$9, 100%, $E$9)</f>
        <v>7.2830000000000004</v>
      </c>
      <c r="F454" s="27">
        <f>7.283 * CHOOSE(CONTROL!$C$32, $C$9, 100%, $E$9)</f>
        <v>7.2830000000000004</v>
      </c>
      <c r="G454" s="27">
        <f>7.2883 * CHOOSE(CONTROL!$C$32, $C$9, 100%, $E$9)</f>
        <v>7.2882999999999996</v>
      </c>
      <c r="H454" s="27">
        <f>13.8543 * CHOOSE(CONTROL!$C$32, $C$9, 100%, $E$9)</f>
        <v>13.8543</v>
      </c>
      <c r="I454" s="27">
        <f>13.8596 * CHOOSE(CONTROL!$C$32, $C$9, 100%, $E$9)</f>
        <v>13.8596</v>
      </c>
      <c r="J454" s="27">
        <f>13.8543 * CHOOSE(CONTROL!$C$32, $C$9, 100%, $E$9)</f>
        <v>13.8543</v>
      </c>
      <c r="K454" s="27">
        <f>13.8596 * CHOOSE(CONTROL!$C$32, $C$9, 100%, $E$9)</f>
        <v>13.8596</v>
      </c>
      <c r="L454" s="27">
        <f>7.283 * CHOOSE(CONTROL!$C$32, $C$9, 100%, $E$9)</f>
        <v>7.2830000000000004</v>
      </c>
      <c r="M454" s="27">
        <f>7.2883 * CHOOSE(CONTROL!$C$32, $C$9, 100%, $E$9)</f>
        <v>7.2882999999999996</v>
      </c>
      <c r="N454" s="27">
        <f>7.283 * CHOOSE(CONTROL!$C$32, $C$9, 100%, $E$9)</f>
        <v>7.2830000000000004</v>
      </c>
      <c r="O454" s="27">
        <f>7.2883 * CHOOSE(CONTROL!$C$32, $C$9, 100%, $E$9)</f>
        <v>7.2882999999999996</v>
      </c>
    </row>
    <row r="455" spans="1:15" ht="15" x14ac:dyDescent="0.2">
      <c r="A455" s="16">
        <v>54697</v>
      </c>
      <c r="B455" s="26">
        <f>6.5456 * CHOOSE(CONTROL!$C$32, $C$9, 100%, $E$9)</f>
        <v>6.5456000000000003</v>
      </c>
      <c r="C455" s="26">
        <f>6.5456 * CHOOSE(CONTROL!$C$32, $C$9, 100%, $E$9)</f>
        <v>6.5456000000000003</v>
      </c>
      <c r="D455" s="26">
        <f>6.5466 * CHOOSE(CONTROL!$C$32, $C$9, 100%, $E$9)</f>
        <v>6.5465999999999998</v>
      </c>
      <c r="E455" s="27">
        <f>7.3345 * CHOOSE(CONTROL!$C$32, $C$9, 100%, $E$9)</f>
        <v>7.3345000000000002</v>
      </c>
      <c r="F455" s="27">
        <f>7.3345 * CHOOSE(CONTROL!$C$32, $C$9, 100%, $E$9)</f>
        <v>7.3345000000000002</v>
      </c>
      <c r="G455" s="27">
        <f>7.3381 * CHOOSE(CONTROL!$C$32, $C$9, 100%, $E$9)</f>
        <v>7.3380999999999998</v>
      </c>
      <c r="H455" s="27">
        <f>13.8831 * CHOOSE(CONTROL!$C$32, $C$9, 100%, $E$9)</f>
        <v>13.883100000000001</v>
      </c>
      <c r="I455" s="27">
        <f>13.8867 * CHOOSE(CONTROL!$C$32, $C$9, 100%, $E$9)</f>
        <v>13.886699999999999</v>
      </c>
      <c r="J455" s="27">
        <f>13.8831 * CHOOSE(CONTROL!$C$32, $C$9, 100%, $E$9)</f>
        <v>13.883100000000001</v>
      </c>
      <c r="K455" s="27">
        <f>13.8867 * CHOOSE(CONTROL!$C$32, $C$9, 100%, $E$9)</f>
        <v>13.886699999999999</v>
      </c>
      <c r="L455" s="27">
        <f>7.3345 * CHOOSE(CONTROL!$C$32, $C$9, 100%, $E$9)</f>
        <v>7.3345000000000002</v>
      </c>
      <c r="M455" s="27">
        <f>7.3381 * CHOOSE(CONTROL!$C$32, $C$9, 100%, $E$9)</f>
        <v>7.3380999999999998</v>
      </c>
      <c r="N455" s="27">
        <f>7.3345 * CHOOSE(CONTROL!$C$32, $C$9, 100%, $E$9)</f>
        <v>7.3345000000000002</v>
      </c>
      <c r="O455" s="27">
        <f>7.3381 * CHOOSE(CONTROL!$C$32, $C$9, 100%, $E$9)</f>
        <v>7.3380999999999998</v>
      </c>
    </row>
    <row r="456" spans="1:15" ht="15" x14ac:dyDescent="0.2">
      <c r="A456" s="16">
        <v>54728</v>
      </c>
      <c r="B456" s="26">
        <f>6.5486 * CHOOSE(CONTROL!$C$32, $C$9, 100%, $E$9)</f>
        <v>6.5486000000000004</v>
      </c>
      <c r="C456" s="26">
        <f>6.5486 * CHOOSE(CONTROL!$C$32, $C$9, 100%, $E$9)</f>
        <v>6.5486000000000004</v>
      </c>
      <c r="D456" s="26">
        <f>6.5497 * CHOOSE(CONTROL!$C$32, $C$9, 100%, $E$9)</f>
        <v>6.5496999999999996</v>
      </c>
      <c r="E456" s="27">
        <f>7.3691 * CHOOSE(CONTROL!$C$32, $C$9, 100%, $E$9)</f>
        <v>7.3691000000000004</v>
      </c>
      <c r="F456" s="27">
        <f>7.3691 * CHOOSE(CONTROL!$C$32, $C$9, 100%, $E$9)</f>
        <v>7.3691000000000004</v>
      </c>
      <c r="G456" s="27">
        <f>7.3727 * CHOOSE(CONTROL!$C$32, $C$9, 100%, $E$9)</f>
        <v>7.3727</v>
      </c>
      <c r="H456" s="27">
        <f>13.9121 * CHOOSE(CONTROL!$C$32, $C$9, 100%, $E$9)</f>
        <v>13.912100000000001</v>
      </c>
      <c r="I456" s="27">
        <f>13.9157 * CHOOSE(CONTROL!$C$32, $C$9, 100%, $E$9)</f>
        <v>13.915699999999999</v>
      </c>
      <c r="J456" s="27">
        <f>13.9121 * CHOOSE(CONTROL!$C$32, $C$9, 100%, $E$9)</f>
        <v>13.912100000000001</v>
      </c>
      <c r="K456" s="27">
        <f>13.9157 * CHOOSE(CONTROL!$C$32, $C$9, 100%, $E$9)</f>
        <v>13.915699999999999</v>
      </c>
      <c r="L456" s="27">
        <f>7.3691 * CHOOSE(CONTROL!$C$32, $C$9, 100%, $E$9)</f>
        <v>7.3691000000000004</v>
      </c>
      <c r="M456" s="27">
        <f>7.3727 * CHOOSE(CONTROL!$C$32, $C$9, 100%, $E$9)</f>
        <v>7.3727</v>
      </c>
      <c r="N456" s="27">
        <f>7.3691 * CHOOSE(CONTROL!$C$32, $C$9, 100%, $E$9)</f>
        <v>7.3691000000000004</v>
      </c>
      <c r="O456" s="27">
        <f>7.3727 * CHOOSE(CONTROL!$C$32, $C$9, 100%, $E$9)</f>
        <v>7.3727</v>
      </c>
    </row>
    <row r="457" spans="1:15" ht="15" x14ac:dyDescent="0.2">
      <c r="A457" s="16">
        <v>54758</v>
      </c>
      <c r="B457" s="26">
        <f>6.5486 * CHOOSE(CONTROL!$C$32, $C$9, 100%, $E$9)</f>
        <v>6.5486000000000004</v>
      </c>
      <c r="C457" s="26">
        <f>6.5486 * CHOOSE(CONTROL!$C$32, $C$9, 100%, $E$9)</f>
        <v>6.5486000000000004</v>
      </c>
      <c r="D457" s="26">
        <f>6.5497 * CHOOSE(CONTROL!$C$32, $C$9, 100%, $E$9)</f>
        <v>6.5496999999999996</v>
      </c>
      <c r="E457" s="27">
        <f>7.2879 * CHOOSE(CONTROL!$C$32, $C$9, 100%, $E$9)</f>
        <v>7.2878999999999996</v>
      </c>
      <c r="F457" s="27">
        <f>7.2879 * CHOOSE(CONTROL!$C$32, $C$9, 100%, $E$9)</f>
        <v>7.2878999999999996</v>
      </c>
      <c r="G457" s="27">
        <f>7.2915 * CHOOSE(CONTROL!$C$32, $C$9, 100%, $E$9)</f>
        <v>7.2915000000000001</v>
      </c>
      <c r="H457" s="27">
        <f>13.941 * CHOOSE(CONTROL!$C$32, $C$9, 100%, $E$9)</f>
        <v>13.941000000000001</v>
      </c>
      <c r="I457" s="27">
        <f>13.9447 * CHOOSE(CONTROL!$C$32, $C$9, 100%, $E$9)</f>
        <v>13.944699999999999</v>
      </c>
      <c r="J457" s="27">
        <f>13.941 * CHOOSE(CONTROL!$C$32, $C$9, 100%, $E$9)</f>
        <v>13.941000000000001</v>
      </c>
      <c r="K457" s="27">
        <f>13.9447 * CHOOSE(CONTROL!$C$32, $C$9, 100%, $E$9)</f>
        <v>13.944699999999999</v>
      </c>
      <c r="L457" s="27">
        <f>7.2879 * CHOOSE(CONTROL!$C$32, $C$9, 100%, $E$9)</f>
        <v>7.2878999999999996</v>
      </c>
      <c r="M457" s="27">
        <f>7.2915 * CHOOSE(CONTROL!$C$32, $C$9, 100%, $E$9)</f>
        <v>7.2915000000000001</v>
      </c>
      <c r="N457" s="27">
        <f>7.2879 * CHOOSE(CONTROL!$C$32, $C$9, 100%, $E$9)</f>
        <v>7.2878999999999996</v>
      </c>
      <c r="O457" s="27">
        <f>7.2915 * CHOOSE(CONTROL!$C$32, $C$9, 100%, $E$9)</f>
        <v>7.2915000000000001</v>
      </c>
    </row>
    <row r="458" spans="1:15" ht="15" x14ac:dyDescent="0.2">
      <c r="A458" s="16">
        <v>54789</v>
      </c>
      <c r="B458" s="26">
        <f>6.5983 * CHOOSE(CONTROL!$C$32, $C$9, 100%, $E$9)</f>
        <v>6.5983000000000001</v>
      </c>
      <c r="C458" s="26">
        <f>6.5983 * CHOOSE(CONTROL!$C$32, $C$9, 100%, $E$9)</f>
        <v>6.5983000000000001</v>
      </c>
      <c r="D458" s="26">
        <f>6.5993 * CHOOSE(CONTROL!$C$32, $C$9, 100%, $E$9)</f>
        <v>6.5993000000000004</v>
      </c>
      <c r="E458" s="27">
        <f>7.4077 * CHOOSE(CONTROL!$C$32, $C$9, 100%, $E$9)</f>
        <v>7.4077000000000002</v>
      </c>
      <c r="F458" s="27">
        <f>7.4077 * CHOOSE(CONTROL!$C$32, $C$9, 100%, $E$9)</f>
        <v>7.4077000000000002</v>
      </c>
      <c r="G458" s="27">
        <f>7.4113 * CHOOSE(CONTROL!$C$32, $C$9, 100%, $E$9)</f>
        <v>7.4112999999999998</v>
      </c>
      <c r="H458" s="27">
        <f>13.9701 * CHOOSE(CONTROL!$C$32, $C$9, 100%, $E$9)</f>
        <v>13.9701</v>
      </c>
      <c r="I458" s="27">
        <f>13.9737 * CHOOSE(CONTROL!$C$32, $C$9, 100%, $E$9)</f>
        <v>13.973699999999999</v>
      </c>
      <c r="J458" s="27">
        <f>13.9701 * CHOOSE(CONTROL!$C$32, $C$9, 100%, $E$9)</f>
        <v>13.9701</v>
      </c>
      <c r="K458" s="27">
        <f>13.9737 * CHOOSE(CONTROL!$C$32, $C$9, 100%, $E$9)</f>
        <v>13.973699999999999</v>
      </c>
      <c r="L458" s="27">
        <f>7.4077 * CHOOSE(CONTROL!$C$32, $C$9, 100%, $E$9)</f>
        <v>7.4077000000000002</v>
      </c>
      <c r="M458" s="27">
        <f>7.4113 * CHOOSE(CONTROL!$C$32, $C$9, 100%, $E$9)</f>
        <v>7.4112999999999998</v>
      </c>
      <c r="N458" s="27">
        <f>7.4077 * CHOOSE(CONTROL!$C$32, $C$9, 100%, $E$9)</f>
        <v>7.4077000000000002</v>
      </c>
      <c r="O458" s="27">
        <f>7.4113 * CHOOSE(CONTROL!$C$32, $C$9, 100%, $E$9)</f>
        <v>7.4112999999999998</v>
      </c>
    </row>
    <row r="459" spans="1:15" ht="15" x14ac:dyDescent="0.2">
      <c r="A459" s="16">
        <v>54820</v>
      </c>
      <c r="B459" s="26">
        <f>6.5952 * CHOOSE(CONTROL!$C$32, $C$9, 100%, $E$9)</f>
        <v>6.5952000000000002</v>
      </c>
      <c r="C459" s="26">
        <f>6.5952 * CHOOSE(CONTROL!$C$32, $C$9, 100%, $E$9)</f>
        <v>6.5952000000000002</v>
      </c>
      <c r="D459" s="26">
        <f>6.5963 * CHOOSE(CONTROL!$C$32, $C$9, 100%, $E$9)</f>
        <v>6.5963000000000003</v>
      </c>
      <c r="E459" s="27">
        <f>7.2472 * CHOOSE(CONTROL!$C$32, $C$9, 100%, $E$9)</f>
        <v>7.2472000000000003</v>
      </c>
      <c r="F459" s="27">
        <f>7.2472 * CHOOSE(CONTROL!$C$32, $C$9, 100%, $E$9)</f>
        <v>7.2472000000000003</v>
      </c>
      <c r="G459" s="27">
        <f>7.2508 * CHOOSE(CONTROL!$C$32, $C$9, 100%, $E$9)</f>
        <v>7.2507999999999999</v>
      </c>
      <c r="H459" s="27">
        <f>13.9992 * CHOOSE(CONTROL!$C$32, $C$9, 100%, $E$9)</f>
        <v>13.9992</v>
      </c>
      <c r="I459" s="27">
        <f>14.0028 * CHOOSE(CONTROL!$C$32, $C$9, 100%, $E$9)</f>
        <v>14.002800000000001</v>
      </c>
      <c r="J459" s="27">
        <f>13.9992 * CHOOSE(CONTROL!$C$32, $C$9, 100%, $E$9)</f>
        <v>13.9992</v>
      </c>
      <c r="K459" s="27">
        <f>14.0028 * CHOOSE(CONTROL!$C$32, $C$9, 100%, $E$9)</f>
        <v>14.002800000000001</v>
      </c>
      <c r="L459" s="27">
        <f>7.2472 * CHOOSE(CONTROL!$C$32, $C$9, 100%, $E$9)</f>
        <v>7.2472000000000003</v>
      </c>
      <c r="M459" s="27">
        <f>7.2508 * CHOOSE(CONTROL!$C$32, $C$9, 100%, $E$9)</f>
        <v>7.2507999999999999</v>
      </c>
      <c r="N459" s="27">
        <f>7.2472 * CHOOSE(CONTROL!$C$32, $C$9, 100%, $E$9)</f>
        <v>7.2472000000000003</v>
      </c>
      <c r="O459" s="27">
        <f>7.2508 * CHOOSE(CONTROL!$C$32, $C$9, 100%, $E$9)</f>
        <v>7.2507999999999999</v>
      </c>
    </row>
    <row r="460" spans="1:15" ht="15" x14ac:dyDescent="0.2">
      <c r="A460" s="16">
        <v>54848</v>
      </c>
      <c r="B460" s="26">
        <f>6.5922 * CHOOSE(CONTROL!$C$32, $C$9, 100%, $E$9)</f>
        <v>6.5922000000000001</v>
      </c>
      <c r="C460" s="26">
        <f>6.5922 * CHOOSE(CONTROL!$C$32, $C$9, 100%, $E$9)</f>
        <v>6.5922000000000001</v>
      </c>
      <c r="D460" s="26">
        <f>6.5933 * CHOOSE(CONTROL!$C$32, $C$9, 100%, $E$9)</f>
        <v>6.5933000000000002</v>
      </c>
      <c r="E460" s="27">
        <f>7.3699 * CHOOSE(CONTROL!$C$32, $C$9, 100%, $E$9)</f>
        <v>7.3699000000000003</v>
      </c>
      <c r="F460" s="27">
        <f>7.3699 * CHOOSE(CONTROL!$C$32, $C$9, 100%, $E$9)</f>
        <v>7.3699000000000003</v>
      </c>
      <c r="G460" s="27">
        <f>7.3735 * CHOOSE(CONTROL!$C$32, $C$9, 100%, $E$9)</f>
        <v>7.3734999999999999</v>
      </c>
      <c r="H460" s="27">
        <f>14.0283 * CHOOSE(CONTROL!$C$32, $C$9, 100%, $E$9)</f>
        <v>14.0283</v>
      </c>
      <c r="I460" s="27">
        <f>14.032 * CHOOSE(CONTROL!$C$32, $C$9, 100%, $E$9)</f>
        <v>14.032</v>
      </c>
      <c r="J460" s="27">
        <f>14.0283 * CHOOSE(CONTROL!$C$32, $C$9, 100%, $E$9)</f>
        <v>14.0283</v>
      </c>
      <c r="K460" s="27">
        <f>14.032 * CHOOSE(CONTROL!$C$32, $C$9, 100%, $E$9)</f>
        <v>14.032</v>
      </c>
      <c r="L460" s="27">
        <f>7.3699 * CHOOSE(CONTROL!$C$32, $C$9, 100%, $E$9)</f>
        <v>7.3699000000000003</v>
      </c>
      <c r="M460" s="27">
        <f>7.3735 * CHOOSE(CONTROL!$C$32, $C$9, 100%, $E$9)</f>
        <v>7.3734999999999999</v>
      </c>
      <c r="N460" s="27">
        <f>7.3699 * CHOOSE(CONTROL!$C$32, $C$9, 100%, $E$9)</f>
        <v>7.3699000000000003</v>
      </c>
      <c r="O460" s="27">
        <f>7.3735 * CHOOSE(CONTROL!$C$32, $C$9, 100%, $E$9)</f>
        <v>7.3734999999999999</v>
      </c>
    </row>
    <row r="461" spans="1:15" ht="15" x14ac:dyDescent="0.2">
      <c r="A461" s="16">
        <v>54879</v>
      </c>
      <c r="B461" s="26">
        <f>6.5923 * CHOOSE(CONTROL!$C$32, $C$9, 100%, $E$9)</f>
        <v>6.5922999999999998</v>
      </c>
      <c r="C461" s="26">
        <f>6.5923 * CHOOSE(CONTROL!$C$32, $C$9, 100%, $E$9)</f>
        <v>6.5922999999999998</v>
      </c>
      <c r="D461" s="26">
        <f>6.5934 * CHOOSE(CONTROL!$C$32, $C$9, 100%, $E$9)</f>
        <v>6.5933999999999999</v>
      </c>
      <c r="E461" s="27">
        <f>7.4998 * CHOOSE(CONTROL!$C$32, $C$9, 100%, $E$9)</f>
        <v>7.4997999999999996</v>
      </c>
      <c r="F461" s="27">
        <f>7.4998 * CHOOSE(CONTROL!$C$32, $C$9, 100%, $E$9)</f>
        <v>7.4997999999999996</v>
      </c>
      <c r="G461" s="27">
        <f>7.5034 * CHOOSE(CONTROL!$C$32, $C$9, 100%, $E$9)</f>
        <v>7.5034000000000001</v>
      </c>
      <c r="H461" s="27">
        <f>14.0576 * CHOOSE(CONTROL!$C$32, $C$9, 100%, $E$9)</f>
        <v>14.057600000000001</v>
      </c>
      <c r="I461" s="27">
        <f>14.0612 * CHOOSE(CONTROL!$C$32, $C$9, 100%, $E$9)</f>
        <v>14.061199999999999</v>
      </c>
      <c r="J461" s="27">
        <f>14.0576 * CHOOSE(CONTROL!$C$32, $C$9, 100%, $E$9)</f>
        <v>14.057600000000001</v>
      </c>
      <c r="K461" s="27">
        <f>14.0612 * CHOOSE(CONTROL!$C$32, $C$9, 100%, $E$9)</f>
        <v>14.061199999999999</v>
      </c>
      <c r="L461" s="27">
        <f>7.4998 * CHOOSE(CONTROL!$C$32, $C$9, 100%, $E$9)</f>
        <v>7.4997999999999996</v>
      </c>
      <c r="M461" s="27">
        <f>7.5034 * CHOOSE(CONTROL!$C$32, $C$9, 100%, $E$9)</f>
        <v>7.5034000000000001</v>
      </c>
      <c r="N461" s="27">
        <f>7.4998 * CHOOSE(CONTROL!$C$32, $C$9, 100%, $E$9)</f>
        <v>7.4997999999999996</v>
      </c>
      <c r="O461" s="27">
        <f>7.5034 * CHOOSE(CONTROL!$C$32, $C$9, 100%, $E$9)</f>
        <v>7.5034000000000001</v>
      </c>
    </row>
    <row r="462" spans="1:15" ht="15" x14ac:dyDescent="0.2">
      <c r="A462" s="16">
        <v>54909</v>
      </c>
      <c r="B462" s="26">
        <f>6.5923 * CHOOSE(CONTROL!$C$32, $C$9, 100%, $E$9)</f>
        <v>6.5922999999999998</v>
      </c>
      <c r="C462" s="26">
        <f>6.5923 * CHOOSE(CONTROL!$C$32, $C$9, 100%, $E$9)</f>
        <v>6.5922999999999998</v>
      </c>
      <c r="D462" s="26">
        <f>6.5939 * CHOOSE(CONTROL!$C$32, $C$9, 100%, $E$9)</f>
        <v>6.5938999999999997</v>
      </c>
      <c r="E462" s="27">
        <f>7.55 * CHOOSE(CONTROL!$C$32, $C$9, 100%, $E$9)</f>
        <v>7.55</v>
      </c>
      <c r="F462" s="27">
        <f>7.55 * CHOOSE(CONTROL!$C$32, $C$9, 100%, $E$9)</f>
        <v>7.55</v>
      </c>
      <c r="G462" s="27">
        <f>7.5553 * CHOOSE(CONTROL!$C$32, $C$9, 100%, $E$9)</f>
        <v>7.5552999999999999</v>
      </c>
      <c r="H462" s="27">
        <f>14.0869 * CHOOSE(CONTROL!$C$32, $C$9, 100%, $E$9)</f>
        <v>14.0869</v>
      </c>
      <c r="I462" s="27">
        <f>14.0922 * CHOOSE(CONTROL!$C$32, $C$9, 100%, $E$9)</f>
        <v>14.0922</v>
      </c>
      <c r="J462" s="27">
        <f>14.0869 * CHOOSE(CONTROL!$C$32, $C$9, 100%, $E$9)</f>
        <v>14.0869</v>
      </c>
      <c r="K462" s="27">
        <f>14.0922 * CHOOSE(CONTROL!$C$32, $C$9, 100%, $E$9)</f>
        <v>14.0922</v>
      </c>
      <c r="L462" s="27">
        <f>7.55 * CHOOSE(CONTROL!$C$32, $C$9, 100%, $E$9)</f>
        <v>7.55</v>
      </c>
      <c r="M462" s="27">
        <f>7.5553 * CHOOSE(CONTROL!$C$32, $C$9, 100%, $E$9)</f>
        <v>7.5552999999999999</v>
      </c>
      <c r="N462" s="27">
        <f>7.55 * CHOOSE(CONTROL!$C$32, $C$9, 100%, $E$9)</f>
        <v>7.55</v>
      </c>
      <c r="O462" s="27">
        <f>7.5553 * CHOOSE(CONTROL!$C$32, $C$9, 100%, $E$9)</f>
        <v>7.5552999999999999</v>
      </c>
    </row>
    <row r="463" spans="1:15" ht="15" x14ac:dyDescent="0.2">
      <c r="A463" s="16">
        <v>54940</v>
      </c>
      <c r="B463" s="26">
        <f>6.5984 * CHOOSE(CONTROL!$C$32, $C$9, 100%, $E$9)</f>
        <v>6.5983999999999998</v>
      </c>
      <c r="C463" s="26">
        <f>6.5984 * CHOOSE(CONTROL!$C$32, $C$9, 100%, $E$9)</f>
        <v>6.5983999999999998</v>
      </c>
      <c r="D463" s="26">
        <f>6.6 * CHOOSE(CONTROL!$C$32, $C$9, 100%, $E$9)</f>
        <v>6.6</v>
      </c>
      <c r="E463" s="27">
        <f>7.504 * CHOOSE(CONTROL!$C$32, $C$9, 100%, $E$9)</f>
        <v>7.5039999999999996</v>
      </c>
      <c r="F463" s="27">
        <f>7.504 * CHOOSE(CONTROL!$C$32, $C$9, 100%, $E$9)</f>
        <v>7.5039999999999996</v>
      </c>
      <c r="G463" s="27">
        <f>7.5093 * CHOOSE(CONTROL!$C$32, $C$9, 100%, $E$9)</f>
        <v>7.5092999999999996</v>
      </c>
      <c r="H463" s="27">
        <f>14.1162 * CHOOSE(CONTROL!$C$32, $C$9, 100%, $E$9)</f>
        <v>14.116199999999999</v>
      </c>
      <c r="I463" s="27">
        <f>14.1215 * CHOOSE(CONTROL!$C$32, $C$9, 100%, $E$9)</f>
        <v>14.121499999999999</v>
      </c>
      <c r="J463" s="27">
        <f>14.1162 * CHOOSE(CONTROL!$C$32, $C$9, 100%, $E$9)</f>
        <v>14.116199999999999</v>
      </c>
      <c r="K463" s="27">
        <f>14.1215 * CHOOSE(CONTROL!$C$32, $C$9, 100%, $E$9)</f>
        <v>14.121499999999999</v>
      </c>
      <c r="L463" s="27">
        <f>7.504 * CHOOSE(CONTROL!$C$32, $C$9, 100%, $E$9)</f>
        <v>7.5039999999999996</v>
      </c>
      <c r="M463" s="27">
        <f>7.5093 * CHOOSE(CONTROL!$C$32, $C$9, 100%, $E$9)</f>
        <v>7.5092999999999996</v>
      </c>
      <c r="N463" s="27">
        <f>7.504 * CHOOSE(CONTROL!$C$32, $C$9, 100%, $E$9)</f>
        <v>7.5039999999999996</v>
      </c>
      <c r="O463" s="27">
        <f>7.5093 * CHOOSE(CONTROL!$C$32, $C$9, 100%, $E$9)</f>
        <v>7.5092999999999996</v>
      </c>
    </row>
    <row r="464" spans="1:15" ht="15" x14ac:dyDescent="0.2">
      <c r="A464" s="16">
        <v>54970</v>
      </c>
      <c r="B464" s="26">
        <f>6.6855 * CHOOSE(CONTROL!$C$32, $C$9, 100%, $E$9)</f>
        <v>6.6855000000000002</v>
      </c>
      <c r="C464" s="26">
        <f>6.6855 * CHOOSE(CONTROL!$C$32, $C$9, 100%, $E$9)</f>
        <v>6.6855000000000002</v>
      </c>
      <c r="D464" s="26">
        <f>6.6871 * CHOOSE(CONTROL!$C$32, $C$9, 100%, $E$9)</f>
        <v>6.6871</v>
      </c>
      <c r="E464" s="27">
        <f>7.6081 * CHOOSE(CONTROL!$C$32, $C$9, 100%, $E$9)</f>
        <v>7.6081000000000003</v>
      </c>
      <c r="F464" s="27">
        <f>7.6081 * CHOOSE(CONTROL!$C$32, $C$9, 100%, $E$9)</f>
        <v>7.6081000000000003</v>
      </c>
      <c r="G464" s="27">
        <f>7.6134 * CHOOSE(CONTROL!$C$32, $C$9, 100%, $E$9)</f>
        <v>7.6134000000000004</v>
      </c>
      <c r="H464" s="27">
        <f>14.1456 * CHOOSE(CONTROL!$C$32, $C$9, 100%, $E$9)</f>
        <v>14.1456</v>
      </c>
      <c r="I464" s="27">
        <f>14.1509 * CHOOSE(CONTROL!$C$32, $C$9, 100%, $E$9)</f>
        <v>14.1509</v>
      </c>
      <c r="J464" s="27">
        <f>14.1456 * CHOOSE(CONTROL!$C$32, $C$9, 100%, $E$9)</f>
        <v>14.1456</v>
      </c>
      <c r="K464" s="27">
        <f>14.1509 * CHOOSE(CONTROL!$C$32, $C$9, 100%, $E$9)</f>
        <v>14.1509</v>
      </c>
      <c r="L464" s="27">
        <f>7.6081 * CHOOSE(CONTROL!$C$32, $C$9, 100%, $E$9)</f>
        <v>7.6081000000000003</v>
      </c>
      <c r="M464" s="27">
        <f>7.6134 * CHOOSE(CONTROL!$C$32, $C$9, 100%, $E$9)</f>
        <v>7.6134000000000004</v>
      </c>
      <c r="N464" s="27">
        <f>7.6081 * CHOOSE(CONTROL!$C$32, $C$9, 100%, $E$9)</f>
        <v>7.6081000000000003</v>
      </c>
      <c r="O464" s="27">
        <f>7.6134 * CHOOSE(CONTROL!$C$32, $C$9, 100%, $E$9)</f>
        <v>7.6134000000000004</v>
      </c>
    </row>
    <row r="465" spans="1:15" ht="15" x14ac:dyDescent="0.2">
      <c r="A465" s="16">
        <v>55001</v>
      </c>
      <c r="B465" s="26">
        <f>6.6922 * CHOOSE(CONTROL!$C$32, $C$9, 100%, $E$9)</f>
        <v>6.6921999999999997</v>
      </c>
      <c r="C465" s="26">
        <f>6.6922 * CHOOSE(CONTROL!$C$32, $C$9, 100%, $E$9)</f>
        <v>6.6921999999999997</v>
      </c>
      <c r="D465" s="26">
        <f>6.6937 * CHOOSE(CONTROL!$C$32, $C$9, 100%, $E$9)</f>
        <v>6.6936999999999998</v>
      </c>
      <c r="E465" s="27">
        <f>7.4619 * CHOOSE(CONTROL!$C$32, $C$9, 100%, $E$9)</f>
        <v>7.4619</v>
      </c>
      <c r="F465" s="27">
        <f>7.4619 * CHOOSE(CONTROL!$C$32, $C$9, 100%, $E$9)</f>
        <v>7.4619</v>
      </c>
      <c r="G465" s="27">
        <f>7.4672 * CHOOSE(CONTROL!$C$32, $C$9, 100%, $E$9)</f>
        <v>7.4672000000000001</v>
      </c>
      <c r="H465" s="27">
        <f>14.1751 * CHOOSE(CONTROL!$C$32, $C$9, 100%, $E$9)</f>
        <v>14.1751</v>
      </c>
      <c r="I465" s="27">
        <f>14.1804 * CHOOSE(CONTROL!$C$32, $C$9, 100%, $E$9)</f>
        <v>14.180400000000001</v>
      </c>
      <c r="J465" s="27">
        <f>14.1751 * CHOOSE(CONTROL!$C$32, $C$9, 100%, $E$9)</f>
        <v>14.1751</v>
      </c>
      <c r="K465" s="27">
        <f>14.1804 * CHOOSE(CONTROL!$C$32, $C$9, 100%, $E$9)</f>
        <v>14.180400000000001</v>
      </c>
      <c r="L465" s="27">
        <f>7.4619 * CHOOSE(CONTROL!$C$32, $C$9, 100%, $E$9)</f>
        <v>7.4619</v>
      </c>
      <c r="M465" s="27">
        <f>7.4672 * CHOOSE(CONTROL!$C$32, $C$9, 100%, $E$9)</f>
        <v>7.4672000000000001</v>
      </c>
      <c r="N465" s="27">
        <f>7.4619 * CHOOSE(CONTROL!$C$32, $C$9, 100%, $E$9)</f>
        <v>7.4619</v>
      </c>
      <c r="O465" s="27">
        <f>7.4672 * CHOOSE(CONTROL!$C$32, $C$9, 100%, $E$9)</f>
        <v>7.4672000000000001</v>
      </c>
    </row>
    <row r="466" spans="1:15" ht="15" x14ac:dyDescent="0.2">
      <c r="A466" s="16">
        <v>55032</v>
      </c>
      <c r="B466" s="26">
        <f>6.6891 * CHOOSE(CONTROL!$C$32, $C$9, 100%, $E$9)</f>
        <v>6.6890999999999998</v>
      </c>
      <c r="C466" s="26">
        <f>6.6891 * CHOOSE(CONTROL!$C$32, $C$9, 100%, $E$9)</f>
        <v>6.6890999999999998</v>
      </c>
      <c r="D466" s="26">
        <f>6.6907 * CHOOSE(CONTROL!$C$32, $C$9, 100%, $E$9)</f>
        <v>6.6906999999999996</v>
      </c>
      <c r="E466" s="27">
        <f>7.443 * CHOOSE(CONTROL!$C$32, $C$9, 100%, $E$9)</f>
        <v>7.4429999999999996</v>
      </c>
      <c r="F466" s="27">
        <f>7.443 * CHOOSE(CONTROL!$C$32, $C$9, 100%, $E$9)</f>
        <v>7.4429999999999996</v>
      </c>
      <c r="G466" s="27">
        <f>7.4483 * CHOOSE(CONTROL!$C$32, $C$9, 100%, $E$9)</f>
        <v>7.4482999999999997</v>
      </c>
      <c r="H466" s="27">
        <f>14.2046 * CHOOSE(CONTROL!$C$32, $C$9, 100%, $E$9)</f>
        <v>14.204599999999999</v>
      </c>
      <c r="I466" s="27">
        <f>14.2099 * CHOOSE(CONTROL!$C$32, $C$9, 100%, $E$9)</f>
        <v>14.209899999999999</v>
      </c>
      <c r="J466" s="27">
        <f>14.2046 * CHOOSE(CONTROL!$C$32, $C$9, 100%, $E$9)</f>
        <v>14.204599999999999</v>
      </c>
      <c r="K466" s="27">
        <f>14.2099 * CHOOSE(CONTROL!$C$32, $C$9, 100%, $E$9)</f>
        <v>14.209899999999999</v>
      </c>
      <c r="L466" s="27">
        <f>7.443 * CHOOSE(CONTROL!$C$32, $C$9, 100%, $E$9)</f>
        <v>7.4429999999999996</v>
      </c>
      <c r="M466" s="27">
        <f>7.4483 * CHOOSE(CONTROL!$C$32, $C$9, 100%, $E$9)</f>
        <v>7.4482999999999997</v>
      </c>
      <c r="N466" s="27">
        <f>7.443 * CHOOSE(CONTROL!$C$32, $C$9, 100%, $E$9)</f>
        <v>7.4429999999999996</v>
      </c>
      <c r="O466" s="27">
        <f>7.4483 * CHOOSE(CONTROL!$C$32, $C$9, 100%, $E$9)</f>
        <v>7.4482999999999997</v>
      </c>
    </row>
    <row r="467" spans="1:15" ht="15" x14ac:dyDescent="0.2">
      <c r="A467" s="16">
        <v>55062</v>
      </c>
      <c r="B467" s="26">
        <f>6.6942 * CHOOSE(CONTROL!$C$32, $C$9, 100%, $E$9)</f>
        <v>6.6942000000000004</v>
      </c>
      <c r="C467" s="26">
        <f>6.6942 * CHOOSE(CONTROL!$C$32, $C$9, 100%, $E$9)</f>
        <v>6.6942000000000004</v>
      </c>
      <c r="D467" s="26">
        <f>6.6953 * CHOOSE(CONTROL!$C$32, $C$9, 100%, $E$9)</f>
        <v>6.6952999999999996</v>
      </c>
      <c r="E467" s="27">
        <f>7.4966 * CHOOSE(CONTROL!$C$32, $C$9, 100%, $E$9)</f>
        <v>7.4965999999999999</v>
      </c>
      <c r="F467" s="27">
        <f>7.4966 * CHOOSE(CONTROL!$C$32, $C$9, 100%, $E$9)</f>
        <v>7.4965999999999999</v>
      </c>
      <c r="G467" s="27">
        <f>7.5002 * CHOOSE(CONTROL!$C$32, $C$9, 100%, $E$9)</f>
        <v>7.5002000000000004</v>
      </c>
      <c r="H467" s="27">
        <f>14.2342 * CHOOSE(CONTROL!$C$32, $C$9, 100%, $E$9)</f>
        <v>14.2342</v>
      </c>
      <c r="I467" s="27">
        <f>14.2378 * CHOOSE(CONTROL!$C$32, $C$9, 100%, $E$9)</f>
        <v>14.2378</v>
      </c>
      <c r="J467" s="27">
        <f>14.2342 * CHOOSE(CONTROL!$C$32, $C$9, 100%, $E$9)</f>
        <v>14.2342</v>
      </c>
      <c r="K467" s="27">
        <f>14.2378 * CHOOSE(CONTROL!$C$32, $C$9, 100%, $E$9)</f>
        <v>14.2378</v>
      </c>
      <c r="L467" s="27">
        <f>7.4966 * CHOOSE(CONTROL!$C$32, $C$9, 100%, $E$9)</f>
        <v>7.4965999999999999</v>
      </c>
      <c r="M467" s="27">
        <f>7.5002 * CHOOSE(CONTROL!$C$32, $C$9, 100%, $E$9)</f>
        <v>7.5002000000000004</v>
      </c>
      <c r="N467" s="27">
        <f>7.4966 * CHOOSE(CONTROL!$C$32, $C$9, 100%, $E$9)</f>
        <v>7.4965999999999999</v>
      </c>
      <c r="O467" s="27">
        <f>7.5002 * CHOOSE(CONTROL!$C$32, $C$9, 100%, $E$9)</f>
        <v>7.5002000000000004</v>
      </c>
    </row>
    <row r="468" spans="1:15" ht="15" x14ac:dyDescent="0.2">
      <c r="A468" s="16">
        <v>55093</v>
      </c>
      <c r="B468" s="26">
        <f>6.6972 * CHOOSE(CONTROL!$C$32, $C$9, 100%, $E$9)</f>
        <v>6.6971999999999996</v>
      </c>
      <c r="C468" s="26">
        <f>6.6972 * CHOOSE(CONTROL!$C$32, $C$9, 100%, $E$9)</f>
        <v>6.6971999999999996</v>
      </c>
      <c r="D468" s="26">
        <f>6.6983 * CHOOSE(CONTROL!$C$32, $C$9, 100%, $E$9)</f>
        <v>6.6982999999999997</v>
      </c>
      <c r="E468" s="27">
        <f>7.5323 * CHOOSE(CONTROL!$C$32, $C$9, 100%, $E$9)</f>
        <v>7.5323000000000002</v>
      </c>
      <c r="F468" s="27">
        <f>7.5323 * CHOOSE(CONTROL!$C$32, $C$9, 100%, $E$9)</f>
        <v>7.5323000000000002</v>
      </c>
      <c r="G468" s="27">
        <f>7.5359 * CHOOSE(CONTROL!$C$32, $C$9, 100%, $E$9)</f>
        <v>7.5358999999999998</v>
      </c>
      <c r="H468" s="27">
        <f>14.2639 * CHOOSE(CONTROL!$C$32, $C$9, 100%, $E$9)</f>
        <v>14.2639</v>
      </c>
      <c r="I468" s="27">
        <f>14.2675 * CHOOSE(CONTROL!$C$32, $C$9, 100%, $E$9)</f>
        <v>14.2675</v>
      </c>
      <c r="J468" s="27">
        <f>14.2639 * CHOOSE(CONTROL!$C$32, $C$9, 100%, $E$9)</f>
        <v>14.2639</v>
      </c>
      <c r="K468" s="27">
        <f>14.2675 * CHOOSE(CONTROL!$C$32, $C$9, 100%, $E$9)</f>
        <v>14.2675</v>
      </c>
      <c r="L468" s="27">
        <f>7.5323 * CHOOSE(CONTROL!$C$32, $C$9, 100%, $E$9)</f>
        <v>7.5323000000000002</v>
      </c>
      <c r="M468" s="27">
        <f>7.5359 * CHOOSE(CONTROL!$C$32, $C$9, 100%, $E$9)</f>
        <v>7.5358999999999998</v>
      </c>
      <c r="N468" s="27">
        <f>7.5323 * CHOOSE(CONTROL!$C$32, $C$9, 100%, $E$9)</f>
        <v>7.5323000000000002</v>
      </c>
      <c r="O468" s="27">
        <f>7.5359 * CHOOSE(CONTROL!$C$32, $C$9, 100%, $E$9)</f>
        <v>7.5358999999999998</v>
      </c>
    </row>
    <row r="469" spans="1:15" ht="15" x14ac:dyDescent="0.2">
      <c r="A469" s="16">
        <v>55123</v>
      </c>
      <c r="B469" s="26">
        <f>6.6972 * CHOOSE(CONTROL!$C$32, $C$9, 100%, $E$9)</f>
        <v>6.6971999999999996</v>
      </c>
      <c r="C469" s="26">
        <f>6.6972 * CHOOSE(CONTROL!$C$32, $C$9, 100%, $E$9)</f>
        <v>6.6971999999999996</v>
      </c>
      <c r="D469" s="26">
        <f>6.6983 * CHOOSE(CONTROL!$C$32, $C$9, 100%, $E$9)</f>
        <v>6.6982999999999997</v>
      </c>
      <c r="E469" s="27">
        <f>7.4485 * CHOOSE(CONTROL!$C$32, $C$9, 100%, $E$9)</f>
        <v>7.4485000000000001</v>
      </c>
      <c r="F469" s="27">
        <f>7.4485 * CHOOSE(CONTROL!$C$32, $C$9, 100%, $E$9)</f>
        <v>7.4485000000000001</v>
      </c>
      <c r="G469" s="27">
        <f>7.4521 * CHOOSE(CONTROL!$C$32, $C$9, 100%, $E$9)</f>
        <v>7.4520999999999997</v>
      </c>
      <c r="H469" s="27">
        <f>14.2936 * CHOOSE(CONTROL!$C$32, $C$9, 100%, $E$9)</f>
        <v>14.2936</v>
      </c>
      <c r="I469" s="27">
        <f>14.2972 * CHOOSE(CONTROL!$C$32, $C$9, 100%, $E$9)</f>
        <v>14.2972</v>
      </c>
      <c r="J469" s="27">
        <f>14.2936 * CHOOSE(CONTROL!$C$32, $C$9, 100%, $E$9)</f>
        <v>14.2936</v>
      </c>
      <c r="K469" s="27">
        <f>14.2972 * CHOOSE(CONTROL!$C$32, $C$9, 100%, $E$9)</f>
        <v>14.2972</v>
      </c>
      <c r="L469" s="27">
        <f>7.4485 * CHOOSE(CONTROL!$C$32, $C$9, 100%, $E$9)</f>
        <v>7.4485000000000001</v>
      </c>
      <c r="M469" s="27">
        <f>7.4521 * CHOOSE(CONTROL!$C$32, $C$9, 100%, $E$9)</f>
        <v>7.4520999999999997</v>
      </c>
      <c r="N469" s="27">
        <f>7.4485 * CHOOSE(CONTROL!$C$32, $C$9, 100%, $E$9)</f>
        <v>7.4485000000000001</v>
      </c>
      <c r="O469" s="27">
        <f>7.4521 * CHOOSE(CONTROL!$C$32, $C$9, 100%, $E$9)</f>
        <v>7.4520999999999997</v>
      </c>
    </row>
    <row r="470" spans="1:15" ht="15" x14ac:dyDescent="0.2">
      <c r="A470" s="16">
        <v>55154</v>
      </c>
      <c r="B470" s="26">
        <f>6.7479 * CHOOSE(CONTROL!$C$32, $C$9, 100%, $E$9)</f>
        <v>6.7478999999999996</v>
      </c>
      <c r="C470" s="26">
        <f>6.7479 * CHOOSE(CONTROL!$C$32, $C$9, 100%, $E$9)</f>
        <v>6.7478999999999996</v>
      </c>
      <c r="D470" s="26">
        <f>6.749 * CHOOSE(CONTROL!$C$32, $C$9, 100%, $E$9)</f>
        <v>6.7489999999999997</v>
      </c>
      <c r="E470" s="27">
        <f>7.571 * CHOOSE(CONTROL!$C$32, $C$9, 100%, $E$9)</f>
        <v>7.5709999999999997</v>
      </c>
      <c r="F470" s="27">
        <f>7.571 * CHOOSE(CONTROL!$C$32, $C$9, 100%, $E$9)</f>
        <v>7.5709999999999997</v>
      </c>
      <c r="G470" s="27">
        <f>7.5746 * CHOOSE(CONTROL!$C$32, $C$9, 100%, $E$9)</f>
        <v>7.5746000000000002</v>
      </c>
      <c r="H470" s="27">
        <f>14.3234 * CHOOSE(CONTROL!$C$32, $C$9, 100%, $E$9)</f>
        <v>14.323399999999999</v>
      </c>
      <c r="I470" s="27">
        <f>14.327 * CHOOSE(CONTROL!$C$32, $C$9, 100%, $E$9)</f>
        <v>14.327</v>
      </c>
      <c r="J470" s="27">
        <f>14.3234 * CHOOSE(CONTROL!$C$32, $C$9, 100%, $E$9)</f>
        <v>14.323399999999999</v>
      </c>
      <c r="K470" s="27">
        <f>14.327 * CHOOSE(CONTROL!$C$32, $C$9, 100%, $E$9)</f>
        <v>14.327</v>
      </c>
      <c r="L470" s="27">
        <f>7.571 * CHOOSE(CONTROL!$C$32, $C$9, 100%, $E$9)</f>
        <v>7.5709999999999997</v>
      </c>
      <c r="M470" s="27">
        <f>7.5746 * CHOOSE(CONTROL!$C$32, $C$9, 100%, $E$9)</f>
        <v>7.5746000000000002</v>
      </c>
      <c r="N470" s="27">
        <f>7.571 * CHOOSE(CONTROL!$C$32, $C$9, 100%, $E$9)</f>
        <v>7.5709999999999997</v>
      </c>
      <c r="O470" s="27">
        <f>7.5746 * CHOOSE(CONTROL!$C$32, $C$9, 100%, $E$9)</f>
        <v>7.5746000000000002</v>
      </c>
    </row>
    <row r="471" spans="1:15" ht="15" x14ac:dyDescent="0.2">
      <c r="A471" s="16">
        <v>55185</v>
      </c>
      <c r="B471" s="26">
        <f>6.7449 * CHOOSE(CONTROL!$C$32, $C$9, 100%, $E$9)</f>
        <v>6.7449000000000003</v>
      </c>
      <c r="C471" s="26">
        <f>6.7449 * CHOOSE(CONTROL!$C$32, $C$9, 100%, $E$9)</f>
        <v>6.7449000000000003</v>
      </c>
      <c r="D471" s="26">
        <f>6.746 * CHOOSE(CONTROL!$C$32, $C$9, 100%, $E$9)</f>
        <v>6.7460000000000004</v>
      </c>
      <c r="E471" s="27">
        <f>7.4053 * CHOOSE(CONTROL!$C$32, $C$9, 100%, $E$9)</f>
        <v>7.4053000000000004</v>
      </c>
      <c r="F471" s="27">
        <f>7.4053 * CHOOSE(CONTROL!$C$32, $C$9, 100%, $E$9)</f>
        <v>7.4053000000000004</v>
      </c>
      <c r="G471" s="27">
        <f>7.409 * CHOOSE(CONTROL!$C$32, $C$9, 100%, $E$9)</f>
        <v>7.4089999999999998</v>
      </c>
      <c r="H471" s="27">
        <f>14.3532 * CHOOSE(CONTROL!$C$32, $C$9, 100%, $E$9)</f>
        <v>14.353199999999999</v>
      </c>
      <c r="I471" s="27">
        <f>14.3568 * CHOOSE(CONTROL!$C$32, $C$9, 100%, $E$9)</f>
        <v>14.3568</v>
      </c>
      <c r="J471" s="27">
        <f>14.3532 * CHOOSE(CONTROL!$C$32, $C$9, 100%, $E$9)</f>
        <v>14.353199999999999</v>
      </c>
      <c r="K471" s="27">
        <f>14.3568 * CHOOSE(CONTROL!$C$32, $C$9, 100%, $E$9)</f>
        <v>14.3568</v>
      </c>
      <c r="L471" s="27">
        <f>7.4053 * CHOOSE(CONTROL!$C$32, $C$9, 100%, $E$9)</f>
        <v>7.4053000000000004</v>
      </c>
      <c r="M471" s="27">
        <f>7.409 * CHOOSE(CONTROL!$C$32, $C$9, 100%, $E$9)</f>
        <v>7.4089999999999998</v>
      </c>
      <c r="N471" s="27">
        <f>7.4053 * CHOOSE(CONTROL!$C$32, $C$9, 100%, $E$9)</f>
        <v>7.4053000000000004</v>
      </c>
      <c r="O471" s="27">
        <f>7.409 * CHOOSE(CONTROL!$C$32, $C$9, 100%, $E$9)</f>
        <v>7.4089999999999998</v>
      </c>
    </row>
    <row r="472" spans="1:15" ht="15" x14ac:dyDescent="0.2">
      <c r="A472" s="16">
        <v>55213</v>
      </c>
      <c r="B472" s="26">
        <f>6.7418 * CHOOSE(CONTROL!$C$32, $C$9, 100%, $E$9)</f>
        <v>6.7417999999999996</v>
      </c>
      <c r="C472" s="26">
        <f>6.7418 * CHOOSE(CONTROL!$C$32, $C$9, 100%, $E$9)</f>
        <v>6.7417999999999996</v>
      </c>
      <c r="D472" s="26">
        <f>6.7429 * CHOOSE(CONTROL!$C$32, $C$9, 100%, $E$9)</f>
        <v>6.7428999999999997</v>
      </c>
      <c r="E472" s="27">
        <f>7.5321 * CHOOSE(CONTROL!$C$32, $C$9, 100%, $E$9)</f>
        <v>7.5320999999999998</v>
      </c>
      <c r="F472" s="27">
        <f>7.5321 * CHOOSE(CONTROL!$C$32, $C$9, 100%, $E$9)</f>
        <v>7.5320999999999998</v>
      </c>
      <c r="G472" s="27">
        <f>7.5357 * CHOOSE(CONTROL!$C$32, $C$9, 100%, $E$9)</f>
        <v>7.5357000000000003</v>
      </c>
      <c r="H472" s="27">
        <f>14.3831 * CHOOSE(CONTROL!$C$32, $C$9, 100%, $E$9)</f>
        <v>14.383100000000001</v>
      </c>
      <c r="I472" s="27">
        <f>14.3867 * CHOOSE(CONTROL!$C$32, $C$9, 100%, $E$9)</f>
        <v>14.386699999999999</v>
      </c>
      <c r="J472" s="27">
        <f>14.3831 * CHOOSE(CONTROL!$C$32, $C$9, 100%, $E$9)</f>
        <v>14.383100000000001</v>
      </c>
      <c r="K472" s="27">
        <f>14.3867 * CHOOSE(CONTROL!$C$32, $C$9, 100%, $E$9)</f>
        <v>14.386699999999999</v>
      </c>
      <c r="L472" s="27">
        <f>7.5321 * CHOOSE(CONTROL!$C$32, $C$9, 100%, $E$9)</f>
        <v>7.5320999999999998</v>
      </c>
      <c r="M472" s="27">
        <f>7.5357 * CHOOSE(CONTROL!$C$32, $C$9, 100%, $E$9)</f>
        <v>7.5357000000000003</v>
      </c>
      <c r="N472" s="27">
        <f>7.5321 * CHOOSE(CONTROL!$C$32, $C$9, 100%, $E$9)</f>
        <v>7.5320999999999998</v>
      </c>
      <c r="O472" s="27">
        <f>7.5357 * CHOOSE(CONTROL!$C$32, $C$9, 100%, $E$9)</f>
        <v>7.5357000000000003</v>
      </c>
    </row>
    <row r="473" spans="1:15" ht="15" x14ac:dyDescent="0.2">
      <c r="A473" s="16">
        <v>55244</v>
      </c>
      <c r="B473" s="26">
        <f>6.7421 * CHOOSE(CONTROL!$C$32, $C$9, 100%, $E$9)</f>
        <v>6.7420999999999998</v>
      </c>
      <c r="C473" s="26">
        <f>6.7421 * CHOOSE(CONTROL!$C$32, $C$9, 100%, $E$9)</f>
        <v>6.7420999999999998</v>
      </c>
      <c r="D473" s="26">
        <f>6.7432 * CHOOSE(CONTROL!$C$32, $C$9, 100%, $E$9)</f>
        <v>6.7431999999999999</v>
      </c>
      <c r="E473" s="27">
        <f>7.6663 * CHOOSE(CONTROL!$C$32, $C$9, 100%, $E$9)</f>
        <v>7.6662999999999997</v>
      </c>
      <c r="F473" s="27">
        <f>7.6663 * CHOOSE(CONTROL!$C$32, $C$9, 100%, $E$9)</f>
        <v>7.6662999999999997</v>
      </c>
      <c r="G473" s="27">
        <f>7.6699 * CHOOSE(CONTROL!$C$32, $C$9, 100%, $E$9)</f>
        <v>7.6699000000000002</v>
      </c>
      <c r="H473" s="27">
        <f>14.4131 * CHOOSE(CONTROL!$C$32, $C$9, 100%, $E$9)</f>
        <v>14.4131</v>
      </c>
      <c r="I473" s="27">
        <f>14.4167 * CHOOSE(CONTROL!$C$32, $C$9, 100%, $E$9)</f>
        <v>14.416700000000001</v>
      </c>
      <c r="J473" s="27">
        <f>14.4131 * CHOOSE(CONTROL!$C$32, $C$9, 100%, $E$9)</f>
        <v>14.4131</v>
      </c>
      <c r="K473" s="27">
        <f>14.4167 * CHOOSE(CONTROL!$C$32, $C$9, 100%, $E$9)</f>
        <v>14.416700000000001</v>
      </c>
      <c r="L473" s="27">
        <f>7.6663 * CHOOSE(CONTROL!$C$32, $C$9, 100%, $E$9)</f>
        <v>7.6662999999999997</v>
      </c>
      <c r="M473" s="27">
        <f>7.6699 * CHOOSE(CONTROL!$C$32, $C$9, 100%, $E$9)</f>
        <v>7.6699000000000002</v>
      </c>
      <c r="N473" s="27">
        <f>7.6663 * CHOOSE(CONTROL!$C$32, $C$9, 100%, $E$9)</f>
        <v>7.6662999999999997</v>
      </c>
      <c r="O473" s="27">
        <f>7.6699 * CHOOSE(CONTROL!$C$32, $C$9, 100%, $E$9)</f>
        <v>7.6699000000000002</v>
      </c>
    </row>
    <row r="474" spans="1:15" ht="15" x14ac:dyDescent="0.2">
      <c r="A474" s="16">
        <v>55274</v>
      </c>
      <c r="B474" s="26">
        <f>6.7421 * CHOOSE(CONTROL!$C$32, $C$9, 100%, $E$9)</f>
        <v>6.7420999999999998</v>
      </c>
      <c r="C474" s="26">
        <f>6.7421 * CHOOSE(CONTROL!$C$32, $C$9, 100%, $E$9)</f>
        <v>6.7420999999999998</v>
      </c>
      <c r="D474" s="26">
        <f>6.7437 * CHOOSE(CONTROL!$C$32, $C$9, 100%, $E$9)</f>
        <v>6.7436999999999996</v>
      </c>
      <c r="E474" s="27">
        <f>7.7182 * CHOOSE(CONTROL!$C$32, $C$9, 100%, $E$9)</f>
        <v>7.7182000000000004</v>
      </c>
      <c r="F474" s="27">
        <f>7.7182 * CHOOSE(CONTROL!$C$32, $C$9, 100%, $E$9)</f>
        <v>7.7182000000000004</v>
      </c>
      <c r="G474" s="27">
        <f>7.7235 * CHOOSE(CONTROL!$C$32, $C$9, 100%, $E$9)</f>
        <v>7.7234999999999996</v>
      </c>
      <c r="H474" s="27">
        <f>14.4431 * CHOOSE(CONTROL!$C$32, $C$9, 100%, $E$9)</f>
        <v>14.443099999999999</v>
      </c>
      <c r="I474" s="27">
        <f>14.4484 * CHOOSE(CONTROL!$C$32, $C$9, 100%, $E$9)</f>
        <v>14.448399999999999</v>
      </c>
      <c r="J474" s="27">
        <f>14.4431 * CHOOSE(CONTROL!$C$32, $C$9, 100%, $E$9)</f>
        <v>14.443099999999999</v>
      </c>
      <c r="K474" s="27">
        <f>14.4484 * CHOOSE(CONTROL!$C$32, $C$9, 100%, $E$9)</f>
        <v>14.448399999999999</v>
      </c>
      <c r="L474" s="27">
        <f>7.7182 * CHOOSE(CONTROL!$C$32, $C$9, 100%, $E$9)</f>
        <v>7.7182000000000004</v>
      </c>
      <c r="M474" s="27">
        <f>7.7235 * CHOOSE(CONTROL!$C$32, $C$9, 100%, $E$9)</f>
        <v>7.7234999999999996</v>
      </c>
      <c r="N474" s="27">
        <f>7.7182 * CHOOSE(CONTROL!$C$32, $C$9, 100%, $E$9)</f>
        <v>7.7182000000000004</v>
      </c>
      <c r="O474" s="27">
        <f>7.7235 * CHOOSE(CONTROL!$C$32, $C$9, 100%, $E$9)</f>
        <v>7.7234999999999996</v>
      </c>
    </row>
    <row r="475" spans="1:15" ht="15" x14ac:dyDescent="0.2">
      <c r="A475" s="16">
        <v>55305</v>
      </c>
      <c r="B475" s="26">
        <f>6.7482 * CHOOSE(CONTROL!$C$32, $C$9, 100%, $E$9)</f>
        <v>6.7481999999999998</v>
      </c>
      <c r="C475" s="26">
        <f>6.7482 * CHOOSE(CONTROL!$C$32, $C$9, 100%, $E$9)</f>
        <v>6.7481999999999998</v>
      </c>
      <c r="D475" s="26">
        <f>6.7498 * CHOOSE(CONTROL!$C$32, $C$9, 100%, $E$9)</f>
        <v>6.7497999999999996</v>
      </c>
      <c r="E475" s="27">
        <f>7.6706 * CHOOSE(CONTROL!$C$32, $C$9, 100%, $E$9)</f>
        <v>7.6706000000000003</v>
      </c>
      <c r="F475" s="27">
        <f>7.6706 * CHOOSE(CONTROL!$C$32, $C$9, 100%, $E$9)</f>
        <v>7.6706000000000003</v>
      </c>
      <c r="G475" s="27">
        <f>7.6759 * CHOOSE(CONTROL!$C$32, $C$9, 100%, $E$9)</f>
        <v>7.6759000000000004</v>
      </c>
      <c r="H475" s="27">
        <f>14.4732 * CHOOSE(CONTROL!$C$32, $C$9, 100%, $E$9)</f>
        <v>14.4732</v>
      </c>
      <c r="I475" s="27">
        <f>14.4785 * CHOOSE(CONTROL!$C$32, $C$9, 100%, $E$9)</f>
        <v>14.4785</v>
      </c>
      <c r="J475" s="27">
        <f>14.4732 * CHOOSE(CONTROL!$C$32, $C$9, 100%, $E$9)</f>
        <v>14.4732</v>
      </c>
      <c r="K475" s="27">
        <f>14.4785 * CHOOSE(CONTROL!$C$32, $C$9, 100%, $E$9)</f>
        <v>14.4785</v>
      </c>
      <c r="L475" s="27">
        <f>7.6706 * CHOOSE(CONTROL!$C$32, $C$9, 100%, $E$9)</f>
        <v>7.6706000000000003</v>
      </c>
      <c r="M475" s="27">
        <f>7.6759 * CHOOSE(CONTROL!$C$32, $C$9, 100%, $E$9)</f>
        <v>7.6759000000000004</v>
      </c>
      <c r="N475" s="27">
        <f>7.6706 * CHOOSE(CONTROL!$C$32, $C$9, 100%, $E$9)</f>
        <v>7.6706000000000003</v>
      </c>
      <c r="O475" s="27">
        <f>7.6759 * CHOOSE(CONTROL!$C$32, $C$9, 100%, $E$9)</f>
        <v>7.6759000000000004</v>
      </c>
    </row>
    <row r="476" spans="1:15" ht="15" x14ac:dyDescent="0.2">
      <c r="A476" s="16">
        <v>55335</v>
      </c>
      <c r="B476" s="26">
        <f>6.8369 * CHOOSE(CONTROL!$C$32, $C$9, 100%, $E$9)</f>
        <v>6.8369</v>
      </c>
      <c r="C476" s="26">
        <f>6.8369 * CHOOSE(CONTROL!$C$32, $C$9, 100%, $E$9)</f>
        <v>6.8369</v>
      </c>
      <c r="D476" s="26">
        <f>6.8385 * CHOOSE(CONTROL!$C$32, $C$9, 100%, $E$9)</f>
        <v>6.8384999999999998</v>
      </c>
      <c r="E476" s="27">
        <f>7.7751 * CHOOSE(CONTROL!$C$32, $C$9, 100%, $E$9)</f>
        <v>7.7751000000000001</v>
      </c>
      <c r="F476" s="27">
        <f>7.7751 * CHOOSE(CONTROL!$C$32, $C$9, 100%, $E$9)</f>
        <v>7.7751000000000001</v>
      </c>
      <c r="G476" s="27">
        <f>7.7804 * CHOOSE(CONTROL!$C$32, $C$9, 100%, $E$9)</f>
        <v>7.7804000000000002</v>
      </c>
      <c r="H476" s="27">
        <f>14.5033 * CHOOSE(CONTROL!$C$32, $C$9, 100%, $E$9)</f>
        <v>14.503299999999999</v>
      </c>
      <c r="I476" s="27">
        <f>14.5086 * CHOOSE(CONTROL!$C$32, $C$9, 100%, $E$9)</f>
        <v>14.508599999999999</v>
      </c>
      <c r="J476" s="27">
        <f>14.5033 * CHOOSE(CONTROL!$C$32, $C$9, 100%, $E$9)</f>
        <v>14.503299999999999</v>
      </c>
      <c r="K476" s="27">
        <f>14.5086 * CHOOSE(CONTROL!$C$32, $C$9, 100%, $E$9)</f>
        <v>14.508599999999999</v>
      </c>
      <c r="L476" s="27">
        <f>7.7751 * CHOOSE(CONTROL!$C$32, $C$9, 100%, $E$9)</f>
        <v>7.7751000000000001</v>
      </c>
      <c r="M476" s="27">
        <f>7.7804 * CHOOSE(CONTROL!$C$32, $C$9, 100%, $E$9)</f>
        <v>7.7804000000000002</v>
      </c>
      <c r="N476" s="27">
        <f>7.7751 * CHOOSE(CONTROL!$C$32, $C$9, 100%, $E$9)</f>
        <v>7.7751000000000001</v>
      </c>
      <c r="O476" s="27">
        <f>7.7804 * CHOOSE(CONTROL!$C$32, $C$9, 100%, $E$9)</f>
        <v>7.7804000000000002</v>
      </c>
    </row>
    <row r="477" spans="1:15" ht="15" x14ac:dyDescent="0.2">
      <c r="A477" s="16">
        <v>55366</v>
      </c>
      <c r="B477" s="26">
        <f>6.8436 * CHOOSE(CONTROL!$C$32, $C$9, 100%, $E$9)</f>
        <v>6.8436000000000003</v>
      </c>
      <c r="C477" s="26">
        <f>6.8436 * CHOOSE(CONTROL!$C$32, $C$9, 100%, $E$9)</f>
        <v>6.8436000000000003</v>
      </c>
      <c r="D477" s="26">
        <f>6.8452 * CHOOSE(CONTROL!$C$32, $C$9, 100%, $E$9)</f>
        <v>6.8452000000000002</v>
      </c>
      <c r="E477" s="27">
        <f>7.6241 * CHOOSE(CONTROL!$C$32, $C$9, 100%, $E$9)</f>
        <v>7.6241000000000003</v>
      </c>
      <c r="F477" s="27">
        <f>7.6241 * CHOOSE(CONTROL!$C$32, $C$9, 100%, $E$9)</f>
        <v>7.6241000000000003</v>
      </c>
      <c r="G477" s="27">
        <f>7.6294 * CHOOSE(CONTROL!$C$32, $C$9, 100%, $E$9)</f>
        <v>7.6294000000000004</v>
      </c>
      <c r="H477" s="27">
        <f>14.5336 * CHOOSE(CONTROL!$C$32, $C$9, 100%, $E$9)</f>
        <v>14.5336</v>
      </c>
      <c r="I477" s="27">
        <f>14.5388 * CHOOSE(CONTROL!$C$32, $C$9, 100%, $E$9)</f>
        <v>14.5388</v>
      </c>
      <c r="J477" s="27">
        <f>14.5336 * CHOOSE(CONTROL!$C$32, $C$9, 100%, $E$9)</f>
        <v>14.5336</v>
      </c>
      <c r="K477" s="27">
        <f>14.5388 * CHOOSE(CONTROL!$C$32, $C$9, 100%, $E$9)</f>
        <v>14.5388</v>
      </c>
      <c r="L477" s="27">
        <f>7.6241 * CHOOSE(CONTROL!$C$32, $C$9, 100%, $E$9)</f>
        <v>7.6241000000000003</v>
      </c>
      <c r="M477" s="27">
        <f>7.6294 * CHOOSE(CONTROL!$C$32, $C$9, 100%, $E$9)</f>
        <v>7.6294000000000004</v>
      </c>
      <c r="N477" s="27">
        <f>7.6241 * CHOOSE(CONTROL!$C$32, $C$9, 100%, $E$9)</f>
        <v>7.6241000000000003</v>
      </c>
      <c r="O477" s="27">
        <f>7.6294 * CHOOSE(CONTROL!$C$32, $C$9, 100%, $E$9)</f>
        <v>7.6294000000000004</v>
      </c>
    </row>
    <row r="478" spans="1:15" ht="15" x14ac:dyDescent="0.2">
      <c r="A478" s="16">
        <v>55397</v>
      </c>
      <c r="B478" s="26">
        <f>6.8406 * CHOOSE(CONTROL!$C$32, $C$9, 100%, $E$9)</f>
        <v>6.8406000000000002</v>
      </c>
      <c r="C478" s="26">
        <f>6.8406 * CHOOSE(CONTROL!$C$32, $C$9, 100%, $E$9)</f>
        <v>6.8406000000000002</v>
      </c>
      <c r="D478" s="26">
        <f>6.8422 * CHOOSE(CONTROL!$C$32, $C$9, 100%, $E$9)</f>
        <v>6.8422000000000001</v>
      </c>
      <c r="E478" s="27">
        <f>7.6046 * CHOOSE(CONTROL!$C$32, $C$9, 100%, $E$9)</f>
        <v>7.6045999999999996</v>
      </c>
      <c r="F478" s="27">
        <f>7.6046 * CHOOSE(CONTROL!$C$32, $C$9, 100%, $E$9)</f>
        <v>7.6045999999999996</v>
      </c>
      <c r="G478" s="27">
        <f>7.6099 * CHOOSE(CONTROL!$C$32, $C$9, 100%, $E$9)</f>
        <v>7.6098999999999997</v>
      </c>
      <c r="H478" s="27">
        <f>14.5638 * CHOOSE(CONTROL!$C$32, $C$9, 100%, $E$9)</f>
        <v>14.563800000000001</v>
      </c>
      <c r="I478" s="27">
        <f>14.5691 * CHOOSE(CONTROL!$C$32, $C$9, 100%, $E$9)</f>
        <v>14.569100000000001</v>
      </c>
      <c r="J478" s="27">
        <f>14.5638 * CHOOSE(CONTROL!$C$32, $C$9, 100%, $E$9)</f>
        <v>14.563800000000001</v>
      </c>
      <c r="K478" s="27">
        <f>14.5691 * CHOOSE(CONTROL!$C$32, $C$9, 100%, $E$9)</f>
        <v>14.569100000000001</v>
      </c>
      <c r="L478" s="27">
        <f>7.6046 * CHOOSE(CONTROL!$C$32, $C$9, 100%, $E$9)</f>
        <v>7.6045999999999996</v>
      </c>
      <c r="M478" s="27">
        <f>7.6099 * CHOOSE(CONTROL!$C$32, $C$9, 100%, $E$9)</f>
        <v>7.6098999999999997</v>
      </c>
      <c r="N478" s="27">
        <f>7.6046 * CHOOSE(CONTROL!$C$32, $C$9, 100%, $E$9)</f>
        <v>7.6045999999999996</v>
      </c>
      <c r="O478" s="27">
        <f>7.6099 * CHOOSE(CONTROL!$C$32, $C$9, 100%, $E$9)</f>
        <v>7.6098999999999997</v>
      </c>
    </row>
    <row r="479" spans="1:15" ht="15" x14ac:dyDescent="0.2">
      <c r="A479" s="16">
        <v>55427</v>
      </c>
      <c r="B479" s="26">
        <f>6.8462 * CHOOSE(CONTROL!$C$32, $C$9, 100%, $E$9)</f>
        <v>6.8461999999999996</v>
      </c>
      <c r="C479" s="26">
        <f>6.8462 * CHOOSE(CONTROL!$C$32, $C$9, 100%, $E$9)</f>
        <v>6.8461999999999996</v>
      </c>
      <c r="D479" s="26">
        <f>6.8473 * CHOOSE(CONTROL!$C$32, $C$9, 100%, $E$9)</f>
        <v>6.8472999999999997</v>
      </c>
      <c r="E479" s="27">
        <f>7.6604 * CHOOSE(CONTROL!$C$32, $C$9, 100%, $E$9)</f>
        <v>7.6604000000000001</v>
      </c>
      <c r="F479" s="27">
        <f>7.6604 * CHOOSE(CONTROL!$C$32, $C$9, 100%, $E$9)</f>
        <v>7.6604000000000001</v>
      </c>
      <c r="G479" s="27">
        <f>7.6641 * CHOOSE(CONTROL!$C$32, $C$9, 100%, $E$9)</f>
        <v>7.6641000000000004</v>
      </c>
      <c r="H479" s="27">
        <f>14.5942 * CHOOSE(CONTROL!$C$32, $C$9, 100%, $E$9)</f>
        <v>14.594200000000001</v>
      </c>
      <c r="I479" s="27">
        <f>14.5978 * CHOOSE(CONTROL!$C$32, $C$9, 100%, $E$9)</f>
        <v>14.597799999999999</v>
      </c>
      <c r="J479" s="27">
        <f>14.5942 * CHOOSE(CONTROL!$C$32, $C$9, 100%, $E$9)</f>
        <v>14.594200000000001</v>
      </c>
      <c r="K479" s="27">
        <f>14.5978 * CHOOSE(CONTROL!$C$32, $C$9, 100%, $E$9)</f>
        <v>14.597799999999999</v>
      </c>
      <c r="L479" s="27">
        <f>7.6604 * CHOOSE(CONTROL!$C$32, $C$9, 100%, $E$9)</f>
        <v>7.6604000000000001</v>
      </c>
      <c r="M479" s="27">
        <f>7.6641 * CHOOSE(CONTROL!$C$32, $C$9, 100%, $E$9)</f>
        <v>7.6641000000000004</v>
      </c>
      <c r="N479" s="27">
        <f>7.6604 * CHOOSE(CONTROL!$C$32, $C$9, 100%, $E$9)</f>
        <v>7.6604000000000001</v>
      </c>
      <c r="O479" s="27">
        <f>7.6641 * CHOOSE(CONTROL!$C$32, $C$9, 100%, $E$9)</f>
        <v>7.6641000000000004</v>
      </c>
    </row>
    <row r="480" spans="1:15" ht="15" x14ac:dyDescent="0.2">
      <c r="A480" s="16">
        <v>55458</v>
      </c>
      <c r="B480" s="26">
        <f>6.8492 * CHOOSE(CONTROL!$C$32, $C$9, 100%, $E$9)</f>
        <v>6.8491999999999997</v>
      </c>
      <c r="C480" s="26">
        <f>6.8492 * CHOOSE(CONTROL!$C$32, $C$9, 100%, $E$9)</f>
        <v>6.8491999999999997</v>
      </c>
      <c r="D480" s="26">
        <f>6.8503 * CHOOSE(CONTROL!$C$32, $C$9, 100%, $E$9)</f>
        <v>6.8502999999999998</v>
      </c>
      <c r="E480" s="27">
        <f>7.6972 * CHOOSE(CONTROL!$C$32, $C$9, 100%, $E$9)</f>
        <v>7.6971999999999996</v>
      </c>
      <c r="F480" s="27">
        <f>7.6972 * CHOOSE(CONTROL!$C$32, $C$9, 100%, $E$9)</f>
        <v>7.6971999999999996</v>
      </c>
      <c r="G480" s="27">
        <f>7.7008 * CHOOSE(CONTROL!$C$32, $C$9, 100%, $E$9)</f>
        <v>7.7008000000000001</v>
      </c>
      <c r="H480" s="27">
        <f>14.6246 * CHOOSE(CONTROL!$C$32, $C$9, 100%, $E$9)</f>
        <v>14.624599999999999</v>
      </c>
      <c r="I480" s="27">
        <f>14.6282 * CHOOSE(CONTROL!$C$32, $C$9, 100%, $E$9)</f>
        <v>14.6282</v>
      </c>
      <c r="J480" s="27">
        <f>14.6246 * CHOOSE(CONTROL!$C$32, $C$9, 100%, $E$9)</f>
        <v>14.624599999999999</v>
      </c>
      <c r="K480" s="27">
        <f>14.6282 * CHOOSE(CONTROL!$C$32, $C$9, 100%, $E$9)</f>
        <v>14.6282</v>
      </c>
      <c r="L480" s="27">
        <f>7.6972 * CHOOSE(CONTROL!$C$32, $C$9, 100%, $E$9)</f>
        <v>7.6971999999999996</v>
      </c>
      <c r="M480" s="27">
        <f>7.7008 * CHOOSE(CONTROL!$C$32, $C$9, 100%, $E$9)</f>
        <v>7.7008000000000001</v>
      </c>
      <c r="N480" s="27">
        <f>7.6972 * CHOOSE(CONTROL!$C$32, $C$9, 100%, $E$9)</f>
        <v>7.6971999999999996</v>
      </c>
      <c r="O480" s="27">
        <f>7.7008 * CHOOSE(CONTROL!$C$32, $C$9, 100%, $E$9)</f>
        <v>7.7008000000000001</v>
      </c>
    </row>
    <row r="481" spans="1:15" ht="15" x14ac:dyDescent="0.2">
      <c r="A481" s="16">
        <v>55488</v>
      </c>
      <c r="B481" s="26">
        <f>6.8492 * CHOOSE(CONTROL!$C$32, $C$9, 100%, $E$9)</f>
        <v>6.8491999999999997</v>
      </c>
      <c r="C481" s="26">
        <f>6.8492 * CHOOSE(CONTROL!$C$32, $C$9, 100%, $E$9)</f>
        <v>6.8491999999999997</v>
      </c>
      <c r="D481" s="26">
        <f>6.8503 * CHOOSE(CONTROL!$C$32, $C$9, 100%, $E$9)</f>
        <v>6.8502999999999998</v>
      </c>
      <c r="E481" s="27">
        <f>7.6106 * CHOOSE(CONTROL!$C$32, $C$9, 100%, $E$9)</f>
        <v>7.6105999999999998</v>
      </c>
      <c r="F481" s="27">
        <f>7.6106 * CHOOSE(CONTROL!$C$32, $C$9, 100%, $E$9)</f>
        <v>7.6105999999999998</v>
      </c>
      <c r="G481" s="27">
        <f>7.6143 * CHOOSE(CONTROL!$C$32, $C$9, 100%, $E$9)</f>
        <v>7.6143000000000001</v>
      </c>
      <c r="H481" s="27">
        <f>14.655 * CHOOSE(CONTROL!$C$32, $C$9, 100%, $E$9)</f>
        <v>14.654999999999999</v>
      </c>
      <c r="I481" s="27">
        <f>14.6587 * CHOOSE(CONTROL!$C$32, $C$9, 100%, $E$9)</f>
        <v>14.6587</v>
      </c>
      <c r="J481" s="27">
        <f>14.655 * CHOOSE(CONTROL!$C$32, $C$9, 100%, $E$9)</f>
        <v>14.654999999999999</v>
      </c>
      <c r="K481" s="27">
        <f>14.6587 * CHOOSE(CONTROL!$C$32, $C$9, 100%, $E$9)</f>
        <v>14.6587</v>
      </c>
      <c r="L481" s="27">
        <f>7.6106 * CHOOSE(CONTROL!$C$32, $C$9, 100%, $E$9)</f>
        <v>7.6105999999999998</v>
      </c>
      <c r="M481" s="27">
        <f>7.6143 * CHOOSE(CONTROL!$C$32, $C$9, 100%, $E$9)</f>
        <v>7.6143000000000001</v>
      </c>
      <c r="N481" s="27">
        <f>7.6106 * CHOOSE(CONTROL!$C$32, $C$9, 100%, $E$9)</f>
        <v>7.6105999999999998</v>
      </c>
      <c r="O481" s="27">
        <f>7.6143 * CHOOSE(CONTROL!$C$32, $C$9, 100%, $E$9)</f>
        <v>7.6143000000000001</v>
      </c>
    </row>
    <row r="482" spans="1:15" ht="15" x14ac:dyDescent="0.2">
      <c r="A482" s="16">
        <v>55519</v>
      </c>
      <c r="B482" s="26">
        <f>6.901 * CHOOSE(CONTROL!$C$32, $C$9, 100%, $E$9)</f>
        <v>6.9009999999999998</v>
      </c>
      <c r="C482" s="26">
        <f>6.901 * CHOOSE(CONTROL!$C$32, $C$9, 100%, $E$9)</f>
        <v>6.9009999999999998</v>
      </c>
      <c r="D482" s="26">
        <f>6.9021 * CHOOSE(CONTROL!$C$32, $C$9, 100%, $E$9)</f>
        <v>6.9020999999999999</v>
      </c>
      <c r="E482" s="27">
        <f>7.7372 * CHOOSE(CONTROL!$C$32, $C$9, 100%, $E$9)</f>
        <v>7.7371999999999996</v>
      </c>
      <c r="F482" s="27">
        <f>7.7372 * CHOOSE(CONTROL!$C$32, $C$9, 100%, $E$9)</f>
        <v>7.7371999999999996</v>
      </c>
      <c r="G482" s="27">
        <f>7.7408 * CHOOSE(CONTROL!$C$32, $C$9, 100%, $E$9)</f>
        <v>7.7408000000000001</v>
      </c>
      <c r="H482" s="27">
        <f>14.6856 * CHOOSE(CONTROL!$C$32, $C$9, 100%, $E$9)</f>
        <v>14.685600000000001</v>
      </c>
      <c r="I482" s="27">
        <f>14.6892 * CHOOSE(CONTROL!$C$32, $C$9, 100%, $E$9)</f>
        <v>14.6892</v>
      </c>
      <c r="J482" s="27">
        <f>14.6856 * CHOOSE(CONTROL!$C$32, $C$9, 100%, $E$9)</f>
        <v>14.685600000000001</v>
      </c>
      <c r="K482" s="27">
        <f>14.6892 * CHOOSE(CONTROL!$C$32, $C$9, 100%, $E$9)</f>
        <v>14.6892</v>
      </c>
      <c r="L482" s="27">
        <f>7.7372 * CHOOSE(CONTROL!$C$32, $C$9, 100%, $E$9)</f>
        <v>7.7371999999999996</v>
      </c>
      <c r="M482" s="27">
        <f>7.7408 * CHOOSE(CONTROL!$C$32, $C$9, 100%, $E$9)</f>
        <v>7.7408000000000001</v>
      </c>
      <c r="N482" s="27">
        <f>7.7372 * CHOOSE(CONTROL!$C$32, $C$9, 100%, $E$9)</f>
        <v>7.7371999999999996</v>
      </c>
      <c r="O482" s="27">
        <f>7.7408 * CHOOSE(CONTROL!$C$32, $C$9, 100%, $E$9)</f>
        <v>7.7408000000000001</v>
      </c>
    </row>
    <row r="483" spans="1:15" ht="15" x14ac:dyDescent="0.2">
      <c r="A483" s="16">
        <v>55550</v>
      </c>
      <c r="B483" s="26">
        <f>6.8979 * CHOOSE(CONTROL!$C$32, $C$9, 100%, $E$9)</f>
        <v>6.8978999999999999</v>
      </c>
      <c r="C483" s="26">
        <f>6.8979 * CHOOSE(CONTROL!$C$32, $C$9, 100%, $E$9)</f>
        <v>6.8978999999999999</v>
      </c>
      <c r="D483" s="26">
        <f>6.899 * CHOOSE(CONTROL!$C$32, $C$9, 100%, $E$9)</f>
        <v>6.899</v>
      </c>
      <c r="E483" s="27">
        <f>7.5663 * CHOOSE(CONTROL!$C$32, $C$9, 100%, $E$9)</f>
        <v>7.5663</v>
      </c>
      <c r="F483" s="27">
        <f>7.5663 * CHOOSE(CONTROL!$C$32, $C$9, 100%, $E$9)</f>
        <v>7.5663</v>
      </c>
      <c r="G483" s="27">
        <f>7.5699 * CHOOSE(CONTROL!$C$32, $C$9, 100%, $E$9)</f>
        <v>7.5698999999999996</v>
      </c>
      <c r="H483" s="27">
        <f>14.7162 * CHOOSE(CONTROL!$C$32, $C$9, 100%, $E$9)</f>
        <v>14.716200000000001</v>
      </c>
      <c r="I483" s="27">
        <f>14.7198 * CHOOSE(CONTROL!$C$32, $C$9, 100%, $E$9)</f>
        <v>14.719799999999999</v>
      </c>
      <c r="J483" s="27">
        <f>14.7162 * CHOOSE(CONTROL!$C$32, $C$9, 100%, $E$9)</f>
        <v>14.716200000000001</v>
      </c>
      <c r="K483" s="27">
        <f>14.7198 * CHOOSE(CONTROL!$C$32, $C$9, 100%, $E$9)</f>
        <v>14.719799999999999</v>
      </c>
      <c r="L483" s="27">
        <f>7.5663 * CHOOSE(CONTROL!$C$32, $C$9, 100%, $E$9)</f>
        <v>7.5663</v>
      </c>
      <c r="M483" s="27">
        <f>7.5699 * CHOOSE(CONTROL!$C$32, $C$9, 100%, $E$9)</f>
        <v>7.5698999999999996</v>
      </c>
      <c r="N483" s="27">
        <f>7.5663 * CHOOSE(CONTROL!$C$32, $C$9, 100%, $E$9)</f>
        <v>7.5663</v>
      </c>
      <c r="O483" s="27">
        <f>7.5699 * CHOOSE(CONTROL!$C$32, $C$9, 100%, $E$9)</f>
        <v>7.5698999999999996</v>
      </c>
    </row>
    <row r="484" spans="1:15" ht="15" x14ac:dyDescent="0.2">
      <c r="A484" s="16">
        <v>55579</v>
      </c>
      <c r="B484" s="26">
        <f>6.8949 * CHOOSE(CONTROL!$C$32, $C$9, 100%, $E$9)</f>
        <v>6.8948999999999998</v>
      </c>
      <c r="C484" s="26">
        <f>6.8949 * CHOOSE(CONTROL!$C$32, $C$9, 100%, $E$9)</f>
        <v>6.8948999999999998</v>
      </c>
      <c r="D484" s="26">
        <f>6.896 * CHOOSE(CONTROL!$C$32, $C$9, 100%, $E$9)</f>
        <v>6.8959999999999999</v>
      </c>
      <c r="E484" s="27">
        <f>7.6972 * CHOOSE(CONTROL!$C$32, $C$9, 100%, $E$9)</f>
        <v>7.6971999999999996</v>
      </c>
      <c r="F484" s="27">
        <f>7.6972 * CHOOSE(CONTROL!$C$32, $C$9, 100%, $E$9)</f>
        <v>7.6971999999999996</v>
      </c>
      <c r="G484" s="27">
        <f>7.7008 * CHOOSE(CONTROL!$C$32, $C$9, 100%, $E$9)</f>
        <v>7.7008000000000001</v>
      </c>
      <c r="H484" s="27">
        <f>14.7468 * CHOOSE(CONTROL!$C$32, $C$9, 100%, $E$9)</f>
        <v>14.7468</v>
      </c>
      <c r="I484" s="27">
        <f>14.7504 * CHOOSE(CONTROL!$C$32, $C$9, 100%, $E$9)</f>
        <v>14.750400000000001</v>
      </c>
      <c r="J484" s="27">
        <f>14.7468 * CHOOSE(CONTROL!$C$32, $C$9, 100%, $E$9)</f>
        <v>14.7468</v>
      </c>
      <c r="K484" s="27">
        <f>14.7504 * CHOOSE(CONTROL!$C$32, $C$9, 100%, $E$9)</f>
        <v>14.750400000000001</v>
      </c>
      <c r="L484" s="27">
        <f>7.6972 * CHOOSE(CONTROL!$C$32, $C$9, 100%, $E$9)</f>
        <v>7.6971999999999996</v>
      </c>
      <c r="M484" s="27">
        <f>7.7008 * CHOOSE(CONTROL!$C$32, $C$9, 100%, $E$9)</f>
        <v>7.7008000000000001</v>
      </c>
      <c r="N484" s="27">
        <f>7.6972 * CHOOSE(CONTROL!$C$32, $C$9, 100%, $E$9)</f>
        <v>7.6971999999999996</v>
      </c>
      <c r="O484" s="27">
        <f>7.7008 * CHOOSE(CONTROL!$C$32, $C$9, 100%, $E$9)</f>
        <v>7.7008000000000001</v>
      </c>
    </row>
    <row r="485" spans="1:15" ht="15" x14ac:dyDescent="0.2">
      <c r="A485" s="16">
        <v>55610</v>
      </c>
      <c r="B485" s="26">
        <f>6.8953 * CHOOSE(CONTROL!$C$32, $C$9, 100%, $E$9)</f>
        <v>6.8952999999999998</v>
      </c>
      <c r="C485" s="26">
        <f>6.8953 * CHOOSE(CONTROL!$C$32, $C$9, 100%, $E$9)</f>
        <v>6.8952999999999998</v>
      </c>
      <c r="D485" s="26">
        <f>6.8964 * CHOOSE(CONTROL!$C$32, $C$9, 100%, $E$9)</f>
        <v>6.8963999999999999</v>
      </c>
      <c r="E485" s="27">
        <f>7.8359 * CHOOSE(CONTROL!$C$32, $C$9, 100%, $E$9)</f>
        <v>7.8358999999999996</v>
      </c>
      <c r="F485" s="27">
        <f>7.8359 * CHOOSE(CONTROL!$C$32, $C$9, 100%, $E$9)</f>
        <v>7.8358999999999996</v>
      </c>
      <c r="G485" s="27">
        <f>7.8395 * CHOOSE(CONTROL!$C$32, $C$9, 100%, $E$9)</f>
        <v>7.8395000000000001</v>
      </c>
      <c r="H485" s="27">
        <f>14.7776 * CHOOSE(CONTROL!$C$32, $C$9, 100%, $E$9)</f>
        <v>14.7776</v>
      </c>
      <c r="I485" s="27">
        <f>14.7812 * CHOOSE(CONTROL!$C$32, $C$9, 100%, $E$9)</f>
        <v>14.7812</v>
      </c>
      <c r="J485" s="27">
        <f>14.7776 * CHOOSE(CONTROL!$C$32, $C$9, 100%, $E$9)</f>
        <v>14.7776</v>
      </c>
      <c r="K485" s="27">
        <f>14.7812 * CHOOSE(CONTROL!$C$32, $C$9, 100%, $E$9)</f>
        <v>14.7812</v>
      </c>
      <c r="L485" s="27">
        <f>7.8359 * CHOOSE(CONTROL!$C$32, $C$9, 100%, $E$9)</f>
        <v>7.8358999999999996</v>
      </c>
      <c r="M485" s="27">
        <f>7.8395 * CHOOSE(CONTROL!$C$32, $C$9, 100%, $E$9)</f>
        <v>7.8395000000000001</v>
      </c>
      <c r="N485" s="27">
        <f>7.8359 * CHOOSE(CONTROL!$C$32, $C$9, 100%, $E$9)</f>
        <v>7.8358999999999996</v>
      </c>
      <c r="O485" s="27">
        <f>7.8395 * CHOOSE(CONTROL!$C$32, $C$9, 100%, $E$9)</f>
        <v>7.8395000000000001</v>
      </c>
    </row>
    <row r="486" spans="1:15" ht="15" x14ac:dyDescent="0.2">
      <c r="A486" s="16">
        <v>55640</v>
      </c>
      <c r="B486" s="26">
        <f>6.8953 * CHOOSE(CONTROL!$C$32, $C$9, 100%, $E$9)</f>
        <v>6.8952999999999998</v>
      </c>
      <c r="C486" s="26">
        <f>6.8953 * CHOOSE(CONTROL!$C$32, $C$9, 100%, $E$9)</f>
        <v>6.8952999999999998</v>
      </c>
      <c r="D486" s="26">
        <f>6.8969 * CHOOSE(CONTROL!$C$32, $C$9, 100%, $E$9)</f>
        <v>6.8968999999999996</v>
      </c>
      <c r="E486" s="27">
        <f>7.8895 * CHOOSE(CONTROL!$C$32, $C$9, 100%, $E$9)</f>
        <v>7.8895</v>
      </c>
      <c r="F486" s="27">
        <f>7.8895 * CHOOSE(CONTROL!$C$32, $C$9, 100%, $E$9)</f>
        <v>7.8895</v>
      </c>
      <c r="G486" s="27">
        <f>7.8948 * CHOOSE(CONTROL!$C$32, $C$9, 100%, $E$9)</f>
        <v>7.8948</v>
      </c>
      <c r="H486" s="27">
        <f>14.8083 * CHOOSE(CONTROL!$C$32, $C$9, 100%, $E$9)</f>
        <v>14.808299999999999</v>
      </c>
      <c r="I486" s="27">
        <f>14.8136 * CHOOSE(CONTROL!$C$32, $C$9, 100%, $E$9)</f>
        <v>14.813599999999999</v>
      </c>
      <c r="J486" s="27">
        <f>14.8083 * CHOOSE(CONTROL!$C$32, $C$9, 100%, $E$9)</f>
        <v>14.808299999999999</v>
      </c>
      <c r="K486" s="27">
        <f>14.8136 * CHOOSE(CONTROL!$C$32, $C$9, 100%, $E$9)</f>
        <v>14.813599999999999</v>
      </c>
      <c r="L486" s="27">
        <f>7.8895 * CHOOSE(CONTROL!$C$32, $C$9, 100%, $E$9)</f>
        <v>7.8895</v>
      </c>
      <c r="M486" s="27">
        <f>7.8948 * CHOOSE(CONTROL!$C$32, $C$9, 100%, $E$9)</f>
        <v>7.8948</v>
      </c>
      <c r="N486" s="27">
        <f>7.8895 * CHOOSE(CONTROL!$C$32, $C$9, 100%, $E$9)</f>
        <v>7.8895</v>
      </c>
      <c r="O486" s="27">
        <f>7.8948 * CHOOSE(CONTROL!$C$32, $C$9, 100%, $E$9)</f>
        <v>7.8948</v>
      </c>
    </row>
    <row r="487" spans="1:15" ht="15" x14ac:dyDescent="0.2">
      <c r="A487" s="16">
        <v>55671</v>
      </c>
      <c r="B487" s="26">
        <f>6.9014 * CHOOSE(CONTROL!$C$32, $C$9, 100%, $E$9)</f>
        <v>6.9013999999999998</v>
      </c>
      <c r="C487" s="26">
        <f>6.9014 * CHOOSE(CONTROL!$C$32, $C$9, 100%, $E$9)</f>
        <v>6.9013999999999998</v>
      </c>
      <c r="D487" s="26">
        <f>6.903 * CHOOSE(CONTROL!$C$32, $C$9, 100%, $E$9)</f>
        <v>6.9029999999999996</v>
      </c>
      <c r="E487" s="27">
        <f>7.8402 * CHOOSE(CONTROL!$C$32, $C$9, 100%, $E$9)</f>
        <v>7.8402000000000003</v>
      </c>
      <c r="F487" s="27">
        <f>7.8402 * CHOOSE(CONTROL!$C$32, $C$9, 100%, $E$9)</f>
        <v>7.8402000000000003</v>
      </c>
      <c r="G487" s="27">
        <f>7.8455 * CHOOSE(CONTROL!$C$32, $C$9, 100%, $E$9)</f>
        <v>7.8455000000000004</v>
      </c>
      <c r="H487" s="27">
        <f>14.8392 * CHOOSE(CONTROL!$C$32, $C$9, 100%, $E$9)</f>
        <v>14.8392</v>
      </c>
      <c r="I487" s="27">
        <f>14.8445 * CHOOSE(CONTROL!$C$32, $C$9, 100%, $E$9)</f>
        <v>14.8445</v>
      </c>
      <c r="J487" s="27">
        <f>14.8392 * CHOOSE(CONTROL!$C$32, $C$9, 100%, $E$9)</f>
        <v>14.8392</v>
      </c>
      <c r="K487" s="27">
        <f>14.8445 * CHOOSE(CONTROL!$C$32, $C$9, 100%, $E$9)</f>
        <v>14.8445</v>
      </c>
      <c r="L487" s="27">
        <f>7.8402 * CHOOSE(CONTROL!$C$32, $C$9, 100%, $E$9)</f>
        <v>7.8402000000000003</v>
      </c>
      <c r="M487" s="27">
        <f>7.8455 * CHOOSE(CONTROL!$C$32, $C$9, 100%, $E$9)</f>
        <v>7.8455000000000004</v>
      </c>
      <c r="N487" s="27">
        <f>7.8402 * CHOOSE(CONTROL!$C$32, $C$9, 100%, $E$9)</f>
        <v>7.8402000000000003</v>
      </c>
      <c r="O487" s="27">
        <f>7.8455 * CHOOSE(CONTROL!$C$32, $C$9, 100%, $E$9)</f>
        <v>7.8455000000000004</v>
      </c>
    </row>
    <row r="488" spans="1:15" ht="15" x14ac:dyDescent="0.2">
      <c r="A488" s="16">
        <v>55701</v>
      </c>
      <c r="B488" s="26">
        <f>6.9918 * CHOOSE(CONTROL!$C$32, $C$9, 100%, $E$9)</f>
        <v>6.9917999999999996</v>
      </c>
      <c r="C488" s="26">
        <f>6.9918 * CHOOSE(CONTROL!$C$32, $C$9, 100%, $E$9)</f>
        <v>6.9917999999999996</v>
      </c>
      <c r="D488" s="26">
        <f>6.9934 * CHOOSE(CONTROL!$C$32, $C$9, 100%, $E$9)</f>
        <v>6.9934000000000003</v>
      </c>
      <c r="E488" s="27">
        <f>7.9482 * CHOOSE(CONTROL!$C$32, $C$9, 100%, $E$9)</f>
        <v>7.9481999999999999</v>
      </c>
      <c r="F488" s="27">
        <f>7.9482 * CHOOSE(CONTROL!$C$32, $C$9, 100%, $E$9)</f>
        <v>7.9481999999999999</v>
      </c>
      <c r="G488" s="27">
        <f>7.9535 * CHOOSE(CONTROL!$C$32, $C$9, 100%, $E$9)</f>
        <v>7.9535</v>
      </c>
      <c r="H488" s="27">
        <f>14.8701 * CHOOSE(CONTROL!$C$32, $C$9, 100%, $E$9)</f>
        <v>14.870100000000001</v>
      </c>
      <c r="I488" s="27">
        <f>14.8754 * CHOOSE(CONTROL!$C$32, $C$9, 100%, $E$9)</f>
        <v>14.875400000000001</v>
      </c>
      <c r="J488" s="27">
        <f>14.8701 * CHOOSE(CONTROL!$C$32, $C$9, 100%, $E$9)</f>
        <v>14.870100000000001</v>
      </c>
      <c r="K488" s="27">
        <f>14.8754 * CHOOSE(CONTROL!$C$32, $C$9, 100%, $E$9)</f>
        <v>14.875400000000001</v>
      </c>
      <c r="L488" s="27">
        <f>7.9482 * CHOOSE(CONTROL!$C$32, $C$9, 100%, $E$9)</f>
        <v>7.9481999999999999</v>
      </c>
      <c r="M488" s="27">
        <f>7.9535 * CHOOSE(CONTROL!$C$32, $C$9, 100%, $E$9)</f>
        <v>7.9535</v>
      </c>
      <c r="N488" s="27">
        <f>7.9482 * CHOOSE(CONTROL!$C$32, $C$9, 100%, $E$9)</f>
        <v>7.9481999999999999</v>
      </c>
      <c r="O488" s="27">
        <f>7.9535 * CHOOSE(CONTROL!$C$32, $C$9, 100%, $E$9)</f>
        <v>7.9535</v>
      </c>
    </row>
    <row r="489" spans="1:15" ht="15" x14ac:dyDescent="0.2">
      <c r="A489" s="16">
        <v>55732</v>
      </c>
      <c r="B489" s="26">
        <f>6.9985 * CHOOSE(CONTROL!$C$32, $C$9, 100%, $E$9)</f>
        <v>6.9984999999999999</v>
      </c>
      <c r="C489" s="26">
        <f>6.9985 * CHOOSE(CONTROL!$C$32, $C$9, 100%, $E$9)</f>
        <v>6.9984999999999999</v>
      </c>
      <c r="D489" s="26">
        <f>7.0001 * CHOOSE(CONTROL!$C$32, $C$9, 100%, $E$9)</f>
        <v>7.0000999999999998</v>
      </c>
      <c r="E489" s="27">
        <f>7.7921 * CHOOSE(CONTROL!$C$32, $C$9, 100%, $E$9)</f>
        <v>7.7920999999999996</v>
      </c>
      <c r="F489" s="27">
        <f>7.7921 * CHOOSE(CONTROL!$C$32, $C$9, 100%, $E$9)</f>
        <v>7.7920999999999996</v>
      </c>
      <c r="G489" s="27">
        <f>7.7974 * CHOOSE(CONTROL!$C$32, $C$9, 100%, $E$9)</f>
        <v>7.7973999999999997</v>
      </c>
      <c r="H489" s="27">
        <f>14.9011 * CHOOSE(CONTROL!$C$32, $C$9, 100%, $E$9)</f>
        <v>14.9011</v>
      </c>
      <c r="I489" s="27">
        <f>14.9064 * CHOOSE(CONTROL!$C$32, $C$9, 100%, $E$9)</f>
        <v>14.9064</v>
      </c>
      <c r="J489" s="27">
        <f>14.9011 * CHOOSE(CONTROL!$C$32, $C$9, 100%, $E$9)</f>
        <v>14.9011</v>
      </c>
      <c r="K489" s="27">
        <f>14.9064 * CHOOSE(CONTROL!$C$32, $C$9, 100%, $E$9)</f>
        <v>14.9064</v>
      </c>
      <c r="L489" s="27">
        <f>7.7921 * CHOOSE(CONTROL!$C$32, $C$9, 100%, $E$9)</f>
        <v>7.7920999999999996</v>
      </c>
      <c r="M489" s="27">
        <f>7.7974 * CHOOSE(CONTROL!$C$32, $C$9, 100%, $E$9)</f>
        <v>7.7973999999999997</v>
      </c>
      <c r="N489" s="27">
        <f>7.7921 * CHOOSE(CONTROL!$C$32, $C$9, 100%, $E$9)</f>
        <v>7.7920999999999996</v>
      </c>
      <c r="O489" s="27">
        <f>7.7974 * CHOOSE(CONTROL!$C$32, $C$9, 100%, $E$9)</f>
        <v>7.7973999999999997</v>
      </c>
    </row>
    <row r="490" spans="1:15" ht="15" x14ac:dyDescent="0.2">
      <c r="A490" s="16">
        <v>55763</v>
      </c>
      <c r="B490" s="26">
        <f>6.9955 * CHOOSE(CONTROL!$C$32, $C$9, 100%, $E$9)</f>
        <v>6.9954999999999998</v>
      </c>
      <c r="C490" s="26">
        <f>6.9955 * CHOOSE(CONTROL!$C$32, $C$9, 100%, $E$9)</f>
        <v>6.9954999999999998</v>
      </c>
      <c r="D490" s="26">
        <f>6.997 * CHOOSE(CONTROL!$C$32, $C$9, 100%, $E$9)</f>
        <v>6.9969999999999999</v>
      </c>
      <c r="E490" s="27">
        <f>7.7721 * CHOOSE(CONTROL!$C$32, $C$9, 100%, $E$9)</f>
        <v>7.7721</v>
      </c>
      <c r="F490" s="27">
        <f>7.7721 * CHOOSE(CONTROL!$C$32, $C$9, 100%, $E$9)</f>
        <v>7.7721</v>
      </c>
      <c r="G490" s="27">
        <f>7.7774 * CHOOSE(CONTROL!$C$32, $C$9, 100%, $E$9)</f>
        <v>7.7774000000000001</v>
      </c>
      <c r="H490" s="27">
        <f>14.9321 * CHOOSE(CONTROL!$C$32, $C$9, 100%, $E$9)</f>
        <v>14.9321</v>
      </c>
      <c r="I490" s="27">
        <f>14.9374 * CHOOSE(CONTROL!$C$32, $C$9, 100%, $E$9)</f>
        <v>14.9374</v>
      </c>
      <c r="J490" s="27">
        <f>14.9321 * CHOOSE(CONTROL!$C$32, $C$9, 100%, $E$9)</f>
        <v>14.9321</v>
      </c>
      <c r="K490" s="27">
        <f>14.9374 * CHOOSE(CONTROL!$C$32, $C$9, 100%, $E$9)</f>
        <v>14.9374</v>
      </c>
      <c r="L490" s="27">
        <f>7.7721 * CHOOSE(CONTROL!$C$32, $C$9, 100%, $E$9)</f>
        <v>7.7721</v>
      </c>
      <c r="M490" s="27">
        <f>7.7774 * CHOOSE(CONTROL!$C$32, $C$9, 100%, $E$9)</f>
        <v>7.7774000000000001</v>
      </c>
      <c r="N490" s="27">
        <f>7.7721 * CHOOSE(CONTROL!$C$32, $C$9, 100%, $E$9)</f>
        <v>7.7721</v>
      </c>
      <c r="O490" s="27">
        <f>7.7774 * CHOOSE(CONTROL!$C$32, $C$9, 100%, $E$9)</f>
        <v>7.7774000000000001</v>
      </c>
    </row>
    <row r="491" spans="1:15" ht="15" x14ac:dyDescent="0.2">
      <c r="A491" s="16">
        <v>55793</v>
      </c>
      <c r="B491" s="26">
        <f>7.0017 * CHOOSE(CONTROL!$C$32, $C$9, 100%, $E$9)</f>
        <v>7.0016999999999996</v>
      </c>
      <c r="C491" s="26">
        <f>7.0017 * CHOOSE(CONTROL!$C$32, $C$9, 100%, $E$9)</f>
        <v>7.0016999999999996</v>
      </c>
      <c r="D491" s="26">
        <f>7.0027 * CHOOSE(CONTROL!$C$32, $C$9, 100%, $E$9)</f>
        <v>7.0026999999999999</v>
      </c>
      <c r="E491" s="27">
        <f>7.8302 * CHOOSE(CONTROL!$C$32, $C$9, 100%, $E$9)</f>
        <v>7.8301999999999996</v>
      </c>
      <c r="F491" s="27">
        <f>7.8302 * CHOOSE(CONTROL!$C$32, $C$9, 100%, $E$9)</f>
        <v>7.8301999999999996</v>
      </c>
      <c r="G491" s="27">
        <f>7.8338 * CHOOSE(CONTROL!$C$32, $C$9, 100%, $E$9)</f>
        <v>7.8338000000000001</v>
      </c>
      <c r="H491" s="27">
        <f>14.9632 * CHOOSE(CONTROL!$C$32, $C$9, 100%, $E$9)</f>
        <v>14.963200000000001</v>
      </c>
      <c r="I491" s="27">
        <f>14.9669 * CHOOSE(CONTROL!$C$32, $C$9, 100%, $E$9)</f>
        <v>14.966900000000001</v>
      </c>
      <c r="J491" s="27">
        <f>14.9632 * CHOOSE(CONTROL!$C$32, $C$9, 100%, $E$9)</f>
        <v>14.963200000000001</v>
      </c>
      <c r="K491" s="27">
        <f>14.9669 * CHOOSE(CONTROL!$C$32, $C$9, 100%, $E$9)</f>
        <v>14.966900000000001</v>
      </c>
      <c r="L491" s="27">
        <f>7.8302 * CHOOSE(CONTROL!$C$32, $C$9, 100%, $E$9)</f>
        <v>7.8301999999999996</v>
      </c>
      <c r="M491" s="27">
        <f>7.8338 * CHOOSE(CONTROL!$C$32, $C$9, 100%, $E$9)</f>
        <v>7.8338000000000001</v>
      </c>
      <c r="N491" s="27">
        <f>7.8302 * CHOOSE(CONTROL!$C$32, $C$9, 100%, $E$9)</f>
        <v>7.8301999999999996</v>
      </c>
      <c r="O491" s="27">
        <f>7.8338 * CHOOSE(CONTROL!$C$32, $C$9, 100%, $E$9)</f>
        <v>7.8338000000000001</v>
      </c>
    </row>
    <row r="492" spans="1:15" ht="15" x14ac:dyDescent="0.2">
      <c r="A492" s="16">
        <v>55824</v>
      </c>
      <c r="B492" s="26">
        <f>7.0047 * CHOOSE(CONTROL!$C$32, $C$9, 100%, $E$9)</f>
        <v>7.0046999999999997</v>
      </c>
      <c r="C492" s="26">
        <f>7.0047 * CHOOSE(CONTROL!$C$32, $C$9, 100%, $E$9)</f>
        <v>7.0046999999999997</v>
      </c>
      <c r="D492" s="26">
        <f>7.0058 * CHOOSE(CONTROL!$C$32, $C$9, 100%, $E$9)</f>
        <v>7.0057999999999998</v>
      </c>
      <c r="E492" s="27">
        <f>7.868 * CHOOSE(CONTROL!$C$32, $C$9, 100%, $E$9)</f>
        <v>7.8680000000000003</v>
      </c>
      <c r="F492" s="27">
        <f>7.868 * CHOOSE(CONTROL!$C$32, $C$9, 100%, $E$9)</f>
        <v>7.8680000000000003</v>
      </c>
      <c r="G492" s="27">
        <f>7.8716 * CHOOSE(CONTROL!$C$32, $C$9, 100%, $E$9)</f>
        <v>7.8715999999999999</v>
      </c>
      <c r="H492" s="27">
        <f>14.9944 * CHOOSE(CONTROL!$C$32, $C$9, 100%, $E$9)</f>
        <v>14.994400000000001</v>
      </c>
      <c r="I492" s="27">
        <f>14.998 * CHOOSE(CONTROL!$C$32, $C$9, 100%, $E$9)</f>
        <v>14.997999999999999</v>
      </c>
      <c r="J492" s="27">
        <f>14.9944 * CHOOSE(CONTROL!$C$32, $C$9, 100%, $E$9)</f>
        <v>14.994400000000001</v>
      </c>
      <c r="K492" s="27">
        <f>14.998 * CHOOSE(CONTROL!$C$32, $C$9, 100%, $E$9)</f>
        <v>14.997999999999999</v>
      </c>
      <c r="L492" s="27">
        <f>7.868 * CHOOSE(CONTROL!$C$32, $C$9, 100%, $E$9)</f>
        <v>7.8680000000000003</v>
      </c>
      <c r="M492" s="27">
        <f>7.8716 * CHOOSE(CONTROL!$C$32, $C$9, 100%, $E$9)</f>
        <v>7.8715999999999999</v>
      </c>
      <c r="N492" s="27">
        <f>7.868 * CHOOSE(CONTROL!$C$32, $C$9, 100%, $E$9)</f>
        <v>7.8680000000000003</v>
      </c>
      <c r="O492" s="27">
        <f>7.8716 * CHOOSE(CONTROL!$C$32, $C$9, 100%, $E$9)</f>
        <v>7.8715999999999999</v>
      </c>
    </row>
    <row r="493" spans="1:15" ht="15" x14ac:dyDescent="0.2">
      <c r="A493" s="16">
        <v>55854</v>
      </c>
      <c r="B493" s="26">
        <f>7.0047 * CHOOSE(CONTROL!$C$32, $C$9, 100%, $E$9)</f>
        <v>7.0046999999999997</v>
      </c>
      <c r="C493" s="26">
        <f>7.0047 * CHOOSE(CONTROL!$C$32, $C$9, 100%, $E$9)</f>
        <v>7.0046999999999997</v>
      </c>
      <c r="D493" s="26">
        <f>7.0058 * CHOOSE(CONTROL!$C$32, $C$9, 100%, $E$9)</f>
        <v>7.0057999999999998</v>
      </c>
      <c r="E493" s="27">
        <f>7.7787 * CHOOSE(CONTROL!$C$32, $C$9, 100%, $E$9)</f>
        <v>7.7786999999999997</v>
      </c>
      <c r="F493" s="27">
        <f>7.7787 * CHOOSE(CONTROL!$C$32, $C$9, 100%, $E$9)</f>
        <v>7.7786999999999997</v>
      </c>
      <c r="G493" s="27">
        <f>7.7823 * CHOOSE(CONTROL!$C$32, $C$9, 100%, $E$9)</f>
        <v>7.7823000000000002</v>
      </c>
      <c r="H493" s="27">
        <f>15.0256 * CHOOSE(CONTROL!$C$32, $C$9, 100%, $E$9)</f>
        <v>15.025600000000001</v>
      </c>
      <c r="I493" s="27">
        <f>15.0293 * CHOOSE(CONTROL!$C$32, $C$9, 100%, $E$9)</f>
        <v>15.029299999999999</v>
      </c>
      <c r="J493" s="27">
        <f>15.0256 * CHOOSE(CONTROL!$C$32, $C$9, 100%, $E$9)</f>
        <v>15.025600000000001</v>
      </c>
      <c r="K493" s="27">
        <f>15.0293 * CHOOSE(CONTROL!$C$32, $C$9, 100%, $E$9)</f>
        <v>15.029299999999999</v>
      </c>
      <c r="L493" s="27">
        <f>7.7787 * CHOOSE(CONTROL!$C$32, $C$9, 100%, $E$9)</f>
        <v>7.7786999999999997</v>
      </c>
      <c r="M493" s="27">
        <f>7.7823 * CHOOSE(CONTROL!$C$32, $C$9, 100%, $E$9)</f>
        <v>7.7823000000000002</v>
      </c>
      <c r="N493" s="27">
        <f>7.7787 * CHOOSE(CONTROL!$C$32, $C$9, 100%, $E$9)</f>
        <v>7.7786999999999997</v>
      </c>
      <c r="O493" s="27">
        <f>7.7823 * CHOOSE(CONTROL!$C$32, $C$9, 100%, $E$9)</f>
        <v>7.7823000000000002</v>
      </c>
    </row>
    <row r="494" spans="1:15" ht="15" x14ac:dyDescent="0.2">
      <c r="A494" s="16">
        <v>55885</v>
      </c>
      <c r="B494" s="26">
        <f>7.0575 * CHOOSE(CONTROL!$C$32, $C$9, 100%, $E$9)</f>
        <v>7.0575000000000001</v>
      </c>
      <c r="C494" s="26">
        <f>7.0575 * CHOOSE(CONTROL!$C$32, $C$9, 100%, $E$9)</f>
        <v>7.0575000000000001</v>
      </c>
      <c r="D494" s="26">
        <f>7.0586 * CHOOSE(CONTROL!$C$32, $C$9, 100%, $E$9)</f>
        <v>7.0586000000000002</v>
      </c>
      <c r="E494" s="27">
        <f>7.9087 * CHOOSE(CONTROL!$C$32, $C$9, 100%, $E$9)</f>
        <v>7.9086999999999996</v>
      </c>
      <c r="F494" s="27">
        <f>7.9087 * CHOOSE(CONTROL!$C$32, $C$9, 100%, $E$9)</f>
        <v>7.9086999999999996</v>
      </c>
      <c r="G494" s="27">
        <f>7.9124 * CHOOSE(CONTROL!$C$32, $C$9, 100%, $E$9)</f>
        <v>7.9123999999999999</v>
      </c>
      <c r="H494" s="27">
        <f>15.057 * CHOOSE(CONTROL!$C$32, $C$9, 100%, $E$9)</f>
        <v>15.057</v>
      </c>
      <c r="I494" s="27">
        <f>15.0606 * CHOOSE(CONTROL!$C$32, $C$9, 100%, $E$9)</f>
        <v>15.060600000000001</v>
      </c>
      <c r="J494" s="27">
        <f>15.057 * CHOOSE(CONTROL!$C$32, $C$9, 100%, $E$9)</f>
        <v>15.057</v>
      </c>
      <c r="K494" s="27">
        <f>15.0606 * CHOOSE(CONTROL!$C$32, $C$9, 100%, $E$9)</f>
        <v>15.060600000000001</v>
      </c>
      <c r="L494" s="27">
        <f>7.9087 * CHOOSE(CONTROL!$C$32, $C$9, 100%, $E$9)</f>
        <v>7.9086999999999996</v>
      </c>
      <c r="M494" s="27">
        <f>7.9124 * CHOOSE(CONTROL!$C$32, $C$9, 100%, $E$9)</f>
        <v>7.9123999999999999</v>
      </c>
      <c r="N494" s="27">
        <f>7.9087 * CHOOSE(CONTROL!$C$32, $C$9, 100%, $E$9)</f>
        <v>7.9086999999999996</v>
      </c>
      <c r="O494" s="27">
        <f>7.9124 * CHOOSE(CONTROL!$C$32, $C$9, 100%, $E$9)</f>
        <v>7.9123999999999999</v>
      </c>
    </row>
    <row r="495" spans="1:15" ht="15" x14ac:dyDescent="0.2">
      <c r="A495" s="16">
        <v>55916</v>
      </c>
      <c r="B495" s="26">
        <f>7.0545 * CHOOSE(CONTROL!$C$32, $C$9, 100%, $E$9)</f>
        <v>7.0545</v>
      </c>
      <c r="C495" s="26">
        <f>7.0545 * CHOOSE(CONTROL!$C$32, $C$9, 100%, $E$9)</f>
        <v>7.0545</v>
      </c>
      <c r="D495" s="26">
        <f>7.0555 * CHOOSE(CONTROL!$C$32, $C$9, 100%, $E$9)</f>
        <v>7.0555000000000003</v>
      </c>
      <c r="E495" s="27">
        <f>7.7323 * CHOOSE(CONTROL!$C$32, $C$9, 100%, $E$9)</f>
        <v>7.7323000000000004</v>
      </c>
      <c r="F495" s="27">
        <f>7.7323 * CHOOSE(CONTROL!$C$32, $C$9, 100%, $E$9)</f>
        <v>7.7323000000000004</v>
      </c>
      <c r="G495" s="27">
        <f>7.7359 * CHOOSE(CONTROL!$C$32, $C$9, 100%, $E$9)</f>
        <v>7.7359</v>
      </c>
      <c r="H495" s="27">
        <f>15.0883 * CHOOSE(CONTROL!$C$32, $C$9, 100%, $E$9)</f>
        <v>15.0883</v>
      </c>
      <c r="I495" s="27">
        <f>15.0919 * CHOOSE(CONTROL!$C$32, $C$9, 100%, $E$9)</f>
        <v>15.091900000000001</v>
      </c>
      <c r="J495" s="27">
        <f>15.0883 * CHOOSE(CONTROL!$C$32, $C$9, 100%, $E$9)</f>
        <v>15.0883</v>
      </c>
      <c r="K495" s="27">
        <f>15.0919 * CHOOSE(CONTROL!$C$32, $C$9, 100%, $E$9)</f>
        <v>15.091900000000001</v>
      </c>
      <c r="L495" s="27">
        <f>7.7323 * CHOOSE(CONTROL!$C$32, $C$9, 100%, $E$9)</f>
        <v>7.7323000000000004</v>
      </c>
      <c r="M495" s="27">
        <f>7.7359 * CHOOSE(CONTROL!$C$32, $C$9, 100%, $E$9)</f>
        <v>7.7359</v>
      </c>
      <c r="N495" s="27">
        <f>7.7323 * CHOOSE(CONTROL!$C$32, $C$9, 100%, $E$9)</f>
        <v>7.7323000000000004</v>
      </c>
      <c r="O495" s="27">
        <f>7.7359 * CHOOSE(CONTROL!$C$32, $C$9, 100%, $E$9)</f>
        <v>7.7359</v>
      </c>
    </row>
    <row r="496" spans="1:15" ht="15" x14ac:dyDescent="0.2">
      <c r="A496" s="16">
        <v>55944</v>
      </c>
      <c r="B496" s="26">
        <f>7.0514 * CHOOSE(CONTROL!$C$32, $C$9, 100%, $E$9)</f>
        <v>7.0514000000000001</v>
      </c>
      <c r="C496" s="26">
        <f>7.0514 * CHOOSE(CONTROL!$C$32, $C$9, 100%, $E$9)</f>
        <v>7.0514000000000001</v>
      </c>
      <c r="D496" s="26">
        <f>7.0525 * CHOOSE(CONTROL!$C$32, $C$9, 100%, $E$9)</f>
        <v>7.0525000000000002</v>
      </c>
      <c r="E496" s="27">
        <f>7.8676 * CHOOSE(CONTROL!$C$32, $C$9, 100%, $E$9)</f>
        <v>7.8676000000000004</v>
      </c>
      <c r="F496" s="27">
        <f>7.8676 * CHOOSE(CONTROL!$C$32, $C$9, 100%, $E$9)</f>
        <v>7.8676000000000004</v>
      </c>
      <c r="G496" s="27">
        <f>7.8712 * CHOOSE(CONTROL!$C$32, $C$9, 100%, $E$9)</f>
        <v>7.8712</v>
      </c>
      <c r="H496" s="27">
        <f>15.1198 * CHOOSE(CONTROL!$C$32, $C$9, 100%, $E$9)</f>
        <v>15.1198</v>
      </c>
      <c r="I496" s="27">
        <f>15.1234 * CHOOSE(CONTROL!$C$32, $C$9, 100%, $E$9)</f>
        <v>15.1234</v>
      </c>
      <c r="J496" s="27">
        <f>15.1198 * CHOOSE(CONTROL!$C$32, $C$9, 100%, $E$9)</f>
        <v>15.1198</v>
      </c>
      <c r="K496" s="27">
        <f>15.1234 * CHOOSE(CONTROL!$C$32, $C$9, 100%, $E$9)</f>
        <v>15.1234</v>
      </c>
      <c r="L496" s="27">
        <f>7.8676 * CHOOSE(CONTROL!$C$32, $C$9, 100%, $E$9)</f>
        <v>7.8676000000000004</v>
      </c>
      <c r="M496" s="27">
        <f>7.8712 * CHOOSE(CONTROL!$C$32, $C$9, 100%, $E$9)</f>
        <v>7.8712</v>
      </c>
      <c r="N496" s="27">
        <f>7.8676 * CHOOSE(CONTROL!$C$32, $C$9, 100%, $E$9)</f>
        <v>7.8676000000000004</v>
      </c>
      <c r="O496" s="27">
        <f>7.8712 * CHOOSE(CONTROL!$C$32, $C$9, 100%, $E$9)</f>
        <v>7.8712</v>
      </c>
    </row>
    <row r="497" spans="1:15" ht="15" x14ac:dyDescent="0.2">
      <c r="A497" s="16">
        <v>55975</v>
      </c>
      <c r="B497" s="26">
        <f>7.052 * CHOOSE(CONTROL!$C$32, $C$9, 100%, $E$9)</f>
        <v>7.0519999999999996</v>
      </c>
      <c r="C497" s="26">
        <f>7.052 * CHOOSE(CONTROL!$C$32, $C$9, 100%, $E$9)</f>
        <v>7.0519999999999996</v>
      </c>
      <c r="D497" s="26">
        <f>7.0531 * CHOOSE(CONTROL!$C$32, $C$9, 100%, $E$9)</f>
        <v>7.0530999999999997</v>
      </c>
      <c r="E497" s="27">
        <f>8.011 * CHOOSE(CONTROL!$C$32, $C$9, 100%, $E$9)</f>
        <v>8.0109999999999992</v>
      </c>
      <c r="F497" s="27">
        <f>8.011 * CHOOSE(CONTROL!$C$32, $C$9, 100%, $E$9)</f>
        <v>8.0109999999999992</v>
      </c>
      <c r="G497" s="27">
        <f>8.0146 * CHOOSE(CONTROL!$C$32, $C$9, 100%, $E$9)</f>
        <v>8.0145999999999997</v>
      </c>
      <c r="H497" s="27">
        <f>15.1513 * CHOOSE(CONTROL!$C$32, $C$9, 100%, $E$9)</f>
        <v>15.151300000000001</v>
      </c>
      <c r="I497" s="27">
        <f>15.1549 * CHOOSE(CONTROL!$C$32, $C$9, 100%, $E$9)</f>
        <v>15.1549</v>
      </c>
      <c r="J497" s="27">
        <f>15.1513 * CHOOSE(CONTROL!$C$32, $C$9, 100%, $E$9)</f>
        <v>15.151300000000001</v>
      </c>
      <c r="K497" s="27">
        <f>15.1549 * CHOOSE(CONTROL!$C$32, $C$9, 100%, $E$9)</f>
        <v>15.1549</v>
      </c>
      <c r="L497" s="27">
        <f>8.011 * CHOOSE(CONTROL!$C$32, $C$9, 100%, $E$9)</f>
        <v>8.0109999999999992</v>
      </c>
      <c r="M497" s="27">
        <f>8.0146 * CHOOSE(CONTROL!$C$32, $C$9, 100%, $E$9)</f>
        <v>8.0145999999999997</v>
      </c>
      <c r="N497" s="27">
        <f>8.011 * CHOOSE(CONTROL!$C$32, $C$9, 100%, $E$9)</f>
        <v>8.0109999999999992</v>
      </c>
      <c r="O497" s="27">
        <f>8.0146 * CHOOSE(CONTROL!$C$32, $C$9, 100%, $E$9)</f>
        <v>8.0145999999999997</v>
      </c>
    </row>
    <row r="498" spans="1:15" ht="15" x14ac:dyDescent="0.2">
      <c r="A498" s="16">
        <v>56005</v>
      </c>
      <c r="B498" s="26">
        <f>7.052 * CHOOSE(CONTROL!$C$32, $C$9, 100%, $E$9)</f>
        <v>7.0519999999999996</v>
      </c>
      <c r="C498" s="26">
        <f>7.052 * CHOOSE(CONTROL!$C$32, $C$9, 100%, $E$9)</f>
        <v>7.0519999999999996</v>
      </c>
      <c r="D498" s="26">
        <f>7.0536 * CHOOSE(CONTROL!$C$32, $C$9, 100%, $E$9)</f>
        <v>7.0536000000000003</v>
      </c>
      <c r="E498" s="27">
        <f>8.0663 * CHOOSE(CONTROL!$C$32, $C$9, 100%, $E$9)</f>
        <v>8.0663</v>
      </c>
      <c r="F498" s="27">
        <f>8.0663 * CHOOSE(CONTROL!$C$32, $C$9, 100%, $E$9)</f>
        <v>8.0663</v>
      </c>
      <c r="G498" s="27">
        <f>8.0716 * CHOOSE(CONTROL!$C$32, $C$9, 100%, $E$9)</f>
        <v>8.0716000000000001</v>
      </c>
      <c r="H498" s="27">
        <f>15.1828 * CHOOSE(CONTROL!$C$32, $C$9, 100%, $E$9)</f>
        <v>15.1828</v>
      </c>
      <c r="I498" s="27">
        <f>15.1881 * CHOOSE(CONTROL!$C$32, $C$9, 100%, $E$9)</f>
        <v>15.1881</v>
      </c>
      <c r="J498" s="27">
        <f>15.1828 * CHOOSE(CONTROL!$C$32, $C$9, 100%, $E$9)</f>
        <v>15.1828</v>
      </c>
      <c r="K498" s="27">
        <f>15.1881 * CHOOSE(CONTROL!$C$32, $C$9, 100%, $E$9)</f>
        <v>15.1881</v>
      </c>
      <c r="L498" s="27">
        <f>8.0663 * CHOOSE(CONTROL!$C$32, $C$9, 100%, $E$9)</f>
        <v>8.0663</v>
      </c>
      <c r="M498" s="27">
        <f>8.0716 * CHOOSE(CONTROL!$C$32, $C$9, 100%, $E$9)</f>
        <v>8.0716000000000001</v>
      </c>
      <c r="N498" s="27">
        <f>8.0663 * CHOOSE(CONTROL!$C$32, $C$9, 100%, $E$9)</f>
        <v>8.0663</v>
      </c>
      <c r="O498" s="27">
        <f>8.0716 * CHOOSE(CONTROL!$C$32, $C$9, 100%, $E$9)</f>
        <v>8.0716000000000001</v>
      </c>
    </row>
    <row r="499" spans="1:15" ht="15" x14ac:dyDescent="0.2">
      <c r="A499" s="16">
        <v>56036</v>
      </c>
      <c r="B499" s="26">
        <f>7.0581 * CHOOSE(CONTROL!$C$32, $C$9, 100%, $E$9)</f>
        <v>7.0580999999999996</v>
      </c>
      <c r="C499" s="26">
        <f>7.0581 * CHOOSE(CONTROL!$C$32, $C$9, 100%, $E$9)</f>
        <v>7.0580999999999996</v>
      </c>
      <c r="D499" s="26">
        <f>7.0597 * CHOOSE(CONTROL!$C$32, $C$9, 100%, $E$9)</f>
        <v>7.0597000000000003</v>
      </c>
      <c r="E499" s="27">
        <f>8.0152 * CHOOSE(CONTROL!$C$32, $C$9, 100%, $E$9)</f>
        <v>8.0152000000000001</v>
      </c>
      <c r="F499" s="27">
        <f>8.0152 * CHOOSE(CONTROL!$C$32, $C$9, 100%, $E$9)</f>
        <v>8.0152000000000001</v>
      </c>
      <c r="G499" s="27">
        <f>8.0205 * CHOOSE(CONTROL!$C$32, $C$9, 100%, $E$9)</f>
        <v>8.0205000000000002</v>
      </c>
      <c r="H499" s="27">
        <f>15.2145 * CHOOSE(CONTROL!$C$32, $C$9, 100%, $E$9)</f>
        <v>15.214499999999999</v>
      </c>
      <c r="I499" s="27">
        <f>15.2197 * CHOOSE(CONTROL!$C$32, $C$9, 100%, $E$9)</f>
        <v>15.2197</v>
      </c>
      <c r="J499" s="27">
        <f>15.2145 * CHOOSE(CONTROL!$C$32, $C$9, 100%, $E$9)</f>
        <v>15.214499999999999</v>
      </c>
      <c r="K499" s="27">
        <f>15.2197 * CHOOSE(CONTROL!$C$32, $C$9, 100%, $E$9)</f>
        <v>15.2197</v>
      </c>
      <c r="L499" s="27">
        <f>8.0152 * CHOOSE(CONTROL!$C$32, $C$9, 100%, $E$9)</f>
        <v>8.0152000000000001</v>
      </c>
      <c r="M499" s="27">
        <f>8.0205 * CHOOSE(CONTROL!$C$32, $C$9, 100%, $E$9)</f>
        <v>8.0205000000000002</v>
      </c>
      <c r="N499" s="27">
        <f>8.0152 * CHOOSE(CONTROL!$C$32, $C$9, 100%, $E$9)</f>
        <v>8.0152000000000001</v>
      </c>
      <c r="O499" s="27">
        <f>8.0205 * CHOOSE(CONTROL!$C$32, $C$9, 100%, $E$9)</f>
        <v>8.0205000000000002</v>
      </c>
    </row>
    <row r="500" spans="1:15" ht="15" x14ac:dyDescent="0.2">
      <c r="A500" s="16">
        <v>56066</v>
      </c>
      <c r="B500" s="26">
        <f>7.1502 * CHOOSE(CONTROL!$C$32, $C$9, 100%, $E$9)</f>
        <v>7.1501999999999999</v>
      </c>
      <c r="C500" s="26">
        <f>7.1502 * CHOOSE(CONTROL!$C$32, $C$9, 100%, $E$9)</f>
        <v>7.1501999999999999</v>
      </c>
      <c r="D500" s="26">
        <f>7.1518 * CHOOSE(CONTROL!$C$32, $C$9, 100%, $E$9)</f>
        <v>7.1517999999999997</v>
      </c>
      <c r="E500" s="27">
        <f>8.1252 * CHOOSE(CONTROL!$C$32, $C$9, 100%, $E$9)</f>
        <v>8.1251999999999995</v>
      </c>
      <c r="F500" s="27">
        <f>8.1252 * CHOOSE(CONTROL!$C$32, $C$9, 100%, $E$9)</f>
        <v>8.1251999999999995</v>
      </c>
      <c r="G500" s="27">
        <f>8.1305 * CHOOSE(CONTROL!$C$32, $C$9, 100%, $E$9)</f>
        <v>8.1304999999999996</v>
      </c>
      <c r="H500" s="27">
        <f>15.2461 * CHOOSE(CONTROL!$C$32, $C$9, 100%, $E$9)</f>
        <v>15.2461</v>
      </c>
      <c r="I500" s="27">
        <f>15.2514 * CHOOSE(CONTROL!$C$32, $C$9, 100%, $E$9)</f>
        <v>15.2514</v>
      </c>
      <c r="J500" s="27">
        <f>15.2461 * CHOOSE(CONTROL!$C$32, $C$9, 100%, $E$9)</f>
        <v>15.2461</v>
      </c>
      <c r="K500" s="27">
        <f>15.2514 * CHOOSE(CONTROL!$C$32, $C$9, 100%, $E$9)</f>
        <v>15.2514</v>
      </c>
      <c r="L500" s="27">
        <f>8.1252 * CHOOSE(CONTROL!$C$32, $C$9, 100%, $E$9)</f>
        <v>8.1251999999999995</v>
      </c>
      <c r="M500" s="27">
        <f>8.1305 * CHOOSE(CONTROL!$C$32, $C$9, 100%, $E$9)</f>
        <v>8.1304999999999996</v>
      </c>
      <c r="N500" s="27">
        <f>8.1252 * CHOOSE(CONTROL!$C$32, $C$9, 100%, $E$9)</f>
        <v>8.1251999999999995</v>
      </c>
      <c r="O500" s="27">
        <f>8.1305 * CHOOSE(CONTROL!$C$32, $C$9, 100%, $E$9)</f>
        <v>8.1304999999999996</v>
      </c>
    </row>
    <row r="501" spans="1:15" ht="15" x14ac:dyDescent="0.2">
      <c r="A501" s="16">
        <v>56097</v>
      </c>
      <c r="B501" s="26">
        <f>7.1569 * CHOOSE(CONTROL!$C$32, $C$9, 100%, $E$9)</f>
        <v>7.1569000000000003</v>
      </c>
      <c r="C501" s="26">
        <f>7.1569 * CHOOSE(CONTROL!$C$32, $C$9, 100%, $E$9)</f>
        <v>7.1569000000000003</v>
      </c>
      <c r="D501" s="26">
        <f>7.1585 * CHOOSE(CONTROL!$C$32, $C$9, 100%, $E$9)</f>
        <v>7.1585000000000001</v>
      </c>
      <c r="E501" s="27">
        <f>7.9639 * CHOOSE(CONTROL!$C$32, $C$9, 100%, $E$9)</f>
        <v>7.9638999999999998</v>
      </c>
      <c r="F501" s="27">
        <f>7.9639 * CHOOSE(CONTROL!$C$32, $C$9, 100%, $E$9)</f>
        <v>7.9638999999999998</v>
      </c>
      <c r="G501" s="27">
        <f>7.9692 * CHOOSE(CONTROL!$C$32, $C$9, 100%, $E$9)</f>
        <v>7.9691999999999998</v>
      </c>
      <c r="H501" s="27">
        <f>15.2779 * CHOOSE(CONTROL!$C$32, $C$9, 100%, $E$9)</f>
        <v>15.277900000000001</v>
      </c>
      <c r="I501" s="27">
        <f>15.2832 * CHOOSE(CONTROL!$C$32, $C$9, 100%, $E$9)</f>
        <v>15.283200000000001</v>
      </c>
      <c r="J501" s="27">
        <f>15.2779 * CHOOSE(CONTROL!$C$32, $C$9, 100%, $E$9)</f>
        <v>15.277900000000001</v>
      </c>
      <c r="K501" s="27">
        <f>15.2832 * CHOOSE(CONTROL!$C$32, $C$9, 100%, $E$9)</f>
        <v>15.283200000000001</v>
      </c>
      <c r="L501" s="27">
        <f>7.9639 * CHOOSE(CONTROL!$C$32, $C$9, 100%, $E$9)</f>
        <v>7.9638999999999998</v>
      </c>
      <c r="M501" s="27">
        <f>7.9692 * CHOOSE(CONTROL!$C$32, $C$9, 100%, $E$9)</f>
        <v>7.9691999999999998</v>
      </c>
      <c r="N501" s="27">
        <f>7.9639 * CHOOSE(CONTROL!$C$32, $C$9, 100%, $E$9)</f>
        <v>7.9638999999999998</v>
      </c>
      <c r="O501" s="27">
        <f>7.9692 * CHOOSE(CONTROL!$C$32, $C$9, 100%, $E$9)</f>
        <v>7.9691999999999998</v>
      </c>
    </row>
    <row r="502" spans="1:15" ht="15" x14ac:dyDescent="0.2">
      <c r="A502" s="16">
        <v>56128</v>
      </c>
      <c r="B502" s="26">
        <f>7.1539 * CHOOSE(CONTROL!$C$32, $C$9, 100%, $E$9)</f>
        <v>7.1539000000000001</v>
      </c>
      <c r="C502" s="26">
        <f>7.1539 * CHOOSE(CONTROL!$C$32, $C$9, 100%, $E$9)</f>
        <v>7.1539000000000001</v>
      </c>
      <c r="D502" s="26">
        <f>7.1554 * CHOOSE(CONTROL!$C$32, $C$9, 100%, $E$9)</f>
        <v>7.1554000000000002</v>
      </c>
      <c r="E502" s="27">
        <f>7.9433 * CHOOSE(CONTROL!$C$32, $C$9, 100%, $E$9)</f>
        <v>7.9432999999999998</v>
      </c>
      <c r="F502" s="27">
        <f>7.9433 * CHOOSE(CONTROL!$C$32, $C$9, 100%, $E$9)</f>
        <v>7.9432999999999998</v>
      </c>
      <c r="G502" s="27">
        <f>7.9486 * CHOOSE(CONTROL!$C$32, $C$9, 100%, $E$9)</f>
        <v>7.9485999999999999</v>
      </c>
      <c r="H502" s="27">
        <f>15.3097 * CHOOSE(CONTROL!$C$32, $C$9, 100%, $E$9)</f>
        <v>15.309699999999999</v>
      </c>
      <c r="I502" s="27">
        <f>15.315 * CHOOSE(CONTROL!$C$32, $C$9, 100%, $E$9)</f>
        <v>15.315</v>
      </c>
      <c r="J502" s="27">
        <f>15.3097 * CHOOSE(CONTROL!$C$32, $C$9, 100%, $E$9)</f>
        <v>15.309699999999999</v>
      </c>
      <c r="K502" s="27">
        <f>15.315 * CHOOSE(CONTROL!$C$32, $C$9, 100%, $E$9)</f>
        <v>15.315</v>
      </c>
      <c r="L502" s="27">
        <f>7.9433 * CHOOSE(CONTROL!$C$32, $C$9, 100%, $E$9)</f>
        <v>7.9432999999999998</v>
      </c>
      <c r="M502" s="27">
        <f>7.9486 * CHOOSE(CONTROL!$C$32, $C$9, 100%, $E$9)</f>
        <v>7.9485999999999999</v>
      </c>
      <c r="N502" s="27">
        <f>7.9433 * CHOOSE(CONTROL!$C$32, $C$9, 100%, $E$9)</f>
        <v>7.9432999999999998</v>
      </c>
      <c r="O502" s="27">
        <f>7.9486 * CHOOSE(CONTROL!$C$32, $C$9, 100%, $E$9)</f>
        <v>7.9485999999999999</v>
      </c>
    </row>
    <row r="503" spans="1:15" ht="15" x14ac:dyDescent="0.2">
      <c r="A503" s="16">
        <v>56158</v>
      </c>
      <c r="B503" s="26">
        <f>7.1607 * CHOOSE(CONTROL!$C$32, $C$9, 100%, $E$9)</f>
        <v>7.1607000000000003</v>
      </c>
      <c r="C503" s="26">
        <f>7.1607 * CHOOSE(CONTROL!$C$32, $C$9, 100%, $E$9)</f>
        <v>7.1607000000000003</v>
      </c>
      <c r="D503" s="26">
        <f>7.1617 * CHOOSE(CONTROL!$C$32, $C$9, 100%, $E$9)</f>
        <v>7.1616999999999997</v>
      </c>
      <c r="E503" s="27">
        <f>8.0037 * CHOOSE(CONTROL!$C$32, $C$9, 100%, $E$9)</f>
        <v>8.0037000000000003</v>
      </c>
      <c r="F503" s="27">
        <f>8.0037 * CHOOSE(CONTROL!$C$32, $C$9, 100%, $E$9)</f>
        <v>8.0037000000000003</v>
      </c>
      <c r="G503" s="27">
        <f>8.0073 * CHOOSE(CONTROL!$C$32, $C$9, 100%, $E$9)</f>
        <v>8.0073000000000008</v>
      </c>
      <c r="H503" s="27">
        <f>15.3416 * CHOOSE(CONTROL!$C$32, $C$9, 100%, $E$9)</f>
        <v>15.3416</v>
      </c>
      <c r="I503" s="27">
        <f>15.3453 * CHOOSE(CONTROL!$C$32, $C$9, 100%, $E$9)</f>
        <v>15.3453</v>
      </c>
      <c r="J503" s="27">
        <f>15.3416 * CHOOSE(CONTROL!$C$32, $C$9, 100%, $E$9)</f>
        <v>15.3416</v>
      </c>
      <c r="K503" s="27">
        <f>15.3453 * CHOOSE(CONTROL!$C$32, $C$9, 100%, $E$9)</f>
        <v>15.3453</v>
      </c>
      <c r="L503" s="27">
        <f>8.0037 * CHOOSE(CONTROL!$C$32, $C$9, 100%, $E$9)</f>
        <v>8.0037000000000003</v>
      </c>
      <c r="M503" s="27">
        <f>8.0073 * CHOOSE(CONTROL!$C$32, $C$9, 100%, $E$9)</f>
        <v>8.0073000000000008</v>
      </c>
      <c r="N503" s="27">
        <f>8.0037 * CHOOSE(CONTROL!$C$32, $C$9, 100%, $E$9)</f>
        <v>8.0037000000000003</v>
      </c>
      <c r="O503" s="27">
        <f>8.0073 * CHOOSE(CONTROL!$C$32, $C$9, 100%, $E$9)</f>
        <v>8.0073000000000008</v>
      </c>
    </row>
    <row r="504" spans="1:15" ht="15" x14ac:dyDescent="0.2">
      <c r="A504" s="16">
        <v>56189</v>
      </c>
      <c r="B504" s="26">
        <f>7.1637 * CHOOSE(CONTROL!$C$32, $C$9, 100%, $E$9)</f>
        <v>7.1637000000000004</v>
      </c>
      <c r="C504" s="26">
        <f>7.1637 * CHOOSE(CONTROL!$C$32, $C$9, 100%, $E$9)</f>
        <v>7.1637000000000004</v>
      </c>
      <c r="D504" s="26">
        <f>7.1648 * CHOOSE(CONTROL!$C$32, $C$9, 100%, $E$9)</f>
        <v>7.1647999999999996</v>
      </c>
      <c r="E504" s="27">
        <f>8.0427 * CHOOSE(CONTROL!$C$32, $C$9, 100%, $E$9)</f>
        <v>8.0427</v>
      </c>
      <c r="F504" s="27">
        <f>8.0427 * CHOOSE(CONTROL!$C$32, $C$9, 100%, $E$9)</f>
        <v>8.0427</v>
      </c>
      <c r="G504" s="27">
        <f>8.0463 * CHOOSE(CONTROL!$C$32, $C$9, 100%, $E$9)</f>
        <v>8.0463000000000005</v>
      </c>
      <c r="H504" s="27">
        <f>15.3736 * CHOOSE(CONTROL!$C$32, $C$9, 100%, $E$9)</f>
        <v>15.3736</v>
      </c>
      <c r="I504" s="27">
        <f>15.3772 * CHOOSE(CONTROL!$C$32, $C$9, 100%, $E$9)</f>
        <v>15.3772</v>
      </c>
      <c r="J504" s="27">
        <f>15.3736 * CHOOSE(CONTROL!$C$32, $C$9, 100%, $E$9)</f>
        <v>15.3736</v>
      </c>
      <c r="K504" s="27">
        <f>15.3772 * CHOOSE(CONTROL!$C$32, $C$9, 100%, $E$9)</f>
        <v>15.3772</v>
      </c>
      <c r="L504" s="27">
        <f>8.0427 * CHOOSE(CONTROL!$C$32, $C$9, 100%, $E$9)</f>
        <v>8.0427</v>
      </c>
      <c r="M504" s="27">
        <f>8.0463 * CHOOSE(CONTROL!$C$32, $C$9, 100%, $E$9)</f>
        <v>8.0463000000000005</v>
      </c>
      <c r="N504" s="27">
        <f>8.0427 * CHOOSE(CONTROL!$C$32, $C$9, 100%, $E$9)</f>
        <v>8.0427</v>
      </c>
      <c r="O504" s="27">
        <f>8.0463 * CHOOSE(CONTROL!$C$32, $C$9, 100%, $E$9)</f>
        <v>8.0463000000000005</v>
      </c>
    </row>
    <row r="505" spans="1:15" ht="15" x14ac:dyDescent="0.2">
      <c r="A505" s="16">
        <v>56219</v>
      </c>
      <c r="B505" s="26">
        <f>7.1637 * CHOOSE(CONTROL!$C$32, $C$9, 100%, $E$9)</f>
        <v>7.1637000000000004</v>
      </c>
      <c r="C505" s="26">
        <f>7.1637 * CHOOSE(CONTROL!$C$32, $C$9, 100%, $E$9)</f>
        <v>7.1637000000000004</v>
      </c>
      <c r="D505" s="26">
        <f>7.1648 * CHOOSE(CONTROL!$C$32, $C$9, 100%, $E$9)</f>
        <v>7.1647999999999996</v>
      </c>
      <c r="E505" s="27">
        <f>7.9504 * CHOOSE(CONTROL!$C$32, $C$9, 100%, $E$9)</f>
        <v>7.9504000000000001</v>
      </c>
      <c r="F505" s="27">
        <f>7.9504 * CHOOSE(CONTROL!$C$32, $C$9, 100%, $E$9)</f>
        <v>7.9504000000000001</v>
      </c>
      <c r="G505" s="27">
        <f>7.9541 * CHOOSE(CONTROL!$C$32, $C$9, 100%, $E$9)</f>
        <v>7.9541000000000004</v>
      </c>
      <c r="H505" s="27">
        <f>15.4056 * CHOOSE(CONTROL!$C$32, $C$9, 100%, $E$9)</f>
        <v>15.4056</v>
      </c>
      <c r="I505" s="27">
        <f>15.4092 * CHOOSE(CONTROL!$C$32, $C$9, 100%, $E$9)</f>
        <v>15.4092</v>
      </c>
      <c r="J505" s="27">
        <f>15.4056 * CHOOSE(CONTROL!$C$32, $C$9, 100%, $E$9)</f>
        <v>15.4056</v>
      </c>
      <c r="K505" s="27">
        <f>15.4092 * CHOOSE(CONTROL!$C$32, $C$9, 100%, $E$9)</f>
        <v>15.4092</v>
      </c>
      <c r="L505" s="27">
        <f>7.9504 * CHOOSE(CONTROL!$C$32, $C$9, 100%, $E$9)</f>
        <v>7.9504000000000001</v>
      </c>
      <c r="M505" s="27">
        <f>7.9541 * CHOOSE(CONTROL!$C$32, $C$9, 100%, $E$9)</f>
        <v>7.9541000000000004</v>
      </c>
      <c r="N505" s="27">
        <f>7.9504 * CHOOSE(CONTROL!$C$32, $C$9, 100%, $E$9)</f>
        <v>7.9504000000000001</v>
      </c>
      <c r="O505" s="27">
        <f>7.9541 * CHOOSE(CONTROL!$C$32, $C$9, 100%, $E$9)</f>
        <v>7.9541000000000004</v>
      </c>
    </row>
    <row r="506" spans="1:15" ht="15" x14ac:dyDescent="0.2">
      <c r="A506" s="16">
        <v>56250</v>
      </c>
      <c r="B506" s="26">
        <f>7.2176 * CHOOSE(CONTROL!$C$32, $C$9, 100%, $E$9)</f>
        <v>7.2176</v>
      </c>
      <c r="C506" s="26">
        <f>7.2176 * CHOOSE(CONTROL!$C$32, $C$9, 100%, $E$9)</f>
        <v>7.2176</v>
      </c>
      <c r="D506" s="26">
        <f>7.2187 * CHOOSE(CONTROL!$C$32, $C$9, 100%, $E$9)</f>
        <v>7.2187000000000001</v>
      </c>
      <c r="E506" s="27">
        <f>8.0845 * CHOOSE(CONTROL!$C$32, $C$9, 100%, $E$9)</f>
        <v>8.0845000000000002</v>
      </c>
      <c r="F506" s="27">
        <f>8.0845 * CHOOSE(CONTROL!$C$32, $C$9, 100%, $E$9)</f>
        <v>8.0845000000000002</v>
      </c>
      <c r="G506" s="27">
        <f>8.0881 * CHOOSE(CONTROL!$C$32, $C$9, 100%, $E$9)</f>
        <v>8.0881000000000007</v>
      </c>
      <c r="H506" s="27">
        <f>15.4377 * CHOOSE(CONTROL!$C$32, $C$9, 100%, $E$9)</f>
        <v>15.4377</v>
      </c>
      <c r="I506" s="27">
        <f>15.4413 * CHOOSE(CONTROL!$C$32, $C$9, 100%, $E$9)</f>
        <v>15.4413</v>
      </c>
      <c r="J506" s="27">
        <f>15.4377 * CHOOSE(CONTROL!$C$32, $C$9, 100%, $E$9)</f>
        <v>15.4377</v>
      </c>
      <c r="K506" s="27">
        <f>15.4413 * CHOOSE(CONTROL!$C$32, $C$9, 100%, $E$9)</f>
        <v>15.4413</v>
      </c>
      <c r="L506" s="27">
        <f>8.0845 * CHOOSE(CONTROL!$C$32, $C$9, 100%, $E$9)</f>
        <v>8.0845000000000002</v>
      </c>
      <c r="M506" s="27">
        <f>8.0881 * CHOOSE(CONTROL!$C$32, $C$9, 100%, $E$9)</f>
        <v>8.0881000000000007</v>
      </c>
      <c r="N506" s="27">
        <f>8.0845 * CHOOSE(CONTROL!$C$32, $C$9, 100%, $E$9)</f>
        <v>8.0845000000000002</v>
      </c>
      <c r="O506" s="27">
        <f>8.0881 * CHOOSE(CONTROL!$C$32, $C$9, 100%, $E$9)</f>
        <v>8.0881000000000007</v>
      </c>
    </row>
    <row r="507" spans="1:15" ht="15" x14ac:dyDescent="0.2">
      <c r="A507" s="16">
        <v>56281</v>
      </c>
      <c r="B507" s="26">
        <f>7.2146 * CHOOSE(CONTROL!$C$32, $C$9, 100%, $E$9)</f>
        <v>7.2145999999999999</v>
      </c>
      <c r="C507" s="26">
        <f>7.2146 * CHOOSE(CONTROL!$C$32, $C$9, 100%, $E$9)</f>
        <v>7.2145999999999999</v>
      </c>
      <c r="D507" s="26">
        <f>7.2156 * CHOOSE(CONTROL!$C$32, $C$9, 100%, $E$9)</f>
        <v>7.2156000000000002</v>
      </c>
      <c r="E507" s="27">
        <f>7.9024 * CHOOSE(CONTROL!$C$32, $C$9, 100%, $E$9)</f>
        <v>7.9024000000000001</v>
      </c>
      <c r="F507" s="27">
        <f>7.9024 * CHOOSE(CONTROL!$C$32, $C$9, 100%, $E$9)</f>
        <v>7.9024000000000001</v>
      </c>
      <c r="G507" s="27">
        <f>7.906 * CHOOSE(CONTROL!$C$32, $C$9, 100%, $E$9)</f>
        <v>7.9059999999999997</v>
      </c>
      <c r="H507" s="27">
        <f>15.4699 * CHOOSE(CONTROL!$C$32, $C$9, 100%, $E$9)</f>
        <v>15.469900000000001</v>
      </c>
      <c r="I507" s="27">
        <f>15.4735 * CHOOSE(CONTROL!$C$32, $C$9, 100%, $E$9)</f>
        <v>15.4735</v>
      </c>
      <c r="J507" s="27">
        <f>15.4699 * CHOOSE(CONTROL!$C$32, $C$9, 100%, $E$9)</f>
        <v>15.469900000000001</v>
      </c>
      <c r="K507" s="27">
        <f>15.4735 * CHOOSE(CONTROL!$C$32, $C$9, 100%, $E$9)</f>
        <v>15.4735</v>
      </c>
      <c r="L507" s="27">
        <f>7.9024 * CHOOSE(CONTROL!$C$32, $C$9, 100%, $E$9)</f>
        <v>7.9024000000000001</v>
      </c>
      <c r="M507" s="27">
        <f>7.906 * CHOOSE(CONTROL!$C$32, $C$9, 100%, $E$9)</f>
        <v>7.9059999999999997</v>
      </c>
      <c r="N507" s="27">
        <f>7.9024 * CHOOSE(CONTROL!$C$32, $C$9, 100%, $E$9)</f>
        <v>7.9024000000000001</v>
      </c>
      <c r="O507" s="27">
        <f>7.906 * CHOOSE(CONTROL!$C$32, $C$9, 100%, $E$9)</f>
        <v>7.9059999999999997</v>
      </c>
    </row>
    <row r="508" spans="1:15" ht="15" x14ac:dyDescent="0.2">
      <c r="A508" s="16">
        <v>56309</v>
      </c>
      <c r="B508" s="26">
        <f>7.2115 * CHOOSE(CONTROL!$C$32, $C$9, 100%, $E$9)</f>
        <v>7.2115</v>
      </c>
      <c r="C508" s="26">
        <f>7.2115 * CHOOSE(CONTROL!$C$32, $C$9, 100%, $E$9)</f>
        <v>7.2115</v>
      </c>
      <c r="D508" s="26">
        <f>7.2126 * CHOOSE(CONTROL!$C$32, $C$9, 100%, $E$9)</f>
        <v>7.2126000000000001</v>
      </c>
      <c r="E508" s="27">
        <f>8.0422 * CHOOSE(CONTROL!$C$32, $C$9, 100%, $E$9)</f>
        <v>8.0421999999999993</v>
      </c>
      <c r="F508" s="27">
        <f>8.0422 * CHOOSE(CONTROL!$C$32, $C$9, 100%, $E$9)</f>
        <v>8.0421999999999993</v>
      </c>
      <c r="G508" s="27">
        <f>8.0458 * CHOOSE(CONTROL!$C$32, $C$9, 100%, $E$9)</f>
        <v>8.0457999999999998</v>
      </c>
      <c r="H508" s="27">
        <f>15.5021 * CHOOSE(CONTROL!$C$32, $C$9, 100%, $E$9)</f>
        <v>15.5021</v>
      </c>
      <c r="I508" s="27">
        <f>15.5057 * CHOOSE(CONTROL!$C$32, $C$9, 100%, $E$9)</f>
        <v>15.505699999999999</v>
      </c>
      <c r="J508" s="27">
        <f>15.5021 * CHOOSE(CONTROL!$C$32, $C$9, 100%, $E$9)</f>
        <v>15.5021</v>
      </c>
      <c r="K508" s="27">
        <f>15.5057 * CHOOSE(CONTROL!$C$32, $C$9, 100%, $E$9)</f>
        <v>15.505699999999999</v>
      </c>
      <c r="L508" s="27">
        <f>8.0422 * CHOOSE(CONTROL!$C$32, $C$9, 100%, $E$9)</f>
        <v>8.0421999999999993</v>
      </c>
      <c r="M508" s="27">
        <f>8.0458 * CHOOSE(CONTROL!$C$32, $C$9, 100%, $E$9)</f>
        <v>8.0457999999999998</v>
      </c>
      <c r="N508" s="27">
        <f>8.0422 * CHOOSE(CONTROL!$C$32, $C$9, 100%, $E$9)</f>
        <v>8.0421999999999993</v>
      </c>
      <c r="O508" s="27">
        <f>8.0458 * CHOOSE(CONTROL!$C$32, $C$9, 100%, $E$9)</f>
        <v>8.0457999999999998</v>
      </c>
    </row>
    <row r="509" spans="1:15" ht="15" x14ac:dyDescent="0.2">
      <c r="A509" s="16">
        <v>56340</v>
      </c>
      <c r="B509" s="26">
        <f>7.2123 * CHOOSE(CONTROL!$C$32, $C$9, 100%, $E$9)</f>
        <v>7.2122999999999999</v>
      </c>
      <c r="C509" s="26">
        <f>7.2123 * CHOOSE(CONTROL!$C$32, $C$9, 100%, $E$9)</f>
        <v>7.2122999999999999</v>
      </c>
      <c r="D509" s="26">
        <f>7.2134 * CHOOSE(CONTROL!$C$32, $C$9, 100%, $E$9)</f>
        <v>7.2134</v>
      </c>
      <c r="E509" s="27">
        <f>8.1903 * CHOOSE(CONTROL!$C$32, $C$9, 100%, $E$9)</f>
        <v>8.1903000000000006</v>
      </c>
      <c r="F509" s="27">
        <f>8.1903 * CHOOSE(CONTROL!$C$32, $C$9, 100%, $E$9)</f>
        <v>8.1903000000000006</v>
      </c>
      <c r="G509" s="27">
        <f>8.1939 * CHOOSE(CONTROL!$C$32, $C$9, 100%, $E$9)</f>
        <v>8.1938999999999993</v>
      </c>
      <c r="H509" s="27">
        <f>15.5344 * CHOOSE(CONTROL!$C$32, $C$9, 100%, $E$9)</f>
        <v>15.5344</v>
      </c>
      <c r="I509" s="27">
        <f>15.538 * CHOOSE(CONTROL!$C$32, $C$9, 100%, $E$9)</f>
        <v>15.538</v>
      </c>
      <c r="J509" s="27">
        <f>15.5344 * CHOOSE(CONTROL!$C$32, $C$9, 100%, $E$9)</f>
        <v>15.5344</v>
      </c>
      <c r="K509" s="27">
        <f>15.538 * CHOOSE(CONTROL!$C$32, $C$9, 100%, $E$9)</f>
        <v>15.538</v>
      </c>
      <c r="L509" s="27">
        <f>8.1903 * CHOOSE(CONTROL!$C$32, $C$9, 100%, $E$9)</f>
        <v>8.1903000000000006</v>
      </c>
      <c r="M509" s="27">
        <f>8.1939 * CHOOSE(CONTROL!$C$32, $C$9, 100%, $E$9)</f>
        <v>8.1938999999999993</v>
      </c>
      <c r="N509" s="27">
        <f>8.1903 * CHOOSE(CONTROL!$C$32, $C$9, 100%, $E$9)</f>
        <v>8.1903000000000006</v>
      </c>
      <c r="O509" s="27">
        <f>8.1939 * CHOOSE(CONTROL!$C$32, $C$9, 100%, $E$9)</f>
        <v>8.1938999999999993</v>
      </c>
    </row>
    <row r="510" spans="1:15" ht="15" x14ac:dyDescent="0.2">
      <c r="A510" s="16">
        <v>56370</v>
      </c>
      <c r="B510" s="26">
        <f>7.2123 * CHOOSE(CONTROL!$C$32, $C$9, 100%, $E$9)</f>
        <v>7.2122999999999999</v>
      </c>
      <c r="C510" s="26">
        <f>7.2123 * CHOOSE(CONTROL!$C$32, $C$9, 100%, $E$9)</f>
        <v>7.2122999999999999</v>
      </c>
      <c r="D510" s="26">
        <f>7.2139 * CHOOSE(CONTROL!$C$32, $C$9, 100%, $E$9)</f>
        <v>7.2138999999999998</v>
      </c>
      <c r="E510" s="27">
        <f>8.2474 * CHOOSE(CONTROL!$C$32, $C$9, 100%, $E$9)</f>
        <v>8.2474000000000007</v>
      </c>
      <c r="F510" s="27">
        <f>8.2474 * CHOOSE(CONTROL!$C$32, $C$9, 100%, $E$9)</f>
        <v>8.2474000000000007</v>
      </c>
      <c r="G510" s="27">
        <f>8.2527 * CHOOSE(CONTROL!$C$32, $C$9, 100%, $E$9)</f>
        <v>8.2527000000000008</v>
      </c>
      <c r="H510" s="27">
        <f>15.5668 * CHOOSE(CONTROL!$C$32, $C$9, 100%, $E$9)</f>
        <v>15.566800000000001</v>
      </c>
      <c r="I510" s="27">
        <f>15.5721 * CHOOSE(CONTROL!$C$32, $C$9, 100%, $E$9)</f>
        <v>15.572100000000001</v>
      </c>
      <c r="J510" s="27">
        <f>15.5668 * CHOOSE(CONTROL!$C$32, $C$9, 100%, $E$9)</f>
        <v>15.566800000000001</v>
      </c>
      <c r="K510" s="27">
        <f>15.5721 * CHOOSE(CONTROL!$C$32, $C$9, 100%, $E$9)</f>
        <v>15.572100000000001</v>
      </c>
      <c r="L510" s="27">
        <f>8.2474 * CHOOSE(CONTROL!$C$32, $C$9, 100%, $E$9)</f>
        <v>8.2474000000000007</v>
      </c>
      <c r="M510" s="27">
        <f>8.2527 * CHOOSE(CONTROL!$C$32, $C$9, 100%, $E$9)</f>
        <v>8.2527000000000008</v>
      </c>
      <c r="N510" s="27">
        <f>8.2474 * CHOOSE(CONTROL!$C$32, $C$9, 100%, $E$9)</f>
        <v>8.2474000000000007</v>
      </c>
      <c r="O510" s="27">
        <f>8.2527 * CHOOSE(CONTROL!$C$32, $C$9, 100%, $E$9)</f>
        <v>8.2527000000000008</v>
      </c>
    </row>
    <row r="511" spans="1:15" ht="15" x14ac:dyDescent="0.2">
      <c r="A511" s="16">
        <v>56401</v>
      </c>
      <c r="B511" s="26">
        <f>7.2184 * CHOOSE(CONTROL!$C$32, $C$9, 100%, $E$9)</f>
        <v>7.2183999999999999</v>
      </c>
      <c r="C511" s="26">
        <f>7.2184 * CHOOSE(CONTROL!$C$32, $C$9, 100%, $E$9)</f>
        <v>7.2183999999999999</v>
      </c>
      <c r="D511" s="26">
        <f>7.2199 * CHOOSE(CONTROL!$C$32, $C$9, 100%, $E$9)</f>
        <v>7.2199</v>
      </c>
      <c r="E511" s="27">
        <f>8.1945 * CHOOSE(CONTROL!$C$32, $C$9, 100%, $E$9)</f>
        <v>8.1944999999999997</v>
      </c>
      <c r="F511" s="27">
        <f>8.1945 * CHOOSE(CONTROL!$C$32, $C$9, 100%, $E$9)</f>
        <v>8.1944999999999997</v>
      </c>
      <c r="G511" s="27">
        <f>8.1998 * CHOOSE(CONTROL!$C$32, $C$9, 100%, $E$9)</f>
        <v>8.1997999999999998</v>
      </c>
      <c r="H511" s="27">
        <f>15.5992 * CHOOSE(CONTROL!$C$32, $C$9, 100%, $E$9)</f>
        <v>15.5992</v>
      </c>
      <c r="I511" s="27">
        <f>15.6045 * CHOOSE(CONTROL!$C$32, $C$9, 100%, $E$9)</f>
        <v>15.6045</v>
      </c>
      <c r="J511" s="27">
        <f>15.5992 * CHOOSE(CONTROL!$C$32, $C$9, 100%, $E$9)</f>
        <v>15.5992</v>
      </c>
      <c r="K511" s="27">
        <f>15.6045 * CHOOSE(CONTROL!$C$32, $C$9, 100%, $E$9)</f>
        <v>15.6045</v>
      </c>
      <c r="L511" s="27">
        <f>8.1945 * CHOOSE(CONTROL!$C$32, $C$9, 100%, $E$9)</f>
        <v>8.1944999999999997</v>
      </c>
      <c r="M511" s="27">
        <f>8.1998 * CHOOSE(CONTROL!$C$32, $C$9, 100%, $E$9)</f>
        <v>8.1997999999999998</v>
      </c>
      <c r="N511" s="27">
        <f>8.1945 * CHOOSE(CONTROL!$C$32, $C$9, 100%, $E$9)</f>
        <v>8.1944999999999997</v>
      </c>
      <c r="O511" s="27">
        <f>8.1998 * CHOOSE(CONTROL!$C$32, $C$9, 100%, $E$9)</f>
        <v>8.1997999999999998</v>
      </c>
    </row>
    <row r="512" spans="1:15" ht="15" x14ac:dyDescent="0.2">
      <c r="A512" s="16">
        <v>56431</v>
      </c>
      <c r="B512" s="26">
        <f>7.3122 * CHOOSE(CONTROL!$C$32, $C$9, 100%, $E$9)</f>
        <v>7.3121999999999998</v>
      </c>
      <c r="C512" s="26">
        <f>7.3122 * CHOOSE(CONTROL!$C$32, $C$9, 100%, $E$9)</f>
        <v>7.3121999999999998</v>
      </c>
      <c r="D512" s="26">
        <f>7.3138 * CHOOSE(CONTROL!$C$32, $C$9, 100%, $E$9)</f>
        <v>7.3137999999999996</v>
      </c>
      <c r="E512" s="27">
        <f>8.3075 * CHOOSE(CONTROL!$C$32, $C$9, 100%, $E$9)</f>
        <v>8.3074999999999992</v>
      </c>
      <c r="F512" s="27">
        <f>8.3075 * CHOOSE(CONTROL!$C$32, $C$9, 100%, $E$9)</f>
        <v>8.3074999999999992</v>
      </c>
      <c r="G512" s="27">
        <f>8.3128 * CHOOSE(CONTROL!$C$32, $C$9, 100%, $E$9)</f>
        <v>8.3127999999999993</v>
      </c>
      <c r="H512" s="27">
        <f>15.6317 * CHOOSE(CONTROL!$C$32, $C$9, 100%, $E$9)</f>
        <v>15.6317</v>
      </c>
      <c r="I512" s="27">
        <f>15.637 * CHOOSE(CONTROL!$C$32, $C$9, 100%, $E$9)</f>
        <v>15.637</v>
      </c>
      <c r="J512" s="27">
        <f>15.6317 * CHOOSE(CONTROL!$C$32, $C$9, 100%, $E$9)</f>
        <v>15.6317</v>
      </c>
      <c r="K512" s="27">
        <f>15.637 * CHOOSE(CONTROL!$C$32, $C$9, 100%, $E$9)</f>
        <v>15.637</v>
      </c>
      <c r="L512" s="27">
        <f>8.3075 * CHOOSE(CONTROL!$C$32, $C$9, 100%, $E$9)</f>
        <v>8.3074999999999992</v>
      </c>
      <c r="M512" s="27">
        <f>8.3128 * CHOOSE(CONTROL!$C$32, $C$9, 100%, $E$9)</f>
        <v>8.3127999999999993</v>
      </c>
      <c r="N512" s="27">
        <f>8.3075 * CHOOSE(CONTROL!$C$32, $C$9, 100%, $E$9)</f>
        <v>8.3074999999999992</v>
      </c>
      <c r="O512" s="27">
        <f>8.3128 * CHOOSE(CONTROL!$C$32, $C$9, 100%, $E$9)</f>
        <v>8.3127999999999993</v>
      </c>
    </row>
    <row r="513" spans="1:15" ht="15" x14ac:dyDescent="0.2">
      <c r="A513" s="16">
        <v>56462</v>
      </c>
      <c r="B513" s="26">
        <f>7.3189 * CHOOSE(CONTROL!$C$32, $C$9, 100%, $E$9)</f>
        <v>7.3189000000000002</v>
      </c>
      <c r="C513" s="26">
        <f>7.3189 * CHOOSE(CONTROL!$C$32, $C$9, 100%, $E$9)</f>
        <v>7.3189000000000002</v>
      </c>
      <c r="D513" s="26">
        <f>7.3205 * CHOOSE(CONTROL!$C$32, $C$9, 100%, $E$9)</f>
        <v>7.3205</v>
      </c>
      <c r="E513" s="27">
        <f>8.1407 * CHOOSE(CONTROL!$C$32, $C$9, 100%, $E$9)</f>
        <v>8.1407000000000007</v>
      </c>
      <c r="F513" s="27">
        <f>8.1407 * CHOOSE(CONTROL!$C$32, $C$9, 100%, $E$9)</f>
        <v>8.1407000000000007</v>
      </c>
      <c r="G513" s="27">
        <f>8.146 * CHOOSE(CONTROL!$C$32, $C$9, 100%, $E$9)</f>
        <v>8.1460000000000008</v>
      </c>
      <c r="H513" s="27">
        <f>15.6643 * CHOOSE(CONTROL!$C$32, $C$9, 100%, $E$9)</f>
        <v>15.664300000000001</v>
      </c>
      <c r="I513" s="27">
        <f>15.6696 * CHOOSE(CONTROL!$C$32, $C$9, 100%, $E$9)</f>
        <v>15.669600000000001</v>
      </c>
      <c r="J513" s="27">
        <f>15.6643 * CHOOSE(CONTROL!$C$32, $C$9, 100%, $E$9)</f>
        <v>15.664300000000001</v>
      </c>
      <c r="K513" s="27">
        <f>15.6696 * CHOOSE(CONTROL!$C$32, $C$9, 100%, $E$9)</f>
        <v>15.669600000000001</v>
      </c>
      <c r="L513" s="27">
        <f>8.1407 * CHOOSE(CONTROL!$C$32, $C$9, 100%, $E$9)</f>
        <v>8.1407000000000007</v>
      </c>
      <c r="M513" s="27">
        <f>8.146 * CHOOSE(CONTROL!$C$32, $C$9, 100%, $E$9)</f>
        <v>8.1460000000000008</v>
      </c>
      <c r="N513" s="27">
        <f>8.1407 * CHOOSE(CONTROL!$C$32, $C$9, 100%, $E$9)</f>
        <v>8.1407000000000007</v>
      </c>
      <c r="O513" s="27">
        <f>8.146 * CHOOSE(CONTROL!$C$32, $C$9, 100%, $E$9)</f>
        <v>8.1460000000000008</v>
      </c>
    </row>
    <row r="514" spans="1:15" ht="15" x14ac:dyDescent="0.2">
      <c r="A514" s="16">
        <v>56493</v>
      </c>
      <c r="B514" s="26">
        <f>7.3159 * CHOOSE(CONTROL!$C$32, $C$9, 100%, $E$9)</f>
        <v>7.3159000000000001</v>
      </c>
      <c r="C514" s="26">
        <f>7.3159 * CHOOSE(CONTROL!$C$32, $C$9, 100%, $E$9)</f>
        <v>7.3159000000000001</v>
      </c>
      <c r="D514" s="26">
        <f>7.3174 * CHOOSE(CONTROL!$C$32, $C$9, 100%, $E$9)</f>
        <v>7.3174000000000001</v>
      </c>
      <c r="E514" s="27">
        <f>8.1196 * CHOOSE(CONTROL!$C$32, $C$9, 100%, $E$9)</f>
        <v>8.1196000000000002</v>
      </c>
      <c r="F514" s="27">
        <f>8.1196 * CHOOSE(CONTROL!$C$32, $C$9, 100%, $E$9)</f>
        <v>8.1196000000000002</v>
      </c>
      <c r="G514" s="27">
        <f>8.1249 * CHOOSE(CONTROL!$C$32, $C$9, 100%, $E$9)</f>
        <v>8.1249000000000002</v>
      </c>
      <c r="H514" s="27">
        <f>15.6969 * CHOOSE(CONTROL!$C$32, $C$9, 100%, $E$9)</f>
        <v>15.696899999999999</v>
      </c>
      <c r="I514" s="27">
        <f>15.7022 * CHOOSE(CONTROL!$C$32, $C$9, 100%, $E$9)</f>
        <v>15.702199999999999</v>
      </c>
      <c r="J514" s="27">
        <f>15.6969 * CHOOSE(CONTROL!$C$32, $C$9, 100%, $E$9)</f>
        <v>15.696899999999999</v>
      </c>
      <c r="K514" s="27">
        <f>15.7022 * CHOOSE(CONTROL!$C$32, $C$9, 100%, $E$9)</f>
        <v>15.702199999999999</v>
      </c>
      <c r="L514" s="27">
        <f>8.1196 * CHOOSE(CONTROL!$C$32, $C$9, 100%, $E$9)</f>
        <v>8.1196000000000002</v>
      </c>
      <c r="M514" s="27">
        <f>8.1249 * CHOOSE(CONTROL!$C$32, $C$9, 100%, $E$9)</f>
        <v>8.1249000000000002</v>
      </c>
      <c r="N514" s="27">
        <f>8.1196 * CHOOSE(CONTROL!$C$32, $C$9, 100%, $E$9)</f>
        <v>8.1196000000000002</v>
      </c>
      <c r="O514" s="27">
        <f>8.1249 * CHOOSE(CONTROL!$C$32, $C$9, 100%, $E$9)</f>
        <v>8.1249000000000002</v>
      </c>
    </row>
    <row r="515" spans="1:15" ht="15" x14ac:dyDescent="0.2">
      <c r="A515" s="16">
        <v>56523</v>
      </c>
      <c r="B515" s="26">
        <f>7.3233 * CHOOSE(CONTROL!$C$32, $C$9, 100%, $E$9)</f>
        <v>7.3232999999999997</v>
      </c>
      <c r="C515" s="26">
        <f>7.3233 * CHOOSE(CONTROL!$C$32, $C$9, 100%, $E$9)</f>
        <v>7.3232999999999997</v>
      </c>
      <c r="D515" s="26">
        <f>7.3243 * CHOOSE(CONTROL!$C$32, $C$9, 100%, $E$9)</f>
        <v>7.3243</v>
      </c>
      <c r="E515" s="27">
        <f>8.1823 * CHOOSE(CONTROL!$C$32, $C$9, 100%, $E$9)</f>
        <v>8.1822999999999997</v>
      </c>
      <c r="F515" s="27">
        <f>8.1823 * CHOOSE(CONTROL!$C$32, $C$9, 100%, $E$9)</f>
        <v>8.1822999999999997</v>
      </c>
      <c r="G515" s="27">
        <f>8.186 * CHOOSE(CONTROL!$C$32, $C$9, 100%, $E$9)</f>
        <v>8.1859999999999999</v>
      </c>
      <c r="H515" s="27">
        <f>15.7296 * CHOOSE(CONTROL!$C$32, $C$9, 100%, $E$9)</f>
        <v>15.7296</v>
      </c>
      <c r="I515" s="27">
        <f>15.7332 * CHOOSE(CONTROL!$C$32, $C$9, 100%, $E$9)</f>
        <v>15.7332</v>
      </c>
      <c r="J515" s="27">
        <f>15.7296 * CHOOSE(CONTROL!$C$32, $C$9, 100%, $E$9)</f>
        <v>15.7296</v>
      </c>
      <c r="K515" s="27">
        <f>15.7332 * CHOOSE(CONTROL!$C$32, $C$9, 100%, $E$9)</f>
        <v>15.7332</v>
      </c>
      <c r="L515" s="27">
        <f>8.1823 * CHOOSE(CONTROL!$C$32, $C$9, 100%, $E$9)</f>
        <v>8.1822999999999997</v>
      </c>
      <c r="M515" s="27">
        <f>8.186 * CHOOSE(CONTROL!$C$32, $C$9, 100%, $E$9)</f>
        <v>8.1859999999999999</v>
      </c>
      <c r="N515" s="27">
        <f>8.1823 * CHOOSE(CONTROL!$C$32, $C$9, 100%, $E$9)</f>
        <v>8.1822999999999997</v>
      </c>
      <c r="O515" s="27">
        <f>8.186 * CHOOSE(CONTROL!$C$32, $C$9, 100%, $E$9)</f>
        <v>8.1859999999999999</v>
      </c>
    </row>
    <row r="516" spans="1:15" ht="15" x14ac:dyDescent="0.2">
      <c r="A516" s="16">
        <v>56554</v>
      </c>
      <c r="B516" s="26">
        <f>7.3263 * CHOOSE(CONTROL!$C$32, $C$9, 100%, $E$9)</f>
        <v>7.3262999999999998</v>
      </c>
      <c r="C516" s="26">
        <f>7.3263 * CHOOSE(CONTROL!$C$32, $C$9, 100%, $E$9)</f>
        <v>7.3262999999999998</v>
      </c>
      <c r="D516" s="26">
        <f>7.3274 * CHOOSE(CONTROL!$C$32, $C$9, 100%, $E$9)</f>
        <v>7.3273999999999999</v>
      </c>
      <c r="E516" s="27">
        <f>8.2226 * CHOOSE(CONTROL!$C$32, $C$9, 100%, $E$9)</f>
        <v>8.2225999999999999</v>
      </c>
      <c r="F516" s="27">
        <f>8.2226 * CHOOSE(CONTROL!$C$32, $C$9, 100%, $E$9)</f>
        <v>8.2225999999999999</v>
      </c>
      <c r="G516" s="27">
        <f>8.2262 * CHOOSE(CONTROL!$C$32, $C$9, 100%, $E$9)</f>
        <v>8.2262000000000004</v>
      </c>
      <c r="H516" s="27">
        <f>15.7624 * CHOOSE(CONTROL!$C$32, $C$9, 100%, $E$9)</f>
        <v>15.7624</v>
      </c>
      <c r="I516" s="27">
        <f>15.766 * CHOOSE(CONTROL!$C$32, $C$9, 100%, $E$9)</f>
        <v>15.766</v>
      </c>
      <c r="J516" s="27">
        <f>15.7624 * CHOOSE(CONTROL!$C$32, $C$9, 100%, $E$9)</f>
        <v>15.7624</v>
      </c>
      <c r="K516" s="27">
        <f>15.766 * CHOOSE(CONTROL!$C$32, $C$9, 100%, $E$9)</f>
        <v>15.766</v>
      </c>
      <c r="L516" s="27">
        <f>8.2226 * CHOOSE(CONTROL!$C$32, $C$9, 100%, $E$9)</f>
        <v>8.2225999999999999</v>
      </c>
      <c r="M516" s="27">
        <f>8.2262 * CHOOSE(CONTROL!$C$32, $C$9, 100%, $E$9)</f>
        <v>8.2262000000000004</v>
      </c>
      <c r="N516" s="27">
        <f>8.2226 * CHOOSE(CONTROL!$C$32, $C$9, 100%, $E$9)</f>
        <v>8.2225999999999999</v>
      </c>
      <c r="O516" s="27">
        <f>8.2262 * CHOOSE(CONTROL!$C$32, $C$9, 100%, $E$9)</f>
        <v>8.2262000000000004</v>
      </c>
    </row>
    <row r="517" spans="1:15" ht="15" x14ac:dyDescent="0.2">
      <c r="A517" s="16">
        <v>56584</v>
      </c>
      <c r="B517" s="26">
        <f>7.3263 * CHOOSE(CONTROL!$C$32, $C$9, 100%, $E$9)</f>
        <v>7.3262999999999998</v>
      </c>
      <c r="C517" s="26">
        <f>7.3263 * CHOOSE(CONTROL!$C$32, $C$9, 100%, $E$9)</f>
        <v>7.3262999999999998</v>
      </c>
      <c r="D517" s="26">
        <f>7.3274 * CHOOSE(CONTROL!$C$32, $C$9, 100%, $E$9)</f>
        <v>7.3273999999999999</v>
      </c>
      <c r="E517" s="27">
        <f>8.1273 * CHOOSE(CONTROL!$C$32, $C$9, 100%, $E$9)</f>
        <v>8.1273</v>
      </c>
      <c r="F517" s="27">
        <f>8.1273 * CHOOSE(CONTROL!$C$32, $C$9, 100%, $E$9)</f>
        <v>8.1273</v>
      </c>
      <c r="G517" s="27">
        <f>8.1309 * CHOOSE(CONTROL!$C$32, $C$9, 100%, $E$9)</f>
        <v>8.1309000000000005</v>
      </c>
      <c r="H517" s="27">
        <f>15.7952 * CHOOSE(CONTROL!$C$32, $C$9, 100%, $E$9)</f>
        <v>15.795199999999999</v>
      </c>
      <c r="I517" s="27">
        <f>15.7988 * CHOOSE(CONTROL!$C$32, $C$9, 100%, $E$9)</f>
        <v>15.7988</v>
      </c>
      <c r="J517" s="27">
        <f>15.7952 * CHOOSE(CONTROL!$C$32, $C$9, 100%, $E$9)</f>
        <v>15.795199999999999</v>
      </c>
      <c r="K517" s="27">
        <f>15.7988 * CHOOSE(CONTROL!$C$32, $C$9, 100%, $E$9)</f>
        <v>15.7988</v>
      </c>
      <c r="L517" s="27">
        <f>8.1273 * CHOOSE(CONTROL!$C$32, $C$9, 100%, $E$9)</f>
        <v>8.1273</v>
      </c>
      <c r="M517" s="27">
        <f>8.1309 * CHOOSE(CONTROL!$C$32, $C$9, 100%, $E$9)</f>
        <v>8.1309000000000005</v>
      </c>
      <c r="N517" s="27">
        <f>8.1273 * CHOOSE(CONTROL!$C$32, $C$9, 100%, $E$9)</f>
        <v>8.1273</v>
      </c>
      <c r="O517" s="27">
        <f>8.1309 * CHOOSE(CONTROL!$C$32, $C$9, 100%, $E$9)</f>
        <v>8.1309000000000005</v>
      </c>
    </row>
    <row r="518" spans="1:15" ht="15" x14ac:dyDescent="0.2">
      <c r="A518" s="16">
        <v>56615</v>
      </c>
      <c r="B518" s="26">
        <f>7.3813 * CHOOSE(CONTROL!$C$32, $C$9, 100%, $E$9)</f>
        <v>7.3813000000000004</v>
      </c>
      <c r="C518" s="26">
        <f>7.3813 * CHOOSE(CONTROL!$C$32, $C$9, 100%, $E$9)</f>
        <v>7.3813000000000004</v>
      </c>
      <c r="D518" s="26">
        <f>7.3824 * CHOOSE(CONTROL!$C$32, $C$9, 100%, $E$9)</f>
        <v>7.3823999999999996</v>
      </c>
      <c r="E518" s="27">
        <f>8.2653 * CHOOSE(CONTROL!$C$32, $C$9, 100%, $E$9)</f>
        <v>8.2652999999999999</v>
      </c>
      <c r="F518" s="27">
        <f>8.2653 * CHOOSE(CONTROL!$C$32, $C$9, 100%, $E$9)</f>
        <v>8.2652999999999999</v>
      </c>
      <c r="G518" s="27">
        <f>8.2689 * CHOOSE(CONTROL!$C$32, $C$9, 100%, $E$9)</f>
        <v>8.2689000000000004</v>
      </c>
      <c r="H518" s="27">
        <f>15.8281 * CHOOSE(CONTROL!$C$32, $C$9, 100%, $E$9)</f>
        <v>15.828099999999999</v>
      </c>
      <c r="I518" s="27">
        <f>15.8317 * CHOOSE(CONTROL!$C$32, $C$9, 100%, $E$9)</f>
        <v>15.8317</v>
      </c>
      <c r="J518" s="27">
        <f>15.8281 * CHOOSE(CONTROL!$C$32, $C$9, 100%, $E$9)</f>
        <v>15.828099999999999</v>
      </c>
      <c r="K518" s="27">
        <f>15.8317 * CHOOSE(CONTROL!$C$32, $C$9, 100%, $E$9)</f>
        <v>15.8317</v>
      </c>
      <c r="L518" s="27">
        <f>8.2653 * CHOOSE(CONTROL!$C$32, $C$9, 100%, $E$9)</f>
        <v>8.2652999999999999</v>
      </c>
      <c r="M518" s="27">
        <f>8.2689 * CHOOSE(CONTROL!$C$32, $C$9, 100%, $E$9)</f>
        <v>8.2689000000000004</v>
      </c>
      <c r="N518" s="27">
        <f>8.2653 * CHOOSE(CONTROL!$C$32, $C$9, 100%, $E$9)</f>
        <v>8.2652999999999999</v>
      </c>
      <c r="O518" s="27">
        <f>8.2689 * CHOOSE(CONTROL!$C$32, $C$9, 100%, $E$9)</f>
        <v>8.2689000000000004</v>
      </c>
    </row>
    <row r="519" spans="1:15" ht="15" x14ac:dyDescent="0.2">
      <c r="A519" s="16">
        <v>56646</v>
      </c>
      <c r="B519" s="26">
        <f>7.3783 * CHOOSE(CONTROL!$C$32, $C$9, 100%, $E$9)</f>
        <v>7.3783000000000003</v>
      </c>
      <c r="C519" s="26">
        <f>7.3783 * CHOOSE(CONTROL!$C$32, $C$9, 100%, $E$9)</f>
        <v>7.3783000000000003</v>
      </c>
      <c r="D519" s="26">
        <f>7.3794 * CHOOSE(CONTROL!$C$32, $C$9, 100%, $E$9)</f>
        <v>7.3794000000000004</v>
      </c>
      <c r="E519" s="27">
        <f>8.0773 * CHOOSE(CONTROL!$C$32, $C$9, 100%, $E$9)</f>
        <v>8.0772999999999993</v>
      </c>
      <c r="F519" s="27">
        <f>8.0773 * CHOOSE(CONTROL!$C$32, $C$9, 100%, $E$9)</f>
        <v>8.0772999999999993</v>
      </c>
      <c r="G519" s="27">
        <f>8.0809 * CHOOSE(CONTROL!$C$32, $C$9, 100%, $E$9)</f>
        <v>8.0808999999999997</v>
      </c>
      <c r="H519" s="27">
        <f>15.8611 * CHOOSE(CONTROL!$C$32, $C$9, 100%, $E$9)</f>
        <v>15.8611</v>
      </c>
      <c r="I519" s="27">
        <f>15.8647 * CHOOSE(CONTROL!$C$32, $C$9, 100%, $E$9)</f>
        <v>15.864699999999999</v>
      </c>
      <c r="J519" s="27">
        <f>15.8611 * CHOOSE(CONTROL!$C$32, $C$9, 100%, $E$9)</f>
        <v>15.8611</v>
      </c>
      <c r="K519" s="27">
        <f>15.8647 * CHOOSE(CONTROL!$C$32, $C$9, 100%, $E$9)</f>
        <v>15.864699999999999</v>
      </c>
      <c r="L519" s="27">
        <f>8.0773 * CHOOSE(CONTROL!$C$32, $C$9, 100%, $E$9)</f>
        <v>8.0772999999999993</v>
      </c>
      <c r="M519" s="27">
        <f>8.0809 * CHOOSE(CONTROL!$C$32, $C$9, 100%, $E$9)</f>
        <v>8.0808999999999997</v>
      </c>
      <c r="N519" s="27">
        <f>8.0773 * CHOOSE(CONTROL!$C$32, $C$9, 100%, $E$9)</f>
        <v>8.0772999999999993</v>
      </c>
      <c r="O519" s="27">
        <f>8.0809 * CHOOSE(CONTROL!$C$32, $C$9, 100%, $E$9)</f>
        <v>8.0808999999999997</v>
      </c>
    </row>
    <row r="520" spans="1:15" ht="15" x14ac:dyDescent="0.2">
      <c r="A520" s="16">
        <v>56674</v>
      </c>
      <c r="B520" s="26">
        <f>7.3752 * CHOOSE(CONTROL!$C$32, $C$9, 100%, $E$9)</f>
        <v>7.3752000000000004</v>
      </c>
      <c r="C520" s="26">
        <f>7.3752 * CHOOSE(CONTROL!$C$32, $C$9, 100%, $E$9)</f>
        <v>7.3752000000000004</v>
      </c>
      <c r="D520" s="26">
        <f>7.3763 * CHOOSE(CONTROL!$C$32, $C$9, 100%, $E$9)</f>
        <v>7.3762999999999996</v>
      </c>
      <c r="E520" s="27">
        <f>8.2217 * CHOOSE(CONTROL!$C$32, $C$9, 100%, $E$9)</f>
        <v>8.2217000000000002</v>
      </c>
      <c r="F520" s="27">
        <f>8.2217 * CHOOSE(CONTROL!$C$32, $C$9, 100%, $E$9)</f>
        <v>8.2217000000000002</v>
      </c>
      <c r="G520" s="27">
        <f>8.2253 * CHOOSE(CONTROL!$C$32, $C$9, 100%, $E$9)</f>
        <v>8.2253000000000007</v>
      </c>
      <c r="H520" s="27">
        <f>15.8941 * CHOOSE(CONTROL!$C$32, $C$9, 100%, $E$9)</f>
        <v>15.8941</v>
      </c>
      <c r="I520" s="27">
        <f>15.8978 * CHOOSE(CONTROL!$C$32, $C$9, 100%, $E$9)</f>
        <v>15.8978</v>
      </c>
      <c r="J520" s="27">
        <f>15.8941 * CHOOSE(CONTROL!$C$32, $C$9, 100%, $E$9)</f>
        <v>15.8941</v>
      </c>
      <c r="K520" s="27">
        <f>15.8978 * CHOOSE(CONTROL!$C$32, $C$9, 100%, $E$9)</f>
        <v>15.8978</v>
      </c>
      <c r="L520" s="27">
        <f>8.2217 * CHOOSE(CONTROL!$C$32, $C$9, 100%, $E$9)</f>
        <v>8.2217000000000002</v>
      </c>
      <c r="M520" s="27">
        <f>8.2253 * CHOOSE(CONTROL!$C$32, $C$9, 100%, $E$9)</f>
        <v>8.2253000000000007</v>
      </c>
      <c r="N520" s="27">
        <f>8.2217 * CHOOSE(CONTROL!$C$32, $C$9, 100%, $E$9)</f>
        <v>8.2217000000000002</v>
      </c>
      <c r="O520" s="27">
        <f>8.2253 * CHOOSE(CONTROL!$C$32, $C$9, 100%, $E$9)</f>
        <v>8.2253000000000007</v>
      </c>
    </row>
    <row r="521" spans="1:15" ht="15" x14ac:dyDescent="0.2">
      <c r="A521" s="16">
        <v>56705</v>
      </c>
      <c r="B521" s="26">
        <f>7.3762 * CHOOSE(CONTROL!$C$32, $C$9, 100%, $E$9)</f>
        <v>7.3761999999999999</v>
      </c>
      <c r="C521" s="26">
        <f>7.3762 * CHOOSE(CONTROL!$C$32, $C$9, 100%, $E$9)</f>
        <v>7.3761999999999999</v>
      </c>
      <c r="D521" s="26">
        <f>7.3772 * CHOOSE(CONTROL!$C$32, $C$9, 100%, $E$9)</f>
        <v>7.3772000000000002</v>
      </c>
      <c r="E521" s="27">
        <f>8.3748 * CHOOSE(CONTROL!$C$32, $C$9, 100%, $E$9)</f>
        <v>8.3748000000000005</v>
      </c>
      <c r="F521" s="27">
        <f>8.3748 * CHOOSE(CONTROL!$C$32, $C$9, 100%, $E$9)</f>
        <v>8.3748000000000005</v>
      </c>
      <c r="G521" s="27">
        <f>8.3784 * CHOOSE(CONTROL!$C$32, $C$9, 100%, $E$9)</f>
        <v>8.3783999999999992</v>
      </c>
      <c r="H521" s="27">
        <f>15.9272 * CHOOSE(CONTROL!$C$32, $C$9, 100%, $E$9)</f>
        <v>15.927199999999999</v>
      </c>
      <c r="I521" s="27">
        <f>15.9309 * CHOOSE(CONTROL!$C$32, $C$9, 100%, $E$9)</f>
        <v>15.930899999999999</v>
      </c>
      <c r="J521" s="27">
        <f>15.9272 * CHOOSE(CONTROL!$C$32, $C$9, 100%, $E$9)</f>
        <v>15.927199999999999</v>
      </c>
      <c r="K521" s="27">
        <f>15.9309 * CHOOSE(CONTROL!$C$32, $C$9, 100%, $E$9)</f>
        <v>15.930899999999999</v>
      </c>
      <c r="L521" s="27">
        <f>8.3748 * CHOOSE(CONTROL!$C$32, $C$9, 100%, $E$9)</f>
        <v>8.3748000000000005</v>
      </c>
      <c r="M521" s="27">
        <f>8.3784 * CHOOSE(CONTROL!$C$32, $C$9, 100%, $E$9)</f>
        <v>8.3783999999999992</v>
      </c>
      <c r="N521" s="27">
        <f>8.3748 * CHOOSE(CONTROL!$C$32, $C$9, 100%, $E$9)</f>
        <v>8.3748000000000005</v>
      </c>
      <c r="O521" s="27">
        <f>8.3784 * CHOOSE(CONTROL!$C$32, $C$9, 100%, $E$9)</f>
        <v>8.3783999999999992</v>
      </c>
    </row>
    <row r="522" spans="1:15" ht="15" x14ac:dyDescent="0.2">
      <c r="A522" s="16">
        <v>56735</v>
      </c>
      <c r="B522" s="26">
        <f>7.3762 * CHOOSE(CONTROL!$C$32, $C$9, 100%, $E$9)</f>
        <v>7.3761999999999999</v>
      </c>
      <c r="C522" s="26">
        <f>7.3762 * CHOOSE(CONTROL!$C$32, $C$9, 100%, $E$9)</f>
        <v>7.3761999999999999</v>
      </c>
      <c r="D522" s="26">
        <f>7.3777 * CHOOSE(CONTROL!$C$32, $C$9, 100%, $E$9)</f>
        <v>7.3776999999999999</v>
      </c>
      <c r="E522" s="27">
        <f>8.4338 * CHOOSE(CONTROL!$C$32, $C$9, 100%, $E$9)</f>
        <v>8.4337999999999997</v>
      </c>
      <c r="F522" s="27">
        <f>8.4338 * CHOOSE(CONTROL!$C$32, $C$9, 100%, $E$9)</f>
        <v>8.4337999999999997</v>
      </c>
      <c r="G522" s="27">
        <f>8.4391 * CHOOSE(CONTROL!$C$32, $C$9, 100%, $E$9)</f>
        <v>8.4390999999999998</v>
      </c>
      <c r="H522" s="27">
        <f>15.9604 * CHOOSE(CONTROL!$C$32, $C$9, 100%, $E$9)</f>
        <v>15.9604</v>
      </c>
      <c r="I522" s="27">
        <f>15.9657 * CHOOSE(CONTROL!$C$32, $C$9, 100%, $E$9)</f>
        <v>15.9657</v>
      </c>
      <c r="J522" s="27">
        <f>15.9604 * CHOOSE(CONTROL!$C$32, $C$9, 100%, $E$9)</f>
        <v>15.9604</v>
      </c>
      <c r="K522" s="27">
        <f>15.9657 * CHOOSE(CONTROL!$C$32, $C$9, 100%, $E$9)</f>
        <v>15.9657</v>
      </c>
      <c r="L522" s="27">
        <f>8.4338 * CHOOSE(CONTROL!$C$32, $C$9, 100%, $E$9)</f>
        <v>8.4337999999999997</v>
      </c>
      <c r="M522" s="27">
        <f>8.4391 * CHOOSE(CONTROL!$C$32, $C$9, 100%, $E$9)</f>
        <v>8.4390999999999998</v>
      </c>
      <c r="N522" s="27">
        <f>8.4338 * CHOOSE(CONTROL!$C$32, $C$9, 100%, $E$9)</f>
        <v>8.4337999999999997</v>
      </c>
      <c r="O522" s="27">
        <f>8.4391 * CHOOSE(CONTROL!$C$32, $C$9, 100%, $E$9)</f>
        <v>8.4390999999999998</v>
      </c>
    </row>
    <row r="523" spans="1:15" ht="15" x14ac:dyDescent="0.2">
      <c r="A523" s="16">
        <v>56766</v>
      </c>
      <c r="B523" s="26">
        <f>7.3822 * CHOOSE(CONTROL!$C$32, $C$9, 100%, $E$9)</f>
        <v>7.3822000000000001</v>
      </c>
      <c r="C523" s="26">
        <f>7.3822 * CHOOSE(CONTROL!$C$32, $C$9, 100%, $E$9)</f>
        <v>7.3822000000000001</v>
      </c>
      <c r="D523" s="26">
        <f>7.3838 * CHOOSE(CONTROL!$C$32, $C$9, 100%, $E$9)</f>
        <v>7.3837999999999999</v>
      </c>
      <c r="E523" s="27">
        <f>8.379 * CHOOSE(CONTROL!$C$32, $C$9, 100%, $E$9)</f>
        <v>8.3789999999999996</v>
      </c>
      <c r="F523" s="27">
        <f>8.379 * CHOOSE(CONTROL!$C$32, $C$9, 100%, $E$9)</f>
        <v>8.3789999999999996</v>
      </c>
      <c r="G523" s="27">
        <f>8.3843 * CHOOSE(CONTROL!$C$32, $C$9, 100%, $E$9)</f>
        <v>8.3842999999999996</v>
      </c>
      <c r="H523" s="27">
        <f>15.9937 * CHOOSE(CONTROL!$C$32, $C$9, 100%, $E$9)</f>
        <v>15.9937</v>
      </c>
      <c r="I523" s="27">
        <f>15.999 * CHOOSE(CONTROL!$C$32, $C$9, 100%, $E$9)</f>
        <v>15.999000000000001</v>
      </c>
      <c r="J523" s="27">
        <f>15.9937 * CHOOSE(CONTROL!$C$32, $C$9, 100%, $E$9)</f>
        <v>15.9937</v>
      </c>
      <c r="K523" s="27">
        <f>15.999 * CHOOSE(CONTROL!$C$32, $C$9, 100%, $E$9)</f>
        <v>15.999000000000001</v>
      </c>
      <c r="L523" s="27">
        <f>8.379 * CHOOSE(CONTROL!$C$32, $C$9, 100%, $E$9)</f>
        <v>8.3789999999999996</v>
      </c>
      <c r="M523" s="27">
        <f>8.3843 * CHOOSE(CONTROL!$C$32, $C$9, 100%, $E$9)</f>
        <v>8.3842999999999996</v>
      </c>
      <c r="N523" s="27">
        <f>8.379 * CHOOSE(CONTROL!$C$32, $C$9, 100%, $E$9)</f>
        <v>8.3789999999999996</v>
      </c>
      <c r="O523" s="27">
        <f>8.3843 * CHOOSE(CONTROL!$C$32, $C$9, 100%, $E$9)</f>
        <v>8.3842999999999996</v>
      </c>
    </row>
    <row r="524" spans="1:15" ht="15" x14ac:dyDescent="0.2">
      <c r="A524" s="16">
        <v>56796</v>
      </c>
      <c r="B524" s="26">
        <f>7.4779 * CHOOSE(CONTROL!$C$32, $C$9, 100%, $E$9)</f>
        <v>7.4779</v>
      </c>
      <c r="C524" s="26">
        <f>7.4779 * CHOOSE(CONTROL!$C$32, $C$9, 100%, $E$9)</f>
        <v>7.4779</v>
      </c>
      <c r="D524" s="26">
        <f>7.4795 * CHOOSE(CONTROL!$C$32, $C$9, 100%, $E$9)</f>
        <v>7.4794999999999998</v>
      </c>
      <c r="E524" s="27">
        <f>8.4945 * CHOOSE(CONTROL!$C$32, $C$9, 100%, $E$9)</f>
        <v>8.4945000000000004</v>
      </c>
      <c r="F524" s="27">
        <f>8.4945 * CHOOSE(CONTROL!$C$32, $C$9, 100%, $E$9)</f>
        <v>8.4945000000000004</v>
      </c>
      <c r="G524" s="27">
        <f>8.4998 * CHOOSE(CONTROL!$C$32, $C$9, 100%, $E$9)</f>
        <v>8.4998000000000005</v>
      </c>
      <c r="H524" s="27">
        <f>16.027 * CHOOSE(CONTROL!$C$32, $C$9, 100%, $E$9)</f>
        <v>16.027000000000001</v>
      </c>
      <c r="I524" s="27">
        <f>16.0323 * CHOOSE(CONTROL!$C$32, $C$9, 100%, $E$9)</f>
        <v>16.032299999999999</v>
      </c>
      <c r="J524" s="27">
        <f>16.027 * CHOOSE(CONTROL!$C$32, $C$9, 100%, $E$9)</f>
        <v>16.027000000000001</v>
      </c>
      <c r="K524" s="27">
        <f>16.0323 * CHOOSE(CONTROL!$C$32, $C$9, 100%, $E$9)</f>
        <v>16.032299999999999</v>
      </c>
      <c r="L524" s="27">
        <f>8.4945 * CHOOSE(CONTROL!$C$32, $C$9, 100%, $E$9)</f>
        <v>8.4945000000000004</v>
      </c>
      <c r="M524" s="27">
        <f>8.4998 * CHOOSE(CONTROL!$C$32, $C$9, 100%, $E$9)</f>
        <v>8.4998000000000005</v>
      </c>
      <c r="N524" s="27">
        <f>8.4945 * CHOOSE(CONTROL!$C$32, $C$9, 100%, $E$9)</f>
        <v>8.4945000000000004</v>
      </c>
      <c r="O524" s="27">
        <f>8.4998 * CHOOSE(CONTROL!$C$32, $C$9, 100%, $E$9)</f>
        <v>8.4998000000000005</v>
      </c>
    </row>
    <row r="525" spans="1:15" ht="15" x14ac:dyDescent="0.2">
      <c r="A525" s="16">
        <v>56827</v>
      </c>
      <c r="B525" s="26">
        <f>7.4846 * CHOOSE(CONTROL!$C$32, $C$9, 100%, $E$9)</f>
        <v>7.4846000000000004</v>
      </c>
      <c r="C525" s="26">
        <f>7.4846 * CHOOSE(CONTROL!$C$32, $C$9, 100%, $E$9)</f>
        <v>7.4846000000000004</v>
      </c>
      <c r="D525" s="26">
        <f>7.4862 * CHOOSE(CONTROL!$C$32, $C$9, 100%, $E$9)</f>
        <v>7.4862000000000002</v>
      </c>
      <c r="E525" s="27">
        <f>8.3222 * CHOOSE(CONTROL!$C$32, $C$9, 100%, $E$9)</f>
        <v>8.3222000000000005</v>
      </c>
      <c r="F525" s="27">
        <f>8.3222 * CHOOSE(CONTROL!$C$32, $C$9, 100%, $E$9)</f>
        <v>8.3222000000000005</v>
      </c>
      <c r="G525" s="27">
        <f>8.3275 * CHOOSE(CONTROL!$C$32, $C$9, 100%, $E$9)</f>
        <v>8.3275000000000006</v>
      </c>
      <c r="H525" s="27">
        <f>16.0604 * CHOOSE(CONTROL!$C$32, $C$9, 100%, $E$9)</f>
        <v>16.060400000000001</v>
      </c>
      <c r="I525" s="27">
        <f>16.0657 * CHOOSE(CONTROL!$C$32, $C$9, 100%, $E$9)</f>
        <v>16.0657</v>
      </c>
      <c r="J525" s="27">
        <f>16.0604 * CHOOSE(CONTROL!$C$32, $C$9, 100%, $E$9)</f>
        <v>16.060400000000001</v>
      </c>
      <c r="K525" s="27">
        <f>16.0657 * CHOOSE(CONTROL!$C$32, $C$9, 100%, $E$9)</f>
        <v>16.0657</v>
      </c>
      <c r="L525" s="27">
        <f>8.3222 * CHOOSE(CONTROL!$C$32, $C$9, 100%, $E$9)</f>
        <v>8.3222000000000005</v>
      </c>
      <c r="M525" s="27">
        <f>8.3275 * CHOOSE(CONTROL!$C$32, $C$9, 100%, $E$9)</f>
        <v>8.3275000000000006</v>
      </c>
      <c r="N525" s="27">
        <f>8.3222 * CHOOSE(CONTROL!$C$32, $C$9, 100%, $E$9)</f>
        <v>8.3222000000000005</v>
      </c>
      <c r="O525" s="27">
        <f>8.3275 * CHOOSE(CONTROL!$C$32, $C$9, 100%, $E$9)</f>
        <v>8.3275000000000006</v>
      </c>
    </row>
    <row r="526" spans="1:15" ht="15" x14ac:dyDescent="0.2">
      <c r="A526" s="16">
        <v>56858</v>
      </c>
      <c r="B526" s="26">
        <f>7.4816 * CHOOSE(CONTROL!$C$32, $C$9, 100%, $E$9)</f>
        <v>7.4816000000000003</v>
      </c>
      <c r="C526" s="26">
        <f>7.4816 * CHOOSE(CONTROL!$C$32, $C$9, 100%, $E$9)</f>
        <v>7.4816000000000003</v>
      </c>
      <c r="D526" s="26">
        <f>7.4831 * CHOOSE(CONTROL!$C$32, $C$9, 100%, $E$9)</f>
        <v>7.4831000000000003</v>
      </c>
      <c r="E526" s="27">
        <f>8.3004 * CHOOSE(CONTROL!$C$32, $C$9, 100%, $E$9)</f>
        <v>8.3003999999999998</v>
      </c>
      <c r="F526" s="27">
        <f>8.3004 * CHOOSE(CONTROL!$C$32, $C$9, 100%, $E$9)</f>
        <v>8.3003999999999998</v>
      </c>
      <c r="G526" s="27">
        <f>8.3057 * CHOOSE(CONTROL!$C$32, $C$9, 100%, $E$9)</f>
        <v>8.3056999999999999</v>
      </c>
      <c r="H526" s="27">
        <f>16.0938 * CHOOSE(CONTROL!$C$32, $C$9, 100%, $E$9)</f>
        <v>16.093800000000002</v>
      </c>
      <c r="I526" s="27">
        <f>16.0991 * CHOOSE(CONTROL!$C$32, $C$9, 100%, $E$9)</f>
        <v>16.0991</v>
      </c>
      <c r="J526" s="27">
        <f>16.0938 * CHOOSE(CONTROL!$C$32, $C$9, 100%, $E$9)</f>
        <v>16.093800000000002</v>
      </c>
      <c r="K526" s="27">
        <f>16.0991 * CHOOSE(CONTROL!$C$32, $C$9, 100%, $E$9)</f>
        <v>16.0991</v>
      </c>
      <c r="L526" s="27">
        <f>8.3004 * CHOOSE(CONTROL!$C$32, $C$9, 100%, $E$9)</f>
        <v>8.3003999999999998</v>
      </c>
      <c r="M526" s="27">
        <f>8.3057 * CHOOSE(CONTROL!$C$32, $C$9, 100%, $E$9)</f>
        <v>8.3056999999999999</v>
      </c>
      <c r="N526" s="27">
        <f>8.3004 * CHOOSE(CONTROL!$C$32, $C$9, 100%, $E$9)</f>
        <v>8.3003999999999998</v>
      </c>
      <c r="O526" s="27">
        <f>8.3057 * CHOOSE(CONTROL!$C$32, $C$9, 100%, $E$9)</f>
        <v>8.3056999999999999</v>
      </c>
    </row>
    <row r="527" spans="1:15" ht="15" x14ac:dyDescent="0.2">
      <c r="A527" s="16">
        <v>56888</v>
      </c>
      <c r="B527" s="26">
        <f>7.4896 * CHOOSE(CONTROL!$C$32, $C$9, 100%, $E$9)</f>
        <v>7.4896000000000003</v>
      </c>
      <c r="C527" s="26">
        <f>7.4896 * CHOOSE(CONTROL!$C$32, $C$9, 100%, $E$9)</f>
        <v>7.4896000000000003</v>
      </c>
      <c r="D527" s="26">
        <f>7.4906 * CHOOSE(CONTROL!$C$32, $C$9, 100%, $E$9)</f>
        <v>7.4905999999999997</v>
      </c>
      <c r="E527" s="27">
        <f>8.3656 * CHOOSE(CONTROL!$C$32, $C$9, 100%, $E$9)</f>
        <v>8.3656000000000006</v>
      </c>
      <c r="F527" s="27">
        <f>8.3656 * CHOOSE(CONTROL!$C$32, $C$9, 100%, $E$9)</f>
        <v>8.3656000000000006</v>
      </c>
      <c r="G527" s="27">
        <f>8.3692 * CHOOSE(CONTROL!$C$32, $C$9, 100%, $E$9)</f>
        <v>8.3691999999999993</v>
      </c>
      <c r="H527" s="27">
        <f>16.1274 * CHOOSE(CONTROL!$C$32, $C$9, 100%, $E$9)</f>
        <v>16.127400000000002</v>
      </c>
      <c r="I527" s="27">
        <f>16.131 * CHOOSE(CONTROL!$C$32, $C$9, 100%, $E$9)</f>
        <v>16.131</v>
      </c>
      <c r="J527" s="27">
        <f>16.1274 * CHOOSE(CONTROL!$C$32, $C$9, 100%, $E$9)</f>
        <v>16.127400000000002</v>
      </c>
      <c r="K527" s="27">
        <f>16.131 * CHOOSE(CONTROL!$C$32, $C$9, 100%, $E$9)</f>
        <v>16.131</v>
      </c>
      <c r="L527" s="27">
        <f>8.3656 * CHOOSE(CONTROL!$C$32, $C$9, 100%, $E$9)</f>
        <v>8.3656000000000006</v>
      </c>
      <c r="M527" s="27">
        <f>8.3692 * CHOOSE(CONTROL!$C$32, $C$9, 100%, $E$9)</f>
        <v>8.3691999999999993</v>
      </c>
      <c r="N527" s="27">
        <f>8.3656 * CHOOSE(CONTROL!$C$32, $C$9, 100%, $E$9)</f>
        <v>8.3656000000000006</v>
      </c>
      <c r="O527" s="27">
        <f>8.3692 * CHOOSE(CONTROL!$C$32, $C$9, 100%, $E$9)</f>
        <v>8.3691999999999993</v>
      </c>
    </row>
    <row r="528" spans="1:15" ht="15" x14ac:dyDescent="0.2">
      <c r="A528" s="16">
        <v>56919</v>
      </c>
      <c r="B528" s="26">
        <f>7.4926 * CHOOSE(CONTROL!$C$32, $C$9, 100%, $E$9)</f>
        <v>7.4926000000000004</v>
      </c>
      <c r="C528" s="26">
        <f>7.4926 * CHOOSE(CONTROL!$C$32, $C$9, 100%, $E$9)</f>
        <v>7.4926000000000004</v>
      </c>
      <c r="D528" s="26">
        <f>7.4937 * CHOOSE(CONTROL!$C$32, $C$9, 100%, $E$9)</f>
        <v>7.4936999999999996</v>
      </c>
      <c r="E528" s="27">
        <f>8.4071 * CHOOSE(CONTROL!$C$32, $C$9, 100%, $E$9)</f>
        <v>8.4070999999999998</v>
      </c>
      <c r="F528" s="27">
        <f>8.4071 * CHOOSE(CONTROL!$C$32, $C$9, 100%, $E$9)</f>
        <v>8.4070999999999998</v>
      </c>
      <c r="G528" s="27">
        <f>8.4107 * CHOOSE(CONTROL!$C$32, $C$9, 100%, $E$9)</f>
        <v>8.4107000000000003</v>
      </c>
      <c r="H528" s="27">
        <f>16.161 * CHOOSE(CONTROL!$C$32, $C$9, 100%, $E$9)</f>
        <v>16.161000000000001</v>
      </c>
      <c r="I528" s="27">
        <f>16.1646 * CHOOSE(CONTROL!$C$32, $C$9, 100%, $E$9)</f>
        <v>16.1646</v>
      </c>
      <c r="J528" s="27">
        <f>16.161 * CHOOSE(CONTROL!$C$32, $C$9, 100%, $E$9)</f>
        <v>16.161000000000001</v>
      </c>
      <c r="K528" s="27">
        <f>16.1646 * CHOOSE(CONTROL!$C$32, $C$9, 100%, $E$9)</f>
        <v>16.1646</v>
      </c>
      <c r="L528" s="27">
        <f>8.4071 * CHOOSE(CONTROL!$C$32, $C$9, 100%, $E$9)</f>
        <v>8.4070999999999998</v>
      </c>
      <c r="M528" s="27">
        <f>8.4107 * CHOOSE(CONTROL!$C$32, $C$9, 100%, $E$9)</f>
        <v>8.4107000000000003</v>
      </c>
      <c r="N528" s="27">
        <f>8.4071 * CHOOSE(CONTROL!$C$32, $C$9, 100%, $E$9)</f>
        <v>8.4070999999999998</v>
      </c>
      <c r="O528" s="27">
        <f>8.4107 * CHOOSE(CONTROL!$C$32, $C$9, 100%, $E$9)</f>
        <v>8.4107000000000003</v>
      </c>
    </row>
    <row r="529" spans="1:15" ht="15" x14ac:dyDescent="0.2">
      <c r="A529" s="16">
        <v>56949</v>
      </c>
      <c r="B529" s="26">
        <f>7.4926 * CHOOSE(CONTROL!$C$32, $C$9, 100%, $E$9)</f>
        <v>7.4926000000000004</v>
      </c>
      <c r="C529" s="26">
        <f>7.4926 * CHOOSE(CONTROL!$C$32, $C$9, 100%, $E$9)</f>
        <v>7.4926000000000004</v>
      </c>
      <c r="D529" s="26">
        <f>7.4937 * CHOOSE(CONTROL!$C$32, $C$9, 100%, $E$9)</f>
        <v>7.4936999999999996</v>
      </c>
      <c r="E529" s="27">
        <f>8.3087 * CHOOSE(CONTROL!$C$32, $C$9, 100%, $E$9)</f>
        <v>8.3087</v>
      </c>
      <c r="F529" s="27">
        <f>8.3087 * CHOOSE(CONTROL!$C$32, $C$9, 100%, $E$9)</f>
        <v>8.3087</v>
      </c>
      <c r="G529" s="27">
        <f>8.3124 * CHOOSE(CONTROL!$C$32, $C$9, 100%, $E$9)</f>
        <v>8.3124000000000002</v>
      </c>
      <c r="H529" s="27">
        <f>16.1946 * CHOOSE(CONTROL!$C$32, $C$9, 100%, $E$9)</f>
        <v>16.194600000000001</v>
      </c>
      <c r="I529" s="27">
        <f>16.1983 * CHOOSE(CONTROL!$C$32, $C$9, 100%, $E$9)</f>
        <v>16.1983</v>
      </c>
      <c r="J529" s="27">
        <f>16.1946 * CHOOSE(CONTROL!$C$32, $C$9, 100%, $E$9)</f>
        <v>16.194600000000001</v>
      </c>
      <c r="K529" s="27">
        <f>16.1983 * CHOOSE(CONTROL!$C$32, $C$9, 100%, $E$9)</f>
        <v>16.1983</v>
      </c>
      <c r="L529" s="27">
        <f>8.3087 * CHOOSE(CONTROL!$C$32, $C$9, 100%, $E$9)</f>
        <v>8.3087</v>
      </c>
      <c r="M529" s="27">
        <f>8.3124 * CHOOSE(CONTROL!$C$32, $C$9, 100%, $E$9)</f>
        <v>8.3124000000000002</v>
      </c>
      <c r="N529" s="27">
        <f>8.3087 * CHOOSE(CONTROL!$C$32, $C$9, 100%, $E$9)</f>
        <v>8.3087</v>
      </c>
      <c r="O529" s="27">
        <f>8.3124 * CHOOSE(CONTROL!$C$32, $C$9, 100%, $E$9)</f>
        <v>8.3124000000000002</v>
      </c>
    </row>
    <row r="530" spans="1:15" ht="15" x14ac:dyDescent="0.2">
      <c r="A530" s="16">
        <v>56980</v>
      </c>
      <c r="B530" s="26">
        <f>7.5488 * CHOOSE(CONTROL!$C$32, $C$9, 100%, $E$9)</f>
        <v>7.5488</v>
      </c>
      <c r="C530" s="26">
        <f>7.5488 * CHOOSE(CONTROL!$C$32, $C$9, 100%, $E$9)</f>
        <v>7.5488</v>
      </c>
      <c r="D530" s="26">
        <f>7.5498 * CHOOSE(CONTROL!$C$32, $C$9, 100%, $E$9)</f>
        <v>7.5498000000000003</v>
      </c>
      <c r="E530" s="27">
        <f>8.4508 * CHOOSE(CONTROL!$C$32, $C$9, 100%, $E$9)</f>
        <v>8.4507999999999992</v>
      </c>
      <c r="F530" s="27">
        <f>8.4508 * CHOOSE(CONTROL!$C$32, $C$9, 100%, $E$9)</f>
        <v>8.4507999999999992</v>
      </c>
      <c r="G530" s="27">
        <f>8.4544 * CHOOSE(CONTROL!$C$32, $C$9, 100%, $E$9)</f>
        <v>8.4543999999999997</v>
      </c>
      <c r="H530" s="27">
        <f>16.2284 * CHOOSE(CONTROL!$C$32, $C$9, 100%, $E$9)</f>
        <v>16.228400000000001</v>
      </c>
      <c r="I530" s="27">
        <f>16.232 * CHOOSE(CONTROL!$C$32, $C$9, 100%, $E$9)</f>
        <v>16.231999999999999</v>
      </c>
      <c r="J530" s="27">
        <f>16.2284 * CHOOSE(CONTROL!$C$32, $C$9, 100%, $E$9)</f>
        <v>16.228400000000001</v>
      </c>
      <c r="K530" s="27">
        <f>16.232 * CHOOSE(CONTROL!$C$32, $C$9, 100%, $E$9)</f>
        <v>16.231999999999999</v>
      </c>
      <c r="L530" s="27">
        <f>8.4508 * CHOOSE(CONTROL!$C$32, $C$9, 100%, $E$9)</f>
        <v>8.4507999999999992</v>
      </c>
      <c r="M530" s="27">
        <f>8.4544 * CHOOSE(CONTROL!$C$32, $C$9, 100%, $E$9)</f>
        <v>8.4543999999999997</v>
      </c>
      <c r="N530" s="27">
        <f>8.4508 * CHOOSE(CONTROL!$C$32, $C$9, 100%, $E$9)</f>
        <v>8.4507999999999992</v>
      </c>
      <c r="O530" s="27">
        <f>8.4544 * CHOOSE(CONTROL!$C$32, $C$9, 100%, $E$9)</f>
        <v>8.4543999999999997</v>
      </c>
    </row>
    <row r="531" spans="1:15" ht="15" x14ac:dyDescent="0.2">
      <c r="A531" s="16">
        <v>57011</v>
      </c>
      <c r="B531" s="26">
        <f>7.5457 * CHOOSE(CONTROL!$C$32, $C$9, 100%, $E$9)</f>
        <v>7.5457000000000001</v>
      </c>
      <c r="C531" s="26">
        <f>7.5457 * CHOOSE(CONTROL!$C$32, $C$9, 100%, $E$9)</f>
        <v>7.5457000000000001</v>
      </c>
      <c r="D531" s="26">
        <f>7.5468 * CHOOSE(CONTROL!$C$32, $C$9, 100%, $E$9)</f>
        <v>7.5468000000000002</v>
      </c>
      <c r="E531" s="27">
        <f>8.2568 * CHOOSE(CONTROL!$C$32, $C$9, 100%, $E$9)</f>
        <v>8.2568000000000001</v>
      </c>
      <c r="F531" s="27">
        <f>8.2568 * CHOOSE(CONTROL!$C$32, $C$9, 100%, $E$9)</f>
        <v>8.2568000000000001</v>
      </c>
      <c r="G531" s="27">
        <f>8.2604 * CHOOSE(CONTROL!$C$32, $C$9, 100%, $E$9)</f>
        <v>8.2604000000000006</v>
      </c>
      <c r="H531" s="27">
        <f>16.2622 * CHOOSE(CONTROL!$C$32, $C$9, 100%, $E$9)</f>
        <v>16.2622</v>
      </c>
      <c r="I531" s="27">
        <f>16.2658 * CHOOSE(CONTROL!$C$32, $C$9, 100%, $E$9)</f>
        <v>16.265799999999999</v>
      </c>
      <c r="J531" s="27">
        <f>16.2622 * CHOOSE(CONTROL!$C$32, $C$9, 100%, $E$9)</f>
        <v>16.2622</v>
      </c>
      <c r="K531" s="27">
        <f>16.2658 * CHOOSE(CONTROL!$C$32, $C$9, 100%, $E$9)</f>
        <v>16.265799999999999</v>
      </c>
      <c r="L531" s="27">
        <f>8.2568 * CHOOSE(CONTROL!$C$32, $C$9, 100%, $E$9)</f>
        <v>8.2568000000000001</v>
      </c>
      <c r="M531" s="27">
        <f>8.2604 * CHOOSE(CONTROL!$C$32, $C$9, 100%, $E$9)</f>
        <v>8.2604000000000006</v>
      </c>
      <c r="N531" s="27">
        <f>8.2568 * CHOOSE(CONTROL!$C$32, $C$9, 100%, $E$9)</f>
        <v>8.2568000000000001</v>
      </c>
      <c r="O531" s="27">
        <f>8.2604 * CHOOSE(CONTROL!$C$32, $C$9, 100%, $E$9)</f>
        <v>8.2604000000000006</v>
      </c>
    </row>
    <row r="532" spans="1:15" ht="15" x14ac:dyDescent="0.2">
      <c r="A532" s="16">
        <v>57040</v>
      </c>
      <c r="B532" s="26">
        <f>7.5427 * CHOOSE(CONTROL!$C$32, $C$9, 100%, $E$9)</f>
        <v>7.5427</v>
      </c>
      <c r="C532" s="26">
        <f>7.5427 * CHOOSE(CONTROL!$C$32, $C$9, 100%, $E$9)</f>
        <v>7.5427</v>
      </c>
      <c r="D532" s="26">
        <f>7.5438 * CHOOSE(CONTROL!$C$32, $C$9, 100%, $E$9)</f>
        <v>7.5438000000000001</v>
      </c>
      <c r="E532" s="27">
        <f>8.406 * CHOOSE(CONTROL!$C$32, $C$9, 100%, $E$9)</f>
        <v>8.4060000000000006</v>
      </c>
      <c r="F532" s="27">
        <f>8.406 * CHOOSE(CONTROL!$C$32, $C$9, 100%, $E$9)</f>
        <v>8.4060000000000006</v>
      </c>
      <c r="G532" s="27">
        <f>8.4096 * CHOOSE(CONTROL!$C$32, $C$9, 100%, $E$9)</f>
        <v>8.4095999999999993</v>
      </c>
      <c r="H532" s="27">
        <f>16.2961 * CHOOSE(CONTROL!$C$32, $C$9, 100%, $E$9)</f>
        <v>16.296099999999999</v>
      </c>
      <c r="I532" s="27">
        <f>16.2997 * CHOOSE(CONTROL!$C$32, $C$9, 100%, $E$9)</f>
        <v>16.299700000000001</v>
      </c>
      <c r="J532" s="27">
        <f>16.2961 * CHOOSE(CONTROL!$C$32, $C$9, 100%, $E$9)</f>
        <v>16.296099999999999</v>
      </c>
      <c r="K532" s="27">
        <f>16.2997 * CHOOSE(CONTROL!$C$32, $C$9, 100%, $E$9)</f>
        <v>16.299700000000001</v>
      </c>
      <c r="L532" s="27">
        <f>8.406 * CHOOSE(CONTROL!$C$32, $C$9, 100%, $E$9)</f>
        <v>8.4060000000000006</v>
      </c>
      <c r="M532" s="27">
        <f>8.4096 * CHOOSE(CONTROL!$C$32, $C$9, 100%, $E$9)</f>
        <v>8.4095999999999993</v>
      </c>
      <c r="N532" s="27">
        <f>8.406 * CHOOSE(CONTROL!$C$32, $C$9, 100%, $E$9)</f>
        <v>8.4060000000000006</v>
      </c>
      <c r="O532" s="27">
        <f>8.4096 * CHOOSE(CONTROL!$C$32, $C$9, 100%, $E$9)</f>
        <v>8.4095999999999993</v>
      </c>
    </row>
    <row r="533" spans="1:15" ht="15" x14ac:dyDescent="0.2">
      <c r="A533" s="16">
        <v>57071</v>
      </c>
      <c r="B533" s="26">
        <f>7.5438 * CHOOSE(CONTROL!$C$32, $C$9, 100%, $E$9)</f>
        <v>7.5438000000000001</v>
      </c>
      <c r="C533" s="26">
        <f>7.5438 * CHOOSE(CONTROL!$C$32, $C$9, 100%, $E$9)</f>
        <v>7.5438000000000001</v>
      </c>
      <c r="D533" s="26">
        <f>7.5448 * CHOOSE(CONTROL!$C$32, $C$9, 100%, $E$9)</f>
        <v>7.5448000000000004</v>
      </c>
      <c r="E533" s="27">
        <f>8.5642 * CHOOSE(CONTROL!$C$32, $C$9, 100%, $E$9)</f>
        <v>8.5641999999999996</v>
      </c>
      <c r="F533" s="27">
        <f>8.5642 * CHOOSE(CONTROL!$C$32, $C$9, 100%, $E$9)</f>
        <v>8.5641999999999996</v>
      </c>
      <c r="G533" s="27">
        <f>8.5678 * CHOOSE(CONTROL!$C$32, $C$9, 100%, $E$9)</f>
        <v>8.5678000000000001</v>
      </c>
      <c r="H533" s="27">
        <f>16.33 * CHOOSE(CONTROL!$C$32, $C$9, 100%, $E$9)</f>
        <v>16.329999999999998</v>
      </c>
      <c r="I533" s="27">
        <f>16.3336 * CHOOSE(CONTROL!$C$32, $C$9, 100%, $E$9)</f>
        <v>16.333600000000001</v>
      </c>
      <c r="J533" s="27">
        <f>16.33 * CHOOSE(CONTROL!$C$32, $C$9, 100%, $E$9)</f>
        <v>16.329999999999998</v>
      </c>
      <c r="K533" s="27">
        <f>16.3336 * CHOOSE(CONTROL!$C$32, $C$9, 100%, $E$9)</f>
        <v>16.333600000000001</v>
      </c>
      <c r="L533" s="27">
        <f>8.5642 * CHOOSE(CONTROL!$C$32, $C$9, 100%, $E$9)</f>
        <v>8.5641999999999996</v>
      </c>
      <c r="M533" s="27">
        <f>8.5678 * CHOOSE(CONTROL!$C$32, $C$9, 100%, $E$9)</f>
        <v>8.5678000000000001</v>
      </c>
      <c r="N533" s="27">
        <f>8.5642 * CHOOSE(CONTROL!$C$32, $C$9, 100%, $E$9)</f>
        <v>8.5641999999999996</v>
      </c>
      <c r="O533" s="27">
        <f>8.5678 * CHOOSE(CONTROL!$C$32, $C$9, 100%, $E$9)</f>
        <v>8.5678000000000001</v>
      </c>
    </row>
    <row r="534" spans="1:15" ht="15" x14ac:dyDescent="0.2">
      <c r="A534" s="16">
        <v>57101</v>
      </c>
      <c r="B534" s="26">
        <f>7.5438 * CHOOSE(CONTROL!$C$32, $C$9, 100%, $E$9)</f>
        <v>7.5438000000000001</v>
      </c>
      <c r="C534" s="26">
        <f>7.5438 * CHOOSE(CONTROL!$C$32, $C$9, 100%, $E$9)</f>
        <v>7.5438000000000001</v>
      </c>
      <c r="D534" s="26">
        <f>7.5454 * CHOOSE(CONTROL!$C$32, $C$9, 100%, $E$9)</f>
        <v>7.5453999999999999</v>
      </c>
      <c r="E534" s="27">
        <f>8.6251 * CHOOSE(CONTROL!$C$32, $C$9, 100%, $E$9)</f>
        <v>8.6250999999999998</v>
      </c>
      <c r="F534" s="27">
        <f>8.6251 * CHOOSE(CONTROL!$C$32, $C$9, 100%, $E$9)</f>
        <v>8.6250999999999998</v>
      </c>
      <c r="G534" s="27">
        <f>8.6304 * CHOOSE(CONTROL!$C$32, $C$9, 100%, $E$9)</f>
        <v>8.6303999999999998</v>
      </c>
      <c r="H534" s="27">
        <f>16.364 * CHOOSE(CONTROL!$C$32, $C$9, 100%, $E$9)</f>
        <v>16.364000000000001</v>
      </c>
      <c r="I534" s="27">
        <f>16.3693 * CHOOSE(CONTROL!$C$32, $C$9, 100%, $E$9)</f>
        <v>16.369299999999999</v>
      </c>
      <c r="J534" s="27">
        <f>16.364 * CHOOSE(CONTROL!$C$32, $C$9, 100%, $E$9)</f>
        <v>16.364000000000001</v>
      </c>
      <c r="K534" s="27">
        <f>16.3693 * CHOOSE(CONTROL!$C$32, $C$9, 100%, $E$9)</f>
        <v>16.369299999999999</v>
      </c>
      <c r="L534" s="27">
        <f>8.6251 * CHOOSE(CONTROL!$C$32, $C$9, 100%, $E$9)</f>
        <v>8.6250999999999998</v>
      </c>
      <c r="M534" s="27">
        <f>8.6304 * CHOOSE(CONTROL!$C$32, $C$9, 100%, $E$9)</f>
        <v>8.6303999999999998</v>
      </c>
      <c r="N534" s="27">
        <f>8.6251 * CHOOSE(CONTROL!$C$32, $C$9, 100%, $E$9)</f>
        <v>8.6250999999999998</v>
      </c>
      <c r="O534" s="27">
        <f>8.6304 * CHOOSE(CONTROL!$C$32, $C$9, 100%, $E$9)</f>
        <v>8.6303999999999998</v>
      </c>
    </row>
    <row r="535" spans="1:15" ht="15" x14ac:dyDescent="0.2">
      <c r="A535" s="16">
        <v>57132</v>
      </c>
      <c r="B535" s="26">
        <f>7.5499 * CHOOSE(CONTROL!$C$32, $C$9, 100%, $E$9)</f>
        <v>7.5499000000000001</v>
      </c>
      <c r="C535" s="26">
        <f>7.5499 * CHOOSE(CONTROL!$C$32, $C$9, 100%, $E$9)</f>
        <v>7.5499000000000001</v>
      </c>
      <c r="D535" s="26">
        <f>7.5514 * CHOOSE(CONTROL!$C$32, $C$9, 100%, $E$9)</f>
        <v>7.5514000000000001</v>
      </c>
      <c r="E535" s="27">
        <f>8.5684 * CHOOSE(CONTROL!$C$32, $C$9, 100%, $E$9)</f>
        <v>8.5684000000000005</v>
      </c>
      <c r="F535" s="27">
        <f>8.5684 * CHOOSE(CONTROL!$C$32, $C$9, 100%, $E$9)</f>
        <v>8.5684000000000005</v>
      </c>
      <c r="G535" s="27">
        <f>8.5737 * CHOOSE(CONTROL!$C$32, $C$9, 100%, $E$9)</f>
        <v>8.5737000000000005</v>
      </c>
      <c r="H535" s="27">
        <f>16.3981 * CHOOSE(CONTROL!$C$32, $C$9, 100%, $E$9)</f>
        <v>16.398099999999999</v>
      </c>
      <c r="I535" s="27">
        <f>16.4034 * CHOOSE(CONTROL!$C$32, $C$9, 100%, $E$9)</f>
        <v>16.403400000000001</v>
      </c>
      <c r="J535" s="27">
        <f>16.3981 * CHOOSE(CONTROL!$C$32, $C$9, 100%, $E$9)</f>
        <v>16.398099999999999</v>
      </c>
      <c r="K535" s="27">
        <f>16.4034 * CHOOSE(CONTROL!$C$32, $C$9, 100%, $E$9)</f>
        <v>16.403400000000001</v>
      </c>
      <c r="L535" s="27">
        <f>8.5684 * CHOOSE(CONTROL!$C$32, $C$9, 100%, $E$9)</f>
        <v>8.5684000000000005</v>
      </c>
      <c r="M535" s="27">
        <f>8.5737 * CHOOSE(CONTROL!$C$32, $C$9, 100%, $E$9)</f>
        <v>8.5737000000000005</v>
      </c>
      <c r="N535" s="27">
        <f>8.5684 * CHOOSE(CONTROL!$C$32, $C$9, 100%, $E$9)</f>
        <v>8.5684000000000005</v>
      </c>
      <c r="O535" s="27">
        <f>8.5737 * CHOOSE(CONTROL!$C$32, $C$9, 100%, $E$9)</f>
        <v>8.5737000000000005</v>
      </c>
    </row>
    <row r="536" spans="1:15" ht="15" x14ac:dyDescent="0.2">
      <c r="A536" s="16">
        <v>57162</v>
      </c>
      <c r="B536" s="26">
        <f>7.6474 * CHOOSE(CONTROL!$C$32, $C$9, 100%, $E$9)</f>
        <v>7.6474000000000002</v>
      </c>
      <c r="C536" s="26">
        <f>7.6474 * CHOOSE(CONTROL!$C$32, $C$9, 100%, $E$9)</f>
        <v>7.6474000000000002</v>
      </c>
      <c r="D536" s="26">
        <f>7.6489 * CHOOSE(CONTROL!$C$32, $C$9, 100%, $E$9)</f>
        <v>7.6489000000000003</v>
      </c>
      <c r="E536" s="27">
        <f>8.6867 * CHOOSE(CONTROL!$C$32, $C$9, 100%, $E$9)</f>
        <v>8.6867000000000001</v>
      </c>
      <c r="F536" s="27">
        <f>8.6867 * CHOOSE(CONTROL!$C$32, $C$9, 100%, $E$9)</f>
        <v>8.6867000000000001</v>
      </c>
      <c r="G536" s="27">
        <f>8.692 * CHOOSE(CONTROL!$C$32, $C$9, 100%, $E$9)</f>
        <v>8.6920000000000002</v>
      </c>
      <c r="H536" s="27">
        <f>16.4323 * CHOOSE(CONTROL!$C$32, $C$9, 100%, $E$9)</f>
        <v>16.432300000000001</v>
      </c>
      <c r="I536" s="27">
        <f>16.4376 * CHOOSE(CONTROL!$C$32, $C$9, 100%, $E$9)</f>
        <v>16.4376</v>
      </c>
      <c r="J536" s="27">
        <f>16.4323 * CHOOSE(CONTROL!$C$32, $C$9, 100%, $E$9)</f>
        <v>16.432300000000001</v>
      </c>
      <c r="K536" s="27">
        <f>16.4376 * CHOOSE(CONTROL!$C$32, $C$9, 100%, $E$9)</f>
        <v>16.4376</v>
      </c>
      <c r="L536" s="27">
        <f>8.6867 * CHOOSE(CONTROL!$C$32, $C$9, 100%, $E$9)</f>
        <v>8.6867000000000001</v>
      </c>
      <c r="M536" s="27">
        <f>8.692 * CHOOSE(CONTROL!$C$32, $C$9, 100%, $E$9)</f>
        <v>8.6920000000000002</v>
      </c>
      <c r="N536" s="27">
        <f>8.6867 * CHOOSE(CONTROL!$C$32, $C$9, 100%, $E$9)</f>
        <v>8.6867000000000001</v>
      </c>
      <c r="O536" s="27">
        <f>8.692 * CHOOSE(CONTROL!$C$32, $C$9, 100%, $E$9)</f>
        <v>8.6920000000000002</v>
      </c>
    </row>
    <row r="537" spans="1:15" ht="15" x14ac:dyDescent="0.2">
      <c r="A537" s="16">
        <v>57193</v>
      </c>
      <c r="B537" s="26">
        <f>7.654 * CHOOSE(CONTROL!$C$32, $C$9, 100%, $E$9)</f>
        <v>7.6539999999999999</v>
      </c>
      <c r="C537" s="26">
        <f>7.654 * CHOOSE(CONTROL!$C$32, $C$9, 100%, $E$9)</f>
        <v>7.6539999999999999</v>
      </c>
      <c r="D537" s="26">
        <f>7.6556 * CHOOSE(CONTROL!$C$32, $C$9, 100%, $E$9)</f>
        <v>7.6555999999999997</v>
      </c>
      <c r="E537" s="27">
        <f>8.5087 * CHOOSE(CONTROL!$C$32, $C$9, 100%, $E$9)</f>
        <v>8.5086999999999993</v>
      </c>
      <c r="F537" s="27">
        <f>8.5087 * CHOOSE(CONTROL!$C$32, $C$9, 100%, $E$9)</f>
        <v>8.5086999999999993</v>
      </c>
      <c r="G537" s="27">
        <f>8.5139 * CHOOSE(CONTROL!$C$32, $C$9, 100%, $E$9)</f>
        <v>8.5138999999999996</v>
      </c>
      <c r="H537" s="27">
        <f>16.4665 * CHOOSE(CONTROL!$C$32, $C$9, 100%, $E$9)</f>
        <v>16.4665</v>
      </c>
      <c r="I537" s="27">
        <f>16.4718 * CHOOSE(CONTROL!$C$32, $C$9, 100%, $E$9)</f>
        <v>16.471800000000002</v>
      </c>
      <c r="J537" s="27">
        <f>16.4665 * CHOOSE(CONTROL!$C$32, $C$9, 100%, $E$9)</f>
        <v>16.4665</v>
      </c>
      <c r="K537" s="27">
        <f>16.4718 * CHOOSE(CONTROL!$C$32, $C$9, 100%, $E$9)</f>
        <v>16.471800000000002</v>
      </c>
      <c r="L537" s="27">
        <f>8.5087 * CHOOSE(CONTROL!$C$32, $C$9, 100%, $E$9)</f>
        <v>8.5086999999999993</v>
      </c>
      <c r="M537" s="27">
        <f>8.5139 * CHOOSE(CONTROL!$C$32, $C$9, 100%, $E$9)</f>
        <v>8.5138999999999996</v>
      </c>
      <c r="N537" s="27">
        <f>8.5087 * CHOOSE(CONTROL!$C$32, $C$9, 100%, $E$9)</f>
        <v>8.5086999999999993</v>
      </c>
      <c r="O537" s="27">
        <f>8.5139 * CHOOSE(CONTROL!$C$32, $C$9, 100%, $E$9)</f>
        <v>8.5138999999999996</v>
      </c>
    </row>
    <row r="538" spans="1:15" ht="15" x14ac:dyDescent="0.2">
      <c r="A538" s="16">
        <v>57224</v>
      </c>
      <c r="B538" s="26">
        <f>7.651 * CHOOSE(CONTROL!$C$32, $C$9, 100%, $E$9)</f>
        <v>7.6509999999999998</v>
      </c>
      <c r="C538" s="26">
        <f>7.651 * CHOOSE(CONTROL!$C$32, $C$9, 100%, $E$9)</f>
        <v>7.6509999999999998</v>
      </c>
      <c r="D538" s="26">
        <f>7.6526 * CHOOSE(CONTROL!$C$32, $C$9, 100%, $E$9)</f>
        <v>7.6525999999999996</v>
      </c>
      <c r="E538" s="27">
        <f>8.4862 * CHOOSE(CONTROL!$C$32, $C$9, 100%, $E$9)</f>
        <v>8.4862000000000002</v>
      </c>
      <c r="F538" s="27">
        <f>8.4862 * CHOOSE(CONTROL!$C$32, $C$9, 100%, $E$9)</f>
        <v>8.4862000000000002</v>
      </c>
      <c r="G538" s="27">
        <f>8.4915 * CHOOSE(CONTROL!$C$32, $C$9, 100%, $E$9)</f>
        <v>8.4915000000000003</v>
      </c>
      <c r="H538" s="27">
        <f>16.5008 * CHOOSE(CONTROL!$C$32, $C$9, 100%, $E$9)</f>
        <v>16.500800000000002</v>
      </c>
      <c r="I538" s="27">
        <f>16.5061 * CHOOSE(CONTROL!$C$32, $C$9, 100%, $E$9)</f>
        <v>16.5061</v>
      </c>
      <c r="J538" s="27">
        <f>16.5008 * CHOOSE(CONTROL!$C$32, $C$9, 100%, $E$9)</f>
        <v>16.500800000000002</v>
      </c>
      <c r="K538" s="27">
        <f>16.5061 * CHOOSE(CONTROL!$C$32, $C$9, 100%, $E$9)</f>
        <v>16.5061</v>
      </c>
      <c r="L538" s="27">
        <f>8.4862 * CHOOSE(CONTROL!$C$32, $C$9, 100%, $E$9)</f>
        <v>8.4862000000000002</v>
      </c>
      <c r="M538" s="27">
        <f>8.4915 * CHOOSE(CONTROL!$C$32, $C$9, 100%, $E$9)</f>
        <v>8.4915000000000003</v>
      </c>
      <c r="N538" s="27">
        <f>8.4862 * CHOOSE(CONTROL!$C$32, $C$9, 100%, $E$9)</f>
        <v>8.4862000000000002</v>
      </c>
      <c r="O538" s="27">
        <f>8.4915 * CHOOSE(CONTROL!$C$32, $C$9, 100%, $E$9)</f>
        <v>8.4915000000000003</v>
      </c>
    </row>
    <row r="539" spans="1:15" ht="15" x14ac:dyDescent="0.2">
      <c r="A539" s="16">
        <v>57254</v>
      </c>
      <c r="B539" s="26">
        <f>7.6597 * CHOOSE(CONTROL!$C$32, $C$9, 100%, $E$9)</f>
        <v>7.6597</v>
      </c>
      <c r="C539" s="26">
        <f>7.6597 * CHOOSE(CONTROL!$C$32, $C$9, 100%, $E$9)</f>
        <v>7.6597</v>
      </c>
      <c r="D539" s="26">
        <f>7.6607 * CHOOSE(CONTROL!$C$32, $C$9, 100%, $E$9)</f>
        <v>7.6607000000000003</v>
      </c>
      <c r="E539" s="27">
        <f>8.554 * CHOOSE(CONTROL!$C$32, $C$9, 100%, $E$9)</f>
        <v>8.5540000000000003</v>
      </c>
      <c r="F539" s="27">
        <f>8.554 * CHOOSE(CONTROL!$C$32, $C$9, 100%, $E$9)</f>
        <v>8.5540000000000003</v>
      </c>
      <c r="G539" s="27">
        <f>8.5577 * CHOOSE(CONTROL!$C$32, $C$9, 100%, $E$9)</f>
        <v>8.5577000000000005</v>
      </c>
      <c r="H539" s="27">
        <f>16.5352 * CHOOSE(CONTROL!$C$32, $C$9, 100%, $E$9)</f>
        <v>16.5352</v>
      </c>
      <c r="I539" s="27">
        <f>16.5388 * CHOOSE(CONTROL!$C$32, $C$9, 100%, $E$9)</f>
        <v>16.538799999999998</v>
      </c>
      <c r="J539" s="27">
        <f>16.5352 * CHOOSE(CONTROL!$C$32, $C$9, 100%, $E$9)</f>
        <v>16.5352</v>
      </c>
      <c r="K539" s="27">
        <f>16.5388 * CHOOSE(CONTROL!$C$32, $C$9, 100%, $E$9)</f>
        <v>16.538799999999998</v>
      </c>
      <c r="L539" s="27">
        <f>8.554 * CHOOSE(CONTROL!$C$32, $C$9, 100%, $E$9)</f>
        <v>8.5540000000000003</v>
      </c>
      <c r="M539" s="27">
        <f>8.5577 * CHOOSE(CONTROL!$C$32, $C$9, 100%, $E$9)</f>
        <v>8.5577000000000005</v>
      </c>
      <c r="N539" s="27">
        <f>8.554 * CHOOSE(CONTROL!$C$32, $C$9, 100%, $E$9)</f>
        <v>8.5540000000000003</v>
      </c>
      <c r="O539" s="27">
        <f>8.5577 * CHOOSE(CONTROL!$C$32, $C$9, 100%, $E$9)</f>
        <v>8.5577000000000005</v>
      </c>
    </row>
    <row r="540" spans="1:15" ht="15" x14ac:dyDescent="0.2">
      <c r="A540" s="16">
        <v>57285</v>
      </c>
      <c r="B540" s="26">
        <f>7.6627 * CHOOSE(CONTROL!$C$32, $C$9, 100%, $E$9)</f>
        <v>7.6627000000000001</v>
      </c>
      <c r="C540" s="26">
        <f>7.6627 * CHOOSE(CONTROL!$C$32, $C$9, 100%, $E$9)</f>
        <v>7.6627000000000001</v>
      </c>
      <c r="D540" s="26">
        <f>7.6638 * CHOOSE(CONTROL!$C$32, $C$9, 100%, $E$9)</f>
        <v>7.6638000000000002</v>
      </c>
      <c r="E540" s="27">
        <f>8.5968 * CHOOSE(CONTROL!$C$32, $C$9, 100%, $E$9)</f>
        <v>8.5968</v>
      </c>
      <c r="F540" s="27">
        <f>8.5968 * CHOOSE(CONTROL!$C$32, $C$9, 100%, $E$9)</f>
        <v>8.5968</v>
      </c>
      <c r="G540" s="27">
        <f>8.6004 * CHOOSE(CONTROL!$C$32, $C$9, 100%, $E$9)</f>
        <v>8.6004000000000005</v>
      </c>
      <c r="H540" s="27">
        <f>16.5697 * CHOOSE(CONTROL!$C$32, $C$9, 100%, $E$9)</f>
        <v>16.569700000000001</v>
      </c>
      <c r="I540" s="27">
        <f>16.5733 * CHOOSE(CONTROL!$C$32, $C$9, 100%, $E$9)</f>
        <v>16.5733</v>
      </c>
      <c r="J540" s="27">
        <f>16.5697 * CHOOSE(CONTROL!$C$32, $C$9, 100%, $E$9)</f>
        <v>16.569700000000001</v>
      </c>
      <c r="K540" s="27">
        <f>16.5733 * CHOOSE(CONTROL!$C$32, $C$9, 100%, $E$9)</f>
        <v>16.5733</v>
      </c>
      <c r="L540" s="27">
        <f>8.5968 * CHOOSE(CONTROL!$C$32, $C$9, 100%, $E$9)</f>
        <v>8.5968</v>
      </c>
      <c r="M540" s="27">
        <f>8.6004 * CHOOSE(CONTROL!$C$32, $C$9, 100%, $E$9)</f>
        <v>8.6004000000000005</v>
      </c>
      <c r="N540" s="27">
        <f>8.5968 * CHOOSE(CONTROL!$C$32, $C$9, 100%, $E$9)</f>
        <v>8.5968</v>
      </c>
      <c r="O540" s="27">
        <f>8.6004 * CHOOSE(CONTROL!$C$32, $C$9, 100%, $E$9)</f>
        <v>8.6004000000000005</v>
      </c>
    </row>
    <row r="541" spans="1:15" ht="15" x14ac:dyDescent="0.2">
      <c r="A541" s="16">
        <v>57315</v>
      </c>
      <c r="B541" s="26">
        <f>7.6627 * CHOOSE(CONTROL!$C$32, $C$9, 100%, $E$9)</f>
        <v>7.6627000000000001</v>
      </c>
      <c r="C541" s="26">
        <f>7.6627 * CHOOSE(CONTROL!$C$32, $C$9, 100%, $E$9)</f>
        <v>7.6627000000000001</v>
      </c>
      <c r="D541" s="26">
        <f>7.6638 * CHOOSE(CONTROL!$C$32, $C$9, 100%, $E$9)</f>
        <v>7.6638000000000002</v>
      </c>
      <c r="E541" s="27">
        <f>8.4952 * CHOOSE(CONTROL!$C$32, $C$9, 100%, $E$9)</f>
        <v>8.4952000000000005</v>
      </c>
      <c r="F541" s="27">
        <f>8.4952 * CHOOSE(CONTROL!$C$32, $C$9, 100%, $E$9)</f>
        <v>8.4952000000000005</v>
      </c>
      <c r="G541" s="27">
        <f>8.4989 * CHOOSE(CONTROL!$C$32, $C$9, 100%, $E$9)</f>
        <v>8.4989000000000008</v>
      </c>
      <c r="H541" s="27">
        <f>16.6042 * CHOOSE(CONTROL!$C$32, $C$9, 100%, $E$9)</f>
        <v>16.604199999999999</v>
      </c>
      <c r="I541" s="27">
        <f>16.6078 * CHOOSE(CONTROL!$C$32, $C$9, 100%, $E$9)</f>
        <v>16.607800000000001</v>
      </c>
      <c r="J541" s="27">
        <f>16.6042 * CHOOSE(CONTROL!$C$32, $C$9, 100%, $E$9)</f>
        <v>16.604199999999999</v>
      </c>
      <c r="K541" s="27">
        <f>16.6078 * CHOOSE(CONTROL!$C$32, $C$9, 100%, $E$9)</f>
        <v>16.607800000000001</v>
      </c>
      <c r="L541" s="27">
        <f>8.4952 * CHOOSE(CONTROL!$C$32, $C$9, 100%, $E$9)</f>
        <v>8.4952000000000005</v>
      </c>
      <c r="M541" s="27">
        <f>8.4989 * CHOOSE(CONTROL!$C$32, $C$9, 100%, $E$9)</f>
        <v>8.4989000000000008</v>
      </c>
      <c r="N541" s="27">
        <f>8.4952 * CHOOSE(CONTROL!$C$32, $C$9, 100%, $E$9)</f>
        <v>8.4952000000000005</v>
      </c>
      <c r="O541" s="27">
        <f>8.4989 * CHOOSE(CONTROL!$C$32, $C$9, 100%, $E$9)</f>
        <v>8.4989000000000008</v>
      </c>
    </row>
    <row r="542" spans="1:15" ht="15" x14ac:dyDescent="0.2">
      <c r="A542" s="16">
        <v>57346</v>
      </c>
      <c r="B542" s="26">
        <f>7.72 * CHOOSE(CONTROL!$C$32, $C$9, 100%, $E$9)</f>
        <v>7.72</v>
      </c>
      <c r="C542" s="26">
        <f>7.72 * CHOOSE(CONTROL!$C$32, $C$9, 100%, $E$9)</f>
        <v>7.72</v>
      </c>
      <c r="D542" s="26">
        <f>7.7211 * CHOOSE(CONTROL!$C$32, $C$9, 100%, $E$9)</f>
        <v>7.7210999999999999</v>
      </c>
      <c r="E542" s="27">
        <f>8.6415 * CHOOSE(CONTROL!$C$32, $C$9, 100%, $E$9)</f>
        <v>8.6415000000000006</v>
      </c>
      <c r="F542" s="27">
        <f>8.6415 * CHOOSE(CONTROL!$C$32, $C$9, 100%, $E$9)</f>
        <v>8.6415000000000006</v>
      </c>
      <c r="G542" s="27">
        <f>8.6451 * CHOOSE(CONTROL!$C$32, $C$9, 100%, $E$9)</f>
        <v>8.6450999999999993</v>
      </c>
      <c r="H542" s="27">
        <f>16.6388 * CHOOSE(CONTROL!$C$32, $C$9, 100%, $E$9)</f>
        <v>16.6388</v>
      </c>
      <c r="I542" s="27">
        <f>16.6424 * CHOOSE(CONTROL!$C$32, $C$9, 100%, $E$9)</f>
        <v>16.642399999999999</v>
      </c>
      <c r="J542" s="27">
        <f>16.6388 * CHOOSE(CONTROL!$C$32, $C$9, 100%, $E$9)</f>
        <v>16.6388</v>
      </c>
      <c r="K542" s="27">
        <f>16.6424 * CHOOSE(CONTROL!$C$32, $C$9, 100%, $E$9)</f>
        <v>16.642399999999999</v>
      </c>
      <c r="L542" s="27">
        <f>8.6415 * CHOOSE(CONTROL!$C$32, $C$9, 100%, $E$9)</f>
        <v>8.6415000000000006</v>
      </c>
      <c r="M542" s="27">
        <f>8.6451 * CHOOSE(CONTROL!$C$32, $C$9, 100%, $E$9)</f>
        <v>8.6450999999999993</v>
      </c>
      <c r="N542" s="27">
        <f>8.6415 * CHOOSE(CONTROL!$C$32, $C$9, 100%, $E$9)</f>
        <v>8.6415000000000006</v>
      </c>
      <c r="O542" s="27">
        <f>8.6451 * CHOOSE(CONTROL!$C$32, $C$9, 100%, $E$9)</f>
        <v>8.6450999999999993</v>
      </c>
    </row>
    <row r="543" spans="1:15" ht="15" x14ac:dyDescent="0.2">
      <c r="A543" s="16">
        <v>57377</v>
      </c>
      <c r="B543" s="26">
        <f>7.717 * CHOOSE(CONTROL!$C$32, $C$9, 100%, $E$9)</f>
        <v>7.7169999999999996</v>
      </c>
      <c r="C543" s="26">
        <f>7.717 * CHOOSE(CONTROL!$C$32, $C$9, 100%, $E$9)</f>
        <v>7.7169999999999996</v>
      </c>
      <c r="D543" s="26">
        <f>7.7181 * CHOOSE(CONTROL!$C$32, $C$9, 100%, $E$9)</f>
        <v>7.7180999999999997</v>
      </c>
      <c r="E543" s="27">
        <f>8.4413 * CHOOSE(CONTROL!$C$32, $C$9, 100%, $E$9)</f>
        <v>8.4413</v>
      </c>
      <c r="F543" s="27">
        <f>8.4413 * CHOOSE(CONTROL!$C$32, $C$9, 100%, $E$9)</f>
        <v>8.4413</v>
      </c>
      <c r="G543" s="27">
        <f>8.4449 * CHOOSE(CONTROL!$C$32, $C$9, 100%, $E$9)</f>
        <v>8.4449000000000005</v>
      </c>
      <c r="H543" s="27">
        <f>16.6734 * CHOOSE(CONTROL!$C$32, $C$9, 100%, $E$9)</f>
        <v>16.673400000000001</v>
      </c>
      <c r="I543" s="27">
        <f>16.6771 * CHOOSE(CONTROL!$C$32, $C$9, 100%, $E$9)</f>
        <v>16.677099999999999</v>
      </c>
      <c r="J543" s="27">
        <f>16.6734 * CHOOSE(CONTROL!$C$32, $C$9, 100%, $E$9)</f>
        <v>16.673400000000001</v>
      </c>
      <c r="K543" s="27">
        <f>16.6771 * CHOOSE(CONTROL!$C$32, $C$9, 100%, $E$9)</f>
        <v>16.677099999999999</v>
      </c>
      <c r="L543" s="27">
        <f>8.4413 * CHOOSE(CONTROL!$C$32, $C$9, 100%, $E$9)</f>
        <v>8.4413</v>
      </c>
      <c r="M543" s="27">
        <f>8.4449 * CHOOSE(CONTROL!$C$32, $C$9, 100%, $E$9)</f>
        <v>8.4449000000000005</v>
      </c>
      <c r="N543" s="27">
        <f>8.4413 * CHOOSE(CONTROL!$C$32, $C$9, 100%, $E$9)</f>
        <v>8.4413</v>
      </c>
      <c r="O543" s="27">
        <f>8.4449 * CHOOSE(CONTROL!$C$32, $C$9, 100%, $E$9)</f>
        <v>8.4449000000000005</v>
      </c>
    </row>
    <row r="544" spans="1:15" ht="15" x14ac:dyDescent="0.2">
      <c r="A544" s="16">
        <v>57405</v>
      </c>
      <c r="B544" s="26">
        <f>7.7139 * CHOOSE(CONTROL!$C$32, $C$9, 100%, $E$9)</f>
        <v>7.7138999999999998</v>
      </c>
      <c r="C544" s="26">
        <f>7.7139 * CHOOSE(CONTROL!$C$32, $C$9, 100%, $E$9)</f>
        <v>7.7138999999999998</v>
      </c>
      <c r="D544" s="26">
        <f>7.715 * CHOOSE(CONTROL!$C$32, $C$9, 100%, $E$9)</f>
        <v>7.7149999999999999</v>
      </c>
      <c r="E544" s="27">
        <f>8.5954 * CHOOSE(CONTROL!$C$32, $C$9, 100%, $E$9)</f>
        <v>8.5953999999999997</v>
      </c>
      <c r="F544" s="27">
        <f>8.5954 * CHOOSE(CONTROL!$C$32, $C$9, 100%, $E$9)</f>
        <v>8.5953999999999997</v>
      </c>
      <c r="G544" s="27">
        <f>8.599 * CHOOSE(CONTROL!$C$32, $C$9, 100%, $E$9)</f>
        <v>8.5990000000000002</v>
      </c>
      <c r="H544" s="27">
        <f>16.7082 * CHOOSE(CONTROL!$C$32, $C$9, 100%, $E$9)</f>
        <v>16.708200000000001</v>
      </c>
      <c r="I544" s="27">
        <f>16.7118 * CHOOSE(CONTROL!$C$32, $C$9, 100%, $E$9)</f>
        <v>16.7118</v>
      </c>
      <c r="J544" s="27">
        <f>16.7082 * CHOOSE(CONTROL!$C$32, $C$9, 100%, $E$9)</f>
        <v>16.708200000000001</v>
      </c>
      <c r="K544" s="27">
        <f>16.7118 * CHOOSE(CONTROL!$C$32, $C$9, 100%, $E$9)</f>
        <v>16.7118</v>
      </c>
      <c r="L544" s="27">
        <f>8.5954 * CHOOSE(CONTROL!$C$32, $C$9, 100%, $E$9)</f>
        <v>8.5953999999999997</v>
      </c>
      <c r="M544" s="27">
        <f>8.599 * CHOOSE(CONTROL!$C$32, $C$9, 100%, $E$9)</f>
        <v>8.5990000000000002</v>
      </c>
      <c r="N544" s="27">
        <f>8.5954 * CHOOSE(CONTROL!$C$32, $C$9, 100%, $E$9)</f>
        <v>8.5953999999999997</v>
      </c>
      <c r="O544" s="27">
        <f>8.599 * CHOOSE(CONTROL!$C$32, $C$9, 100%, $E$9)</f>
        <v>8.5990000000000002</v>
      </c>
    </row>
    <row r="545" spans="1:15" ht="15" x14ac:dyDescent="0.2">
      <c r="A545" s="16">
        <v>57436</v>
      </c>
      <c r="B545" s="26">
        <f>7.7152 * CHOOSE(CONTROL!$C$32, $C$9, 100%, $E$9)</f>
        <v>7.7152000000000003</v>
      </c>
      <c r="C545" s="26">
        <f>7.7152 * CHOOSE(CONTROL!$C$32, $C$9, 100%, $E$9)</f>
        <v>7.7152000000000003</v>
      </c>
      <c r="D545" s="26">
        <f>7.7163 * CHOOSE(CONTROL!$C$32, $C$9, 100%, $E$9)</f>
        <v>7.7163000000000004</v>
      </c>
      <c r="E545" s="27">
        <f>8.7588 * CHOOSE(CONTROL!$C$32, $C$9, 100%, $E$9)</f>
        <v>8.7588000000000008</v>
      </c>
      <c r="F545" s="27">
        <f>8.7588 * CHOOSE(CONTROL!$C$32, $C$9, 100%, $E$9)</f>
        <v>8.7588000000000008</v>
      </c>
      <c r="G545" s="27">
        <f>8.7625 * CHOOSE(CONTROL!$C$32, $C$9, 100%, $E$9)</f>
        <v>8.7624999999999993</v>
      </c>
      <c r="H545" s="27">
        <f>16.743 * CHOOSE(CONTROL!$C$32, $C$9, 100%, $E$9)</f>
        <v>16.742999999999999</v>
      </c>
      <c r="I545" s="27">
        <f>16.7466 * CHOOSE(CONTROL!$C$32, $C$9, 100%, $E$9)</f>
        <v>16.746600000000001</v>
      </c>
      <c r="J545" s="27">
        <f>16.743 * CHOOSE(CONTROL!$C$32, $C$9, 100%, $E$9)</f>
        <v>16.742999999999999</v>
      </c>
      <c r="K545" s="27">
        <f>16.7466 * CHOOSE(CONTROL!$C$32, $C$9, 100%, $E$9)</f>
        <v>16.746600000000001</v>
      </c>
      <c r="L545" s="27">
        <f>8.7588 * CHOOSE(CONTROL!$C$32, $C$9, 100%, $E$9)</f>
        <v>8.7588000000000008</v>
      </c>
      <c r="M545" s="27">
        <f>8.7625 * CHOOSE(CONTROL!$C$32, $C$9, 100%, $E$9)</f>
        <v>8.7624999999999993</v>
      </c>
      <c r="N545" s="27">
        <f>8.7588 * CHOOSE(CONTROL!$C$32, $C$9, 100%, $E$9)</f>
        <v>8.7588000000000008</v>
      </c>
      <c r="O545" s="27">
        <f>8.7625 * CHOOSE(CONTROL!$C$32, $C$9, 100%, $E$9)</f>
        <v>8.7624999999999993</v>
      </c>
    </row>
    <row r="546" spans="1:15" ht="15" x14ac:dyDescent="0.2">
      <c r="A546" s="16">
        <v>57466</v>
      </c>
      <c r="B546" s="26">
        <f>7.7152 * CHOOSE(CONTROL!$C$32, $C$9, 100%, $E$9)</f>
        <v>7.7152000000000003</v>
      </c>
      <c r="C546" s="26">
        <f>7.7152 * CHOOSE(CONTROL!$C$32, $C$9, 100%, $E$9)</f>
        <v>7.7152000000000003</v>
      </c>
      <c r="D546" s="26">
        <f>7.7168 * CHOOSE(CONTROL!$C$32, $C$9, 100%, $E$9)</f>
        <v>7.7168000000000001</v>
      </c>
      <c r="E546" s="27">
        <f>8.8217 * CHOOSE(CONTROL!$C$32, $C$9, 100%, $E$9)</f>
        <v>8.8216999999999999</v>
      </c>
      <c r="F546" s="27">
        <f>8.8217 * CHOOSE(CONTROL!$C$32, $C$9, 100%, $E$9)</f>
        <v>8.8216999999999999</v>
      </c>
      <c r="G546" s="27">
        <f>8.827 * CHOOSE(CONTROL!$C$32, $C$9, 100%, $E$9)</f>
        <v>8.827</v>
      </c>
      <c r="H546" s="27">
        <f>16.7779 * CHOOSE(CONTROL!$C$32, $C$9, 100%, $E$9)</f>
        <v>16.777899999999999</v>
      </c>
      <c r="I546" s="27">
        <f>16.7832 * CHOOSE(CONTROL!$C$32, $C$9, 100%, $E$9)</f>
        <v>16.783200000000001</v>
      </c>
      <c r="J546" s="27">
        <f>16.7779 * CHOOSE(CONTROL!$C$32, $C$9, 100%, $E$9)</f>
        <v>16.777899999999999</v>
      </c>
      <c r="K546" s="27">
        <f>16.7832 * CHOOSE(CONTROL!$C$32, $C$9, 100%, $E$9)</f>
        <v>16.783200000000001</v>
      </c>
      <c r="L546" s="27">
        <f>8.8217 * CHOOSE(CONTROL!$C$32, $C$9, 100%, $E$9)</f>
        <v>8.8216999999999999</v>
      </c>
      <c r="M546" s="27">
        <f>8.827 * CHOOSE(CONTROL!$C$32, $C$9, 100%, $E$9)</f>
        <v>8.827</v>
      </c>
      <c r="N546" s="27">
        <f>8.8217 * CHOOSE(CONTROL!$C$32, $C$9, 100%, $E$9)</f>
        <v>8.8216999999999999</v>
      </c>
      <c r="O546" s="27">
        <f>8.827 * CHOOSE(CONTROL!$C$32, $C$9, 100%, $E$9)</f>
        <v>8.827</v>
      </c>
    </row>
    <row r="547" spans="1:15" ht="15" x14ac:dyDescent="0.2">
      <c r="A547" s="16">
        <v>57497</v>
      </c>
      <c r="B547" s="26">
        <f>7.7213 * CHOOSE(CONTROL!$C$32, $C$9, 100%, $E$9)</f>
        <v>7.7213000000000003</v>
      </c>
      <c r="C547" s="26">
        <f>7.7213 * CHOOSE(CONTROL!$C$32, $C$9, 100%, $E$9)</f>
        <v>7.7213000000000003</v>
      </c>
      <c r="D547" s="26">
        <f>7.7228 * CHOOSE(CONTROL!$C$32, $C$9, 100%, $E$9)</f>
        <v>7.7228000000000003</v>
      </c>
      <c r="E547" s="27">
        <f>8.7631 * CHOOSE(CONTROL!$C$32, $C$9, 100%, $E$9)</f>
        <v>8.7630999999999997</v>
      </c>
      <c r="F547" s="27">
        <f>8.7631 * CHOOSE(CONTROL!$C$32, $C$9, 100%, $E$9)</f>
        <v>8.7630999999999997</v>
      </c>
      <c r="G547" s="27">
        <f>8.7684 * CHOOSE(CONTROL!$C$32, $C$9, 100%, $E$9)</f>
        <v>8.7683999999999997</v>
      </c>
      <c r="H547" s="27">
        <f>16.8128 * CHOOSE(CONTROL!$C$32, $C$9, 100%, $E$9)</f>
        <v>16.812799999999999</v>
      </c>
      <c r="I547" s="27">
        <f>16.8181 * CHOOSE(CONTROL!$C$32, $C$9, 100%, $E$9)</f>
        <v>16.818100000000001</v>
      </c>
      <c r="J547" s="27">
        <f>16.8128 * CHOOSE(CONTROL!$C$32, $C$9, 100%, $E$9)</f>
        <v>16.812799999999999</v>
      </c>
      <c r="K547" s="27">
        <f>16.8181 * CHOOSE(CONTROL!$C$32, $C$9, 100%, $E$9)</f>
        <v>16.818100000000001</v>
      </c>
      <c r="L547" s="27">
        <f>8.7631 * CHOOSE(CONTROL!$C$32, $C$9, 100%, $E$9)</f>
        <v>8.7630999999999997</v>
      </c>
      <c r="M547" s="27">
        <f>8.7684 * CHOOSE(CONTROL!$C$32, $C$9, 100%, $E$9)</f>
        <v>8.7683999999999997</v>
      </c>
      <c r="N547" s="27">
        <f>8.7631 * CHOOSE(CONTROL!$C$32, $C$9, 100%, $E$9)</f>
        <v>8.7630999999999997</v>
      </c>
      <c r="O547" s="27">
        <f>8.7684 * CHOOSE(CONTROL!$C$32, $C$9, 100%, $E$9)</f>
        <v>8.7683999999999997</v>
      </c>
    </row>
    <row r="548" spans="1:15" ht="15" x14ac:dyDescent="0.2">
      <c r="A548" s="16">
        <v>57527</v>
      </c>
      <c r="B548" s="26">
        <f>7.8207 * CHOOSE(CONTROL!$C$32, $C$9, 100%, $E$9)</f>
        <v>7.8207000000000004</v>
      </c>
      <c r="C548" s="26">
        <f>7.8207 * CHOOSE(CONTROL!$C$32, $C$9, 100%, $E$9)</f>
        <v>7.8207000000000004</v>
      </c>
      <c r="D548" s="26">
        <f>7.8222 * CHOOSE(CONTROL!$C$32, $C$9, 100%, $E$9)</f>
        <v>7.8221999999999996</v>
      </c>
      <c r="E548" s="27">
        <f>8.8842 * CHOOSE(CONTROL!$C$32, $C$9, 100%, $E$9)</f>
        <v>8.8841999999999999</v>
      </c>
      <c r="F548" s="27">
        <f>8.8842 * CHOOSE(CONTROL!$C$32, $C$9, 100%, $E$9)</f>
        <v>8.8841999999999999</v>
      </c>
      <c r="G548" s="27">
        <f>8.8895 * CHOOSE(CONTROL!$C$32, $C$9, 100%, $E$9)</f>
        <v>8.8895</v>
      </c>
      <c r="H548" s="27">
        <f>16.8478 * CHOOSE(CONTROL!$C$32, $C$9, 100%, $E$9)</f>
        <v>16.847799999999999</v>
      </c>
      <c r="I548" s="27">
        <f>16.8531 * CHOOSE(CONTROL!$C$32, $C$9, 100%, $E$9)</f>
        <v>16.853100000000001</v>
      </c>
      <c r="J548" s="27">
        <f>16.8478 * CHOOSE(CONTROL!$C$32, $C$9, 100%, $E$9)</f>
        <v>16.847799999999999</v>
      </c>
      <c r="K548" s="27">
        <f>16.8531 * CHOOSE(CONTROL!$C$32, $C$9, 100%, $E$9)</f>
        <v>16.853100000000001</v>
      </c>
      <c r="L548" s="27">
        <f>8.8842 * CHOOSE(CONTROL!$C$32, $C$9, 100%, $E$9)</f>
        <v>8.8841999999999999</v>
      </c>
      <c r="M548" s="27">
        <f>8.8895 * CHOOSE(CONTROL!$C$32, $C$9, 100%, $E$9)</f>
        <v>8.8895</v>
      </c>
      <c r="N548" s="27">
        <f>8.8842 * CHOOSE(CONTROL!$C$32, $C$9, 100%, $E$9)</f>
        <v>8.8841999999999999</v>
      </c>
      <c r="O548" s="27">
        <f>8.8895 * CHOOSE(CONTROL!$C$32, $C$9, 100%, $E$9)</f>
        <v>8.8895</v>
      </c>
    </row>
    <row r="549" spans="1:15" ht="15" x14ac:dyDescent="0.2">
      <c r="A549" s="16">
        <v>57558</v>
      </c>
      <c r="B549" s="26">
        <f>7.8273 * CHOOSE(CONTROL!$C$32, $C$9, 100%, $E$9)</f>
        <v>7.8273000000000001</v>
      </c>
      <c r="C549" s="26">
        <f>7.8273 * CHOOSE(CONTROL!$C$32, $C$9, 100%, $E$9)</f>
        <v>7.8273000000000001</v>
      </c>
      <c r="D549" s="26">
        <f>7.8289 * CHOOSE(CONTROL!$C$32, $C$9, 100%, $E$9)</f>
        <v>7.8289</v>
      </c>
      <c r="E549" s="27">
        <f>8.7002 * CHOOSE(CONTROL!$C$32, $C$9, 100%, $E$9)</f>
        <v>8.7002000000000006</v>
      </c>
      <c r="F549" s="27">
        <f>8.7002 * CHOOSE(CONTROL!$C$32, $C$9, 100%, $E$9)</f>
        <v>8.7002000000000006</v>
      </c>
      <c r="G549" s="27">
        <f>8.7055 * CHOOSE(CONTROL!$C$32, $C$9, 100%, $E$9)</f>
        <v>8.7055000000000007</v>
      </c>
      <c r="H549" s="27">
        <f>16.8829 * CHOOSE(CONTROL!$C$32, $C$9, 100%, $E$9)</f>
        <v>16.882899999999999</v>
      </c>
      <c r="I549" s="27">
        <f>16.8882 * CHOOSE(CONTROL!$C$32, $C$9, 100%, $E$9)</f>
        <v>16.888200000000001</v>
      </c>
      <c r="J549" s="27">
        <f>16.8829 * CHOOSE(CONTROL!$C$32, $C$9, 100%, $E$9)</f>
        <v>16.882899999999999</v>
      </c>
      <c r="K549" s="27">
        <f>16.8882 * CHOOSE(CONTROL!$C$32, $C$9, 100%, $E$9)</f>
        <v>16.888200000000001</v>
      </c>
      <c r="L549" s="27">
        <f>8.7002 * CHOOSE(CONTROL!$C$32, $C$9, 100%, $E$9)</f>
        <v>8.7002000000000006</v>
      </c>
      <c r="M549" s="27">
        <f>8.7055 * CHOOSE(CONTROL!$C$32, $C$9, 100%, $E$9)</f>
        <v>8.7055000000000007</v>
      </c>
      <c r="N549" s="27">
        <f>8.7002 * CHOOSE(CONTROL!$C$32, $C$9, 100%, $E$9)</f>
        <v>8.7002000000000006</v>
      </c>
      <c r="O549" s="27">
        <f>8.7055 * CHOOSE(CONTROL!$C$32, $C$9, 100%, $E$9)</f>
        <v>8.7055000000000007</v>
      </c>
    </row>
    <row r="550" spans="1:15" ht="15" x14ac:dyDescent="0.2">
      <c r="A550" s="16">
        <v>57589</v>
      </c>
      <c r="B550" s="26">
        <f>7.8243 * CHOOSE(CONTROL!$C$32, $C$9, 100%, $E$9)</f>
        <v>7.8243</v>
      </c>
      <c r="C550" s="26">
        <f>7.8243 * CHOOSE(CONTROL!$C$32, $C$9, 100%, $E$9)</f>
        <v>7.8243</v>
      </c>
      <c r="D550" s="26">
        <f>7.8259 * CHOOSE(CONTROL!$C$32, $C$9, 100%, $E$9)</f>
        <v>7.8258999999999999</v>
      </c>
      <c r="E550" s="27">
        <f>8.6771 * CHOOSE(CONTROL!$C$32, $C$9, 100%, $E$9)</f>
        <v>8.6770999999999994</v>
      </c>
      <c r="F550" s="27">
        <f>8.6771 * CHOOSE(CONTROL!$C$32, $C$9, 100%, $E$9)</f>
        <v>8.6770999999999994</v>
      </c>
      <c r="G550" s="27">
        <f>8.6824 * CHOOSE(CONTROL!$C$32, $C$9, 100%, $E$9)</f>
        <v>8.6823999999999995</v>
      </c>
      <c r="H550" s="27">
        <f>16.9181 * CHOOSE(CONTROL!$C$32, $C$9, 100%, $E$9)</f>
        <v>16.918099999999999</v>
      </c>
      <c r="I550" s="27">
        <f>16.9234 * CHOOSE(CONTROL!$C$32, $C$9, 100%, $E$9)</f>
        <v>16.923400000000001</v>
      </c>
      <c r="J550" s="27">
        <f>16.9181 * CHOOSE(CONTROL!$C$32, $C$9, 100%, $E$9)</f>
        <v>16.918099999999999</v>
      </c>
      <c r="K550" s="27">
        <f>16.9234 * CHOOSE(CONTROL!$C$32, $C$9, 100%, $E$9)</f>
        <v>16.923400000000001</v>
      </c>
      <c r="L550" s="27">
        <f>8.6771 * CHOOSE(CONTROL!$C$32, $C$9, 100%, $E$9)</f>
        <v>8.6770999999999994</v>
      </c>
      <c r="M550" s="27">
        <f>8.6824 * CHOOSE(CONTROL!$C$32, $C$9, 100%, $E$9)</f>
        <v>8.6823999999999995</v>
      </c>
      <c r="N550" s="27">
        <f>8.6771 * CHOOSE(CONTROL!$C$32, $C$9, 100%, $E$9)</f>
        <v>8.6770999999999994</v>
      </c>
      <c r="O550" s="27">
        <f>8.6824 * CHOOSE(CONTROL!$C$32, $C$9, 100%, $E$9)</f>
        <v>8.6823999999999995</v>
      </c>
    </row>
    <row r="551" spans="1:15" ht="15" x14ac:dyDescent="0.2">
      <c r="A551" s="16">
        <v>57619</v>
      </c>
      <c r="B551" s="26">
        <f>7.8336 * CHOOSE(CONTROL!$C$32, $C$9, 100%, $E$9)</f>
        <v>7.8335999999999997</v>
      </c>
      <c r="C551" s="26">
        <f>7.8336 * CHOOSE(CONTROL!$C$32, $C$9, 100%, $E$9)</f>
        <v>7.8335999999999997</v>
      </c>
      <c r="D551" s="26">
        <f>7.8347 * CHOOSE(CONTROL!$C$32, $C$9, 100%, $E$9)</f>
        <v>7.8346999999999998</v>
      </c>
      <c r="E551" s="27">
        <f>8.7475 * CHOOSE(CONTROL!$C$32, $C$9, 100%, $E$9)</f>
        <v>8.7475000000000005</v>
      </c>
      <c r="F551" s="27">
        <f>8.7475 * CHOOSE(CONTROL!$C$32, $C$9, 100%, $E$9)</f>
        <v>8.7475000000000005</v>
      </c>
      <c r="G551" s="27">
        <f>8.7511 * CHOOSE(CONTROL!$C$32, $C$9, 100%, $E$9)</f>
        <v>8.7510999999999992</v>
      </c>
      <c r="H551" s="27">
        <f>16.9534 * CHOOSE(CONTROL!$C$32, $C$9, 100%, $E$9)</f>
        <v>16.953399999999998</v>
      </c>
      <c r="I551" s="27">
        <f>16.957 * CHOOSE(CONTROL!$C$32, $C$9, 100%, $E$9)</f>
        <v>16.957000000000001</v>
      </c>
      <c r="J551" s="27">
        <f>16.9534 * CHOOSE(CONTROL!$C$32, $C$9, 100%, $E$9)</f>
        <v>16.953399999999998</v>
      </c>
      <c r="K551" s="27">
        <f>16.957 * CHOOSE(CONTROL!$C$32, $C$9, 100%, $E$9)</f>
        <v>16.957000000000001</v>
      </c>
      <c r="L551" s="27">
        <f>8.7475 * CHOOSE(CONTROL!$C$32, $C$9, 100%, $E$9)</f>
        <v>8.7475000000000005</v>
      </c>
      <c r="M551" s="27">
        <f>8.7511 * CHOOSE(CONTROL!$C$32, $C$9, 100%, $E$9)</f>
        <v>8.7510999999999992</v>
      </c>
      <c r="N551" s="27">
        <f>8.7475 * CHOOSE(CONTROL!$C$32, $C$9, 100%, $E$9)</f>
        <v>8.7475000000000005</v>
      </c>
      <c r="O551" s="27">
        <f>8.7511 * CHOOSE(CONTROL!$C$32, $C$9, 100%, $E$9)</f>
        <v>8.7510999999999992</v>
      </c>
    </row>
    <row r="552" spans="1:15" ht="15" x14ac:dyDescent="0.2">
      <c r="A552" s="16">
        <v>57650</v>
      </c>
      <c r="B552" s="26">
        <f>7.8366 * CHOOSE(CONTROL!$C$32, $C$9, 100%, $E$9)</f>
        <v>7.8365999999999998</v>
      </c>
      <c r="C552" s="26">
        <f>7.8366 * CHOOSE(CONTROL!$C$32, $C$9, 100%, $E$9)</f>
        <v>7.8365999999999998</v>
      </c>
      <c r="D552" s="26">
        <f>7.8377 * CHOOSE(CONTROL!$C$32, $C$9, 100%, $E$9)</f>
        <v>7.8376999999999999</v>
      </c>
      <c r="E552" s="27">
        <f>8.7916 * CHOOSE(CONTROL!$C$32, $C$9, 100%, $E$9)</f>
        <v>8.7916000000000007</v>
      </c>
      <c r="F552" s="27">
        <f>8.7916 * CHOOSE(CONTROL!$C$32, $C$9, 100%, $E$9)</f>
        <v>8.7916000000000007</v>
      </c>
      <c r="G552" s="27">
        <f>8.7952 * CHOOSE(CONTROL!$C$32, $C$9, 100%, $E$9)</f>
        <v>8.7951999999999995</v>
      </c>
      <c r="H552" s="27">
        <f>16.9887 * CHOOSE(CONTROL!$C$32, $C$9, 100%, $E$9)</f>
        <v>16.988700000000001</v>
      </c>
      <c r="I552" s="27">
        <f>16.9923 * CHOOSE(CONTROL!$C$32, $C$9, 100%, $E$9)</f>
        <v>16.9923</v>
      </c>
      <c r="J552" s="27">
        <f>16.9887 * CHOOSE(CONTROL!$C$32, $C$9, 100%, $E$9)</f>
        <v>16.988700000000001</v>
      </c>
      <c r="K552" s="27">
        <f>16.9923 * CHOOSE(CONTROL!$C$32, $C$9, 100%, $E$9)</f>
        <v>16.9923</v>
      </c>
      <c r="L552" s="27">
        <f>8.7916 * CHOOSE(CONTROL!$C$32, $C$9, 100%, $E$9)</f>
        <v>8.7916000000000007</v>
      </c>
      <c r="M552" s="27">
        <f>8.7952 * CHOOSE(CONTROL!$C$32, $C$9, 100%, $E$9)</f>
        <v>8.7951999999999995</v>
      </c>
      <c r="N552" s="27">
        <f>8.7916 * CHOOSE(CONTROL!$C$32, $C$9, 100%, $E$9)</f>
        <v>8.7916000000000007</v>
      </c>
      <c r="O552" s="27">
        <f>8.7952 * CHOOSE(CONTROL!$C$32, $C$9, 100%, $E$9)</f>
        <v>8.7951999999999995</v>
      </c>
    </row>
    <row r="553" spans="1:15" ht="15" x14ac:dyDescent="0.2">
      <c r="A553" s="16">
        <v>57680</v>
      </c>
      <c r="B553" s="26">
        <f>7.8366 * CHOOSE(CONTROL!$C$32, $C$9, 100%, $E$9)</f>
        <v>7.8365999999999998</v>
      </c>
      <c r="C553" s="26">
        <f>7.8366 * CHOOSE(CONTROL!$C$32, $C$9, 100%, $E$9)</f>
        <v>7.8365999999999998</v>
      </c>
      <c r="D553" s="26">
        <f>7.8377 * CHOOSE(CONTROL!$C$32, $C$9, 100%, $E$9)</f>
        <v>7.8376999999999999</v>
      </c>
      <c r="E553" s="27">
        <f>8.6867 * CHOOSE(CONTROL!$C$32, $C$9, 100%, $E$9)</f>
        <v>8.6867000000000001</v>
      </c>
      <c r="F553" s="27">
        <f>8.6867 * CHOOSE(CONTROL!$C$32, $C$9, 100%, $E$9)</f>
        <v>8.6867000000000001</v>
      </c>
      <c r="G553" s="27">
        <f>8.6904 * CHOOSE(CONTROL!$C$32, $C$9, 100%, $E$9)</f>
        <v>8.6904000000000003</v>
      </c>
      <c r="H553" s="27">
        <f>17.0241 * CHOOSE(CONTROL!$C$32, $C$9, 100%, $E$9)</f>
        <v>17.024100000000001</v>
      </c>
      <c r="I553" s="27">
        <f>17.0277 * CHOOSE(CONTROL!$C$32, $C$9, 100%, $E$9)</f>
        <v>17.027699999999999</v>
      </c>
      <c r="J553" s="27">
        <f>17.0241 * CHOOSE(CONTROL!$C$32, $C$9, 100%, $E$9)</f>
        <v>17.024100000000001</v>
      </c>
      <c r="K553" s="27">
        <f>17.0277 * CHOOSE(CONTROL!$C$32, $C$9, 100%, $E$9)</f>
        <v>17.027699999999999</v>
      </c>
      <c r="L553" s="27">
        <f>8.6867 * CHOOSE(CONTROL!$C$32, $C$9, 100%, $E$9)</f>
        <v>8.6867000000000001</v>
      </c>
      <c r="M553" s="27">
        <f>8.6904 * CHOOSE(CONTROL!$C$32, $C$9, 100%, $E$9)</f>
        <v>8.6904000000000003</v>
      </c>
      <c r="N553" s="27">
        <f>8.6867 * CHOOSE(CONTROL!$C$32, $C$9, 100%, $E$9)</f>
        <v>8.6867000000000001</v>
      </c>
      <c r="O553" s="27">
        <f>8.6904 * CHOOSE(CONTROL!$C$32, $C$9, 100%, $E$9)</f>
        <v>8.6904000000000003</v>
      </c>
    </row>
    <row r="554" spans="1:15" ht="15" x14ac:dyDescent="0.2">
      <c r="A554" s="16">
        <v>57711</v>
      </c>
      <c r="B554" s="26">
        <f>7.8952 * CHOOSE(CONTROL!$C$32, $C$9, 100%, $E$9)</f>
        <v>7.8952</v>
      </c>
      <c r="C554" s="26">
        <f>7.8952 * CHOOSE(CONTROL!$C$32, $C$9, 100%, $E$9)</f>
        <v>7.8952</v>
      </c>
      <c r="D554" s="26">
        <f>7.8962 * CHOOSE(CONTROL!$C$32, $C$9, 100%, $E$9)</f>
        <v>7.8962000000000003</v>
      </c>
      <c r="E554" s="27">
        <f>8.8374 * CHOOSE(CONTROL!$C$32, $C$9, 100%, $E$9)</f>
        <v>8.8374000000000006</v>
      </c>
      <c r="F554" s="27">
        <f>8.8374 * CHOOSE(CONTROL!$C$32, $C$9, 100%, $E$9)</f>
        <v>8.8374000000000006</v>
      </c>
      <c r="G554" s="27">
        <f>8.841 * CHOOSE(CONTROL!$C$32, $C$9, 100%, $E$9)</f>
        <v>8.8409999999999993</v>
      </c>
      <c r="H554" s="27">
        <f>17.0595 * CHOOSE(CONTROL!$C$32, $C$9, 100%, $E$9)</f>
        <v>17.0595</v>
      </c>
      <c r="I554" s="27">
        <f>17.0632 * CHOOSE(CONTROL!$C$32, $C$9, 100%, $E$9)</f>
        <v>17.063199999999998</v>
      </c>
      <c r="J554" s="27">
        <f>17.0595 * CHOOSE(CONTROL!$C$32, $C$9, 100%, $E$9)</f>
        <v>17.0595</v>
      </c>
      <c r="K554" s="27">
        <f>17.0632 * CHOOSE(CONTROL!$C$32, $C$9, 100%, $E$9)</f>
        <v>17.063199999999998</v>
      </c>
      <c r="L554" s="27">
        <f>8.8374 * CHOOSE(CONTROL!$C$32, $C$9, 100%, $E$9)</f>
        <v>8.8374000000000006</v>
      </c>
      <c r="M554" s="27">
        <f>8.841 * CHOOSE(CONTROL!$C$32, $C$9, 100%, $E$9)</f>
        <v>8.8409999999999993</v>
      </c>
      <c r="N554" s="27">
        <f>8.8374 * CHOOSE(CONTROL!$C$32, $C$9, 100%, $E$9)</f>
        <v>8.8374000000000006</v>
      </c>
      <c r="O554" s="27">
        <f>8.841 * CHOOSE(CONTROL!$C$32, $C$9, 100%, $E$9)</f>
        <v>8.8409999999999993</v>
      </c>
    </row>
    <row r="555" spans="1:15" ht="15" x14ac:dyDescent="0.2">
      <c r="A555" s="16">
        <v>57742</v>
      </c>
      <c r="B555" s="26">
        <f>7.8921 * CHOOSE(CONTROL!$C$32, $C$9, 100%, $E$9)</f>
        <v>7.8921000000000001</v>
      </c>
      <c r="C555" s="26">
        <f>7.8921 * CHOOSE(CONTROL!$C$32, $C$9, 100%, $E$9)</f>
        <v>7.8921000000000001</v>
      </c>
      <c r="D555" s="26">
        <f>7.8932 * CHOOSE(CONTROL!$C$32, $C$9, 100%, $E$9)</f>
        <v>7.8932000000000002</v>
      </c>
      <c r="E555" s="27">
        <f>8.6307 * CHOOSE(CONTROL!$C$32, $C$9, 100%, $E$9)</f>
        <v>8.6306999999999992</v>
      </c>
      <c r="F555" s="27">
        <f>8.6307 * CHOOSE(CONTROL!$C$32, $C$9, 100%, $E$9)</f>
        <v>8.6306999999999992</v>
      </c>
      <c r="G555" s="27">
        <f>8.6344 * CHOOSE(CONTROL!$C$32, $C$9, 100%, $E$9)</f>
        <v>8.6343999999999994</v>
      </c>
      <c r="H555" s="27">
        <f>17.0951 * CHOOSE(CONTROL!$C$32, $C$9, 100%, $E$9)</f>
        <v>17.095099999999999</v>
      </c>
      <c r="I555" s="27">
        <f>17.0987 * CHOOSE(CONTROL!$C$32, $C$9, 100%, $E$9)</f>
        <v>17.098700000000001</v>
      </c>
      <c r="J555" s="27">
        <f>17.0951 * CHOOSE(CONTROL!$C$32, $C$9, 100%, $E$9)</f>
        <v>17.095099999999999</v>
      </c>
      <c r="K555" s="27">
        <f>17.0987 * CHOOSE(CONTROL!$C$32, $C$9, 100%, $E$9)</f>
        <v>17.098700000000001</v>
      </c>
      <c r="L555" s="27">
        <f>8.6307 * CHOOSE(CONTROL!$C$32, $C$9, 100%, $E$9)</f>
        <v>8.6306999999999992</v>
      </c>
      <c r="M555" s="27">
        <f>8.6344 * CHOOSE(CONTROL!$C$32, $C$9, 100%, $E$9)</f>
        <v>8.6343999999999994</v>
      </c>
      <c r="N555" s="27">
        <f>8.6307 * CHOOSE(CONTROL!$C$32, $C$9, 100%, $E$9)</f>
        <v>8.6306999999999992</v>
      </c>
      <c r="O555" s="27">
        <f>8.6344 * CHOOSE(CONTROL!$C$32, $C$9, 100%, $E$9)</f>
        <v>8.6343999999999994</v>
      </c>
    </row>
    <row r="556" spans="1:15" ht="15" x14ac:dyDescent="0.2">
      <c r="A556" s="16">
        <v>57770</v>
      </c>
      <c r="B556" s="26">
        <f>7.8891 * CHOOSE(CONTROL!$C$32, $C$9, 100%, $E$9)</f>
        <v>7.8891</v>
      </c>
      <c r="C556" s="26">
        <f>7.8891 * CHOOSE(CONTROL!$C$32, $C$9, 100%, $E$9)</f>
        <v>7.8891</v>
      </c>
      <c r="D556" s="26">
        <f>7.8902 * CHOOSE(CONTROL!$C$32, $C$9, 100%, $E$9)</f>
        <v>7.8902000000000001</v>
      </c>
      <c r="E556" s="27">
        <f>8.7899 * CHOOSE(CONTROL!$C$32, $C$9, 100%, $E$9)</f>
        <v>8.7898999999999994</v>
      </c>
      <c r="F556" s="27">
        <f>8.7899 * CHOOSE(CONTROL!$C$32, $C$9, 100%, $E$9)</f>
        <v>8.7898999999999994</v>
      </c>
      <c r="G556" s="27">
        <f>8.7935 * CHOOSE(CONTROL!$C$32, $C$9, 100%, $E$9)</f>
        <v>8.7934999999999999</v>
      </c>
      <c r="H556" s="27">
        <f>17.1307 * CHOOSE(CONTROL!$C$32, $C$9, 100%, $E$9)</f>
        <v>17.130700000000001</v>
      </c>
      <c r="I556" s="27">
        <f>17.1343 * CHOOSE(CONTROL!$C$32, $C$9, 100%, $E$9)</f>
        <v>17.1343</v>
      </c>
      <c r="J556" s="27">
        <f>17.1307 * CHOOSE(CONTROL!$C$32, $C$9, 100%, $E$9)</f>
        <v>17.130700000000001</v>
      </c>
      <c r="K556" s="27">
        <f>17.1343 * CHOOSE(CONTROL!$C$32, $C$9, 100%, $E$9)</f>
        <v>17.1343</v>
      </c>
      <c r="L556" s="27">
        <f>8.7899 * CHOOSE(CONTROL!$C$32, $C$9, 100%, $E$9)</f>
        <v>8.7898999999999994</v>
      </c>
      <c r="M556" s="27">
        <f>8.7935 * CHOOSE(CONTROL!$C$32, $C$9, 100%, $E$9)</f>
        <v>8.7934999999999999</v>
      </c>
      <c r="N556" s="27">
        <f>8.7899 * CHOOSE(CONTROL!$C$32, $C$9, 100%, $E$9)</f>
        <v>8.7898999999999994</v>
      </c>
      <c r="O556" s="27">
        <f>8.7935 * CHOOSE(CONTROL!$C$32, $C$9, 100%, $E$9)</f>
        <v>8.7934999999999999</v>
      </c>
    </row>
    <row r="557" spans="1:15" ht="15" x14ac:dyDescent="0.2">
      <c r="A557" s="16">
        <v>57801</v>
      </c>
      <c r="B557" s="26">
        <f>7.8905 * CHOOSE(CONTROL!$C$32, $C$9, 100%, $E$9)</f>
        <v>7.8905000000000003</v>
      </c>
      <c r="C557" s="26">
        <f>7.8905 * CHOOSE(CONTROL!$C$32, $C$9, 100%, $E$9)</f>
        <v>7.8905000000000003</v>
      </c>
      <c r="D557" s="26">
        <f>7.8916 * CHOOSE(CONTROL!$C$32, $C$9, 100%, $E$9)</f>
        <v>7.8916000000000004</v>
      </c>
      <c r="E557" s="27">
        <f>8.9588 * CHOOSE(CONTROL!$C$32, $C$9, 100%, $E$9)</f>
        <v>8.9588000000000001</v>
      </c>
      <c r="F557" s="27">
        <f>8.9588 * CHOOSE(CONTROL!$C$32, $C$9, 100%, $E$9)</f>
        <v>8.9588000000000001</v>
      </c>
      <c r="G557" s="27">
        <f>8.9624 * CHOOSE(CONTROL!$C$32, $C$9, 100%, $E$9)</f>
        <v>8.9624000000000006</v>
      </c>
      <c r="H557" s="27">
        <f>17.1664 * CHOOSE(CONTROL!$C$32, $C$9, 100%, $E$9)</f>
        <v>17.166399999999999</v>
      </c>
      <c r="I557" s="27">
        <f>17.17 * CHOOSE(CONTROL!$C$32, $C$9, 100%, $E$9)</f>
        <v>17.170000000000002</v>
      </c>
      <c r="J557" s="27">
        <f>17.1664 * CHOOSE(CONTROL!$C$32, $C$9, 100%, $E$9)</f>
        <v>17.166399999999999</v>
      </c>
      <c r="K557" s="27">
        <f>17.17 * CHOOSE(CONTROL!$C$32, $C$9, 100%, $E$9)</f>
        <v>17.170000000000002</v>
      </c>
      <c r="L557" s="27">
        <f>8.9588 * CHOOSE(CONTROL!$C$32, $C$9, 100%, $E$9)</f>
        <v>8.9588000000000001</v>
      </c>
      <c r="M557" s="27">
        <f>8.9624 * CHOOSE(CONTROL!$C$32, $C$9, 100%, $E$9)</f>
        <v>8.9624000000000006</v>
      </c>
      <c r="N557" s="27">
        <f>8.9588 * CHOOSE(CONTROL!$C$32, $C$9, 100%, $E$9)</f>
        <v>8.9588000000000001</v>
      </c>
      <c r="O557" s="27">
        <f>8.9624 * CHOOSE(CONTROL!$C$32, $C$9, 100%, $E$9)</f>
        <v>8.9624000000000006</v>
      </c>
    </row>
    <row r="558" spans="1:15" ht="15" x14ac:dyDescent="0.2">
      <c r="A558" s="16">
        <v>57831</v>
      </c>
      <c r="B558" s="26">
        <f>7.8905 * CHOOSE(CONTROL!$C$32, $C$9, 100%, $E$9)</f>
        <v>7.8905000000000003</v>
      </c>
      <c r="C558" s="26">
        <f>7.8905 * CHOOSE(CONTROL!$C$32, $C$9, 100%, $E$9)</f>
        <v>7.8905000000000003</v>
      </c>
      <c r="D558" s="26">
        <f>7.8921 * CHOOSE(CONTROL!$C$32, $C$9, 100%, $E$9)</f>
        <v>7.8921000000000001</v>
      </c>
      <c r="E558" s="27">
        <f>9.0237 * CHOOSE(CONTROL!$C$32, $C$9, 100%, $E$9)</f>
        <v>9.0236999999999998</v>
      </c>
      <c r="F558" s="27">
        <f>9.0237 * CHOOSE(CONTROL!$C$32, $C$9, 100%, $E$9)</f>
        <v>9.0236999999999998</v>
      </c>
      <c r="G558" s="27">
        <f>9.029 * CHOOSE(CONTROL!$C$32, $C$9, 100%, $E$9)</f>
        <v>9.0289999999999999</v>
      </c>
      <c r="H558" s="27">
        <f>17.2022 * CHOOSE(CONTROL!$C$32, $C$9, 100%, $E$9)</f>
        <v>17.202200000000001</v>
      </c>
      <c r="I558" s="27">
        <f>17.2074 * CHOOSE(CONTROL!$C$32, $C$9, 100%, $E$9)</f>
        <v>17.2074</v>
      </c>
      <c r="J558" s="27">
        <f>17.2022 * CHOOSE(CONTROL!$C$32, $C$9, 100%, $E$9)</f>
        <v>17.202200000000001</v>
      </c>
      <c r="K558" s="27">
        <f>17.2074 * CHOOSE(CONTROL!$C$32, $C$9, 100%, $E$9)</f>
        <v>17.2074</v>
      </c>
      <c r="L558" s="27">
        <f>9.0237 * CHOOSE(CONTROL!$C$32, $C$9, 100%, $E$9)</f>
        <v>9.0236999999999998</v>
      </c>
      <c r="M558" s="27">
        <f>9.029 * CHOOSE(CONTROL!$C$32, $C$9, 100%, $E$9)</f>
        <v>9.0289999999999999</v>
      </c>
      <c r="N558" s="27">
        <f>9.0237 * CHOOSE(CONTROL!$C$32, $C$9, 100%, $E$9)</f>
        <v>9.0236999999999998</v>
      </c>
      <c r="O558" s="27">
        <f>9.029 * CHOOSE(CONTROL!$C$32, $C$9, 100%, $E$9)</f>
        <v>9.0289999999999999</v>
      </c>
    </row>
    <row r="559" spans="1:15" ht="15" x14ac:dyDescent="0.2">
      <c r="A559" s="16">
        <v>57862</v>
      </c>
      <c r="B559" s="26">
        <f>7.8966 * CHOOSE(CONTROL!$C$32, $C$9, 100%, $E$9)</f>
        <v>7.8966000000000003</v>
      </c>
      <c r="C559" s="26">
        <f>7.8966 * CHOOSE(CONTROL!$C$32, $C$9, 100%, $E$9)</f>
        <v>7.8966000000000003</v>
      </c>
      <c r="D559" s="26">
        <f>7.8982 * CHOOSE(CONTROL!$C$32, $C$9, 100%, $E$9)</f>
        <v>7.8982000000000001</v>
      </c>
      <c r="E559" s="27">
        <f>8.963 * CHOOSE(CONTROL!$C$32, $C$9, 100%, $E$9)</f>
        <v>8.9629999999999992</v>
      </c>
      <c r="F559" s="27">
        <f>8.963 * CHOOSE(CONTROL!$C$32, $C$9, 100%, $E$9)</f>
        <v>8.9629999999999992</v>
      </c>
      <c r="G559" s="27">
        <f>8.9683 * CHOOSE(CONTROL!$C$32, $C$9, 100%, $E$9)</f>
        <v>8.9682999999999993</v>
      </c>
      <c r="H559" s="27">
        <f>17.238 * CHOOSE(CONTROL!$C$32, $C$9, 100%, $E$9)</f>
        <v>17.238</v>
      </c>
      <c r="I559" s="27">
        <f>17.2433 * CHOOSE(CONTROL!$C$32, $C$9, 100%, $E$9)</f>
        <v>17.243300000000001</v>
      </c>
      <c r="J559" s="27">
        <f>17.238 * CHOOSE(CONTROL!$C$32, $C$9, 100%, $E$9)</f>
        <v>17.238</v>
      </c>
      <c r="K559" s="27">
        <f>17.2433 * CHOOSE(CONTROL!$C$32, $C$9, 100%, $E$9)</f>
        <v>17.243300000000001</v>
      </c>
      <c r="L559" s="27">
        <f>8.963 * CHOOSE(CONTROL!$C$32, $C$9, 100%, $E$9)</f>
        <v>8.9629999999999992</v>
      </c>
      <c r="M559" s="27">
        <f>8.9683 * CHOOSE(CONTROL!$C$32, $C$9, 100%, $E$9)</f>
        <v>8.9682999999999993</v>
      </c>
      <c r="N559" s="27">
        <f>8.963 * CHOOSE(CONTROL!$C$32, $C$9, 100%, $E$9)</f>
        <v>8.9629999999999992</v>
      </c>
      <c r="O559" s="27">
        <f>8.9683 * CHOOSE(CONTROL!$C$32, $C$9, 100%, $E$9)</f>
        <v>8.9682999999999993</v>
      </c>
    </row>
    <row r="560" spans="1:15" ht="15" x14ac:dyDescent="0.2">
      <c r="A560" s="16">
        <v>57892</v>
      </c>
      <c r="B560" s="26">
        <f>7.9979 * CHOOSE(CONTROL!$C$32, $C$9, 100%, $E$9)</f>
        <v>7.9978999999999996</v>
      </c>
      <c r="C560" s="26">
        <f>7.9979 * CHOOSE(CONTROL!$C$32, $C$9, 100%, $E$9)</f>
        <v>7.9978999999999996</v>
      </c>
      <c r="D560" s="26">
        <f>7.9995 * CHOOSE(CONTROL!$C$32, $C$9, 100%, $E$9)</f>
        <v>7.9995000000000003</v>
      </c>
      <c r="E560" s="27">
        <f>9.0871 * CHOOSE(CONTROL!$C$32, $C$9, 100%, $E$9)</f>
        <v>9.0870999999999995</v>
      </c>
      <c r="F560" s="27">
        <f>9.0871 * CHOOSE(CONTROL!$C$32, $C$9, 100%, $E$9)</f>
        <v>9.0870999999999995</v>
      </c>
      <c r="G560" s="27">
        <f>9.0924 * CHOOSE(CONTROL!$C$32, $C$9, 100%, $E$9)</f>
        <v>9.0923999999999996</v>
      </c>
      <c r="H560" s="27">
        <f>17.2739 * CHOOSE(CONTROL!$C$32, $C$9, 100%, $E$9)</f>
        <v>17.273900000000001</v>
      </c>
      <c r="I560" s="27">
        <f>17.2792 * CHOOSE(CONTROL!$C$32, $C$9, 100%, $E$9)</f>
        <v>17.279199999999999</v>
      </c>
      <c r="J560" s="27">
        <f>17.2739 * CHOOSE(CONTROL!$C$32, $C$9, 100%, $E$9)</f>
        <v>17.273900000000001</v>
      </c>
      <c r="K560" s="27">
        <f>17.2792 * CHOOSE(CONTROL!$C$32, $C$9, 100%, $E$9)</f>
        <v>17.279199999999999</v>
      </c>
      <c r="L560" s="27">
        <f>9.0871 * CHOOSE(CONTROL!$C$32, $C$9, 100%, $E$9)</f>
        <v>9.0870999999999995</v>
      </c>
      <c r="M560" s="27">
        <f>9.0924 * CHOOSE(CONTROL!$C$32, $C$9, 100%, $E$9)</f>
        <v>9.0923999999999996</v>
      </c>
      <c r="N560" s="27">
        <f>9.0871 * CHOOSE(CONTROL!$C$32, $C$9, 100%, $E$9)</f>
        <v>9.0870999999999995</v>
      </c>
      <c r="O560" s="27">
        <f>9.0924 * CHOOSE(CONTROL!$C$32, $C$9, 100%, $E$9)</f>
        <v>9.0923999999999996</v>
      </c>
    </row>
    <row r="561" spans="1:15" ht="15" x14ac:dyDescent="0.2">
      <c r="A561" s="16">
        <v>57923</v>
      </c>
      <c r="B561" s="26">
        <f>8.0046 * CHOOSE(CONTROL!$C$32, $C$9, 100%, $E$9)</f>
        <v>8.0045999999999999</v>
      </c>
      <c r="C561" s="26">
        <f>8.0046 * CHOOSE(CONTROL!$C$32, $C$9, 100%, $E$9)</f>
        <v>8.0045999999999999</v>
      </c>
      <c r="D561" s="26">
        <f>8.0062 * CHOOSE(CONTROL!$C$32, $C$9, 100%, $E$9)</f>
        <v>8.0061999999999998</v>
      </c>
      <c r="E561" s="27">
        <f>8.897 * CHOOSE(CONTROL!$C$32, $C$9, 100%, $E$9)</f>
        <v>8.8970000000000002</v>
      </c>
      <c r="F561" s="27">
        <f>8.897 * CHOOSE(CONTROL!$C$32, $C$9, 100%, $E$9)</f>
        <v>8.8970000000000002</v>
      </c>
      <c r="G561" s="27">
        <f>8.9022 * CHOOSE(CONTROL!$C$32, $C$9, 100%, $E$9)</f>
        <v>8.9022000000000006</v>
      </c>
      <c r="H561" s="27">
        <f>17.3099 * CHOOSE(CONTROL!$C$32, $C$9, 100%, $E$9)</f>
        <v>17.309899999999999</v>
      </c>
      <c r="I561" s="27">
        <f>17.3152 * CHOOSE(CONTROL!$C$32, $C$9, 100%, $E$9)</f>
        <v>17.315200000000001</v>
      </c>
      <c r="J561" s="27">
        <f>17.3099 * CHOOSE(CONTROL!$C$32, $C$9, 100%, $E$9)</f>
        <v>17.309899999999999</v>
      </c>
      <c r="K561" s="27">
        <f>17.3152 * CHOOSE(CONTROL!$C$32, $C$9, 100%, $E$9)</f>
        <v>17.315200000000001</v>
      </c>
      <c r="L561" s="27">
        <f>8.897 * CHOOSE(CONTROL!$C$32, $C$9, 100%, $E$9)</f>
        <v>8.8970000000000002</v>
      </c>
      <c r="M561" s="27">
        <f>8.9022 * CHOOSE(CONTROL!$C$32, $C$9, 100%, $E$9)</f>
        <v>8.9022000000000006</v>
      </c>
      <c r="N561" s="27">
        <f>8.897 * CHOOSE(CONTROL!$C$32, $C$9, 100%, $E$9)</f>
        <v>8.8970000000000002</v>
      </c>
      <c r="O561" s="27">
        <f>8.9022 * CHOOSE(CONTROL!$C$32, $C$9, 100%, $E$9)</f>
        <v>8.9022000000000006</v>
      </c>
    </row>
    <row r="562" spans="1:15" ht="15" x14ac:dyDescent="0.2">
      <c r="A562" s="16">
        <v>57954</v>
      </c>
      <c r="B562" s="26">
        <f>8.0015 * CHOOSE(CONTROL!$C$32, $C$9, 100%, $E$9)</f>
        <v>8.0015000000000001</v>
      </c>
      <c r="C562" s="26">
        <f>8.0015 * CHOOSE(CONTROL!$C$32, $C$9, 100%, $E$9)</f>
        <v>8.0015000000000001</v>
      </c>
      <c r="D562" s="26">
        <f>8.0031 * CHOOSE(CONTROL!$C$32, $C$9, 100%, $E$9)</f>
        <v>8.0030999999999999</v>
      </c>
      <c r="E562" s="27">
        <f>8.8732 * CHOOSE(CONTROL!$C$32, $C$9, 100%, $E$9)</f>
        <v>8.8732000000000006</v>
      </c>
      <c r="F562" s="27">
        <f>8.8732 * CHOOSE(CONTROL!$C$32, $C$9, 100%, $E$9)</f>
        <v>8.8732000000000006</v>
      </c>
      <c r="G562" s="27">
        <f>8.8785 * CHOOSE(CONTROL!$C$32, $C$9, 100%, $E$9)</f>
        <v>8.8785000000000007</v>
      </c>
      <c r="H562" s="27">
        <f>17.346 * CHOOSE(CONTROL!$C$32, $C$9, 100%, $E$9)</f>
        <v>17.346</v>
      </c>
      <c r="I562" s="27">
        <f>17.3512 * CHOOSE(CONTROL!$C$32, $C$9, 100%, $E$9)</f>
        <v>17.351199999999999</v>
      </c>
      <c r="J562" s="27">
        <f>17.346 * CHOOSE(CONTROL!$C$32, $C$9, 100%, $E$9)</f>
        <v>17.346</v>
      </c>
      <c r="K562" s="27">
        <f>17.3512 * CHOOSE(CONTROL!$C$32, $C$9, 100%, $E$9)</f>
        <v>17.351199999999999</v>
      </c>
      <c r="L562" s="27">
        <f>8.8732 * CHOOSE(CONTROL!$C$32, $C$9, 100%, $E$9)</f>
        <v>8.8732000000000006</v>
      </c>
      <c r="M562" s="27">
        <f>8.8785 * CHOOSE(CONTROL!$C$32, $C$9, 100%, $E$9)</f>
        <v>8.8785000000000007</v>
      </c>
      <c r="N562" s="27">
        <f>8.8732 * CHOOSE(CONTROL!$C$32, $C$9, 100%, $E$9)</f>
        <v>8.8732000000000006</v>
      </c>
      <c r="O562" s="27">
        <f>8.8785 * CHOOSE(CONTROL!$C$32, $C$9, 100%, $E$9)</f>
        <v>8.8785000000000007</v>
      </c>
    </row>
    <row r="563" spans="1:15" ht="15" x14ac:dyDescent="0.2">
      <c r="A563" s="16">
        <v>57984</v>
      </c>
      <c r="B563" s="26">
        <f>8.0115 * CHOOSE(CONTROL!$C$32, $C$9, 100%, $E$9)</f>
        <v>8.0114999999999998</v>
      </c>
      <c r="C563" s="26">
        <f>8.0115 * CHOOSE(CONTROL!$C$32, $C$9, 100%, $E$9)</f>
        <v>8.0114999999999998</v>
      </c>
      <c r="D563" s="26">
        <f>8.0126 * CHOOSE(CONTROL!$C$32, $C$9, 100%, $E$9)</f>
        <v>8.0126000000000008</v>
      </c>
      <c r="E563" s="27">
        <f>8.9464 * CHOOSE(CONTROL!$C$32, $C$9, 100%, $E$9)</f>
        <v>8.9464000000000006</v>
      </c>
      <c r="F563" s="27">
        <f>8.9464 * CHOOSE(CONTROL!$C$32, $C$9, 100%, $E$9)</f>
        <v>8.9464000000000006</v>
      </c>
      <c r="G563" s="27">
        <f>8.95 * CHOOSE(CONTROL!$C$32, $C$9, 100%, $E$9)</f>
        <v>8.9499999999999993</v>
      </c>
      <c r="H563" s="27">
        <f>17.3821 * CHOOSE(CONTROL!$C$32, $C$9, 100%, $E$9)</f>
        <v>17.382100000000001</v>
      </c>
      <c r="I563" s="27">
        <f>17.3857 * CHOOSE(CONTROL!$C$32, $C$9, 100%, $E$9)</f>
        <v>17.3857</v>
      </c>
      <c r="J563" s="27">
        <f>17.3821 * CHOOSE(CONTROL!$C$32, $C$9, 100%, $E$9)</f>
        <v>17.382100000000001</v>
      </c>
      <c r="K563" s="27">
        <f>17.3857 * CHOOSE(CONTROL!$C$32, $C$9, 100%, $E$9)</f>
        <v>17.3857</v>
      </c>
      <c r="L563" s="27">
        <f>8.9464 * CHOOSE(CONTROL!$C$32, $C$9, 100%, $E$9)</f>
        <v>8.9464000000000006</v>
      </c>
      <c r="M563" s="27">
        <f>8.95 * CHOOSE(CONTROL!$C$32, $C$9, 100%, $E$9)</f>
        <v>8.9499999999999993</v>
      </c>
      <c r="N563" s="27">
        <f>8.9464 * CHOOSE(CONTROL!$C$32, $C$9, 100%, $E$9)</f>
        <v>8.9464000000000006</v>
      </c>
      <c r="O563" s="27">
        <f>8.95 * CHOOSE(CONTROL!$C$32, $C$9, 100%, $E$9)</f>
        <v>8.9499999999999993</v>
      </c>
    </row>
    <row r="564" spans="1:15" ht="15" x14ac:dyDescent="0.2">
      <c r="A564" s="16">
        <v>58015</v>
      </c>
      <c r="B564" s="26">
        <f>8.0145 * CHOOSE(CONTROL!$C$32, $C$9, 100%, $E$9)</f>
        <v>8.0145</v>
      </c>
      <c r="C564" s="26">
        <f>8.0145 * CHOOSE(CONTROL!$C$32, $C$9, 100%, $E$9)</f>
        <v>8.0145</v>
      </c>
      <c r="D564" s="26">
        <f>8.0156 * CHOOSE(CONTROL!$C$32, $C$9, 100%, $E$9)</f>
        <v>8.0155999999999992</v>
      </c>
      <c r="E564" s="27">
        <f>8.9918 * CHOOSE(CONTROL!$C$32, $C$9, 100%, $E$9)</f>
        <v>8.9917999999999996</v>
      </c>
      <c r="F564" s="27">
        <f>8.9918 * CHOOSE(CONTROL!$C$32, $C$9, 100%, $E$9)</f>
        <v>8.9917999999999996</v>
      </c>
      <c r="G564" s="27">
        <f>8.9954 * CHOOSE(CONTROL!$C$32, $C$9, 100%, $E$9)</f>
        <v>8.9954000000000001</v>
      </c>
      <c r="H564" s="27">
        <f>17.4183 * CHOOSE(CONTROL!$C$32, $C$9, 100%, $E$9)</f>
        <v>17.418299999999999</v>
      </c>
      <c r="I564" s="27">
        <f>17.4219 * CHOOSE(CONTROL!$C$32, $C$9, 100%, $E$9)</f>
        <v>17.421900000000001</v>
      </c>
      <c r="J564" s="27">
        <f>17.4183 * CHOOSE(CONTROL!$C$32, $C$9, 100%, $E$9)</f>
        <v>17.418299999999999</v>
      </c>
      <c r="K564" s="27">
        <f>17.4219 * CHOOSE(CONTROL!$C$32, $C$9, 100%, $E$9)</f>
        <v>17.421900000000001</v>
      </c>
      <c r="L564" s="27">
        <f>8.9918 * CHOOSE(CONTROL!$C$32, $C$9, 100%, $E$9)</f>
        <v>8.9917999999999996</v>
      </c>
      <c r="M564" s="27">
        <f>8.9954 * CHOOSE(CONTROL!$C$32, $C$9, 100%, $E$9)</f>
        <v>8.9954000000000001</v>
      </c>
      <c r="N564" s="27">
        <f>8.9918 * CHOOSE(CONTROL!$C$32, $C$9, 100%, $E$9)</f>
        <v>8.9917999999999996</v>
      </c>
      <c r="O564" s="27">
        <f>8.9954 * CHOOSE(CONTROL!$C$32, $C$9, 100%, $E$9)</f>
        <v>8.9954000000000001</v>
      </c>
    </row>
    <row r="565" spans="1:15" ht="15" x14ac:dyDescent="0.2">
      <c r="A565" s="16">
        <v>58045</v>
      </c>
      <c r="B565" s="26">
        <f>8.0145 * CHOOSE(CONTROL!$C$32, $C$9, 100%, $E$9)</f>
        <v>8.0145</v>
      </c>
      <c r="C565" s="26">
        <f>8.0145 * CHOOSE(CONTROL!$C$32, $C$9, 100%, $E$9)</f>
        <v>8.0145</v>
      </c>
      <c r="D565" s="26">
        <f>8.0156 * CHOOSE(CONTROL!$C$32, $C$9, 100%, $E$9)</f>
        <v>8.0155999999999992</v>
      </c>
      <c r="E565" s="27">
        <f>8.8835 * CHOOSE(CONTROL!$C$32, $C$9, 100%, $E$9)</f>
        <v>8.8834999999999997</v>
      </c>
      <c r="F565" s="27">
        <f>8.8835 * CHOOSE(CONTROL!$C$32, $C$9, 100%, $E$9)</f>
        <v>8.8834999999999997</v>
      </c>
      <c r="G565" s="27">
        <f>8.8872 * CHOOSE(CONTROL!$C$32, $C$9, 100%, $E$9)</f>
        <v>8.8872</v>
      </c>
      <c r="H565" s="27">
        <f>17.4546 * CHOOSE(CONTROL!$C$32, $C$9, 100%, $E$9)</f>
        <v>17.454599999999999</v>
      </c>
      <c r="I565" s="27">
        <f>17.4582 * CHOOSE(CONTROL!$C$32, $C$9, 100%, $E$9)</f>
        <v>17.458200000000001</v>
      </c>
      <c r="J565" s="27">
        <f>17.4546 * CHOOSE(CONTROL!$C$32, $C$9, 100%, $E$9)</f>
        <v>17.454599999999999</v>
      </c>
      <c r="K565" s="27">
        <f>17.4582 * CHOOSE(CONTROL!$C$32, $C$9, 100%, $E$9)</f>
        <v>17.458200000000001</v>
      </c>
      <c r="L565" s="27">
        <f>8.8835 * CHOOSE(CONTROL!$C$32, $C$9, 100%, $E$9)</f>
        <v>8.8834999999999997</v>
      </c>
      <c r="M565" s="27">
        <f>8.8872 * CHOOSE(CONTROL!$C$32, $C$9, 100%, $E$9)</f>
        <v>8.8872</v>
      </c>
      <c r="N565" s="27">
        <f>8.8835 * CHOOSE(CONTROL!$C$32, $C$9, 100%, $E$9)</f>
        <v>8.8834999999999997</v>
      </c>
      <c r="O565" s="27">
        <f>8.8872 * CHOOSE(CONTROL!$C$32, $C$9, 100%, $E$9)</f>
        <v>8.8872</v>
      </c>
    </row>
    <row r="566" spans="1:15" ht="15" x14ac:dyDescent="0.2">
      <c r="A566" s="16">
        <v>58076</v>
      </c>
      <c r="B566" s="26">
        <f>8.0743 * CHOOSE(CONTROL!$C$32, $C$9, 100%, $E$9)</f>
        <v>8.0742999999999991</v>
      </c>
      <c r="C566" s="26">
        <f>8.0743 * CHOOSE(CONTROL!$C$32, $C$9, 100%, $E$9)</f>
        <v>8.0742999999999991</v>
      </c>
      <c r="D566" s="26">
        <f>8.0754 * CHOOSE(CONTROL!$C$32, $C$9, 100%, $E$9)</f>
        <v>8.0754000000000001</v>
      </c>
      <c r="E566" s="27">
        <f>9.0387 * CHOOSE(CONTROL!$C$32, $C$9, 100%, $E$9)</f>
        <v>9.0387000000000004</v>
      </c>
      <c r="F566" s="27">
        <f>9.0387 * CHOOSE(CONTROL!$C$32, $C$9, 100%, $E$9)</f>
        <v>9.0387000000000004</v>
      </c>
      <c r="G566" s="27">
        <f>9.0423 * CHOOSE(CONTROL!$C$32, $C$9, 100%, $E$9)</f>
        <v>9.0422999999999991</v>
      </c>
      <c r="H566" s="27">
        <f>17.491 * CHOOSE(CONTROL!$C$32, $C$9, 100%, $E$9)</f>
        <v>17.491</v>
      </c>
      <c r="I566" s="27">
        <f>17.4946 * CHOOSE(CONTROL!$C$32, $C$9, 100%, $E$9)</f>
        <v>17.494599999999998</v>
      </c>
      <c r="J566" s="27">
        <f>17.491 * CHOOSE(CONTROL!$C$32, $C$9, 100%, $E$9)</f>
        <v>17.491</v>
      </c>
      <c r="K566" s="27">
        <f>17.4946 * CHOOSE(CONTROL!$C$32, $C$9, 100%, $E$9)</f>
        <v>17.494599999999998</v>
      </c>
      <c r="L566" s="27">
        <f>9.0387 * CHOOSE(CONTROL!$C$32, $C$9, 100%, $E$9)</f>
        <v>9.0387000000000004</v>
      </c>
      <c r="M566" s="27">
        <f>9.0423 * CHOOSE(CONTROL!$C$32, $C$9, 100%, $E$9)</f>
        <v>9.0422999999999991</v>
      </c>
      <c r="N566" s="27">
        <f>9.0387 * CHOOSE(CONTROL!$C$32, $C$9, 100%, $E$9)</f>
        <v>9.0387000000000004</v>
      </c>
      <c r="O566" s="27">
        <f>9.0423 * CHOOSE(CONTROL!$C$32, $C$9, 100%, $E$9)</f>
        <v>9.0422999999999991</v>
      </c>
    </row>
    <row r="567" spans="1:15" ht="15" x14ac:dyDescent="0.2">
      <c r="A567" s="16">
        <v>58107</v>
      </c>
      <c r="B567" s="26">
        <f>8.0713 * CHOOSE(CONTROL!$C$32, $C$9, 100%, $E$9)</f>
        <v>8.0713000000000008</v>
      </c>
      <c r="C567" s="26">
        <f>8.0713 * CHOOSE(CONTROL!$C$32, $C$9, 100%, $E$9)</f>
        <v>8.0713000000000008</v>
      </c>
      <c r="D567" s="26">
        <f>8.0723 * CHOOSE(CONTROL!$C$32, $C$9, 100%, $E$9)</f>
        <v>8.0723000000000003</v>
      </c>
      <c r="E567" s="27">
        <f>8.8254 * CHOOSE(CONTROL!$C$32, $C$9, 100%, $E$9)</f>
        <v>8.8254000000000001</v>
      </c>
      <c r="F567" s="27">
        <f>8.8254 * CHOOSE(CONTROL!$C$32, $C$9, 100%, $E$9)</f>
        <v>8.8254000000000001</v>
      </c>
      <c r="G567" s="27">
        <f>8.829 * CHOOSE(CONTROL!$C$32, $C$9, 100%, $E$9)</f>
        <v>8.8290000000000006</v>
      </c>
      <c r="H567" s="27">
        <f>17.5274 * CHOOSE(CONTROL!$C$32, $C$9, 100%, $E$9)</f>
        <v>17.5274</v>
      </c>
      <c r="I567" s="27">
        <f>17.531 * CHOOSE(CONTROL!$C$32, $C$9, 100%, $E$9)</f>
        <v>17.530999999999999</v>
      </c>
      <c r="J567" s="27">
        <f>17.5274 * CHOOSE(CONTROL!$C$32, $C$9, 100%, $E$9)</f>
        <v>17.5274</v>
      </c>
      <c r="K567" s="27">
        <f>17.531 * CHOOSE(CONTROL!$C$32, $C$9, 100%, $E$9)</f>
        <v>17.530999999999999</v>
      </c>
      <c r="L567" s="27">
        <f>8.8254 * CHOOSE(CONTROL!$C$32, $C$9, 100%, $E$9)</f>
        <v>8.8254000000000001</v>
      </c>
      <c r="M567" s="27">
        <f>8.829 * CHOOSE(CONTROL!$C$32, $C$9, 100%, $E$9)</f>
        <v>8.8290000000000006</v>
      </c>
      <c r="N567" s="27">
        <f>8.8254 * CHOOSE(CONTROL!$C$32, $C$9, 100%, $E$9)</f>
        <v>8.8254000000000001</v>
      </c>
      <c r="O567" s="27">
        <f>8.829 * CHOOSE(CONTROL!$C$32, $C$9, 100%, $E$9)</f>
        <v>8.8290000000000006</v>
      </c>
    </row>
    <row r="568" spans="1:15" ht="15" x14ac:dyDescent="0.2">
      <c r="A568" s="16">
        <v>58135</v>
      </c>
      <c r="B568" s="26">
        <f>8.0682 * CHOOSE(CONTROL!$C$32, $C$9, 100%, $E$9)</f>
        <v>8.0681999999999992</v>
      </c>
      <c r="C568" s="26">
        <f>8.0682 * CHOOSE(CONTROL!$C$32, $C$9, 100%, $E$9)</f>
        <v>8.0681999999999992</v>
      </c>
      <c r="D568" s="26">
        <f>8.0693 * CHOOSE(CONTROL!$C$32, $C$9, 100%, $E$9)</f>
        <v>8.0693000000000001</v>
      </c>
      <c r="E568" s="27">
        <f>8.9897 * CHOOSE(CONTROL!$C$32, $C$9, 100%, $E$9)</f>
        <v>8.9896999999999991</v>
      </c>
      <c r="F568" s="27">
        <f>8.9897 * CHOOSE(CONTROL!$C$32, $C$9, 100%, $E$9)</f>
        <v>8.9896999999999991</v>
      </c>
      <c r="G568" s="27">
        <f>8.9934 * CHOOSE(CONTROL!$C$32, $C$9, 100%, $E$9)</f>
        <v>8.9933999999999994</v>
      </c>
      <c r="H568" s="27">
        <f>17.5639 * CHOOSE(CONTROL!$C$32, $C$9, 100%, $E$9)</f>
        <v>17.5639</v>
      </c>
      <c r="I568" s="27">
        <f>17.5675 * CHOOSE(CONTROL!$C$32, $C$9, 100%, $E$9)</f>
        <v>17.567499999999999</v>
      </c>
      <c r="J568" s="27">
        <f>17.5639 * CHOOSE(CONTROL!$C$32, $C$9, 100%, $E$9)</f>
        <v>17.5639</v>
      </c>
      <c r="K568" s="27">
        <f>17.5675 * CHOOSE(CONTROL!$C$32, $C$9, 100%, $E$9)</f>
        <v>17.567499999999999</v>
      </c>
      <c r="L568" s="27">
        <f>8.9897 * CHOOSE(CONTROL!$C$32, $C$9, 100%, $E$9)</f>
        <v>8.9896999999999991</v>
      </c>
      <c r="M568" s="27">
        <f>8.9934 * CHOOSE(CONTROL!$C$32, $C$9, 100%, $E$9)</f>
        <v>8.9933999999999994</v>
      </c>
      <c r="N568" s="27">
        <f>8.9897 * CHOOSE(CONTROL!$C$32, $C$9, 100%, $E$9)</f>
        <v>8.9896999999999991</v>
      </c>
      <c r="O568" s="27">
        <f>8.9934 * CHOOSE(CONTROL!$C$32, $C$9, 100%, $E$9)</f>
        <v>8.9933999999999994</v>
      </c>
    </row>
    <row r="569" spans="1:15" ht="15" x14ac:dyDescent="0.2">
      <c r="A569" s="16">
        <v>58166</v>
      </c>
      <c r="B569" s="26">
        <f>8.0698 * CHOOSE(CONTROL!$C$32, $C$9, 100%, $E$9)</f>
        <v>8.0698000000000008</v>
      </c>
      <c r="C569" s="26">
        <f>8.0698 * CHOOSE(CONTROL!$C$32, $C$9, 100%, $E$9)</f>
        <v>8.0698000000000008</v>
      </c>
      <c r="D569" s="26">
        <f>8.0709 * CHOOSE(CONTROL!$C$32, $C$9, 100%, $E$9)</f>
        <v>8.0709</v>
      </c>
      <c r="E569" s="27">
        <f>9.1643 * CHOOSE(CONTROL!$C$32, $C$9, 100%, $E$9)</f>
        <v>9.1643000000000008</v>
      </c>
      <c r="F569" s="27">
        <f>9.1643 * CHOOSE(CONTROL!$C$32, $C$9, 100%, $E$9)</f>
        <v>9.1643000000000008</v>
      </c>
      <c r="G569" s="27">
        <f>9.1679 * CHOOSE(CONTROL!$C$32, $C$9, 100%, $E$9)</f>
        <v>9.1678999999999995</v>
      </c>
      <c r="H569" s="27">
        <f>17.6005 * CHOOSE(CONTROL!$C$32, $C$9, 100%, $E$9)</f>
        <v>17.6005</v>
      </c>
      <c r="I569" s="27">
        <f>17.6041 * CHOOSE(CONTROL!$C$32, $C$9, 100%, $E$9)</f>
        <v>17.604099999999999</v>
      </c>
      <c r="J569" s="27">
        <f>17.6005 * CHOOSE(CONTROL!$C$32, $C$9, 100%, $E$9)</f>
        <v>17.6005</v>
      </c>
      <c r="K569" s="27">
        <f>17.6041 * CHOOSE(CONTROL!$C$32, $C$9, 100%, $E$9)</f>
        <v>17.604099999999999</v>
      </c>
      <c r="L569" s="27">
        <f>9.1643 * CHOOSE(CONTROL!$C$32, $C$9, 100%, $E$9)</f>
        <v>9.1643000000000008</v>
      </c>
      <c r="M569" s="27">
        <f>9.1679 * CHOOSE(CONTROL!$C$32, $C$9, 100%, $E$9)</f>
        <v>9.1678999999999995</v>
      </c>
      <c r="N569" s="27">
        <f>9.1643 * CHOOSE(CONTROL!$C$32, $C$9, 100%, $E$9)</f>
        <v>9.1643000000000008</v>
      </c>
      <c r="O569" s="27">
        <f>9.1679 * CHOOSE(CONTROL!$C$32, $C$9, 100%, $E$9)</f>
        <v>9.1678999999999995</v>
      </c>
    </row>
    <row r="570" spans="1:15" ht="15" x14ac:dyDescent="0.2">
      <c r="A570" s="16">
        <v>58196</v>
      </c>
      <c r="B570" s="26">
        <f>8.0698 * CHOOSE(CONTROL!$C$32, $C$9, 100%, $E$9)</f>
        <v>8.0698000000000008</v>
      </c>
      <c r="C570" s="26">
        <f>8.0698 * CHOOSE(CONTROL!$C$32, $C$9, 100%, $E$9)</f>
        <v>8.0698000000000008</v>
      </c>
      <c r="D570" s="26">
        <f>8.0714 * CHOOSE(CONTROL!$C$32, $C$9, 100%, $E$9)</f>
        <v>8.0714000000000006</v>
      </c>
      <c r="E570" s="27">
        <f>9.2313 * CHOOSE(CONTROL!$C$32, $C$9, 100%, $E$9)</f>
        <v>9.2312999999999992</v>
      </c>
      <c r="F570" s="27">
        <f>9.2313 * CHOOSE(CONTROL!$C$32, $C$9, 100%, $E$9)</f>
        <v>9.2312999999999992</v>
      </c>
      <c r="G570" s="27">
        <f>9.2366 * CHOOSE(CONTROL!$C$32, $C$9, 100%, $E$9)</f>
        <v>9.2365999999999993</v>
      </c>
      <c r="H570" s="27">
        <f>17.6372 * CHOOSE(CONTROL!$C$32, $C$9, 100%, $E$9)</f>
        <v>17.6372</v>
      </c>
      <c r="I570" s="27">
        <f>17.6425 * CHOOSE(CONTROL!$C$32, $C$9, 100%, $E$9)</f>
        <v>17.642499999999998</v>
      </c>
      <c r="J570" s="27">
        <f>17.6372 * CHOOSE(CONTROL!$C$32, $C$9, 100%, $E$9)</f>
        <v>17.6372</v>
      </c>
      <c r="K570" s="27">
        <f>17.6425 * CHOOSE(CONTROL!$C$32, $C$9, 100%, $E$9)</f>
        <v>17.642499999999998</v>
      </c>
      <c r="L570" s="27">
        <f>9.2313 * CHOOSE(CONTROL!$C$32, $C$9, 100%, $E$9)</f>
        <v>9.2312999999999992</v>
      </c>
      <c r="M570" s="27">
        <f>9.2366 * CHOOSE(CONTROL!$C$32, $C$9, 100%, $E$9)</f>
        <v>9.2365999999999993</v>
      </c>
      <c r="N570" s="27">
        <f>9.2313 * CHOOSE(CONTROL!$C$32, $C$9, 100%, $E$9)</f>
        <v>9.2312999999999992</v>
      </c>
      <c r="O570" s="27">
        <f>9.2366 * CHOOSE(CONTROL!$C$32, $C$9, 100%, $E$9)</f>
        <v>9.2365999999999993</v>
      </c>
    </row>
    <row r="571" spans="1:15" ht="15" x14ac:dyDescent="0.2">
      <c r="A571" s="16">
        <v>58227</v>
      </c>
      <c r="B571" s="26">
        <f>8.0759 * CHOOSE(CONTROL!$C$32, $C$9, 100%, $E$9)</f>
        <v>8.0759000000000007</v>
      </c>
      <c r="C571" s="26">
        <f>8.0759 * CHOOSE(CONTROL!$C$32, $C$9, 100%, $E$9)</f>
        <v>8.0759000000000007</v>
      </c>
      <c r="D571" s="26">
        <f>8.0775 * CHOOSE(CONTROL!$C$32, $C$9, 100%, $E$9)</f>
        <v>8.0775000000000006</v>
      </c>
      <c r="E571" s="27">
        <f>9.1685 * CHOOSE(CONTROL!$C$32, $C$9, 100%, $E$9)</f>
        <v>9.1684999999999999</v>
      </c>
      <c r="F571" s="27">
        <f>9.1685 * CHOOSE(CONTROL!$C$32, $C$9, 100%, $E$9)</f>
        <v>9.1684999999999999</v>
      </c>
      <c r="G571" s="27">
        <f>9.1738 * CHOOSE(CONTROL!$C$32, $C$9, 100%, $E$9)</f>
        <v>9.1738</v>
      </c>
      <c r="H571" s="27">
        <f>17.6739 * CHOOSE(CONTROL!$C$32, $C$9, 100%, $E$9)</f>
        <v>17.6739</v>
      </c>
      <c r="I571" s="27">
        <f>17.6792 * CHOOSE(CONTROL!$C$32, $C$9, 100%, $E$9)</f>
        <v>17.679200000000002</v>
      </c>
      <c r="J571" s="27">
        <f>17.6739 * CHOOSE(CONTROL!$C$32, $C$9, 100%, $E$9)</f>
        <v>17.6739</v>
      </c>
      <c r="K571" s="27">
        <f>17.6792 * CHOOSE(CONTROL!$C$32, $C$9, 100%, $E$9)</f>
        <v>17.679200000000002</v>
      </c>
      <c r="L571" s="27">
        <f>9.1685 * CHOOSE(CONTROL!$C$32, $C$9, 100%, $E$9)</f>
        <v>9.1684999999999999</v>
      </c>
      <c r="M571" s="27">
        <f>9.1738 * CHOOSE(CONTROL!$C$32, $C$9, 100%, $E$9)</f>
        <v>9.1738</v>
      </c>
      <c r="N571" s="27">
        <f>9.1685 * CHOOSE(CONTROL!$C$32, $C$9, 100%, $E$9)</f>
        <v>9.1684999999999999</v>
      </c>
      <c r="O571" s="27">
        <f>9.1738 * CHOOSE(CONTROL!$C$32, $C$9, 100%, $E$9)</f>
        <v>9.1738</v>
      </c>
    </row>
    <row r="572" spans="1:15" ht="15" x14ac:dyDescent="0.2">
      <c r="A572" s="16">
        <v>58257</v>
      </c>
      <c r="B572" s="26">
        <f>8.1792 * CHOOSE(CONTROL!$C$32, $C$9, 100%, $E$9)</f>
        <v>8.1791999999999998</v>
      </c>
      <c r="C572" s="26">
        <f>8.1792 * CHOOSE(CONTROL!$C$32, $C$9, 100%, $E$9)</f>
        <v>8.1791999999999998</v>
      </c>
      <c r="D572" s="26">
        <f>8.1807 * CHOOSE(CONTROL!$C$32, $C$9, 100%, $E$9)</f>
        <v>8.1806999999999999</v>
      </c>
      <c r="E572" s="27">
        <f>9.2956 * CHOOSE(CONTROL!$C$32, $C$9, 100%, $E$9)</f>
        <v>9.2956000000000003</v>
      </c>
      <c r="F572" s="27">
        <f>9.2956 * CHOOSE(CONTROL!$C$32, $C$9, 100%, $E$9)</f>
        <v>9.2956000000000003</v>
      </c>
      <c r="G572" s="27">
        <f>9.3009 * CHOOSE(CONTROL!$C$32, $C$9, 100%, $E$9)</f>
        <v>9.3009000000000004</v>
      </c>
      <c r="H572" s="27">
        <f>17.7107 * CHOOSE(CONTROL!$C$32, $C$9, 100%, $E$9)</f>
        <v>17.710699999999999</v>
      </c>
      <c r="I572" s="27">
        <f>17.716 * CHOOSE(CONTROL!$C$32, $C$9, 100%, $E$9)</f>
        <v>17.716000000000001</v>
      </c>
      <c r="J572" s="27">
        <f>17.7107 * CHOOSE(CONTROL!$C$32, $C$9, 100%, $E$9)</f>
        <v>17.710699999999999</v>
      </c>
      <c r="K572" s="27">
        <f>17.716 * CHOOSE(CONTROL!$C$32, $C$9, 100%, $E$9)</f>
        <v>17.716000000000001</v>
      </c>
      <c r="L572" s="27">
        <f>9.2956 * CHOOSE(CONTROL!$C$32, $C$9, 100%, $E$9)</f>
        <v>9.2956000000000003</v>
      </c>
      <c r="M572" s="27">
        <f>9.3009 * CHOOSE(CONTROL!$C$32, $C$9, 100%, $E$9)</f>
        <v>9.3009000000000004</v>
      </c>
      <c r="N572" s="27">
        <f>9.2956 * CHOOSE(CONTROL!$C$32, $C$9, 100%, $E$9)</f>
        <v>9.2956000000000003</v>
      </c>
      <c r="O572" s="27">
        <f>9.3009 * CHOOSE(CONTROL!$C$32, $C$9, 100%, $E$9)</f>
        <v>9.3009000000000004</v>
      </c>
    </row>
    <row r="573" spans="1:15" ht="15" x14ac:dyDescent="0.2">
      <c r="A573" s="16">
        <v>58288</v>
      </c>
      <c r="B573" s="26">
        <f>8.1858 * CHOOSE(CONTROL!$C$32, $C$9, 100%, $E$9)</f>
        <v>8.1858000000000004</v>
      </c>
      <c r="C573" s="26">
        <f>8.1858 * CHOOSE(CONTROL!$C$32, $C$9, 100%, $E$9)</f>
        <v>8.1858000000000004</v>
      </c>
      <c r="D573" s="26">
        <f>8.1874 * CHOOSE(CONTROL!$C$32, $C$9, 100%, $E$9)</f>
        <v>8.1874000000000002</v>
      </c>
      <c r="E573" s="27">
        <f>9.0991 * CHOOSE(CONTROL!$C$32, $C$9, 100%, $E$9)</f>
        <v>9.0991</v>
      </c>
      <c r="F573" s="27">
        <f>9.0991 * CHOOSE(CONTROL!$C$32, $C$9, 100%, $E$9)</f>
        <v>9.0991</v>
      </c>
      <c r="G573" s="27">
        <f>9.1044 * CHOOSE(CONTROL!$C$32, $C$9, 100%, $E$9)</f>
        <v>9.1044</v>
      </c>
      <c r="H573" s="27">
        <f>17.7476 * CHOOSE(CONTROL!$C$32, $C$9, 100%, $E$9)</f>
        <v>17.747599999999998</v>
      </c>
      <c r="I573" s="27">
        <f>17.7529 * CHOOSE(CONTROL!$C$32, $C$9, 100%, $E$9)</f>
        <v>17.7529</v>
      </c>
      <c r="J573" s="27">
        <f>17.7476 * CHOOSE(CONTROL!$C$32, $C$9, 100%, $E$9)</f>
        <v>17.747599999999998</v>
      </c>
      <c r="K573" s="27">
        <f>17.7529 * CHOOSE(CONTROL!$C$32, $C$9, 100%, $E$9)</f>
        <v>17.7529</v>
      </c>
      <c r="L573" s="27">
        <f>9.0991 * CHOOSE(CONTROL!$C$32, $C$9, 100%, $E$9)</f>
        <v>9.0991</v>
      </c>
      <c r="M573" s="27">
        <f>9.1044 * CHOOSE(CONTROL!$C$32, $C$9, 100%, $E$9)</f>
        <v>9.1044</v>
      </c>
      <c r="N573" s="27">
        <f>9.0991 * CHOOSE(CONTROL!$C$32, $C$9, 100%, $E$9)</f>
        <v>9.0991</v>
      </c>
      <c r="O573" s="27">
        <f>9.1044 * CHOOSE(CONTROL!$C$32, $C$9, 100%, $E$9)</f>
        <v>9.1044</v>
      </c>
    </row>
    <row r="574" spans="1:15" ht="15" x14ac:dyDescent="0.2">
      <c r="A574" s="16">
        <v>58319</v>
      </c>
      <c r="B574" s="26">
        <f>8.1828 * CHOOSE(CONTROL!$C$32, $C$9, 100%, $E$9)</f>
        <v>8.1828000000000003</v>
      </c>
      <c r="C574" s="26">
        <f>8.1828 * CHOOSE(CONTROL!$C$32, $C$9, 100%, $E$9)</f>
        <v>8.1828000000000003</v>
      </c>
      <c r="D574" s="26">
        <f>8.1844 * CHOOSE(CONTROL!$C$32, $C$9, 100%, $E$9)</f>
        <v>8.1844000000000001</v>
      </c>
      <c r="E574" s="27">
        <f>9.0746 * CHOOSE(CONTROL!$C$32, $C$9, 100%, $E$9)</f>
        <v>9.0746000000000002</v>
      </c>
      <c r="F574" s="27">
        <f>9.0746 * CHOOSE(CONTROL!$C$32, $C$9, 100%, $E$9)</f>
        <v>9.0746000000000002</v>
      </c>
      <c r="G574" s="27">
        <f>9.0799 * CHOOSE(CONTROL!$C$32, $C$9, 100%, $E$9)</f>
        <v>9.0799000000000003</v>
      </c>
      <c r="H574" s="27">
        <f>17.7846 * CHOOSE(CONTROL!$C$32, $C$9, 100%, $E$9)</f>
        <v>17.784600000000001</v>
      </c>
      <c r="I574" s="27">
        <f>17.7899 * CHOOSE(CONTROL!$C$32, $C$9, 100%, $E$9)</f>
        <v>17.789899999999999</v>
      </c>
      <c r="J574" s="27">
        <f>17.7846 * CHOOSE(CONTROL!$C$32, $C$9, 100%, $E$9)</f>
        <v>17.784600000000001</v>
      </c>
      <c r="K574" s="27">
        <f>17.7899 * CHOOSE(CONTROL!$C$32, $C$9, 100%, $E$9)</f>
        <v>17.789899999999999</v>
      </c>
      <c r="L574" s="27">
        <f>9.0746 * CHOOSE(CONTROL!$C$32, $C$9, 100%, $E$9)</f>
        <v>9.0746000000000002</v>
      </c>
      <c r="M574" s="27">
        <f>9.0799 * CHOOSE(CONTROL!$C$32, $C$9, 100%, $E$9)</f>
        <v>9.0799000000000003</v>
      </c>
      <c r="N574" s="27">
        <f>9.0746 * CHOOSE(CONTROL!$C$32, $C$9, 100%, $E$9)</f>
        <v>9.0746000000000002</v>
      </c>
      <c r="O574" s="27">
        <f>9.0799 * CHOOSE(CONTROL!$C$32, $C$9, 100%, $E$9)</f>
        <v>9.0799000000000003</v>
      </c>
    </row>
    <row r="575" spans="1:15" ht="15" x14ac:dyDescent="0.2">
      <c r="A575" s="16">
        <v>58349</v>
      </c>
      <c r="B575" s="26">
        <f>8.1934 * CHOOSE(CONTROL!$C$32, $C$9, 100%, $E$9)</f>
        <v>8.1934000000000005</v>
      </c>
      <c r="C575" s="26">
        <f>8.1934 * CHOOSE(CONTROL!$C$32, $C$9, 100%, $E$9)</f>
        <v>8.1934000000000005</v>
      </c>
      <c r="D575" s="26">
        <f>8.1945 * CHOOSE(CONTROL!$C$32, $C$9, 100%, $E$9)</f>
        <v>8.1944999999999997</v>
      </c>
      <c r="E575" s="27">
        <f>9.1506 * CHOOSE(CONTROL!$C$32, $C$9, 100%, $E$9)</f>
        <v>9.1506000000000007</v>
      </c>
      <c r="F575" s="27">
        <f>9.1506 * CHOOSE(CONTROL!$C$32, $C$9, 100%, $E$9)</f>
        <v>9.1506000000000007</v>
      </c>
      <c r="G575" s="27">
        <f>9.1542 * CHOOSE(CONTROL!$C$32, $C$9, 100%, $E$9)</f>
        <v>9.1541999999999994</v>
      </c>
      <c r="H575" s="27">
        <f>17.8217 * CHOOSE(CONTROL!$C$32, $C$9, 100%, $E$9)</f>
        <v>17.8217</v>
      </c>
      <c r="I575" s="27">
        <f>17.8253 * CHOOSE(CONTROL!$C$32, $C$9, 100%, $E$9)</f>
        <v>17.825299999999999</v>
      </c>
      <c r="J575" s="27">
        <f>17.8217 * CHOOSE(CONTROL!$C$32, $C$9, 100%, $E$9)</f>
        <v>17.8217</v>
      </c>
      <c r="K575" s="27">
        <f>17.8253 * CHOOSE(CONTROL!$C$32, $C$9, 100%, $E$9)</f>
        <v>17.825299999999999</v>
      </c>
      <c r="L575" s="27">
        <f>9.1506 * CHOOSE(CONTROL!$C$32, $C$9, 100%, $E$9)</f>
        <v>9.1506000000000007</v>
      </c>
      <c r="M575" s="27">
        <f>9.1542 * CHOOSE(CONTROL!$C$32, $C$9, 100%, $E$9)</f>
        <v>9.1541999999999994</v>
      </c>
      <c r="N575" s="27">
        <f>9.1506 * CHOOSE(CONTROL!$C$32, $C$9, 100%, $E$9)</f>
        <v>9.1506000000000007</v>
      </c>
      <c r="O575" s="27">
        <f>9.1542 * CHOOSE(CONTROL!$C$32, $C$9, 100%, $E$9)</f>
        <v>9.1541999999999994</v>
      </c>
    </row>
    <row r="576" spans="1:15" ht="15" x14ac:dyDescent="0.2">
      <c r="A576" s="16">
        <v>58380</v>
      </c>
      <c r="B576" s="26">
        <f>8.1965 * CHOOSE(CONTROL!$C$32, $C$9, 100%, $E$9)</f>
        <v>8.1965000000000003</v>
      </c>
      <c r="C576" s="26">
        <f>8.1965 * CHOOSE(CONTROL!$C$32, $C$9, 100%, $E$9)</f>
        <v>8.1965000000000003</v>
      </c>
      <c r="D576" s="26">
        <f>8.1976 * CHOOSE(CONTROL!$C$32, $C$9, 100%, $E$9)</f>
        <v>8.1975999999999996</v>
      </c>
      <c r="E576" s="27">
        <f>9.1974 * CHOOSE(CONTROL!$C$32, $C$9, 100%, $E$9)</f>
        <v>9.1974</v>
      </c>
      <c r="F576" s="27">
        <f>9.1974 * CHOOSE(CONTROL!$C$32, $C$9, 100%, $E$9)</f>
        <v>9.1974</v>
      </c>
      <c r="G576" s="27">
        <f>9.2011 * CHOOSE(CONTROL!$C$32, $C$9, 100%, $E$9)</f>
        <v>9.2011000000000003</v>
      </c>
      <c r="H576" s="27">
        <f>17.8588 * CHOOSE(CONTROL!$C$32, $C$9, 100%, $E$9)</f>
        <v>17.858799999999999</v>
      </c>
      <c r="I576" s="27">
        <f>17.8624 * CHOOSE(CONTROL!$C$32, $C$9, 100%, $E$9)</f>
        <v>17.862400000000001</v>
      </c>
      <c r="J576" s="27">
        <f>17.8588 * CHOOSE(CONTROL!$C$32, $C$9, 100%, $E$9)</f>
        <v>17.858799999999999</v>
      </c>
      <c r="K576" s="27">
        <f>17.8624 * CHOOSE(CONTROL!$C$32, $C$9, 100%, $E$9)</f>
        <v>17.862400000000001</v>
      </c>
      <c r="L576" s="27">
        <f>9.1974 * CHOOSE(CONTROL!$C$32, $C$9, 100%, $E$9)</f>
        <v>9.1974</v>
      </c>
      <c r="M576" s="27">
        <f>9.2011 * CHOOSE(CONTROL!$C$32, $C$9, 100%, $E$9)</f>
        <v>9.2011000000000003</v>
      </c>
      <c r="N576" s="27">
        <f>9.1974 * CHOOSE(CONTROL!$C$32, $C$9, 100%, $E$9)</f>
        <v>9.1974</v>
      </c>
      <c r="O576" s="27">
        <f>9.2011 * CHOOSE(CONTROL!$C$32, $C$9, 100%, $E$9)</f>
        <v>9.2011000000000003</v>
      </c>
    </row>
    <row r="577" spans="1:15" ht="15" x14ac:dyDescent="0.2">
      <c r="A577" s="16">
        <v>58410</v>
      </c>
      <c r="B577" s="26">
        <f>8.1965 * CHOOSE(CONTROL!$C$32, $C$9, 100%, $E$9)</f>
        <v>8.1965000000000003</v>
      </c>
      <c r="C577" s="26">
        <f>8.1965 * CHOOSE(CONTROL!$C$32, $C$9, 100%, $E$9)</f>
        <v>8.1965000000000003</v>
      </c>
      <c r="D577" s="26">
        <f>8.1976 * CHOOSE(CONTROL!$C$32, $C$9, 100%, $E$9)</f>
        <v>8.1975999999999996</v>
      </c>
      <c r="E577" s="27">
        <f>9.0857 * CHOOSE(CONTROL!$C$32, $C$9, 100%, $E$9)</f>
        <v>9.0856999999999992</v>
      </c>
      <c r="F577" s="27">
        <f>9.0857 * CHOOSE(CONTROL!$C$32, $C$9, 100%, $E$9)</f>
        <v>9.0856999999999992</v>
      </c>
      <c r="G577" s="27">
        <f>9.0893 * CHOOSE(CONTROL!$C$32, $C$9, 100%, $E$9)</f>
        <v>9.0892999999999997</v>
      </c>
      <c r="H577" s="27">
        <f>17.896 * CHOOSE(CONTROL!$C$32, $C$9, 100%, $E$9)</f>
        <v>17.896000000000001</v>
      </c>
      <c r="I577" s="27">
        <f>17.8996 * CHOOSE(CONTROL!$C$32, $C$9, 100%, $E$9)</f>
        <v>17.8996</v>
      </c>
      <c r="J577" s="27">
        <f>17.896 * CHOOSE(CONTROL!$C$32, $C$9, 100%, $E$9)</f>
        <v>17.896000000000001</v>
      </c>
      <c r="K577" s="27">
        <f>17.8996 * CHOOSE(CONTROL!$C$32, $C$9, 100%, $E$9)</f>
        <v>17.8996</v>
      </c>
      <c r="L577" s="27">
        <f>9.0857 * CHOOSE(CONTROL!$C$32, $C$9, 100%, $E$9)</f>
        <v>9.0856999999999992</v>
      </c>
      <c r="M577" s="27">
        <f>9.0893 * CHOOSE(CONTROL!$C$32, $C$9, 100%, $E$9)</f>
        <v>9.0892999999999997</v>
      </c>
      <c r="N577" s="27">
        <f>9.0857 * CHOOSE(CONTROL!$C$32, $C$9, 100%, $E$9)</f>
        <v>9.0856999999999992</v>
      </c>
      <c r="O577" s="27">
        <f>9.0893 * CHOOSE(CONTROL!$C$32, $C$9, 100%, $E$9)</f>
        <v>9.0892999999999997</v>
      </c>
    </row>
    <row r="578" spans="1:15" ht="15" x14ac:dyDescent="0.2">
      <c r="A578" s="16">
        <v>58441</v>
      </c>
      <c r="B578" s="26">
        <f>8.2575 * CHOOSE(CONTROL!$C$32, $C$9, 100%, $E$9)</f>
        <v>8.2575000000000003</v>
      </c>
      <c r="C578" s="26">
        <f>8.2575 * CHOOSE(CONTROL!$C$32, $C$9, 100%, $E$9)</f>
        <v>8.2575000000000003</v>
      </c>
      <c r="D578" s="26">
        <f>8.2586 * CHOOSE(CONTROL!$C$32, $C$9, 100%, $E$9)</f>
        <v>8.2585999999999995</v>
      </c>
      <c r="E578" s="27">
        <f>9.2455 * CHOOSE(CONTROL!$C$32, $C$9, 100%, $E$9)</f>
        <v>9.2454999999999998</v>
      </c>
      <c r="F578" s="27">
        <f>9.2455 * CHOOSE(CONTROL!$C$32, $C$9, 100%, $E$9)</f>
        <v>9.2454999999999998</v>
      </c>
      <c r="G578" s="27">
        <f>9.2491 * CHOOSE(CONTROL!$C$32, $C$9, 100%, $E$9)</f>
        <v>9.2491000000000003</v>
      </c>
      <c r="H578" s="27">
        <f>17.9333 * CHOOSE(CONTROL!$C$32, $C$9, 100%, $E$9)</f>
        <v>17.933299999999999</v>
      </c>
      <c r="I578" s="27">
        <f>17.9369 * CHOOSE(CONTROL!$C$32, $C$9, 100%, $E$9)</f>
        <v>17.936900000000001</v>
      </c>
      <c r="J578" s="27">
        <f>17.9333 * CHOOSE(CONTROL!$C$32, $C$9, 100%, $E$9)</f>
        <v>17.933299999999999</v>
      </c>
      <c r="K578" s="27">
        <f>17.9369 * CHOOSE(CONTROL!$C$32, $C$9, 100%, $E$9)</f>
        <v>17.936900000000001</v>
      </c>
      <c r="L578" s="27">
        <f>9.2455 * CHOOSE(CONTROL!$C$32, $C$9, 100%, $E$9)</f>
        <v>9.2454999999999998</v>
      </c>
      <c r="M578" s="27">
        <f>9.2491 * CHOOSE(CONTROL!$C$32, $C$9, 100%, $E$9)</f>
        <v>9.2491000000000003</v>
      </c>
      <c r="N578" s="27">
        <f>9.2455 * CHOOSE(CONTROL!$C$32, $C$9, 100%, $E$9)</f>
        <v>9.2454999999999998</v>
      </c>
      <c r="O578" s="27">
        <f>9.2491 * CHOOSE(CONTROL!$C$32, $C$9, 100%, $E$9)</f>
        <v>9.2491000000000003</v>
      </c>
    </row>
    <row r="579" spans="1:15" ht="15" x14ac:dyDescent="0.2">
      <c r="A579" s="16">
        <v>58472</v>
      </c>
      <c r="B579" s="26">
        <f>8.2544 * CHOOSE(CONTROL!$C$32, $C$9, 100%, $E$9)</f>
        <v>8.2544000000000004</v>
      </c>
      <c r="C579" s="26">
        <f>8.2544 * CHOOSE(CONTROL!$C$32, $C$9, 100%, $E$9)</f>
        <v>8.2544000000000004</v>
      </c>
      <c r="D579" s="26">
        <f>8.2555 * CHOOSE(CONTROL!$C$32, $C$9, 100%, $E$9)</f>
        <v>8.2554999999999996</v>
      </c>
      <c r="E579" s="27">
        <f>9.0253 * CHOOSE(CONTROL!$C$32, $C$9, 100%, $E$9)</f>
        <v>9.0252999999999997</v>
      </c>
      <c r="F579" s="27">
        <f>9.0253 * CHOOSE(CONTROL!$C$32, $C$9, 100%, $E$9)</f>
        <v>9.0252999999999997</v>
      </c>
      <c r="G579" s="27">
        <f>9.0289 * CHOOSE(CONTROL!$C$32, $C$9, 100%, $E$9)</f>
        <v>9.0289000000000001</v>
      </c>
      <c r="H579" s="27">
        <f>17.9706 * CHOOSE(CONTROL!$C$32, $C$9, 100%, $E$9)</f>
        <v>17.970600000000001</v>
      </c>
      <c r="I579" s="27">
        <f>17.9743 * CHOOSE(CONTROL!$C$32, $C$9, 100%, $E$9)</f>
        <v>17.974299999999999</v>
      </c>
      <c r="J579" s="27">
        <f>17.9706 * CHOOSE(CONTROL!$C$32, $C$9, 100%, $E$9)</f>
        <v>17.970600000000001</v>
      </c>
      <c r="K579" s="27">
        <f>17.9743 * CHOOSE(CONTROL!$C$32, $C$9, 100%, $E$9)</f>
        <v>17.974299999999999</v>
      </c>
      <c r="L579" s="27">
        <f>9.0253 * CHOOSE(CONTROL!$C$32, $C$9, 100%, $E$9)</f>
        <v>9.0252999999999997</v>
      </c>
      <c r="M579" s="27">
        <f>9.0289 * CHOOSE(CONTROL!$C$32, $C$9, 100%, $E$9)</f>
        <v>9.0289000000000001</v>
      </c>
      <c r="N579" s="27">
        <f>9.0253 * CHOOSE(CONTROL!$C$32, $C$9, 100%, $E$9)</f>
        <v>9.0252999999999997</v>
      </c>
      <c r="O579" s="27">
        <f>9.0289 * CHOOSE(CONTROL!$C$32, $C$9, 100%, $E$9)</f>
        <v>9.0289000000000001</v>
      </c>
    </row>
    <row r="580" spans="1:15" ht="15" x14ac:dyDescent="0.2">
      <c r="A580" s="16">
        <v>58501</v>
      </c>
      <c r="B580" s="26">
        <f>8.2514 * CHOOSE(CONTROL!$C$32, $C$9, 100%, $E$9)</f>
        <v>8.2514000000000003</v>
      </c>
      <c r="C580" s="26">
        <f>8.2514 * CHOOSE(CONTROL!$C$32, $C$9, 100%, $E$9)</f>
        <v>8.2514000000000003</v>
      </c>
      <c r="D580" s="26">
        <f>8.2525 * CHOOSE(CONTROL!$C$32, $C$9, 100%, $E$9)</f>
        <v>8.2524999999999995</v>
      </c>
      <c r="E580" s="27">
        <f>9.1951 * CHOOSE(CONTROL!$C$32, $C$9, 100%, $E$9)</f>
        <v>9.1951000000000001</v>
      </c>
      <c r="F580" s="27">
        <f>9.1951 * CHOOSE(CONTROL!$C$32, $C$9, 100%, $E$9)</f>
        <v>9.1951000000000001</v>
      </c>
      <c r="G580" s="27">
        <f>9.1987 * CHOOSE(CONTROL!$C$32, $C$9, 100%, $E$9)</f>
        <v>9.1987000000000005</v>
      </c>
      <c r="H580" s="27">
        <f>18.0081 * CHOOSE(CONTROL!$C$32, $C$9, 100%, $E$9)</f>
        <v>18.008099999999999</v>
      </c>
      <c r="I580" s="27">
        <f>18.0117 * CHOOSE(CONTROL!$C$32, $C$9, 100%, $E$9)</f>
        <v>18.011700000000001</v>
      </c>
      <c r="J580" s="27">
        <f>18.0081 * CHOOSE(CONTROL!$C$32, $C$9, 100%, $E$9)</f>
        <v>18.008099999999999</v>
      </c>
      <c r="K580" s="27">
        <f>18.0117 * CHOOSE(CONTROL!$C$32, $C$9, 100%, $E$9)</f>
        <v>18.011700000000001</v>
      </c>
      <c r="L580" s="27">
        <f>9.1951 * CHOOSE(CONTROL!$C$32, $C$9, 100%, $E$9)</f>
        <v>9.1951000000000001</v>
      </c>
      <c r="M580" s="27">
        <f>9.1987 * CHOOSE(CONTROL!$C$32, $C$9, 100%, $E$9)</f>
        <v>9.1987000000000005</v>
      </c>
      <c r="N580" s="27">
        <f>9.1951 * CHOOSE(CONTROL!$C$32, $C$9, 100%, $E$9)</f>
        <v>9.1951000000000001</v>
      </c>
      <c r="O580" s="27">
        <f>9.1987 * CHOOSE(CONTROL!$C$32, $C$9, 100%, $E$9)</f>
        <v>9.1987000000000005</v>
      </c>
    </row>
    <row r="581" spans="1:15" ht="15" x14ac:dyDescent="0.2">
      <c r="A581" s="16">
        <v>58532</v>
      </c>
      <c r="B581" s="26">
        <f>8.2532 * CHOOSE(CONTROL!$C$32, $C$9, 100%, $E$9)</f>
        <v>8.2531999999999996</v>
      </c>
      <c r="C581" s="26">
        <f>8.2532 * CHOOSE(CONTROL!$C$32, $C$9, 100%, $E$9)</f>
        <v>8.2531999999999996</v>
      </c>
      <c r="D581" s="26">
        <f>8.2542 * CHOOSE(CONTROL!$C$32, $C$9, 100%, $E$9)</f>
        <v>8.2542000000000009</v>
      </c>
      <c r="E581" s="27">
        <f>9.3755 * CHOOSE(CONTROL!$C$32, $C$9, 100%, $E$9)</f>
        <v>9.3755000000000006</v>
      </c>
      <c r="F581" s="27">
        <f>9.3755 * CHOOSE(CONTROL!$C$32, $C$9, 100%, $E$9)</f>
        <v>9.3755000000000006</v>
      </c>
      <c r="G581" s="27">
        <f>9.3791 * CHOOSE(CONTROL!$C$32, $C$9, 100%, $E$9)</f>
        <v>9.3790999999999993</v>
      </c>
      <c r="H581" s="27">
        <f>18.0456 * CHOOSE(CONTROL!$C$32, $C$9, 100%, $E$9)</f>
        <v>18.0456</v>
      </c>
      <c r="I581" s="27">
        <f>18.0492 * CHOOSE(CONTROL!$C$32, $C$9, 100%, $E$9)</f>
        <v>18.049199999999999</v>
      </c>
      <c r="J581" s="27">
        <f>18.0456 * CHOOSE(CONTROL!$C$32, $C$9, 100%, $E$9)</f>
        <v>18.0456</v>
      </c>
      <c r="K581" s="27">
        <f>18.0492 * CHOOSE(CONTROL!$C$32, $C$9, 100%, $E$9)</f>
        <v>18.049199999999999</v>
      </c>
      <c r="L581" s="27">
        <f>9.3755 * CHOOSE(CONTROL!$C$32, $C$9, 100%, $E$9)</f>
        <v>9.3755000000000006</v>
      </c>
      <c r="M581" s="27">
        <f>9.3791 * CHOOSE(CONTROL!$C$32, $C$9, 100%, $E$9)</f>
        <v>9.3790999999999993</v>
      </c>
      <c r="N581" s="27">
        <f>9.3755 * CHOOSE(CONTROL!$C$32, $C$9, 100%, $E$9)</f>
        <v>9.3755000000000006</v>
      </c>
      <c r="O581" s="27">
        <f>9.3791 * CHOOSE(CONTROL!$C$32, $C$9, 100%, $E$9)</f>
        <v>9.3790999999999993</v>
      </c>
    </row>
    <row r="582" spans="1:15" ht="15" x14ac:dyDescent="0.2">
      <c r="A582" s="16">
        <v>58562</v>
      </c>
      <c r="B582" s="26">
        <f>8.2532 * CHOOSE(CONTROL!$C$32, $C$9, 100%, $E$9)</f>
        <v>8.2531999999999996</v>
      </c>
      <c r="C582" s="26">
        <f>8.2532 * CHOOSE(CONTROL!$C$32, $C$9, 100%, $E$9)</f>
        <v>8.2531999999999996</v>
      </c>
      <c r="D582" s="26">
        <f>8.2548 * CHOOSE(CONTROL!$C$32, $C$9, 100%, $E$9)</f>
        <v>8.2547999999999995</v>
      </c>
      <c r="E582" s="27">
        <f>9.4447 * CHOOSE(CONTROL!$C$32, $C$9, 100%, $E$9)</f>
        <v>9.4446999999999992</v>
      </c>
      <c r="F582" s="27">
        <f>9.4447 * CHOOSE(CONTROL!$C$32, $C$9, 100%, $E$9)</f>
        <v>9.4446999999999992</v>
      </c>
      <c r="G582" s="27">
        <f>9.45 * CHOOSE(CONTROL!$C$32, $C$9, 100%, $E$9)</f>
        <v>9.4499999999999993</v>
      </c>
      <c r="H582" s="27">
        <f>18.0832 * CHOOSE(CONTROL!$C$32, $C$9, 100%, $E$9)</f>
        <v>18.083200000000001</v>
      </c>
      <c r="I582" s="27">
        <f>18.0885 * CHOOSE(CONTROL!$C$32, $C$9, 100%, $E$9)</f>
        <v>18.0885</v>
      </c>
      <c r="J582" s="27">
        <f>18.0832 * CHOOSE(CONTROL!$C$32, $C$9, 100%, $E$9)</f>
        <v>18.083200000000001</v>
      </c>
      <c r="K582" s="27">
        <f>18.0885 * CHOOSE(CONTROL!$C$32, $C$9, 100%, $E$9)</f>
        <v>18.0885</v>
      </c>
      <c r="L582" s="27">
        <f>9.4447 * CHOOSE(CONTROL!$C$32, $C$9, 100%, $E$9)</f>
        <v>9.4446999999999992</v>
      </c>
      <c r="M582" s="27">
        <f>9.45 * CHOOSE(CONTROL!$C$32, $C$9, 100%, $E$9)</f>
        <v>9.4499999999999993</v>
      </c>
      <c r="N582" s="27">
        <f>9.4447 * CHOOSE(CONTROL!$C$32, $C$9, 100%, $E$9)</f>
        <v>9.4446999999999992</v>
      </c>
      <c r="O582" s="27">
        <f>9.45 * CHOOSE(CONTROL!$C$32, $C$9, 100%, $E$9)</f>
        <v>9.4499999999999993</v>
      </c>
    </row>
    <row r="583" spans="1:15" ht="15" x14ac:dyDescent="0.2">
      <c r="A583" s="16">
        <v>58593</v>
      </c>
      <c r="B583" s="26">
        <f>8.2593 * CHOOSE(CONTROL!$C$32, $C$9, 100%, $E$9)</f>
        <v>8.2592999999999996</v>
      </c>
      <c r="C583" s="26">
        <f>8.2593 * CHOOSE(CONTROL!$C$32, $C$9, 100%, $E$9)</f>
        <v>8.2592999999999996</v>
      </c>
      <c r="D583" s="26">
        <f>8.2608 * CHOOSE(CONTROL!$C$32, $C$9, 100%, $E$9)</f>
        <v>8.2607999999999997</v>
      </c>
      <c r="E583" s="27">
        <f>9.3797 * CHOOSE(CONTROL!$C$32, $C$9, 100%, $E$9)</f>
        <v>9.3796999999999997</v>
      </c>
      <c r="F583" s="27">
        <f>9.3797 * CHOOSE(CONTROL!$C$32, $C$9, 100%, $E$9)</f>
        <v>9.3796999999999997</v>
      </c>
      <c r="G583" s="27">
        <f>9.385 * CHOOSE(CONTROL!$C$32, $C$9, 100%, $E$9)</f>
        <v>9.3849999999999998</v>
      </c>
      <c r="H583" s="27">
        <f>18.1209 * CHOOSE(CONTROL!$C$32, $C$9, 100%, $E$9)</f>
        <v>18.120899999999999</v>
      </c>
      <c r="I583" s="27">
        <f>18.1262 * CHOOSE(CONTROL!$C$32, $C$9, 100%, $E$9)</f>
        <v>18.126200000000001</v>
      </c>
      <c r="J583" s="27">
        <f>18.1209 * CHOOSE(CONTROL!$C$32, $C$9, 100%, $E$9)</f>
        <v>18.120899999999999</v>
      </c>
      <c r="K583" s="27">
        <f>18.1262 * CHOOSE(CONTROL!$C$32, $C$9, 100%, $E$9)</f>
        <v>18.126200000000001</v>
      </c>
      <c r="L583" s="27">
        <f>9.3797 * CHOOSE(CONTROL!$C$32, $C$9, 100%, $E$9)</f>
        <v>9.3796999999999997</v>
      </c>
      <c r="M583" s="27">
        <f>9.385 * CHOOSE(CONTROL!$C$32, $C$9, 100%, $E$9)</f>
        <v>9.3849999999999998</v>
      </c>
      <c r="N583" s="27">
        <f>9.3797 * CHOOSE(CONTROL!$C$32, $C$9, 100%, $E$9)</f>
        <v>9.3796999999999997</v>
      </c>
      <c r="O583" s="27">
        <f>9.385 * CHOOSE(CONTROL!$C$32, $C$9, 100%, $E$9)</f>
        <v>9.3849999999999998</v>
      </c>
    </row>
    <row r="584" spans="1:15" ht="15" x14ac:dyDescent="0.2">
      <c r="A584" s="16">
        <v>58623</v>
      </c>
      <c r="B584" s="26">
        <f>8.3645 * CHOOSE(CONTROL!$C$32, $C$9, 100%, $E$9)</f>
        <v>8.3644999999999996</v>
      </c>
      <c r="C584" s="26">
        <f>8.3645 * CHOOSE(CONTROL!$C$32, $C$9, 100%, $E$9)</f>
        <v>8.3644999999999996</v>
      </c>
      <c r="D584" s="26">
        <f>8.3661 * CHOOSE(CONTROL!$C$32, $C$9, 100%, $E$9)</f>
        <v>8.3660999999999994</v>
      </c>
      <c r="E584" s="27">
        <f>9.5099 * CHOOSE(CONTROL!$C$32, $C$9, 100%, $E$9)</f>
        <v>9.5099</v>
      </c>
      <c r="F584" s="27">
        <f>9.5099 * CHOOSE(CONTROL!$C$32, $C$9, 100%, $E$9)</f>
        <v>9.5099</v>
      </c>
      <c r="G584" s="27">
        <f>9.5151 * CHOOSE(CONTROL!$C$32, $C$9, 100%, $E$9)</f>
        <v>9.5151000000000003</v>
      </c>
      <c r="H584" s="27">
        <f>18.1586 * CHOOSE(CONTROL!$C$32, $C$9, 100%, $E$9)</f>
        <v>18.1586</v>
      </c>
      <c r="I584" s="27">
        <f>18.1639 * CHOOSE(CONTROL!$C$32, $C$9, 100%, $E$9)</f>
        <v>18.163900000000002</v>
      </c>
      <c r="J584" s="27">
        <f>18.1586 * CHOOSE(CONTROL!$C$32, $C$9, 100%, $E$9)</f>
        <v>18.1586</v>
      </c>
      <c r="K584" s="27">
        <f>18.1639 * CHOOSE(CONTROL!$C$32, $C$9, 100%, $E$9)</f>
        <v>18.163900000000002</v>
      </c>
      <c r="L584" s="27">
        <f>9.5099 * CHOOSE(CONTROL!$C$32, $C$9, 100%, $E$9)</f>
        <v>9.5099</v>
      </c>
      <c r="M584" s="27">
        <f>9.5151 * CHOOSE(CONTROL!$C$32, $C$9, 100%, $E$9)</f>
        <v>9.5151000000000003</v>
      </c>
      <c r="N584" s="27">
        <f>9.5099 * CHOOSE(CONTROL!$C$32, $C$9, 100%, $E$9)</f>
        <v>9.5099</v>
      </c>
      <c r="O584" s="27">
        <f>9.5151 * CHOOSE(CONTROL!$C$32, $C$9, 100%, $E$9)</f>
        <v>9.5151000000000003</v>
      </c>
    </row>
    <row r="585" spans="1:15" ht="15" x14ac:dyDescent="0.2">
      <c r="A585" s="16">
        <v>58654</v>
      </c>
      <c r="B585" s="26">
        <f>8.3712 * CHOOSE(CONTROL!$C$32, $C$9, 100%, $E$9)</f>
        <v>8.3712</v>
      </c>
      <c r="C585" s="26">
        <f>8.3712 * CHOOSE(CONTROL!$C$32, $C$9, 100%, $E$9)</f>
        <v>8.3712</v>
      </c>
      <c r="D585" s="26">
        <f>8.3728 * CHOOSE(CONTROL!$C$32, $C$9, 100%, $E$9)</f>
        <v>8.3727999999999998</v>
      </c>
      <c r="E585" s="27">
        <f>9.3068 * CHOOSE(CONTROL!$C$32, $C$9, 100%, $E$9)</f>
        <v>9.3068000000000008</v>
      </c>
      <c r="F585" s="27">
        <f>9.3068 * CHOOSE(CONTROL!$C$32, $C$9, 100%, $E$9)</f>
        <v>9.3068000000000008</v>
      </c>
      <c r="G585" s="27">
        <f>9.3121 * CHOOSE(CONTROL!$C$32, $C$9, 100%, $E$9)</f>
        <v>9.3120999999999992</v>
      </c>
      <c r="H585" s="27">
        <f>18.1964 * CHOOSE(CONTROL!$C$32, $C$9, 100%, $E$9)</f>
        <v>18.196400000000001</v>
      </c>
      <c r="I585" s="27">
        <f>18.2017 * CHOOSE(CONTROL!$C$32, $C$9, 100%, $E$9)</f>
        <v>18.201699999999999</v>
      </c>
      <c r="J585" s="27">
        <f>18.1964 * CHOOSE(CONTROL!$C$32, $C$9, 100%, $E$9)</f>
        <v>18.196400000000001</v>
      </c>
      <c r="K585" s="27">
        <f>18.2017 * CHOOSE(CONTROL!$C$32, $C$9, 100%, $E$9)</f>
        <v>18.201699999999999</v>
      </c>
      <c r="L585" s="27">
        <f>9.3068 * CHOOSE(CONTROL!$C$32, $C$9, 100%, $E$9)</f>
        <v>9.3068000000000008</v>
      </c>
      <c r="M585" s="27">
        <f>9.3121 * CHOOSE(CONTROL!$C$32, $C$9, 100%, $E$9)</f>
        <v>9.3120999999999992</v>
      </c>
      <c r="N585" s="27">
        <f>9.3068 * CHOOSE(CONTROL!$C$32, $C$9, 100%, $E$9)</f>
        <v>9.3068000000000008</v>
      </c>
      <c r="O585" s="27">
        <f>9.3121 * CHOOSE(CONTROL!$C$32, $C$9, 100%, $E$9)</f>
        <v>9.3120999999999992</v>
      </c>
    </row>
    <row r="586" spans="1:15" ht="15" x14ac:dyDescent="0.2">
      <c r="A586" s="16">
        <v>58685</v>
      </c>
      <c r="B586" s="26">
        <f>8.3682 * CHOOSE(CONTROL!$C$32, $C$9, 100%, $E$9)</f>
        <v>8.3681999999999999</v>
      </c>
      <c r="C586" s="26">
        <f>8.3682 * CHOOSE(CONTROL!$C$32, $C$9, 100%, $E$9)</f>
        <v>8.3681999999999999</v>
      </c>
      <c r="D586" s="26">
        <f>8.3698 * CHOOSE(CONTROL!$C$32, $C$9, 100%, $E$9)</f>
        <v>8.3697999999999997</v>
      </c>
      <c r="E586" s="27">
        <f>9.2816 * CHOOSE(CONTROL!$C$32, $C$9, 100%, $E$9)</f>
        <v>9.2815999999999992</v>
      </c>
      <c r="F586" s="27">
        <f>9.2816 * CHOOSE(CONTROL!$C$32, $C$9, 100%, $E$9)</f>
        <v>9.2815999999999992</v>
      </c>
      <c r="G586" s="27">
        <f>9.2869 * CHOOSE(CONTROL!$C$32, $C$9, 100%, $E$9)</f>
        <v>9.2868999999999993</v>
      </c>
      <c r="H586" s="27">
        <f>18.2343 * CHOOSE(CONTROL!$C$32, $C$9, 100%, $E$9)</f>
        <v>18.234300000000001</v>
      </c>
      <c r="I586" s="27">
        <f>18.2396 * CHOOSE(CONTROL!$C$32, $C$9, 100%, $E$9)</f>
        <v>18.239599999999999</v>
      </c>
      <c r="J586" s="27">
        <f>18.2343 * CHOOSE(CONTROL!$C$32, $C$9, 100%, $E$9)</f>
        <v>18.234300000000001</v>
      </c>
      <c r="K586" s="27">
        <f>18.2396 * CHOOSE(CONTROL!$C$32, $C$9, 100%, $E$9)</f>
        <v>18.239599999999999</v>
      </c>
      <c r="L586" s="27">
        <f>9.2816 * CHOOSE(CONTROL!$C$32, $C$9, 100%, $E$9)</f>
        <v>9.2815999999999992</v>
      </c>
      <c r="M586" s="27">
        <f>9.2869 * CHOOSE(CONTROL!$C$32, $C$9, 100%, $E$9)</f>
        <v>9.2868999999999993</v>
      </c>
      <c r="N586" s="27">
        <f>9.2816 * CHOOSE(CONTROL!$C$32, $C$9, 100%, $E$9)</f>
        <v>9.2815999999999992</v>
      </c>
      <c r="O586" s="27">
        <f>9.2869 * CHOOSE(CONTROL!$C$32, $C$9, 100%, $E$9)</f>
        <v>9.2868999999999993</v>
      </c>
    </row>
    <row r="587" spans="1:15" ht="15" x14ac:dyDescent="0.2">
      <c r="A587" s="16">
        <v>58715</v>
      </c>
      <c r="B587" s="26">
        <f>8.3795 * CHOOSE(CONTROL!$C$32, $C$9, 100%, $E$9)</f>
        <v>8.3795000000000002</v>
      </c>
      <c r="C587" s="26">
        <f>8.3795 * CHOOSE(CONTROL!$C$32, $C$9, 100%, $E$9)</f>
        <v>8.3795000000000002</v>
      </c>
      <c r="D587" s="26">
        <f>8.3806 * CHOOSE(CONTROL!$C$32, $C$9, 100%, $E$9)</f>
        <v>8.3805999999999994</v>
      </c>
      <c r="E587" s="27">
        <f>9.3605 * CHOOSE(CONTROL!$C$32, $C$9, 100%, $E$9)</f>
        <v>9.3605</v>
      </c>
      <c r="F587" s="27">
        <f>9.3605 * CHOOSE(CONTROL!$C$32, $C$9, 100%, $E$9)</f>
        <v>9.3605</v>
      </c>
      <c r="G587" s="27">
        <f>9.3641 * CHOOSE(CONTROL!$C$32, $C$9, 100%, $E$9)</f>
        <v>9.3641000000000005</v>
      </c>
      <c r="H587" s="27">
        <f>18.2723 * CHOOSE(CONTROL!$C$32, $C$9, 100%, $E$9)</f>
        <v>18.272300000000001</v>
      </c>
      <c r="I587" s="27">
        <f>18.276 * CHOOSE(CONTROL!$C$32, $C$9, 100%, $E$9)</f>
        <v>18.276</v>
      </c>
      <c r="J587" s="27">
        <f>18.2723 * CHOOSE(CONTROL!$C$32, $C$9, 100%, $E$9)</f>
        <v>18.272300000000001</v>
      </c>
      <c r="K587" s="27">
        <f>18.276 * CHOOSE(CONTROL!$C$32, $C$9, 100%, $E$9)</f>
        <v>18.276</v>
      </c>
      <c r="L587" s="27">
        <f>9.3605 * CHOOSE(CONTROL!$C$32, $C$9, 100%, $E$9)</f>
        <v>9.3605</v>
      </c>
      <c r="M587" s="27">
        <f>9.3641 * CHOOSE(CONTROL!$C$32, $C$9, 100%, $E$9)</f>
        <v>9.3641000000000005</v>
      </c>
      <c r="N587" s="27">
        <f>9.3605 * CHOOSE(CONTROL!$C$32, $C$9, 100%, $E$9)</f>
        <v>9.3605</v>
      </c>
      <c r="O587" s="27">
        <f>9.3641 * CHOOSE(CONTROL!$C$32, $C$9, 100%, $E$9)</f>
        <v>9.3641000000000005</v>
      </c>
    </row>
    <row r="588" spans="1:15" ht="15" x14ac:dyDescent="0.2">
      <c r="A588" s="16">
        <v>58746</v>
      </c>
      <c r="B588" s="26">
        <f>8.3826 * CHOOSE(CONTROL!$C$32, $C$9, 100%, $E$9)</f>
        <v>8.3826000000000001</v>
      </c>
      <c r="C588" s="26">
        <f>8.3826 * CHOOSE(CONTROL!$C$32, $C$9, 100%, $E$9)</f>
        <v>8.3826000000000001</v>
      </c>
      <c r="D588" s="26">
        <f>8.3836 * CHOOSE(CONTROL!$C$32, $C$9, 100%, $E$9)</f>
        <v>8.3835999999999995</v>
      </c>
      <c r="E588" s="27">
        <f>9.4088 * CHOOSE(CONTROL!$C$32, $C$9, 100%, $E$9)</f>
        <v>9.4087999999999994</v>
      </c>
      <c r="F588" s="27">
        <f>9.4088 * CHOOSE(CONTROL!$C$32, $C$9, 100%, $E$9)</f>
        <v>9.4087999999999994</v>
      </c>
      <c r="G588" s="27">
        <f>9.4124 * CHOOSE(CONTROL!$C$32, $C$9, 100%, $E$9)</f>
        <v>9.4123999999999999</v>
      </c>
      <c r="H588" s="27">
        <f>18.3104 * CHOOSE(CONTROL!$C$32, $C$9, 100%, $E$9)</f>
        <v>18.310400000000001</v>
      </c>
      <c r="I588" s="27">
        <f>18.314 * CHOOSE(CONTROL!$C$32, $C$9, 100%, $E$9)</f>
        <v>18.314</v>
      </c>
      <c r="J588" s="27">
        <f>18.3104 * CHOOSE(CONTROL!$C$32, $C$9, 100%, $E$9)</f>
        <v>18.310400000000001</v>
      </c>
      <c r="K588" s="27">
        <f>18.314 * CHOOSE(CONTROL!$C$32, $C$9, 100%, $E$9)</f>
        <v>18.314</v>
      </c>
      <c r="L588" s="27">
        <f>9.4088 * CHOOSE(CONTROL!$C$32, $C$9, 100%, $E$9)</f>
        <v>9.4087999999999994</v>
      </c>
      <c r="M588" s="27">
        <f>9.4124 * CHOOSE(CONTROL!$C$32, $C$9, 100%, $E$9)</f>
        <v>9.4123999999999999</v>
      </c>
      <c r="N588" s="27">
        <f>9.4088 * CHOOSE(CONTROL!$C$32, $C$9, 100%, $E$9)</f>
        <v>9.4087999999999994</v>
      </c>
      <c r="O588" s="27">
        <f>9.4124 * CHOOSE(CONTROL!$C$32, $C$9, 100%, $E$9)</f>
        <v>9.4123999999999999</v>
      </c>
    </row>
    <row r="589" spans="1:15" ht="15" x14ac:dyDescent="0.2">
      <c r="A589" s="16">
        <v>58776</v>
      </c>
      <c r="B589" s="26">
        <f>8.3826 * CHOOSE(CONTROL!$C$32, $C$9, 100%, $E$9)</f>
        <v>8.3826000000000001</v>
      </c>
      <c r="C589" s="26">
        <f>8.3826 * CHOOSE(CONTROL!$C$32, $C$9, 100%, $E$9)</f>
        <v>8.3826000000000001</v>
      </c>
      <c r="D589" s="26">
        <f>8.3836 * CHOOSE(CONTROL!$C$32, $C$9, 100%, $E$9)</f>
        <v>8.3835999999999995</v>
      </c>
      <c r="E589" s="27">
        <f>9.2934 * CHOOSE(CONTROL!$C$32, $C$9, 100%, $E$9)</f>
        <v>9.2934000000000001</v>
      </c>
      <c r="F589" s="27">
        <f>9.2934 * CHOOSE(CONTROL!$C$32, $C$9, 100%, $E$9)</f>
        <v>9.2934000000000001</v>
      </c>
      <c r="G589" s="27">
        <f>9.297 * CHOOSE(CONTROL!$C$32, $C$9, 100%, $E$9)</f>
        <v>9.2970000000000006</v>
      </c>
      <c r="H589" s="27">
        <f>18.3486 * CHOOSE(CONTROL!$C$32, $C$9, 100%, $E$9)</f>
        <v>18.348600000000001</v>
      </c>
      <c r="I589" s="27">
        <f>18.3522 * CHOOSE(CONTROL!$C$32, $C$9, 100%, $E$9)</f>
        <v>18.3522</v>
      </c>
      <c r="J589" s="27">
        <f>18.3486 * CHOOSE(CONTROL!$C$32, $C$9, 100%, $E$9)</f>
        <v>18.348600000000001</v>
      </c>
      <c r="K589" s="27">
        <f>18.3522 * CHOOSE(CONTROL!$C$32, $C$9, 100%, $E$9)</f>
        <v>18.3522</v>
      </c>
      <c r="L589" s="27">
        <f>9.2934 * CHOOSE(CONTROL!$C$32, $C$9, 100%, $E$9)</f>
        <v>9.2934000000000001</v>
      </c>
      <c r="M589" s="27">
        <f>9.297 * CHOOSE(CONTROL!$C$32, $C$9, 100%, $E$9)</f>
        <v>9.2970000000000006</v>
      </c>
      <c r="N589" s="27">
        <f>9.2934 * CHOOSE(CONTROL!$C$32, $C$9, 100%, $E$9)</f>
        <v>9.2934000000000001</v>
      </c>
      <c r="O589" s="27">
        <f>9.297 * CHOOSE(CONTROL!$C$32, $C$9, 100%, $E$9)</f>
        <v>9.2970000000000006</v>
      </c>
    </row>
    <row r="590" spans="1:15" ht="15" x14ac:dyDescent="0.2">
      <c r="A590" s="16">
        <v>58807</v>
      </c>
      <c r="B590" s="26">
        <f>8.4448 * CHOOSE(CONTROL!$C$32, $C$9, 100%, $E$9)</f>
        <v>8.4448000000000008</v>
      </c>
      <c r="C590" s="26">
        <f>8.4448 * CHOOSE(CONTROL!$C$32, $C$9, 100%, $E$9)</f>
        <v>8.4448000000000008</v>
      </c>
      <c r="D590" s="26">
        <f>8.4459 * CHOOSE(CONTROL!$C$32, $C$9, 100%, $E$9)</f>
        <v>8.4459</v>
      </c>
      <c r="E590" s="27">
        <f>9.458 * CHOOSE(CONTROL!$C$32, $C$9, 100%, $E$9)</f>
        <v>9.4580000000000002</v>
      </c>
      <c r="F590" s="27">
        <f>9.458 * CHOOSE(CONTROL!$C$32, $C$9, 100%, $E$9)</f>
        <v>9.4580000000000002</v>
      </c>
      <c r="G590" s="27">
        <f>9.4616 * CHOOSE(CONTROL!$C$32, $C$9, 100%, $E$9)</f>
        <v>9.4616000000000007</v>
      </c>
      <c r="H590" s="27">
        <f>18.3868 * CHOOSE(CONTROL!$C$32, $C$9, 100%, $E$9)</f>
        <v>18.386800000000001</v>
      </c>
      <c r="I590" s="27">
        <f>18.3904 * CHOOSE(CONTROL!$C$32, $C$9, 100%, $E$9)</f>
        <v>18.3904</v>
      </c>
      <c r="J590" s="27">
        <f>18.3868 * CHOOSE(CONTROL!$C$32, $C$9, 100%, $E$9)</f>
        <v>18.386800000000001</v>
      </c>
      <c r="K590" s="27">
        <f>18.3904 * CHOOSE(CONTROL!$C$32, $C$9, 100%, $E$9)</f>
        <v>18.3904</v>
      </c>
      <c r="L590" s="27">
        <f>9.458 * CHOOSE(CONTROL!$C$32, $C$9, 100%, $E$9)</f>
        <v>9.4580000000000002</v>
      </c>
      <c r="M590" s="27">
        <f>9.4616 * CHOOSE(CONTROL!$C$32, $C$9, 100%, $E$9)</f>
        <v>9.4616000000000007</v>
      </c>
      <c r="N590" s="27">
        <f>9.458 * CHOOSE(CONTROL!$C$32, $C$9, 100%, $E$9)</f>
        <v>9.4580000000000002</v>
      </c>
      <c r="O590" s="27">
        <f>9.4616 * CHOOSE(CONTROL!$C$32, $C$9, 100%, $E$9)</f>
        <v>9.4616000000000007</v>
      </c>
    </row>
    <row r="591" spans="1:15" ht="15" x14ac:dyDescent="0.2">
      <c r="A591" s="16">
        <v>58838</v>
      </c>
      <c r="B591" s="26">
        <f>8.4418 * CHOOSE(CONTROL!$C$32, $C$9, 100%, $E$9)</f>
        <v>8.4418000000000006</v>
      </c>
      <c r="C591" s="26">
        <f>8.4418 * CHOOSE(CONTROL!$C$32, $C$9, 100%, $E$9)</f>
        <v>8.4418000000000006</v>
      </c>
      <c r="D591" s="26">
        <f>8.4429 * CHOOSE(CONTROL!$C$32, $C$9, 100%, $E$9)</f>
        <v>8.4428999999999998</v>
      </c>
      <c r="E591" s="27">
        <f>9.2307 * CHOOSE(CONTROL!$C$32, $C$9, 100%, $E$9)</f>
        <v>9.2307000000000006</v>
      </c>
      <c r="F591" s="27">
        <f>9.2307 * CHOOSE(CONTROL!$C$32, $C$9, 100%, $E$9)</f>
        <v>9.2307000000000006</v>
      </c>
      <c r="G591" s="27">
        <f>9.2343 * CHOOSE(CONTROL!$C$32, $C$9, 100%, $E$9)</f>
        <v>9.2342999999999993</v>
      </c>
      <c r="H591" s="27">
        <f>18.4251 * CHOOSE(CONTROL!$C$32, $C$9, 100%, $E$9)</f>
        <v>18.4251</v>
      </c>
      <c r="I591" s="27">
        <f>18.4287 * CHOOSE(CONTROL!$C$32, $C$9, 100%, $E$9)</f>
        <v>18.428699999999999</v>
      </c>
      <c r="J591" s="27">
        <f>18.4251 * CHOOSE(CONTROL!$C$32, $C$9, 100%, $E$9)</f>
        <v>18.4251</v>
      </c>
      <c r="K591" s="27">
        <f>18.4287 * CHOOSE(CONTROL!$C$32, $C$9, 100%, $E$9)</f>
        <v>18.428699999999999</v>
      </c>
      <c r="L591" s="27">
        <f>9.2307 * CHOOSE(CONTROL!$C$32, $C$9, 100%, $E$9)</f>
        <v>9.2307000000000006</v>
      </c>
      <c r="M591" s="27">
        <f>9.2343 * CHOOSE(CONTROL!$C$32, $C$9, 100%, $E$9)</f>
        <v>9.2342999999999993</v>
      </c>
      <c r="N591" s="27">
        <f>9.2307 * CHOOSE(CONTROL!$C$32, $C$9, 100%, $E$9)</f>
        <v>9.2307000000000006</v>
      </c>
      <c r="O591" s="27">
        <f>9.2343 * CHOOSE(CONTROL!$C$32, $C$9, 100%, $E$9)</f>
        <v>9.2342999999999993</v>
      </c>
    </row>
    <row r="592" spans="1:15" ht="15" x14ac:dyDescent="0.2">
      <c r="A592" s="16">
        <v>58866</v>
      </c>
      <c r="B592" s="26">
        <f>8.4388 * CHOOSE(CONTROL!$C$32, $C$9, 100%, $E$9)</f>
        <v>8.4388000000000005</v>
      </c>
      <c r="C592" s="26">
        <f>8.4388 * CHOOSE(CONTROL!$C$32, $C$9, 100%, $E$9)</f>
        <v>8.4388000000000005</v>
      </c>
      <c r="D592" s="26">
        <f>8.4398 * CHOOSE(CONTROL!$C$32, $C$9, 100%, $E$9)</f>
        <v>8.4398</v>
      </c>
      <c r="E592" s="27">
        <f>9.4061 * CHOOSE(CONTROL!$C$32, $C$9, 100%, $E$9)</f>
        <v>9.4061000000000003</v>
      </c>
      <c r="F592" s="27">
        <f>9.4061 * CHOOSE(CONTROL!$C$32, $C$9, 100%, $E$9)</f>
        <v>9.4061000000000003</v>
      </c>
      <c r="G592" s="27">
        <f>9.4097 * CHOOSE(CONTROL!$C$32, $C$9, 100%, $E$9)</f>
        <v>9.4097000000000008</v>
      </c>
      <c r="H592" s="27">
        <f>18.4635 * CHOOSE(CONTROL!$C$32, $C$9, 100%, $E$9)</f>
        <v>18.4635</v>
      </c>
      <c r="I592" s="27">
        <f>18.4671 * CHOOSE(CONTROL!$C$32, $C$9, 100%, $E$9)</f>
        <v>18.467099999999999</v>
      </c>
      <c r="J592" s="27">
        <f>18.4635 * CHOOSE(CONTROL!$C$32, $C$9, 100%, $E$9)</f>
        <v>18.4635</v>
      </c>
      <c r="K592" s="27">
        <f>18.4671 * CHOOSE(CONTROL!$C$32, $C$9, 100%, $E$9)</f>
        <v>18.467099999999999</v>
      </c>
      <c r="L592" s="27">
        <f>9.4061 * CHOOSE(CONTROL!$C$32, $C$9, 100%, $E$9)</f>
        <v>9.4061000000000003</v>
      </c>
      <c r="M592" s="27">
        <f>9.4097 * CHOOSE(CONTROL!$C$32, $C$9, 100%, $E$9)</f>
        <v>9.4097000000000008</v>
      </c>
      <c r="N592" s="27">
        <f>9.4061 * CHOOSE(CONTROL!$C$32, $C$9, 100%, $E$9)</f>
        <v>9.4061000000000003</v>
      </c>
      <c r="O592" s="27">
        <f>9.4097 * CHOOSE(CONTROL!$C$32, $C$9, 100%, $E$9)</f>
        <v>9.4097000000000008</v>
      </c>
    </row>
    <row r="593" spans="1:15" ht="15" x14ac:dyDescent="0.2">
      <c r="A593" s="16">
        <v>58897</v>
      </c>
      <c r="B593" s="26">
        <f>8.4407 * CHOOSE(CONTROL!$C$32, $C$9, 100%, $E$9)</f>
        <v>8.4406999999999996</v>
      </c>
      <c r="C593" s="26">
        <f>8.4407 * CHOOSE(CONTROL!$C$32, $C$9, 100%, $E$9)</f>
        <v>8.4406999999999996</v>
      </c>
      <c r="D593" s="26">
        <f>8.4418 * CHOOSE(CONTROL!$C$32, $C$9, 100%, $E$9)</f>
        <v>8.4418000000000006</v>
      </c>
      <c r="E593" s="27">
        <f>9.5925 * CHOOSE(CONTROL!$C$32, $C$9, 100%, $E$9)</f>
        <v>9.5924999999999994</v>
      </c>
      <c r="F593" s="27">
        <f>9.5925 * CHOOSE(CONTROL!$C$32, $C$9, 100%, $E$9)</f>
        <v>9.5924999999999994</v>
      </c>
      <c r="G593" s="27">
        <f>9.5961 * CHOOSE(CONTROL!$C$32, $C$9, 100%, $E$9)</f>
        <v>9.5960999999999999</v>
      </c>
      <c r="H593" s="27">
        <f>18.5019 * CHOOSE(CONTROL!$C$32, $C$9, 100%, $E$9)</f>
        <v>18.501899999999999</v>
      </c>
      <c r="I593" s="27">
        <f>18.5056 * CHOOSE(CONTROL!$C$32, $C$9, 100%, $E$9)</f>
        <v>18.505600000000001</v>
      </c>
      <c r="J593" s="27">
        <f>18.5019 * CHOOSE(CONTROL!$C$32, $C$9, 100%, $E$9)</f>
        <v>18.501899999999999</v>
      </c>
      <c r="K593" s="27">
        <f>18.5056 * CHOOSE(CONTROL!$C$32, $C$9, 100%, $E$9)</f>
        <v>18.505600000000001</v>
      </c>
      <c r="L593" s="27">
        <f>9.5925 * CHOOSE(CONTROL!$C$32, $C$9, 100%, $E$9)</f>
        <v>9.5924999999999994</v>
      </c>
      <c r="M593" s="27">
        <f>9.5961 * CHOOSE(CONTROL!$C$32, $C$9, 100%, $E$9)</f>
        <v>9.5960999999999999</v>
      </c>
      <c r="N593" s="27">
        <f>9.5925 * CHOOSE(CONTROL!$C$32, $C$9, 100%, $E$9)</f>
        <v>9.5924999999999994</v>
      </c>
      <c r="O593" s="27">
        <f>9.5961 * CHOOSE(CONTROL!$C$32, $C$9, 100%, $E$9)</f>
        <v>9.5960999999999999</v>
      </c>
    </row>
    <row r="594" spans="1:15" ht="15" x14ac:dyDescent="0.2">
      <c r="A594" s="16">
        <v>58927</v>
      </c>
      <c r="B594" s="26">
        <f>8.4407 * CHOOSE(CONTROL!$C$32, $C$9, 100%, $E$9)</f>
        <v>8.4406999999999996</v>
      </c>
      <c r="C594" s="26">
        <f>8.4407 * CHOOSE(CONTROL!$C$32, $C$9, 100%, $E$9)</f>
        <v>8.4406999999999996</v>
      </c>
      <c r="D594" s="26">
        <f>8.4423 * CHOOSE(CONTROL!$C$32, $C$9, 100%, $E$9)</f>
        <v>8.4422999999999995</v>
      </c>
      <c r="E594" s="27">
        <f>9.6639 * CHOOSE(CONTROL!$C$32, $C$9, 100%, $E$9)</f>
        <v>9.6638999999999999</v>
      </c>
      <c r="F594" s="27">
        <f>9.6639 * CHOOSE(CONTROL!$C$32, $C$9, 100%, $E$9)</f>
        <v>9.6638999999999999</v>
      </c>
      <c r="G594" s="27">
        <f>9.6692 * CHOOSE(CONTROL!$C$32, $C$9, 100%, $E$9)</f>
        <v>9.6692</v>
      </c>
      <c r="H594" s="27">
        <f>18.5405 * CHOOSE(CONTROL!$C$32, $C$9, 100%, $E$9)</f>
        <v>18.540500000000002</v>
      </c>
      <c r="I594" s="27">
        <f>18.5458 * CHOOSE(CONTROL!$C$32, $C$9, 100%, $E$9)</f>
        <v>18.5458</v>
      </c>
      <c r="J594" s="27">
        <f>18.5405 * CHOOSE(CONTROL!$C$32, $C$9, 100%, $E$9)</f>
        <v>18.540500000000002</v>
      </c>
      <c r="K594" s="27">
        <f>18.5458 * CHOOSE(CONTROL!$C$32, $C$9, 100%, $E$9)</f>
        <v>18.5458</v>
      </c>
      <c r="L594" s="27">
        <f>9.6639 * CHOOSE(CONTROL!$C$32, $C$9, 100%, $E$9)</f>
        <v>9.6638999999999999</v>
      </c>
      <c r="M594" s="27">
        <f>9.6692 * CHOOSE(CONTROL!$C$32, $C$9, 100%, $E$9)</f>
        <v>9.6692</v>
      </c>
      <c r="N594" s="27">
        <f>9.6639 * CHOOSE(CONTROL!$C$32, $C$9, 100%, $E$9)</f>
        <v>9.6638999999999999</v>
      </c>
      <c r="O594" s="27">
        <f>9.6692 * CHOOSE(CONTROL!$C$32, $C$9, 100%, $E$9)</f>
        <v>9.6692</v>
      </c>
    </row>
    <row r="595" spans="1:15" ht="15" x14ac:dyDescent="0.2">
      <c r="A595" s="16">
        <v>58958</v>
      </c>
      <c r="B595" s="26">
        <f>8.4468 * CHOOSE(CONTROL!$C$32, $C$9, 100%, $E$9)</f>
        <v>8.4467999999999996</v>
      </c>
      <c r="C595" s="26">
        <f>8.4468 * CHOOSE(CONTROL!$C$32, $C$9, 100%, $E$9)</f>
        <v>8.4467999999999996</v>
      </c>
      <c r="D595" s="26">
        <f>8.4484 * CHOOSE(CONTROL!$C$32, $C$9, 100%, $E$9)</f>
        <v>8.4483999999999995</v>
      </c>
      <c r="E595" s="27">
        <f>9.5967 * CHOOSE(CONTROL!$C$32, $C$9, 100%, $E$9)</f>
        <v>9.5967000000000002</v>
      </c>
      <c r="F595" s="27">
        <f>9.5967 * CHOOSE(CONTROL!$C$32, $C$9, 100%, $E$9)</f>
        <v>9.5967000000000002</v>
      </c>
      <c r="G595" s="27">
        <f>9.602 * CHOOSE(CONTROL!$C$32, $C$9, 100%, $E$9)</f>
        <v>9.6020000000000003</v>
      </c>
      <c r="H595" s="27">
        <f>18.5791 * CHOOSE(CONTROL!$C$32, $C$9, 100%, $E$9)</f>
        <v>18.5791</v>
      </c>
      <c r="I595" s="27">
        <f>18.5844 * CHOOSE(CONTROL!$C$32, $C$9, 100%, $E$9)</f>
        <v>18.584399999999999</v>
      </c>
      <c r="J595" s="27">
        <f>18.5791 * CHOOSE(CONTROL!$C$32, $C$9, 100%, $E$9)</f>
        <v>18.5791</v>
      </c>
      <c r="K595" s="27">
        <f>18.5844 * CHOOSE(CONTROL!$C$32, $C$9, 100%, $E$9)</f>
        <v>18.584399999999999</v>
      </c>
      <c r="L595" s="27">
        <f>9.5967 * CHOOSE(CONTROL!$C$32, $C$9, 100%, $E$9)</f>
        <v>9.5967000000000002</v>
      </c>
      <c r="M595" s="27">
        <f>9.602 * CHOOSE(CONTROL!$C$32, $C$9, 100%, $E$9)</f>
        <v>9.6020000000000003</v>
      </c>
      <c r="N595" s="27">
        <f>9.5967 * CHOOSE(CONTROL!$C$32, $C$9, 100%, $E$9)</f>
        <v>9.5967000000000002</v>
      </c>
      <c r="O595" s="27">
        <f>9.602 * CHOOSE(CONTROL!$C$32, $C$9, 100%, $E$9)</f>
        <v>9.6020000000000003</v>
      </c>
    </row>
    <row r="596" spans="1:15" ht="15" x14ac:dyDescent="0.2">
      <c r="A596" s="16">
        <v>58988</v>
      </c>
      <c r="B596" s="26">
        <f>8.5541 * CHOOSE(CONTROL!$C$32, $C$9, 100%, $E$9)</f>
        <v>8.5541</v>
      </c>
      <c r="C596" s="26">
        <f>8.5541 * CHOOSE(CONTROL!$C$32, $C$9, 100%, $E$9)</f>
        <v>8.5541</v>
      </c>
      <c r="D596" s="26">
        <f>8.5557 * CHOOSE(CONTROL!$C$32, $C$9, 100%, $E$9)</f>
        <v>8.5556999999999999</v>
      </c>
      <c r="E596" s="27">
        <f>9.73 * CHOOSE(CONTROL!$C$32, $C$9, 100%, $E$9)</f>
        <v>9.73</v>
      </c>
      <c r="F596" s="27">
        <f>9.73 * CHOOSE(CONTROL!$C$32, $C$9, 100%, $E$9)</f>
        <v>9.73</v>
      </c>
      <c r="G596" s="27">
        <f>9.7353 * CHOOSE(CONTROL!$C$32, $C$9, 100%, $E$9)</f>
        <v>9.7353000000000005</v>
      </c>
      <c r="H596" s="27">
        <f>18.6178 * CHOOSE(CONTROL!$C$32, $C$9, 100%, $E$9)</f>
        <v>18.617799999999999</v>
      </c>
      <c r="I596" s="27">
        <f>18.6231 * CHOOSE(CONTROL!$C$32, $C$9, 100%, $E$9)</f>
        <v>18.623100000000001</v>
      </c>
      <c r="J596" s="27">
        <f>18.6178 * CHOOSE(CONTROL!$C$32, $C$9, 100%, $E$9)</f>
        <v>18.617799999999999</v>
      </c>
      <c r="K596" s="27">
        <f>18.6231 * CHOOSE(CONTROL!$C$32, $C$9, 100%, $E$9)</f>
        <v>18.623100000000001</v>
      </c>
      <c r="L596" s="27">
        <f>9.73 * CHOOSE(CONTROL!$C$32, $C$9, 100%, $E$9)</f>
        <v>9.73</v>
      </c>
      <c r="M596" s="27">
        <f>9.7353 * CHOOSE(CONTROL!$C$32, $C$9, 100%, $E$9)</f>
        <v>9.7353000000000005</v>
      </c>
      <c r="N596" s="27">
        <f>9.73 * CHOOSE(CONTROL!$C$32, $C$9, 100%, $E$9)</f>
        <v>9.73</v>
      </c>
      <c r="O596" s="27">
        <f>9.7353 * CHOOSE(CONTROL!$C$32, $C$9, 100%, $E$9)</f>
        <v>9.7353000000000005</v>
      </c>
    </row>
    <row r="597" spans="1:15" ht="15" x14ac:dyDescent="0.2">
      <c r="A597" s="16">
        <v>59019</v>
      </c>
      <c r="B597" s="26">
        <f>8.5608 * CHOOSE(CONTROL!$C$32, $C$9, 100%, $E$9)</f>
        <v>8.5608000000000004</v>
      </c>
      <c r="C597" s="26">
        <f>8.5608 * CHOOSE(CONTROL!$C$32, $C$9, 100%, $E$9)</f>
        <v>8.5608000000000004</v>
      </c>
      <c r="D597" s="26">
        <f>8.5624 * CHOOSE(CONTROL!$C$32, $C$9, 100%, $E$9)</f>
        <v>8.5624000000000002</v>
      </c>
      <c r="E597" s="27">
        <f>9.5203 * CHOOSE(CONTROL!$C$32, $C$9, 100%, $E$9)</f>
        <v>9.5203000000000007</v>
      </c>
      <c r="F597" s="27">
        <f>9.5203 * CHOOSE(CONTROL!$C$32, $C$9, 100%, $E$9)</f>
        <v>9.5203000000000007</v>
      </c>
      <c r="G597" s="27">
        <f>9.5256 * CHOOSE(CONTROL!$C$32, $C$9, 100%, $E$9)</f>
        <v>9.5256000000000007</v>
      </c>
      <c r="H597" s="27">
        <f>18.6566 * CHOOSE(CONTROL!$C$32, $C$9, 100%, $E$9)</f>
        <v>18.656600000000001</v>
      </c>
      <c r="I597" s="27">
        <f>18.6619 * CHOOSE(CONTROL!$C$32, $C$9, 100%, $E$9)</f>
        <v>18.661899999999999</v>
      </c>
      <c r="J597" s="27">
        <f>18.6566 * CHOOSE(CONTROL!$C$32, $C$9, 100%, $E$9)</f>
        <v>18.656600000000001</v>
      </c>
      <c r="K597" s="27">
        <f>18.6619 * CHOOSE(CONTROL!$C$32, $C$9, 100%, $E$9)</f>
        <v>18.661899999999999</v>
      </c>
      <c r="L597" s="27">
        <f>9.5203 * CHOOSE(CONTROL!$C$32, $C$9, 100%, $E$9)</f>
        <v>9.5203000000000007</v>
      </c>
      <c r="M597" s="27">
        <f>9.5256 * CHOOSE(CONTROL!$C$32, $C$9, 100%, $E$9)</f>
        <v>9.5256000000000007</v>
      </c>
      <c r="N597" s="27">
        <f>9.5203 * CHOOSE(CONTROL!$C$32, $C$9, 100%, $E$9)</f>
        <v>9.5203000000000007</v>
      </c>
      <c r="O597" s="27">
        <f>9.5256 * CHOOSE(CONTROL!$C$32, $C$9, 100%, $E$9)</f>
        <v>9.5256000000000007</v>
      </c>
    </row>
    <row r="598" spans="1:15" ht="15" x14ac:dyDescent="0.2">
      <c r="A598" s="16">
        <v>59050</v>
      </c>
      <c r="B598" s="26">
        <f>8.5578 * CHOOSE(CONTROL!$C$32, $C$9, 100%, $E$9)</f>
        <v>8.5578000000000003</v>
      </c>
      <c r="C598" s="26">
        <f>8.5578 * CHOOSE(CONTROL!$C$32, $C$9, 100%, $E$9)</f>
        <v>8.5578000000000003</v>
      </c>
      <c r="D598" s="26">
        <f>8.5594 * CHOOSE(CONTROL!$C$32, $C$9, 100%, $E$9)</f>
        <v>8.5594000000000001</v>
      </c>
      <c r="E598" s="27">
        <f>9.4943 * CHOOSE(CONTROL!$C$32, $C$9, 100%, $E$9)</f>
        <v>9.4943000000000008</v>
      </c>
      <c r="F598" s="27">
        <f>9.4943 * CHOOSE(CONTROL!$C$32, $C$9, 100%, $E$9)</f>
        <v>9.4943000000000008</v>
      </c>
      <c r="G598" s="27">
        <f>9.4996 * CHOOSE(CONTROL!$C$32, $C$9, 100%, $E$9)</f>
        <v>9.4995999999999992</v>
      </c>
      <c r="H598" s="27">
        <f>18.6955 * CHOOSE(CONTROL!$C$32, $C$9, 100%, $E$9)</f>
        <v>18.695499999999999</v>
      </c>
      <c r="I598" s="27">
        <f>18.7008 * CHOOSE(CONTROL!$C$32, $C$9, 100%, $E$9)</f>
        <v>18.700800000000001</v>
      </c>
      <c r="J598" s="27">
        <f>18.6955 * CHOOSE(CONTROL!$C$32, $C$9, 100%, $E$9)</f>
        <v>18.695499999999999</v>
      </c>
      <c r="K598" s="27">
        <f>18.7008 * CHOOSE(CONTROL!$C$32, $C$9, 100%, $E$9)</f>
        <v>18.700800000000001</v>
      </c>
      <c r="L598" s="27">
        <f>9.4943 * CHOOSE(CONTROL!$C$32, $C$9, 100%, $E$9)</f>
        <v>9.4943000000000008</v>
      </c>
      <c r="M598" s="27">
        <f>9.4996 * CHOOSE(CONTROL!$C$32, $C$9, 100%, $E$9)</f>
        <v>9.4995999999999992</v>
      </c>
      <c r="N598" s="27">
        <f>9.4943 * CHOOSE(CONTROL!$C$32, $C$9, 100%, $E$9)</f>
        <v>9.4943000000000008</v>
      </c>
      <c r="O598" s="27">
        <f>9.4996 * CHOOSE(CONTROL!$C$32, $C$9, 100%, $E$9)</f>
        <v>9.4995999999999992</v>
      </c>
    </row>
    <row r="599" spans="1:15" ht="15" x14ac:dyDescent="0.2">
      <c r="A599" s="16">
        <v>59080</v>
      </c>
      <c r="B599" s="26">
        <f>8.5698 * CHOOSE(CONTROL!$C$32, $C$9, 100%, $E$9)</f>
        <v>8.5698000000000008</v>
      </c>
      <c r="C599" s="26">
        <f>8.5698 * CHOOSE(CONTROL!$C$32, $C$9, 100%, $E$9)</f>
        <v>8.5698000000000008</v>
      </c>
      <c r="D599" s="26">
        <f>8.5709 * CHOOSE(CONTROL!$C$32, $C$9, 100%, $E$9)</f>
        <v>8.5709</v>
      </c>
      <c r="E599" s="27">
        <f>9.5762 * CHOOSE(CONTROL!$C$32, $C$9, 100%, $E$9)</f>
        <v>9.5762</v>
      </c>
      <c r="F599" s="27">
        <f>9.5762 * CHOOSE(CONTROL!$C$32, $C$9, 100%, $E$9)</f>
        <v>9.5762</v>
      </c>
      <c r="G599" s="27">
        <f>9.5798 * CHOOSE(CONTROL!$C$32, $C$9, 100%, $E$9)</f>
        <v>9.5798000000000005</v>
      </c>
      <c r="H599" s="27">
        <f>18.7344 * CHOOSE(CONTROL!$C$32, $C$9, 100%, $E$9)</f>
        <v>18.734400000000001</v>
      </c>
      <c r="I599" s="27">
        <f>18.738 * CHOOSE(CONTROL!$C$32, $C$9, 100%, $E$9)</f>
        <v>18.738</v>
      </c>
      <c r="J599" s="27">
        <f>18.7344 * CHOOSE(CONTROL!$C$32, $C$9, 100%, $E$9)</f>
        <v>18.734400000000001</v>
      </c>
      <c r="K599" s="27">
        <f>18.738 * CHOOSE(CONTROL!$C$32, $C$9, 100%, $E$9)</f>
        <v>18.738</v>
      </c>
      <c r="L599" s="27">
        <f>9.5762 * CHOOSE(CONTROL!$C$32, $C$9, 100%, $E$9)</f>
        <v>9.5762</v>
      </c>
      <c r="M599" s="27">
        <f>9.5798 * CHOOSE(CONTROL!$C$32, $C$9, 100%, $E$9)</f>
        <v>9.5798000000000005</v>
      </c>
      <c r="N599" s="27">
        <f>9.5762 * CHOOSE(CONTROL!$C$32, $C$9, 100%, $E$9)</f>
        <v>9.5762</v>
      </c>
      <c r="O599" s="27">
        <f>9.5798 * CHOOSE(CONTROL!$C$32, $C$9, 100%, $E$9)</f>
        <v>9.5798000000000005</v>
      </c>
    </row>
    <row r="600" spans="1:15" ht="15" x14ac:dyDescent="0.2">
      <c r="A600" s="16">
        <v>59111</v>
      </c>
      <c r="B600" s="26">
        <f>8.5729 * CHOOSE(CONTROL!$C$32, $C$9, 100%, $E$9)</f>
        <v>8.5729000000000006</v>
      </c>
      <c r="C600" s="26">
        <f>8.5729 * CHOOSE(CONTROL!$C$32, $C$9, 100%, $E$9)</f>
        <v>8.5729000000000006</v>
      </c>
      <c r="D600" s="26">
        <f>8.5739 * CHOOSE(CONTROL!$C$32, $C$9, 100%, $E$9)</f>
        <v>8.5739000000000001</v>
      </c>
      <c r="E600" s="27">
        <f>9.626 * CHOOSE(CONTROL!$C$32, $C$9, 100%, $E$9)</f>
        <v>9.6259999999999994</v>
      </c>
      <c r="F600" s="27">
        <f>9.626 * CHOOSE(CONTROL!$C$32, $C$9, 100%, $E$9)</f>
        <v>9.6259999999999994</v>
      </c>
      <c r="G600" s="27">
        <f>9.6296 * CHOOSE(CONTROL!$C$32, $C$9, 100%, $E$9)</f>
        <v>9.6295999999999999</v>
      </c>
      <c r="H600" s="27">
        <f>18.7734 * CHOOSE(CONTROL!$C$32, $C$9, 100%, $E$9)</f>
        <v>18.773399999999999</v>
      </c>
      <c r="I600" s="27">
        <f>18.7771 * CHOOSE(CONTROL!$C$32, $C$9, 100%, $E$9)</f>
        <v>18.777100000000001</v>
      </c>
      <c r="J600" s="27">
        <f>18.7734 * CHOOSE(CONTROL!$C$32, $C$9, 100%, $E$9)</f>
        <v>18.773399999999999</v>
      </c>
      <c r="K600" s="27">
        <f>18.7771 * CHOOSE(CONTROL!$C$32, $C$9, 100%, $E$9)</f>
        <v>18.777100000000001</v>
      </c>
      <c r="L600" s="27">
        <f>9.626 * CHOOSE(CONTROL!$C$32, $C$9, 100%, $E$9)</f>
        <v>9.6259999999999994</v>
      </c>
      <c r="M600" s="27">
        <f>9.6296 * CHOOSE(CONTROL!$C$32, $C$9, 100%, $E$9)</f>
        <v>9.6295999999999999</v>
      </c>
      <c r="N600" s="27">
        <f>9.626 * CHOOSE(CONTROL!$C$32, $C$9, 100%, $E$9)</f>
        <v>9.6259999999999994</v>
      </c>
      <c r="O600" s="27">
        <f>9.6296 * CHOOSE(CONTROL!$C$32, $C$9, 100%, $E$9)</f>
        <v>9.6295999999999999</v>
      </c>
    </row>
    <row r="601" spans="1:15" ht="15" x14ac:dyDescent="0.2">
      <c r="A601" s="16">
        <v>59141</v>
      </c>
      <c r="B601" s="26">
        <f>8.5729 * CHOOSE(CONTROL!$C$32, $C$9, 100%, $E$9)</f>
        <v>8.5729000000000006</v>
      </c>
      <c r="C601" s="26">
        <f>8.5729 * CHOOSE(CONTROL!$C$32, $C$9, 100%, $E$9)</f>
        <v>8.5729000000000006</v>
      </c>
      <c r="D601" s="26">
        <f>8.5739 * CHOOSE(CONTROL!$C$32, $C$9, 100%, $E$9)</f>
        <v>8.5739000000000001</v>
      </c>
      <c r="E601" s="27">
        <f>9.5068 * CHOOSE(CONTROL!$C$32, $C$9, 100%, $E$9)</f>
        <v>9.5068000000000001</v>
      </c>
      <c r="F601" s="27">
        <f>9.5068 * CHOOSE(CONTROL!$C$32, $C$9, 100%, $E$9)</f>
        <v>9.5068000000000001</v>
      </c>
      <c r="G601" s="27">
        <f>9.5105 * CHOOSE(CONTROL!$C$32, $C$9, 100%, $E$9)</f>
        <v>9.5105000000000004</v>
      </c>
      <c r="H601" s="27">
        <f>18.8126 * CHOOSE(CONTROL!$C$32, $C$9, 100%, $E$9)</f>
        <v>18.8126</v>
      </c>
      <c r="I601" s="27">
        <f>18.8162 * CHOOSE(CONTROL!$C$32, $C$9, 100%, $E$9)</f>
        <v>18.816199999999998</v>
      </c>
      <c r="J601" s="27">
        <f>18.8126 * CHOOSE(CONTROL!$C$32, $C$9, 100%, $E$9)</f>
        <v>18.8126</v>
      </c>
      <c r="K601" s="27">
        <f>18.8162 * CHOOSE(CONTROL!$C$32, $C$9, 100%, $E$9)</f>
        <v>18.816199999999998</v>
      </c>
      <c r="L601" s="27">
        <f>9.5068 * CHOOSE(CONTROL!$C$32, $C$9, 100%, $E$9)</f>
        <v>9.5068000000000001</v>
      </c>
      <c r="M601" s="27">
        <f>9.5105 * CHOOSE(CONTROL!$C$32, $C$9, 100%, $E$9)</f>
        <v>9.5105000000000004</v>
      </c>
      <c r="N601" s="27">
        <f>9.5068 * CHOOSE(CONTROL!$C$32, $C$9, 100%, $E$9)</f>
        <v>9.5068000000000001</v>
      </c>
      <c r="O601" s="27">
        <f>9.5105 * CHOOSE(CONTROL!$C$32, $C$9, 100%, $E$9)</f>
        <v>9.5105000000000004</v>
      </c>
    </row>
    <row r="602" spans="1:15" ht="15" x14ac:dyDescent="0.2">
      <c r="A602" s="16">
        <v>59172</v>
      </c>
      <c r="B602" s="26">
        <f>8.6322 * CHOOSE(CONTROL!$C$32, $C$9, 100%, $E$9)</f>
        <v>8.6321999999999992</v>
      </c>
      <c r="C602" s="26">
        <f>8.6322 * CHOOSE(CONTROL!$C$32, $C$9, 100%, $E$9)</f>
        <v>8.6321999999999992</v>
      </c>
      <c r="D602" s="26">
        <f>8.6333 * CHOOSE(CONTROL!$C$32, $C$9, 100%, $E$9)</f>
        <v>8.6333000000000002</v>
      </c>
      <c r="E602" s="27">
        <f>9.6705 * CHOOSE(CONTROL!$C$32, $C$9, 100%, $E$9)</f>
        <v>9.6705000000000005</v>
      </c>
      <c r="F602" s="27">
        <f>9.6705 * CHOOSE(CONTROL!$C$32, $C$9, 100%, $E$9)</f>
        <v>9.6705000000000005</v>
      </c>
      <c r="G602" s="27">
        <f>9.6741 * CHOOSE(CONTROL!$C$32, $C$9, 100%, $E$9)</f>
        <v>9.6740999999999993</v>
      </c>
      <c r="H602" s="27">
        <f>18.8403 * CHOOSE(CONTROL!$C$32, $C$9, 100%, $E$9)</f>
        <v>18.840299999999999</v>
      </c>
      <c r="I602" s="27">
        <f>18.8439 * CHOOSE(CONTROL!$C$32, $C$9, 100%, $E$9)</f>
        <v>18.843900000000001</v>
      </c>
      <c r="J602" s="27">
        <f>18.8403 * CHOOSE(CONTROL!$C$32, $C$9, 100%, $E$9)</f>
        <v>18.840299999999999</v>
      </c>
      <c r="K602" s="27">
        <f>18.8439 * CHOOSE(CONTROL!$C$32, $C$9, 100%, $E$9)</f>
        <v>18.843900000000001</v>
      </c>
      <c r="L602" s="27">
        <f>9.6705 * CHOOSE(CONTROL!$C$32, $C$9, 100%, $E$9)</f>
        <v>9.6705000000000005</v>
      </c>
      <c r="M602" s="27">
        <f>9.6741 * CHOOSE(CONTROL!$C$32, $C$9, 100%, $E$9)</f>
        <v>9.6740999999999993</v>
      </c>
      <c r="N602" s="27">
        <f>9.6705 * CHOOSE(CONTROL!$C$32, $C$9, 100%, $E$9)</f>
        <v>9.6705000000000005</v>
      </c>
      <c r="O602" s="27">
        <f>9.6741 * CHOOSE(CONTROL!$C$32, $C$9, 100%, $E$9)</f>
        <v>9.6740999999999993</v>
      </c>
    </row>
    <row r="603" spans="1:15" ht="15" x14ac:dyDescent="0.2">
      <c r="A603" s="16">
        <v>59203</v>
      </c>
      <c r="B603" s="26">
        <f>8.6292 * CHOOSE(CONTROL!$C$32, $C$9, 100%, $E$9)</f>
        <v>8.6292000000000009</v>
      </c>
      <c r="C603" s="26">
        <f>8.6292 * CHOOSE(CONTROL!$C$32, $C$9, 100%, $E$9)</f>
        <v>8.6292000000000009</v>
      </c>
      <c r="D603" s="26">
        <f>8.6302 * CHOOSE(CONTROL!$C$32, $C$9, 100%, $E$9)</f>
        <v>8.6302000000000003</v>
      </c>
      <c r="E603" s="27">
        <f>9.4361 * CHOOSE(CONTROL!$C$32, $C$9, 100%, $E$9)</f>
        <v>9.4360999999999997</v>
      </c>
      <c r="F603" s="27">
        <f>9.4361 * CHOOSE(CONTROL!$C$32, $C$9, 100%, $E$9)</f>
        <v>9.4360999999999997</v>
      </c>
      <c r="G603" s="27">
        <f>9.4398 * CHOOSE(CONTROL!$C$32, $C$9, 100%, $E$9)</f>
        <v>9.4398</v>
      </c>
      <c r="H603" s="27">
        <f>18.8795 * CHOOSE(CONTROL!$C$32, $C$9, 100%, $E$9)</f>
        <v>18.8795</v>
      </c>
      <c r="I603" s="27">
        <f>18.8831 * CHOOSE(CONTROL!$C$32, $C$9, 100%, $E$9)</f>
        <v>18.883099999999999</v>
      </c>
      <c r="J603" s="27">
        <f>18.8795 * CHOOSE(CONTROL!$C$32, $C$9, 100%, $E$9)</f>
        <v>18.8795</v>
      </c>
      <c r="K603" s="27">
        <f>18.8831 * CHOOSE(CONTROL!$C$32, $C$9, 100%, $E$9)</f>
        <v>18.883099999999999</v>
      </c>
      <c r="L603" s="27">
        <f>9.4361 * CHOOSE(CONTROL!$C$32, $C$9, 100%, $E$9)</f>
        <v>9.4360999999999997</v>
      </c>
      <c r="M603" s="27">
        <f>9.4398 * CHOOSE(CONTROL!$C$32, $C$9, 100%, $E$9)</f>
        <v>9.4398</v>
      </c>
      <c r="N603" s="27">
        <f>9.4361 * CHOOSE(CONTROL!$C$32, $C$9, 100%, $E$9)</f>
        <v>9.4360999999999997</v>
      </c>
      <c r="O603" s="27">
        <f>9.4398 * CHOOSE(CONTROL!$C$32, $C$9, 100%, $E$9)</f>
        <v>9.4398</v>
      </c>
    </row>
    <row r="604" spans="1:15" ht="15" x14ac:dyDescent="0.2">
      <c r="A604" s="16">
        <v>59231</v>
      </c>
      <c r="B604" s="26">
        <f>8.6261 * CHOOSE(CONTROL!$C$32, $C$9, 100%, $E$9)</f>
        <v>8.6260999999999992</v>
      </c>
      <c r="C604" s="26">
        <f>8.6261 * CHOOSE(CONTROL!$C$32, $C$9, 100%, $E$9)</f>
        <v>8.6260999999999992</v>
      </c>
      <c r="D604" s="26">
        <f>8.6272 * CHOOSE(CONTROL!$C$32, $C$9, 100%, $E$9)</f>
        <v>8.6272000000000002</v>
      </c>
      <c r="E604" s="27">
        <f>9.6171 * CHOOSE(CONTROL!$C$32, $C$9, 100%, $E$9)</f>
        <v>9.6171000000000006</v>
      </c>
      <c r="F604" s="27">
        <f>9.6171 * CHOOSE(CONTROL!$C$32, $C$9, 100%, $E$9)</f>
        <v>9.6171000000000006</v>
      </c>
      <c r="G604" s="27">
        <f>9.6207 * CHOOSE(CONTROL!$C$32, $C$9, 100%, $E$9)</f>
        <v>9.6206999999999994</v>
      </c>
      <c r="H604" s="27">
        <f>18.9189 * CHOOSE(CONTROL!$C$32, $C$9, 100%, $E$9)</f>
        <v>18.918900000000001</v>
      </c>
      <c r="I604" s="27">
        <f>18.9225 * CHOOSE(CONTROL!$C$32, $C$9, 100%, $E$9)</f>
        <v>18.922499999999999</v>
      </c>
      <c r="J604" s="27">
        <f>18.9189 * CHOOSE(CONTROL!$C$32, $C$9, 100%, $E$9)</f>
        <v>18.918900000000001</v>
      </c>
      <c r="K604" s="27">
        <f>18.9225 * CHOOSE(CONTROL!$C$32, $C$9, 100%, $E$9)</f>
        <v>18.922499999999999</v>
      </c>
      <c r="L604" s="27">
        <f>9.6171 * CHOOSE(CONTROL!$C$32, $C$9, 100%, $E$9)</f>
        <v>9.6171000000000006</v>
      </c>
      <c r="M604" s="27">
        <f>9.6207 * CHOOSE(CONTROL!$C$32, $C$9, 100%, $E$9)</f>
        <v>9.6206999999999994</v>
      </c>
      <c r="N604" s="27">
        <f>9.6171 * CHOOSE(CONTROL!$C$32, $C$9, 100%, $E$9)</f>
        <v>9.6171000000000006</v>
      </c>
      <c r="O604" s="27">
        <f>9.6207 * CHOOSE(CONTROL!$C$32, $C$9, 100%, $E$9)</f>
        <v>9.6206999999999994</v>
      </c>
    </row>
    <row r="605" spans="1:15" ht="15" x14ac:dyDescent="0.2">
      <c r="A605" s="16">
        <v>59262</v>
      </c>
      <c r="B605" s="26">
        <f>8.6283 * CHOOSE(CONTROL!$C$32, $C$9, 100%, $E$9)</f>
        <v>8.6282999999999994</v>
      </c>
      <c r="C605" s="26">
        <f>8.6283 * CHOOSE(CONTROL!$C$32, $C$9, 100%, $E$9)</f>
        <v>8.6282999999999994</v>
      </c>
      <c r="D605" s="26">
        <f>8.6293 * CHOOSE(CONTROL!$C$32, $C$9, 100%, $E$9)</f>
        <v>8.6293000000000006</v>
      </c>
      <c r="E605" s="27">
        <f>9.8095 * CHOOSE(CONTROL!$C$32, $C$9, 100%, $E$9)</f>
        <v>9.8094999999999999</v>
      </c>
      <c r="F605" s="27">
        <f>9.8095 * CHOOSE(CONTROL!$C$32, $C$9, 100%, $E$9)</f>
        <v>9.8094999999999999</v>
      </c>
      <c r="G605" s="27">
        <f>9.8131 * CHOOSE(CONTROL!$C$32, $C$9, 100%, $E$9)</f>
        <v>9.8131000000000004</v>
      </c>
      <c r="H605" s="27">
        <f>18.9583 * CHOOSE(CONTROL!$C$32, $C$9, 100%, $E$9)</f>
        <v>18.958300000000001</v>
      </c>
      <c r="I605" s="27">
        <f>18.9619 * CHOOSE(CONTROL!$C$32, $C$9, 100%, $E$9)</f>
        <v>18.9619</v>
      </c>
      <c r="J605" s="27">
        <f>18.9583 * CHOOSE(CONTROL!$C$32, $C$9, 100%, $E$9)</f>
        <v>18.958300000000001</v>
      </c>
      <c r="K605" s="27">
        <f>18.9619 * CHOOSE(CONTROL!$C$32, $C$9, 100%, $E$9)</f>
        <v>18.9619</v>
      </c>
      <c r="L605" s="27">
        <f>9.8095 * CHOOSE(CONTROL!$C$32, $C$9, 100%, $E$9)</f>
        <v>9.8094999999999999</v>
      </c>
      <c r="M605" s="27">
        <f>9.8131 * CHOOSE(CONTROL!$C$32, $C$9, 100%, $E$9)</f>
        <v>9.8131000000000004</v>
      </c>
      <c r="N605" s="27">
        <f>9.8095 * CHOOSE(CONTROL!$C$32, $C$9, 100%, $E$9)</f>
        <v>9.8094999999999999</v>
      </c>
      <c r="O605" s="27">
        <f>9.8131 * CHOOSE(CONTROL!$C$32, $C$9, 100%, $E$9)</f>
        <v>9.8131000000000004</v>
      </c>
    </row>
    <row r="606" spans="1:15" ht="15" x14ac:dyDescent="0.2">
      <c r="A606" s="16">
        <v>59292</v>
      </c>
      <c r="B606" s="26">
        <f>8.6283 * CHOOSE(CONTROL!$C$32, $C$9, 100%, $E$9)</f>
        <v>8.6282999999999994</v>
      </c>
      <c r="C606" s="26">
        <f>8.6283 * CHOOSE(CONTROL!$C$32, $C$9, 100%, $E$9)</f>
        <v>8.6282999999999994</v>
      </c>
      <c r="D606" s="26">
        <f>8.6298 * CHOOSE(CONTROL!$C$32, $C$9, 100%, $E$9)</f>
        <v>8.6297999999999995</v>
      </c>
      <c r="E606" s="27">
        <f>9.8832 * CHOOSE(CONTROL!$C$32, $C$9, 100%, $E$9)</f>
        <v>9.8832000000000004</v>
      </c>
      <c r="F606" s="27">
        <f>9.8832 * CHOOSE(CONTROL!$C$32, $C$9, 100%, $E$9)</f>
        <v>9.8832000000000004</v>
      </c>
      <c r="G606" s="27">
        <f>9.8885 * CHOOSE(CONTROL!$C$32, $C$9, 100%, $E$9)</f>
        <v>9.8885000000000005</v>
      </c>
      <c r="H606" s="27">
        <f>18.9978 * CHOOSE(CONTROL!$C$32, $C$9, 100%, $E$9)</f>
        <v>18.997800000000002</v>
      </c>
      <c r="I606" s="27">
        <f>19.0031 * CHOOSE(CONTROL!$C$32, $C$9, 100%, $E$9)</f>
        <v>19.0031</v>
      </c>
      <c r="J606" s="27">
        <f>18.9978 * CHOOSE(CONTROL!$C$32, $C$9, 100%, $E$9)</f>
        <v>18.997800000000002</v>
      </c>
      <c r="K606" s="27">
        <f>19.0031 * CHOOSE(CONTROL!$C$32, $C$9, 100%, $E$9)</f>
        <v>19.0031</v>
      </c>
      <c r="L606" s="27">
        <f>9.8832 * CHOOSE(CONTROL!$C$32, $C$9, 100%, $E$9)</f>
        <v>9.8832000000000004</v>
      </c>
      <c r="M606" s="27">
        <f>9.8885 * CHOOSE(CONTROL!$C$32, $C$9, 100%, $E$9)</f>
        <v>9.8885000000000005</v>
      </c>
      <c r="N606" s="27">
        <f>9.8832 * CHOOSE(CONTROL!$C$32, $C$9, 100%, $E$9)</f>
        <v>9.8832000000000004</v>
      </c>
      <c r="O606" s="27">
        <f>9.8885 * CHOOSE(CONTROL!$C$32, $C$9, 100%, $E$9)</f>
        <v>9.8885000000000005</v>
      </c>
    </row>
    <row r="607" spans="1:15" ht="15" x14ac:dyDescent="0.2">
      <c r="A607" s="16">
        <v>59323</v>
      </c>
      <c r="B607" s="26">
        <f>8.6343 * CHOOSE(CONTROL!$C$32, $C$9, 100%, $E$9)</f>
        <v>8.6342999999999996</v>
      </c>
      <c r="C607" s="26">
        <f>8.6343 * CHOOSE(CONTROL!$C$32, $C$9, 100%, $E$9)</f>
        <v>8.6342999999999996</v>
      </c>
      <c r="D607" s="26">
        <f>8.6359 * CHOOSE(CONTROL!$C$32, $C$9, 100%, $E$9)</f>
        <v>8.6358999999999995</v>
      </c>
      <c r="E607" s="27">
        <f>9.8137 * CHOOSE(CONTROL!$C$32, $C$9, 100%, $E$9)</f>
        <v>9.8137000000000008</v>
      </c>
      <c r="F607" s="27">
        <f>9.8137 * CHOOSE(CONTROL!$C$32, $C$9, 100%, $E$9)</f>
        <v>9.8137000000000008</v>
      </c>
      <c r="G607" s="27">
        <f>9.819 * CHOOSE(CONTROL!$C$32, $C$9, 100%, $E$9)</f>
        <v>9.8190000000000008</v>
      </c>
      <c r="H607" s="27">
        <f>19.0374 * CHOOSE(CONTROL!$C$32, $C$9, 100%, $E$9)</f>
        <v>19.037400000000002</v>
      </c>
      <c r="I607" s="27">
        <f>19.0426 * CHOOSE(CONTROL!$C$32, $C$9, 100%, $E$9)</f>
        <v>19.0426</v>
      </c>
      <c r="J607" s="27">
        <f>19.0374 * CHOOSE(CONTROL!$C$32, $C$9, 100%, $E$9)</f>
        <v>19.037400000000002</v>
      </c>
      <c r="K607" s="27">
        <f>19.0426 * CHOOSE(CONTROL!$C$32, $C$9, 100%, $E$9)</f>
        <v>19.0426</v>
      </c>
      <c r="L607" s="27">
        <f>9.8137 * CHOOSE(CONTROL!$C$32, $C$9, 100%, $E$9)</f>
        <v>9.8137000000000008</v>
      </c>
      <c r="M607" s="27">
        <f>9.819 * CHOOSE(CONTROL!$C$32, $C$9, 100%, $E$9)</f>
        <v>9.8190000000000008</v>
      </c>
      <c r="N607" s="27">
        <f>9.8137 * CHOOSE(CONTROL!$C$32, $C$9, 100%, $E$9)</f>
        <v>9.8137000000000008</v>
      </c>
      <c r="O607" s="27">
        <f>9.819 * CHOOSE(CONTROL!$C$32, $C$9, 100%, $E$9)</f>
        <v>9.8190000000000008</v>
      </c>
    </row>
    <row r="608" spans="1:15" ht="15" x14ac:dyDescent="0.2">
      <c r="A608" s="16">
        <v>59353</v>
      </c>
      <c r="B608" s="26">
        <f>8.7437 * CHOOSE(CONTROL!$C$32, $C$9, 100%, $E$9)</f>
        <v>8.7437000000000005</v>
      </c>
      <c r="C608" s="26">
        <f>8.7437 * CHOOSE(CONTROL!$C$32, $C$9, 100%, $E$9)</f>
        <v>8.7437000000000005</v>
      </c>
      <c r="D608" s="26">
        <f>8.7453 * CHOOSE(CONTROL!$C$32, $C$9, 100%, $E$9)</f>
        <v>8.7453000000000003</v>
      </c>
      <c r="E608" s="27">
        <f>9.9502 * CHOOSE(CONTROL!$C$32, $C$9, 100%, $E$9)</f>
        <v>9.9502000000000006</v>
      </c>
      <c r="F608" s="27">
        <f>9.9502 * CHOOSE(CONTROL!$C$32, $C$9, 100%, $E$9)</f>
        <v>9.9502000000000006</v>
      </c>
      <c r="G608" s="27">
        <f>9.9555 * CHOOSE(CONTROL!$C$32, $C$9, 100%, $E$9)</f>
        <v>9.9555000000000007</v>
      </c>
      <c r="H608" s="27">
        <f>19.077 * CHOOSE(CONTROL!$C$32, $C$9, 100%, $E$9)</f>
        <v>19.077000000000002</v>
      </c>
      <c r="I608" s="27">
        <f>19.0823 * CHOOSE(CONTROL!$C$32, $C$9, 100%, $E$9)</f>
        <v>19.0823</v>
      </c>
      <c r="J608" s="27">
        <f>19.077 * CHOOSE(CONTROL!$C$32, $C$9, 100%, $E$9)</f>
        <v>19.077000000000002</v>
      </c>
      <c r="K608" s="27">
        <f>19.0823 * CHOOSE(CONTROL!$C$32, $C$9, 100%, $E$9)</f>
        <v>19.0823</v>
      </c>
      <c r="L608" s="27">
        <f>9.9502 * CHOOSE(CONTROL!$C$32, $C$9, 100%, $E$9)</f>
        <v>9.9502000000000006</v>
      </c>
      <c r="M608" s="27">
        <f>9.9555 * CHOOSE(CONTROL!$C$32, $C$9, 100%, $E$9)</f>
        <v>9.9555000000000007</v>
      </c>
      <c r="N608" s="27">
        <f>9.9502 * CHOOSE(CONTROL!$C$32, $C$9, 100%, $E$9)</f>
        <v>9.9502000000000006</v>
      </c>
      <c r="O608" s="27">
        <f>9.9555 * CHOOSE(CONTROL!$C$32, $C$9, 100%, $E$9)</f>
        <v>9.9555000000000007</v>
      </c>
    </row>
    <row r="609" spans="1:15" ht="15" x14ac:dyDescent="0.2">
      <c r="A609" s="16">
        <v>59384</v>
      </c>
      <c r="B609" s="26">
        <f>8.7504 * CHOOSE(CONTROL!$C$32, $C$9, 100%, $E$9)</f>
        <v>8.7504000000000008</v>
      </c>
      <c r="C609" s="26">
        <f>8.7504 * CHOOSE(CONTROL!$C$32, $C$9, 100%, $E$9)</f>
        <v>8.7504000000000008</v>
      </c>
      <c r="D609" s="26">
        <f>8.752 * CHOOSE(CONTROL!$C$32, $C$9, 100%, $E$9)</f>
        <v>8.7520000000000007</v>
      </c>
      <c r="E609" s="27">
        <f>9.7337 * CHOOSE(CONTROL!$C$32, $C$9, 100%, $E$9)</f>
        <v>9.7337000000000007</v>
      </c>
      <c r="F609" s="27">
        <f>9.7337 * CHOOSE(CONTROL!$C$32, $C$9, 100%, $E$9)</f>
        <v>9.7337000000000007</v>
      </c>
      <c r="G609" s="27">
        <f>9.739 * CHOOSE(CONTROL!$C$32, $C$9, 100%, $E$9)</f>
        <v>9.7390000000000008</v>
      </c>
      <c r="H609" s="27">
        <f>19.1168 * CHOOSE(CONTROL!$C$32, $C$9, 100%, $E$9)</f>
        <v>19.116800000000001</v>
      </c>
      <c r="I609" s="27">
        <f>19.1221 * CHOOSE(CONTROL!$C$32, $C$9, 100%, $E$9)</f>
        <v>19.1221</v>
      </c>
      <c r="J609" s="27">
        <f>19.1168 * CHOOSE(CONTROL!$C$32, $C$9, 100%, $E$9)</f>
        <v>19.116800000000001</v>
      </c>
      <c r="K609" s="27">
        <f>19.1221 * CHOOSE(CONTROL!$C$32, $C$9, 100%, $E$9)</f>
        <v>19.1221</v>
      </c>
      <c r="L609" s="27">
        <f>9.7337 * CHOOSE(CONTROL!$C$32, $C$9, 100%, $E$9)</f>
        <v>9.7337000000000007</v>
      </c>
      <c r="M609" s="27">
        <f>9.739 * CHOOSE(CONTROL!$C$32, $C$9, 100%, $E$9)</f>
        <v>9.7390000000000008</v>
      </c>
      <c r="N609" s="27">
        <f>9.7337 * CHOOSE(CONTROL!$C$32, $C$9, 100%, $E$9)</f>
        <v>9.7337000000000007</v>
      </c>
      <c r="O609" s="27">
        <f>9.739 * CHOOSE(CONTROL!$C$32, $C$9, 100%, $E$9)</f>
        <v>9.7390000000000008</v>
      </c>
    </row>
    <row r="610" spans="1:15" ht="15" x14ac:dyDescent="0.2">
      <c r="A610" s="16">
        <v>59415</v>
      </c>
      <c r="B610" s="26">
        <f>8.7474 * CHOOSE(CONTROL!$C$32, $C$9, 100%, $E$9)</f>
        <v>8.7474000000000007</v>
      </c>
      <c r="C610" s="26">
        <f>8.7474 * CHOOSE(CONTROL!$C$32, $C$9, 100%, $E$9)</f>
        <v>8.7474000000000007</v>
      </c>
      <c r="D610" s="26">
        <f>8.749 * CHOOSE(CONTROL!$C$32, $C$9, 100%, $E$9)</f>
        <v>8.7490000000000006</v>
      </c>
      <c r="E610" s="27">
        <f>9.707 * CHOOSE(CONTROL!$C$32, $C$9, 100%, $E$9)</f>
        <v>9.7070000000000007</v>
      </c>
      <c r="F610" s="27">
        <f>9.707 * CHOOSE(CONTROL!$C$32, $C$9, 100%, $E$9)</f>
        <v>9.7070000000000007</v>
      </c>
      <c r="G610" s="27">
        <f>9.7123 * CHOOSE(CONTROL!$C$32, $C$9, 100%, $E$9)</f>
        <v>9.7123000000000008</v>
      </c>
      <c r="H610" s="27">
        <f>19.1566 * CHOOSE(CONTROL!$C$32, $C$9, 100%, $E$9)</f>
        <v>19.156600000000001</v>
      </c>
      <c r="I610" s="27">
        <f>19.1619 * CHOOSE(CONTROL!$C$32, $C$9, 100%, $E$9)</f>
        <v>19.161899999999999</v>
      </c>
      <c r="J610" s="27">
        <f>19.1566 * CHOOSE(CONTROL!$C$32, $C$9, 100%, $E$9)</f>
        <v>19.156600000000001</v>
      </c>
      <c r="K610" s="27">
        <f>19.1619 * CHOOSE(CONTROL!$C$32, $C$9, 100%, $E$9)</f>
        <v>19.161899999999999</v>
      </c>
      <c r="L610" s="27">
        <f>9.707 * CHOOSE(CONTROL!$C$32, $C$9, 100%, $E$9)</f>
        <v>9.7070000000000007</v>
      </c>
      <c r="M610" s="27">
        <f>9.7123 * CHOOSE(CONTROL!$C$32, $C$9, 100%, $E$9)</f>
        <v>9.7123000000000008</v>
      </c>
      <c r="N610" s="27">
        <f>9.707 * CHOOSE(CONTROL!$C$32, $C$9, 100%, $E$9)</f>
        <v>9.7070000000000007</v>
      </c>
      <c r="O610" s="27">
        <f>9.7123 * CHOOSE(CONTROL!$C$32, $C$9, 100%, $E$9)</f>
        <v>9.7123000000000008</v>
      </c>
    </row>
    <row r="611" spans="1:15" ht="15" x14ac:dyDescent="0.2">
      <c r="A611" s="16">
        <v>59445</v>
      </c>
      <c r="B611" s="26">
        <f>8.7601 * CHOOSE(CONTROL!$C$32, $C$9, 100%, $E$9)</f>
        <v>8.7600999999999996</v>
      </c>
      <c r="C611" s="26">
        <f>8.7601 * CHOOSE(CONTROL!$C$32, $C$9, 100%, $E$9)</f>
        <v>8.7600999999999996</v>
      </c>
      <c r="D611" s="26">
        <f>8.7612 * CHOOSE(CONTROL!$C$32, $C$9, 100%, $E$9)</f>
        <v>8.7612000000000005</v>
      </c>
      <c r="E611" s="27">
        <f>9.7919 * CHOOSE(CONTROL!$C$32, $C$9, 100%, $E$9)</f>
        <v>9.7919</v>
      </c>
      <c r="F611" s="27">
        <f>9.7919 * CHOOSE(CONTROL!$C$32, $C$9, 100%, $E$9)</f>
        <v>9.7919</v>
      </c>
      <c r="G611" s="27">
        <f>9.7955 * CHOOSE(CONTROL!$C$32, $C$9, 100%, $E$9)</f>
        <v>9.7955000000000005</v>
      </c>
      <c r="H611" s="27">
        <f>19.1965 * CHOOSE(CONTROL!$C$32, $C$9, 100%, $E$9)</f>
        <v>19.1965</v>
      </c>
      <c r="I611" s="27">
        <f>19.2001 * CHOOSE(CONTROL!$C$32, $C$9, 100%, $E$9)</f>
        <v>19.200099999999999</v>
      </c>
      <c r="J611" s="27">
        <f>19.1965 * CHOOSE(CONTROL!$C$32, $C$9, 100%, $E$9)</f>
        <v>19.1965</v>
      </c>
      <c r="K611" s="27">
        <f>19.2001 * CHOOSE(CONTROL!$C$32, $C$9, 100%, $E$9)</f>
        <v>19.200099999999999</v>
      </c>
      <c r="L611" s="27">
        <f>9.7919 * CHOOSE(CONTROL!$C$32, $C$9, 100%, $E$9)</f>
        <v>9.7919</v>
      </c>
      <c r="M611" s="27">
        <f>9.7955 * CHOOSE(CONTROL!$C$32, $C$9, 100%, $E$9)</f>
        <v>9.7955000000000005</v>
      </c>
      <c r="N611" s="27">
        <f>9.7919 * CHOOSE(CONTROL!$C$32, $C$9, 100%, $E$9)</f>
        <v>9.7919</v>
      </c>
      <c r="O611" s="27">
        <f>9.7955 * CHOOSE(CONTROL!$C$32, $C$9, 100%, $E$9)</f>
        <v>9.7955000000000005</v>
      </c>
    </row>
    <row r="612" spans="1:15" ht="15" x14ac:dyDescent="0.2">
      <c r="A612" s="16">
        <v>59476</v>
      </c>
      <c r="B612" s="26">
        <f>8.7632 * CHOOSE(CONTROL!$C$32, $C$9, 100%, $E$9)</f>
        <v>8.7631999999999994</v>
      </c>
      <c r="C612" s="26">
        <f>8.7632 * CHOOSE(CONTROL!$C$32, $C$9, 100%, $E$9)</f>
        <v>8.7631999999999994</v>
      </c>
      <c r="D612" s="26">
        <f>8.7643 * CHOOSE(CONTROL!$C$32, $C$9, 100%, $E$9)</f>
        <v>8.7643000000000004</v>
      </c>
      <c r="E612" s="27">
        <f>9.8432 * CHOOSE(CONTROL!$C$32, $C$9, 100%, $E$9)</f>
        <v>9.8431999999999995</v>
      </c>
      <c r="F612" s="27">
        <f>9.8432 * CHOOSE(CONTROL!$C$32, $C$9, 100%, $E$9)</f>
        <v>9.8431999999999995</v>
      </c>
      <c r="G612" s="27">
        <f>9.8468 * CHOOSE(CONTROL!$C$32, $C$9, 100%, $E$9)</f>
        <v>9.8468</v>
      </c>
      <c r="H612" s="27">
        <f>19.2365 * CHOOSE(CONTROL!$C$32, $C$9, 100%, $E$9)</f>
        <v>19.236499999999999</v>
      </c>
      <c r="I612" s="27">
        <f>19.2401 * CHOOSE(CONTROL!$C$32, $C$9, 100%, $E$9)</f>
        <v>19.240100000000002</v>
      </c>
      <c r="J612" s="27">
        <f>19.2365 * CHOOSE(CONTROL!$C$32, $C$9, 100%, $E$9)</f>
        <v>19.236499999999999</v>
      </c>
      <c r="K612" s="27">
        <f>19.2401 * CHOOSE(CONTROL!$C$32, $C$9, 100%, $E$9)</f>
        <v>19.240100000000002</v>
      </c>
      <c r="L612" s="27">
        <f>9.8432 * CHOOSE(CONTROL!$C$32, $C$9, 100%, $E$9)</f>
        <v>9.8431999999999995</v>
      </c>
      <c r="M612" s="27">
        <f>9.8468 * CHOOSE(CONTROL!$C$32, $C$9, 100%, $E$9)</f>
        <v>9.8468</v>
      </c>
      <c r="N612" s="27">
        <f>9.8432 * CHOOSE(CONTROL!$C$32, $C$9, 100%, $E$9)</f>
        <v>9.8431999999999995</v>
      </c>
      <c r="O612" s="27">
        <f>9.8468 * CHOOSE(CONTROL!$C$32, $C$9, 100%, $E$9)</f>
        <v>9.8468</v>
      </c>
    </row>
    <row r="613" spans="1:15" ht="15" x14ac:dyDescent="0.2">
      <c r="A613" s="16">
        <v>59506</v>
      </c>
      <c r="B613" s="26">
        <f>8.7632 * CHOOSE(CONTROL!$C$32, $C$9, 100%, $E$9)</f>
        <v>8.7631999999999994</v>
      </c>
      <c r="C613" s="26">
        <f>8.7632 * CHOOSE(CONTROL!$C$32, $C$9, 100%, $E$9)</f>
        <v>8.7631999999999994</v>
      </c>
      <c r="D613" s="26">
        <f>8.7643 * CHOOSE(CONTROL!$C$32, $C$9, 100%, $E$9)</f>
        <v>8.7643000000000004</v>
      </c>
      <c r="E613" s="27">
        <f>9.7203 * CHOOSE(CONTROL!$C$32, $C$9, 100%, $E$9)</f>
        <v>9.7202999999999999</v>
      </c>
      <c r="F613" s="27">
        <f>9.7203 * CHOOSE(CONTROL!$C$32, $C$9, 100%, $E$9)</f>
        <v>9.7202999999999999</v>
      </c>
      <c r="G613" s="27">
        <f>9.7239 * CHOOSE(CONTROL!$C$32, $C$9, 100%, $E$9)</f>
        <v>9.7239000000000004</v>
      </c>
      <c r="H613" s="27">
        <f>19.2766 * CHOOSE(CONTROL!$C$32, $C$9, 100%, $E$9)</f>
        <v>19.276599999999998</v>
      </c>
      <c r="I613" s="27">
        <f>19.2802 * CHOOSE(CONTROL!$C$32, $C$9, 100%, $E$9)</f>
        <v>19.280200000000001</v>
      </c>
      <c r="J613" s="27">
        <f>19.2766 * CHOOSE(CONTROL!$C$32, $C$9, 100%, $E$9)</f>
        <v>19.276599999999998</v>
      </c>
      <c r="K613" s="27">
        <f>19.2802 * CHOOSE(CONTROL!$C$32, $C$9, 100%, $E$9)</f>
        <v>19.280200000000001</v>
      </c>
      <c r="L613" s="27">
        <f>9.7203 * CHOOSE(CONTROL!$C$32, $C$9, 100%, $E$9)</f>
        <v>9.7202999999999999</v>
      </c>
      <c r="M613" s="27">
        <f>9.7239 * CHOOSE(CONTROL!$C$32, $C$9, 100%, $E$9)</f>
        <v>9.7239000000000004</v>
      </c>
      <c r="N613" s="27">
        <f>9.7203 * CHOOSE(CONTROL!$C$32, $C$9, 100%, $E$9)</f>
        <v>9.7202999999999999</v>
      </c>
      <c r="O613" s="27">
        <f>9.7239 * CHOOSE(CONTROL!$C$32, $C$9, 100%, $E$9)</f>
        <v>9.7239000000000004</v>
      </c>
    </row>
    <row r="614" spans="1:15" ht="15" x14ac:dyDescent="0.2">
      <c r="A614" s="16">
        <v>59537</v>
      </c>
      <c r="B614" s="26">
        <f>8.8196 * CHOOSE(CONTROL!$C$32, $C$9, 100%, $E$9)</f>
        <v>8.8195999999999994</v>
      </c>
      <c r="C614" s="26">
        <f>8.8196 * CHOOSE(CONTROL!$C$32, $C$9, 100%, $E$9)</f>
        <v>8.8195999999999994</v>
      </c>
      <c r="D614" s="26">
        <f>8.8206 * CHOOSE(CONTROL!$C$32, $C$9, 100%, $E$9)</f>
        <v>8.8206000000000007</v>
      </c>
      <c r="E614" s="27">
        <f>9.883 * CHOOSE(CONTROL!$C$32, $C$9, 100%, $E$9)</f>
        <v>9.8829999999999991</v>
      </c>
      <c r="F614" s="27">
        <f>9.883 * CHOOSE(CONTROL!$C$32, $C$9, 100%, $E$9)</f>
        <v>9.8829999999999991</v>
      </c>
      <c r="G614" s="27">
        <f>9.8866 * CHOOSE(CONTROL!$C$32, $C$9, 100%, $E$9)</f>
        <v>9.8865999999999996</v>
      </c>
      <c r="H614" s="27">
        <f>19.2938 * CHOOSE(CONTROL!$C$32, $C$9, 100%, $E$9)</f>
        <v>19.293800000000001</v>
      </c>
      <c r="I614" s="27">
        <f>19.2974 * CHOOSE(CONTROL!$C$32, $C$9, 100%, $E$9)</f>
        <v>19.2974</v>
      </c>
      <c r="J614" s="27">
        <f>19.2938 * CHOOSE(CONTROL!$C$32, $C$9, 100%, $E$9)</f>
        <v>19.293800000000001</v>
      </c>
      <c r="K614" s="27">
        <f>19.2974 * CHOOSE(CONTROL!$C$32, $C$9, 100%, $E$9)</f>
        <v>19.2974</v>
      </c>
      <c r="L614" s="27">
        <f>9.883 * CHOOSE(CONTROL!$C$32, $C$9, 100%, $E$9)</f>
        <v>9.8829999999999991</v>
      </c>
      <c r="M614" s="27">
        <f>9.8866 * CHOOSE(CONTROL!$C$32, $C$9, 100%, $E$9)</f>
        <v>9.8865999999999996</v>
      </c>
      <c r="N614" s="27">
        <f>9.883 * CHOOSE(CONTROL!$C$32, $C$9, 100%, $E$9)</f>
        <v>9.8829999999999991</v>
      </c>
      <c r="O614" s="27">
        <f>9.8866 * CHOOSE(CONTROL!$C$32, $C$9, 100%, $E$9)</f>
        <v>9.8865999999999996</v>
      </c>
    </row>
    <row r="615" spans="1:15" ht="15" x14ac:dyDescent="0.2">
      <c r="A615" s="16">
        <v>59568</v>
      </c>
      <c r="B615" s="26">
        <f>8.8165 * CHOOSE(CONTROL!$C$32, $C$9, 100%, $E$9)</f>
        <v>8.8164999999999996</v>
      </c>
      <c r="C615" s="26">
        <f>8.8165 * CHOOSE(CONTROL!$C$32, $C$9, 100%, $E$9)</f>
        <v>8.8164999999999996</v>
      </c>
      <c r="D615" s="26">
        <f>8.8176 * CHOOSE(CONTROL!$C$32, $C$9, 100%, $E$9)</f>
        <v>8.8176000000000005</v>
      </c>
      <c r="E615" s="27">
        <f>9.6416 * CHOOSE(CONTROL!$C$32, $C$9, 100%, $E$9)</f>
        <v>9.6416000000000004</v>
      </c>
      <c r="F615" s="27">
        <f>9.6416 * CHOOSE(CONTROL!$C$32, $C$9, 100%, $E$9)</f>
        <v>9.6416000000000004</v>
      </c>
      <c r="G615" s="27">
        <f>9.6452 * CHOOSE(CONTROL!$C$32, $C$9, 100%, $E$9)</f>
        <v>9.6452000000000009</v>
      </c>
      <c r="H615" s="27">
        <f>19.334 * CHOOSE(CONTROL!$C$32, $C$9, 100%, $E$9)</f>
        <v>19.334</v>
      </c>
      <c r="I615" s="27">
        <f>19.3376 * CHOOSE(CONTROL!$C$32, $C$9, 100%, $E$9)</f>
        <v>19.337599999999998</v>
      </c>
      <c r="J615" s="27">
        <f>19.334 * CHOOSE(CONTROL!$C$32, $C$9, 100%, $E$9)</f>
        <v>19.334</v>
      </c>
      <c r="K615" s="27">
        <f>19.3376 * CHOOSE(CONTROL!$C$32, $C$9, 100%, $E$9)</f>
        <v>19.337599999999998</v>
      </c>
      <c r="L615" s="27">
        <f>9.6416 * CHOOSE(CONTROL!$C$32, $C$9, 100%, $E$9)</f>
        <v>9.6416000000000004</v>
      </c>
      <c r="M615" s="27">
        <f>9.6452 * CHOOSE(CONTROL!$C$32, $C$9, 100%, $E$9)</f>
        <v>9.6452000000000009</v>
      </c>
      <c r="N615" s="27">
        <f>9.6416 * CHOOSE(CONTROL!$C$32, $C$9, 100%, $E$9)</f>
        <v>9.6416000000000004</v>
      </c>
      <c r="O615" s="27">
        <f>9.6452 * CHOOSE(CONTROL!$C$32, $C$9, 100%, $E$9)</f>
        <v>9.6452000000000009</v>
      </c>
    </row>
    <row r="616" spans="1:15" ht="15" x14ac:dyDescent="0.2">
      <c r="A616" s="16">
        <v>59596</v>
      </c>
      <c r="B616" s="26">
        <f>8.8135 * CHOOSE(CONTROL!$C$32, $C$9, 100%, $E$9)</f>
        <v>8.8134999999999994</v>
      </c>
      <c r="C616" s="26">
        <f>8.8135 * CHOOSE(CONTROL!$C$32, $C$9, 100%, $E$9)</f>
        <v>8.8134999999999994</v>
      </c>
      <c r="D616" s="26">
        <f>8.8146 * CHOOSE(CONTROL!$C$32, $C$9, 100%, $E$9)</f>
        <v>8.8146000000000004</v>
      </c>
      <c r="E616" s="27">
        <f>9.8281 * CHOOSE(CONTROL!$C$32, $C$9, 100%, $E$9)</f>
        <v>9.8280999999999992</v>
      </c>
      <c r="F616" s="27">
        <f>9.8281 * CHOOSE(CONTROL!$C$32, $C$9, 100%, $E$9)</f>
        <v>9.8280999999999992</v>
      </c>
      <c r="G616" s="27">
        <f>9.8317 * CHOOSE(CONTROL!$C$32, $C$9, 100%, $E$9)</f>
        <v>9.8316999999999997</v>
      </c>
      <c r="H616" s="27">
        <f>19.3743 * CHOOSE(CONTROL!$C$32, $C$9, 100%, $E$9)</f>
        <v>19.374300000000002</v>
      </c>
      <c r="I616" s="27">
        <f>19.3779 * CHOOSE(CONTROL!$C$32, $C$9, 100%, $E$9)</f>
        <v>19.3779</v>
      </c>
      <c r="J616" s="27">
        <f>19.3743 * CHOOSE(CONTROL!$C$32, $C$9, 100%, $E$9)</f>
        <v>19.374300000000002</v>
      </c>
      <c r="K616" s="27">
        <f>19.3779 * CHOOSE(CONTROL!$C$32, $C$9, 100%, $E$9)</f>
        <v>19.3779</v>
      </c>
      <c r="L616" s="27">
        <f>9.8281 * CHOOSE(CONTROL!$C$32, $C$9, 100%, $E$9)</f>
        <v>9.8280999999999992</v>
      </c>
      <c r="M616" s="27">
        <f>9.8317 * CHOOSE(CONTROL!$C$32, $C$9, 100%, $E$9)</f>
        <v>9.8316999999999997</v>
      </c>
      <c r="N616" s="27">
        <f>9.8281 * CHOOSE(CONTROL!$C$32, $C$9, 100%, $E$9)</f>
        <v>9.8280999999999992</v>
      </c>
      <c r="O616" s="27">
        <f>9.8317 * CHOOSE(CONTROL!$C$32, $C$9, 100%, $E$9)</f>
        <v>9.8316999999999997</v>
      </c>
    </row>
    <row r="617" spans="1:15" ht="15" x14ac:dyDescent="0.2">
      <c r="A617" s="16">
        <v>59627</v>
      </c>
      <c r="B617" s="26">
        <f>8.8158 * CHOOSE(CONTROL!$C$32, $C$9, 100%, $E$9)</f>
        <v>8.8157999999999994</v>
      </c>
      <c r="C617" s="26">
        <f>8.8158 * CHOOSE(CONTROL!$C$32, $C$9, 100%, $E$9)</f>
        <v>8.8157999999999994</v>
      </c>
      <c r="D617" s="26">
        <f>8.8169 * CHOOSE(CONTROL!$C$32, $C$9, 100%, $E$9)</f>
        <v>8.8169000000000004</v>
      </c>
      <c r="E617" s="27">
        <f>10.0265 * CHOOSE(CONTROL!$C$32, $C$9, 100%, $E$9)</f>
        <v>10.0265</v>
      </c>
      <c r="F617" s="27">
        <f>10.0265 * CHOOSE(CONTROL!$C$32, $C$9, 100%, $E$9)</f>
        <v>10.0265</v>
      </c>
      <c r="G617" s="27">
        <f>10.0301 * CHOOSE(CONTROL!$C$32, $C$9, 100%, $E$9)</f>
        <v>10.030099999999999</v>
      </c>
      <c r="H617" s="27">
        <f>19.4146 * CHOOSE(CONTROL!$C$32, $C$9, 100%, $E$9)</f>
        <v>19.4146</v>
      </c>
      <c r="I617" s="27">
        <f>19.4182 * CHOOSE(CONTROL!$C$32, $C$9, 100%, $E$9)</f>
        <v>19.418199999999999</v>
      </c>
      <c r="J617" s="27">
        <f>19.4146 * CHOOSE(CONTROL!$C$32, $C$9, 100%, $E$9)</f>
        <v>19.4146</v>
      </c>
      <c r="K617" s="27">
        <f>19.4182 * CHOOSE(CONTROL!$C$32, $C$9, 100%, $E$9)</f>
        <v>19.418199999999999</v>
      </c>
      <c r="L617" s="27">
        <f>10.0265 * CHOOSE(CONTROL!$C$32, $C$9, 100%, $E$9)</f>
        <v>10.0265</v>
      </c>
      <c r="M617" s="27">
        <f>10.0301 * CHOOSE(CONTROL!$C$32, $C$9, 100%, $E$9)</f>
        <v>10.030099999999999</v>
      </c>
      <c r="N617" s="27">
        <f>10.0265 * CHOOSE(CONTROL!$C$32, $C$9, 100%, $E$9)</f>
        <v>10.0265</v>
      </c>
      <c r="O617" s="27">
        <f>10.0301 * CHOOSE(CONTROL!$C$32, $C$9, 100%, $E$9)</f>
        <v>10.030099999999999</v>
      </c>
    </row>
    <row r="618" spans="1:15" ht="15" x14ac:dyDescent="0.2">
      <c r="A618" s="16">
        <v>59657</v>
      </c>
      <c r="B618" s="26">
        <f>8.8158 * CHOOSE(CONTROL!$C$32, $C$9, 100%, $E$9)</f>
        <v>8.8157999999999994</v>
      </c>
      <c r="C618" s="26">
        <f>8.8158 * CHOOSE(CONTROL!$C$32, $C$9, 100%, $E$9)</f>
        <v>8.8157999999999994</v>
      </c>
      <c r="D618" s="26">
        <f>8.8174 * CHOOSE(CONTROL!$C$32, $C$9, 100%, $E$9)</f>
        <v>8.8173999999999992</v>
      </c>
      <c r="E618" s="27">
        <f>10.1024 * CHOOSE(CONTROL!$C$32, $C$9, 100%, $E$9)</f>
        <v>10.102399999999999</v>
      </c>
      <c r="F618" s="27">
        <f>10.1024 * CHOOSE(CONTROL!$C$32, $C$9, 100%, $E$9)</f>
        <v>10.102399999999999</v>
      </c>
      <c r="G618" s="27">
        <f>10.1077 * CHOOSE(CONTROL!$C$32, $C$9, 100%, $E$9)</f>
        <v>10.107699999999999</v>
      </c>
      <c r="H618" s="27">
        <f>19.4551 * CHOOSE(CONTROL!$C$32, $C$9, 100%, $E$9)</f>
        <v>19.455100000000002</v>
      </c>
      <c r="I618" s="27">
        <f>19.4604 * CHOOSE(CONTROL!$C$32, $C$9, 100%, $E$9)</f>
        <v>19.4604</v>
      </c>
      <c r="J618" s="27">
        <f>19.4551 * CHOOSE(CONTROL!$C$32, $C$9, 100%, $E$9)</f>
        <v>19.455100000000002</v>
      </c>
      <c r="K618" s="27">
        <f>19.4604 * CHOOSE(CONTROL!$C$32, $C$9, 100%, $E$9)</f>
        <v>19.4604</v>
      </c>
      <c r="L618" s="27">
        <f>10.1024 * CHOOSE(CONTROL!$C$32, $C$9, 100%, $E$9)</f>
        <v>10.102399999999999</v>
      </c>
      <c r="M618" s="27">
        <f>10.1077 * CHOOSE(CONTROL!$C$32, $C$9, 100%, $E$9)</f>
        <v>10.107699999999999</v>
      </c>
      <c r="N618" s="27">
        <f>10.1024 * CHOOSE(CONTROL!$C$32, $C$9, 100%, $E$9)</f>
        <v>10.102399999999999</v>
      </c>
      <c r="O618" s="27">
        <f>10.1077 * CHOOSE(CONTROL!$C$32, $C$9, 100%, $E$9)</f>
        <v>10.107699999999999</v>
      </c>
    </row>
    <row r="619" spans="1:15" ht="15" x14ac:dyDescent="0.2">
      <c r="A619" s="16">
        <v>59688</v>
      </c>
      <c r="B619" s="26">
        <f>8.8219 * CHOOSE(CONTROL!$C$32, $C$9, 100%, $E$9)</f>
        <v>8.8218999999999994</v>
      </c>
      <c r="C619" s="26">
        <f>8.8219 * CHOOSE(CONTROL!$C$32, $C$9, 100%, $E$9)</f>
        <v>8.8218999999999994</v>
      </c>
      <c r="D619" s="26">
        <f>8.8235 * CHOOSE(CONTROL!$C$32, $C$9, 100%, $E$9)</f>
        <v>8.8234999999999992</v>
      </c>
      <c r="E619" s="27">
        <f>10.0307 * CHOOSE(CONTROL!$C$32, $C$9, 100%, $E$9)</f>
        <v>10.0307</v>
      </c>
      <c r="F619" s="27">
        <f>10.0307 * CHOOSE(CONTROL!$C$32, $C$9, 100%, $E$9)</f>
        <v>10.0307</v>
      </c>
      <c r="G619" s="27">
        <f>10.036 * CHOOSE(CONTROL!$C$32, $C$9, 100%, $E$9)</f>
        <v>10.036</v>
      </c>
      <c r="H619" s="27">
        <f>19.4956 * CHOOSE(CONTROL!$C$32, $C$9, 100%, $E$9)</f>
        <v>19.4956</v>
      </c>
      <c r="I619" s="27">
        <f>19.5009 * CHOOSE(CONTROL!$C$32, $C$9, 100%, $E$9)</f>
        <v>19.500900000000001</v>
      </c>
      <c r="J619" s="27">
        <f>19.4956 * CHOOSE(CONTROL!$C$32, $C$9, 100%, $E$9)</f>
        <v>19.4956</v>
      </c>
      <c r="K619" s="27">
        <f>19.5009 * CHOOSE(CONTROL!$C$32, $C$9, 100%, $E$9)</f>
        <v>19.500900000000001</v>
      </c>
      <c r="L619" s="27">
        <f>10.0307 * CHOOSE(CONTROL!$C$32, $C$9, 100%, $E$9)</f>
        <v>10.0307</v>
      </c>
      <c r="M619" s="27">
        <f>10.036 * CHOOSE(CONTROL!$C$32, $C$9, 100%, $E$9)</f>
        <v>10.036</v>
      </c>
      <c r="N619" s="27">
        <f>10.0307 * CHOOSE(CONTROL!$C$32, $C$9, 100%, $E$9)</f>
        <v>10.0307</v>
      </c>
      <c r="O619" s="27">
        <f>10.036 * CHOOSE(CONTROL!$C$32, $C$9, 100%, $E$9)</f>
        <v>10.036</v>
      </c>
    </row>
    <row r="620" spans="1:15" ht="15" x14ac:dyDescent="0.2">
      <c r="A620" s="16">
        <v>59718</v>
      </c>
      <c r="B620" s="26">
        <f>8.9333 * CHOOSE(CONTROL!$C$32, $C$9, 100%, $E$9)</f>
        <v>8.9332999999999991</v>
      </c>
      <c r="C620" s="26">
        <f>8.9333 * CHOOSE(CONTROL!$C$32, $C$9, 100%, $E$9)</f>
        <v>8.9332999999999991</v>
      </c>
      <c r="D620" s="26">
        <f>8.9349 * CHOOSE(CONTROL!$C$32, $C$9, 100%, $E$9)</f>
        <v>8.9349000000000007</v>
      </c>
      <c r="E620" s="27">
        <f>10.1704 * CHOOSE(CONTROL!$C$32, $C$9, 100%, $E$9)</f>
        <v>10.170400000000001</v>
      </c>
      <c r="F620" s="27">
        <f>10.1704 * CHOOSE(CONTROL!$C$32, $C$9, 100%, $E$9)</f>
        <v>10.170400000000001</v>
      </c>
      <c r="G620" s="27">
        <f>10.1757 * CHOOSE(CONTROL!$C$32, $C$9, 100%, $E$9)</f>
        <v>10.175700000000001</v>
      </c>
      <c r="H620" s="27">
        <f>19.5362 * CHOOSE(CONTROL!$C$32, $C$9, 100%, $E$9)</f>
        <v>19.536200000000001</v>
      </c>
      <c r="I620" s="27">
        <f>19.5415 * CHOOSE(CONTROL!$C$32, $C$9, 100%, $E$9)</f>
        <v>19.541499999999999</v>
      </c>
      <c r="J620" s="27">
        <f>19.5362 * CHOOSE(CONTROL!$C$32, $C$9, 100%, $E$9)</f>
        <v>19.536200000000001</v>
      </c>
      <c r="K620" s="27">
        <f>19.5415 * CHOOSE(CONTROL!$C$32, $C$9, 100%, $E$9)</f>
        <v>19.541499999999999</v>
      </c>
      <c r="L620" s="27">
        <f>10.1704 * CHOOSE(CONTROL!$C$32, $C$9, 100%, $E$9)</f>
        <v>10.170400000000001</v>
      </c>
      <c r="M620" s="27">
        <f>10.1757 * CHOOSE(CONTROL!$C$32, $C$9, 100%, $E$9)</f>
        <v>10.175700000000001</v>
      </c>
      <c r="N620" s="27">
        <f>10.1704 * CHOOSE(CONTROL!$C$32, $C$9, 100%, $E$9)</f>
        <v>10.170400000000001</v>
      </c>
      <c r="O620" s="27">
        <f>10.1757 * CHOOSE(CONTROL!$C$32, $C$9, 100%, $E$9)</f>
        <v>10.175700000000001</v>
      </c>
    </row>
    <row r="621" spans="1:15" ht="15" x14ac:dyDescent="0.2">
      <c r="A621" s="16">
        <v>59749</v>
      </c>
      <c r="B621" s="26">
        <f>8.94 * CHOOSE(CONTROL!$C$32, $C$9, 100%, $E$9)</f>
        <v>8.94</v>
      </c>
      <c r="C621" s="26">
        <f>8.94 * CHOOSE(CONTROL!$C$32, $C$9, 100%, $E$9)</f>
        <v>8.94</v>
      </c>
      <c r="D621" s="26">
        <f>8.9416 * CHOOSE(CONTROL!$C$32, $C$9, 100%, $E$9)</f>
        <v>8.9415999999999993</v>
      </c>
      <c r="E621" s="27">
        <f>9.9471 * CHOOSE(CONTROL!$C$32, $C$9, 100%, $E$9)</f>
        <v>9.9471000000000007</v>
      </c>
      <c r="F621" s="27">
        <f>9.9471 * CHOOSE(CONTROL!$C$32, $C$9, 100%, $E$9)</f>
        <v>9.9471000000000007</v>
      </c>
      <c r="G621" s="27">
        <f>9.9524 * CHOOSE(CONTROL!$C$32, $C$9, 100%, $E$9)</f>
        <v>9.9524000000000008</v>
      </c>
      <c r="H621" s="27">
        <f>19.5769 * CHOOSE(CONTROL!$C$32, $C$9, 100%, $E$9)</f>
        <v>19.576899999999998</v>
      </c>
      <c r="I621" s="27">
        <f>19.5822 * CHOOSE(CONTROL!$C$32, $C$9, 100%, $E$9)</f>
        <v>19.5822</v>
      </c>
      <c r="J621" s="27">
        <f>19.5769 * CHOOSE(CONTROL!$C$32, $C$9, 100%, $E$9)</f>
        <v>19.576899999999998</v>
      </c>
      <c r="K621" s="27">
        <f>19.5822 * CHOOSE(CONTROL!$C$32, $C$9, 100%, $E$9)</f>
        <v>19.5822</v>
      </c>
      <c r="L621" s="27">
        <f>9.9471 * CHOOSE(CONTROL!$C$32, $C$9, 100%, $E$9)</f>
        <v>9.9471000000000007</v>
      </c>
      <c r="M621" s="27">
        <f>9.9524 * CHOOSE(CONTROL!$C$32, $C$9, 100%, $E$9)</f>
        <v>9.9524000000000008</v>
      </c>
      <c r="N621" s="27">
        <f>9.9471 * CHOOSE(CONTROL!$C$32, $C$9, 100%, $E$9)</f>
        <v>9.9471000000000007</v>
      </c>
      <c r="O621" s="27">
        <f>9.9524 * CHOOSE(CONTROL!$C$32, $C$9, 100%, $E$9)</f>
        <v>9.9524000000000008</v>
      </c>
    </row>
    <row r="622" spans="1:15" ht="15" x14ac:dyDescent="0.2">
      <c r="A622" s="16">
        <v>59780</v>
      </c>
      <c r="B622" s="26">
        <f>8.937 * CHOOSE(CONTROL!$C$32, $C$9, 100%, $E$9)</f>
        <v>8.9369999999999994</v>
      </c>
      <c r="C622" s="26">
        <f>8.937 * CHOOSE(CONTROL!$C$32, $C$9, 100%, $E$9)</f>
        <v>8.9369999999999994</v>
      </c>
      <c r="D622" s="26">
        <f>8.9386 * CHOOSE(CONTROL!$C$32, $C$9, 100%, $E$9)</f>
        <v>8.9385999999999992</v>
      </c>
      <c r="E622" s="27">
        <f>9.9197 * CHOOSE(CONTROL!$C$32, $C$9, 100%, $E$9)</f>
        <v>9.9197000000000006</v>
      </c>
      <c r="F622" s="27">
        <f>9.9197 * CHOOSE(CONTROL!$C$32, $C$9, 100%, $E$9)</f>
        <v>9.9197000000000006</v>
      </c>
      <c r="G622" s="27">
        <f>9.925 * CHOOSE(CONTROL!$C$32, $C$9, 100%, $E$9)</f>
        <v>9.9250000000000007</v>
      </c>
      <c r="H622" s="27">
        <f>19.6177 * CHOOSE(CONTROL!$C$32, $C$9, 100%, $E$9)</f>
        <v>19.617699999999999</v>
      </c>
      <c r="I622" s="27">
        <f>19.623 * CHOOSE(CONTROL!$C$32, $C$9, 100%, $E$9)</f>
        <v>19.623000000000001</v>
      </c>
      <c r="J622" s="27">
        <f>19.6177 * CHOOSE(CONTROL!$C$32, $C$9, 100%, $E$9)</f>
        <v>19.617699999999999</v>
      </c>
      <c r="K622" s="27">
        <f>19.623 * CHOOSE(CONTROL!$C$32, $C$9, 100%, $E$9)</f>
        <v>19.623000000000001</v>
      </c>
      <c r="L622" s="27">
        <f>9.9197 * CHOOSE(CONTROL!$C$32, $C$9, 100%, $E$9)</f>
        <v>9.9197000000000006</v>
      </c>
      <c r="M622" s="27">
        <f>9.925 * CHOOSE(CONTROL!$C$32, $C$9, 100%, $E$9)</f>
        <v>9.9250000000000007</v>
      </c>
      <c r="N622" s="27">
        <f>9.9197 * CHOOSE(CONTROL!$C$32, $C$9, 100%, $E$9)</f>
        <v>9.9197000000000006</v>
      </c>
      <c r="O622" s="27">
        <f>9.925 * CHOOSE(CONTROL!$C$32, $C$9, 100%, $E$9)</f>
        <v>9.9250000000000007</v>
      </c>
    </row>
    <row r="623" spans="1:15" ht="15" x14ac:dyDescent="0.2">
      <c r="A623" s="16">
        <v>59810</v>
      </c>
      <c r="B623" s="26">
        <f>8.9505 * CHOOSE(CONTROL!$C$32, $C$9, 100%, $E$9)</f>
        <v>8.9504999999999999</v>
      </c>
      <c r="C623" s="26">
        <f>8.9505 * CHOOSE(CONTROL!$C$32, $C$9, 100%, $E$9)</f>
        <v>8.9504999999999999</v>
      </c>
      <c r="D623" s="26">
        <f>8.9515 * CHOOSE(CONTROL!$C$32, $C$9, 100%, $E$9)</f>
        <v>8.9514999999999993</v>
      </c>
      <c r="E623" s="27">
        <f>10.0076 * CHOOSE(CONTROL!$C$32, $C$9, 100%, $E$9)</f>
        <v>10.0076</v>
      </c>
      <c r="F623" s="27">
        <f>10.0076 * CHOOSE(CONTROL!$C$32, $C$9, 100%, $E$9)</f>
        <v>10.0076</v>
      </c>
      <c r="G623" s="27">
        <f>10.0112 * CHOOSE(CONTROL!$C$32, $C$9, 100%, $E$9)</f>
        <v>10.011200000000001</v>
      </c>
      <c r="H623" s="27">
        <f>19.6586 * CHOOSE(CONTROL!$C$32, $C$9, 100%, $E$9)</f>
        <v>19.6586</v>
      </c>
      <c r="I623" s="27">
        <f>19.6622 * CHOOSE(CONTROL!$C$32, $C$9, 100%, $E$9)</f>
        <v>19.662199999999999</v>
      </c>
      <c r="J623" s="27">
        <f>19.6586 * CHOOSE(CONTROL!$C$32, $C$9, 100%, $E$9)</f>
        <v>19.6586</v>
      </c>
      <c r="K623" s="27">
        <f>19.6622 * CHOOSE(CONTROL!$C$32, $C$9, 100%, $E$9)</f>
        <v>19.662199999999999</v>
      </c>
      <c r="L623" s="27">
        <f>10.0076 * CHOOSE(CONTROL!$C$32, $C$9, 100%, $E$9)</f>
        <v>10.0076</v>
      </c>
      <c r="M623" s="27">
        <f>10.0112 * CHOOSE(CONTROL!$C$32, $C$9, 100%, $E$9)</f>
        <v>10.011200000000001</v>
      </c>
      <c r="N623" s="27">
        <f>10.0076 * CHOOSE(CONTROL!$C$32, $C$9, 100%, $E$9)</f>
        <v>10.0076</v>
      </c>
      <c r="O623" s="27">
        <f>10.0112 * CHOOSE(CONTROL!$C$32, $C$9, 100%, $E$9)</f>
        <v>10.011200000000001</v>
      </c>
    </row>
    <row r="624" spans="1:15" ht="15" x14ac:dyDescent="0.2">
      <c r="A624" s="16">
        <v>59841</v>
      </c>
      <c r="B624" s="26">
        <f>8.9535 * CHOOSE(CONTROL!$C$32, $C$9, 100%, $E$9)</f>
        <v>8.9535</v>
      </c>
      <c r="C624" s="26">
        <f>8.9535 * CHOOSE(CONTROL!$C$32, $C$9, 100%, $E$9)</f>
        <v>8.9535</v>
      </c>
      <c r="D624" s="26">
        <f>8.9546 * CHOOSE(CONTROL!$C$32, $C$9, 100%, $E$9)</f>
        <v>8.9545999999999992</v>
      </c>
      <c r="E624" s="27">
        <f>10.0603 * CHOOSE(CONTROL!$C$32, $C$9, 100%, $E$9)</f>
        <v>10.0603</v>
      </c>
      <c r="F624" s="27">
        <f>10.0603 * CHOOSE(CONTROL!$C$32, $C$9, 100%, $E$9)</f>
        <v>10.0603</v>
      </c>
      <c r="G624" s="27">
        <f>10.064 * CHOOSE(CONTROL!$C$32, $C$9, 100%, $E$9)</f>
        <v>10.064</v>
      </c>
      <c r="H624" s="27">
        <f>19.6995 * CHOOSE(CONTROL!$C$32, $C$9, 100%, $E$9)</f>
        <v>19.6995</v>
      </c>
      <c r="I624" s="27">
        <f>19.7031 * CHOOSE(CONTROL!$C$32, $C$9, 100%, $E$9)</f>
        <v>19.703099999999999</v>
      </c>
      <c r="J624" s="27">
        <f>19.6995 * CHOOSE(CONTROL!$C$32, $C$9, 100%, $E$9)</f>
        <v>19.6995</v>
      </c>
      <c r="K624" s="27">
        <f>19.7031 * CHOOSE(CONTROL!$C$32, $C$9, 100%, $E$9)</f>
        <v>19.703099999999999</v>
      </c>
      <c r="L624" s="27">
        <f>10.0603 * CHOOSE(CONTROL!$C$32, $C$9, 100%, $E$9)</f>
        <v>10.0603</v>
      </c>
      <c r="M624" s="27">
        <f>10.064 * CHOOSE(CONTROL!$C$32, $C$9, 100%, $E$9)</f>
        <v>10.064</v>
      </c>
      <c r="N624" s="27">
        <f>10.0603 * CHOOSE(CONTROL!$C$32, $C$9, 100%, $E$9)</f>
        <v>10.0603</v>
      </c>
      <c r="O624" s="27">
        <f>10.064 * CHOOSE(CONTROL!$C$32, $C$9, 100%, $E$9)</f>
        <v>10.064</v>
      </c>
    </row>
    <row r="625" spans="1:15" ht="15" x14ac:dyDescent="0.2">
      <c r="A625" s="16">
        <v>59871</v>
      </c>
      <c r="B625" s="26">
        <f>8.9535 * CHOOSE(CONTROL!$C$32, $C$9, 100%, $E$9)</f>
        <v>8.9535</v>
      </c>
      <c r="C625" s="26">
        <f>8.9535 * CHOOSE(CONTROL!$C$32, $C$9, 100%, $E$9)</f>
        <v>8.9535</v>
      </c>
      <c r="D625" s="26">
        <f>8.9546 * CHOOSE(CONTROL!$C$32, $C$9, 100%, $E$9)</f>
        <v>8.9545999999999992</v>
      </c>
      <c r="E625" s="27">
        <f>9.9337 * CHOOSE(CONTROL!$C$32, $C$9, 100%, $E$9)</f>
        <v>9.9337</v>
      </c>
      <c r="F625" s="27">
        <f>9.9337 * CHOOSE(CONTROL!$C$32, $C$9, 100%, $E$9)</f>
        <v>9.9337</v>
      </c>
      <c r="G625" s="27">
        <f>9.9373 * CHOOSE(CONTROL!$C$32, $C$9, 100%, $E$9)</f>
        <v>9.9373000000000005</v>
      </c>
      <c r="H625" s="27">
        <f>19.7406 * CHOOSE(CONTROL!$C$32, $C$9, 100%, $E$9)</f>
        <v>19.740600000000001</v>
      </c>
      <c r="I625" s="27">
        <f>19.7442 * CHOOSE(CONTROL!$C$32, $C$9, 100%, $E$9)</f>
        <v>19.744199999999999</v>
      </c>
      <c r="J625" s="27">
        <f>19.7406 * CHOOSE(CONTROL!$C$32, $C$9, 100%, $E$9)</f>
        <v>19.740600000000001</v>
      </c>
      <c r="K625" s="27">
        <f>19.7442 * CHOOSE(CONTROL!$C$32, $C$9, 100%, $E$9)</f>
        <v>19.744199999999999</v>
      </c>
      <c r="L625" s="27">
        <f>9.9337 * CHOOSE(CONTROL!$C$32, $C$9, 100%, $E$9)</f>
        <v>9.9337</v>
      </c>
      <c r="M625" s="27">
        <f>9.9373 * CHOOSE(CONTROL!$C$32, $C$9, 100%, $E$9)</f>
        <v>9.9373000000000005</v>
      </c>
      <c r="N625" s="27">
        <f>9.9337 * CHOOSE(CONTROL!$C$32, $C$9, 100%, $E$9)</f>
        <v>9.9337</v>
      </c>
      <c r="O625" s="27">
        <f>9.9373 * CHOOSE(CONTROL!$C$32, $C$9, 100%, $E$9)</f>
        <v>9.9373000000000005</v>
      </c>
    </row>
    <row r="626" spans="1:15" ht="15" x14ac:dyDescent="0.2">
      <c r="A626" s="16">
        <v>59902</v>
      </c>
      <c r="B626" s="26">
        <f>9.0069 * CHOOSE(CONTROL!$C$32, $C$9, 100%, $E$9)</f>
        <v>9.0068999999999999</v>
      </c>
      <c r="C626" s="26">
        <f>9.0069 * CHOOSE(CONTROL!$C$32, $C$9, 100%, $E$9)</f>
        <v>9.0068999999999999</v>
      </c>
      <c r="D626" s="26">
        <f>9.008 * CHOOSE(CONTROL!$C$32, $C$9, 100%, $E$9)</f>
        <v>9.0079999999999991</v>
      </c>
      <c r="E626" s="27">
        <f>10.0955 * CHOOSE(CONTROL!$C$32, $C$9, 100%, $E$9)</f>
        <v>10.095499999999999</v>
      </c>
      <c r="F626" s="27">
        <f>10.0955 * CHOOSE(CONTROL!$C$32, $C$9, 100%, $E$9)</f>
        <v>10.095499999999999</v>
      </c>
      <c r="G626" s="27">
        <f>10.0991 * CHOOSE(CONTROL!$C$32, $C$9, 100%, $E$9)</f>
        <v>10.0991</v>
      </c>
      <c r="H626" s="27">
        <f>19.7473 * CHOOSE(CONTROL!$C$32, $C$9, 100%, $E$9)</f>
        <v>19.747299999999999</v>
      </c>
      <c r="I626" s="27">
        <f>19.7509 * CHOOSE(CONTROL!$C$32, $C$9, 100%, $E$9)</f>
        <v>19.750900000000001</v>
      </c>
      <c r="J626" s="27">
        <f>19.7473 * CHOOSE(CONTROL!$C$32, $C$9, 100%, $E$9)</f>
        <v>19.747299999999999</v>
      </c>
      <c r="K626" s="27">
        <f>19.7509 * CHOOSE(CONTROL!$C$32, $C$9, 100%, $E$9)</f>
        <v>19.750900000000001</v>
      </c>
      <c r="L626" s="27">
        <f>10.0955 * CHOOSE(CONTROL!$C$32, $C$9, 100%, $E$9)</f>
        <v>10.095499999999999</v>
      </c>
      <c r="M626" s="27">
        <f>10.0991 * CHOOSE(CONTROL!$C$32, $C$9, 100%, $E$9)</f>
        <v>10.0991</v>
      </c>
      <c r="N626" s="27">
        <f>10.0955 * CHOOSE(CONTROL!$C$32, $C$9, 100%, $E$9)</f>
        <v>10.095499999999999</v>
      </c>
      <c r="O626" s="27">
        <f>10.0991 * CHOOSE(CONTROL!$C$32, $C$9, 100%, $E$9)</f>
        <v>10.0991</v>
      </c>
    </row>
    <row r="627" spans="1:15" ht="15" x14ac:dyDescent="0.2">
      <c r="A627" s="16">
        <v>59933</v>
      </c>
      <c r="B627" s="26">
        <f>9.0039 * CHOOSE(CONTROL!$C$32, $C$9, 100%, $E$9)</f>
        <v>9.0038999999999998</v>
      </c>
      <c r="C627" s="26">
        <f>9.0039 * CHOOSE(CONTROL!$C$32, $C$9, 100%, $E$9)</f>
        <v>9.0038999999999998</v>
      </c>
      <c r="D627" s="26">
        <f>9.005 * CHOOSE(CONTROL!$C$32, $C$9, 100%, $E$9)</f>
        <v>9.0050000000000008</v>
      </c>
      <c r="E627" s="27">
        <f>9.847 * CHOOSE(CONTROL!$C$32, $C$9, 100%, $E$9)</f>
        <v>9.8469999999999995</v>
      </c>
      <c r="F627" s="27">
        <f>9.847 * CHOOSE(CONTROL!$C$32, $C$9, 100%, $E$9)</f>
        <v>9.8469999999999995</v>
      </c>
      <c r="G627" s="27">
        <f>9.8506 * CHOOSE(CONTROL!$C$32, $C$9, 100%, $E$9)</f>
        <v>9.8506</v>
      </c>
      <c r="H627" s="27">
        <f>19.7884 * CHOOSE(CONTROL!$C$32, $C$9, 100%, $E$9)</f>
        <v>19.788399999999999</v>
      </c>
      <c r="I627" s="27">
        <f>19.792 * CHOOSE(CONTROL!$C$32, $C$9, 100%, $E$9)</f>
        <v>19.792000000000002</v>
      </c>
      <c r="J627" s="27">
        <f>19.7884 * CHOOSE(CONTROL!$C$32, $C$9, 100%, $E$9)</f>
        <v>19.788399999999999</v>
      </c>
      <c r="K627" s="27">
        <f>19.792 * CHOOSE(CONTROL!$C$32, $C$9, 100%, $E$9)</f>
        <v>19.792000000000002</v>
      </c>
      <c r="L627" s="27">
        <f>9.847 * CHOOSE(CONTROL!$C$32, $C$9, 100%, $E$9)</f>
        <v>9.8469999999999995</v>
      </c>
      <c r="M627" s="27">
        <f>9.8506 * CHOOSE(CONTROL!$C$32, $C$9, 100%, $E$9)</f>
        <v>9.8506</v>
      </c>
      <c r="N627" s="27">
        <f>9.847 * CHOOSE(CONTROL!$C$32, $C$9, 100%, $E$9)</f>
        <v>9.8469999999999995</v>
      </c>
      <c r="O627" s="27">
        <f>9.8506 * CHOOSE(CONTROL!$C$32, $C$9, 100%, $E$9)</f>
        <v>9.8506</v>
      </c>
    </row>
    <row r="628" spans="1:15" ht="15" x14ac:dyDescent="0.2">
      <c r="A628" s="16">
        <v>59962</v>
      </c>
      <c r="B628" s="26">
        <f>9.0008 * CHOOSE(CONTROL!$C$32, $C$9, 100%, $E$9)</f>
        <v>9.0007999999999999</v>
      </c>
      <c r="C628" s="26">
        <f>9.0008 * CHOOSE(CONTROL!$C$32, $C$9, 100%, $E$9)</f>
        <v>9.0007999999999999</v>
      </c>
      <c r="D628" s="26">
        <f>9.0019 * CHOOSE(CONTROL!$C$32, $C$9, 100%, $E$9)</f>
        <v>9.0018999999999991</v>
      </c>
      <c r="E628" s="27">
        <f>10.0391 * CHOOSE(CONTROL!$C$32, $C$9, 100%, $E$9)</f>
        <v>10.039099999999999</v>
      </c>
      <c r="F628" s="27">
        <f>10.0391 * CHOOSE(CONTROL!$C$32, $C$9, 100%, $E$9)</f>
        <v>10.039099999999999</v>
      </c>
      <c r="G628" s="27">
        <f>10.0427 * CHOOSE(CONTROL!$C$32, $C$9, 100%, $E$9)</f>
        <v>10.0427</v>
      </c>
      <c r="H628" s="27">
        <f>19.8297 * CHOOSE(CONTROL!$C$32, $C$9, 100%, $E$9)</f>
        <v>19.829699999999999</v>
      </c>
      <c r="I628" s="27">
        <f>19.8333 * CHOOSE(CONTROL!$C$32, $C$9, 100%, $E$9)</f>
        <v>19.833300000000001</v>
      </c>
      <c r="J628" s="27">
        <f>19.8297 * CHOOSE(CONTROL!$C$32, $C$9, 100%, $E$9)</f>
        <v>19.829699999999999</v>
      </c>
      <c r="K628" s="27">
        <f>19.8333 * CHOOSE(CONTROL!$C$32, $C$9, 100%, $E$9)</f>
        <v>19.833300000000001</v>
      </c>
      <c r="L628" s="27">
        <f>10.0391 * CHOOSE(CONTROL!$C$32, $C$9, 100%, $E$9)</f>
        <v>10.039099999999999</v>
      </c>
      <c r="M628" s="27">
        <f>10.0427 * CHOOSE(CONTROL!$C$32, $C$9, 100%, $E$9)</f>
        <v>10.0427</v>
      </c>
      <c r="N628" s="27">
        <f>10.0391 * CHOOSE(CONTROL!$C$32, $C$9, 100%, $E$9)</f>
        <v>10.039099999999999</v>
      </c>
      <c r="O628" s="27">
        <f>10.0427 * CHOOSE(CONTROL!$C$32, $C$9, 100%, $E$9)</f>
        <v>10.0427</v>
      </c>
    </row>
    <row r="629" spans="1:15" ht="15" x14ac:dyDescent="0.2">
      <c r="A629" s="16">
        <v>59993</v>
      </c>
      <c r="B629" s="26">
        <f>9.0033 * CHOOSE(CONTROL!$C$32, $C$9, 100%, $E$9)</f>
        <v>9.0032999999999994</v>
      </c>
      <c r="C629" s="26">
        <f>9.0033 * CHOOSE(CONTROL!$C$32, $C$9, 100%, $E$9)</f>
        <v>9.0032999999999994</v>
      </c>
      <c r="D629" s="26">
        <f>9.0044 * CHOOSE(CONTROL!$C$32, $C$9, 100%, $E$9)</f>
        <v>9.0044000000000004</v>
      </c>
      <c r="E629" s="27">
        <f>10.2435 * CHOOSE(CONTROL!$C$32, $C$9, 100%, $E$9)</f>
        <v>10.243499999999999</v>
      </c>
      <c r="F629" s="27">
        <f>10.2435 * CHOOSE(CONTROL!$C$32, $C$9, 100%, $E$9)</f>
        <v>10.243499999999999</v>
      </c>
      <c r="G629" s="27">
        <f>10.2471 * CHOOSE(CONTROL!$C$32, $C$9, 100%, $E$9)</f>
        <v>10.2471</v>
      </c>
      <c r="H629" s="27">
        <f>19.871 * CHOOSE(CONTROL!$C$32, $C$9, 100%, $E$9)</f>
        <v>19.870999999999999</v>
      </c>
      <c r="I629" s="27">
        <f>19.8746 * CHOOSE(CONTROL!$C$32, $C$9, 100%, $E$9)</f>
        <v>19.874600000000001</v>
      </c>
      <c r="J629" s="27">
        <f>19.871 * CHOOSE(CONTROL!$C$32, $C$9, 100%, $E$9)</f>
        <v>19.870999999999999</v>
      </c>
      <c r="K629" s="27">
        <f>19.8746 * CHOOSE(CONTROL!$C$32, $C$9, 100%, $E$9)</f>
        <v>19.874600000000001</v>
      </c>
      <c r="L629" s="27">
        <f>10.2435 * CHOOSE(CONTROL!$C$32, $C$9, 100%, $E$9)</f>
        <v>10.243499999999999</v>
      </c>
      <c r="M629" s="27">
        <f>10.2471 * CHOOSE(CONTROL!$C$32, $C$9, 100%, $E$9)</f>
        <v>10.2471</v>
      </c>
      <c r="N629" s="27">
        <f>10.2435 * CHOOSE(CONTROL!$C$32, $C$9, 100%, $E$9)</f>
        <v>10.243499999999999</v>
      </c>
      <c r="O629" s="27">
        <f>10.2471 * CHOOSE(CONTROL!$C$32, $C$9, 100%, $E$9)</f>
        <v>10.2471</v>
      </c>
    </row>
    <row r="630" spans="1:15" ht="15" x14ac:dyDescent="0.2">
      <c r="A630" s="16">
        <v>60023</v>
      </c>
      <c r="B630" s="26">
        <f>9.0033 * CHOOSE(CONTROL!$C$32, $C$9, 100%, $E$9)</f>
        <v>9.0032999999999994</v>
      </c>
      <c r="C630" s="26">
        <f>9.0033 * CHOOSE(CONTROL!$C$32, $C$9, 100%, $E$9)</f>
        <v>9.0032999999999994</v>
      </c>
      <c r="D630" s="26">
        <f>9.0049 * CHOOSE(CONTROL!$C$32, $C$9, 100%, $E$9)</f>
        <v>9.0048999999999992</v>
      </c>
      <c r="E630" s="27">
        <f>10.3217 * CHOOSE(CONTROL!$C$32, $C$9, 100%, $E$9)</f>
        <v>10.3217</v>
      </c>
      <c r="F630" s="27">
        <f>10.3217 * CHOOSE(CONTROL!$C$32, $C$9, 100%, $E$9)</f>
        <v>10.3217</v>
      </c>
      <c r="G630" s="27">
        <f>10.327 * CHOOSE(CONTROL!$C$32, $C$9, 100%, $E$9)</f>
        <v>10.327</v>
      </c>
      <c r="H630" s="27">
        <f>19.9124 * CHOOSE(CONTROL!$C$32, $C$9, 100%, $E$9)</f>
        <v>19.912400000000002</v>
      </c>
      <c r="I630" s="27">
        <f>19.9177 * CHOOSE(CONTROL!$C$32, $C$9, 100%, $E$9)</f>
        <v>19.9177</v>
      </c>
      <c r="J630" s="27">
        <f>19.9124 * CHOOSE(CONTROL!$C$32, $C$9, 100%, $E$9)</f>
        <v>19.912400000000002</v>
      </c>
      <c r="K630" s="27">
        <f>19.9177 * CHOOSE(CONTROL!$C$32, $C$9, 100%, $E$9)</f>
        <v>19.9177</v>
      </c>
      <c r="L630" s="27">
        <f>10.3217 * CHOOSE(CONTROL!$C$32, $C$9, 100%, $E$9)</f>
        <v>10.3217</v>
      </c>
      <c r="M630" s="27">
        <f>10.327 * CHOOSE(CONTROL!$C$32, $C$9, 100%, $E$9)</f>
        <v>10.327</v>
      </c>
      <c r="N630" s="27">
        <f>10.3217 * CHOOSE(CONTROL!$C$32, $C$9, 100%, $E$9)</f>
        <v>10.3217</v>
      </c>
      <c r="O630" s="27">
        <f>10.327 * CHOOSE(CONTROL!$C$32, $C$9, 100%, $E$9)</f>
        <v>10.327</v>
      </c>
    </row>
    <row r="631" spans="1:15" ht="15" x14ac:dyDescent="0.2">
      <c r="A631" s="16">
        <v>60054</v>
      </c>
      <c r="B631" s="26">
        <f>9.0094 * CHOOSE(CONTROL!$C$32, $C$9, 100%, $E$9)</f>
        <v>9.0093999999999994</v>
      </c>
      <c r="C631" s="26">
        <f>9.0094 * CHOOSE(CONTROL!$C$32, $C$9, 100%, $E$9)</f>
        <v>9.0093999999999994</v>
      </c>
      <c r="D631" s="26">
        <f>9.011 * CHOOSE(CONTROL!$C$32, $C$9, 100%, $E$9)</f>
        <v>9.0109999999999992</v>
      </c>
      <c r="E631" s="27">
        <f>10.2477 * CHOOSE(CONTROL!$C$32, $C$9, 100%, $E$9)</f>
        <v>10.2477</v>
      </c>
      <c r="F631" s="27">
        <f>10.2477 * CHOOSE(CONTROL!$C$32, $C$9, 100%, $E$9)</f>
        <v>10.2477</v>
      </c>
      <c r="G631" s="27">
        <f>10.253 * CHOOSE(CONTROL!$C$32, $C$9, 100%, $E$9)</f>
        <v>10.253</v>
      </c>
      <c r="H631" s="27">
        <f>19.9539 * CHOOSE(CONTROL!$C$32, $C$9, 100%, $E$9)</f>
        <v>19.953900000000001</v>
      </c>
      <c r="I631" s="27">
        <f>19.9591 * CHOOSE(CONTROL!$C$32, $C$9, 100%, $E$9)</f>
        <v>19.959099999999999</v>
      </c>
      <c r="J631" s="27">
        <f>19.9539 * CHOOSE(CONTROL!$C$32, $C$9, 100%, $E$9)</f>
        <v>19.953900000000001</v>
      </c>
      <c r="K631" s="27">
        <f>19.9591 * CHOOSE(CONTROL!$C$32, $C$9, 100%, $E$9)</f>
        <v>19.959099999999999</v>
      </c>
      <c r="L631" s="27">
        <f>10.2477 * CHOOSE(CONTROL!$C$32, $C$9, 100%, $E$9)</f>
        <v>10.2477</v>
      </c>
      <c r="M631" s="27">
        <f>10.253 * CHOOSE(CONTROL!$C$32, $C$9, 100%, $E$9)</f>
        <v>10.253</v>
      </c>
      <c r="N631" s="27">
        <f>10.2477 * CHOOSE(CONTROL!$C$32, $C$9, 100%, $E$9)</f>
        <v>10.2477</v>
      </c>
      <c r="O631" s="27">
        <f>10.253 * CHOOSE(CONTROL!$C$32, $C$9, 100%, $E$9)</f>
        <v>10.253</v>
      </c>
    </row>
    <row r="632" spans="1:15" ht="15" x14ac:dyDescent="0.2">
      <c r="A632" s="16">
        <v>60084</v>
      </c>
      <c r="B632" s="26">
        <f>9.1229 * CHOOSE(CONTROL!$C$32, $C$9, 100%, $E$9)</f>
        <v>9.1228999999999996</v>
      </c>
      <c r="C632" s="26">
        <f>9.1229 * CHOOSE(CONTROL!$C$32, $C$9, 100%, $E$9)</f>
        <v>9.1228999999999996</v>
      </c>
      <c r="D632" s="26">
        <f>9.1245 * CHOOSE(CONTROL!$C$32, $C$9, 100%, $E$9)</f>
        <v>9.1244999999999994</v>
      </c>
      <c r="E632" s="27">
        <f>10.3906 * CHOOSE(CONTROL!$C$32, $C$9, 100%, $E$9)</f>
        <v>10.390599999999999</v>
      </c>
      <c r="F632" s="27">
        <f>10.3906 * CHOOSE(CONTROL!$C$32, $C$9, 100%, $E$9)</f>
        <v>10.390599999999999</v>
      </c>
      <c r="G632" s="27">
        <f>10.3959 * CHOOSE(CONTROL!$C$32, $C$9, 100%, $E$9)</f>
        <v>10.395899999999999</v>
      </c>
      <c r="H632" s="27">
        <f>19.9954 * CHOOSE(CONTROL!$C$32, $C$9, 100%, $E$9)</f>
        <v>19.9954</v>
      </c>
      <c r="I632" s="27">
        <f>20.0007 * CHOOSE(CONTROL!$C$32, $C$9, 100%, $E$9)</f>
        <v>20.000699999999998</v>
      </c>
      <c r="J632" s="27">
        <f>19.9954 * CHOOSE(CONTROL!$C$32, $C$9, 100%, $E$9)</f>
        <v>19.9954</v>
      </c>
      <c r="K632" s="27">
        <f>20.0007 * CHOOSE(CONTROL!$C$32, $C$9, 100%, $E$9)</f>
        <v>20.000699999999998</v>
      </c>
      <c r="L632" s="27">
        <f>10.3906 * CHOOSE(CONTROL!$C$32, $C$9, 100%, $E$9)</f>
        <v>10.390599999999999</v>
      </c>
      <c r="M632" s="27">
        <f>10.3959 * CHOOSE(CONTROL!$C$32, $C$9, 100%, $E$9)</f>
        <v>10.395899999999999</v>
      </c>
      <c r="N632" s="27">
        <f>10.3906 * CHOOSE(CONTROL!$C$32, $C$9, 100%, $E$9)</f>
        <v>10.390599999999999</v>
      </c>
      <c r="O632" s="27">
        <f>10.3959 * CHOOSE(CONTROL!$C$32, $C$9, 100%, $E$9)</f>
        <v>10.395899999999999</v>
      </c>
    </row>
    <row r="633" spans="1:15" ht="15" x14ac:dyDescent="0.2">
      <c r="A633" s="16">
        <v>60115</v>
      </c>
      <c r="B633" s="26">
        <f>9.1296 * CHOOSE(CONTROL!$C$32, $C$9, 100%, $E$9)</f>
        <v>9.1295999999999999</v>
      </c>
      <c r="C633" s="26">
        <f>9.1296 * CHOOSE(CONTROL!$C$32, $C$9, 100%, $E$9)</f>
        <v>9.1295999999999999</v>
      </c>
      <c r="D633" s="26">
        <f>9.1312 * CHOOSE(CONTROL!$C$32, $C$9, 100%, $E$9)</f>
        <v>9.1311999999999998</v>
      </c>
      <c r="E633" s="27">
        <f>10.1606 * CHOOSE(CONTROL!$C$32, $C$9, 100%, $E$9)</f>
        <v>10.160600000000001</v>
      </c>
      <c r="F633" s="27">
        <f>10.1606 * CHOOSE(CONTROL!$C$32, $C$9, 100%, $E$9)</f>
        <v>10.160600000000001</v>
      </c>
      <c r="G633" s="27">
        <f>10.1659 * CHOOSE(CONTROL!$C$32, $C$9, 100%, $E$9)</f>
        <v>10.165900000000001</v>
      </c>
      <c r="H633" s="27">
        <f>20.0371 * CHOOSE(CONTROL!$C$32, $C$9, 100%, $E$9)</f>
        <v>20.037099999999999</v>
      </c>
      <c r="I633" s="27">
        <f>20.0424 * CHOOSE(CONTROL!$C$32, $C$9, 100%, $E$9)</f>
        <v>20.042400000000001</v>
      </c>
      <c r="J633" s="27">
        <f>20.0371 * CHOOSE(CONTROL!$C$32, $C$9, 100%, $E$9)</f>
        <v>20.037099999999999</v>
      </c>
      <c r="K633" s="27">
        <f>20.0424 * CHOOSE(CONTROL!$C$32, $C$9, 100%, $E$9)</f>
        <v>20.042400000000001</v>
      </c>
      <c r="L633" s="27">
        <f>10.1606 * CHOOSE(CONTROL!$C$32, $C$9, 100%, $E$9)</f>
        <v>10.160600000000001</v>
      </c>
      <c r="M633" s="27">
        <f>10.1659 * CHOOSE(CONTROL!$C$32, $C$9, 100%, $E$9)</f>
        <v>10.165900000000001</v>
      </c>
      <c r="N633" s="27">
        <f>10.1606 * CHOOSE(CONTROL!$C$32, $C$9, 100%, $E$9)</f>
        <v>10.160600000000001</v>
      </c>
      <c r="O633" s="27">
        <f>10.1659 * CHOOSE(CONTROL!$C$32, $C$9, 100%, $E$9)</f>
        <v>10.165900000000001</v>
      </c>
    </row>
    <row r="634" spans="1:15" ht="15" x14ac:dyDescent="0.2">
      <c r="A634" s="16">
        <v>60146</v>
      </c>
      <c r="B634" s="26">
        <f>9.1266 * CHOOSE(CONTROL!$C$32, $C$9, 100%, $E$9)</f>
        <v>9.1265999999999998</v>
      </c>
      <c r="C634" s="26">
        <f>9.1266 * CHOOSE(CONTROL!$C$32, $C$9, 100%, $E$9)</f>
        <v>9.1265999999999998</v>
      </c>
      <c r="D634" s="26">
        <f>9.1282 * CHOOSE(CONTROL!$C$32, $C$9, 100%, $E$9)</f>
        <v>9.1281999999999996</v>
      </c>
      <c r="E634" s="27">
        <f>10.1324 * CHOOSE(CONTROL!$C$32, $C$9, 100%, $E$9)</f>
        <v>10.132400000000001</v>
      </c>
      <c r="F634" s="27">
        <f>10.1324 * CHOOSE(CONTROL!$C$32, $C$9, 100%, $E$9)</f>
        <v>10.132400000000001</v>
      </c>
      <c r="G634" s="27">
        <f>10.1377 * CHOOSE(CONTROL!$C$32, $C$9, 100%, $E$9)</f>
        <v>10.137700000000001</v>
      </c>
      <c r="H634" s="27">
        <f>20.0788 * CHOOSE(CONTROL!$C$32, $C$9, 100%, $E$9)</f>
        <v>20.078800000000001</v>
      </c>
      <c r="I634" s="27">
        <f>20.0841 * CHOOSE(CONTROL!$C$32, $C$9, 100%, $E$9)</f>
        <v>20.084099999999999</v>
      </c>
      <c r="J634" s="27">
        <f>20.0788 * CHOOSE(CONTROL!$C$32, $C$9, 100%, $E$9)</f>
        <v>20.078800000000001</v>
      </c>
      <c r="K634" s="27">
        <f>20.0841 * CHOOSE(CONTROL!$C$32, $C$9, 100%, $E$9)</f>
        <v>20.084099999999999</v>
      </c>
      <c r="L634" s="27">
        <f>10.1324 * CHOOSE(CONTROL!$C$32, $C$9, 100%, $E$9)</f>
        <v>10.132400000000001</v>
      </c>
      <c r="M634" s="27">
        <f>10.1377 * CHOOSE(CONTROL!$C$32, $C$9, 100%, $E$9)</f>
        <v>10.137700000000001</v>
      </c>
      <c r="N634" s="27">
        <f>10.1324 * CHOOSE(CONTROL!$C$32, $C$9, 100%, $E$9)</f>
        <v>10.132400000000001</v>
      </c>
      <c r="O634" s="27">
        <f>10.1377 * CHOOSE(CONTROL!$C$32, $C$9, 100%, $E$9)</f>
        <v>10.137700000000001</v>
      </c>
    </row>
    <row r="635" spans="1:15" ht="15" x14ac:dyDescent="0.2">
      <c r="A635" s="16">
        <v>60176</v>
      </c>
      <c r="B635" s="26">
        <f>9.1408 * CHOOSE(CONTROL!$C$32, $C$9, 100%, $E$9)</f>
        <v>9.1408000000000005</v>
      </c>
      <c r="C635" s="26">
        <f>9.1408 * CHOOSE(CONTROL!$C$32, $C$9, 100%, $E$9)</f>
        <v>9.1408000000000005</v>
      </c>
      <c r="D635" s="26">
        <f>9.1418 * CHOOSE(CONTROL!$C$32, $C$9, 100%, $E$9)</f>
        <v>9.1417999999999999</v>
      </c>
      <c r="E635" s="27">
        <f>10.2233 * CHOOSE(CONTROL!$C$32, $C$9, 100%, $E$9)</f>
        <v>10.2233</v>
      </c>
      <c r="F635" s="27">
        <f>10.2233 * CHOOSE(CONTROL!$C$32, $C$9, 100%, $E$9)</f>
        <v>10.2233</v>
      </c>
      <c r="G635" s="27">
        <f>10.2269 * CHOOSE(CONTROL!$C$32, $C$9, 100%, $E$9)</f>
        <v>10.226900000000001</v>
      </c>
      <c r="H635" s="27">
        <f>20.1207 * CHOOSE(CONTROL!$C$32, $C$9, 100%, $E$9)</f>
        <v>20.120699999999999</v>
      </c>
      <c r="I635" s="27">
        <f>20.1243 * CHOOSE(CONTROL!$C$32, $C$9, 100%, $E$9)</f>
        <v>20.124300000000002</v>
      </c>
      <c r="J635" s="27">
        <f>20.1207 * CHOOSE(CONTROL!$C$32, $C$9, 100%, $E$9)</f>
        <v>20.120699999999999</v>
      </c>
      <c r="K635" s="27">
        <f>20.1243 * CHOOSE(CONTROL!$C$32, $C$9, 100%, $E$9)</f>
        <v>20.124300000000002</v>
      </c>
      <c r="L635" s="27">
        <f>10.2233 * CHOOSE(CONTROL!$C$32, $C$9, 100%, $E$9)</f>
        <v>10.2233</v>
      </c>
      <c r="M635" s="27">
        <f>10.2269 * CHOOSE(CONTROL!$C$32, $C$9, 100%, $E$9)</f>
        <v>10.226900000000001</v>
      </c>
      <c r="N635" s="27">
        <f>10.2233 * CHOOSE(CONTROL!$C$32, $C$9, 100%, $E$9)</f>
        <v>10.2233</v>
      </c>
      <c r="O635" s="27">
        <f>10.2269 * CHOOSE(CONTROL!$C$32, $C$9, 100%, $E$9)</f>
        <v>10.226900000000001</v>
      </c>
    </row>
    <row r="636" spans="1:15" ht="15" x14ac:dyDescent="0.2">
      <c r="A636" s="16">
        <v>60207</v>
      </c>
      <c r="B636" s="26">
        <f>9.1438 * CHOOSE(CONTROL!$C$32, $C$9, 100%, $E$9)</f>
        <v>9.1438000000000006</v>
      </c>
      <c r="C636" s="26">
        <f>9.1438 * CHOOSE(CONTROL!$C$32, $C$9, 100%, $E$9)</f>
        <v>9.1438000000000006</v>
      </c>
      <c r="D636" s="26">
        <f>9.1449 * CHOOSE(CONTROL!$C$32, $C$9, 100%, $E$9)</f>
        <v>9.1448999999999998</v>
      </c>
      <c r="E636" s="27">
        <f>10.2775 * CHOOSE(CONTROL!$C$32, $C$9, 100%, $E$9)</f>
        <v>10.2775</v>
      </c>
      <c r="F636" s="27">
        <f>10.2775 * CHOOSE(CONTROL!$C$32, $C$9, 100%, $E$9)</f>
        <v>10.2775</v>
      </c>
      <c r="G636" s="27">
        <f>10.2811 * CHOOSE(CONTROL!$C$32, $C$9, 100%, $E$9)</f>
        <v>10.2811</v>
      </c>
      <c r="H636" s="27">
        <f>20.1626 * CHOOSE(CONTROL!$C$32, $C$9, 100%, $E$9)</f>
        <v>20.162600000000001</v>
      </c>
      <c r="I636" s="27">
        <f>20.1662 * CHOOSE(CONTROL!$C$32, $C$9, 100%, $E$9)</f>
        <v>20.1662</v>
      </c>
      <c r="J636" s="27">
        <f>20.1626 * CHOOSE(CONTROL!$C$32, $C$9, 100%, $E$9)</f>
        <v>20.162600000000001</v>
      </c>
      <c r="K636" s="27">
        <f>20.1662 * CHOOSE(CONTROL!$C$32, $C$9, 100%, $E$9)</f>
        <v>20.1662</v>
      </c>
      <c r="L636" s="27">
        <f>10.2775 * CHOOSE(CONTROL!$C$32, $C$9, 100%, $E$9)</f>
        <v>10.2775</v>
      </c>
      <c r="M636" s="27">
        <f>10.2811 * CHOOSE(CONTROL!$C$32, $C$9, 100%, $E$9)</f>
        <v>10.2811</v>
      </c>
      <c r="N636" s="27">
        <f>10.2775 * CHOOSE(CONTROL!$C$32, $C$9, 100%, $E$9)</f>
        <v>10.2775</v>
      </c>
      <c r="O636" s="27">
        <f>10.2811 * CHOOSE(CONTROL!$C$32, $C$9, 100%, $E$9)</f>
        <v>10.2811</v>
      </c>
    </row>
    <row r="637" spans="1:15" ht="15" x14ac:dyDescent="0.2">
      <c r="A637" s="16">
        <v>60237</v>
      </c>
      <c r="B637" s="26">
        <f>9.1438 * CHOOSE(CONTROL!$C$32, $C$9, 100%, $E$9)</f>
        <v>9.1438000000000006</v>
      </c>
      <c r="C637" s="26">
        <f>9.1438 * CHOOSE(CONTROL!$C$32, $C$9, 100%, $E$9)</f>
        <v>9.1438000000000006</v>
      </c>
      <c r="D637" s="26">
        <f>9.1449 * CHOOSE(CONTROL!$C$32, $C$9, 100%, $E$9)</f>
        <v>9.1448999999999998</v>
      </c>
      <c r="E637" s="27">
        <f>10.1471 * CHOOSE(CONTROL!$C$32, $C$9, 100%, $E$9)</f>
        <v>10.1471</v>
      </c>
      <c r="F637" s="27">
        <f>10.1471 * CHOOSE(CONTROL!$C$32, $C$9, 100%, $E$9)</f>
        <v>10.1471</v>
      </c>
      <c r="G637" s="27">
        <f>10.1508 * CHOOSE(CONTROL!$C$32, $C$9, 100%, $E$9)</f>
        <v>10.1508</v>
      </c>
      <c r="H637" s="27">
        <f>20.2046 * CHOOSE(CONTROL!$C$32, $C$9, 100%, $E$9)</f>
        <v>20.204599999999999</v>
      </c>
      <c r="I637" s="27">
        <f>20.2082 * CHOOSE(CONTROL!$C$32, $C$9, 100%, $E$9)</f>
        <v>20.208200000000001</v>
      </c>
      <c r="J637" s="27">
        <f>20.2046 * CHOOSE(CONTROL!$C$32, $C$9, 100%, $E$9)</f>
        <v>20.204599999999999</v>
      </c>
      <c r="K637" s="27">
        <f>20.2082 * CHOOSE(CONTROL!$C$32, $C$9, 100%, $E$9)</f>
        <v>20.208200000000001</v>
      </c>
      <c r="L637" s="27">
        <f>10.1471 * CHOOSE(CONTROL!$C$32, $C$9, 100%, $E$9)</f>
        <v>10.1471</v>
      </c>
      <c r="M637" s="27">
        <f>10.1508 * CHOOSE(CONTROL!$C$32, $C$9, 100%, $E$9)</f>
        <v>10.1508</v>
      </c>
      <c r="N637" s="27">
        <f>10.1471 * CHOOSE(CONTROL!$C$32, $C$9, 100%, $E$9)</f>
        <v>10.1471</v>
      </c>
      <c r="O637" s="27">
        <f>10.1508 * CHOOSE(CONTROL!$C$32, $C$9, 100%, $E$9)</f>
        <v>10.1508</v>
      </c>
    </row>
    <row r="638" spans="1:15" ht="15" x14ac:dyDescent="0.2">
      <c r="A638" s="16">
        <v>60268</v>
      </c>
      <c r="B638" s="26">
        <f>9.1943 * CHOOSE(CONTROL!$C$32, $C$9, 100%, $E$9)</f>
        <v>9.1943000000000001</v>
      </c>
      <c r="C638" s="26">
        <f>9.1943 * CHOOSE(CONTROL!$C$32, $C$9, 100%, $E$9)</f>
        <v>9.1943000000000001</v>
      </c>
      <c r="D638" s="26">
        <f>9.1954 * CHOOSE(CONTROL!$C$32, $C$9, 100%, $E$9)</f>
        <v>9.1953999999999994</v>
      </c>
      <c r="E638" s="27">
        <f>10.308 * CHOOSE(CONTROL!$C$32, $C$9, 100%, $E$9)</f>
        <v>10.308</v>
      </c>
      <c r="F638" s="27">
        <f>10.308 * CHOOSE(CONTROL!$C$32, $C$9, 100%, $E$9)</f>
        <v>10.308</v>
      </c>
      <c r="G638" s="27">
        <f>10.3116 * CHOOSE(CONTROL!$C$32, $C$9, 100%, $E$9)</f>
        <v>10.3116</v>
      </c>
      <c r="H638" s="27">
        <f>20.2008 * CHOOSE(CONTROL!$C$32, $C$9, 100%, $E$9)</f>
        <v>20.200800000000001</v>
      </c>
      <c r="I638" s="27">
        <f>20.2044 * CHOOSE(CONTROL!$C$32, $C$9, 100%, $E$9)</f>
        <v>20.2044</v>
      </c>
      <c r="J638" s="27">
        <f>20.2008 * CHOOSE(CONTROL!$C$32, $C$9, 100%, $E$9)</f>
        <v>20.200800000000001</v>
      </c>
      <c r="K638" s="27">
        <f>20.2044 * CHOOSE(CONTROL!$C$32, $C$9, 100%, $E$9)</f>
        <v>20.2044</v>
      </c>
      <c r="L638" s="27">
        <f>10.308 * CHOOSE(CONTROL!$C$32, $C$9, 100%, $E$9)</f>
        <v>10.308</v>
      </c>
      <c r="M638" s="27">
        <f>10.3116 * CHOOSE(CONTROL!$C$32, $C$9, 100%, $E$9)</f>
        <v>10.3116</v>
      </c>
      <c r="N638" s="27">
        <f>10.308 * CHOOSE(CONTROL!$C$32, $C$9, 100%, $E$9)</f>
        <v>10.308</v>
      </c>
      <c r="O638" s="27">
        <f>10.3116 * CHOOSE(CONTROL!$C$32, $C$9, 100%, $E$9)</f>
        <v>10.3116</v>
      </c>
    </row>
    <row r="639" spans="1:15" ht="15" x14ac:dyDescent="0.2">
      <c r="A639" s="16">
        <v>60299</v>
      </c>
      <c r="B639" s="26">
        <f>9.1912 * CHOOSE(CONTROL!$C$32, $C$9, 100%, $E$9)</f>
        <v>9.1912000000000003</v>
      </c>
      <c r="C639" s="26">
        <f>9.1912 * CHOOSE(CONTROL!$C$32, $C$9, 100%, $E$9)</f>
        <v>9.1912000000000003</v>
      </c>
      <c r="D639" s="26">
        <f>9.1923 * CHOOSE(CONTROL!$C$32, $C$9, 100%, $E$9)</f>
        <v>9.1922999999999995</v>
      </c>
      <c r="E639" s="27">
        <f>10.0524 * CHOOSE(CONTROL!$C$32, $C$9, 100%, $E$9)</f>
        <v>10.0524</v>
      </c>
      <c r="F639" s="27">
        <f>10.0524 * CHOOSE(CONTROL!$C$32, $C$9, 100%, $E$9)</f>
        <v>10.0524</v>
      </c>
      <c r="G639" s="27">
        <f>10.056 * CHOOSE(CONTROL!$C$32, $C$9, 100%, $E$9)</f>
        <v>10.055999999999999</v>
      </c>
      <c r="H639" s="27">
        <f>20.2429 * CHOOSE(CONTROL!$C$32, $C$9, 100%, $E$9)</f>
        <v>20.242899999999999</v>
      </c>
      <c r="I639" s="27">
        <f>20.2465 * CHOOSE(CONTROL!$C$32, $C$9, 100%, $E$9)</f>
        <v>20.246500000000001</v>
      </c>
      <c r="J639" s="27">
        <f>20.2429 * CHOOSE(CONTROL!$C$32, $C$9, 100%, $E$9)</f>
        <v>20.242899999999999</v>
      </c>
      <c r="K639" s="27">
        <f>20.2465 * CHOOSE(CONTROL!$C$32, $C$9, 100%, $E$9)</f>
        <v>20.246500000000001</v>
      </c>
      <c r="L639" s="27">
        <f>10.0524 * CHOOSE(CONTROL!$C$32, $C$9, 100%, $E$9)</f>
        <v>10.0524</v>
      </c>
      <c r="M639" s="27">
        <f>10.056 * CHOOSE(CONTROL!$C$32, $C$9, 100%, $E$9)</f>
        <v>10.055999999999999</v>
      </c>
      <c r="N639" s="27">
        <f>10.0524 * CHOOSE(CONTROL!$C$32, $C$9, 100%, $E$9)</f>
        <v>10.0524</v>
      </c>
      <c r="O639" s="27">
        <f>10.056 * CHOOSE(CONTROL!$C$32, $C$9, 100%, $E$9)</f>
        <v>10.055999999999999</v>
      </c>
    </row>
    <row r="640" spans="1:15" ht="15" x14ac:dyDescent="0.2">
      <c r="A640" s="16">
        <v>60327</v>
      </c>
      <c r="B640" s="26">
        <f>9.1882 * CHOOSE(CONTROL!$C$32, $C$9, 100%, $E$9)</f>
        <v>9.1882000000000001</v>
      </c>
      <c r="C640" s="26">
        <f>9.1882 * CHOOSE(CONTROL!$C$32, $C$9, 100%, $E$9)</f>
        <v>9.1882000000000001</v>
      </c>
      <c r="D640" s="26">
        <f>9.1893 * CHOOSE(CONTROL!$C$32, $C$9, 100%, $E$9)</f>
        <v>9.1892999999999994</v>
      </c>
      <c r="E640" s="27">
        <f>10.2501 * CHOOSE(CONTROL!$C$32, $C$9, 100%, $E$9)</f>
        <v>10.2501</v>
      </c>
      <c r="F640" s="27">
        <f>10.2501 * CHOOSE(CONTROL!$C$32, $C$9, 100%, $E$9)</f>
        <v>10.2501</v>
      </c>
      <c r="G640" s="27">
        <f>10.2537 * CHOOSE(CONTROL!$C$32, $C$9, 100%, $E$9)</f>
        <v>10.2537</v>
      </c>
      <c r="H640" s="27">
        <f>20.2851 * CHOOSE(CONTROL!$C$32, $C$9, 100%, $E$9)</f>
        <v>20.2851</v>
      </c>
      <c r="I640" s="27">
        <f>20.2887 * CHOOSE(CONTROL!$C$32, $C$9, 100%, $E$9)</f>
        <v>20.288699999999999</v>
      </c>
      <c r="J640" s="27">
        <f>20.2851 * CHOOSE(CONTROL!$C$32, $C$9, 100%, $E$9)</f>
        <v>20.2851</v>
      </c>
      <c r="K640" s="27">
        <f>20.2887 * CHOOSE(CONTROL!$C$32, $C$9, 100%, $E$9)</f>
        <v>20.288699999999999</v>
      </c>
      <c r="L640" s="27">
        <f>10.2501 * CHOOSE(CONTROL!$C$32, $C$9, 100%, $E$9)</f>
        <v>10.2501</v>
      </c>
      <c r="M640" s="27">
        <f>10.2537 * CHOOSE(CONTROL!$C$32, $C$9, 100%, $E$9)</f>
        <v>10.2537</v>
      </c>
      <c r="N640" s="27">
        <f>10.2501 * CHOOSE(CONTROL!$C$32, $C$9, 100%, $E$9)</f>
        <v>10.2501</v>
      </c>
      <c r="O640" s="27">
        <f>10.2537 * CHOOSE(CONTROL!$C$32, $C$9, 100%, $E$9)</f>
        <v>10.2537</v>
      </c>
    </row>
    <row r="641" spans="1:15" ht="15" x14ac:dyDescent="0.2">
      <c r="A641" s="16">
        <v>60358</v>
      </c>
      <c r="B641" s="26">
        <f>9.1909 * CHOOSE(CONTROL!$C$32, $C$9, 100%, $E$9)</f>
        <v>9.1908999999999992</v>
      </c>
      <c r="C641" s="26">
        <f>9.1909 * CHOOSE(CONTROL!$C$32, $C$9, 100%, $E$9)</f>
        <v>9.1908999999999992</v>
      </c>
      <c r="D641" s="26">
        <f>9.192 * CHOOSE(CONTROL!$C$32, $C$9, 100%, $E$9)</f>
        <v>9.1920000000000002</v>
      </c>
      <c r="E641" s="27">
        <f>10.4605 * CHOOSE(CONTROL!$C$32, $C$9, 100%, $E$9)</f>
        <v>10.4605</v>
      </c>
      <c r="F641" s="27">
        <f>10.4605 * CHOOSE(CONTROL!$C$32, $C$9, 100%, $E$9)</f>
        <v>10.4605</v>
      </c>
      <c r="G641" s="27">
        <f>10.4641 * CHOOSE(CONTROL!$C$32, $C$9, 100%, $E$9)</f>
        <v>10.4641</v>
      </c>
      <c r="H641" s="27">
        <f>20.3273 * CHOOSE(CONTROL!$C$32, $C$9, 100%, $E$9)</f>
        <v>20.327300000000001</v>
      </c>
      <c r="I641" s="27">
        <f>20.3309 * CHOOSE(CONTROL!$C$32, $C$9, 100%, $E$9)</f>
        <v>20.3309</v>
      </c>
      <c r="J641" s="27">
        <f>20.3273 * CHOOSE(CONTROL!$C$32, $C$9, 100%, $E$9)</f>
        <v>20.327300000000001</v>
      </c>
      <c r="K641" s="27">
        <f>20.3309 * CHOOSE(CONTROL!$C$32, $C$9, 100%, $E$9)</f>
        <v>20.3309</v>
      </c>
      <c r="L641" s="27">
        <f>10.4605 * CHOOSE(CONTROL!$C$32, $C$9, 100%, $E$9)</f>
        <v>10.4605</v>
      </c>
      <c r="M641" s="27">
        <f>10.4641 * CHOOSE(CONTROL!$C$32, $C$9, 100%, $E$9)</f>
        <v>10.4641</v>
      </c>
      <c r="N641" s="27">
        <f>10.4605 * CHOOSE(CONTROL!$C$32, $C$9, 100%, $E$9)</f>
        <v>10.4605</v>
      </c>
      <c r="O641" s="27">
        <f>10.4641 * CHOOSE(CONTROL!$C$32, $C$9, 100%, $E$9)</f>
        <v>10.4641</v>
      </c>
    </row>
    <row r="642" spans="1:15" ht="15" x14ac:dyDescent="0.2">
      <c r="A642" s="16">
        <v>60388</v>
      </c>
      <c r="B642" s="26">
        <f>9.1909 * CHOOSE(CONTROL!$C$32, $C$9, 100%, $E$9)</f>
        <v>9.1908999999999992</v>
      </c>
      <c r="C642" s="26">
        <f>9.1909 * CHOOSE(CONTROL!$C$32, $C$9, 100%, $E$9)</f>
        <v>9.1908999999999992</v>
      </c>
      <c r="D642" s="26">
        <f>9.1925 * CHOOSE(CONTROL!$C$32, $C$9, 100%, $E$9)</f>
        <v>9.1925000000000008</v>
      </c>
      <c r="E642" s="27">
        <f>10.541 * CHOOSE(CONTROL!$C$32, $C$9, 100%, $E$9)</f>
        <v>10.541</v>
      </c>
      <c r="F642" s="27">
        <f>10.541 * CHOOSE(CONTROL!$C$32, $C$9, 100%, $E$9)</f>
        <v>10.541</v>
      </c>
      <c r="G642" s="27">
        <f>10.5462 * CHOOSE(CONTROL!$C$32, $C$9, 100%, $E$9)</f>
        <v>10.546200000000001</v>
      </c>
      <c r="H642" s="27">
        <f>20.3697 * CHOOSE(CONTROL!$C$32, $C$9, 100%, $E$9)</f>
        <v>20.369700000000002</v>
      </c>
      <c r="I642" s="27">
        <f>20.375 * CHOOSE(CONTROL!$C$32, $C$9, 100%, $E$9)</f>
        <v>20.375</v>
      </c>
      <c r="J642" s="27">
        <f>20.3697 * CHOOSE(CONTROL!$C$32, $C$9, 100%, $E$9)</f>
        <v>20.369700000000002</v>
      </c>
      <c r="K642" s="27">
        <f>20.375 * CHOOSE(CONTROL!$C$32, $C$9, 100%, $E$9)</f>
        <v>20.375</v>
      </c>
      <c r="L642" s="27">
        <f>10.541 * CHOOSE(CONTROL!$C$32, $C$9, 100%, $E$9)</f>
        <v>10.541</v>
      </c>
      <c r="M642" s="27">
        <f>10.5462 * CHOOSE(CONTROL!$C$32, $C$9, 100%, $E$9)</f>
        <v>10.546200000000001</v>
      </c>
      <c r="N642" s="27">
        <f>10.541 * CHOOSE(CONTROL!$C$32, $C$9, 100%, $E$9)</f>
        <v>10.541</v>
      </c>
      <c r="O642" s="27">
        <f>10.5462 * CHOOSE(CONTROL!$C$32, $C$9, 100%, $E$9)</f>
        <v>10.546200000000001</v>
      </c>
    </row>
    <row r="643" spans="1:15" ht="15" x14ac:dyDescent="0.2">
      <c r="A643" s="16">
        <v>60419</v>
      </c>
      <c r="B643" s="26">
        <f>9.197 * CHOOSE(CONTROL!$C$32, $C$9, 100%, $E$9)</f>
        <v>9.1969999999999992</v>
      </c>
      <c r="C643" s="26">
        <f>9.197 * CHOOSE(CONTROL!$C$32, $C$9, 100%, $E$9)</f>
        <v>9.1969999999999992</v>
      </c>
      <c r="D643" s="26">
        <f>9.1985 * CHOOSE(CONTROL!$C$32, $C$9, 100%, $E$9)</f>
        <v>9.1984999999999992</v>
      </c>
      <c r="E643" s="27">
        <f>10.4647 * CHOOSE(CONTROL!$C$32, $C$9, 100%, $E$9)</f>
        <v>10.464700000000001</v>
      </c>
      <c r="F643" s="27">
        <f>10.4647 * CHOOSE(CONTROL!$C$32, $C$9, 100%, $E$9)</f>
        <v>10.464700000000001</v>
      </c>
      <c r="G643" s="27">
        <f>10.47 * CHOOSE(CONTROL!$C$32, $C$9, 100%, $E$9)</f>
        <v>10.47</v>
      </c>
      <c r="H643" s="27">
        <f>20.4121 * CHOOSE(CONTROL!$C$32, $C$9, 100%, $E$9)</f>
        <v>20.412099999999999</v>
      </c>
      <c r="I643" s="27">
        <f>20.4174 * CHOOSE(CONTROL!$C$32, $C$9, 100%, $E$9)</f>
        <v>20.417400000000001</v>
      </c>
      <c r="J643" s="27">
        <f>20.4121 * CHOOSE(CONTROL!$C$32, $C$9, 100%, $E$9)</f>
        <v>20.412099999999999</v>
      </c>
      <c r="K643" s="27">
        <f>20.4174 * CHOOSE(CONTROL!$C$32, $C$9, 100%, $E$9)</f>
        <v>20.417400000000001</v>
      </c>
      <c r="L643" s="27">
        <f>10.4647 * CHOOSE(CONTROL!$C$32, $C$9, 100%, $E$9)</f>
        <v>10.464700000000001</v>
      </c>
      <c r="M643" s="27">
        <f>10.47 * CHOOSE(CONTROL!$C$32, $C$9, 100%, $E$9)</f>
        <v>10.47</v>
      </c>
      <c r="N643" s="27">
        <f>10.4647 * CHOOSE(CONTROL!$C$32, $C$9, 100%, $E$9)</f>
        <v>10.464700000000001</v>
      </c>
      <c r="O643" s="27">
        <f>10.47 * CHOOSE(CONTROL!$C$32, $C$9, 100%, $E$9)</f>
        <v>10.47</v>
      </c>
    </row>
    <row r="644" spans="1:15" ht="15" x14ac:dyDescent="0.2">
      <c r="A644" s="16">
        <v>60449</v>
      </c>
      <c r="B644" s="26">
        <f>9.3125 * CHOOSE(CONTROL!$C$32, $C$9, 100%, $E$9)</f>
        <v>9.3125</v>
      </c>
      <c r="C644" s="26">
        <f>9.3125 * CHOOSE(CONTROL!$C$32, $C$9, 100%, $E$9)</f>
        <v>9.3125</v>
      </c>
      <c r="D644" s="26">
        <f>9.3141 * CHOOSE(CONTROL!$C$32, $C$9, 100%, $E$9)</f>
        <v>9.3140999999999998</v>
      </c>
      <c r="E644" s="27">
        <f>10.6108 * CHOOSE(CONTROL!$C$32, $C$9, 100%, $E$9)</f>
        <v>10.610799999999999</v>
      </c>
      <c r="F644" s="27">
        <f>10.6108 * CHOOSE(CONTROL!$C$32, $C$9, 100%, $E$9)</f>
        <v>10.610799999999999</v>
      </c>
      <c r="G644" s="27">
        <f>10.6161 * CHOOSE(CONTROL!$C$32, $C$9, 100%, $E$9)</f>
        <v>10.616099999999999</v>
      </c>
      <c r="H644" s="27">
        <f>20.4546 * CHOOSE(CONTROL!$C$32, $C$9, 100%, $E$9)</f>
        <v>20.454599999999999</v>
      </c>
      <c r="I644" s="27">
        <f>20.4599 * CHOOSE(CONTROL!$C$32, $C$9, 100%, $E$9)</f>
        <v>20.459900000000001</v>
      </c>
      <c r="J644" s="27">
        <f>20.4546 * CHOOSE(CONTROL!$C$32, $C$9, 100%, $E$9)</f>
        <v>20.454599999999999</v>
      </c>
      <c r="K644" s="27">
        <f>20.4599 * CHOOSE(CONTROL!$C$32, $C$9, 100%, $E$9)</f>
        <v>20.459900000000001</v>
      </c>
      <c r="L644" s="27">
        <f>10.6108 * CHOOSE(CONTROL!$C$32, $C$9, 100%, $E$9)</f>
        <v>10.610799999999999</v>
      </c>
      <c r="M644" s="27">
        <f>10.6161 * CHOOSE(CONTROL!$C$32, $C$9, 100%, $E$9)</f>
        <v>10.616099999999999</v>
      </c>
      <c r="N644" s="27">
        <f>10.6108 * CHOOSE(CONTROL!$C$32, $C$9, 100%, $E$9)</f>
        <v>10.610799999999999</v>
      </c>
      <c r="O644" s="27">
        <f>10.6161 * CHOOSE(CONTROL!$C$32, $C$9, 100%, $E$9)</f>
        <v>10.616099999999999</v>
      </c>
    </row>
    <row r="645" spans="1:15" ht="15" x14ac:dyDescent="0.2">
      <c r="A645" s="16">
        <v>60480</v>
      </c>
      <c r="B645" s="26">
        <f>9.3192 * CHOOSE(CONTROL!$C$32, $C$9, 100%, $E$9)</f>
        <v>9.3192000000000004</v>
      </c>
      <c r="C645" s="26">
        <f>9.3192 * CHOOSE(CONTROL!$C$32, $C$9, 100%, $E$9)</f>
        <v>9.3192000000000004</v>
      </c>
      <c r="D645" s="26">
        <f>9.3208 * CHOOSE(CONTROL!$C$32, $C$9, 100%, $E$9)</f>
        <v>9.3208000000000002</v>
      </c>
      <c r="E645" s="27">
        <f>10.374 * CHOOSE(CONTROL!$C$32, $C$9, 100%, $E$9)</f>
        <v>10.374000000000001</v>
      </c>
      <c r="F645" s="27">
        <f>10.374 * CHOOSE(CONTROL!$C$32, $C$9, 100%, $E$9)</f>
        <v>10.374000000000001</v>
      </c>
      <c r="G645" s="27">
        <f>10.3793 * CHOOSE(CONTROL!$C$32, $C$9, 100%, $E$9)</f>
        <v>10.379300000000001</v>
      </c>
      <c r="H645" s="27">
        <f>20.4972 * CHOOSE(CONTROL!$C$32, $C$9, 100%, $E$9)</f>
        <v>20.497199999999999</v>
      </c>
      <c r="I645" s="27">
        <f>20.5025 * CHOOSE(CONTROL!$C$32, $C$9, 100%, $E$9)</f>
        <v>20.502500000000001</v>
      </c>
      <c r="J645" s="27">
        <f>20.4972 * CHOOSE(CONTROL!$C$32, $C$9, 100%, $E$9)</f>
        <v>20.497199999999999</v>
      </c>
      <c r="K645" s="27">
        <f>20.5025 * CHOOSE(CONTROL!$C$32, $C$9, 100%, $E$9)</f>
        <v>20.502500000000001</v>
      </c>
      <c r="L645" s="27">
        <f>10.374 * CHOOSE(CONTROL!$C$32, $C$9, 100%, $E$9)</f>
        <v>10.374000000000001</v>
      </c>
      <c r="M645" s="27">
        <f>10.3793 * CHOOSE(CONTROL!$C$32, $C$9, 100%, $E$9)</f>
        <v>10.379300000000001</v>
      </c>
      <c r="N645" s="27">
        <f>10.374 * CHOOSE(CONTROL!$C$32, $C$9, 100%, $E$9)</f>
        <v>10.374000000000001</v>
      </c>
      <c r="O645" s="27">
        <f>10.3793 * CHOOSE(CONTROL!$C$32, $C$9, 100%, $E$9)</f>
        <v>10.379300000000001</v>
      </c>
    </row>
    <row r="646" spans="1:15" ht="15" x14ac:dyDescent="0.2">
      <c r="A646" s="16">
        <v>60511</v>
      </c>
      <c r="B646" s="26">
        <f>9.3162 * CHOOSE(CONTROL!$C$32, $C$9, 100%, $E$9)</f>
        <v>9.3162000000000003</v>
      </c>
      <c r="C646" s="26">
        <f>9.3162 * CHOOSE(CONTROL!$C$32, $C$9, 100%, $E$9)</f>
        <v>9.3162000000000003</v>
      </c>
      <c r="D646" s="26">
        <f>9.3178 * CHOOSE(CONTROL!$C$32, $C$9, 100%, $E$9)</f>
        <v>9.3178000000000001</v>
      </c>
      <c r="E646" s="27">
        <f>10.345 * CHOOSE(CONTROL!$C$32, $C$9, 100%, $E$9)</f>
        <v>10.345000000000001</v>
      </c>
      <c r="F646" s="27">
        <f>10.345 * CHOOSE(CONTROL!$C$32, $C$9, 100%, $E$9)</f>
        <v>10.345000000000001</v>
      </c>
      <c r="G646" s="27">
        <f>10.3503 * CHOOSE(CONTROL!$C$32, $C$9, 100%, $E$9)</f>
        <v>10.350300000000001</v>
      </c>
      <c r="H646" s="27">
        <f>20.5399 * CHOOSE(CONTROL!$C$32, $C$9, 100%, $E$9)</f>
        <v>20.539899999999999</v>
      </c>
      <c r="I646" s="27">
        <f>20.5452 * CHOOSE(CONTROL!$C$32, $C$9, 100%, $E$9)</f>
        <v>20.545200000000001</v>
      </c>
      <c r="J646" s="27">
        <f>20.5399 * CHOOSE(CONTROL!$C$32, $C$9, 100%, $E$9)</f>
        <v>20.539899999999999</v>
      </c>
      <c r="K646" s="27">
        <f>20.5452 * CHOOSE(CONTROL!$C$32, $C$9, 100%, $E$9)</f>
        <v>20.545200000000001</v>
      </c>
      <c r="L646" s="27">
        <f>10.345 * CHOOSE(CONTROL!$C$32, $C$9, 100%, $E$9)</f>
        <v>10.345000000000001</v>
      </c>
      <c r="M646" s="27">
        <f>10.3503 * CHOOSE(CONTROL!$C$32, $C$9, 100%, $E$9)</f>
        <v>10.350300000000001</v>
      </c>
      <c r="N646" s="27">
        <f>10.345 * CHOOSE(CONTROL!$C$32, $C$9, 100%, $E$9)</f>
        <v>10.345000000000001</v>
      </c>
      <c r="O646" s="27">
        <f>10.3503 * CHOOSE(CONTROL!$C$32, $C$9, 100%, $E$9)</f>
        <v>10.350300000000001</v>
      </c>
    </row>
    <row r="647" spans="1:15" ht="15" x14ac:dyDescent="0.2">
      <c r="A647" s="16">
        <v>60541</v>
      </c>
      <c r="B647" s="26">
        <f>9.3311 * CHOOSE(CONTROL!$C$32, $C$9, 100%, $E$9)</f>
        <v>9.3310999999999993</v>
      </c>
      <c r="C647" s="26">
        <f>9.3311 * CHOOSE(CONTROL!$C$32, $C$9, 100%, $E$9)</f>
        <v>9.3310999999999993</v>
      </c>
      <c r="D647" s="26">
        <f>9.3321 * CHOOSE(CONTROL!$C$32, $C$9, 100%, $E$9)</f>
        <v>9.3321000000000005</v>
      </c>
      <c r="E647" s="27">
        <f>10.4389 * CHOOSE(CONTROL!$C$32, $C$9, 100%, $E$9)</f>
        <v>10.4389</v>
      </c>
      <c r="F647" s="27">
        <f>10.4389 * CHOOSE(CONTROL!$C$32, $C$9, 100%, $E$9)</f>
        <v>10.4389</v>
      </c>
      <c r="G647" s="27">
        <f>10.4426 * CHOOSE(CONTROL!$C$32, $C$9, 100%, $E$9)</f>
        <v>10.442600000000001</v>
      </c>
      <c r="H647" s="27">
        <f>20.5827 * CHOOSE(CONTROL!$C$32, $C$9, 100%, $E$9)</f>
        <v>20.582699999999999</v>
      </c>
      <c r="I647" s="27">
        <f>20.5864 * CHOOSE(CONTROL!$C$32, $C$9, 100%, $E$9)</f>
        <v>20.586400000000001</v>
      </c>
      <c r="J647" s="27">
        <f>20.5827 * CHOOSE(CONTROL!$C$32, $C$9, 100%, $E$9)</f>
        <v>20.582699999999999</v>
      </c>
      <c r="K647" s="27">
        <f>20.5864 * CHOOSE(CONTROL!$C$32, $C$9, 100%, $E$9)</f>
        <v>20.586400000000001</v>
      </c>
      <c r="L647" s="27">
        <f>10.4389 * CHOOSE(CONTROL!$C$32, $C$9, 100%, $E$9)</f>
        <v>10.4389</v>
      </c>
      <c r="M647" s="27">
        <f>10.4426 * CHOOSE(CONTROL!$C$32, $C$9, 100%, $E$9)</f>
        <v>10.442600000000001</v>
      </c>
      <c r="N647" s="27">
        <f>10.4389 * CHOOSE(CONTROL!$C$32, $C$9, 100%, $E$9)</f>
        <v>10.4389</v>
      </c>
      <c r="O647" s="27">
        <f>10.4426 * CHOOSE(CONTROL!$C$32, $C$9, 100%, $E$9)</f>
        <v>10.442600000000001</v>
      </c>
    </row>
    <row r="648" spans="1:15" ht="15" x14ac:dyDescent="0.2">
      <c r="A648" s="16">
        <v>60572</v>
      </c>
      <c r="B648" s="26">
        <f>9.3341 * CHOOSE(CONTROL!$C$32, $C$9, 100%, $E$9)</f>
        <v>9.3340999999999994</v>
      </c>
      <c r="C648" s="26">
        <f>9.3341 * CHOOSE(CONTROL!$C$32, $C$9, 100%, $E$9)</f>
        <v>9.3340999999999994</v>
      </c>
      <c r="D648" s="26">
        <f>9.3352 * CHOOSE(CONTROL!$C$32, $C$9, 100%, $E$9)</f>
        <v>9.3352000000000004</v>
      </c>
      <c r="E648" s="27">
        <f>10.4947 * CHOOSE(CONTROL!$C$32, $C$9, 100%, $E$9)</f>
        <v>10.4947</v>
      </c>
      <c r="F648" s="27">
        <f>10.4947 * CHOOSE(CONTROL!$C$32, $C$9, 100%, $E$9)</f>
        <v>10.4947</v>
      </c>
      <c r="G648" s="27">
        <f>10.4983 * CHOOSE(CONTROL!$C$32, $C$9, 100%, $E$9)</f>
        <v>10.4983</v>
      </c>
      <c r="H648" s="27">
        <f>20.6256 * CHOOSE(CONTROL!$C$32, $C$9, 100%, $E$9)</f>
        <v>20.625599999999999</v>
      </c>
      <c r="I648" s="27">
        <f>20.6292 * CHOOSE(CONTROL!$C$32, $C$9, 100%, $E$9)</f>
        <v>20.629200000000001</v>
      </c>
      <c r="J648" s="27">
        <f>20.6256 * CHOOSE(CONTROL!$C$32, $C$9, 100%, $E$9)</f>
        <v>20.625599999999999</v>
      </c>
      <c r="K648" s="27">
        <f>20.6292 * CHOOSE(CONTROL!$C$32, $C$9, 100%, $E$9)</f>
        <v>20.629200000000001</v>
      </c>
      <c r="L648" s="27">
        <f>10.4947 * CHOOSE(CONTROL!$C$32, $C$9, 100%, $E$9)</f>
        <v>10.4947</v>
      </c>
      <c r="M648" s="27">
        <f>10.4983 * CHOOSE(CONTROL!$C$32, $C$9, 100%, $E$9)</f>
        <v>10.4983</v>
      </c>
      <c r="N648" s="27">
        <f>10.4947 * CHOOSE(CONTROL!$C$32, $C$9, 100%, $E$9)</f>
        <v>10.4947</v>
      </c>
      <c r="O648" s="27">
        <f>10.4983 * CHOOSE(CONTROL!$C$32, $C$9, 100%, $E$9)</f>
        <v>10.4983</v>
      </c>
    </row>
    <row r="649" spans="1:15" ht="15" x14ac:dyDescent="0.2">
      <c r="A649" s="16">
        <v>60602</v>
      </c>
      <c r="B649" s="26">
        <f>9.3341 * CHOOSE(CONTROL!$C$32, $C$9, 100%, $E$9)</f>
        <v>9.3340999999999994</v>
      </c>
      <c r="C649" s="26">
        <f>9.3341 * CHOOSE(CONTROL!$C$32, $C$9, 100%, $E$9)</f>
        <v>9.3340999999999994</v>
      </c>
      <c r="D649" s="26">
        <f>9.3352 * CHOOSE(CONTROL!$C$32, $C$9, 100%, $E$9)</f>
        <v>9.3352000000000004</v>
      </c>
      <c r="E649" s="27">
        <f>10.3606 * CHOOSE(CONTROL!$C$32, $C$9, 100%, $E$9)</f>
        <v>10.3606</v>
      </c>
      <c r="F649" s="27">
        <f>10.3606 * CHOOSE(CONTROL!$C$32, $C$9, 100%, $E$9)</f>
        <v>10.3606</v>
      </c>
      <c r="G649" s="27">
        <f>10.3642 * CHOOSE(CONTROL!$C$32, $C$9, 100%, $E$9)</f>
        <v>10.3642</v>
      </c>
      <c r="H649" s="27">
        <f>20.6686 * CHOOSE(CONTROL!$C$32, $C$9, 100%, $E$9)</f>
        <v>20.668600000000001</v>
      </c>
      <c r="I649" s="27">
        <f>20.6722 * CHOOSE(CONTROL!$C$32, $C$9, 100%, $E$9)</f>
        <v>20.6722</v>
      </c>
      <c r="J649" s="27">
        <f>20.6686 * CHOOSE(CONTROL!$C$32, $C$9, 100%, $E$9)</f>
        <v>20.668600000000001</v>
      </c>
      <c r="K649" s="27">
        <f>20.6722 * CHOOSE(CONTROL!$C$32, $C$9, 100%, $E$9)</f>
        <v>20.6722</v>
      </c>
      <c r="L649" s="27">
        <f>10.3606 * CHOOSE(CONTROL!$C$32, $C$9, 100%, $E$9)</f>
        <v>10.3606</v>
      </c>
      <c r="M649" s="27">
        <f>10.3642 * CHOOSE(CONTROL!$C$32, $C$9, 100%, $E$9)</f>
        <v>10.3642</v>
      </c>
      <c r="N649" s="27">
        <f>10.3606 * CHOOSE(CONTROL!$C$32, $C$9, 100%, $E$9)</f>
        <v>10.3606</v>
      </c>
      <c r="O649" s="27">
        <f>10.3642 * CHOOSE(CONTROL!$C$32, $C$9, 100%, $E$9)</f>
        <v>10.3642</v>
      </c>
    </row>
    <row r="650" spans="1:15" ht="15" x14ac:dyDescent="0.2">
      <c r="A650" s="16">
        <v>60633</v>
      </c>
      <c r="B650" s="26">
        <f>9.3816 * CHOOSE(CONTROL!$C$32, $C$9, 100%, $E$9)</f>
        <v>9.3816000000000006</v>
      </c>
      <c r="C650" s="26">
        <f>9.3816 * CHOOSE(CONTROL!$C$32, $C$9, 100%, $E$9)</f>
        <v>9.3816000000000006</v>
      </c>
      <c r="D650" s="26">
        <f>9.3827 * CHOOSE(CONTROL!$C$32, $C$9, 100%, $E$9)</f>
        <v>9.3826999999999998</v>
      </c>
      <c r="E650" s="27">
        <f>10.5205 * CHOOSE(CONTROL!$C$32, $C$9, 100%, $E$9)</f>
        <v>10.5205</v>
      </c>
      <c r="F650" s="27">
        <f>10.5205 * CHOOSE(CONTROL!$C$32, $C$9, 100%, $E$9)</f>
        <v>10.5205</v>
      </c>
      <c r="G650" s="27">
        <f>10.5241 * CHOOSE(CONTROL!$C$32, $C$9, 100%, $E$9)</f>
        <v>10.524100000000001</v>
      </c>
      <c r="H650" s="27">
        <f>20.6543 * CHOOSE(CONTROL!$C$32, $C$9, 100%, $E$9)</f>
        <v>20.654299999999999</v>
      </c>
      <c r="I650" s="27">
        <f>20.6579 * CHOOSE(CONTROL!$C$32, $C$9, 100%, $E$9)</f>
        <v>20.657900000000001</v>
      </c>
      <c r="J650" s="27">
        <f>20.6543 * CHOOSE(CONTROL!$C$32, $C$9, 100%, $E$9)</f>
        <v>20.654299999999999</v>
      </c>
      <c r="K650" s="27">
        <f>20.6579 * CHOOSE(CONTROL!$C$32, $C$9, 100%, $E$9)</f>
        <v>20.657900000000001</v>
      </c>
      <c r="L650" s="27">
        <f>10.5205 * CHOOSE(CONTROL!$C$32, $C$9, 100%, $E$9)</f>
        <v>10.5205</v>
      </c>
      <c r="M650" s="27">
        <f>10.5241 * CHOOSE(CONTROL!$C$32, $C$9, 100%, $E$9)</f>
        <v>10.524100000000001</v>
      </c>
      <c r="N650" s="27">
        <f>10.5205 * CHOOSE(CONTROL!$C$32, $C$9, 100%, $E$9)</f>
        <v>10.5205</v>
      </c>
      <c r="O650" s="27">
        <f>10.5241 * CHOOSE(CONTROL!$C$32, $C$9, 100%, $E$9)</f>
        <v>10.524100000000001</v>
      </c>
    </row>
    <row r="651" spans="1:15" ht="15" x14ac:dyDescent="0.2">
      <c r="A651" s="16">
        <v>60664</v>
      </c>
      <c r="B651" s="26">
        <f>9.3786 * CHOOSE(CONTROL!$C$32, $C$9, 100%, $E$9)</f>
        <v>9.3786000000000005</v>
      </c>
      <c r="C651" s="26">
        <f>9.3786 * CHOOSE(CONTROL!$C$32, $C$9, 100%, $E$9)</f>
        <v>9.3786000000000005</v>
      </c>
      <c r="D651" s="26">
        <f>9.3797 * CHOOSE(CONTROL!$C$32, $C$9, 100%, $E$9)</f>
        <v>9.3796999999999997</v>
      </c>
      <c r="E651" s="27">
        <f>10.2578 * CHOOSE(CONTROL!$C$32, $C$9, 100%, $E$9)</f>
        <v>10.2578</v>
      </c>
      <c r="F651" s="27">
        <f>10.2578 * CHOOSE(CONTROL!$C$32, $C$9, 100%, $E$9)</f>
        <v>10.2578</v>
      </c>
      <c r="G651" s="27">
        <f>10.2614 * CHOOSE(CONTROL!$C$32, $C$9, 100%, $E$9)</f>
        <v>10.2614</v>
      </c>
      <c r="H651" s="27">
        <f>20.6973 * CHOOSE(CONTROL!$C$32, $C$9, 100%, $E$9)</f>
        <v>20.697299999999998</v>
      </c>
      <c r="I651" s="27">
        <f>20.7009 * CHOOSE(CONTROL!$C$32, $C$9, 100%, $E$9)</f>
        <v>20.700900000000001</v>
      </c>
      <c r="J651" s="27">
        <f>20.6973 * CHOOSE(CONTROL!$C$32, $C$9, 100%, $E$9)</f>
        <v>20.697299999999998</v>
      </c>
      <c r="K651" s="27">
        <f>20.7009 * CHOOSE(CONTROL!$C$32, $C$9, 100%, $E$9)</f>
        <v>20.700900000000001</v>
      </c>
      <c r="L651" s="27">
        <f>10.2578 * CHOOSE(CONTROL!$C$32, $C$9, 100%, $E$9)</f>
        <v>10.2578</v>
      </c>
      <c r="M651" s="27">
        <f>10.2614 * CHOOSE(CONTROL!$C$32, $C$9, 100%, $E$9)</f>
        <v>10.2614</v>
      </c>
      <c r="N651" s="27">
        <f>10.2578 * CHOOSE(CONTROL!$C$32, $C$9, 100%, $E$9)</f>
        <v>10.2578</v>
      </c>
      <c r="O651" s="27">
        <f>10.2614 * CHOOSE(CONTROL!$C$32, $C$9, 100%, $E$9)</f>
        <v>10.2614</v>
      </c>
    </row>
    <row r="652" spans="1:15" ht="15" x14ac:dyDescent="0.2">
      <c r="A652" s="16">
        <v>60692</v>
      </c>
      <c r="B652" s="26">
        <f>9.3756 * CHOOSE(CONTROL!$C$32, $C$9, 100%, $E$9)</f>
        <v>9.3756000000000004</v>
      </c>
      <c r="C652" s="26">
        <f>9.3756 * CHOOSE(CONTROL!$C$32, $C$9, 100%, $E$9)</f>
        <v>9.3756000000000004</v>
      </c>
      <c r="D652" s="26">
        <f>9.3766 * CHOOSE(CONTROL!$C$32, $C$9, 100%, $E$9)</f>
        <v>9.3765999999999998</v>
      </c>
      <c r="E652" s="27">
        <f>10.4611 * CHOOSE(CONTROL!$C$32, $C$9, 100%, $E$9)</f>
        <v>10.4611</v>
      </c>
      <c r="F652" s="27">
        <f>10.4611 * CHOOSE(CONTROL!$C$32, $C$9, 100%, $E$9)</f>
        <v>10.4611</v>
      </c>
      <c r="G652" s="27">
        <f>10.4647 * CHOOSE(CONTROL!$C$32, $C$9, 100%, $E$9)</f>
        <v>10.464700000000001</v>
      </c>
      <c r="H652" s="27">
        <f>20.7405 * CHOOSE(CONTROL!$C$32, $C$9, 100%, $E$9)</f>
        <v>20.740500000000001</v>
      </c>
      <c r="I652" s="27">
        <f>20.7441 * CHOOSE(CONTROL!$C$32, $C$9, 100%, $E$9)</f>
        <v>20.7441</v>
      </c>
      <c r="J652" s="27">
        <f>20.7405 * CHOOSE(CONTROL!$C$32, $C$9, 100%, $E$9)</f>
        <v>20.740500000000001</v>
      </c>
      <c r="K652" s="27">
        <f>20.7441 * CHOOSE(CONTROL!$C$32, $C$9, 100%, $E$9)</f>
        <v>20.7441</v>
      </c>
      <c r="L652" s="27">
        <f>10.4611 * CHOOSE(CONTROL!$C$32, $C$9, 100%, $E$9)</f>
        <v>10.4611</v>
      </c>
      <c r="M652" s="27">
        <f>10.4647 * CHOOSE(CONTROL!$C$32, $C$9, 100%, $E$9)</f>
        <v>10.464700000000001</v>
      </c>
      <c r="N652" s="27">
        <f>10.4611 * CHOOSE(CONTROL!$C$32, $C$9, 100%, $E$9)</f>
        <v>10.4611</v>
      </c>
      <c r="O652" s="27">
        <f>10.4647 * CHOOSE(CONTROL!$C$32, $C$9, 100%, $E$9)</f>
        <v>10.464700000000001</v>
      </c>
    </row>
    <row r="653" spans="1:15" ht="15" x14ac:dyDescent="0.2">
      <c r="A653" s="16">
        <v>60723</v>
      </c>
      <c r="B653" s="26">
        <f>9.3784 * CHOOSE(CONTROL!$C$32, $C$9, 100%, $E$9)</f>
        <v>9.3783999999999992</v>
      </c>
      <c r="C653" s="26">
        <f>9.3784 * CHOOSE(CONTROL!$C$32, $C$9, 100%, $E$9)</f>
        <v>9.3783999999999992</v>
      </c>
      <c r="D653" s="26">
        <f>9.3795 * CHOOSE(CONTROL!$C$32, $C$9, 100%, $E$9)</f>
        <v>9.3795000000000002</v>
      </c>
      <c r="E653" s="27">
        <f>10.6775 * CHOOSE(CONTROL!$C$32, $C$9, 100%, $E$9)</f>
        <v>10.6775</v>
      </c>
      <c r="F653" s="27">
        <f>10.6775 * CHOOSE(CONTROL!$C$32, $C$9, 100%, $E$9)</f>
        <v>10.6775</v>
      </c>
      <c r="G653" s="27">
        <f>10.6811 * CHOOSE(CONTROL!$C$32, $C$9, 100%, $E$9)</f>
        <v>10.681100000000001</v>
      </c>
      <c r="H653" s="27">
        <f>20.7837 * CHOOSE(CONTROL!$C$32, $C$9, 100%, $E$9)</f>
        <v>20.7837</v>
      </c>
      <c r="I653" s="27">
        <f>20.7873 * CHOOSE(CONTROL!$C$32, $C$9, 100%, $E$9)</f>
        <v>20.787299999999998</v>
      </c>
      <c r="J653" s="27">
        <f>20.7837 * CHOOSE(CONTROL!$C$32, $C$9, 100%, $E$9)</f>
        <v>20.7837</v>
      </c>
      <c r="K653" s="27">
        <f>20.7873 * CHOOSE(CONTROL!$C$32, $C$9, 100%, $E$9)</f>
        <v>20.787299999999998</v>
      </c>
      <c r="L653" s="27">
        <f>10.6775 * CHOOSE(CONTROL!$C$32, $C$9, 100%, $E$9)</f>
        <v>10.6775</v>
      </c>
      <c r="M653" s="27">
        <f>10.6811 * CHOOSE(CONTROL!$C$32, $C$9, 100%, $E$9)</f>
        <v>10.681100000000001</v>
      </c>
      <c r="N653" s="27">
        <f>10.6775 * CHOOSE(CONTROL!$C$32, $C$9, 100%, $E$9)</f>
        <v>10.6775</v>
      </c>
      <c r="O653" s="27">
        <f>10.6811 * CHOOSE(CONTROL!$C$32, $C$9, 100%, $E$9)</f>
        <v>10.681100000000001</v>
      </c>
    </row>
    <row r="654" spans="1:15" ht="15" x14ac:dyDescent="0.2">
      <c r="A654" s="16">
        <v>60753</v>
      </c>
      <c r="B654" s="26">
        <f>9.3784 * CHOOSE(CONTROL!$C$32, $C$9, 100%, $E$9)</f>
        <v>9.3783999999999992</v>
      </c>
      <c r="C654" s="26">
        <f>9.3784 * CHOOSE(CONTROL!$C$32, $C$9, 100%, $E$9)</f>
        <v>9.3783999999999992</v>
      </c>
      <c r="D654" s="26">
        <f>9.38 * CHOOSE(CONTROL!$C$32, $C$9, 100%, $E$9)</f>
        <v>9.3800000000000008</v>
      </c>
      <c r="E654" s="27">
        <f>10.7602 * CHOOSE(CONTROL!$C$32, $C$9, 100%, $E$9)</f>
        <v>10.760199999999999</v>
      </c>
      <c r="F654" s="27">
        <f>10.7602 * CHOOSE(CONTROL!$C$32, $C$9, 100%, $E$9)</f>
        <v>10.760199999999999</v>
      </c>
      <c r="G654" s="27">
        <f>10.7655 * CHOOSE(CONTROL!$C$32, $C$9, 100%, $E$9)</f>
        <v>10.765499999999999</v>
      </c>
      <c r="H654" s="27">
        <f>20.827 * CHOOSE(CONTROL!$C$32, $C$9, 100%, $E$9)</f>
        <v>20.827000000000002</v>
      </c>
      <c r="I654" s="27">
        <f>20.8323 * CHOOSE(CONTROL!$C$32, $C$9, 100%, $E$9)</f>
        <v>20.8323</v>
      </c>
      <c r="J654" s="27">
        <f>20.827 * CHOOSE(CONTROL!$C$32, $C$9, 100%, $E$9)</f>
        <v>20.827000000000002</v>
      </c>
      <c r="K654" s="27">
        <f>20.8323 * CHOOSE(CONTROL!$C$32, $C$9, 100%, $E$9)</f>
        <v>20.8323</v>
      </c>
      <c r="L654" s="27">
        <f>10.7602 * CHOOSE(CONTROL!$C$32, $C$9, 100%, $E$9)</f>
        <v>10.760199999999999</v>
      </c>
      <c r="M654" s="27">
        <f>10.7655 * CHOOSE(CONTROL!$C$32, $C$9, 100%, $E$9)</f>
        <v>10.765499999999999</v>
      </c>
      <c r="N654" s="27">
        <f>10.7602 * CHOOSE(CONTROL!$C$32, $C$9, 100%, $E$9)</f>
        <v>10.760199999999999</v>
      </c>
      <c r="O654" s="27">
        <f>10.7655 * CHOOSE(CONTROL!$C$32, $C$9, 100%, $E$9)</f>
        <v>10.765499999999999</v>
      </c>
    </row>
    <row r="655" spans="1:15" ht="15" x14ac:dyDescent="0.2">
      <c r="A655" s="16">
        <v>60784</v>
      </c>
      <c r="B655" s="26">
        <f>9.3845 * CHOOSE(CONTROL!$C$32, $C$9, 100%, $E$9)</f>
        <v>9.3844999999999992</v>
      </c>
      <c r="C655" s="26">
        <f>9.3845 * CHOOSE(CONTROL!$C$32, $C$9, 100%, $E$9)</f>
        <v>9.3844999999999992</v>
      </c>
      <c r="D655" s="26">
        <f>9.3861 * CHOOSE(CONTROL!$C$32, $C$9, 100%, $E$9)</f>
        <v>9.3861000000000008</v>
      </c>
      <c r="E655" s="27">
        <f>10.6817 * CHOOSE(CONTROL!$C$32, $C$9, 100%, $E$9)</f>
        <v>10.681699999999999</v>
      </c>
      <c r="F655" s="27">
        <f>10.6817 * CHOOSE(CONTROL!$C$32, $C$9, 100%, $E$9)</f>
        <v>10.681699999999999</v>
      </c>
      <c r="G655" s="27">
        <f>10.687 * CHOOSE(CONTROL!$C$32, $C$9, 100%, $E$9)</f>
        <v>10.686999999999999</v>
      </c>
      <c r="H655" s="27">
        <f>20.8703 * CHOOSE(CONTROL!$C$32, $C$9, 100%, $E$9)</f>
        <v>20.8703</v>
      </c>
      <c r="I655" s="27">
        <f>20.8756 * CHOOSE(CONTROL!$C$32, $C$9, 100%, $E$9)</f>
        <v>20.875599999999999</v>
      </c>
      <c r="J655" s="27">
        <f>20.8703 * CHOOSE(CONTROL!$C$32, $C$9, 100%, $E$9)</f>
        <v>20.8703</v>
      </c>
      <c r="K655" s="27">
        <f>20.8756 * CHOOSE(CONTROL!$C$32, $C$9, 100%, $E$9)</f>
        <v>20.875599999999999</v>
      </c>
      <c r="L655" s="27">
        <f>10.6817 * CHOOSE(CONTROL!$C$32, $C$9, 100%, $E$9)</f>
        <v>10.681699999999999</v>
      </c>
      <c r="M655" s="27">
        <f>10.687 * CHOOSE(CONTROL!$C$32, $C$9, 100%, $E$9)</f>
        <v>10.686999999999999</v>
      </c>
      <c r="N655" s="27">
        <f>10.6817 * CHOOSE(CONTROL!$C$32, $C$9, 100%, $E$9)</f>
        <v>10.681699999999999</v>
      </c>
      <c r="O655" s="27">
        <f>10.687 * CHOOSE(CONTROL!$C$32, $C$9, 100%, $E$9)</f>
        <v>10.686999999999999</v>
      </c>
    </row>
    <row r="656" spans="1:15" ht="15" x14ac:dyDescent="0.2">
      <c r="A656" s="16">
        <v>60814</v>
      </c>
      <c r="B656" s="26">
        <f>9.5021 * CHOOSE(CONTROL!$C$32, $C$9, 100%, $E$9)</f>
        <v>9.5021000000000004</v>
      </c>
      <c r="C656" s="26">
        <f>9.5021 * CHOOSE(CONTROL!$C$32, $C$9, 100%, $E$9)</f>
        <v>9.5021000000000004</v>
      </c>
      <c r="D656" s="26">
        <f>9.5037 * CHOOSE(CONTROL!$C$32, $C$9, 100%, $E$9)</f>
        <v>9.5037000000000003</v>
      </c>
      <c r="E656" s="27">
        <f>10.8309 * CHOOSE(CONTROL!$C$32, $C$9, 100%, $E$9)</f>
        <v>10.8309</v>
      </c>
      <c r="F656" s="27">
        <f>10.8309 * CHOOSE(CONTROL!$C$32, $C$9, 100%, $E$9)</f>
        <v>10.8309</v>
      </c>
      <c r="G656" s="27">
        <f>10.8362 * CHOOSE(CONTROL!$C$32, $C$9, 100%, $E$9)</f>
        <v>10.8362</v>
      </c>
      <c r="H656" s="27">
        <f>20.9138 * CHOOSE(CONTROL!$C$32, $C$9, 100%, $E$9)</f>
        <v>20.913799999999998</v>
      </c>
      <c r="I656" s="27">
        <f>20.9191 * CHOOSE(CONTROL!$C$32, $C$9, 100%, $E$9)</f>
        <v>20.9191</v>
      </c>
      <c r="J656" s="27">
        <f>20.9138 * CHOOSE(CONTROL!$C$32, $C$9, 100%, $E$9)</f>
        <v>20.913799999999998</v>
      </c>
      <c r="K656" s="27">
        <f>20.9191 * CHOOSE(CONTROL!$C$32, $C$9, 100%, $E$9)</f>
        <v>20.9191</v>
      </c>
      <c r="L656" s="27">
        <f>10.8309 * CHOOSE(CONTROL!$C$32, $C$9, 100%, $E$9)</f>
        <v>10.8309</v>
      </c>
      <c r="M656" s="27">
        <f>10.8362 * CHOOSE(CONTROL!$C$32, $C$9, 100%, $E$9)</f>
        <v>10.8362</v>
      </c>
      <c r="N656" s="27">
        <f>10.8309 * CHOOSE(CONTROL!$C$32, $C$9, 100%, $E$9)</f>
        <v>10.8309</v>
      </c>
      <c r="O656" s="27">
        <f>10.8362 * CHOOSE(CONTROL!$C$32, $C$9, 100%, $E$9)</f>
        <v>10.8362</v>
      </c>
    </row>
    <row r="657" spans="1:15" ht="15" x14ac:dyDescent="0.2">
      <c r="A657" s="16">
        <v>60845</v>
      </c>
      <c r="B657" s="26">
        <f>9.5088 * CHOOSE(CONTROL!$C$32, $C$9, 100%, $E$9)</f>
        <v>9.5088000000000008</v>
      </c>
      <c r="C657" s="26">
        <f>9.5088 * CHOOSE(CONTROL!$C$32, $C$9, 100%, $E$9)</f>
        <v>9.5088000000000008</v>
      </c>
      <c r="D657" s="26">
        <f>9.5104 * CHOOSE(CONTROL!$C$32, $C$9, 100%, $E$9)</f>
        <v>9.5104000000000006</v>
      </c>
      <c r="E657" s="27">
        <f>10.5874 * CHOOSE(CONTROL!$C$32, $C$9, 100%, $E$9)</f>
        <v>10.587400000000001</v>
      </c>
      <c r="F657" s="27">
        <f>10.5874 * CHOOSE(CONTROL!$C$32, $C$9, 100%, $E$9)</f>
        <v>10.587400000000001</v>
      </c>
      <c r="G657" s="27">
        <f>10.5927 * CHOOSE(CONTROL!$C$32, $C$9, 100%, $E$9)</f>
        <v>10.592700000000001</v>
      </c>
      <c r="H657" s="27">
        <f>20.9574 * CHOOSE(CONTROL!$C$32, $C$9, 100%, $E$9)</f>
        <v>20.9574</v>
      </c>
      <c r="I657" s="27">
        <f>20.9627 * CHOOSE(CONTROL!$C$32, $C$9, 100%, $E$9)</f>
        <v>20.962700000000002</v>
      </c>
      <c r="J657" s="27">
        <f>20.9574 * CHOOSE(CONTROL!$C$32, $C$9, 100%, $E$9)</f>
        <v>20.9574</v>
      </c>
      <c r="K657" s="27">
        <f>20.9627 * CHOOSE(CONTROL!$C$32, $C$9, 100%, $E$9)</f>
        <v>20.962700000000002</v>
      </c>
      <c r="L657" s="27">
        <f>10.5874 * CHOOSE(CONTROL!$C$32, $C$9, 100%, $E$9)</f>
        <v>10.587400000000001</v>
      </c>
      <c r="M657" s="27">
        <f>10.5927 * CHOOSE(CONTROL!$C$32, $C$9, 100%, $E$9)</f>
        <v>10.592700000000001</v>
      </c>
      <c r="N657" s="27">
        <f>10.5874 * CHOOSE(CONTROL!$C$32, $C$9, 100%, $E$9)</f>
        <v>10.587400000000001</v>
      </c>
      <c r="O657" s="27">
        <f>10.5927 * CHOOSE(CONTROL!$C$32, $C$9, 100%, $E$9)</f>
        <v>10.592700000000001</v>
      </c>
    </row>
    <row r="658" spans="1:15" ht="15" x14ac:dyDescent="0.2">
      <c r="A658" s="16">
        <v>60876</v>
      </c>
      <c r="B658" s="26">
        <f>9.5058 * CHOOSE(CONTROL!$C$32, $C$9, 100%, $E$9)</f>
        <v>9.5058000000000007</v>
      </c>
      <c r="C658" s="26">
        <f>9.5058 * CHOOSE(CONTROL!$C$32, $C$9, 100%, $E$9)</f>
        <v>9.5058000000000007</v>
      </c>
      <c r="D658" s="26">
        <f>9.5074 * CHOOSE(CONTROL!$C$32, $C$9, 100%, $E$9)</f>
        <v>9.5074000000000005</v>
      </c>
      <c r="E658" s="27">
        <f>10.5577 * CHOOSE(CONTROL!$C$32, $C$9, 100%, $E$9)</f>
        <v>10.557700000000001</v>
      </c>
      <c r="F658" s="27">
        <f>10.5577 * CHOOSE(CONTROL!$C$32, $C$9, 100%, $E$9)</f>
        <v>10.557700000000001</v>
      </c>
      <c r="G658" s="27">
        <f>10.563 * CHOOSE(CONTROL!$C$32, $C$9, 100%, $E$9)</f>
        <v>10.563000000000001</v>
      </c>
      <c r="H658" s="27">
        <f>21.0011 * CHOOSE(CONTROL!$C$32, $C$9, 100%, $E$9)</f>
        <v>21.001100000000001</v>
      </c>
      <c r="I658" s="27">
        <f>21.0064 * CHOOSE(CONTROL!$C$32, $C$9, 100%, $E$9)</f>
        <v>21.006399999999999</v>
      </c>
      <c r="J658" s="27">
        <f>21.0011 * CHOOSE(CONTROL!$C$32, $C$9, 100%, $E$9)</f>
        <v>21.001100000000001</v>
      </c>
      <c r="K658" s="27">
        <f>21.0064 * CHOOSE(CONTROL!$C$32, $C$9, 100%, $E$9)</f>
        <v>21.006399999999999</v>
      </c>
      <c r="L658" s="27">
        <f>10.5577 * CHOOSE(CONTROL!$C$32, $C$9, 100%, $E$9)</f>
        <v>10.557700000000001</v>
      </c>
      <c r="M658" s="27">
        <f>10.563 * CHOOSE(CONTROL!$C$32, $C$9, 100%, $E$9)</f>
        <v>10.563000000000001</v>
      </c>
      <c r="N658" s="27">
        <f>10.5577 * CHOOSE(CONTROL!$C$32, $C$9, 100%, $E$9)</f>
        <v>10.557700000000001</v>
      </c>
      <c r="O658" s="27">
        <f>10.563 * CHOOSE(CONTROL!$C$32, $C$9, 100%, $E$9)</f>
        <v>10.563000000000001</v>
      </c>
    </row>
    <row r="659" spans="1:15" ht="15" x14ac:dyDescent="0.2">
      <c r="A659" s="16">
        <v>60906</v>
      </c>
      <c r="B659" s="26">
        <f>9.5214 * CHOOSE(CONTROL!$C$32, $C$9, 100%, $E$9)</f>
        <v>9.5213999999999999</v>
      </c>
      <c r="C659" s="26">
        <f>9.5214 * CHOOSE(CONTROL!$C$32, $C$9, 100%, $E$9)</f>
        <v>9.5213999999999999</v>
      </c>
      <c r="D659" s="26">
        <f>9.5225 * CHOOSE(CONTROL!$C$32, $C$9, 100%, $E$9)</f>
        <v>9.5225000000000009</v>
      </c>
      <c r="E659" s="27">
        <f>10.6546 * CHOOSE(CONTROL!$C$32, $C$9, 100%, $E$9)</f>
        <v>10.6546</v>
      </c>
      <c r="F659" s="27">
        <f>10.6546 * CHOOSE(CONTROL!$C$32, $C$9, 100%, $E$9)</f>
        <v>10.6546</v>
      </c>
      <c r="G659" s="27">
        <f>10.6582 * CHOOSE(CONTROL!$C$32, $C$9, 100%, $E$9)</f>
        <v>10.658200000000001</v>
      </c>
      <c r="H659" s="27">
        <f>21.0448 * CHOOSE(CONTROL!$C$32, $C$9, 100%, $E$9)</f>
        <v>21.044799999999999</v>
      </c>
      <c r="I659" s="27">
        <f>21.0484 * CHOOSE(CONTROL!$C$32, $C$9, 100%, $E$9)</f>
        <v>21.048400000000001</v>
      </c>
      <c r="J659" s="27">
        <f>21.0448 * CHOOSE(CONTROL!$C$32, $C$9, 100%, $E$9)</f>
        <v>21.044799999999999</v>
      </c>
      <c r="K659" s="27">
        <f>21.0484 * CHOOSE(CONTROL!$C$32, $C$9, 100%, $E$9)</f>
        <v>21.048400000000001</v>
      </c>
      <c r="L659" s="27">
        <f>10.6546 * CHOOSE(CONTROL!$C$32, $C$9, 100%, $E$9)</f>
        <v>10.6546</v>
      </c>
      <c r="M659" s="27">
        <f>10.6582 * CHOOSE(CONTROL!$C$32, $C$9, 100%, $E$9)</f>
        <v>10.658200000000001</v>
      </c>
      <c r="N659" s="27">
        <f>10.6546 * CHOOSE(CONTROL!$C$32, $C$9, 100%, $E$9)</f>
        <v>10.6546</v>
      </c>
      <c r="O659" s="27">
        <f>10.6582 * CHOOSE(CONTROL!$C$32, $C$9, 100%, $E$9)</f>
        <v>10.658200000000001</v>
      </c>
    </row>
    <row r="660" spans="1:15" ht="15" x14ac:dyDescent="0.2">
      <c r="A660" s="16">
        <v>60937</v>
      </c>
      <c r="B660" s="26">
        <f>9.5244 * CHOOSE(CONTROL!$C$32, $C$9, 100%, $E$9)</f>
        <v>9.5244</v>
      </c>
      <c r="C660" s="26">
        <f>9.5244 * CHOOSE(CONTROL!$C$32, $C$9, 100%, $E$9)</f>
        <v>9.5244</v>
      </c>
      <c r="D660" s="26">
        <f>9.5255 * CHOOSE(CONTROL!$C$32, $C$9, 100%, $E$9)</f>
        <v>9.5254999999999992</v>
      </c>
      <c r="E660" s="27">
        <f>10.7119 * CHOOSE(CONTROL!$C$32, $C$9, 100%, $E$9)</f>
        <v>10.7119</v>
      </c>
      <c r="F660" s="27">
        <f>10.7119 * CHOOSE(CONTROL!$C$32, $C$9, 100%, $E$9)</f>
        <v>10.7119</v>
      </c>
      <c r="G660" s="27">
        <f>10.7155 * CHOOSE(CONTROL!$C$32, $C$9, 100%, $E$9)</f>
        <v>10.7155</v>
      </c>
      <c r="H660" s="27">
        <f>21.0887 * CHOOSE(CONTROL!$C$32, $C$9, 100%, $E$9)</f>
        <v>21.088699999999999</v>
      </c>
      <c r="I660" s="27">
        <f>21.0923 * CHOOSE(CONTROL!$C$32, $C$9, 100%, $E$9)</f>
        <v>21.092300000000002</v>
      </c>
      <c r="J660" s="27">
        <f>21.0887 * CHOOSE(CONTROL!$C$32, $C$9, 100%, $E$9)</f>
        <v>21.088699999999999</v>
      </c>
      <c r="K660" s="27">
        <f>21.0923 * CHOOSE(CONTROL!$C$32, $C$9, 100%, $E$9)</f>
        <v>21.092300000000002</v>
      </c>
      <c r="L660" s="27">
        <f>10.7119 * CHOOSE(CONTROL!$C$32, $C$9, 100%, $E$9)</f>
        <v>10.7119</v>
      </c>
      <c r="M660" s="27">
        <f>10.7155 * CHOOSE(CONTROL!$C$32, $C$9, 100%, $E$9)</f>
        <v>10.7155</v>
      </c>
      <c r="N660" s="27">
        <f>10.7119 * CHOOSE(CONTROL!$C$32, $C$9, 100%, $E$9)</f>
        <v>10.7119</v>
      </c>
      <c r="O660" s="27">
        <f>10.7155 * CHOOSE(CONTROL!$C$32, $C$9, 100%, $E$9)</f>
        <v>10.7155</v>
      </c>
    </row>
    <row r="661" spans="1:15" ht="15" x14ac:dyDescent="0.2">
      <c r="A661" s="16">
        <v>60967</v>
      </c>
      <c r="B661" s="26">
        <f>9.5244 * CHOOSE(CONTROL!$C$32, $C$9, 100%, $E$9)</f>
        <v>9.5244</v>
      </c>
      <c r="C661" s="26">
        <f>9.5244 * CHOOSE(CONTROL!$C$32, $C$9, 100%, $E$9)</f>
        <v>9.5244</v>
      </c>
      <c r="D661" s="26">
        <f>9.5255 * CHOOSE(CONTROL!$C$32, $C$9, 100%, $E$9)</f>
        <v>9.5254999999999992</v>
      </c>
      <c r="E661" s="27">
        <f>10.574 * CHOOSE(CONTROL!$C$32, $C$9, 100%, $E$9)</f>
        <v>10.574</v>
      </c>
      <c r="F661" s="27">
        <f>10.574 * CHOOSE(CONTROL!$C$32, $C$9, 100%, $E$9)</f>
        <v>10.574</v>
      </c>
      <c r="G661" s="27">
        <f>10.5776 * CHOOSE(CONTROL!$C$32, $C$9, 100%, $E$9)</f>
        <v>10.5776</v>
      </c>
      <c r="H661" s="27">
        <f>21.1326 * CHOOSE(CONTROL!$C$32, $C$9, 100%, $E$9)</f>
        <v>21.1326</v>
      </c>
      <c r="I661" s="27">
        <f>21.1362 * CHOOSE(CONTROL!$C$32, $C$9, 100%, $E$9)</f>
        <v>21.136199999999999</v>
      </c>
      <c r="J661" s="27">
        <f>21.1326 * CHOOSE(CONTROL!$C$32, $C$9, 100%, $E$9)</f>
        <v>21.1326</v>
      </c>
      <c r="K661" s="27">
        <f>21.1362 * CHOOSE(CONTROL!$C$32, $C$9, 100%, $E$9)</f>
        <v>21.136199999999999</v>
      </c>
      <c r="L661" s="27">
        <f>10.574 * CHOOSE(CONTROL!$C$32, $C$9, 100%, $E$9)</f>
        <v>10.574</v>
      </c>
      <c r="M661" s="27">
        <f>10.5776 * CHOOSE(CONTROL!$C$32, $C$9, 100%, $E$9)</f>
        <v>10.5776</v>
      </c>
      <c r="N661" s="27">
        <f>10.574 * CHOOSE(CONTROL!$C$32, $C$9, 100%, $E$9)</f>
        <v>10.574</v>
      </c>
      <c r="O661" s="27">
        <f>10.5776 * CHOOSE(CONTROL!$C$32, $C$9, 100%, $E$9)</f>
        <v>10.5776</v>
      </c>
    </row>
    <row r="662" spans="1:15" ht="15" x14ac:dyDescent="0.2">
      <c r="A662" s="16">
        <v>60998</v>
      </c>
      <c r="B662" s="26">
        <f>9.569 * CHOOSE(CONTROL!$C$32, $C$9, 100%, $E$9)</f>
        <v>9.5690000000000008</v>
      </c>
      <c r="C662" s="26">
        <f>9.569 * CHOOSE(CONTROL!$C$32, $C$9, 100%, $E$9)</f>
        <v>9.5690000000000008</v>
      </c>
      <c r="D662" s="26">
        <f>9.5701 * CHOOSE(CONTROL!$C$32, $C$9, 100%, $E$9)</f>
        <v>9.5701000000000001</v>
      </c>
      <c r="E662" s="27">
        <f>10.733 * CHOOSE(CONTROL!$C$32, $C$9, 100%, $E$9)</f>
        <v>10.733000000000001</v>
      </c>
      <c r="F662" s="27">
        <f>10.733 * CHOOSE(CONTROL!$C$32, $C$9, 100%, $E$9)</f>
        <v>10.733000000000001</v>
      </c>
      <c r="G662" s="27">
        <f>10.7366 * CHOOSE(CONTROL!$C$32, $C$9, 100%, $E$9)</f>
        <v>10.736599999999999</v>
      </c>
      <c r="H662" s="27">
        <f>21.1078 * CHOOSE(CONTROL!$C$32, $C$9, 100%, $E$9)</f>
        <v>21.107800000000001</v>
      </c>
      <c r="I662" s="27">
        <f>21.1114 * CHOOSE(CONTROL!$C$32, $C$9, 100%, $E$9)</f>
        <v>21.1114</v>
      </c>
      <c r="J662" s="27">
        <f>21.1078 * CHOOSE(CONTROL!$C$32, $C$9, 100%, $E$9)</f>
        <v>21.107800000000001</v>
      </c>
      <c r="K662" s="27">
        <f>21.1114 * CHOOSE(CONTROL!$C$32, $C$9, 100%, $E$9)</f>
        <v>21.1114</v>
      </c>
      <c r="L662" s="27">
        <f>10.733 * CHOOSE(CONTROL!$C$32, $C$9, 100%, $E$9)</f>
        <v>10.733000000000001</v>
      </c>
      <c r="M662" s="27">
        <f>10.7366 * CHOOSE(CONTROL!$C$32, $C$9, 100%, $E$9)</f>
        <v>10.736599999999999</v>
      </c>
      <c r="N662" s="27">
        <f>10.733 * CHOOSE(CONTROL!$C$32, $C$9, 100%, $E$9)</f>
        <v>10.733000000000001</v>
      </c>
      <c r="O662" s="27">
        <f>10.7366 * CHOOSE(CONTROL!$C$32, $C$9, 100%, $E$9)</f>
        <v>10.736599999999999</v>
      </c>
    </row>
    <row r="663" spans="1:15" ht="15" x14ac:dyDescent="0.2">
      <c r="A663" s="16">
        <v>61029</v>
      </c>
      <c r="B663" s="26">
        <f>9.566 * CHOOSE(CONTROL!$C$32, $C$9, 100%, $E$9)</f>
        <v>9.5660000000000007</v>
      </c>
      <c r="C663" s="26">
        <f>9.566 * CHOOSE(CONTROL!$C$32, $C$9, 100%, $E$9)</f>
        <v>9.5660000000000007</v>
      </c>
      <c r="D663" s="26">
        <f>9.567 * CHOOSE(CONTROL!$C$32, $C$9, 100%, $E$9)</f>
        <v>9.5670000000000002</v>
      </c>
      <c r="E663" s="27">
        <f>10.4632 * CHOOSE(CONTROL!$C$32, $C$9, 100%, $E$9)</f>
        <v>10.463200000000001</v>
      </c>
      <c r="F663" s="27">
        <f>10.4632 * CHOOSE(CONTROL!$C$32, $C$9, 100%, $E$9)</f>
        <v>10.463200000000001</v>
      </c>
      <c r="G663" s="27">
        <f>10.4669 * CHOOSE(CONTROL!$C$32, $C$9, 100%, $E$9)</f>
        <v>10.466900000000001</v>
      </c>
      <c r="H663" s="27">
        <f>21.1518 * CHOOSE(CONTROL!$C$32, $C$9, 100%, $E$9)</f>
        <v>21.151800000000001</v>
      </c>
      <c r="I663" s="27">
        <f>21.1554 * CHOOSE(CONTROL!$C$32, $C$9, 100%, $E$9)</f>
        <v>21.1554</v>
      </c>
      <c r="J663" s="27">
        <f>21.1518 * CHOOSE(CONTROL!$C$32, $C$9, 100%, $E$9)</f>
        <v>21.151800000000001</v>
      </c>
      <c r="K663" s="27">
        <f>21.1554 * CHOOSE(CONTROL!$C$32, $C$9, 100%, $E$9)</f>
        <v>21.1554</v>
      </c>
      <c r="L663" s="27">
        <f>10.4632 * CHOOSE(CONTROL!$C$32, $C$9, 100%, $E$9)</f>
        <v>10.463200000000001</v>
      </c>
      <c r="M663" s="27">
        <f>10.4669 * CHOOSE(CONTROL!$C$32, $C$9, 100%, $E$9)</f>
        <v>10.466900000000001</v>
      </c>
      <c r="N663" s="27">
        <f>10.4632 * CHOOSE(CONTROL!$C$32, $C$9, 100%, $E$9)</f>
        <v>10.463200000000001</v>
      </c>
      <c r="O663" s="27">
        <f>10.4669 * CHOOSE(CONTROL!$C$32, $C$9, 100%, $E$9)</f>
        <v>10.466900000000001</v>
      </c>
    </row>
    <row r="664" spans="1:15" ht="15" x14ac:dyDescent="0.2">
      <c r="A664" s="16">
        <v>61057</v>
      </c>
      <c r="B664" s="26">
        <f>9.5629 * CHOOSE(CONTROL!$C$32, $C$9, 100%, $E$9)</f>
        <v>9.5629000000000008</v>
      </c>
      <c r="C664" s="26">
        <f>9.5629 * CHOOSE(CONTROL!$C$32, $C$9, 100%, $E$9)</f>
        <v>9.5629000000000008</v>
      </c>
      <c r="D664" s="26">
        <f>9.564 * CHOOSE(CONTROL!$C$32, $C$9, 100%, $E$9)</f>
        <v>9.5640000000000001</v>
      </c>
      <c r="E664" s="27">
        <f>10.6721 * CHOOSE(CONTROL!$C$32, $C$9, 100%, $E$9)</f>
        <v>10.6721</v>
      </c>
      <c r="F664" s="27">
        <f>10.6721 * CHOOSE(CONTROL!$C$32, $C$9, 100%, $E$9)</f>
        <v>10.6721</v>
      </c>
      <c r="G664" s="27">
        <f>10.6757 * CHOOSE(CONTROL!$C$32, $C$9, 100%, $E$9)</f>
        <v>10.675700000000001</v>
      </c>
      <c r="H664" s="27">
        <f>21.1958 * CHOOSE(CONTROL!$C$32, $C$9, 100%, $E$9)</f>
        <v>21.195799999999998</v>
      </c>
      <c r="I664" s="27">
        <f>21.1995 * CHOOSE(CONTROL!$C$32, $C$9, 100%, $E$9)</f>
        <v>21.1995</v>
      </c>
      <c r="J664" s="27">
        <f>21.1958 * CHOOSE(CONTROL!$C$32, $C$9, 100%, $E$9)</f>
        <v>21.195799999999998</v>
      </c>
      <c r="K664" s="27">
        <f>21.1995 * CHOOSE(CONTROL!$C$32, $C$9, 100%, $E$9)</f>
        <v>21.1995</v>
      </c>
      <c r="L664" s="27">
        <f>10.6721 * CHOOSE(CONTROL!$C$32, $C$9, 100%, $E$9)</f>
        <v>10.6721</v>
      </c>
      <c r="M664" s="27">
        <f>10.6757 * CHOOSE(CONTROL!$C$32, $C$9, 100%, $E$9)</f>
        <v>10.675700000000001</v>
      </c>
      <c r="N664" s="27">
        <f>10.6721 * CHOOSE(CONTROL!$C$32, $C$9, 100%, $E$9)</f>
        <v>10.6721</v>
      </c>
      <c r="O664" s="27">
        <f>10.6757 * CHOOSE(CONTROL!$C$32, $C$9, 100%, $E$9)</f>
        <v>10.675700000000001</v>
      </c>
    </row>
    <row r="665" spans="1:15" ht="15" x14ac:dyDescent="0.2">
      <c r="A665" s="16">
        <v>61088</v>
      </c>
      <c r="B665" s="26">
        <f>9.566 * CHOOSE(CONTROL!$C$32, $C$9, 100%, $E$9)</f>
        <v>9.5660000000000007</v>
      </c>
      <c r="C665" s="26">
        <f>9.566 * CHOOSE(CONTROL!$C$32, $C$9, 100%, $E$9)</f>
        <v>9.5660000000000007</v>
      </c>
      <c r="D665" s="26">
        <f>9.567 * CHOOSE(CONTROL!$C$32, $C$9, 100%, $E$9)</f>
        <v>9.5670000000000002</v>
      </c>
      <c r="E665" s="27">
        <f>10.8945 * CHOOSE(CONTROL!$C$32, $C$9, 100%, $E$9)</f>
        <v>10.894500000000001</v>
      </c>
      <c r="F665" s="27">
        <f>10.8945 * CHOOSE(CONTROL!$C$32, $C$9, 100%, $E$9)</f>
        <v>10.894500000000001</v>
      </c>
      <c r="G665" s="27">
        <f>10.8981 * CHOOSE(CONTROL!$C$32, $C$9, 100%, $E$9)</f>
        <v>10.898099999999999</v>
      </c>
      <c r="H665" s="27">
        <f>21.24 * CHOOSE(CONTROL!$C$32, $C$9, 100%, $E$9)</f>
        <v>21.24</v>
      </c>
      <c r="I665" s="27">
        <f>21.2436 * CHOOSE(CONTROL!$C$32, $C$9, 100%, $E$9)</f>
        <v>21.243600000000001</v>
      </c>
      <c r="J665" s="27">
        <f>21.24 * CHOOSE(CONTROL!$C$32, $C$9, 100%, $E$9)</f>
        <v>21.24</v>
      </c>
      <c r="K665" s="27">
        <f>21.2436 * CHOOSE(CONTROL!$C$32, $C$9, 100%, $E$9)</f>
        <v>21.243600000000001</v>
      </c>
      <c r="L665" s="27">
        <f>10.8945 * CHOOSE(CONTROL!$C$32, $C$9, 100%, $E$9)</f>
        <v>10.894500000000001</v>
      </c>
      <c r="M665" s="27">
        <f>10.8981 * CHOOSE(CONTROL!$C$32, $C$9, 100%, $E$9)</f>
        <v>10.898099999999999</v>
      </c>
      <c r="N665" s="27">
        <f>10.8945 * CHOOSE(CONTROL!$C$32, $C$9, 100%, $E$9)</f>
        <v>10.894500000000001</v>
      </c>
      <c r="O665" s="27">
        <f>10.8981 * CHOOSE(CONTROL!$C$32, $C$9, 100%, $E$9)</f>
        <v>10.898099999999999</v>
      </c>
    </row>
    <row r="666" spans="1:15" ht="15" x14ac:dyDescent="0.2">
      <c r="A666" s="16">
        <v>61118</v>
      </c>
      <c r="B666" s="26">
        <f>9.566 * CHOOSE(CONTROL!$C$32, $C$9, 100%, $E$9)</f>
        <v>9.5660000000000007</v>
      </c>
      <c r="C666" s="26">
        <f>9.566 * CHOOSE(CONTROL!$C$32, $C$9, 100%, $E$9)</f>
        <v>9.5660000000000007</v>
      </c>
      <c r="D666" s="26">
        <f>9.5675 * CHOOSE(CONTROL!$C$32, $C$9, 100%, $E$9)</f>
        <v>9.5675000000000008</v>
      </c>
      <c r="E666" s="27">
        <f>10.9795 * CHOOSE(CONTROL!$C$32, $C$9, 100%, $E$9)</f>
        <v>10.9795</v>
      </c>
      <c r="F666" s="27">
        <f>10.9795 * CHOOSE(CONTROL!$C$32, $C$9, 100%, $E$9)</f>
        <v>10.9795</v>
      </c>
      <c r="G666" s="27">
        <f>10.9848 * CHOOSE(CONTROL!$C$32, $C$9, 100%, $E$9)</f>
        <v>10.9848</v>
      </c>
      <c r="H666" s="27">
        <f>21.2843 * CHOOSE(CONTROL!$C$32, $C$9, 100%, $E$9)</f>
        <v>21.284300000000002</v>
      </c>
      <c r="I666" s="27">
        <f>21.2895 * CHOOSE(CONTROL!$C$32, $C$9, 100%, $E$9)</f>
        <v>21.2895</v>
      </c>
      <c r="J666" s="27">
        <f>21.2843 * CHOOSE(CONTROL!$C$32, $C$9, 100%, $E$9)</f>
        <v>21.284300000000002</v>
      </c>
      <c r="K666" s="27">
        <f>21.2895 * CHOOSE(CONTROL!$C$32, $C$9, 100%, $E$9)</f>
        <v>21.2895</v>
      </c>
      <c r="L666" s="27">
        <f>10.9795 * CHOOSE(CONTROL!$C$32, $C$9, 100%, $E$9)</f>
        <v>10.9795</v>
      </c>
      <c r="M666" s="27">
        <f>10.9848 * CHOOSE(CONTROL!$C$32, $C$9, 100%, $E$9)</f>
        <v>10.9848</v>
      </c>
      <c r="N666" s="27">
        <f>10.9795 * CHOOSE(CONTROL!$C$32, $C$9, 100%, $E$9)</f>
        <v>10.9795</v>
      </c>
      <c r="O666" s="27">
        <f>10.9848 * CHOOSE(CONTROL!$C$32, $C$9, 100%, $E$9)</f>
        <v>10.9848</v>
      </c>
    </row>
    <row r="667" spans="1:15" ht="15" x14ac:dyDescent="0.2">
      <c r="A667" s="16">
        <v>61149</v>
      </c>
      <c r="B667" s="26">
        <f>9.572 * CHOOSE(CONTROL!$C$32, $C$9, 100%, $E$9)</f>
        <v>9.5719999999999992</v>
      </c>
      <c r="C667" s="26">
        <f>9.572 * CHOOSE(CONTROL!$C$32, $C$9, 100%, $E$9)</f>
        <v>9.5719999999999992</v>
      </c>
      <c r="D667" s="26">
        <f>9.5736 * CHOOSE(CONTROL!$C$32, $C$9, 100%, $E$9)</f>
        <v>9.5736000000000008</v>
      </c>
      <c r="E667" s="27">
        <f>10.8987 * CHOOSE(CONTROL!$C$32, $C$9, 100%, $E$9)</f>
        <v>10.8987</v>
      </c>
      <c r="F667" s="27">
        <f>10.8987 * CHOOSE(CONTROL!$C$32, $C$9, 100%, $E$9)</f>
        <v>10.8987</v>
      </c>
      <c r="G667" s="27">
        <f>10.904 * CHOOSE(CONTROL!$C$32, $C$9, 100%, $E$9)</f>
        <v>10.904</v>
      </c>
      <c r="H667" s="27">
        <f>21.3286 * CHOOSE(CONTROL!$C$32, $C$9, 100%, $E$9)</f>
        <v>21.328600000000002</v>
      </c>
      <c r="I667" s="27">
        <f>21.3339 * CHOOSE(CONTROL!$C$32, $C$9, 100%, $E$9)</f>
        <v>21.3339</v>
      </c>
      <c r="J667" s="27">
        <f>21.3286 * CHOOSE(CONTROL!$C$32, $C$9, 100%, $E$9)</f>
        <v>21.328600000000002</v>
      </c>
      <c r="K667" s="27">
        <f>21.3339 * CHOOSE(CONTROL!$C$32, $C$9, 100%, $E$9)</f>
        <v>21.3339</v>
      </c>
      <c r="L667" s="27">
        <f>10.8987 * CHOOSE(CONTROL!$C$32, $C$9, 100%, $E$9)</f>
        <v>10.8987</v>
      </c>
      <c r="M667" s="27">
        <f>10.904 * CHOOSE(CONTROL!$C$32, $C$9, 100%, $E$9)</f>
        <v>10.904</v>
      </c>
      <c r="N667" s="27">
        <f>10.8987 * CHOOSE(CONTROL!$C$32, $C$9, 100%, $E$9)</f>
        <v>10.8987</v>
      </c>
      <c r="O667" s="27">
        <f>10.904 * CHOOSE(CONTROL!$C$32, $C$9, 100%, $E$9)</f>
        <v>10.904</v>
      </c>
    </row>
    <row r="668" spans="1:15" ht="15" x14ac:dyDescent="0.2">
      <c r="A668" s="16">
        <v>61179</v>
      </c>
      <c r="B668" s="26">
        <f>9.6917 * CHOOSE(CONTROL!$C$32, $C$9, 100%, $E$9)</f>
        <v>9.6917000000000009</v>
      </c>
      <c r="C668" s="26">
        <f>9.6917 * CHOOSE(CONTROL!$C$32, $C$9, 100%, $E$9)</f>
        <v>9.6917000000000009</v>
      </c>
      <c r="D668" s="26">
        <f>9.6933 * CHOOSE(CONTROL!$C$32, $C$9, 100%, $E$9)</f>
        <v>9.6933000000000007</v>
      </c>
      <c r="E668" s="27">
        <f>11.0511 * CHOOSE(CONTROL!$C$32, $C$9, 100%, $E$9)</f>
        <v>11.0511</v>
      </c>
      <c r="F668" s="27">
        <f>11.0511 * CHOOSE(CONTROL!$C$32, $C$9, 100%, $E$9)</f>
        <v>11.0511</v>
      </c>
      <c r="G668" s="27">
        <f>11.0564 * CHOOSE(CONTROL!$C$32, $C$9, 100%, $E$9)</f>
        <v>11.0564</v>
      </c>
      <c r="H668" s="27">
        <f>21.373 * CHOOSE(CONTROL!$C$32, $C$9, 100%, $E$9)</f>
        <v>21.373000000000001</v>
      </c>
      <c r="I668" s="27">
        <f>21.3783 * CHOOSE(CONTROL!$C$32, $C$9, 100%, $E$9)</f>
        <v>21.378299999999999</v>
      </c>
      <c r="J668" s="27">
        <f>21.373 * CHOOSE(CONTROL!$C$32, $C$9, 100%, $E$9)</f>
        <v>21.373000000000001</v>
      </c>
      <c r="K668" s="27">
        <f>21.3783 * CHOOSE(CONTROL!$C$32, $C$9, 100%, $E$9)</f>
        <v>21.378299999999999</v>
      </c>
      <c r="L668" s="27">
        <f>11.0511 * CHOOSE(CONTROL!$C$32, $C$9, 100%, $E$9)</f>
        <v>11.0511</v>
      </c>
      <c r="M668" s="27">
        <f>11.0564 * CHOOSE(CONTROL!$C$32, $C$9, 100%, $E$9)</f>
        <v>11.0564</v>
      </c>
      <c r="N668" s="27">
        <f>11.0511 * CHOOSE(CONTROL!$C$32, $C$9, 100%, $E$9)</f>
        <v>11.0511</v>
      </c>
      <c r="O668" s="27">
        <f>11.0564 * CHOOSE(CONTROL!$C$32, $C$9, 100%, $E$9)</f>
        <v>11.0564</v>
      </c>
    </row>
    <row r="669" spans="1:15" ht="15" x14ac:dyDescent="0.2">
      <c r="A669" s="16">
        <v>61210</v>
      </c>
      <c r="B669" s="26">
        <f>9.6984 * CHOOSE(CONTROL!$C$32, $C$9, 100%, $E$9)</f>
        <v>9.6983999999999995</v>
      </c>
      <c r="C669" s="26">
        <f>9.6984 * CHOOSE(CONTROL!$C$32, $C$9, 100%, $E$9)</f>
        <v>9.6983999999999995</v>
      </c>
      <c r="D669" s="26">
        <f>9.7 * CHOOSE(CONTROL!$C$32, $C$9, 100%, $E$9)</f>
        <v>9.6999999999999993</v>
      </c>
      <c r="E669" s="27">
        <f>10.8009 * CHOOSE(CONTROL!$C$32, $C$9, 100%, $E$9)</f>
        <v>10.8009</v>
      </c>
      <c r="F669" s="27">
        <f>10.8009 * CHOOSE(CONTROL!$C$32, $C$9, 100%, $E$9)</f>
        <v>10.8009</v>
      </c>
      <c r="G669" s="27">
        <f>10.8062 * CHOOSE(CONTROL!$C$32, $C$9, 100%, $E$9)</f>
        <v>10.8062</v>
      </c>
      <c r="H669" s="27">
        <f>21.4176 * CHOOSE(CONTROL!$C$32, $C$9, 100%, $E$9)</f>
        <v>21.4176</v>
      </c>
      <c r="I669" s="27">
        <f>21.4229 * CHOOSE(CONTROL!$C$32, $C$9, 100%, $E$9)</f>
        <v>21.422899999999998</v>
      </c>
      <c r="J669" s="27">
        <f>21.4176 * CHOOSE(CONTROL!$C$32, $C$9, 100%, $E$9)</f>
        <v>21.4176</v>
      </c>
      <c r="K669" s="27">
        <f>21.4229 * CHOOSE(CONTROL!$C$32, $C$9, 100%, $E$9)</f>
        <v>21.422899999999998</v>
      </c>
      <c r="L669" s="27">
        <f>10.8009 * CHOOSE(CONTROL!$C$32, $C$9, 100%, $E$9)</f>
        <v>10.8009</v>
      </c>
      <c r="M669" s="27">
        <f>10.8062 * CHOOSE(CONTROL!$C$32, $C$9, 100%, $E$9)</f>
        <v>10.8062</v>
      </c>
      <c r="N669" s="27">
        <f>10.8009 * CHOOSE(CONTROL!$C$32, $C$9, 100%, $E$9)</f>
        <v>10.8009</v>
      </c>
      <c r="O669" s="27">
        <f>10.8062 * CHOOSE(CONTROL!$C$32, $C$9, 100%, $E$9)</f>
        <v>10.8062</v>
      </c>
    </row>
    <row r="670" spans="1:15" ht="15" x14ac:dyDescent="0.2">
      <c r="A670" s="16">
        <v>61241</v>
      </c>
      <c r="B670" s="26">
        <f>9.6954 * CHOOSE(CONTROL!$C$32, $C$9, 100%, $E$9)</f>
        <v>9.6953999999999994</v>
      </c>
      <c r="C670" s="26">
        <f>9.6954 * CHOOSE(CONTROL!$C$32, $C$9, 100%, $E$9)</f>
        <v>9.6953999999999994</v>
      </c>
      <c r="D670" s="26">
        <f>9.697 * CHOOSE(CONTROL!$C$32, $C$9, 100%, $E$9)</f>
        <v>9.6969999999999992</v>
      </c>
      <c r="E670" s="27">
        <f>10.7704 * CHOOSE(CONTROL!$C$32, $C$9, 100%, $E$9)</f>
        <v>10.7704</v>
      </c>
      <c r="F670" s="27">
        <f>10.7704 * CHOOSE(CONTROL!$C$32, $C$9, 100%, $E$9)</f>
        <v>10.7704</v>
      </c>
      <c r="G670" s="27">
        <f>10.7757 * CHOOSE(CONTROL!$C$32, $C$9, 100%, $E$9)</f>
        <v>10.775700000000001</v>
      </c>
      <c r="H670" s="27">
        <f>21.4622 * CHOOSE(CONTROL!$C$32, $C$9, 100%, $E$9)</f>
        <v>21.462199999999999</v>
      </c>
      <c r="I670" s="27">
        <f>21.4675 * CHOOSE(CONTROL!$C$32, $C$9, 100%, $E$9)</f>
        <v>21.467500000000001</v>
      </c>
      <c r="J670" s="27">
        <f>21.4622 * CHOOSE(CONTROL!$C$32, $C$9, 100%, $E$9)</f>
        <v>21.462199999999999</v>
      </c>
      <c r="K670" s="27">
        <f>21.4675 * CHOOSE(CONTROL!$C$32, $C$9, 100%, $E$9)</f>
        <v>21.467500000000001</v>
      </c>
      <c r="L670" s="27">
        <f>10.7704 * CHOOSE(CONTROL!$C$32, $C$9, 100%, $E$9)</f>
        <v>10.7704</v>
      </c>
      <c r="M670" s="27">
        <f>10.7757 * CHOOSE(CONTROL!$C$32, $C$9, 100%, $E$9)</f>
        <v>10.775700000000001</v>
      </c>
      <c r="N670" s="27">
        <f>10.7704 * CHOOSE(CONTROL!$C$32, $C$9, 100%, $E$9)</f>
        <v>10.7704</v>
      </c>
      <c r="O670" s="27">
        <f>10.7757 * CHOOSE(CONTROL!$C$32, $C$9, 100%, $E$9)</f>
        <v>10.775700000000001</v>
      </c>
    </row>
    <row r="671" spans="1:15" ht="15" x14ac:dyDescent="0.2">
      <c r="A671" s="16">
        <v>61271</v>
      </c>
      <c r="B671" s="26">
        <f>9.7117 * CHOOSE(CONTROL!$C$32, $C$9, 100%, $E$9)</f>
        <v>9.7117000000000004</v>
      </c>
      <c r="C671" s="26">
        <f>9.7117 * CHOOSE(CONTROL!$C$32, $C$9, 100%, $E$9)</f>
        <v>9.7117000000000004</v>
      </c>
      <c r="D671" s="26">
        <f>9.7128 * CHOOSE(CONTROL!$C$32, $C$9, 100%, $E$9)</f>
        <v>9.7127999999999997</v>
      </c>
      <c r="E671" s="27">
        <f>10.8703 * CHOOSE(CONTROL!$C$32, $C$9, 100%, $E$9)</f>
        <v>10.8703</v>
      </c>
      <c r="F671" s="27">
        <f>10.8703 * CHOOSE(CONTROL!$C$32, $C$9, 100%, $E$9)</f>
        <v>10.8703</v>
      </c>
      <c r="G671" s="27">
        <f>10.8739 * CHOOSE(CONTROL!$C$32, $C$9, 100%, $E$9)</f>
        <v>10.873900000000001</v>
      </c>
      <c r="H671" s="27">
        <f>21.5069 * CHOOSE(CONTROL!$C$32, $C$9, 100%, $E$9)</f>
        <v>21.506900000000002</v>
      </c>
      <c r="I671" s="27">
        <f>21.5105 * CHOOSE(CONTROL!$C$32, $C$9, 100%, $E$9)</f>
        <v>21.5105</v>
      </c>
      <c r="J671" s="27">
        <f>21.5069 * CHOOSE(CONTROL!$C$32, $C$9, 100%, $E$9)</f>
        <v>21.506900000000002</v>
      </c>
      <c r="K671" s="27">
        <f>21.5105 * CHOOSE(CONTROL!$C$32, $C$9, 100%, $E$9)</f>
        <v>21.5105</v>
      </c>
      <c r="L671" s="27">
        <f>10.8703 * CHOOSE(CONTROL!$C$32, $C$9, 100%, $E$9)</f>
        <v>10.8703</v>
      </c>
      <c r="M671" s="27">
        <f>10.8739 * CHOOSE(CONTROL!$C$32, $C$9, 100%, $E$9)</f>
        <v>10.873900000000001</v>
      </c>
      <c r="N671" s="27">
        <f>10.8703 * CHOOSE(CONTROL!$C$32, $C$9, 100%, $E$9)</f>
        <v>10.8703</v>
      </c>
      <c r="O671" s="27">
        <f>10.8739 * CHOOSE(CONTROL!$C$32, $C$9, 100%, $E$9)</f>
        <v>10.873900000000001</v>
      </c>
    </row>
    <row r="672" spans="1:15" ht="15" x14ac:dyDescent="0.2">
      <c r="A672" s="16">
        <v>61302</v>
      </c>
      <c r="B672" s="26">
        <f>9.7147 * CHOOSE(CONTROL!$C$32, $C$9, 100%, $E$9)</f>
        <v>9.7147000000000006</v>
      </c>
      <c r="C672" s="26">
        <f>9.7147 * CHOOSE(CONTROL!$C$32, $C$9, 100%, $E$9)</f>
        <v>9.7147000000000006</v>
      </c>
      <c r="D672" s="26">
        <f>9.7158 * CHOOSE(CONTROL!$C$32, $C$9, 100%, $E$9)</f>
        <v>9.7157999999999998</v>
      </c>
      <c r="E672" s="27">
        <f>10.9291 * CHOOSE(CONTROL!$C$32, $C$9, 100%, $E$9)</f>
        <v>10.9291</v>
      </c>
      <c r="F672" s="27">
        <f>10.9291 * CHOOSE(CONTROL!$C$32, $C$9, 100%, $E$9)</f>
        <v>10.9291</v>
      </c>
      <c r="G672" s="27">
        <f>10.9327 * CHOOSE(CONTROL!$C$32, $C$9, 100%, $E$9)</f>
        <v>10.932700000000001</v>
      </c>
      <c r="H672" s="27">
        <f>21.5517 * CHOOSE(CONTROL!$C$32, $C$9, 100%, $E$9)</f>
        <v>21.5517</v>
      </c>
      <c r="I672" s="27">
        <f>21.5553 * CHOOSE(CONTROL!$C$32, $C$9, 100%, $E$9)</f>
        <v>21.555299999999999</v>
      </c>
      <c r="J672" s="27">
        <f>21.5517 * CHOOSE(CONTROL!$C$32, $C$9, 100%, $E$9)</f>
        <v>21.5517</v>
      </c>
      <c r="K672" s="27">
        <f>21.5553 * CHOOSE(CONTROL!$C$32, $C$9, 100%, $E$9)</f>
        <v>21.555299999999999</v>
      </c>
      <c r="L672" s="27">
        <f>10.9291 * CHOOSE(CONTROL!$C$32, $C$9, 100%, $E$9)</f>
        <v>10.9291</v>
      </c>
      <c r="M672" s="27">
        <f>10.9327 * CHOOSE(CONTROL!$C$32, $C$9, 100%, $E$9)</f>
        <v>10.932700000000001</v>
      </c>
      <c r="N672" s="27">
        <f>10.9291 * CHOOSE(CONTROL!$C$32, $C$9, 100%, $E$9)</f>
        <v>10.9291</v>
      </c>
      <c r="O672" s="27">
        <f>10.9327 * CHOOSE(CONTROL!$C$32, $C$9, 100%, $E$9)</f>
        <v>10.932700000000001</v>
      </c>
    </row>
    <row r="673" spans="1:15" ht="15" x14ac:dyDescent="0.2">
      <c r="A673" s="16">
        <v>61332</v>
      </c>
      <c r="B673" s="26">
        <f>9.7147 * CHOOSE(CONTROL!$C$32, $C$9, 100%, $E$9)</f>
        <v>9.7147000000000006</v>
      </c>
      <c r="C673" s="26">
        <f>9.7147 * CHOOSE(CONTROL!$C$32, $C$9, 100%, $E$9)</f>
        <v>9.7147000000000006</v>
      </c>
      <c r="D673" s="26">
        <f>9.7158 * CHOOSE(CONTROL!$C$32, $C$9, 100%, $E$9)</f>
        <v>9.7157999999999998</v>
      </c>
      <c r="E673" s="27">
        <f>10.7874 * CHOOSE(CONTROL!$C$32, $C$9, 100%, $E$9)</f>
        <v>10.7874</v>
      </c>
      <c r="F673" s="27">
        <f>10.7874 * CHOOSE(CONTROL!$C$32, $C$9, 100%, $E$9)</f>
        <v>10.7874</v>
      </c>
      <c r="G673" s="27">
        <f>10.7911 * CHOOSE(CONTROL!$C$32, $C$9, 100%, $E$9)</f>
        <v>10.7911</v>
      </c>
      <c r="H673" s="27">
        <f>21.5966 * CHOOSE(CONTROL!$C$32, $C$9, 100%, $E$9)</f>
        <v>21.596599999999999</v>
      </c>
      <c r="I673" s="27">
        <f>21.6002 * CHOOSE(CONTROL!$C$32, $C$9, 100%, $E$9)</f>
        <v>21.600200000000001</v>
      </c>
      <c r="J673" s="27">
        <f>21.5966 * CHOOSE(CONTROL!$C$32, $C$9, 100%, $E$9)</f>
        <v>21.596599999999999</v>
      </c>
      <c r="K673" s="27">
        <f>21.6002 * CHOOSE(CONTROL!$C$32, $C$9, 100%, $E$9)</f>
        <v>21.600200000000001</v>
      </c>
      <c r="L673" s="27">
        <f>10.7874 * CHOOSE(CONTROL!$C$32, $C$9, 100%, $E$9)</f>
        <v>10.7874</v>
      </c>
      <c r="M673" s="27">
        <f>10.7911 * CHOOSE(CONTROL!$C$32, $C$9, 100%, $E$9)</f>
        <v>10.7911</v>
      </c>
      <c r="N673" s="27">
        <f>10.7874 * CHOOSE(CONTROL!$C$32, $C$9, 100%, $E$9)</f>
        <v>10.7874</v>
      </c>
      <c r="O673" s="27">
        <f>10.7911 * CHOOSE(CONTROL!$C$32, $C$9, 100%, $E$9)</f>
        <v>10.7911</v>
      </c>
    </row>
    <row r="674" spans="1:15" ht="15" x14ac:dyDescent="0.2">
      <c r="A674" s="16">
        <v>61363</v>
      </c>
      <c r="B674" s="26">
        <f>9.7564 * CHOOSE(CONTROL!$C$32, $C$9, 100%, $E$9)</f>
        <v>9.7563999999999993</v>
      </c>
      <c r="C674" s="26">
        <f>9.7564 * CHOOSE(CONTROL!$C$32, $C$9, 100%, $E$9)</f>
        <v>9.7563999999999993</v>
      </c>
      <c r="D674" s="26">
        <f>9.7574 * CHOOSE(CONTROL!$C$32, $C$9, 100%, $E$9)</f>
        <v>9.7574000000000005</v>
      </c>
      <c r="E674" s="27">
        <f>10.9455 * CHOOSE(CONTROL!$C$32, $C$9, 100%, $E$9)</f>
        <v>10.945499999999999</v>
      </c>
      <c r="F674" s="27">
        <f>10.9455 * CHOOSE(CONTROL!$C$32, $C$9, 100%, $E$9)</f>
        <v>10.945499999999999</v>
      </c>
      <c r="G674" s="27">
        <f>10.9491 * CHOOSE(CONTROL!$C$32, $C$9, 100%, $E$9)</f>
        <v>10.9491</v>
      </c>
      <c r="H674" s="27">
        <f>21.5613 * CHOOSE(CONTROL!$C$32, $C$9, 100%, $E$9)</f>
        <v>21.561299999999999</v>
      </c>
      <c r="I674" s="27">
        <f>21.5649 * CHOOSE(CONTROL!$C$32, $C$9, 100%, $E$9)</f>
        <v>21.564900000000002</v>
      </c>
      <c r="J674" s="27">
        <f>21.5613 * CHOOSE(CONTROL!$C$32, $C$9, 100%, $E$9)</f>
        <v>21.561299999999999</v>
      </c>
      <c r="K674" s="27">
        <f>21.5649 * CHOOSE(CONTROL!$C$32, $C$9, 100%, $E$9)</f>
        <v>21.564900000000002</v>
      </c>
      <c r="L674" s="27">
        <f>10.9455 * CHOOSE(CONTROL!$C$32, $C$9, 100%, $E$9)</f>
        <v>10.945499999999999</v>
      </c>
      <c r="M674" s="27">
        <f>10.9491 * CHOOSE(CONTROL!$C$32, $C$9, 100%, $E$9)</f>
        <v>10.9491</v>
      </c>
      <c r="N674" s="27">
        <f>10.9455 * CHOOSE(CONTROL!$C$32, $C$9, 100%, $E$9)</f>
        <v>10.945499999999999</v>
      </c>
      <c r="O674" s="27">
        <f>10.9491 * CHOOSE(CONTROL!$C$32, $C$9, 100%, $E$9)</f>
        <v>10.9491</v>
      </c>
    </row>
    <row r="675" spans="1:15" ht="15" x14ac:dyDescent="0.2">
      <c r="A675" s="16">
        <v>61394</v>
      </c>
      <c r="B675" s="26">
        <f>9.7533 * CHOOSE(CONTROL!$C$32, $C$9, 100%, $E$9)</f>
        <v>9.7532999999999994</v>
      </c>
      <c r="C675" s="26">
        <f>9.7533 * CHOOSE(CONTROL!$C$32, $C$9, 100%, $E$9)</f>
        <v>9.7532999999999994</v>
      </c>
      <c r="D675" s="26">
        <f>9.7544 * CHOOSE(CONTROL!$C$32, $C$9, 100%, $E$9)</f>
        <v>9.7544000000000004</v>
      </c>
      <c r="E675" s="27">
        <f>10.6687 * CHOOSE(CONTROL!$C$32, $C$9, 100%, $E$9)</f>
        <v>10.668699999999999</v>
      </c>
      <c r="F675" s="27">
        <f>10.6687 * CHOOSE(CONTROL!$C$32, $C$9, 100%, $E$9)</f>
        <v>10.668699999999999</v>
      </c>
      <c r="G675" s="27">
        <f>10.6723 * CHOOSE(CONTROL!$C$32, $C$9, 100%, $E$9)</f>
        <v>10.6723</v>
      </c>
      <c r="H675" s="27">
        <f>21.6062 * CHOOSE(CONTROL!$C$32, $C$9, 100%, $E$9)</f>
        <v>21.606200000000001</v>
      </c>
      <c r="I675" s="27">
        <f>21.6098 * CHOOSE(CONTROL!$C$32, $C$9, 100%, $E$9)</f>
        <v>21.6098</v>
      </c>
      <c r="J675" s="27">
        <f>21.6062 * CHOOSE(CONTROL!$C$32, $C$9, 100%, $E$9)</f>
        <v>21.606200000000001</v>
      </c>
      <c r="K675" s="27">
        <f>21.6098 * CHOOSE(CONTROL!$C$32, $C$9, 100%, $E$9)</f>
        <v>21.6098</v>
      </c>
      <c r="L675" s="27">
        <f>10.6687 * CHOOSE(CONTROL!$C$32, $C$9, 100%, $E$9)</f>
        <v>10.668699999999999</v>
      </c>
      <c r="M675" s="27">
        <f>10.6723 * CHOOSE(CONTROL!$C$32, $C$9, 100%, $E$9)</f>
        <v>10.6723</v>
      </c>
      <c r="N675" s="27">
        <f>10.6687 * CHOOSE(CONTROL!$C$32, $C$9, 100%, $E$9)</f>
        <v>10.668699999999999</v>
      </c>
      <c r="O675" s="27">
        <f>10.6723 * CHOOSE(CONTROL!$C$32, $C$9, 100%, $E$9)</f>
        <v>10.6723</v>
      </c>
    </row>
    <row r="676" spans="1:15" ht="15" x14ac:dyDescent="0.2">
      <c r="A676" s="16">
        <v>61423</v>
      </c>
      <c r="B676" s="26">
        <f>9.7503 * CHOOSE(CONTROL!$C$32, $C$9, 100%, $E$9)</f>
        <v>9.7502999999999993</v>
      </c>
      <c r="C676" s="26">
        <f>9.7503 * CHOOSE(CONTROL!$C$32, $C$9, 100%, $E$9)</f>
        <v>9.7502999999999993</v>
      </c>
      <c r="D676" s="26">
        <f>9.7513 * CHOOSE(CONTROL!$C$32, $C$9, 100%, $E$9)</f>
        <v>9.7513000000000005</v>
      </c>
      <c r="E676" s="27">
        <f>10.8831 * CHOOSE(CONTROL!$C$32, $C$9, 100%, $E$9)</f>
        <v>10.883100000000001</v>
      </c>
      <c r="F676" s="27">
        <f>10.8831 * CHOOSE(CONTROL!$C$32, $C$9, 100%, $E$9)</f>
        <v>10.883100000000001</v>
      </c>
      <c r="G676" s="27">
        <f>10.8867 * CHOOSE(CONTROL!$C$32, $C$9, 100%, $E$9)</f>
        <v>10.886699999999999</v>
      </c>
      <c r="H676" s="27">
        <f>21.6512 * CHOOSE(CONTROL!$C$32, $C$9, 100%, $E$9)</f>
        <v>21.651199999999999</v>
      </c>
      <c r="I676" s="27">
        <f>21.6549 * CHOOSE(CONTROL!$C$32, $C$9, 100%, $E$9)</f>
        <v>21.654900000000001</v>
      </c>
      <c r="J676" s="27">
        <f>21.6512 * CHOOSE(CONTROL!$C$32, $C$9, 100%, $E$9)</f>
        <v>21.651199999999999</v>
      </c>
      <c r="K676" s="27">
        <f>21.6549 * CHOOSE(CONTROL!$C$32, $C$9, 100%, $E$9)</f>
        <v>21.654900000000001</v>
      </c>
      <c r="L676" s="27">
        <f>10.8831 * CHOOSE(CONTROL!$C$32, $C$9, 100%, $E$9)</f>
        <v>10.883100000000001</v>
      </c>
      <c r="M676" s="27">
        <f>10.8867 * CHOOSE(CONTROL!$C$32, $C$9, 100%, $E$9)</f>
        <v>10.886699999999999</v>
      </c>
      <c r="N676" s="27">
        <f>10.8831 * CHOOSE(CONTROL!$C$32, $C$9, 100%, $E$9)</f>
        <v>10.883100000000001</v>
      </c>
      <c r="O676" s="27">
        <f>10.8867 * CHOOSE(CONTROL!$C$32, $C$9, 100%, $E$9)</f>
        <v>10.886699999999999</v>
      </c>
    </row>
    <row r="677" spans="1:15" ht="15" x14ac:dyDescent="0.2">
      <c r="A677" s="16">
        <v>61454</v>
      </c>
      <c r="B677" s="26">
        <f>9.7535 * CHOOSE(CONTROL!$C$32, $C$9, 100%, $E$9)</f>
        <v>9.7535000000000007</v>
      </c>
      <c r="C677" s="26">
        <f>9.7535 * CHOOSE(CONTROL!$C$32, $C$9, 100%, $E$9)</f>
        <v>9.7535000000000007</v>
      </c>
      <c r="D677" s="26">
        <f>9.7546 * CHOOSE(CONTROL!$C$32, $C$9, 100%, $E$9)</f>
        <v>9.7545999999999999</v>
      </c>
      <c r="E677" s="27">
        <f>11.1115 * CHOOSE(CONTROL!$C$32, $C$9, 100%, $E$9)</f>
        <v>11.111499999999999</v>
      </c>
      <c r="F677" s="27">
        <f>11.1115 * CHOOSE(CONTROL!$C$32, $C$9, 100%, $E$9)</f>
        <v>11.111499999999999</v>
      </c>
      <c r="G677" s="27">
        <f>11.1151 * CHOOSE(CONTROL!$C$32, $C$9, 100%, $E$9)</f>
        <v>11.1151</v>
      </c>
      <c r="H677" s="27">
        <f>21.6964 * CHOOSE(CONTROL!$C$32, $C$9, 100%, $E$9)</f>
        <v>21.696400000000001</v>
      </c>
      <c r="I677" s="27">
        <f>21.7 * CHOOSE(CONTROL!$C$32, $C$9, 100%, $E$9)</f>
        <v>21.7</v>
      </c>
      <c r="J677" s="27">
        <f>21.6964 * CHOOSE(CONTROL!$C$32, $C$9, 100%, $E$9)</f>
        <v>21.696400000000001</v>
      </c>
      <c r="K677" s="27">
        <f>21.7 * CHOOSE(CONTROL!$C$32, $C$9, 100%, $E$9)</f>
        <v>21.7</v>
      </c>
      <c r="L677" s="27">
        <f>11.1115 * CHOOSE(CONTROL!$C$32, $C$9, 100%, $E$9)</f>
        <v>11.111499999999999</v>
      </c>
      <c r="M677" s="27">
        <f>11.1151 * CHOOSE(CONTROL!$C$32, $C$9, 100%, $E$9)</f>
        <v>11.1151</v>
      </c>
      <c r="N677" s="27">
        <f>11.1115 * CHOOSE(CONTROL!$C$32, $C$9, 100%, $E$9)</f>
        <v>11.111499999999999</v>
      </c>
      <c r="O677" s="27">
        <f>11.1151 * CHOOSE(CONTROL!$C$32, $C$9, 100%, $E$9)</f>
        <v>11.1151</v>
      </c>
    </row>
    <row r="678" spans="1:15" ht="15" x14ac:dyDescent="0.2">
      <c r="A678" s="16">
        <v>61484</v>
      </c>
      <c r="B678" s="26">
        <f>9.7535 * CHOOSE(CONTROL!$C$32, $C$9, 100%, $E$9)</f>
        <v>9.7535000000000007</v>
      </c>
      <c r="C678" s="26">
        <f>9.7535 * CHOOSE(CONTROL!$C$32, $C$9, 100%, $E$9)</f>
        <v>9.7535000000000007</v>
      </c>
      <c r="D678" s="26">
        <f>9.7551 * CHOOSE(CONTROL!$C$32, $C$9, 100%, $E$9)</f>
        <v>9.7551000000000005</v>
      </c>
      <c r="E678" s="27">
        <f>11.1987 * CHOOSE(CONTROL!$C$32, $C$9, 100%, $E$9)</f>
        <v>11.198700000000001</v>
      </c>
      <c r="F678" s="27">
        <f>11.1987 * CHOOSE(CONTROL!$C$32, $C$9, 100%, $E$9)</f>
        <v>11.198700000000001</v>
      </c>
      <c r="G678" s="27">
        <f>11.204 * CHOOSE(CONTROL!$C$32, $C$9, 100%, $E$9)</f>
        <v>11.204000000000001</v>
      </c>
      <c r="H678" s="27">
        <f>21.7416 * CHOOSE(CONTROL!$C$32, $C$9, 100%, $E$9)</f>
        <v>21.741599999999998</v>
      </c>
      <c r="I678" s="27">
        <f>21.7468 * CHOOSE(CONTROL!$C$32, $C$9, 100%, $E$9)</f>
        <v>21.7468</v>
      </c>
      <c r="J678" s="27">
        <f>21.7416 * CHOOSE(CONTROL!$C$32, $C$9, 100%, $E$9)</f>
        <v>21.741599999999998</v>
      </c>
      <c r="K678" s="27">
        <f>21.7468 * CHOOSE(CONTROL!$C$32, $C$9, 100%, $E$9)</f>
        <v>21.7468</v>
      </c>
      <c r="L678" s="27">
        <f>11.1987 * CHOOSE(CONTROL!$C$32, $C$9, 100%, $E$9)</f>
        <v>11.198700000000001</v>
      </c>
      <c r="M678" s="27">
        <f>11.204 * CHOOSE(CONTROL!$C$32, $C$9, 100%, $E$9)</f>
        <v>11.204000000000001</v>
      </c>
      <c r="N678" s="27">
        <f>11.1987 * CHOOSE(CONTROL!$C$32, $C$9, 100%, $E$9)</f>
        <v>11.198700000000001</v>
      </c>
      <c r="O678" s="27">
        <f>11.204 * CHOOSE(CONTROL!$C$32, $C$9, 100%, $E$9)</f>
        <v>11.204000000000001</v>
      </c>
    </row>
    <row r="679" spans="1:15" ht="15" x14ac:dyDescent="0.2">
      <c r="A679" s="16">
        <v>61515</v>
      </c>
      <c r="B679" s="26">
        <f>9.7596 * CHOOSE(CONTROL!$C$32, $C$9, 100%, $E$9)</f>
        <v>9.7596000000000007</v>
      </c>
      <c r="C679" s="26">
        <f>9.7596 * CHOOSE(CONTROL!$C$32, $C$9, 100%, $E$9)</f>
        <v>9.7596000000000007</v>
      </c>
      <c r="D679" s="26">
        <f>9.7612 * CHOOSE(CONTROL!$C$32, $C$9, 100%, $E$9)</f>
        <v>9.7612000000000005</v>
      </c>
      <c r="E679" s="27">
        <f>11.1157 * CHOOSE(CONTROL!$C$32, $C$9, 100%, $E$9)</f>
        <v>11.1157</v>
      </c>
      <c r="F679" s="27">
        <f>11.1157 * CHOOSE(CONTROL!$C$32, $C$9, 100%, $E$9)</f>
        <v>11.1157</v>
      </c>
      <c r="G679" s="27">
        <f>11.121 * CHOOSE(CONTROL!$C$32, $C$9, 100%, $E$9)</f>
        <v>11.121</v>
      </c>
      <c r="H679" s="27">
        <f>21.7868 * CHOOSE(CONTROL!$C$32, $C$9, 100%, $E$9)</f>
        <v>21.786799999999999</v>
      </c>
      <c r="I679" s="27">
        <f>21.7921 * CHOOSE(CONTROL!$C$32, $C$9, 100%, $E$9)</f>
        <v>21.792100000000001</v>
      </c>
      <c r="J679" s="27">
        <f>21.7868 * CHOOSE(CONTROL!$C$32, $C$9, 100%, $E$9)</f>
        <v>21.786799999999999</v>
      </c>
      <c r="K679" s="27">
        <f>21.7921 * CHOOSE(CONTROL!$C$32, $C$9, 100%, $E$9)</f>
        <v>21.792100000000001</v>
      </c>
      <c r="L679" s="27">
        <f>11.1157 * CHOOSE(CONTROL!$C$32, $C$9, 100%, $E$9)</f>
        <v>11.1157</v>
      </c>
      <c r="M679" s="27">
        <f>11.121 * CHOOSE(CONTROL!$C$32, $C$9, 100%, $E$9)</f>
        <v>11.121</v>
      </c>
      <c r="N679" s="27">
        <f>11.1157 * CHOOSE(CONTROL!$C$32, $C$9, 100%, $E$9)</f>
        <v>11.1157</v>
      </c>
      <c r="O679" s="27">
        <f>11.121 * CHOOSE(CONTROL!$C$32, $C$9, 100%, $E$9)</f>
        <v>11.121</v>
      </c>
    </row>
    <row r="680" spans="1:15" ht="15" x14ac:dyDescent="0.2">
      <c r="A680" s="16">
        <v>61545</v>
      </c>
      <c r="B680" s="26">
        <f>9.8813 * CHOOSE(CONTROL!$C$32, $C$9, 100%, $E$9)</f>
        <v>9.8812999999999995</v>
      </c>
      <c r="C680" s="26">
        <f>9.8813 * CHOOSE(CONTROL!$C$32, $C$9, 100%, $E$9)</f>
        <v>9.8812999999999995</v>
      </c>
      <c r="D680" s="26">
        <f>9.8829 * CHOOSE(CONTROL!$C$32, $C$9, 100%, $E$9)</f>
        <v>9.8828999999999994</v>
      </c>
      <c r="E680" s="27">
        <f>11.2713 * CHOOSE(CONTROL!$C$32, $C$9, 100%, $E$9)</f>
        <v>11.2713</v>
      </c>
      <c r="F680" s="27">
        <f>11.2713 * CHOOSE(CONTROL!$C$32, $C$9, 100%, $E$9)</f>
        <v>11.2713</v>
      </c>
      <c r="G680" s="27">
        <f>11.2766 * CHOOSE(CONTROL!$C$32, $C$9, 100%, $E$9)</f>
        <v>11.2766</v>
      </c>
      <c r="H680" s="27">
        <f>21.8322 * CHOOSE(CONTROL!$C$32, $C$9, 100%, $E$9)</f>
        <v>21.8322</v>
      </c>
      <c r="I680" s="27">
        <f>21.8375 * CHOOSE(CONTROL!$C$32, $C$9, 100%, $E$9)</f>
        <v>21.837499999999999</v>
      </c>
      <c r="J680" s="27">
        <f>21.8322 * CHOOSE(CONTROL!$C$32, $C$9, 100%, $E$9)</f>
        <v>21.8322</v>
      </c>
      <c r="K680" s="27">
        <f>21.8375 * CHOOSE(CONTROL!$C$32, $C$9, 100%, $E$9)</f>
        <v>21.837499999999999</v>
      </c>
      <c r="L680" s="27">
        <f>11.2713 * CHOOSE(CONTROL!$C$32, $C$9, 100%, $E$9)</f>
        <v>11.2713</v>
      </c>
      <c r="M680" s="27">
        <f>11.2766 * CHOOSE(CONTROL!$C$32, $C$9, 100%, $E$9)</f>
        <v>11.2766</v>
      </c>
      <c r="N680" s="27">
        <f>11.2713 * CHOOSE(CONTROL!$C$32, $C$9, 100%, $E$9)</f>
        <v>11.2713</v>
      </c>
      <c r="O680" s="27">
        <f>11.2766 * CHOOSE(CONTROL!$C$32, $C$9, 100%, $E$9)</f>
        <v>11.2766</v>
      </c>
    </row>
    <row r="681" spans="1:15" ht="15" x14ac:dyDescent="0.2">
      <c r="A681" s="16">
        <v>61576</v>
      </c>
      <c r="B681" s="26">
        <f>9.888 * CHOOSE(CONTROL!$C$32, $C$9, 100%, $E$9)</f>
        <v>9.8879999999999999</v>
      </c>
      <c r="C681" s="26">
        <f>9.888 * CHOOSE(CONTROL!$C$32, $C$9, 100%, $E$9)</f>
        <v>9.8879999999999999</v>
      </c>
      <c r="D681" s="26">
        <f>9.8896 * CHOOSE(CONTROL!$C$32, $C$9, 100%, $E$9)</f>
        <v>9.8895999999999997</v>
      </c>
      <c r="E681" s="27">
        <f>11.0143 * CHOOSE(CONTROL!$C$32, $C$9, 100%, $E$9)</f>
        <v>11.0143</v>
      </c>
      <c r="F681" s="27">
        <f>11.0143 * CHOOSE(CONTROL!$C$32, $C$9, 100%, $E$9)</f>
        <v>11.0143</v>
      </c>
      <c r="G681" s="27">
        <f>11.0196 * CHOOSE(CONTROL!$C$32, $C$9, 100%, $E$9)</f>
        <v>11.019600000000001</v>
      </c>
      <c r="H681" s="27">
        <f>21.8777 * CHOOSE(CONTROL!$C$32, $C$9, 100%, $E$9)</f>
        <v>21.877700000000001</v>
      </c>
      <c r="I681" s="27">
        <f>21.883 * CHOOSE(CONTROL!$C$32, $C$9, 100%, $E$9)</f>
        <v>21.882999999999999</v>
      </c>
      <c r="J681" s="27">
        <f>21.8777 * CHOOSE(CONTROL!$C$32, $C$9, 100%, $E$9)</f>
        <v>21.877700000000001</v>
      </c>
      <c r="K681" s="27">
        <f>21.883 * CHOOSE(CONTROL!$C$32, $C$9, 100%, $E$9)</f>
        <v>21.882999999999999</v>
      </c>
      <c r="L681" s="27">
        <f>11.0143 * CHOOSE(CONTROL!$C$32, $C$9, 100%, $E$9)</f>
        <v>11.0143</v>
      </c>
      <c r="M681" s="27">
        <f>11.0196 * CHOOSE(CONTROL!$C$32, $C$9, 100%, $E$9)</f>
        <v>11.019600000000001</v>
      </c>
      <c r="N681" s="27">
        <f>11.0143 * CHOOSE(CONTROL!$C$32, $C$9, 100%, $E$9)</f>
        <v>11.0143</v>
      </c>
      <c r="O681" s="27">
        <f>11.0196 * CHOOSE(CONTROL!$C$32, $C$9, 100%, $E$9)</f>
        <v>11.019600000000001</v>
      </c>
    </row>
    <row r="682" spans="1:15" ht="15" x14ac:dyDescent="0.2">
      <c r="A682" s="16">
        <v>61607</v>
      </c>
      <c r="B682" s="26">
        <f>9.885 * CHOOSE(CONTROL!$C$32, $C$9, 100%, $E$9)</f>
        <v>9.8849999999999998</v>
      </c>
      <c r="C682" s="26">
        <f>9.885 * CHOOSE(CONTROL!$C$32, $C$9, 100%, $E$9)</f>
        <v>9.8849999999999998</v>
      </c>
      <c r="D682" s="26">
        <f>9.8865 * CHOOSE(CONTROL!$C$32, $C$9, 100%, $E$9)</f>
        <v>9.8864999999999998</v>
      </c>
      <c r="E682" s="27">
        <f>10.9831 * CHOOSE(CONTROL!$C$32, $C$9, 100%, $E$9)</f>
        <v>10.9831</v>
      </c>
      <c r="F682" s="27">
        <f>10.9831 * CHOOSE(CONTROL!$C$32, $C$9, 100%, $E$9)</f>
        <v>10.9831</v>
      </c>
      <c r="G682" s="27">
        <f>10.9884 * CHOOSE(CONTROL!$C$32, $C$9, 100%, $E$9)</f>
        <v>10.9884</v>
      </c>
      <c r="H682" s="27">
        <f>21.9233 * CHOOSE(CONTROL!$C$32, $C$9, 100%, $E$9)</f>
        <v>21.923300000000001</v>
      </c>
      <c r="I682" s="27">
        <f>21.9286 * CHOOSE(CONTROL!$C$32, $C$9, 100%, $E$9)</f>
        <v>21.928599999999999</v>
      </c>
      <c r="J682" s="27">
        <f>21.9233 * CHOOSE(CONTROL!$C$32, $C$9, 100%, $E$9)</f>
        <v>21.923300000000001</v>
      </c>
      <c r="K682" s="27">
        <f>21.9286 * CHOOSE(CONTROL!$C$32, $C$9, 100%, $E$9)</f>
        <v>21.928599999999999</v>
      </c>
      <c r="L682" s="27">
        <f>10.9831 * CHOOSE(CONTROL!$C$32, $C$9, 100%, $E$9)</f>
        <v>10.9831</v>
      </c>
      <c r="M682" s="27">
        <f>10.9884 * CHOOSE(CONTROL!$C$32, $C$9, 100%, $E$9)</f>
        <v>10.9884</v>
      </c>
      <c r="N682" s="27">
        <f>10.9831 * CHOOSE(CONTROL!$C$32, $C$9, 100%, $E$9)</f>
        <v>10.9831</v>
      </c>
      <c r="O682" s="27">
        <f>10.9884 * CHOOSE(CONTROL!$C$32, $C$9, 100%, $E$9)</f>
        <v>10.9884</v>
      </c>
    </row>
    <row r="683" spans="1:15" ht="15" x14ac:dyDescent="0.2">
      <c r="A683" s="16">
        <v>61637</v>
      </c>
      <c r="B683" s="26">
        <f>9.902 * CHOOSE(CONTROL!$C$32, $C$9, 100%, $E$9)</f>
        <v>9.9019999999999992</v>
      </c>
      <c r="C683" s="26">
        <f>9.902 * CHOOSE(CONTROL!$C$32, $C$9, 100%, $E$9)</f>
        <v>9.9019999999999992</v>
      </c>
      <c r="D683" s="26">
        <f>9.9031 * CHOOSE(CONTROL!$C$32, $C$9, 100%, $E$9)</f>
        <v>9.9031000000000002</v>
      </c>
      <c r="E683" s="27">
        <f>11.086 * CHOOSE(CONTROL!$C$32, $C$9, 100%, $E$9)</f>
        <v>11.086</v>
      </c>
      <c r="F683" s="27">
        <f>11.086 * CHOOSE(CONTROL!$C$32, $C$9, 100%, $E$9)</f>
        <v>11.086</v>
      </c>
      <c r="G683" s="27">
        <f>11.0896 * CHOOSE(CONTROL!$C$32, $C$9, 100%, $E$9)</f>
        <v>11.089600000000001</v>
      </c>
      <c r="H683" s="27">
        <f>21.969 * CHOOSE(CONTROL!$C$32, $C$9, 100%, $E$9)</f>
        <v>21.969000000000001</v>
      </c>
      <c r="I683" s="27">
        <f>21.9726 * CHOOSE(CONTROL!$C$32, $C$9, 100%, $E$9)</f>
        <v>21.9726</v>
      </c>
      <c r="J683" s="27">
        <f>21.969 * CHOOSE(CONTROL!$C$32, $C$9, 100%, $E$9)</f>
        <v>21.969000000000001</v>
      </c>
      <c r="K683" s="27">
        <f>21.9726 * CHOOSE(CONTROL!$C$32, $C$9, 100%, $E$9)</f>
        <v>21.9726</v>
      </c>
      <c r="L683" s="27">
        <f>11.086 * CHOOSE(CONTROL!$C$32, $C$9, 100%, $E$9)</f>
        <v>11.086</v>
      </c>
      <c r="M683" s="27">
        <f>11.0896 * CHOOSE(CONTROL!$C$32, $C$9, 100%, $E$9)</f>
        <v>11.089600000000001</v>
      </c>
      <c r="N683" s="27">
        <f>11.086 * CHOOSE(CONTROL!$C$32, $C$9, 100%, $E$9)</f>
        <v>11.086</v>
      </c>
      <c r="O683" s="27">
        <f>11.0896 * CHOOSE(CONTROL!$C$32, $C$9, 100%, $E$9)</f>
        <v>11.089600000000001</v>
      </c>
    </row>
    <row r="684" spans="1:15" ht="15" x14ac:dyDescent="0.2">
      <c r="A684" s="16">
        <v>61668</v>
      </c>
      <c r="B684" s="26">
        <f>9.905 * CHOOSE(CONTROL!$C$32, $C$9, 100%, $E$9)</f>
        <v>9.9049999999999994</v>
      </c>
      <c r="C684" s="26">
        <f>9.905 * CHOOSE(CONTROL!$C$32, $C$9, 100%, $E$9)</f>
        <v>9.9049999999999994</v>
      </c>
      <c r="D684" s="26">
        <f>9.9061 * CHOOSE(CONTROL!$C$32, $C$9, 100%, $E$9)</f>
        <v>9.9061000000000003</v>
      </c>
      <c r="E684" s="27">
        <f>11.1463 * CHOOSE(CONTROL!$C$32, $C$9, 100%, $E$9)</f>
        <v>11.1463</v>
      </c>
      <c r="F684" s="27">
        <f>11.1463 * CHOOSE(CONTROL!$C$32, $C$9, 100%, $E$9)</f>
        <v>11.1463</v>
      </c>
      <c r="G684" s="27">
        <f>11.1499 * CHOOSE(CONTROL!$C$32, $C$9, 100%, $E$9)</f>
        <v>11.149900000000001</v>
      </c>
      <c r="H684" s="27">
        <f>22.0147 * CHOOSE(CONTROL!$C$32, $C$9, 100%, $E$9)</f>
        <v>22.014700000000001</v>
      </c>
      <c r="I684" s="27">
        <f>22.0184 * CHOOSE(CONTROL!$C$32, $C$9, 100%, $E$9)</f>
        <v>22.0184</v>
      </c>
      <c r="J684" s="27">
        <f>22.0147 * CHOOSE(CONTROL!$C$32, $C$9, 100%, $E$9)</f>
        <v>22.014700000000001</v>
      </c>
      <c r="K684" s="27">
        <f>22.0184 * CHOOSE(CONTROL!$C$32, $C$9, 100%, $E$9)</f>
        <v>22.0184</v>
      </c>
      <c r="L684" s="27">
        <f>11.1463 * CHOOSE(CONTROL!$C$32, $C$9, 100%, $E$9)</f>
        <v>11.1463</v>
      </c>
      <c r="M684" s="27">
        <f>11.1499 * CHOOSE(CONTROL!$C$32, $C$9, 100%, $E$9)</f>
        <v>11.149900000000001</v>
      </c>
      <c r="N684" s="27">
        <f>11.1463 * CHOOSE(CONTROL!$C$32, $C$9, 100%, $E$9)</f>
        <v>11.1463</v>
      </c>
      <c r="O684" s="27">
        <f>11.1499 * CHOOSE(CONTROL!$C$32, $C$9, 100%, $E$9)</f>
        <v>11.149900000000001</v>
      </c>
    </row>
    <row r="685" spans="1:15" ht="15" x14ac:dyDescent="0.2">
      <c r="A685" s="16">
        <v>61698</v>
      </c>
      <c r="B685" s="26">
        <f>9.905 * CHOOSE(CONTROL!$C$32, $C$9, 100%, $E$9)</f>
        <v>9.9049999999999994</v>
      </c>
      <c r="C685" s="26">
        <f>9.905 * CHOOSE(CONTROL!$C$32, $C$9, 100%, $E$9)</f>
        <v>9.9049999999999994</v>
      </c>
      <c r="D685" s="26">
        <f>9.9061 * CHOOSE(CONTROL!$C$32, $C$9, 100%, $E$9)</f>
        <v>9.9061000000000003</v>
      </c>
      <c r="E685" s="27">
        <f>11.0009 * CHOOSE(CONTROL!$C$32, $C$9, 100%, $E$9)</f>
        <v>11.0009</v>
      </c>
      <c r="F685" s="27">
        <f>11.0009 * CHOOSE(CONTROL!$C$32, $C$9, 100%, $E$9)</f>
        <v>11.0009</v>
      </c>
      <c r="G685" s="27">
        <f>11.0045 * CHOOSE(CONTROL!$C$32, $C$9, 100%, $E$9)</f>
        <v>11.0045</v>
      </c>
      <c r="H685" s="27">
        <f>22.0606 * CHOOSE(CONTROL!$C$32, $C$9, 100%, $E$9)</f>
        <v>22.060600000000001</v>
      </c>
      <c r="I685" s="27">
        <f>22.0642 * CHOOSE(CONTROL!$C$32, $C$9, 100%, $E$9)</f>
        <v>22.0642</v>
      </c>
      <c r="J685" s="27">
        <f>22.0606 * CHOOSE(CONTROL!$C$32, $C$9, 100%, $E$9)</f>
        <v>22.060600000000001</v>
      </c>
      <c r="K685" s="27">
        <f>22.0642 * CHOOSE(CONTROL!$C$32, $C$9, 100%, $E$9)</f>
        <v>22.0642</v>
      </c>
      <c r="L685" s="27">
        <f>11.0009 * CHOOSE(CONTROL!$C$32, $C$9, 100%, $E$9)</f>
        <v>11.0009</v>
      </c>
      <c r="M685" s="27">
        <f>11.0045 * CHOOSE(CONTROL!$C$32, $C$9, 100%, $E$9)</f>
        <v>11.0045</v>
      </c>
      <c r="N685" s="27">
        <f>11.0009 * CHOOSE(CONTROL!$C$32, $C$9, 100%, $E$9)</f>
        <v>11.0009</v>
      </c>
      <c r="O685" s="27">
        <f>11.0045 * CHOOSE(CONTROL!$C$32, $C$9, 100%, $E$9)</f>
        <v>11.0045</v>
      </c>
    </row>
    <row r="686" spans="1:15" ht="15" x14ac:dyDescent="0.2">
      <c r="A686" s="16">
        <v>61729</v>
      </c>
      <c r="B686" s="26">
        <f>9.9437 * CHOOSE(CONTROL!$C$32, $C$9, 100%, $E$9)</f>
        <v>9.9436999999999998</v>
      </c>
      <c r="C686" s="26">
        <f>9.9437 * CHOOSE(CONTROL!$C$32, $C$9, 100%, $E$9)</f>
        <v>9.9436999999999998</v>
      </c>
      <c r="D686" s="26">
        <f>9.9448 * CHOOSE(CONTROL!$C$32, $C$9, 100%, $E$9)</f>
        <v>9.9448000000000008</v>
      </c>
      <c r="E686" s="27">
        <f>11.158 * CHOOSE(CONTROL!$C$32, $C$9, 100%, $E$9)</f>
        <v>11.157999999999999</v>
      </c>
      <c r="F686" s="27">
        <f>11.158 * CHOOSE(CONTROL!$C$32, $C$9, 100%, $E$9)</f>
        <v>11.157999999999999</v>
      </c>
      <c r="G686" s="27">
        <f>11.1616 * CHOOSE(CONTROL!$C$32, $C$9, 100%, $E$9)</f>
        <v>11.1616</v>
      </c>
      <c r="H686" s="27">
        <f>22.0148 * CHOOSE(CONTROL!$C$32, $C$9, 100%, $E$9)</f>
        <v>22.014800000000001</v>
      </c>
      <c r="I686" s="27">
        <f>22.0184 * CHOOSE(CONTROL!$C$32, $C$9, 100%, $E$9)</f>
        <v>22.0184</v>
      </c>
      <c r="J686" s="27">
        <f>22.0148 * CHOOSE(CONTROL!$C$32, $C$9, 100%, $E$9)</f>
        <v>22.014800000000001</v>
      </c>
      <c r="K686" s="27">
        <f>22.0184 * CHOOSE(CONTROL!$C$32, $C$9, 100%, $E$9)</f>
        <v>22.0184</v>
      </c>
      <c r="L686" s="27">
        <f>11.158 * CHOOSE(CONTROL!$C$32, $C$9, 100%, $E$9)</f>
        <v>11.157999999999999</v>
      </c>
      <c r="M686" s="27">
        <f>11.1616 * CHOOSE(CONTROL!$C$32, $C$9, 100%, $E$9)</f>
        <v>11.1616</v>
      </c>
      <c r="N686" s="27">
        <f>11.158 * CHOOSE(CONTROL!$C$32, $C$9, 100%, $E$9)</f>
        <v>11.157999999999999</v>
      </c>
      <c r="O686" s="27">
        <f>11.1616 * CHOOSE(CONTROL!$C$32, $C$9, 100%, $E$9)</f>
        <v>11.1616</v>
      </c>
    </row>
    <row r="687" spans="1:15" ht="15" x14ac:dyDescent="0.2">
      <c r="A687" s="16">
        <v>61760</v>
      </c>
      <c r="B687" s="26">
        <f>9.9407 * CHOOSE(CONTROL!$C$32, $C$9, 100%, $E$9)</f>
        <v>9.9406999999999996</v>
      </c>
      <c r="C687" s="26">
        <f>9.9407 * CHOOSE(CONTROL!$C$32, $C$9, 100%, $E$9)</f>
        <v>9.9406999999999996</v>
      </c>
      <c r="D687" s="26">
        <f>9.9417 * CHOOSE(CONTROL!$C$32, $C$9, 100%, $E$9)</f>
        <v>9.9417000000000009</v>
      </c>
      <c r="E687" s="27">
        <f>10.8741 * CHOOSE(CONTROL!$C$32, $C$9, 100%, $E$9)</f>
        <v>10.8741</v>
      </c>
      <c r="F687" s="27">
        <f>10.8741 * CHOOSE(CONTROL!$C$32, $C$9, 100%, $E$9)</f>
        <v>10.8741</v>
      </c>
      <c r="G687" s="27">
        <f>10.8777 * CHOOSE(CONTROL!$C$32, $C$9, 100%, $E$9)</f>
        <v>10.877700000000001</v>
      </c>
      <c r="H687" s="27">
        <f>22.0607 * CHOOSE(CONTROL!$C$32, $C$9, 100%, $E$9)</f>
        <v>22.060700000000001</v>
      </c>
      <c r="I687" s="27">
        <f>22.0643 * CHOOSE(CONTROL!$C$32, $C$9, 100%, $E$9)</f>
        <v>22.064299999999999</v>
      </c>
      <c r="J687" s="27">
        <f>22.0607 * CHOOSE(CONTROL!$C$32, $C$9, 100%, $E$9)</f>
        <v>22.060700000000001</v>
      </c>
      <c r="K687" s="27">
        <f>22.0643 * CHOOSE(CONTROL!$C$32, $C$9, 100%, $E$9)</f>
        <v>22.064299999999999</v>
      </c>
      <c r="L687" s="27">
        <f>10.8741 * CHOOSE(CONTROL!$C$32, $C$9, 100%, $E$9)</f>
        <v>10.8741</v>
      </c>
      <c r="M687" s="27">
        <f>10.8777 * CHOOSE(CONTROL!$C$32, $C$9, 100%, $E$9)</f>
        <v>10.877700000000001</v>
      </c>
      <c r="N687" s="27">
        <f>10.8741 * CHOOSE(CONTROL!$C$32, $C$9, 100%, $E$9)</f>
        <v>10.8741</v>
      </c>
      <c r="O687" s="27">
        <f>10.8777 * CHOOSE(CONTROL!$C$32, $C$9, 100%, $E$9)</f>
        <v>10.877700000000001</v>
      </c>
    </row>
    <row r="688" spans="1:15" ht="15" x14ac:dyDescent="0.2">
      <c r="A688" s="16">
        <v>61788</v>
      </c>
      <c r="B688" s="26">
        <f>9.9376 * CHOOSE(CONTROL!$C$32, $C$9, 100%, $E$9)</f>
        <v>9.9375999999999998</v>
      </c>
      <c r="C688" s="26">
        <f>9.9376 * CHOOSE(CONTROL!$C$32, $C$9, 100%, $E$9)</f>
        <v>9.9375999999999998</v>
      </c>
      <c r="D688" s="26">
        <f>9.9387 * CHOOSE(CONTROL!$C$32, $C$9, 100%, $E$9)</f>
        <v>9.9387000000000008</v>
      </c>
      <c r="E688" s="27">
        <f>11.0941 * CHOOSE(CONTROL!$C$32, $C$9, 100%, $E$9)</f>
        <v>11.094099999999999</v>
      </c>
      <c r="F688" s="27">
        <f>11.0941 * CHOOSE(CONTROL!$C$32, $C$9, 100%, $E$9)</f>
        <v>11.094099999999999</v>
      </c>
      <c r="G688" s="27">
        <f>11.0977 * CHOOSE(CONTROL!$C$32, $C$9, 100%, $E$9)</f>
        <v>11.0977</v>
      </c>
      <c r="H688" s="27">
        <f>22.1066 * CHOOSE(CONTROL!$C$32, $C$9, 100%, $E$9)</f>
        <v>22.1066</v>
      </c>
      <c r="I688" s="27">
        <f>22.1103 * CHOOSE(CONTROL!$C$32, $C$9, 100%, $E$9)</f>
        <v>22.110299999999999</v>
      </c>
      <c r="J688" s="27">
        <f>22.1066 * CHOOSE(CONTROL!$C$32, $C$9, 100%, $E$9)</f>
        <v>22.1066</v>
      </c>
      <c r="K688" s="27">
        <f>22.1103 * CHOOSE(CONTROL!$C$32, $C$9, 100%, $E$9)</f>
        <v>22.110299999999999</v>
      </c>
      <c r="L688" s="27">
        <f>11.0941 * CHOOSE(CONTROL!$C$32, $C$9, 100%, $E$9)</f>
        <v>11.094099999999999</v>
      </c>
      <c r="M688" s="27">
        <f>11.0977 * CHOOSE(CONTROL!$C$32, $C$9, 100%, $E$9)</f>
        <v>11.0977</v>
      </c>
      <c r="N688" s="27">
        <f>11.0941 * CHOOSE(CONTROL!$C$32, $C$9, 100%, $E$9)</f>
        <v>11.094099999999999</v>
      </c>
      <c r="O688" s="27">
        <f>11.0977 * CHOOSE(CONTROL!$C$32, $C$9, 100%, $E$9)</f>
        <v>11.0977</v>
      </c>
    </row>
    <row r="689" spans="1:15" ht="15" x14ac:dyDescent="0.2">
      <c r="A689" s="16">
        <v>61819</v>
      </c>
      <c r="B689" s="26">
        <f>9.941 * CHOOSE(CONTROL!$C$32, $C$9, 100%, $E$9)</f>
        <v>9.9410000000000007</v>
      </c>
      <c r="C689" s="26">
        <f>9.941 * CHOOSE(CONTROL!$C$32, $C$9, 100%, $E$9)</f>
        <v>9.9410000000000007</v>
      </c>
      <c r="D689" s="26">
        <f>9.9421 * CHOOSE(CONTROL!$C$32, $C$9, 100%, $E$9)</f>
        <v>9.9420999999999999</v>
      </c>
      <c r="E689" s="27">
        <f>11.3285 * CHOOSE(CONTROL!$C$32, $C$9, 100%, $E$9)</f>
        <v>11.3285</v>
      </c>
      <c r="F689" s="27">
        <f>11.3285 * CHOOSE(CONTROL!$C$32, $C$9, 100%, $E$9)</f>
        <v>11.3285</v>
      </c>
      <c r="G689" s="27">
        <f>11.3321 * CHOOSE(CONTROL!$C$32, $C$9, 100%, $E$9)</f>
        <v>11.332100000000001</v>
      </c>
      <c r="H689" s="27">
        <f>22.1527 * CHOOSE(CONTROL!$C$32, $C$9, 100%, $E$9)</f>
        <v>22.152699999999999</v>
      </c>
      <c r="I689" s="27">
        <f>22.1563 * CHOOSE(CONTROL!$C$32, $C$9, 100%, $E$9)</f>
        <v>22.156300000000002</v>
      </c>
      <c r="J689" s="27">
        <f>22.1527 * CHOOSE(CONTROL!$C$32, $C$9, 100%, $E$9)</f>
        <v>22.152699999999999</v>
      </c>
      <c r="K689" s="27">
        <f>22.1563 * CHOOSE(CONTROL!$C$32, $C$9, 100%, $E$9)</f>
        <v>22.156300000000002</v>
      </c>
      <c r="L689" s="27">
        <f>11.3285 * CHOOSE(CONTROL!$C$32, $C$9, 100%, $E$9)</f>
        <v>11.3285</v>
      </c>
      <c r="M689" s="27">
        <f>11.3321 * CHOOSE(CONTROL!$C$32, $C$9, 100%, $E$9)</f>
        <v>11.332100000000001</v>
      </c>
      <c r="N689" s="27">
        <f>11.3285 * CHOOSE(CONTROL!$C$32, $C$9, 100%, $E$9)</f>
        <v>11.3285</v>
      </c>
      <c r="O689" s="27">
        <f>11.3321 * CHOOSE(CONTROL!$C$32, $C$9, 100%, $E$9)</f>
        <v>11.332100000000001</v>
      </c>
    </row>
    <row r="690" spans="1:15" ht="15" x14ac:dyDescent="0.2">
      <c r="A690" s="16">
        <v>61849</v>
      </c>
      <c r="B690" s="26">
        <f>9.941 * CHOOSE(CONTROL!$C$32, $C$9, 100%, $E$9)</f>
        <v>9.9410000000000007</v>
      </c>
      <c r="C690" s="26">
        <f>9.941 * CHOOSE(CONTROL!$C$32, $C$9, 100%, $E$9)</f>
        <v>9.9410000000000007</v>
      </c>
      <c r="D690" s="26">
        <f>9.9426 * CHOOSE(CONTROL!$C$32, $C$9, 100%, $E$9)</f>
        <v>9.9426000000000005</v>
      </c>
      <c r="E690" s="27">
        <f>11.418 * CHOOSE(CONTROL!$C$32, $C$9, 100%, $E$9)</f>
        <v>11.417999999999999</v>
      </c>
      <c r="F690" s="27">
        <f>11.418 * CHOOSE(CONTROL!$C$32, $C$9, 100%, $E$9)</f>
        <v>11.417999999999999</v>
      </c>
      <c r="G690" s="27">
        <f>11.4233 * CHOOSE(CONTROL!$C$32, $C$9, 100%, $E$9)</f>
        <v>11.423299999999999</v>
      </c>
      <c r="H690" s="27">
        <f>22.1988 * CHOOSE(CONTROL!$C$32, $C$9, 100%, $E$9)</f>
        <v>22.198799999999999</v>
      </c>
      <c r="I690" s="27">
        <f>22.2041 * CHOOSE(CONTROL!$C$32, $C$9, 100%, $E$9)</f>
        <v>22.2041</v>
      </c>
      <c r="J690" s="27">
        <f>22.1988 * CHOOSE(CONTROL!$C$32, $C$9, 100%, $E$9)</f>
        <v>22.198799999999999</v>
      </c>
      <c r="K690" s="27">
        <f>22.2041 * CHOOSE(CONTROL!$C$32, $C$9, 100%, $E$9)</f>
        <v>22.2041</v>
      </c>
      <c r="L690" s="27">
        <f>11.418 * CHOOSE(CONTROL!$C$32, $C$9, 100%, $E$9)</f>
        <v>11.417999999999999</v>
      </c>
      <c r="M690" s="27">
        <f>11.4233 * CHOOSE(CONTROL!$C$32, $C$9, 100%, $E$9)</f>
        <v>11.423299999999999</v>
      </c>
      <c r="N690" s="27">
        <f>11.418 * CHOOSE(CONTROL!$C$32, $C$9, 100%, $E$9)</f>
        <v>11.417999999999999</v>
      </c>
      <c r="O690" s="27">
        <f>11.4233 * CHOOSE(CONTROL!$C$32, $C$9, 100%, $E$9)</f>
        <v>11.423299999999999</v>
      </c>
    </row>
    <row r="691" spans="1:15" ht="15" x14ac:dyDescent="0.2">
      <c r="A691" s="16">
        <v>61880</v>
      </c>
      <c r="B691" s="26">
        <f>9.9471 * CHOOSE(CONTROL!$C$32, $C$9, 100%, $E$9)</f>
        <v>9.9471000000000007</v>
      </c>
      <c r="C691" s="26">
        <f>9.9471 * CHOOSE(CONTROL!$C$32, $C$9, 100%, $E$9)</f>
        <v>9.9471000000000007</v>
      </c>
      <c r="D691" s="26">
        <f>9.9487 * CHOOSE(CONTROL!$C$32, $C$9, 100%, $E$9)</f>
        <v>9.9487000000000005</v>
      </c>
      <c r="E691" s="27">
        <f>11.3327 * CHOOSE(CONTROL!$C$32, $C$9, 100%, $E$9)</f>
        <v>11.332700000000001</v>
      </c>
      <c r="F691" s="27">
        <f>11.3327 * CHOOSE(CONTROL!$C$32, $C$9, 100%, $E$9)</f>
        <v>11.332700000000001</v>
      </c>
      <c r="G691" s="27">
        <f>11.338 * CHOOSE(CONTROL!$C$32, $C$9, 100%, $E$9)</f>
        <v>11.337999999999999</v>
      </c>
      <c r="H691" s="27">
        <f>22.2451 * CHOOSE(CONTROL!$C$32, $C$9, 100%, $E$9)</f>
        <v>22.245100000000001</v>
      </c>
      <c r="I691" s="27">
        <f>22.2504 * CHOOSE(CONTROL!$C$32, $C$9, 100%, $E$9)</f>
        <v>22.250399999999999</v>
      </c>
      <c r="J691" s="27">
        <f>22.2451 * CHOOSE(CONTROL!$C$32, $C$9, 100%, $E$9)</f>
        <v>22.245100000000001</v>
      </c>
      <c r="K691" s="27">
        <f>22.2504 * CHOOSE(CONTROL!$C$32, $C$9, 100%, $E$9)</f>
        <v>22.250399999999999</v>
      </c>
      <c r="L691" s="27">
        <f>11.3327 * CHOOSE(CONTROL!$C$32, $C$9, 100%, $E$9)</f>
        <v>11.332700000000001</v>
      </c>
      <c r="M691" s="27">
        <f>11.338 * CHOOSE(CONTROL!$C$32, $C$9, 100%, $E$9)</f>
        <v>11.337999999999999</v>
      </c>
      <c r="N691" s="27">
        <f>11.3327 * CHOOSE(CONTROL!$C$32, $C$9, 100%, $E$9)</f>
        <v>11.332700000000001</v>
      </c>
      <c r="O691" s="27">
        <f>11.338 * CHOOSE(CONTROL!$C$32, $C$9, 100%, $E$9)</f>
        <v>11.337999999999999</v>
      </c>
    </row>
    <row r="692" spans="1:15" ht="15" x14ac:dyDescent="0.2">
      <c r="A692" s="16">
        <v>61910</v>
      </c>
      <c r="B692" s="26">
        <f>10.0709 * CHOOSE(CONTROL!$C$32, $C$9, 100%, $E$9)</f>
        <v>10.0709</v>
      </c>
      <c r="C692" s="26">
        <f>10.0709 * CHOOSE(CONTROL!$C$32, $C$9, 100%, $E$9)</f>
        <v>10.0709</v>
      </c>
      <c r="D692" s="26">
        <f>10.0725 * CHOOSE(CONTROL!$C$32, $C$9, 100%, $E$9)</f>
        <v>10.0725</v>
      </c>
      <c r="E692" s="27">
        <f>11.4915 * CHOOSE(CONTROL!$C$32, $C$9, 100%, $E$9)</f>
        <v>11.4915</v>
      </c>
      <c r="F692" s="27">
        <f>11.4915 * CHOOSE(CONTROL!$C$32, $C$9, 100%, $E$9)</f>
        <v>11.4915</v>
      </c>
      <c r="G692" s="27">
        <f>11.4968 * CHOOSE(CONTROL!$C$32, $C$9, 100%, $E$9)</f>
        <v>11.4968</v>
      </c>
      <c r="H692" s="27">
        <f>22.2914 * CHOOSE(CONTROL!$C$32, $C$9, 100%, $E$9)</f>
        <v>22.291399999999999</v>
      </c>
      <c r="I692" s="27">
        <f>22.2967 * CHOOSE(CONTROL!$C$32, $C$9, 100%, $E$9)</f>
        <v>22.296700000000001</v>
      </c>
      <c r="J692" s="27">
        <f>22.2914 * CHOOSE(CONTROL!$C$32, $C$9, 100%, $E$9)</f>
        <v>22.291399999999999</v>
      </c>
      <c r="K692" s="27">
        <f>22.2967 * CHOOSE(CONTROL!$C$32, $C$9, 100%, $E$9)</f>
        <v>22.296700000000001</v>
      </c>
      <c r="L692" s="27">
        <f>11.4915 * CHOOSE(CONTROL!$C$32, $C$9, 100%, $E$9)</f>
        <v>11.4915</v>
      </c>
      <c r="M692" s="27">
        <f>11.4968 * CHOOSE(CONTROL!$C$32, $C$9, 100%, $E$9)</f>
        <v>11.4968</v>
      </c>
      <c r="N692" s="27">
        <f>11.4915 * CHOOSE(CONTROL!$C$32, $C$9, 100%, $E$9)</f>
        <v>11.4915</v>
      </c>
      <c r="O692" s="27">
        <f>11.4968 * CHOOSE(CONTROL!$C$32, $C$9, 100%, $E$9)</f>
        <v>11.4968</v>
      </c>
    </row>
    <row r="693" spans="1:15" ht="15" x14ac:dyDescent="0.2">
      <c r="A693" s="16">
        <v>61941</v>
      </c>
      <c r="B693" s="26">
        <f>10.0776 * CHOOSE(CONTROL!$C$32, $C$9, 100%, $E$9)</f>
        <v>10.0776</v>
      </c>
      <c r="C693" s="26">
        <f>10.0776 * CHOOSE(CONTROL!$C$32, $C$9, 100%, $E$9)</f>
        <v>10.0776</v>
      </c>
      <c r="D693" s="26">
        <f>10.0792 * CHOOSE(CONTROL!$C$32, $C$9, 100%, $E$9)</f>
        <v>10.0792</v>
      </c>
      <c r="E693" s="27">
        <f>11.2277 * CHOOSE(CONTROL!$C$32, $C$9, 100%, $E$9)</f>
        <v>11.2277</v>
      </c>
      <c r="F693" s="27">
        <f>11.2277 * CHOOSE(CONTROL!$C$32, $C$9, 100%, $E$9)</f>
        <v>11.2277</v>
      </c>
      <c r="G693" s="27">
        <f>11.233 * CHOOSE(CONTROL!$C$32, $C$9, 100%, $E$9)</f>
        <v>11.233000000000001</v>
      </c>
      <c r="H693" s="27">
        <f>22.3379 * CHOOSE(CONTROL!$C$32, $C$9, 100%, $E$9)</f>
        <v>22.337900000000001</v>
      </c>
      <c r="I693" s="27">
        <f>22.3432 * CHOOSE(CONTROL!$C$32, $C$9, 100%, $E$9)</f>
        <v>22.3432</v>
      </c>
      <c r="J693" s="27">
        <f>22.3379 * CHOOSE(CONTROL!$C$32, $C$9, 100%, $E$9)</f>
        <v>22.337900000000001</v>
      </c>
      <c r="K693" s="27">
        <f>22.3432 * CHOOSE(CONTROL!$C$32, $C$9, 100%, $E$9)</f>
        <v>22.3432</v>
      </c>
      <c r="L693" s="27">
        <f>11.2277 * CHOOSE(CONTROL!$C$32, $C$9, 100%, $E$9)</f>
        <v>11.2277</v>
      </c>
      <c r="M693" s="27">
        <f>11.233 * CHOOSE(CONTROL!$C$32, $C$9, 100%, $E$9)</f>
        <v>11.233000000000001</v>
      </c>
      <c r="N693" s="27">
        <f>11.2277 * CHOOSE(CONTROL!$C$32, $C$9, 100%, $E$9)</f>
        <v>11.2277</v>
      </c>
      <c r="O693" s="27">
        <f>11.233 * CHOOSE(CONTROL!$C$32, $C$9, 100%, $E$9)</f>
        <v>11.233000000000001</v>
      </c>
    </row>
    <row r="694" spans="1:15" ht="15" x14ac:dyDescent="0.2">
      <c r="A694" s="16">
        <v>61972</v>
      </c>
      <c r="B694" s="26">
        <f>10.0746 * CHOOSE(CONTROL!$C$32, $C$9, 100%, $E$9)</f>
        <v>10.0746</v>
      </c>
      <c r="C694" s="26">
        <f>10.0746 * CHOOSE(CONTROL!$C$32, $C$9, 100%, $E$9)</f>
        <v>10.0746</v>
      </c>
      <c r="D694" s="26">
        <f>10.0761 * CHOOSE(CONTROL!$C$32, $C$9, 100%, $E$9)</f>
        <v>10.0761</v>
      </c>
      <c r="E694" s="27">
        <f>11.1958 * CHOOSE(CONTROL!$C$32, $C$9, 100%, $E$9)</f>
        <v>11.1958</v>
      </c>
      <c r="F694" s="27">
        <f>11.1958 * CHOOSE(CONTROL!$C$32, $C$9, 100%, $E$9)</f>
        <v>11.1958</v>
      </c>
      <c r="G694" s="27">
        <f>11.2011 * CHOOSE(CONTROL!$C$32, $C$9, 100%, $E$9)</f>
        <v>11.2011</v>
      </c>
      <c r="H694" s="27">
        <f>22.3844 * CHOOSE(CONTROL!$C$32, $C$9, 100%, $E$9)</f>
        <v>22.384399999999999</v>
      </c>
      <c r="I694" s="27">
        <f>22.3897 * CHOOSE(CONTROL!$C$32, $C$9, 100%, $E$9)</f>
        <v>22.389700000000001</v>
      </c>
      <c r="J694" s="27">
        <f>22.3844 * CHOOSE(CONTROL!$C$32, $C$9, 100%, $E$9)</f>
        <v>22.384399999999999</v>
      </c>
      <c r="K694" s="27">
        <f>22.3897 * CHOOSE(CONTROL!$C$32, $C$9, 100%, $E$9)</f>
        <v>22.389700000000001</v>
      </c>
      <c r="L694" s="27">
        <f>11.1958 * CHOOSE(CONTROL!$C$32, $C$9, 100%, $E$9)</f>
        <v>11.1958</v>
      </c>
      <c r="M694" s="27">
        <f>11.2011 * CHOOSE(CONTROL!$C$32, $C$9, 100%, $E$9)</f>
        <v>11.2011</v>
      </c>
      <c r="N694" s="27">
        <f>11.1958 * CHOOSE(CONTROL!$C$32, $C$9, 100%, $E$9)</f>
        <v>11.1958</v>
      </c>
      <c r="O694" s="27">
        <f>11.2011 * CHOOSE(CONTROL!$C$32, $C$9, 100%, $E$9)</f>
        <v>11.2011</v>
      </c>
    </row>
    <row r="695" spans="1:15" ht="15" x14ac:dyDescent="0.2">
      <c r="A695" s="16">
        <v>62002</v>
      </c>
      <c r="B695" s="26">
        <f>10.0923 * CHOOSE(CONTROL!$C$32, $C$9, 100%, $E$9)</f>
        <v>10.0923</v>
      </c>
      <c r="C695" s="26">
        <f>10.0923 * CHOOSE(CONTROL!$C$32, $C$9, 100%, $E$9)</f>
        <v>10.0923</v>
      </c>
      <c r="D695" s="26">
        <f>10.0934 * CHOOSE(CONTROL!$C$32, $C$9, 100%, $E$9)</f>
        <v>10.093400000000001</v>
      </c>
      <c r="E695" s="27">
        <f>11.3017 * CHOOSE(CONTROL!$C$32, $C$9, 100%, $E$9)</f>
        <v>11.3017</v>
      </c>
      <c r="F695" s="27">
        <f>11.3017 * CHOOSE(CONTROL!$C$32, $C$9, 100%, $E$9)</f>
        <v>11.3017</v>
      </c>
      <c r="G695" s="27">
        <f>11.3053 * CHOOSE(CONTROL!$C$32, $C$9, 100%, $E$9)</f>
        <v>11.305300000000001</v>
      </c>
      <c r="H695" s="27">
        <f>22.4311 * CHOOSE(CONTROL!$C$32, $C$9, 100%, $E$9)</f>
        <v>22.431100000000001</v>
      </c>
      <c r="I695" s="27">
        <f>22.4347 * CHOOSE(CONTROL!$C$32, $C$9, 100%, $E$9)</f>
        <v>22.434699999999999</v>
      </c>
      <c r="J695" s="27">
        <f>22.4311 * CHOOSE(CONTROL!$C$32, $C$9, 100%, $E$9)</f>
        <v>22.431100000000001</v>
      </c>
      <c r="K695" s="27">
        <f>22.4347 * CHOOSE(CONTROL!$C$32, $C$9, 100%, $E$9)</f>
        <v>22.434699999999999</v>
      </c>
      <c r="L695" s="27">
        <f>11.3017 * CHOOSE(CONTROL!$C$32, $C$9, 100%, $E$9)</f>
        <v>11.3017</v>
      </c>
      <c r="M695" s="27">
        <f>11.3053 * CHOOSE(CONTROL!$C$32, $C$9, 100%, $E$9)</f>
        <v>11.305300000000001</v>
      </c>
      <c r="N695" s="27">
        <f>11.3017 * CHOOSE(CONTROL!$C$32, $C$9, 100%, $E$9)</f>
        <v>11.3017</v>
      </c>
      <c r="O695" s="27">
        <f>11.3053 * CHOOSE(CONTROL!$C$32, $C$9, 100%, $E$9)</f>
        <v>11.305300000000001</v>
      </c>
    </row>
    <row r="696" spans="1:15" ht="15" x14ac:dyDescent="0.2">
      <c r="A696" s="16">
        <v>62033</v>
      </c>
      <c r="B696" s="26">
        <f>10.0953 * CHOOSE(CONTROL!$C$32, $C$9, 100%, $E$9)</f>
        <v>10.0953</v>
      </c>
      <c r="C696" s="26">
        <f>10.0953 * CHOOSE(CONTROL!$C$32, $C$9, 100%, $E$9)</f>
        <v>10.0953</v>
      </c>
      <c r="D696" s="26">
        <f>10.0964 * CHOOSE(CONTROL!$C$32, $C$9, 100%, $E$9)</f>
        <v>10.096399999999999</v>
      </c>
      <c r="E696" s="27">
        <f>11.3634 * CHOOSE(CONTROL!$C$32, $C$9, 100%, $E$9)</f>
        <v>11.3634</v>
      </c>
      <c r="F696" s="27">
        <f>11.3634 * CHOOSE(CONTROL!$C$32, $C$9, 100%, $E$9)</f>
        <v>11.3634</v>
      </c>
      <c r="G696" s="27">
        <f>11.3671 * CHOOSE(CONTROL!$C$32, $C$9, 100%, $E$9)</f>
        <v>11.367100000000001</v>
      </c>
      <c r="H696" s="27">
        <f>22.4778 * CHOOSE(CONTROL!$C$32, $C$9, 100%, $E$9)</f>
        <v>22.477799999999998</v>
      </c>
      <c r="I696" s="27">
        <f>22.4814 * CHOOSE(CONTROL!$C$32, $C$9, 100%, $E$9)</f>
        <v>22.481400000000001</v>
      </c>
      <c r="J696" s="27">
        <f>22.4778 * CHOOSE(CONTROL!$C$32, $C$9, 100%, $E$9)</f>
        <v>22.477799999999998</v>
      </c>
      <c r="K696" s="27">
        <f>22.4814 * CHOOSE(CONTROL!$C$32, $C$9, 100%, $E$9)</f>
        <v>22.481400000000001</v>
      </c>
      <c r="L696" s="27">
        <f>11.3634 * CHOOSE(CONTROL!$C$32, $C$9, 100%, $E$9)</f>
        <v>11.3634</v>
      </c>
      <c r="M696" s="27">
        <f>11.3671 * CHOOSE(CONTROL!$C$32, $C$9, 100%, $E$9)</f>
        <v>11.367100000000001</v>
      </c>
      <c r="N696" s="27">
        <f>11.3634 * CHOOSE(CONTROL!$C$32, $C$9, 100%, $E$9)</f>
        <v>11.3634</v>
      </c>
      <c r="O696" s="27">
        <f>11.3671 * CHOOSE(CONTROL!$C$32, $C$9, 100%, $E$9)</f>
        <v>11.367100000000001</v>
      </c>
    </row>
    <row r="697" spans="1:15" ht="15" x14ac:dyDescent="0.2">
      <c r="A697" s="16">
        <v>62063</v>
      </c>
      <c r="B697" s="26">
        <f>10.0953 * CHOOSE(CONTROL!$C$32, $C$9, 100%, $E$9)</f>
        <v>10.0953</v>
      </c>
      <c r="C697" s="26">
        <f>10.0953 * CHOOSE(CONTROL!$C$32, $C$9, 100%, $E$9)</f>
        <v>10.0953</v>
      </c>
      <c r="D697" s="26">
        <f>10.0964 * CHOOSE(CONTROL!$C$32, $C$9, 100%, $E$9)</f>
        <v>10.096399999999999</v>
      </c>
      <c r="E697" s="27">
        <f>11.2143 * CHOOSE(CONTROL!$C$32, $C$9, 100%, $E$9)</f>
        <v>11.2143</v>
      </c>
      <c r="F697" s="27">
        <f>11.2143 * CHOOSE(CONTROL!$C$32, $C$9, 100%, $E$9)</f>
        <v>11.2143</v>
      </c>
      <c r="G697" s="27">
        <f>11.2179 * CHOOSE(CONTROL!$C$32, $C$9, 100%, $E$9)</f>
        <v>11.2179</v>
      </c>
      <c r="H697" s="27">
        <f>22.5246 * CHOOSE(CONTROL!$C$32, $C$9, 100%, $E$9)</f>
        <v>22.5246</v>
      </c>
      <c r="I697" s="27">
        <f>22.5282 * CHOOSE(CONTROL!$C$32, $C$9, 100%, $E$9)</f>
        <v>22.528199999999998</v>
      </c>
      <c r="J697" s="27">
        <f>22.5246 * CHOOSE(CONTROL!$C$32, $C$9, 100%, $E$9)</f>
        <v>22.5246</v>
      </c>
      <c r="K697" s="27">
        <f>22.5282 * CHOOSE(CONTROL!$C$32, $C$9, 100%, $E$9)</f>
        <v>22.528199999999998</v>
      </c>
      <c r="L697" s="27">
        <f>11.2143 * CHOOSE(CONTROL!$C$32, $C$9, 100%, $E$9)</f>
        <v>11.2143</v>
      </c>
      <c r="M697" s="27">
        <f>11.2179 * CHOOSE(CONTROL!$C$32, $C$9, 100%, $E$9)</f>
        <v>11.2179</v>
      </c>
      <c r="N697" s="27">
        <f>11.2143 * CHOOSE(CONTROL!$C$32, $C$9, 100%, $E$9)</f>
        <v>11.2143</v>
      </c>
      <c r="O697" s="27">
        <f>11.2179 * CHOOSE(CONTROL!$C$32, $C$9, 100%, $E$9)</f>
        <v>11.2179</v>
      </c>
    </row>
    <row r="698" spans="1:15" ht="15" x14ac:dyDescent="0.2">
      <c r="A698" s="16">
        <v>62094</v>
      </c>
      <c r="B698" s="26">
        <f>10.1311 * CHOOSE(CONTROL!$C$32, $C$9, 100%, $E$9)</f>
        <v>10.1311</v>
      </c>
      <c r="C698" s="26">
        <f>10.1311 * CHOOSE(CONTROL!$C$32, $C$9, 100%, $E$9)</f>
        <v>10.1311</v>
      </c>
      <c r="D698" s="26">
        <f>10.1321 * CHOOSE(CONTROL!$C$32, $C$9, 100%, $E$9)</f>
        <v>10.132099999999999</v>
      </c>
      <c r="E698" s="27">
        <f>11.3705 * CHOOSE(CONTROL!$C$32, $C$9, 100%, $E$9)</f>
        <v>11.3705</v>
      </c>
      <c r="F698" s="27">
        <f>11.3705 * CHOOSE(CONTROL!$C$32, $C$9, 100%, $E$9)</f>
        <v>11.3705</v>
      </c>
      <c r="G698" s="27">
        <f>11.3741 * CHOOSE(CONTROL!$C$32, $C$9, 100%, $E$9)</f>
        <v>11.3741</v>
      </c>
      <c r="H698" s="27">
        <f>22.4683 * CHOOSE(CONTROL!$C$32, $C$9, 100%, $E$9)</f>
        <v>22.468299999999999</v>
      </c>
      <c r="I698" s="27">
        <f>22.4719 * CHOOSE(CONTROL!$C$32, $C$9, 100%, $E$9)</f>
        <v>22.471900000000002</v>
      </c>
      <c r="J698" s="27">
        <f>22.4683 * CHOOSE(CONTROL!$C$32, $C$9, 100%, $E$9)</f>
        <v>22.468299999999999</v>
      </c>
      <c r="K698" s="27">
        <f>22.4719 * CHOOSE(CONTROL!$C$32, $C$9, 100%, $E$9)</f>
        <v>22.471900000000002</v>
      </c>
      <c r="L698" s="27">
        <f>11.3705 * CHOOSE(CONTROL!$C$32, $C$9, 100%, $E$9)</f>
        <v>11.3705</v>
      </c>
      <c r="M698" s="27">
        <f>11.3741 * CHOOSE(CONTROL!$C$32, $C$9, 100%, $E$9)</f>
        <v>11.3741</v>
      </c>
      <c r="N698" s="27">
        <f>11.3705 * CHOOSE(CONTROL!$C$32, $C$9, 100%, $E$9)</f>
        <v>11.3705</v>
      </c>
      <c r="O698" s="27">
        <f>11.3741 * CHOOSE(CONTROL!$C$32, $C$9, 100%, $E$9)</f>
        <v>11.3741</v>
      </c>
    </row>
    <row r="699" spans="1:15" ht="15" x14ac:dyDescent="0.2">
      <c r="A699" s="16">
        <v>62125</v>
      </c>
      <c r="B699" s="26">
        <f>10.128 * CHOOSE(CONTROL!$C$32, $C$9, 100%, $E$9)</f>
        <v>10.128</v>
      </c>
      <c r="C699" s="26">
        <f>10.128 * CHOOSE(CONTROL!$C$32, $C$9, 100%, $E$9)</f>
        <v>10.128</v>
      </c>
      <c r="D699" s="26">
        <f>10.1291 * CHOOSE(CONTROL!$C$32, $C$9, 100%, $E$9)</f>
        <v>10.129099999999999</v>
      </c>
      <c r="E699" s="27">
        <f>11.0795 * CHOOSE(CONTROL!$C$32, $C$9, 100%, $E$9)</f>
        <v>11.079499999999999</v>
      </c>
      <c r="F699" s="27">
        <f>11.0795 * CHOOSE(CONTROL!$C$32, $C$9, 100%, $E$9)</f>
        <v>11.079499999999999</v>
      </c>
      <c r="G699" s="27">
        <f>11.0831 * CHOOSE(CONTROL!$C$32, $C$9, 100%, $E$9)</f>
        <v>11.0831</v>
      </c>
      <c r="H699" s="27">
        <f>22.5151 * CHOOSE(CONTROL!$C$32, $C$9, 100%, $E$9)</f>
        <v>22.5151</v>
      </c>
      <c r="I699" s="27">
        <f>22.5187 * CHOOSE(CONTROL!$C$32, $C$9, 100%, $E$9)</f>
        <v>22.518699999999999</v>
      </c>
      <c r="J699" s="27">
        <f>22.5151 * CHOOSE(CONTROL!$C$32, $C$9, 100%, $E$9)</f>
        <v>22.5151</v>
      </c>
      <c r="K699" s="27">
        <f>22.5187 * CHOOSE(CONTROL!$C$32, $C$9, 100%, $E$9)</f>
        <v>22.518699999999999</v>
      </c>
      <c r="L699" s="27">
        <f>11.0795 * CHOOSE(CONTROL!$C$32, $C$9, 100%, $E$9)</f>
        <v>11.079499999999999</v>
      </c>
      <c r="M699" s="27">
        <f>11.0831 * CHOOSE(CONTROL!$C$32, $C$9, 100%, $E$9)</f>
        <v>11.0831</v>
      </c>
      <c r="N699" s="27">
        <f>11.0795 * CHOOSE(CONTROL!$C$32, $C$9, 100%, $E$9)</f>
        <v>11.079499999999999</v>
      </c>
      <c r="O699" s="27">
        <f>11.0831 * CHOOSE(CONTROL!$C$32, $C$9, 100%, $E$9)</f>
        <v>11.0831</v>
      </c>
    </row>
    <row r="700" spans="1:15" ht="15" x14ac:dyDescent="0.2">
      <c r="A700" s="16">
        <v>62153</v>
      </c>
      <c r="B700" s="26">
        <f>10.125 * CHOOSE(CONTROL!$C$32, $C$9, 100%, $E$9)</f>
        <v>10.125</v>
      </c>
      <c r="C700" s="26">
        <f>10.125 * CHOOSE(CONTROL!$C$32, $C$9, 100%, $E$9)</f>
        <v>10.125</v>
      </c>
      <c r="D700" s="26">
        <f>10.1261 * CHOOSE(CONTROL!$C$32, $C$9, 100%, $E$9)</f>
        <v>10.126099999999999</v>
      </c>
      <c r="E700" s="27">
        <f>11.3051 * CHOOSE(CONTROL!$C$32, $C$9, 100%, $E$9)</f>
        <v>11.305099999999999</v>
      </c>
      <c r="F700" s="27">
        <f>11.3051 * CHOOSE(CONTROL!$C$32, $C$9, 100%, $E$9)</f>
        <v>11.305099999999999</v>
      </c>
      <c r="G700" s="27">
        <f>11.3087 * CHOOSE(CONTROL!$C$32, $C$9, 100%, $E$9)</f>
        <v>11.3087</v>
      </c>
      <c r="H700" s="27">
        <f>22.562 * CHOOSE(CONTROL!$C$32, $C$9, 100%, $E$9)</f>
        <v>22.562000000000001</v>
      </c>
      <c r="I700" s="27">
        <f>22.5657 * CHOOSE(CONTROL!$C$32, $C$9, 100%, $E$9)</f>
        <v>22.5657</v>
      </c>
      <c r="J700" s="27">
        <f>22.562 * CHOOSE(CONTROL!$C$32, $C$9, 100%, $E$9)</f>
        <v>22.562000000000001</v>
      </c>
      <c r="K700" s="27">
        <f>22.5657 * CHOOSE(CONTROL!$C$32, $C$9, 100%, $E$9)</f>
        <v>22.5657</v>
      </c>
      <c r="L700" s="27">
        <f>11.3051 * CHOOSE(CONTROL!$C$32, $C$9, 100%, $E$9)</f>
        <v>11.305099999999999</v>
      </c>
      <c r="M700" s="27">
        <f>11.3087 * CHOOSE(CONTROL!$C$32, $C$9, 100%, $E$9)</f>
        <v>11.3087</v>
      </c>
      <c r="N700" s="27">
        <f>11.3051 * CHOOSE(CONTROL!$C$32, $C$9, 100%, $E$9)</f>
        <v>11.305099999999999</v>
      </c>
      <c r="O700" s="27">
        <f>11.3087 * CHOOSE(CONTROL!$C$32, $C$9, 100%, $E$9)</f>
        <v>11.3087</v>
      </c>
    </row>
    <row r="701" spans="1:15" ht="15" x14ac:dyDescent="0.2">
      <c r="A701" s="16">
        <v>62184</v>
      </c>
      <c r="B701" s="26">
        <f>10.1286 * CHOOSE(CONTROL!$C$32, $C$9, 100%, $E$9)</f>
        <v>10.1286</v>
      </c>
      <c r="C701" s="26">
        <f>10.1286 * CHOOSE(CONTROL!$C$32, $C$9, 100%, $E$9)</f>
        <v>10.1286</v>
      </c>
      <c r="D701" s="26">
        <f>10.1297 * CHOOSE(CONTROL!$C$32, $C$9, 100%, $E$9)</f>
        <v>10.1297</v>
      </c>
      <c r="E701" s="27">
        <f>11.5455 * CHOOSE(CONTROL!$C$32, $C$9, 100%, $E$9)</f>
        <v>11.545500000000001</v>
      </c>
      <c r="F701" s="27">
        <f>11.5455 * CHOOSE(CONTROL!$C$32, $C$9, 100%, $E$9)</f>
        <v>11.545500000000001</v>
      </c>
      <c r="G701" s="27">
        <f>11.5491 * CHOOSE(CONTROL!$C$32, $C$9, 100%, $E$9)</f>
        <v>11.549099999999999</v>
      </c>
      <c r="H701" s="27">
        <f>22.609 * CHOOSE(CONTROL!$C$32, $C$9, 100%, $E$9)</f>
        <v>22.609000000000002</v>
      </c>
      <c r="I701" s="27">
        <f>22.6127 * CHOOSE(CONTROL!$C$32, $C$9, 100%, $E$9)</f>
        <v>22.6127</v>
      </c>
      <c r="J701" s="27">
        <f>22.609 * CHOOSE(CONTROL!$C$32, $C$9, 100%, $E$9)</f>
        <v>22.609000000000002</v>
      </c>
      <c r="K701" s="27">
        <f>22.6127 * CHOOSE(CONTROL!$C$32, $C$9, 100%, $E$9)</f>
        <v>22.6127</v>
      </c>
      <c r="L701" s="27">
        <f>11.5455 * CHOOSE(CONTROL!$C$32, $C$9, 100%, $E$9)</f>
        <v>11.545500000000001</v>
      </c>
      <c r="M701" s="27">
        <f>11.5491 * CHOOSE(CONTROL!$C$32, $C$9, 100%, $E$9)</f>
        <v>11.549099999999999</v>
      </c>
      <c r="N701" s="27">
        <f>11.5455 * CHOOSE(CONTROL!$C$32, $C$9, 100%, $E$9)</f>
        <v>11.545500000000001</v>
      </c>
      <c r="O701" s="27">
        <f>11.5491 * CHOOSE(CONTROL!$C$32, $C$9, 100%, $E$9)</f>
        <v>11.549099999999999</v>
      </c>
    </row>
    <row r="702" spans="1:15" ht="15" x14ac:dyDescent="0.2">
      <c r="A702" s="16">
        <v>62214</v>
      </c>
      <c r="B702" s="26">
        <f>10.1286 * CHOOSE(CONTROL!$C$32, $C$9, 100%, $E$9)</f>
        <v>10.1286</v>
      </c>
      <c r="C702" s="26">
        <f>10.1286 * CHOOSE(CONTROL!$C$32, $C$9, 100%, $E$9)</f>
        <v>10.1286</v>
      </c>
      <c r="D702" s="26">
        <f>10.1302 * CHOOSE(CONTROL!$C$32, $C$9, 100%, $E$9)</f>
        <v>10.1302</v>
      </c>
      <c r="E702" s="27">
        <f>11.6372 * CHOOSE(CONTROL!$C$32, $C$9, 100%, $E$9)</f>
        <v>11.6372</v>
      </c>
      <c r="F702" s="27">
        <f>11.6372 * CHOOSE(CONTROL!$C$32, $C$9, 100%, $E$9)</f>
        <v>11.6372</v>
      </c>
      <c r="G702" s="27">
        <f>11.6425 * CHOOSE(CONTROL!$C$32, $C$9, 100%, $E$9)</f>
        <v>11.6425</v>
      </c>
      <c r="H702" s="27">
        <f>22.6561 * CHOOSE(CONTROL!$C$32, $C$9, 100%, $E$9)</f>
        <v>22.656099999999999</v>
      </c>
      <c r="I702" s="27">
        <f>22.6614 * CHOOSE(CONTROL!$C$32, $C$9, 100%, $E$9)</f>
        <v>22.6614</v>
      </c>
      <c r="J702" s="27">
        <f>22.6561 * CHOOSE(CONTROL!$C$32, $C$9, 100%, $E$9)</f>
        <v>22.656099999999999</v>
      </c>
      <c r="K702" s="27">
        <f>22.6614 * CHOOSE(CONTROL!$C$32, $C$9, 100%, $E$9)</f>
        <v>22.6614</v>
      </c>
      <c r="L702" s="27">
        <f>11.6372 * CHOOSE(CONTROL!$C$32, $C$9, 100%, $E$9)</f>
        <v>11.6372</v>
      </c>
      <c r="M702" s="27">
        <f>11.6425 * CHOOSE(CONTROL!$C$32, $C$9, 100%, $E$9)</f>
        <v>11.6425</v>
      </c>
      <c r="N702" s="27">
        <f>11.6372 * CHOOSE(CONTROL!$C$32, $C$9, 100%, $E$9)</f>
        <v>11.6372</v>
      </c>
      <c r="O702" s="27">
        <f>11.6425 * CHOOSE(CONTROL!$C$32, $C$9, 100%, $E$9)</f>
        <v>11.6425</v>
      </c>
    </row>
    <row r="703" spans="1:15" ht="15" x14ac:dyDescent="0.2">
      <c r="A703" s="16">
        <v>62245</v>
      </c>
      <c r="B703" s="26">
        <f>10.1347 * CHOOSE(CONTROL!$C$32, $C$9, 100%, $E$9)</f>
        <v>10.1347</v>
      </c>
      <c r="C703" s="26">
        <f>10.1347 * CHOOSE(CONTROL!$C$32, $C$9, 100%, $E$9)</f>
        <v>10.1347</v>
      </c>
      <c r="D703" s="26">
        <f>10.1362 * CHOOSE(CONTROL!$C$32, $C$9, 100%, $E$9)</f>
        <v>10.136200000000001</v>
      </c>
      <c r="E703" s="27">
        <f>11.5497 * CHOOSE(CONTROL!$C$32, $C$9, 100%, $E$9)</f>
        <v>11.5497</v>
      </c>
      <c r="F703" s="27">
        <f>11.5497 * CHOOSE(CONTROL!$C$32, $C$9, 100%, $E$9)</f>
        <v>11.5497</v>
      </c>
      <c r="G703" s="27">
        <f>11.555 * CHOOSE(CONTROL!$C$32, $C$9, 100%, $E$9)</f>
        <v>11.555</v>
      </c>
      <c r="H703" s="27">
        <f>22.7033 * CHOOSE(CONTROL!$C$32, $C$9, 100%, $E$9)</f>
        <v>22.703299999999999</v>
      </c>
      <c r="I703" s="27">
        <f>22.7086 * CHOOSE(CONTROL!$C$32, $C$9, 100%, $E$9)</f>
        <v>22.708600000000001</v>
      </c>
      <c r="J703" s="27">
        <f>22.7033 * CHOOSE(CONTROL!$C$32, $C$9, 100%, $E$9)</f>
        <v>22.703299999999999</v>
      </c>
      <c r="K703" s="27">
        <f>22.7086 * CHOOSE(CONTROL!$C$32, $C$9, 100%, $E$9)</f>
        <v>22.708600000000001</v>
      </c>
      <c r="L703" s="27">
        <f>11.5497 * CHOOSE(CONTROL!$C$32, $C$9, 100%, $E$9)</f>
        <v>11.5497</v>
      </c>
      <c r="M703" s="27">
        <f>11.555 * CHOOSE(CONTROL!$C$32, $C$9, 100%, $E$9)</f>
        <v>11.555</v>
      </c>
      <c r="N703" s="27">
        <f>11.5497 * CHOOSE(CONTROL!$C$32, $C$9, 100%, $E$9)</f>
        <v>11.5497</v>
      </c>
      <c r="O703" s="27">
        <f>11.555 * CHOOSE(CONTROL!$C$32, $C$9, 100%, $E$9)</f>
        <v>11.555</v>
      </c>
    </row>
    <row r="704" spans="1:15" ht="15" x14ac:dyDescent="0.2">
      <c r="A704" s="16">
        <v>62275</v>
      </c>
      <c r="B704" s="26">
        <f>10.2605 * CHOOSE(CONTROL!$C$32, $C$9, 100%, $E$9)</f>
        <v>10.2605</v>
      </c>
      <c r="C704" s="26">
        <f>10.2605 * CHOOSE(CONTROL!$C$32, $C$9, 100%, $E$9)</f>
        <v>10.2605</v>
      </c>
      <c r="D704" s="26">
        <f>10.2621 * CHOOSE(CONTROL!$C$32, $C$9, 100%, $E$9)</f>
        <v>10.2621</v>
      </c>
      <c r="E704" s="27">
        <f>11.7117 * CHOOSE(CONTROL!$C$32, $C$9, 100%, $E$9)</f>
        <v>11.7117</v>
      </c>
      <c r="F704" s="27">
        <f>11.7117 * CHOOSE(CONTROL!$C$32, $C$9, 100%, $E$9)</f>
        <v>11.7117</v>
      </c>
      <c r="G704" s="27">
        <f>11.717 * CHOOSE(CONTROL!$C$32, $C$9, 100%, $E$9)</f>
        <v>11.717000000000001</v>
      </c>
      <c r="H704" s="27">
        <f>22.7506 * CHOOSE(CONTROL!$C$32, $C$9, 100%, $E$9)</f>
        <v>22.750599999999999</v>
      </c>
      <c r="I704" s="27">
        <f>22.7559 * CHOOSE(CONTROL!$C$32, $C$9, 100%, $E$9)</f>
        <v>22.7559</v>
      </c>
      <c r="J704" s="27">
        <f>22.7506 * CHOOSE(CONTROL!$C$32, $C$9, 100%, $E$9)</f>
        <v>22.750599999999999</v>
      </c>
      <c r="K704" s="27">
        <f>22.7559 * CHOOSE(CONTROL!$C$32, $C$9, 100%, $E$9)</f>
        <v>22.7559</v>
      </c>
      <c r="L704" s="27">
        <f>11.7117 * CHOOSE(CONTROL!$C$32, $C$9, 100%, $E$9)</f>
        <v>11.7117</v>
      </c>
      <c r="M704" s="27">
        <f>11.717 * CHOOSE(CONTROL!$C$32, $C$9, 100%, $E$9)</f>
        <v>11.717000000000001</v>
      </c>
      <c r="N704" s="27">
        <f>11.7117 * CHOOSE(CONTROL!$C$32, $C$9, 100%, $E$9)</f>
        <v>11.7117</v>
      </c>
      <c r="O704" s="27">
        <f>11.717 * CHOOSE(CONTROL!$C$32, $C$9, 100%, $E$9)</f>
        <v>11.717000000000001</v>
      </c>
    </row>
    <row r="705" spans="1:15" ht="15" x14ac:dyDescent="0.2">
      <c r="A705" s="16">
        <v>62306</v>
      </c>
      <c r="B705" s="26">
        <f>10.2672 * CHOOSE(CONTROL!$C$32, $C$9, 100%, $E$9)</f>
        <v>10.267200000000001</v>
      </c>
      <c r="C705" s="26">
        <f>10.2672 * CHOOSE(CONTROL!$C$32, $C$9, 100%, $E$9)</f>
        <v>10.267200000000001</v>
      </c>
      <c r="D705" s="26">
        <f>10.2688 * CHOOSE(CONTROL!$C$32, $C$9, 100%, $E$9)</f>
        <v>10.268800000000001</v>
      </c>
      <c r="E705" s="27">
        <f>11.4412 * CHOOSE(CONTROL!$C$32, $C$9, 100%, $E$9)</f>
        <v>11.4412</v>
      </c>
      <c r="F705" s="27">
        <f>11.4412 * CHOOSE(CONTROL!$C$32, $C$9, 100%, $E$9)</f>
        <v>11.4412</v>
      </c>
      <c r="G705" s="27">
        <f>11.4465 * CHOOSE(CONTROL!$C$32, $C$9, 100%, $E$9)</f>
        <v>11.4465</v>
      </c>
      <c r="H705" s="27">
        <f>22.798 * CHOOSE(CONTROL!$C$32, $C$9, 100%, $E$9)</f>
        <v>22.797999999999998</v>
      </c>
      <c r="I705" s="27">
        <f>22.8033 * CHOOSE(CONTROL!$C$32, $C$9, 100%, $E$9)</f>
        <v>22.8033</v>
      </c>
      <c r="J705" s="27">
        <f>22.798 * CHOOSE(CONTROL!$C$32, $C$9, 100%, $E$9)</f>
        <v>22.797999999999998</v>
      </c>
      <c r="K705" s="27">
        <f>22.8033 * CHOOSE(CONTROL!$C$32, $C$9, 100%, $E$9)</f>
        <v>22.8033</v>
      </c>
      <c r="L705" s="27">
        <f>11.4412 * CHOOSE(CONTROL!$C$32, $C$9, 100%, $E$9)</f>
        <v>11.4412</v>
      </c>
      <c r="M705" s="27">
        <f>11.4465 * CHOOSE(CONTROL!$C$32, $C$9, 100%, $E$9)</f>
        <v>11.4465</v>
      </c>
      <c r="N705" s="27">
        <f>11.4412 * CHOOSE(CONTROL!$C$32, $C$9, 100%, $E$9)</f>
        <v>11.4412</v>
      </c>
      <c r="O705" s="27">
        <f>11.4465 * CHOOSE(CONTROL!$C$32, $C$9, 100%, $E$9)</f>
        <v>11.4465</v>
      </c>
    </row>
    <row r="706" spans="1:15" ht="15" x14ac:dyDescent="0.2">
      <c r="A706" s="16">
        <v>62337</v>
      </c>
      <c r="B706" s="26">
        <f>10.2642 * CHOOSE(CONTROL!$C$32, $C$9, 100%, $E$9)</f>
        <v>10.264200000000001</v>
      </c>
      <c r="C706" s="26">
        <f>10.2642 * CHOOSE(CONTROL!$C$32, $C$9, 100%, $E$9)</f>
        <v>10.264200000000001</v>
      </c>
      <c r="D706" s="26">
        <f>10.2657 * CHOOSE(CONTROL!$C$32, $C$9, 100%, $E$9)</f>
        <v>10.265700000000001</v>
      </c>
      <c r="E706" s="27">
        <f>11.4085 * CHOOSE(CONTROL!$C$32, $C$9, 100%, $E$9)</f>
        <v>11.4085</v>
      </c>
      <c r="F706" s="27">
        <f>11.4085 * CHOOSE(CONTROL!$C$32, $C$9, 100%, $E$9)</f>
        <v>11.4085</v>
      </c>
      <c r="G706" s="27">
        <f>11.4138 * CHOOSE(CONTROL!$C$32, $C$9, 100%, $E$9)</f>
        <v>11.4138</v>
      </c>
      <c r="H706" s="27">
        <f>22.8455 * CHOOSE(CONTROL!$C$32, $C$9, 100%, $E$9)</f>
        <v>22.845500000000001</v>
      </c>
      <c r="I706" s="27">
        <f>22.8508 * CHOOSE(CONTROL!$C$32, $C$9, 100%, $E$9)</f>
        <v>22.8508</v>
      </c>
      <c r="J706" s="27">
        <f>22.8455 * CHOOSE(CONTROL!$C$32, $C$9, 100%, $E$9)</f>
        <v>22.845500000000001</v>
      </c>
      <c r="K706" s="27">
        <f>22.8508 * CHOOSE(CONTROL!$C$32, $C$9, 100%, $E$9)</f>
        <v>22.8508</v>
      </c>
      <c r="L706" s="27">
        <f>11.4085 * CHOOSE(CONTROL!$C$32, $C$9, 100%, $E$9)</f>
        <v>11.4085</v>
      </c>
      <c r="M706" s="27">
        <f>11.4138 * CHOOSE(CONTROL!$C$32, $C$9, 100%, $E$9)</f>
        <v>11.4138</v>
      </c>
      <c r="N706" s="27">
        <f>11.4085 * CHOOSE(CONTROL!$C$32, $C$9, 100%, $E$9)</f>
        <v>11.4085</v>
      </c>
      <c r="O706" s="27">
        <f>11.4138 * CHOOSE(CONTROL!$C$32, $C$9, 100%, $E$9)</f>
        <v>11.4138</v>
      </c>
    </row>
    <row r="707" spans="1:15" ht="15" x14ac:dyDescent="0.2">
      <c r="A707" s="16">
        <v>62367</v>
      </c>
      <c r="B707" s="26">
        <f>10.2826 * CHOOSE(CONTROL!$C$32, $C$9, 100%, $E$9)</f>
        <v>10.2826</v>
      </c>
      <c r="C707" s="26">
        <f>10.2826 * CHOOSE(CONTROL!$C$32, $C$9, 100%, $E$9)</f>
        <v>10.2826</v>
      </c>
      <c r="D707" s="26">
        <f>10.2837 * CHOOSE(CONTROL!$C$32, $C$9, 100%, $E$9)</f>
        <v>10.2837</v>
      </c>
      <c r="E707" s="27">
        <f>11.5173 * CHOOSE(CONTROL!$C$32, $C$9, 100%, $E$9)</f>
        <v>11.517300000000001</v>
      </c>
      <c r="F707" s="27">
        <f>11.5173 * CHOOSE(CONTROL!$C$32, $C$9, 100%, $E$9)</f>
        <v>11.517300000000001</v>
      </c>
      <c r="G707" s="27">
        <f>11.521 * CHOOSE(CONTROL!$C$32, $C$9, 100%, $E$9)</f>
        <v>11.521000000000001</v>
      </c>
      <c r="H707" s="27">
        <f>22.8931 * CHOOSE(CONTROL!$C$32, $C$9, 100%, $E$9)</f>
        <v>22.8931</v>
      </c>
      <c r="I707" s="27">
        <f>22.8967 * CHOOSE(CONTROL!$C$32, $C$9, 100%, $E$9)</f>
        <v>22.896699999999999</v>
      </c>
      <c r="J707" s="27">
        <f>22.8931 * CHOOSE(CONTROL!$C$32, $C$9, 100%, $E$9)</f>
        <v>22.8931</v>
      </c>
      <c r="K707" s="27">
        <f>22.8967 * CHOOSE(CONTROL!$C$32, $C$9, 100%, $E$9)</f>
        <v>22.896699999999999</v>
      </c>
      <c r="L707" s="27">
        <f>11.5173 * CHOOSE(CONTROL!$C$32, $C$9, 100%, $E$9)</f>
        <v>11.517300000000001</v>
      </c>
      <c r="M707" s="27">
        <f>11.521 * CHOOSE(CONTROL!$C$32, $C$9, 100%, $E$9)</f>
        <v>11.521000000000001</v>
      </c>
      <c r="N707" s="27">
        <f>11.5173 * CHOOSE(CONTROL!$C$32, $C$9, 100%, $E$9)</f>
        <v>11.517300000000001</v>
      </c>
      <c r="O707" s="27">
        <f>11.521 * CHOOSE(CONTROL!$C$32, $C$9, 100%, $E$9)</f>
        <v>11.521000000000001</v>
      </c>
    </row>
    <row r="708" spans="1:15" ht="15" x14ac:dyDescent="0.2">
      <c r="A708" s="16">
        <v>62398</v>
      </c>
      <c r="B708" s="26">
        <f>10.2857 * CHOOSE(CONTROL!$C$32, $C$9, 100%, $E$9)</f>
        <v>10.2857</v>
      </c>
      <c r="C708" s="26">
        <f>10.2857 * CHOOSE(CONTROL!$C$32, $C$9, 100%, $E$9)</f>
        <v>10.2857</v>
      </c>
      <c r="D708" s="26">
        <f>10.2867 * CHOOSE(CONTROL!$C$32, $C$9, 100%, $E$9)</f>
        <v>10.2867</v>
      </c>
      <c r="E708" s="27">
        <f>11.5806 * CHOOSE(CONTROL!$C$32, $C$9, 100%, $E$9)</f>
        <v>11.5806</v>
      </c>
      <c r="F708" s="27">
        <f>11.5806 * CHOOSE(CONTROL!$C$32, $C$9, 100%, $E$9)</f>
        <v>11.5806</v>
      </c>
      <c r="G708" s="27">
        <f>11.5842 * CHOOSE(CONTROL!$C$32, $C$9, 100%, $E$9)</f>
        <v>11.584199999999999</v>
      </c>
      <c r="H708" s="27">
        <f>22.9408 * CHOOSE(CONTROL!$C$32, $C$9, 100%, $E$9)</f>
        <v>22.940799999999999</v>
      </c>
      <c r="I708" s="27">
        <f>22.9444 * CHOOSE(CONTROL!$C$32, $C$9, 100%, $E$9)</f>
        <v>22.944400000000002</v>
      </c>
      <c r="J708" s="27">
        <f>22.9408 * CHOOSE(CONTROL!$C$32, $C$9, 100%, $E$9)</f>
        <v>22.940799999999999</v>
      </c>
      <c r="K708" s="27">
        <f>22.9444 * CHOOSE(CONTROL!$C$32, $C$9, 100%, $E$9)</f>
        <v>22.944400000000002</v>
      </c>
      <c r="L708" s="27">
        <f>11.5806 * CHOOSE(CONTROL!$C$32, $C$9, 100%, $E$9)</f>
        <v>11.5806</v>
      </c>
      <c r="M708" s="27">
        <f>11.5842 * CHOOSE(CONTROL!$C$32, $C$9, 100%, $E$9)</f>
        <v>11.584199999999999</v>
      </c>
      <c r="N708" s="27">
        <f>11.5806 * CHOOSE(CONTROL!$C$32, $C$9, 100%, $E$9)</f>
        <v>11.5806</v>
      </c>
      <c r="O708" s="27">
        <f>11.5842 * CHOOSE(CONTROL!$C$32, $C$9, 100%, $E$9)</f>
        <v>11.584199999999999</v>
      </c>
    </row>
    <row r="709" spans="1:15" ht="15" x14ac:dyDescent="0.2">
      <c r="A709" s="16">
        <v>62428</v>
      </c>
      <c r="B709" s="26">
        <f>10.2857 * CHOOSE(CONTROL!$C$32, $C$9, 100%, $E$9)</f>
        <v>10.2857</v>
      </c>
      <c r="C709" s="26">
        <f>10.2857 * CHOOSE(CONTROL!$C$32, $C$9, 100%, $E$9)</f>
        <v>10.2857</v>
      </c>
      <c r="D709" s="26">
        <f>10.2867 * CHOOSE(CONTROL!$C$32, $C$9, 100%, $E$9)</f>
        <v>10.2867</v>
      </c>
      <c r="E709" s="27">
        <f>11.4277 * CHOOSE(CONTROL!$C$32, $C$9, 100%, $E$9)</f>
        <v>11.4277</v>
      </c>
      <c r="F709" s="27">
        <f>11.4277 * CHOOSE(CONTROL!$C$32, $C$9, 100%, $E$9)</f>
        <v>11.4277</v>
      </c>
      <c r="G709" s="27">
        <f>11.4314 * CHOOSE(CONTROL!$C$32, $C$9, 100%, $E$9)</f>
        <v>11.4314</v>
      </c>
      <c r="H709" s="27">
        <f>22.9886 * CHOOSE(CONTROL!$C$32, $C$9, 100%, $E$9)</f>
        <v>22.988600000000002</v>
      </c>
      <c r="I709" s="27">
        <f>22.9922 * CHOOSE(CONTROL!$C$32, $C$9, 100%, $E$9)</f>
        <v>22.9922</v>
      </c>
      <c r="J709" s="27">
        <f>22.9886 * CHOOSE(CONTROL!$C$32, $C$9, 100%, $E$9)</f>
        <v>22.988600000000002</v>
      </c>
      <c r="K709" s="27">
        <f>22.9922 * CHOOSE(CONTROL!$C$32, $C$9, 100%, $E$9)</f>
        <v>22.9922</v>
      </c>
      <c r="L709" s="27">
        <f>11.4277 * CHOOSE(CONTROL!$C$32, $C$9, 100%, $E$9)</f>
        <v>11.4277</v>
      </c>
      <c r="M709" s="27">
        <f>11.4314 * CHOOSE(CONTROL!$C$32, $C$9, 100%, $E$9)</f>
        <v>11.4314</v>
      </c>
      <c r="N709" s="27">
        <f>11.4277 * CHOOSE(CONTROL!$C$32, $C$9, 100%, $E$9)</f>
        <v>11.4277</v>
      </c>
      <c r="O709" s="27">
        <f>11.4314 * CHOOSE(CONTROL!$C$32, $C$9, 100%, $E$9)</f>
        <v>11.4314</v>
      </c>
    </row>
    <row r="710" spans="1:15" ht="15" x14ac:dyDescent="0.2">
      <c r="A710" s="16">
        <v>62459</v>
      </c>
      <c r="B710" s="26">
        <f>10.3184 * CHOOSE(CONTROL!$C$32, $C$9, 100%, $E$9)</f>
        <v>10.3184</v>
      </c>
      <c r="C710" s="26">
        <f>10.3184 * CHOOSE(CONTROL!$C$32, $C$9, 100%, $E$9)</f>
        <v>10.3184</v>
      </c>
      <c r="D710" s="26">
        <f>10.3195 * CHOOSE(CONTROL!$C$32, $C$9, 100%, $E$9)</f>
        <v>10.3195</v>
      </c>
      <c r="E710" s="27">
        <f>11.583 * CHOOSE(CONTROL!$C$32, $C$9, 100%, $E$9)</f>
        <v>11.583</v>
      </c>
      <c r="F710" s="27">
        <f>11.583 * CHOOSE(CONTROL!$C$32, $C$9, 100%, $E$9)</f>
        <v>11.583</v>
      </c>
      <c r="G710" s="27">
        <f>11.5866 * CHOOSE(CONTROL!$C$32, $C$9, 100%, $E$9)</f>
        <v>11.586600000000001</v>
      </c>
      <c r="H710" s="27">
        <f>22.9218 * CHOOSE(CONTROL!$C$32, $C$9, 100%, $E$9)</f>
        <v>22.921800000000001</v>
      </c>
      <c r="I710" s="27">
        <f>22.9254 * CHOOSE(CONTROL!$C$32, $C$9, 100%, $E$9)</f>
        <v>22.9254</v>
      </c>
      <c r="J710" s="27">
        <f>22.9218 * CHOOSE(CONTROL!$C$32, $C$9, 100%, $E$9)</f>
        <v>22.921800000000001</v>
      </c>
      <c r="K710" s="27">
        <f>22.9254 * CHOOSE(CONTROL!$C$32, $C$9, 100%, $E$9)</f>
        <v>22.9254</v>
      </c>
      <c r="L710" s="27">
        <f>11.583 * CHOOSE(CONTROL!$C$32, $C$9, 100%, $E$9)</f>
        <v>11.583</v>
      </c>
      <c r="M710" s="27">
        <f>11.5866 * CHOOSE(CONTROL!$C$32, $C$9, 100%, $E$9)</f>
        <v>11.586600000000001</v>
      </c>
      <c r="N710" s="27">
        <f>11.583 * CHOOSE(CONTROL!$C$32, $C$9, 100%, $E$9)</f>
        <v>11.583</v>
      </c>
      <c r="O710" s="27">
        <f>11.5866 * CHOOSE(CONTROL!$C$32, $C$9, 100%, $E$9)</f>
        <v>11.586600000000001</v>
      </c>
    </row>
    <row r="711" spans="1:15" ht="15" x14ac:dyDescent="0.2">
      <c r="A711" s="16">
        <v>62490</v>
      </c>
      <c r="B711" s="26">
        <f>10.3154 * CHOOSE(CONTROL!$C$32, $C$9, 100%, $E$9)</f>
        <v>10.3154</v>
      </c>
      <c r="C711" s="26">
        <f>10.3154 * CHOOSE(CONTROL!$C$32, $C$9, 100%, $E$9)</f>
        <v>10.3154</v>
      </c>
      <c r="D711" s="26">
        <f>10.3165 * CHOOSE(CONTROL!$C$32, $C$9, 100%, $E$9)</f>
        <v>10.3165</v>
      </c>
      <c r="E711" s="27">
        <f>11.2849 * CHOOSE(CONTROL!$C$32, $C$9, 100%, $E$9)</f>
        <v>11.2849</v>
      </c>
      <c r="F711" s="27">
        <f>11.2849 * CHOOSE(CONTROL!$C$32, $C$9, 100%, $E$9)</f>
        <v>11.2849</v>
      </c>
      <c r="G711" s="27">
        <f>11.2885 * CHOOSE(CONTROL!$C$32, $C$9, 100%, $E$9)</f>
        <v>11.288500000000001</v>
      </c>
      <c r="H711" s="27">
        <f>22.9696 * CHOOSE(CONTROL!$C$32, $C$9, 100%, $E$9)</f>
        <v>22.9696</v>
      </c>
      <c r="I711" s="27">
        <f>22.9732 * CHOOSE(CONTROL!$C$32, $C$9, 100%, $E$9)</f>
        <v>22.973199999999999</v>
      </c>
      <c r="J711" s="27">
        <f>22.9696 * CHOOSE(CONTROL!$C$32, $C$9, 100%, $E$9)</f>
        <v>22.9696</v>
      </c>
      <c r="K711" s="27">
        <f>22.9732 * CHOOSE(CONTROL!$C$32, $C$9, 100%, $E$9)</f>
        <v>22.973199999999999</v>
      </c>
      <c r="L711" s="27">
        <f>11.2849 * CHOOSE(CONTROL!$C$32, $C$9, 100%, $E$9)</f>
        <v>11.2849</v>
      </c>
      <c r="M711" s="27">
        <f>11.2885 * CHOOSE(CONTROL!$C$32, $C$9, 100%, $E$9)</f>
        <v>11.288500000000001</v>
      </c>
      <c r="N711" s="27">
        <f>11.2849 * CHOOSE(CONTROL!$C$32, $C$9, 100%, $E$9)</f>
        <v>11.2849</v>
      </c>
      <c r="O711" s="27">
        <f>11.2885 * CHOOSE(CONTROL!$C$32, $C$9, 100%, $E$9)</f>
        <v>11.288500000000001</v>
      </c>
    </row>
    <row r="712" spans="1:15" ht="15" x14ac:dyDescent="0.2">
      <c r="A712" s="16">
        <v>62518</v>
      </c>
      <c r="B712" s="26">
        <f>10.3123 * CHOOSE(CONTROL!$C$32, $C$9, 100%, $E$9)</f>
        <v>10.3123</v>
      </c>
      <c r="C712" s="26">
        <f>10.3123 * CHOOSE(CONTROL!$C$32, $C$9, 100%, $E$9)</f>
        <v>10.3123</v>
      </c>
      <c r="D712" s="26">
        <f>10.3134 * CHOOSE(CONTROL!$C$32, $C$9, 100%, $E$9)</f>
        <v>10.3134</v>
      </c>
      <c r="E712" s="27">
        <f>11.5161 * CHOOSE(CONTROL!$C$32, $C$9, 100%, $E$9)</f>
        <v>11.5161</v>
      </c>
      <c r="F712" s="27">
        <f>11.5161 * CHOOSE(CONTROL!$C$32, $C$9, 100%, $E$9)</f>
        <v>11.5161</v>
      </c>
      <c r="G712" s="27">
        <f>11.5198 * CHOOSE(CONTROL!$C$32, $C$9, 100%, $E$9)</f>
        <v>11.5198</v>
      </c>
      <c r="H712" s="27">
        <f>23.0174 * CHOOSE(CONTROL!$C$32, $C$9, 100%, $E$9)</f>
        <v>23.017399999999999</v>
      </c>
      <c r="I712" s="27">
        <f>23.021 * CHOOSE(CONTROL!$C$32, $C$9, 100%, $E$9)</f>
        <v>23.021000000000001</v>
      </c>
      <c r="J712" s="27">
        <f>23.0174 * CHOOSE(CONTROL!$C$32, $C$9, 100%, $E$9)</f>
        <v>23.017399999999999</v>
      </c>
      <c r="K712" s="27">
        <f>23.021 * CHOOSE(CONTROL!$C$32, $C$9, 100%, $E$9)</f>
        <v>23.021000000000001</v>
      </c>
      <c r="L712" s="27">
        <f>11.5161 * CHOOSE(CONTROL!$C$32, $C$9, 100%, $E$9)</f>
        <v>11.5161</v>
      </c>
      <c r="M712" s="27">
        <f>11.5198 * CHOOSE(CONTROL!$C$32, $C$9, 100%, $E$9)</f>
        <v>11.5198</v>
      </c>
      <c r="N712" s="27">
        <f>11.5161 * CHOOSE(CONTROL!$C$32, $C$9, 100%, $E$9)</f>
        <v>11.5161</v>
      </c>
      <c r="O712" s="27">
        <f>11.5198 * CHOOSE(CONTROL!$C$32, $C$9, 100%, $E$9)</f>
        <v>11.5198</v>
      </c>
    </row>
    <row r="713" spans="1:15" ht="15" x14ac:dyDescent="0.2">
      <c r="A713" s="16">
        <v>62549</v>
      </c>
      <c r="B713" s="26">
        <f>10.3161 * CHOOSE(CONTROL!$C$32, $C$9, 100%, $E$9)</f>
        <v>10.3161</v>
      </c>
      <c r="C713" s="26">
        <f>10.3161 * CHOOSE(CONTROL!$C$32, $C$9, 100%, $E$9)</f>
        <v>10.3161</v>
      </c>
      <c r="D713" s="26">
        <f>10.3172 * CHOOSE(CONTROL!$C$32, $C$9, 100%, $E$9)</f>
        <v>10.3172</v>
      </c>
      <c r="E713" s="27">
        <f>11.7625 * CHOOSE(CONTROL!$C$32, $C$9, 100%, $E$9)</f>
        <v>11.762499999999999</v>
      </c>
      <c r="F713" s="27">
        <f>11.7625 * CHOOSE(CONTROL!$C$32, $C$9, 100%, $E$9)</f>
        <v>11.762499999999999</v>
      </c>
      <c r="G713" s="27">
        <f>11.7661 * CHOOSE(CONTROL!$C$32, $C$9, 100%, $E$9)</f>
        <v>11.7661</v>
      </c>
      <c r="H713" s="27">
        <f>23.0654 * CHOOSE(CONTROL!$C$32, $C$9, 100%, $E$9)</f>
        <v>23.0654</v>
      </c>
      <c r="I713" s="27">
        <f>23.069 * CHOOSE(CONTROL!$C$32, $C$9, 100%, $E$9)</f>
        <v>23.068999999999999</v>
      </c>
      <c r="J713" s="27">
        <f>23.0654 * CHOOSE(CONTROL!$C$32, $C$9, 100%, $E$9)</f>
        <v>23.0654</v>
      </c>
      <c r="K713" s="27">
        <f>23.069 * CHOOSE(CONTROL!$C$32, $C$9, 100%, $E$9)</f>
        <v>23.068999999999999</v>
      </c>
      <c r="L713" s="27">
        <f>11.7625 * CHOOSE(CONTROL!$C$32, $C$9, 100%, $E$9)</f>
        <v>11.762499999999999</v>
      </c>
      <c r="M713" s="27">
        <f>11.7661 * CHOOSE(CONTROL!$C$32, $C$9, 100%, $E$9)</f>
        <v>11.7661</v>
      </c>
      <c r="N713" s="27">
        <f>11.7625 * CHOOSE(CONTROL!$C$32, $C$9, 100%, $E$9)</f>
        <v>11.762499999999999</v>
      </c>
      <c r="O713" s="27">
        <f>11.7661 * CHOOSE(CONTROL!$C$32, $C$9, 100%, $E$9)</f>
        <v>11.7661</v>
      </c>
    </row>
    <row r="714" spans="1:15" ht="15" x14ac:dyDescent="0.2">
      <c r="A714" s="16">
        <v>62579</v>
      </c>
      <c r="B714" s="26">
        <f>10.3161 * CHOOSE(CONTROL!$C$32, $C$9, 100%, $E$9)</f>
        <v>10.3161</v>
      </c>
      <c r="C714" s="26">
        <f>10.3161 * CHOOSE(CONTROL!$C$32, $C$9, 100%, $E$9)</f>
        <v>10.3161</v>
      </c>
      <c r="D714" s="26">
        <f>10.3177 * CHOOSE(CONTROL!$C$32, $C$9, 100%, $E$9)</f>
        <v>10.3177</v>
      </c>
      <c r="E714" s="27">
        <f>11.8565 * CHOOSE(CONTROL!$C$32, $C$9, 100%, $E$9)</f>
        <v>11.8565</v>
      </c>
      <c r="F714" s="27">
        <f>11.8565 * CHOOSE(CONTROL!$C$32, $C$9, 100%, $E$9)</f>
        <v>11.8565</v>
      </c>
      <c r="G714" s="27">
        <f>11.8618 * CHOOSE(CONTROL!$C$32, $C$9, 100%, $E$9)</f>
        <v>11.861800000000001</v>
      </c>
      <c r="H714" s="27">
        <f>23.1134 * CHOOSE(CONTROL!$C$32, $C$9, 100%, $E$9)</f>
        <v>23.113399999999999</v>
      </c>
      <c r="I714" s="27">
        <f>23.1187 * CHOOSE(CONTROL!$C$32, $C$9, 100%, $E$9)</f>
        <v>23.1187</v>
      </c>
      <c r="J714" s="27">
        <f>23.1134 * CHOOSE(CONTROL!$C$32, $C$9, 100%, $E$9)</f>
        <v>23.113399999999999</v>
      </c>
      <c r="K714" s="27">
        <f>23.1187 * CHOOSE(CONTROL!$C$32, $C$9, 100%, $E$9)</f>
        <v>23.1187</v>
      </c>
      <c r="L714" s="27">
        <f>11.8565 * CHOOSE(CONTROL!$C$32, $C$9, 100%, $E$9)</f>
        <v>11.8565</v>
      </c>
      <c r="M714" s="27">
        <f>11.8618 * CHOOSE(CONTROL!$C$32, $C$9, 100%, $E$9)</f>
        <v>11.861800000000001</v>
      </c>
      <c r="N714" s="27">
        <f>11.8565 * CHOOSE(CONTROL!$C$32, $C$9, 100%, $E$9)</f>
        <v>11.8565</v>
      </c>
      <c r="O714" s="27">
        <f>11.8618 * CHOOSE(CONTROL!$C$32, $C$9, 100%, $E$9)</f>
        <v>11.861800000000001</v>
      </c>
    </row>
    <row r="715" spans="1:15" ht="15" x14ac:dyDescent="0.2">
      <c r="A715" s="16">
        <v>62610</v>
      </c>
      <c r="B715" s="26">
        <f>10.3222 * CHOOSE(CONTROL!$C$32, $C$9, 100%, $E$9)</f>
        <v>10.3222</v>
      </c>
      <c r="C715" s="26">
        <f>10.3222 * CHOOSE(CONTROL!$C$32, $C$9, 100%, $E$9)</f>
        <v>10.3222</v>
      </c>
      <c r="D715" s="26">
        <f>10.3238 * CHOOSE(CONTROL!$C$32, $C$9, 100%, $E$9)</f>
        <v>10.3238</v>
      </c>
      <c r="E715" s="27">
        <f>11.7667 * CHOOSE(CONTROL!$C$32, $C$9, 100%, $E$9)</f>
        <v>11.7667</v>
      </c>
      <c r="F715" s="27">
        <f>11.7667 * CHOOSE(CONTROL!$C$32, $C$9, 100%, $E$9)</f>
        <v>11.7667</v>
      </c>
      <c r="G715" s="27">
        <f>11.772 * CHOOSE(CONTROL!$C$32, $C$9, 100%, $E$9)</f>
        <v>11.772</v>
      </c>
      <c r="H715" s="27">
        <f>23.1616 * CHOOSE(CONTROL!$C$32, $C$9, 100%, $E$9)</f>
        <v>23.1616</v>
      </c>
      <c r="I715" s="27">
        <f>23.1669 * CHOOSE(CONTROL!$C$32, $C$9, 100%, $E$9)</f>
        <v>23.166899999999998</v>
      </c>
      <c r="J715" s="27">
        <f>23.1616 * CHOOSE(CONTROL!$C$32, $C$9, 100%, $E$9)</f>
        <v>23.1616</v>
      </c>
      <c r="K715" s="27">
        <f>23.1669 * CHOOSE(CONTROL!$C$32, $C$9, 100%, $E$9)</f>
        <v>23.166899999999998</v>
      </c>
      <c r="L715" s="27">
        <f>11.7667 * CHOOSE(CONTROL!$C$32, $C$9, 100%, $E$9)</f>
        <v>11.7667</v>
      </c>
      <c r="M715" s="27">
        <f>11.772 * CHOOSE(CONTROL!$C$32, $C$9, 100%, $E$9)</f>
        <v>11.772</v>
      </c>
      <c r="N715" s="27">
        <f>11.7667 * CHOOSE(CONTROL!$C$32, $C$9, 100%, $E$9)</f>
        <v>11.7667</v>
      </c>
      <c r="O715" s="27">
        <f>11.772 * CHOOSE(CONTROL!$C$32, $C$9, 100%, $E$9)</f>
        <v>11.772</v>
      </c>
    </row>
    <row r="716" spans="1:15" ht="15" x14ac:dyDescent="0.2">
      <c r="A716" s="16">
        <v>62640</v>
      </c>
      <c r="B716" s="26">
        <f>10.4501 * CHOOSE(CONTROL!$C$32, $C$9, 100%, $E$9)</f>
        <v>10.450100000000001</v>
      </c>
      <c r="C716" s="26">
        <f>10.4501 * CHOOSE(CONTROL!$C$32, $C$9, 100%, $E$9)</f>
        <v>10.450100000000001</v>
      </c>
      <c r="D716" s="26">
        <f>10.4517 * CHOOSE(CONTROL!$C$32, $C$9, 100%, $E$9)</f>
        <v>10.451700000000001</v>
      </c>
      <c r="E716" s="27">
        <f>11.9319 * CHOOSE(CONTROL!$C$32, $C$9, 100%, $E$9)</f>
        <v>11.931900000000001</v>
      </c>
      <c r="F716" s="27">
        <f>11.9319 * CHOOSE(CONTROL!$C$32, $C$9, 100%, $E$9)</f>
        <v>11.931900000000001</v>
      </c>
      <c r="G716" s="27">
        <f>11.9371 * CHOOSE(CONTROL!$C$32, $C$9, 100%, $E$9)</f>
        <v>11.937099999999999</v>
      </c>
      <c r="H716" s="27">
        <f>23.2098 * CHOOSE(CONTROL!$C$32, $C$9, 100%, $E$9)</f>
        <v>23.209800000000001</v>
      </c>
      <c r="I716" s="27">
        <f>23.2151 * CHOOSE(CONTROL!$C$32, $C$9, 100%, $E$9)</f>
        <v>23.2151</v>
      </c>
      <c r="J716" s="27">
        <f>23.2098 * CHOOSE(CONTROL!$C$32, $C$9, 100%, $E$9)</f>
        <v>23.209800000000001</v>
      </c>
      <c r="K716" s="27">
        <f>23.2151 * CHOOSE(CONTROL!$C$32, $C$9, 100%, $E$9)</f>
        <v>23.2151</v>
      </c>
      <c r="L716" s="27">
        <f>11.9319 * CHOOSE(CONTROL!$C$32, $C$9, 100%, $E$9)</f>
        <v>11.931900000000001</v>
      </c>
      <c r="M716" s="27">
        <f>11.9371 * CHOOSE(CONTROL!$C$32, $C$9, 100%, $E$9)</f>
        <v>11.937099999999999</v>
      </c>
      <c r="N716" s="27">
        <f>11.9319 * CHOOSE(CONTROL!$C$32, $C$9, 100%, $E$9)</f>
        <v>11.931900000000001</v>
      </c>
      <c r="O716" s="27">
        <f>11.9371 * CHOOSE(CONTROL!$C$32, $C$9, 100%, $E$9)</f>
        <v>11.937099999999999</v>
      </c>
    </row>
    <row r="717" spans="1:15" ht="15" x14ac:dyDescent="0.2">
      <c r="A717" s="16">
        <v>62671</v>
      </c>
      <c r="B717" s="26">
        <f>10.4568 * CHOOSE(CONTROL!$C$32, $C$9, 100%, $E$9)</f>
        <v>10.456799999999999</v>
      </c>
      <c r="C717" s="26">
        <f>10.4568 * CHOOSE(CONTROL!$C$32, $C$9, 100%, $E$9)</f>
        <v>10.456799999999999</v>
      </c>
      <c r="D717" s="26">
        <f>10.4584 * CHOOSE(CONTROL!$C$32, $C$9, 100%, $E$9)</f>
        <v>10.458399999999999</v>
      </c>
      <c r="E717" s="27">
        <f>11.6546 * CHOOSE(CONTROL!$C$32, $C$9, 100%, $E$9)</f>
        <v>11.6546</v>
      </c>
      <c r="F717" s="27">
        <f>11.6546 * CHOOSE(CONTROL!$C$32, $C$9, 100%, $E$9)</f>
        <v>11.6546</v>
      </c>
      <c r="G717" s="27">
        <f>11.6599 * CHOOSE(CONTROL!$C$32, $C$9, 100%, $E$9)</f>
        <v>11.6599</v>
      </c>
      <c r="H717" s="27">
        <f>23.2582 * CHOOSE(CONTROL!$C$32, $C$9, 100%, $E$9)</f>
        <v>23.258199999999999</v>
      </c>
      <c r="I717" s="27">
        <f>23.2635 * CHOOSE(CONTROL!$C$32, $C$9, 100%, $E$9)</f>
        <v>23.263500000000001</v>
      </c>
      <c r="J717" s="27">
        <f>23.2582 * CHOOSE(CONTROL!$C$32, $C$9, 100%, $E$9)</f>
        <v>23.258199999999999</v>
      </c>
      <c r="K717" s="27">
        <f>23.2635 * CHOOSE(CONTROL!$C$32, $C$9, 100%, $E$9)</f>
        <v>23.263500000000001</v>
      </c>
      <c r="L717" s="27">
        <f>11.6546 * CHOOSE(CONTROL!$C$32, $C$9, 100%, $E$9)</f>
        <v>11.6546</v>
      </c>
      <c r="M717" s="27">
        <f>11.6599 * CHOOSE(CONTROL!$C$32, $C$9, 100%, $E$9)</f>
        <v>11.6599</v>
      </c>
      <c r="N717" s="27">
        <f>11.6546 * CHOOSE(CONTROL!$C$32, $C$9, 100%, $E$9)</f>
        <v>11.6546</v>
      </c>
      <c r="O717" s="27">
        <f>11.6599 * CHOOSE(CONTROL!$C$32, $C$9, 100%, $E$9)</f>
        <v>11.6599</v>
      </c>
    </row>
    <row r="718" spans="1:15" ht="15" x14ac:dyDescent="0.2">
      <c r="A718" s="16">
        <v>62702</v>
      </c>
      <c r="B718" s="26">
        <f>10.4538 * CHOOSE(CONTROL!$C$32, $C$9, 100%, $E$9)</f>
        <v>10.453799999999999</v>
      </c>
      <c r="C718" s="26">
        <f>10.4538 * CHOOSE(CONTROL!$C$32, $C$9, 100%, $E$9)</f>
        <v>10.453799999999999</v>
      </c>
      <c r="D718" s="26">
        <f>10.4553 * CHOOSE(CONTROL!$C$32, $C$9, 100%, $E$9)</f>
        <v>10.455299999999999</v>
      </c>
      <c r="E718" s="27">
        <f>11.6211 * CHOOSE(CONTROL!$C$32, $C$9, 100%, $E$9)</f>
        <v>11.6211</v>
      </c>
      <c r="F718" s="27">
        <f>11.6211 * CHOOSE(CONTROL!$C$32, $C$9, 100%, $E$9)</f>
        <v>11.6211</v>
      </c>
      <c r="G718" s="27">
        <f>11.6264 * CHOOSE(CONTROL!$C$32, $C$9, 100%, $E$9)</f>
        <v>11.6264</v>
      </c>
      <c r="H718" s="27">
        <f>23.3067 * CHOOSE(CONTROL!$C$32, $C$9, 100%, $E$9)</f>
        <v>23.306699999999999</v>
      </c>
      <c r="I718" s="27">
        <f>23.3119 * CHOOSE(CONTROL!$C$32, $C$9, 100%, $E$9)</f>
        <v>23.311900000000001</v>
      </c>
      <c r="J718" s="27">
        <f>23.3067 * CHOOSE(CONTROL!$C$32, $C$9, 100%, $E$9)</f>
        <v>23.306699999999999</v>
      </c>
      <c r="K718" s="27">
        <f>23.3119 * CHOOSE(CONTROL!$C$32, $C$9, 100%, $E$9)</f>
        <v>23.311900000000001</v>
      </c>
      <c r="L718" s="27">
        <f>11.6211 * CHOOSE(CONTROL!$C$32, $C$9, 100%, $E$9)</f>
        <v>11.6211</v>
      </c>
      <c r="M718" s="27">
        <f>11.6264 * CHOOSE(CONTROL!$C$32, $C$9, 100%, $E$9)</f>
        <v>11.6264</v>
      </c>
      <c r="N718" s="27">
        <f>11.6211 * CHOOSE(CONTROL!$C$32, $C$9, 100%, $E$9)</f>
        <v>11.6211</v>
      </c>
      <c r="O718" s="27">
        <f>11.6264 * CHOOSE(CONTROL!$C$32, $C$9, 100%, $E$9)</f>
        <v>11.6264</v>
      </c>
    </row>
    <row r="719" spans="1:15" ht="15" x14ac:dyDescent="0.2">
      <c r="A719" s="16">
        <v>62732</v>
      </c>
      <c r="B719" s="26">
        <f>10.4729 * CHOOSE(CONTROL!$C$32, $C$9, 100%, $E$9)</f>
        <v>10.472899999999999</v>
      </c>
      <c r="C719" s="26">
        <f>10.4729 * CHOOSE(CONTROL!$C$32, $C$9, 100%, $E$9)</f>
        <v>10.472899999999999</v>
      </c>
      <c r="D719" s="26">
        <f>10.474 * CHOOSE(CONTROL!$C$32, $C$9, 100%, $E$9)</f>
        <v>10.474</v>
      </c>
      <c r="E719" s="27">
        <f>11.733 * CHOOSE(CONTROL!$C$32, $C$9, 100%, $E$9)</f>
        <v>11.733000000000001</v>
      </c>
      <c r="F719" s="27">
        <f>11.733 * CHOOSE(CONTROL!$C$32, $C$9, 100%, $E$9)</f>
        <v>11.733000000000001</v>
      </c>
      <c r="G719" s="27">
        <f>11.7366 * CHOOSE(CONTROL!$C$32, $C$9, 100%, $E$9)</f>
        <v>11.736599999999999</v>
      </c>
      <c r="H719" s="27">
        <f>23.3552 * CHOOSE(CONTROL!$C$32, $C$9, 100%, $E$9)</f>
        <v>23.3552</v>
      </c>
      <c r="I719" s="27">
        <f>23.3588 * CHOOSE(CONTROL!$C$32, $C$9, 100%, $E$9)</f>
        <v>23.358799999999999</v>
      </c>
      <c r="J719" s="27">
        <f>23.3552 * CHOOSE(CONTROL!$C$32, $C$9, 100%, $E$9)</f>
        <v>23.3552</v>
      </c>
      <c r="K719" s="27">
        <f>23.3588 * CHOOSE(CONTROL!$C$32, $C$9, 100%, $E$9)</f>
        <v>23.358799999999999</v>
      </c>
      <c r="L719" s="27">
        <f>11.733 * CHOOSE(CONTROL!$C$32, $C$9, 100%, $E$9)</f>
        <v>11.733000000000001</v>
      </c>
      <c r="M719" s="27">
        <f>11.7366 * CHOOSE(CONTROL!$C$32, $C$9, 100%, $E$9)</f>
        <v>11.736599999999999</v>
      </c>
      <c r="N719" s="27">
        <f>11.733 * CHOOSE(CONTROL!$C$32, $C$9, 100%, $E$9)</f>
        <v>11.733000000000001</v>
      </c>
      <c r="O719" s="27">
        <f>11.7366 * CHOOSE(CONTROL!$C$32, $C$9, 100%, $E$9)</f>
        <v>11.736599999999999</v>
      </c>
    </row>
    <row r="720" spans="1:15" ht="15" x14ac:dyDescent="0.2">
      <c r="A720" s="16">
        <v>62763</v>
      </c>
      <c r="B720" s="26">
        <f>10.476 * CHOOSE(CONTROL!$C$32, $C$9, 100%, $E$9)</f>
        <v>10.476000000000001</v>
      </c>
      <c r="C720" s="26">
        <f>10.476 * CHOOSE(CONTROL!$C$32, $C$9, 100%, $E$9)</f>
        <v>10.476000000000001</v>
      </c>
      <c r="D720" s="26">
        <f>10.477 * CHOOSE(CONTROL!$C$32, $C$9, 100%, $E$9)</f>
        <v>10.477</v>
      </c>
      <c r="E720" s="27">
        <f>11.7978 * CHOOSE(CONTROL!$C$32, $C$9, 100%, $E$9)</f>
        <v>11.797800000000001</v>
      </c>
      <c r="F720" s="27">
        <f>11.7978 * CHOOSE(CONTROL!$C$32, $C$9, 100%, $E$9)</f>
        <v>11.797800000000001</v>
      </c>
      <c r="G720" s="27">
        <f>11.8014 * CHOOSE(CONTROL!$C$32, $C$9, 100%, $E$9)</f>
        <v>11.801399999999999</v>
      </c>
      <c r="H720" s="27">
        <f>23.4039 * CHOOSE(CONTROL!$C$32, $C$9, 100%, $E$9)</f>
        <v>23.4039</v>
      </c>
      <c r="I720" s="27">
        <f>23.4075 * CHOOSE(CONTROL!$C$32, $C$9, 100%, $E$9)</f>
        <v>23.407499999999999</v>
      </c>
      <c r="J720" s="27">
        <f>23.4039 * CHOOSE(CONTROL!$C$32, $C$9, 100%, $E$9)</f>
        <v>23.4039</v>
      </c>
      <c r="K720" s="27">
        <f>23.4075 * CHOOSE(CONTROL!$C$32, $C$9, 100%, $E$9)</f>
        <v>23.407499999999999</v>
      </c>
      <c r="L720" s="27">
        <f>11.7978 * CHOOSE(CONTROL!$C$32, $C$9, 100%, $E$9)</f>
        <v>11.797800000000001</v>
      </c>
      <c r="M720" s="27">
        <f>11.8014 * CHOOSE(CONTROL!$C$32, $C$9, 100%, $E$9)</f>
        <v>11.801399999999999</v>
      </c>
      <c r="N720" s="27">
        <f>11.7978 * CHOOSE(CONTROL!$C$32, $C$9, 100%, $E$9)</f>
        <v>11.797800000000001</v>
      </c>
      <c r="O720" s="27">
        <f>11.8014 * CHOOSE(CONTROL!$C$32, $C$9, 100%, $E$9)</f>
        <v>11.801399999999999</v>
      </c>
    </row>
    <row r="721" spans="1:15" ht="15" x14ac:dyDescent="0.2">
      <c r="A721" s="16">
        <v>62793</v>
      </c>
      <c r="B721" s="26">
        <f>10.476 * CHOOSE(CONTROL!$C$32, $C$9, 100%, $E$9)</f>
        <v>10.476000000000001</v>
      </c>
      <c r="C721" s="26">
        <f>10.476 * CHOOSE(CONTROL!$C$32, $C$9, 100%, $E$9)</f>
        <v>10.476000000000001</v>
      </c>
      <c r="D721" s="26">
        <f>10.477 * CHOOSE(CONTROL!$C$32, $C$9, 100%, $E$9)</f>
        <v>10.477</v>
      </c>
      <c r="E721" s="27">
        <f>11.6412 * CHOOSE(CONTROL!$C$32, $C$9, 100%, $E$9)</f>
        <v>11.6412</v>
      </c>
      <c r="F721" s="27">
        <f>11.6412 * CHOOSE(CONTROL!$C$32, $C$9, 100%, $E$9)</f>
        <v>11.6412</v>
      </c>
      <c r="G721" s="27">
        <f>11.6448 * CHOOSE(CONTROL!$C$32, $C$9, 100%, $E$9)</f>
        <v>11.6448</v>
      </c>
      <c r="H721" s="27">
        <f>23.4526 * CHOOSE(CONTROL!$C$32, $C$9, 100%, $E$9)</f>
        <v>23.4526</v>
      </c>
      <c r="I721" s="27">
        <f>23.4562 * CHOOSE(CONTROL!$C$32, $C$9, 100%, $E$9)</f>
        <v>23.456199999999999</v>
      </c>
      <c r="J721" s="27">
        <f>23.4526 * CHOOSE(CONTROL!$C$32, $C$9, 100%, $E$9)</f>
        <v>23.4526</v>
      </c>
      <c r="K721" s="27">
        <f>23.4562 * CHOOSE(CONTROL!$C$32, $C$9, 100%, $E$9)</f>
        <v>23.456199999999999</v>
      </c>
      <c r="L721" s="27">
        <f>11.6412 * CHOOSE(CONTROL!$C$32, $C$9, 100%, $E$9)</f>
        <v>11.6412</v>
      </c>
      <c r="M721" s="27">
        <f>11.6448 * CHOOSE(CONTROL!$C$32, $C$9, 100%, $E$9)</f>
        <v>11.6448</v>
      </c>
      <c r="N721" s="27">
        <f>11.6412 * CHOOSE(CONTROL!$C$32, $C$9, 100%, $E$9)</f>
        <v>11.6412</v>
      </c>
      <c r="O721" s="27">
        <f>11.6448 * CHOOSE(CONTROL!$C$32, $C$9, 100%, $E$9)</f>
        <v>11.6448</v>
      </c>
    </row>
    <row r="722" spans="1:15" ht="15" x14ac:dyDescent="0.2">
      <c r="A722" s="16">
        <v>62824</v>
      </c>
      <c r="B722" s="26">
        <f>10.5058 * CHOOSE(CONTROL!$C$32, $C$9, 100%, $E$9)</f>
        <v>10.505800000000001</v>
      </c>
      <c r="C722" s="26">
        <f>10.5058 * CHOOSE(CONTROL!$C$32, $C$9, 100%, $E$9)</f>
        <v>10.505800000000001</v>
      </c>
      <c r="D722" s="26">
        <f>10.5069 * CHOOSE(CONTROL!$C$32, $C$9, 100%, $E$9)</f>
        <v>10.5069</v>
      </c>
      <c r="E722" s="27">
        <f>11.7955 * CHOOSE(CONTROL!$C$32, $C$9, 100%, $E$9)</f>
        <v>11.795500000000001</v>
      </c>
      <c r="F722" s="27">
        <f>11.7955 * CHOOSE(CONTROL!$C$32, $C$9, 100%, $E$9)</f>
        <v>11.795500000000001</v>
      </c>
      <c r="G722" s="27">
        <f>11.7991 * CHOOSE(CONTROL!$C$32, $C$9, 100%, $E$9)</f>
        <v>11.799099999999999</v>
      </c>
      <c r="H722" s="27">
        <f>23.3753 * CHOOSE(CONTROL!$C$32, $C$9, 100%, $E$9)</f>
        <v>23.375299999999999</v>
      </c>
      <c r="I722" s="27">
        <f>23.3789 * CHOOSE(CONTROL!$C$32, $C$9, 100%, $E$9)</f>
        <v>23.378900000000002</v>
      </c>
      <c r="J722" s="27">
        <f>23.3753 * CHOOSE(CONTROL!$C$32, $C$9, 100%, $E$9)</f>
        <v>23.375299999999999</v>
      </c>
      <c r="K722" s="27">
        <f>23.3789 * CHOOSE(CONTROL!$C$32, $C$9, 100%, $E$9)</f>
        <v>23.378900000000002</v>
      </c>
      <c r="L722" s="27">
        <f>11.7955 * CHOOSE(CONTROL!$C$32, $C$9, 100%, $E$9)</f>
        <v>11.795500000000001</v>
      </c>
      <c r="M722" s="27">
        <f>11.7991 * CHOOSE(CONTROL!$C$32, $C$9, 100%, $E$9)</f>
        <v>11.799099999999999</v>
      </c>
      <c r="N722" s="27">
        <f>11.7955 * CHOOSE(CONTROL!$C$32, $C$9, 100%, $E$9)</f>
        <v>11.795500000000001</v>
      </c>
      <c r="O722" s="27">
        <f>11.7991 * CHOOSE(CONTROL!$C$32, $C$9, 100%, $E$9)</f>
        <v>11.799099999999999</v>
      </c>
    </row>
    <row r="723" spans="1:15" ht="15" x14ac:dyDescent="0.2">
      <c r="A723" s="16">
        <v>62855</v>
      </c>
      <c r="B723" s="26">
        <f>10.5027 * CHOOSE(CONTROL!$C$32, $C$9, 100%, $E$9)</f>
        <v>10.502700000000001</v>
      </c>
      <c r="C723" s="26">
        <f>10.5027 * CHOOSE(CONTROL!$C$32, $C$9, 100%, $E$9)</f>
        <v>10.502700000000001</v>
      </c>
      <c r="D723" s="26">
        <f>10.5038 * CHOOSE(CONTROL!$C$32, $C$9, 100%, $E$9)</f>
        <v>10.5038</v>
      </c>
      <c r="E723" s="27">
        <f>11.4903 * CHOOSE(CONTROL!$C$32, $C$9, 100%, $E$9)</f>
        <v>11.4903</v>
      </c>
      <c r="F723" s="27">
        <f>11.4903 * CHOOSE(CONTROL!$C$32, $C$9, 100%, $E$9)</f>
        <v>11.4903</v>
      </c>
      <c r="G723" s="27">
        <f>11.4939 * CHOOSE(CONTROL!$C$32, $C$9, 100%, $E$9)</f>
        <v>11.4939</v>
      </c>
      <c r="H723" s="27">
        <f>23.424 * CHOOSE(CONTROL!$C$32, $C$9, 100%, $E$9)</f>
        <v>23.423999999999999</v>
      </c>
      <c r="I723" s="27">
        <f>23.4276 * CHOOSE(CONTROL!$C$32, $C$9, 100%, $E$9)</f>
        <v>23.427600000000002</v>
      </c>
      <c r="J723" s="27">
        <f>23.424 * CHOOSE(CONTROL!$C$32, $C$9, 100%, $E$9)</f>
        <v>23.423999999999999</v>
      </c>
      <c r="K723" s="27">
        <f>23.4276 * CHOOSE(CONTROL!$C$32, $C$9, 100%, $E$9)</f>
        <v>23.427600000000002</v>
      </c>
      <c r="L723" s="27">
        <f>11.4903 * CHOOSE(CONTROL!$C$32, $C$9, 100%, $E$9)</f>
        <v>11.4903</v>
      </c>
      <c r="M723" s="27">
        <f>11.4939 * CHOOSE(CONTROL!$C$32, $C$9, 100%, $E$9)</f>
        <v>11.4939</v>
      </c>
      <c r="N723" s="27">
        <f>11.4903 * CHOOSE(CONTROL!$C$32, $C$9, 100%, $E$9)</f>
        <v>11.4903</v>
      </c>
      <c r="O723" s="27">
        <f>11.4939 * CHOOSE(CONTROL!$C$32, $C$9, 100%, $E$9)</f>
        <v>11.4939</v>
      </c>
    </row>
    <row r="724" spans="1:15" ht="15" x14ac:dyDescent="0.2">
      <c r="A724" s="16">
        <v>62884</v>
      </c>
      <c r="B724" s="26">
        <f>10.4997 * CHOOSE(CONTROL!$C$32, $C$9, 100%, $E$9)</f>
        <v>10.499700000000001</v>
      </c>
      <c r="C724" s="26">
        <f>10.4997 * CHOOSE(CONTROL!$C$32, $C$9, 100%, $E$9)</f>
        <v>10.499700000000001</v>
      </c>
      <c r="D724" s="26">
        <f>10.5008 * CHOOSE(CONTROL!$C$32, $C$9, 100%, $E$9)</f>
        <v>10.5008</v>
      </c>
      <c r="E724" s="27">
        <f>11.7271 * CHOOSE(CONTROL!$C$32, $C$9, 100%, $E$9)</f>
        <v>11.7271</v>
      </c>
      <c r="F724" s="27">
        <f>11.7271 * CHOOSE(CONTROL!$C$32, $C$9, 100%, $E$9)</f>
        <v>11.7271</v>
      </c>
      <c r="G724" s="27">
        <f>11.7308 * CHOOSE(CONTROL!$C$32, $C$9, 100%, $E$9)</f>
        <v>11.7308</v>
      </c>
      <c r="H724" s="27">
        <f>23.4728 * CHOOSE(CONTROL!$C$32, $C$9, 100%, $E$9)</f>
        <v>23.472799999999999</v>
      </c>
      <c r="I724" s="27">
        <f>23.4764 * CHOOSE(CONTROL!$C$32, $C$9, 100%, $E$9)</f>
        <v>23.476400000000002</v>
      </c>
      <c r="J724" s="27">
        <f>23.4728 * CHOOSE(CONTROL!$C$32, $C$9, 100%, $E$9)</f>
        <v>23.472799999999999</v>
      </c>
      <c r="K724" s="27">
        <f>23.4764 * CHOOSE(CONTROL!$C$32, $C$9, 100%, $E$9)</f>
        <v>23.476400000000002</v>
      </c>
      <c r="L724" s="27">
        <f>11.7271 * CHOOSE(CONTROL!$C$32, $C$9, 100%, $E$9)</f>
        <v>11.7271</v>
      </c>
      <c r="M724" s="27">
        <f>11.7308 * CHOOSE(CONTROL!$C$32, $C$9, 100%, $E$9)</f>
        <v>11.7308</v>
      </c>
      <c r="N724" s="27">
        <f>11.7271 * CHOOSE(CONTROL!$C$32, $C$9, 100%, $E$9)</f>
        <v>11.7271</v>
      </c>
      <c r="O724" s="27">
        <f>11.7308 * CHOOSE(CONTROL!$C$32, $C$9, 100%, $E$9)</f>
        <v>11.7308</v>
      </c>
    </row>
    <row r="725" spans="1:15" ht="15" x14ac:dyDescent="0.2">
      <c r="A725" s="16">
        <v>62915</v>
      </c>
      <c r="B725" s="26">
        <f>10.5037 * CHOOSE(CONTROL!$C$32, $C$9, 100%, $E$9)</f>
        <v>10.5037</v>
      </c>
      <c r="C725" s="26">
        <f>10.5037 * CHOOSE(CONTROL!$C$32, $C$9, 100%, $E$9)</f>
        <v>10.5037</v>
      </c>
      <c r="D725" s="26">
        <f>10.5047 * CHOOSE(CONTROL!$C$32, $C$9, 100%, $E$9)</f>
        <v>10.5047</v>
      </c>
      <c r="E725" s="27">
        <f>11.9795 * CHOOSE(CONTROL!$C$32, $C$9, 100%, $E$9)</f>
        <v>11.9795</v>
      </c>
      <c r="F725" s="27">
        <f>11.9795 * CHOOSE(CONTROL!$C$32, $C$9, 100%, $E$9)</f>
        <v>11.9795</v>
      </c>
      <c r="G725" s="27">
        <f>11.9831 * CHOOSE(CONTROL!$C$32, $C$9, 100%, $E$9)</f>
        <v>11.9831</v>
      </c>
      <c r="H725" s="27">
        <f>23.5217 * CHOOSE(CONTROL!$C$32, $C$9, 100%, $E$9)</f>
        <v>23.521699999999999</v>
      </c>
      <c r="I725" s="27">
        <f>23.5253 * CHOOSE(CONTROL!$C$32, $C$9, 100%, $E$9)</f>
        <v>23.525300000000001</v>
      </c>
      <c r="J725" s="27">
        <f>23.5217 * CHOOSE(CONTROL!$C$32, $C$9, 100%, $E$9)</f>
        <v>23.521699999999999</v>
      </c>
      <c r="K725" s="27">
        <f>23.5253 * CHOOSE(CONTROL!$C$32, $C$9, 100%, $E$9)</f>
        <v>23.525300000000001</v>
      </c>
      <c r="L725" s="27">
        <f>11.9795 * CHOOSE(CONTROL!$C$32, $C$9, 100%, $E$9)</f>
        <v>11.9795</v>
      </c>
      <c r="M725" s="27">
        <f>11.9831 * CHOOSE(CONTROL!$C$32, $C$9, 100%, $E$9)</f>
        <v>11.9831</v>
      </c>
      <c r="N725" s="27">
        <f>11.9795 * CHOOSE(CONTROL!$C$32, $C$9, 100%, $E$9)</f>
        <v>11.9795</v>
      </c>
      <c r="O725" s="27">
        <f>11.9831 * CHOOSE(CONTROL!$C$32, $C$9, 100%, $E$9)</f>
        <v>11.9831</v>
      </c>
    </row>
    <row r="726" spans="1:15" ht="15" x14ac:dyDescent="0.2">
      <c r="A726" s="16">
        <v>62945</v>
      </c>
      <c r="B726" s="26">
        <f>10.5037 * CHOOSE(CONTROL!$C$32, $C$9, 100%, $E$9)</f>
        <v>10.5037</v>
      </c>
      <c r="C726" s="26">
        <f>10.5037 * CHOOSE(CONTROL!$C$32, $C$9, 100%, $E$9)</f>
        <v>10.5037</v>
      </c>
      <c r="D726" s="26">
        <f>10.5052 * CHOOSE(CONTROL!$C$32, $C$9, 100%, $E$9)</f>
        <v>10.5052</v>
      </c>
      <c r="E726" s="27">
        <f>12.0757 * CHOOSE(CONTROL!$C$32, $C$9, 100%, $E$9)</f>
        <v>12.075699999999999</v>
      </c>
      <c r="F726" s="27">
        <f>12.0757 * CHOOSE(CONTROL!$C$32, $C$9, 100%, $E$9)</f>
        <v>12.075699999999999</v>
      </c>
      <c r="G726" s="27">
        <f>12.081 * CHOOSE(CONTROL!$C$32, $C$9, 100%, $E$9)</f>
        <v>12.081</v>
      </c>
      <c r="H726" s="27">
        <f>23.5707 * CHOOSE(CONTROL!$C$32, $C$9, 100%, $E$9)</f>
        <v>23.570699999999999</v>
      </c>
      <c r="I726" s="27">
        <f>23.576 * CHOOSE(CONTROL!$C$32, $C$9, 100%, $E$9)</f>
        <v>23.576000000000001</v>
      </c>
      <c r="J726" s="27">
        <f>23.5707 * CHOOSE(CONTROL!$C$32, $C$9, 100%, $E$9)</f>
        <v>23.570699999999999</v>
      </c>
      <c r="K726" s="27">
        <f>23.576 * CHOOSE(CONTROL!$C$32, $C$9, 100%, $E$9)</f>
        <v>23.576000000000001</v>
      </c>
      <c r="L726" s="27">
        <f>12.0757 * CHOOSE(CONTROL!$C$32, $C$9, 100%, $E$9)</f>
        <v>12.075699999999999</v>
      </c>
      <c r="M726" s="27">
        <f>12.081 * CHOOSE(CONTROL!$C$32, $C$9, 100%, $E$9)</f>
        <v>12.081</v>
      </c>
      <c r="N726" s="27">
        <f>12.0757 * CHOOSE(CONTROL!$C$32, $C$9, 100%, $E$9)</f>
        <v>12.075699999999999</v>
      </c>
      <c r="O726" s="27">
        <f>12.081 * CHOOSE(CONTROL!$C$32, $C$9, 100%, $E$9)</f>
        <v>12.081</v>
      </c>
    </row>
    <row r="727" spans="1:15" ht="15" x14ac:dyDescent="0.2">
      <c r="A727" s="16">
        <v>62976</v>
      </c>
      <c r="B727" s="26">
        <f>10.5097 * CHOOSE(CONTROL!$C$32, $C$9, 100%, $E$9)</f>
        <v>10.5097</v>
      </c>
      <c r="C727" s="26">
        <f>10.5097 * CHOOSE(CONTROL!$C$32, $C$9, 100%, $E$9)</f>
        <v>10.5097</v>
      </c>
      <c r="D727" s="26">
        <f>10.5113 * CHOOSE(CONTROL!$C$32, $C$9, 100%, $E$9)</f>
        <v>10.5113</v>
      </c>
      <c r="E727" s="27">
        <f>11.9837 * CHOOSE(CONTROL!$C$32, $C$9, 100%, $E$9)</f>
        <v>11.983700000000001</v>
      </c>
      <c r="F727" s="27">
        <f>11.9837 * CHOOSE(CONTROL!$C$32, $C$9, 100%, $E$9)</f>
        <v>11.983700000000001</v>
      </c>
      <c r="G727" s="27">
        <f>11.989 * CHOOSE(CONTROL!$C$32, $C$9, 100%, $E$9)</f>
        <v>11.989000000000001</v>
      </c>
      <c r="H727" s="27">
        <f>23.6198 * CHOOSE(CONTROL!$C$32, $C$9, 100%, $E$9)</f>
        <v>23.619800000000001</v>
      </c>
      <c r="I727" s="27">
        <f>23.6251 * CHOOSE(CONTROL!$C$32, $C$9, 100%, $E$9)</f>
        <v>23.6251</v>
      </c>
      <c r="J727" s="27">
        <f>23.6198 * CHOOSE(CONTROL!$C$32, $C$9, 100%, $E$9)</f>
        <v>23.619800000000001</v>
      </c>
      <c r="K727" s="27">
        <f>23.6251 * CHOOSE(CONTROL!$C$32, $C$9, 100%, $E$9)</f>
        <v>23.6251</v>
      </c>
      <c r="L727" s="27">
        <f>11.9837 * CHOOSE(CONTROL!$C$32, $C$9, 100%, $E$9)</f>
        <v>11.983700000000001</v>
      </c>
      <c r="M727" s="27">
        <f>11.989 * CHOOSE(CONTROL!$C$32, $C$9, 100%, $E$9)</f>
        <v>11.989000000000001</v>
      </c>
      <c r="N727" s="27">
        <f>11.9837 * CHOOSE(CONTROL!$C$32, $C$9, 100%, $E$9)</f>
        <v>11.983700000000001</v>
      </c>
      <c r="O727" s="27">
        <f>11.989 * CHOOSE(CONTROL!$C$32, $C$9, 100%, $E$9)</f>
        <v>11.989000000000001</v>
      </c>
    </row>
    <row r="728" spans="1:15" ht="15" x14ac:dyDescent="0.2">
      <c r="A728" s="16">
        <v>63006</v>
      </c>
      <c r="B728" s="26">
        <f>10.6397 * CHOOSE(CONTROL!$C$32, $C$9, 100%, $E$9)</f>
        <v>10.639699999999999</v>
      </c>
      <c r="C728" s="26">
        <f>10.6397 * CHOOSE(CONTROL!$C$32, $C$9, 100%, $E$9)</f>
        <v>10.639699999999999</v>
      </c>
      <c r="D728" s="26">
        <f>10.6413 * CHOOSE(CONTROL!$C$32, $C$9, 100%, $E$9)</f>
        <v>10.641299999999999</v>
      </c>
      <c r="E728" s="27">
        <f>12.152 * CHOOSE(CONTROL!$C$32, $C$9, 100%, $E$9)</f>
        <v>12.151999999999999</v>
      </c>
      <c r="F728" s="27">
        <f>12.152 * CHOOSE(CONTROL!$C$32, $C$9, 100%, $E$9)</f>
        <v>12.151999999999999</v>
      </c>
      <c r="G728" s="27">
        <f>12.1573 * CHOOSE(CONTROL!$C$32, $C$9, 100%, $E$9)</f>
        <v>12.157299999999999</v>
      </c>
      <c r="H728" s="27">
        <f>23.669 * CHOOSE(CONTROL!$C$32, $C$9, 100%, $E$9)</f>
        <v>23.669</v>
      </c>
      <c r="I728" s="27">
        <f>23.6743 * CHOOSE(CONTROL!$C$32, $C$9, 100%, $E$9)</f>
        <v>23.674299999999999</v>
      </c>
      <c r="J728" s="27">
        <f>23.669 * CHOOSE(CONTROL!$C$32, $C$9, 100%, $E$9)</f>
        <v>23.669</v>
      </c>
      <c r="K728" s="27">
        <f>23.6743 * CHOOSE(CONTROL!$C$32, $C$9, 100%, $E$9)</f>
        <v>23.674299999999999</v>
      </c>
      <c r="L728" s="27">
        <f>12.152 * CHOOSE(CONTROL!$C$32, $C$9, 100%, $E$9)</f>
        <v>12.151999999999999</v>
      </c>
      <c r="M728" s="27">
        <f>12.1573 * CHOOSE(CONTROL!$C$32, $C$9, 100%, $E$9)</f>
        <v>12.157299999999999</v>
      </c>
      <c r="N728" s="27">
        <f>12.152 * CHOOSE(CONTROL!$C$32, $C$9, 100%, $E$9)</f>
        <v>12.151999999999999</v>
      </c>
      <c r="O728" s="27">
        <f>12.1573 * CHOOSE(CONTROL!$C$32, $C$9, 100%, $E$9)</f>
        <v>12.157299999999999</v>
      </c>
    </row>
    <row r="729" spans="1:15" ht="15" x14ac:dyDescent="0.2">
      <c r="A729" s="16">
        <v>63037</v>
      </c>
      <c r="B729" s="26">
        <f>10.6464 * CHOOSE(CONTROL!$C$32, $C$9, 100%, $E$9)</f>
        <v>10.6464</v>
      </c>
      <c r="C729" s="26">
        <f>10.6464 * CHOOSE(CONTROL!$C$32, $C$9, 100%, $E$9)</f>
        <v>10.6464</v>
      </c>
      <c r="D729" s="26">
        <f>10.648 * CHOOSE(CONTROL!$C$32, $C$9, 100%, $E$9)</f>
        <v>10.648</v>
      </c>
      <c r="E729" s="27">
        <f>11.868 * CHOOSE(CONTROL!$C$32, $C$9, 100%, $E$9)</f>
        <v>11.868</v>
      </c>
      <c r="F729" s="27">
        <f>11.868 * CHOOSE(CONTROL!$C$32, $C$9, 100%, $E$9)</f>
        <v>11.868</v>
      </c>
      <c r="G729" s="27">
        <f>11.8733 * CHOOSE(CONTROL!$C$32, $C$9, 100%, $E$9)</f>
        <v>11.8733</v>
      </c>
      <c r="H729" s="27">
        <f>23.7184 * CHOOSE(CONTROL!$C$32, $C$9, 100%, $E$9)</f>
        <v>23.718399999999999</v>
      </c>
      <c r="I729" s="27">
        <f>23.7237 * CHOOSE(CONTROL!$C$32, $C$9, 100%, $E$9)</f>
        <v>23.723700000000001</v>
      </c>
      <c r="J729" s="27">
        <f>23.7184 * CHOOSE(CONTROL!$C$32, $C$9, 100%, $E$9)</f>
        <v>23.718399999999999</v>
      </c>
      <c r="K729" s="27">
        <f>23.7237 * CHOOSE(CONTROL!$C$32, $C$9, 100%, $E$9)</f>
        <v>23.723700000000001</v>
      </c>
      <c r="L729" s="27">
        <f>11.868 * CHOOSE(CONTROL!$C$32, $C$9, 100%, $E$9)</f>
        <v>11.868</v>
      </c>
      <c r="M729" s="27">
        <f>11.8733 * CHOOSE(CONTROL!$C$32, $C$9, 100%, $E$9)</f>
        <v>11.8733</v>
      </c>
      <c r="N729" s="27">
        <f>11.868 * CHOOSE(CONTROL!$C$32, $C$9, 100%, $E$9)</f>
        <v>11.868</v>
      </c>
      <c r="O729" s="27">
        <f>11.8733 * CHOOSE(CONTROL!$C$32, $C$9, 100%, $E$9)</f>
        <v>11.8733</v>
      </c>
    </row>
    <row r="730" spans="1:15" ht="15" x14ac:dyDescent="0.2">
      <c r="A730" s="16">
        <v>63068</v>
      </c>
      <c r="B730" s="26">
        <f>10.6434 * CHOOSE(CONTROL!$C$32, $C$9, 100%, $E$9)</f>
        <v>10.6434</v>
      </c>
      <c r="C730" s="26">
        <f>10.6434 * CHOOSE(CONTROL!$C$32, $C$9, 100%, $E$9)</f>
        <v>10.6434</v>
      </c>
      <c r="D730" s="26">
        <f>10.6449 * CHOOSE(CONTROL!$C$32, $C$9, 100%, $E$9)</f>
        <v>10.6449</v>
      </c>
      <c r="E730" s="27">
        <f>11.8338 * CHOOSE(CONTROL!$C$32, $C$9, 100%, $E$9)</f>
        <v>11.8338</v>
      </c>
      <c r="F730" s="27">
        <f>11.8338 * CHOOSE(CONTROL!$C$32, $C$9, 100%, $E$9)</f>
        <v>11.8338</v>
      </c>
      <c r="G730" s="27">
        <f>11.8391 * CHOOSE(CONTROL!$C$32, $C$9, 100%, $E$9)</f>
        <v>11.8391</v>
      </c>
      <c r="H730" s="27">
        <f>23.7678 * CHOOSE(CONTROL!$C$32, $C$9, 100%, $E$9)</f>
        <v>23.767800000000001</v>
      </c>
      <c r="I730" s="27">
        <f>23.7731 * CHOOSE(CONTROL!$C$32, $C$9, 100%, $E$9)</f>
        <v>23.773099999999999</v>
      </c>
      <c r="J730" s="27">
        <f>23.7678 * CHOOSE(CONTROL!$C$32, $C$9, 100%, $E$9)</f>
        <v>23.767800000000001</v>
      </c>
      <c r="K730" s="27">
        <f>23.7731 * CHOOSE(CONTROL!$C$32, $C$9, 100%, $E$9)</f>
        <v>23.773099999999999</v>
      </c>
      <c r="L730" s="27">
        <f>11.8338 * CHOOSE(CONTROL!$C$32, $C$9, 100%, $E$9)</f>
        <v>11.8338</v>
      </c>
      <c r="M730" s="27">
        <f>11.8391 * CHOOSE(CONTROL!$C$32, $C$9, 100%, $E$9)</f>
        <v>11.8391</v>
      </c>
      <c r="N730" s="27">
        <f>11.8338 * CHOOSE(CONTROL!$C$32, $C$9, 100%, $E$9)</f>
        <v>11.8338</v>
      </c>
      <c r="O730" s="27">
        <f>11.8391 * CHOOSE(CONTROL!$C$32, $C$9, 100%, $E$9)</f>
        <v>11.8391</v>
      </c>
    </row>
    <row r="731" spans="1:15" ht="15" x14ac:dyDescent="0.2">
      <c r="A731" s="16">
        <v>63098</v>
      </c>
      <c r="B731" s="26">
        <f>10.6632 * CHOOSE(CONTROL!$C$32, $C$9, 100%, $E$9)</f>
        <v>10.6632</v>
      </c>
      <c r="C731" s="26">
        <f>10.6632 * CHOOSE(CONTROL!$C$32, $C$9, 100%, $E$9)</f>
        <v>10.6632</v>
      </c>
      <c r="D731" s="26">
        <f>10.6643 * CHOOSE(CONTROL!$C$32, $C$9, 100%, $E$9)</f>
        <v>10.664300000000001</v>
      </c>
      <c r="E731" s="27">
        <f>11.9487 * CHOOSE(CONTROL!$C$32, $C$9, 100%, $E$9)</f>
        <v>11.948700000000001</v>
      </c>
      <c r="F731" s="27">
        <f>11.9487 * CHOOSE(CONTROL!$C$32, $C$9, 100%, $E$9)</f>
        <v>11.948700000000001</v>
      </c>
      <c r="G731" s="27">
        <f>11.9523 * CHOOSE(CONTROL!$C$32, $C$9, 100%, $E$9)</f>
        <v>11.952299999999999</v>
      </c>
      <c r="H731" s="27">
        <f>23.8173 * CHOOSE(CONTROL!$C$32, $C$9, 100%, $E$9)</f>
        <v>23.817299999999999</v>
      </c>
      <c r="I731" s="27">
        <f>23.8209 * CHOOSE(CONTROL!$C$32, $C$9, 100%, $E$9)</f>
        <v>23.820900000000002</v>
      </c>
      <c r="J731" s="27">
        <f>23.8173 * CHOOSE(CONTROL!$C$32, $C$9, 100%, $E$9)</f>
        <v>23.817299999999999</v>
      </c>
      <c r="K731" s="27">
        <f>23.8209 * CHOOSE(CONTROL!$C$32, $C$9, 100%, $E$9)</f>
        <v>23.820900000000002</v>
      </c>
      <c r="L731" s="27">
        <f>11.9487 * CHOOSE(CONTROL!$C$32, $C$9, 100%, $E$9)</f>
        <v>11.948700000000001</v>
      </c>
      <c r="M731" s="27">
        <f>11.9523 * CHOOSE(CONTROL!$C$32, $C$9, 100%, $E$9)</f>
        <v>11.952299999999999</v>
      </c>
      <c r="N731" s="27">
        <f>11.9487 * CHOOSE(CONTROL!$C$32, $C$9, 100%, $E$9)</f>
        <v>11.948700000000001</v>
      </c>
      <c r="O731" s="27">
        <f>11.9523 * CHOOSE(CONTROL!$C$32, $C$9, 100%, $E$9)</f>
        <v>11.952299999999999</v>
      </c>
    </row>
    <row r="732" spans="1:15" ht="15" x14ac:dyDescent="0.2">
      <c r="A732" s="16">
        <v>63129</v>
      </c>
      <c r="B732" s="26">
        <f>10.6663 * CHOOSE(CONTROL!$C$32, $C$9, 100%, $E$9)</f>
        <v>10.6663</v>
      </c>
      <c r="C732" s="26">
        <f>10.6663 * CHOOSE(CONTROL!$C$32, $C$9, 100%, $E$9)</f>
        <v>10.6663</v>
      </c>
      <c r="D732" s="26">
        <f>10.6673 * CHOOSE(CONTROL!$C$32, $C$9, 100%, $E$9)</f>
        <v>10.667299999999999</v>
      </c>
      <c r="E732" s="27">
        <f>12.015 * CHOOSE(CONTROL!$C$32, $C$9, 100%, $E$9)</f>
        <v>12.015000000000001</v>
      </c>
      <c r="F732" s="27">
        <f>12.015 * CHOOSE(CONTROL!$C$32, $C$9, 100%, $E$9)</f>
        <v>12.015000000000001</v>
      </c>
      <c r="G732" s="27">
        <f>12.0186 * CHOOSE(CONTROL!$C$32, $C$9, 100%, $E$9)</f>
        <v>12.018599999999999</v>
      </c>
      <c r="H732" s="27">
        <f>23.8669 * CHOOSE(CONTROL!$C$32, $C$9, 100%, $E$9)</f>
        <v>23.866900000000001</v>
      </c>
      <c r="I732" s="27">
        <f>23.8705 * CHOOSE(CONTROL!$C$32, $C$9, 100%, $E$9)</f>
        <v>23.8705</v>
      </c>
      <c r="J732" s="27">
        <f>23.8669 * CHOOSE(CONTROL!$C$32, $C$9, 100%, $E$9)</f>
        <v>23.866900000000001</v>
      </c>
      <c r="K732" s="27">
        <f>23.8705 * CHOOSE(CONTROL!$C$32, $C$9, 100%, $E$9)</f>
        <v>23.8705</v>
      </c>
      <c r="L732" s="27">
        <f>12.015 * CHOOSE(CONTROL!$C$32, $C$9, 100%, $E$9)</f>
        <v>12.015000000000001</v>
      </c>
      <c r="M732" s="27">
        <f>12.0186 * CHOOSE(CONTROL!$C$32, $C$9, 100%, $E$9)</f>
        <v>12.018599999999999</v>
      </c>
      <c r="N732" s="27">
        <f>12.015 * CHOOSE(CONTROL!$C$32, $C$9, 100%, $E$9)</f>
        <v>12.015000000000001</v>
      </c>
      <c r="O732" s="27">
        <f>12.0186 * CHOOSE(CONTROL!$C$32, $C$9, 100%, $E$9)</f>
        <v>12.018599999999999</v>
      </c>
    </row>
    <row r="733" spans="1:15" ht="15" x14ac:dyDescent="0.2">
      <c r="A733" s="16">
        <v>63159</v>
      </c>
      <c r="B733" s="26">
        <f>10.6663 * CHOOSE(CONTROL!$C$32, $C$9, 100%, $E$9)</f>
        <v>10.6663</v>
      </c>
      <c r="C733" s="26">
        <f>10.6663 * CHOOSE(CONTROL!$C$32, $C$9, 100%, $E$9)</f>
        <v>10.6663</v>
      </c>
      <c r="D733" s="26">
        <f>10.6673 * CHOOSE(CONTROL!$C$32, $C$9, 100%, $E$9)</f>
        <v>10.667299999999999</v>
      </c>
      <c r="E733" s="27">
        <f>11.8546 * CHOOSE(CONTROL!$C$32, $C$9, 100%, $E$9)</f>
        <v>11.8546</v>
      </c>
      <c r="F733" s="27">
        <f>11.8546 * CHOOSE(CONTROL!$C$32, $C$9, 100%, $E$9)</f>
        <v>11.8546</v>
      </c>
      <c r="G733" s="27">
        <f>11.8582 * CHOOSE(CONTROL!$C$32, $C$9, 100%, $E$9)</f>
        <v>11.8582</v>
      </c>
      <c r="H733" s="27">
        <f>23.9166 * CHOOSE(CONTROL!$C$32, $C$9, 100%, $E$9)</f>
        <v>23.916599999999999</v>
      </c>
      <c r="I733" s="27">
        <f>23.9202 * CHOOSE(CONTROL!$C$32, $C$9, 100%, $E$9)</f>
        <v>23.920200000000001</v>
      </c>
      <c r="J733" s="27">
        <f>23.9166 * CHOOSE(CONTROL!$C$32, $C$9, 100%, $E$9)</f>
        <v>23.916599999999999</v>
      </c>
      <c r="K733" s="27">
        <f>23.9202 * CHOOSE(CONTROL!$C$32, $C$9, 100%, $E$9)</f>
        <v>23.920200000000001</v>
      </c>
      <c r="L733" s="27">
        <f>11.8546 * CHOOSE(CONTROL!$C$32, $C$9, 100%, $E$9)</f>
        <v>11.8546</v>
      </c>
      <c r="M733" s="27">
        <f>11.8582 * CHOOSE(CONTROL!$C$32, $C$9, 100%, $E$9)</f>
        <v>11.8582</v>
      </c>
      <c r="N733" s="27">
        <f>11.8546 * CHOOSE(CONTROL!$C$32, $C$9, 100%, $E$9)</f>
        <v>11.8546</v>
      </c>
      <c r="O733" s="27">
        <f>11.8582 * CHOOSE(CONTROL!$C$32, $C$9, 100%, $E$9)</f>
        <v>11.8582</v>
      </c>
    </row>
    <row r="734" spans="1:15" ht="15" x14ac:dyDescent="0.2">
      <c r="A734" s="16">
        <v>63190</v>
      </c>
      <c r="B734" s="26">
        <f>10.6931 * CHOOSE(CONTROL!$C$32, $C$9, 100%, $E$9)</f>
        <v>10.693099999999999</v>
      </c>
      <c r="C734" s="26">
        <f>10.6931 * CHOOSE(CONTROL!$C$32, $C$9, 100%, $E$9)</f>
        <v>10.693099999999999</v>
      </c>
      <c r="D734" s="26">
        <f>10.6942 * CHOOSE(CONTROL!$C$32, $C$9, 100%, $E$9)</f>
        <v>10.6942</v>
      </c>
      <c r="E734" s="27">
        <f>12.008 * CHOOSE(CONTROL!$C$32, $C$9, 100%, $E$9)</f>
        <v>12.007999999999999</v>
      </c>
      <c r="F734" s="27">
        <f>12.008 * CHOOSE(CONTROL!$C$32, $C$9, 100%, $E$9)</f>
        <v>12.007999999999999</v>
      </c>
      <c r="G734" s="27">
        <f>12.0116 * CHOOSE(CONTROL!$C$32, $C$9, 100%, $E$9)</f>
        <v>12.0116</v>
      </c>
      <c r="H734" s="27">
        <f>23.8288 * CHOOSE(CONTROL!$C$32, $C$9, 100%, $E$9)</f>
        <v>23.828800000000001</v>
      </c>
      <c r="I734" s="27">
        <f>23.8325 * CHOOSE(CONTROL!$C$32, $C$9, 100%, $E$9)</f>
        <v>23.8325</v>
      </c>
      <c r="J734" s="27">
        <f>23.8288 * CHOOSE(CONTROL!$C$32, $C$9, 100%, $E$9)</f>
        <v>23.828800000000001</v>
      </c>
      <c r="K734" s="27">
        <f>23.8325 * CHOOSE(CONTROL!$C$32, $C$9, 100%, $E$9)</f>
        <v>23.8325</v>
      </c>
      <c r="L734" s="27">
        <f>12.008 * CHOOSE(CONTROL!$C$32, $C$9, 100%, $E$9)</f>
        <v>12.007999999999999</v>
      </c>
      <c r="M734" s="27">
        <f>12.0116 * CHOOSE(CONTROL!$C$32, $C$9, 100%, $E$9)</f>
        <v>12.0116</v>
      </c>
      <c r="N734" s="27">
        <f>12.008 * CHOOSE(CONTROL!$C$32, $C$9, 100%, $E$9)</f>
        <v>12.007999999999999</v>
      </c>
      <c r="O734" s="27">
        <f>12.0116 * CHOOSE(CONTROL!$C$32, $C$9, 100%, $E$9)</f>
        <v>12.0116</v>
      </c>
    </row>
    <row r="735" spans="1:15" ht="15" x14ac:dyDescent="0.2">
      <c r="A735" s="16">
        <v>63221</v>
      </c>
      <c r="B735" s="26">
        <f>10.6901 * CHOOSE(CONTROL!$C$32, $C$9, 100%, $E$9)</f>
        <v>10.690099999999999</v>
      </c>
      <c r="C735" s="26">
        <f>10.6901 * CHOOSE(CONTROL!$C$32, $C$9, 100%, $E$9)</f>
        <v>10.690099999999999</v>
      </c>
      <c r="D735" s="26">
        <f>10.6912 * CHOOSE(CONTROL!$C$32, $C$9, 100%, $E$9)</f>
        <v>10.6912</v>
      </c>
      <c r="E735" s="27">
        <f>11.6957 * CHOOSE(CONTROL!$C$32, $C$9, 100%, $E$9)</f>
        <v>11.6957</v>
      </c>
      <c r="F735" s="27">
        <f>11.6957 * CHOOSE(CONTROL!$C$32, $C$9, 100%, $E$9)</f>
        <v>11.6957</v>
      </c>
      <c r="G735" s="27">
        <f>11.6994 * CHOOSE(CONTROL!$C$32, $C$9, 100%, $E$9)</f>
        <v>11.699400000000001</v>
      </c>
      <c r="H735" s="27">
        <f>23.8785 * CHOOSE(CONTROL!$C$32, $C$9, 100%, $E$9)</f>
        <v>23.878499999999999</v>
      </c>
      <c r="I735" s="27">
        <f>23.8821 * CHOOSE(CONTROL!$C$32, $C$9, 100%, $E$9)</f>
        <v>23.882100000000001</v>
      </c>
      <c r="J735" s="27">
        <f>23.8785 * CHOOSE(CONTROL!$C$32, $C$9, 100%, $E$9)</f>
        <v>23.878499999999999</v>
      </c>
      <c r="K735" s="27">
        <f>23.8821 * CHOOSE(CONTROL!$C$32, $C$9, 100%, $E$9)</f>
        <v>23.882100000000001</v>
      </c>
      <c r="L735" s="27">
        <f>11.6957 * CHOOSE(CONTROL!$C$32, $C$9, 100%, $E$9)</f>
        <v>11.6957</v>
      </c>
      <c r="M735" s="27">
        <f>11.6994 * CHOOSE(CONTROL!$C$32, $C$9, 100%, $E$9)</f>
        <v>11.699400000000001</v>
      </c>
      <c r="N735" s="27">
        <f>11.6957 * CHOOSE(CONTROL!$C$32, $C$9, 100%, $E$9)</f>
        <v>11.6957</v>
      </c>
      <c r="O735" s="27">
        <f>11.6994 * CHOOSE(CONTROL!$C$32, $C$9, 100%, $E$9)</f>
        <v>11.699400000000001</v>
      </c>
    </row>
    <row r="736" spans="1:15" ht="15" x14ac:dyDescent="0.2">
      <c r="A736" s="16">
        <v>63249</v>
      </c>
      <c r="B736" s="26">
        <f>10.6871 * CHOOSE(CONTROL!$C$32, $C$9, 100%, $E$9)</f>
        <v>10.687099999999999</v>
      </c>
      <c r="C736" s="26">
        <f>10.6871 * CHOOSE(CONTROL!$C$32, $C$9, 100%, $E$9)</f>
        <v>10.687099999999999</v>
      </c>
      <c r="D736" s="26">
        <f>10.6881 * CHOOSE(CONTROL!$C$32, $C$9, 100%, $E$9)</f>
        <v>10.6881</v>
      </c>
      <c r="E736" s="27">
        <f>11.9381 * CHOOSE(CONTROL!$C$32, $C$9, 100%, $E$9)</f>
        <v>11.9381</v>
      </c>
      <c r="F736" s="27">
        <f>11.9381 * CHOOSE(CONTROL!$C$32, $C$9, 100%, $E$9)</f>
        <v>11.9381</v>
      </c>
      <c r="G736" s="27">
        <f>11.9418 * CHOOSE(CONTROL!$C$32, $C$9, 100%, $E$9)</f>
        <v>11.941800000000001</v>
      </c>
      <c r="H736" s="27">
        <f>23.9282 * CHOOSE(CONTROL!$C$32, $C$9, 100%, $E$9)</f>
        <v>23.9282</v>
      </c>
      <c r="I736" s="27">
        <f>23.9318 * CHOOSE(CONTROL!$C$32, $C$9, 100%, $E$9)</f>
        <v>23.931799999999999</v>
      </c>
      <c r="J736" s="27">
        <f>23.9282 * CHOOSE(CONTROL!$C$32, $C$9, 100%, $E$9)</f>
        <v>23.9282</v>
      </c>
      <c r="K736" s="27">
        <f>23.9318 * CHOOSE(CONTROL!$C$32, $C$9, 100%, $E$9)</f>
        <v>23.931799999999999</v>
      </c>
      <c r="L736" s="27">
        <f>11.9381 * CHOOSE(CONTROL!$C$32, $C$9, 100%, $E$9)</f>
        <v>11.9381</v>
      </c>
      <c r="M736" s="27">
        <f>11.9418 * CHOOSE(CONTROL!$C$32, $C$9, 100%, $E$9)</f>
        <v>11.941800000000001</v>
      </c>
      <c r="N736" s="27">
        <f>11.9381 * CHOOSE(CONTROL!$C$32, $C$9, 100%, $E$9)</f>
        <v>11.9381</v>
      </c>
      <c r="O736" s="27">
        <f>11.9418 * CHOOSE(CONTROL!$C$32, $C$9, 100%, $E$9)</f>
        <v>11.941800000000001</v>
      </c>
    </row>
    <row r="737" spans="1:15" ht="15" x14ac:dyDescent="0.2">
      <c r="A737" s="16">
        <v>63280</v>
      </c>
      <c r="B737" s="26">
        <f>10.6912 * CHOOSE(CONTROL!$C$32, $C$9, 100%, $E$9)</f>
        <v>10.6912</v>
      </c>
      <c r="C737" s="26">
        <f>10.6912 * CHOOSE(CONTROL!$C$32, $C$9, 100%, $E$9)</f>
        <v>10.6912</v>
      </c>
      <c r="D737" s="26">
        <f>10.6923 * CHOOSE(CONTROL!$C$32, $C$9, 100%, $E$9)</f>
        <v>10.692299999999999</v>
      </c>
      <c r="E737" s="27">
        <f>12.1965 * CHOOSE(CONTROL!$C$32, $C$9, 100%, $E$9)</f>
        <v>12.1965</v>
      </c>
      <c r="F737" s="27">
        <f>12.1965 * CHOOSE(CONTROL!$C$32, $C$9, 100%, $E$9)</f>
        <v>12.1965</v>
      </c>
      <c r="G737" s="27">
        <f>12.2001 * CHOOSE(CONTROL!$C$32, $C$9, 100%, $E$9)</f>
        <v>12.200100000000001</v>
      </c>
      <c r="H737" s="27">
        <f>23.9781 * CHOOSE(CONTROL!$C$32, $C$9, 100%, $E$9)</f>
        <v>23.978100000000001</v>
      </c>
      <c r="I737" s="27">
        <f>23.9817 * CHOOSE(CONTROL!$C$32, $C$9, 100%, $E$9)</f>
        <v>23.9817</v>
      </c>
      <c r="J737" s="27">
        <f>23.9781 * CHOOSE(CONTROL!$C$32, $C$9, 100%, $E$9)</f>
        <v>23.978100000000001</v>
      </c>
      <c r="K737" s="27">
        <f>23.9817 * CHOOSE(CONTROL!$C$32, $C$9, 100%, $E$9)</f>
        <v>23.9817</v>
      </c>
      <c r="L737" s="27">
        <f>12.1965 * CHOOSE(CONTROL!$C$32, $C$9, 100%, $E$9)</f>
        <v>12.1965</v>
      </c>
      <c r="M737" s="27">
        <f>12.2001 * CHOOSE(CONTROL!$C$32, $C$9, 100%, $E$9)</f>
        <v>12.200100000000001</v>
      </c>
      <c r="N737" s="27">
        <f>12.1965 * CHOOSE(CONTROL!$C$32, $C$9, 100%, $E$9)</f>
        <v>12.1965</v>
      </c>
      <c r="O737" s="27">
        <f>12.2001 * CHOOSE(CONTROL!$C$32, $C$9, 100%, $E$9)</f>
        <v>12.200100000000001</v>
      </c>
    </row>
    <row r="738" spans="1:15" ht="15" x14ac:dyDescent="0.2">
      <c r="A738" s="16">
        <v>63310</v>
      </c>
      <c r="B738" s="26">
        <f>10.6912 * CHOOSE(CONTROL!$C$32, $C$9, 100%, $E$9)</f>
        <v>10.6912</v>
      </c>
      <c r="C738" s="26">
        <f>10.6912 * CHOOSE(CONTROL!$C$32, $C$9, 100%, $E$9)</f>
        <v>10.6912</v>
      </c>
      <c r="D738" s="26">
        <f>10.6928 * CHOOSE(CONTROL!$C$32, $C$9, 100%, $E$9)</f>
        <v>10.6928</v>
      </c>
      <c r="E738" s="27">
        <f>12.295 * CHOOSE(CONTROL!$C$32, $C$9, 100%, $E$9)</f>
        <v>12.295</v>
      </c>
      <c r="F738" s="27">
        <f>12.295 * CHOOSE(CONTROL!$C$32, $C$9, 100%, $E$9)</f>
        <v>12.295</v>
      </c>
      <c r="G738" s="27">
        <f>12.3003 * CHOOSE(CONTROL!$C$32, $C$9, 100%, $E$9)</f>
        <v>12.3003</v>
      </c>
      <c r="H738" s="27">
        <f>24.028 * CHOOSE(CONTROL!$C$32, $C$9, 100%, $E$9)</f>
        <v>24.027999999999999</v>
      </c>
      <c r="I738" s="27">
        <f>24.0333 * CHOOSE(CONTROL!$C$32, $C$9, 100%, $E$9)</f>
        <v>24.033300000000001</v>
      </c>
      <c r="J738" s="27">
        <f>24.028 * CHOOSE(CONTROL!$C$32, $C$9, 100%, $E$9)</f>
        <v>24.027999999999999</v>
      </c>
      <c r="K738" s="27">
        <f>24.0333 * CHOOSE(CONTROL!$C$32, $C$9, 100%, $E$9)</f>
        <v>24.033300000000001</v>
      </c>
      <c r="L738" s="27">
        <f>12.295 * CHOOSE(CONTROL!$C$32, $C$9, 100%, $E$9)</f>
        <v>12.295</v>
      </c>
      <c r="M738" s="27">
        <f>12.3003 * CHOOSE(CONTROL!$C$32, $C$9, 100%, $E$9)</f>
        <v>12.3003</v>
      </c>
      <c r="N738" s="27">
        <f>12.295 * CHOOSE(CONTROL!$C$32, $C$9, 100%, $E$9)</f>
        <v>12.295</v>
      </c>
      <c r="O738" s="27">
        <f>12.3003 * CHOOSE(CONTROL!$C$32, $C$9, 100%, $E$9)</f>
        <v>12.3003</v>
      </c>
    </row>
    <row r="739" spans="1:15" ht="15" x14ac:dyDescent="0.2">
      <c r="A739" s="16">
        <v>63341</v>
      </c>
      <c r="B739" s="26">
        <f>10.6973 * CHOOSE(CONTROL!$C$32, $C$9, 100%, $E$9)</f>
        <v>10.6973</v>
      </c>
      <c r="C739" s="26">
        <f>10.6973 * CHOOSE(CONTROL!$C$32, $C$9, 100%, $E$9)</f>
        <v>10.6973</v>
      </c>
      <c r="D739" s="26">
        <f>10.6989 * CHOOSE(CONTROL!$C$32, $C$9, 100%, $E$9)</f>
        <v>10.6989</v>
      </c>
      <c r="E739" s="27">
        <f>12.2007 * CHOOSE(CONTROL!$C$32, $C$9, 100%, $E$9)</f>
        <v>12.200699999999999</v>
      </c>
      <c r="F739" s="27">
        <f>12.2007 * CHOOSE(CONTROL!$C$32, $C$9, 100%, $E$9)</f>
        <v>12.200699999999999</v>
      </c>
      <c r="G739" s="27">
        <f>12.206 * CHOOSE(CONTROL!$C$32, $C$9, 100%, $E$9)</f>
        <v>12.206</v>
      </c>
      <c r="H739" s="27">
        <f>24.0781 * CHOOSE(CONTROL!$C$32, $C$9, 100%, $E$9)</f>
        <v>24.078099999999999</v>
      </c>
      <c r="I739" s="27">
        <f>24.0834 * CHOOSE(CONTROL!$C$32, $C$9, 100%, $E$9)</f>
        <v>24.083400000000001</v>
      </c>
      <c r="J739" s="27">
        <f>24.0781 * CHOOSE(CONTROL!$C$32, $C$9, 100%, $E$9)</f>
        <v>24.078099999999999</v>
      </c>
      <c r="K739" s="27">
        <f>24.0834 * CHOOSE(CONTROL!$C$32, $C$9, 100%, $E$9)</f>
        <v>24.083400000000001</v>
      </c>
      <c r="L739" s="27">
        <f>12.2007 * CHOOSE(CONTROL!$C$32, $C$9, 100%, $E$9)</f>
        <v>12.200699999999999</v>
      </c>
      <c r="M739" s="27">
        <f>12.206 * CHOOSE(CONTROL!$C$32, $C$9, 100%, $E$9)</f>
        <v>12.206</v>
      </c>
      <c r="N739" s="27">
        <f>12.2007 * CHOOSE(CONTROL!$C$32, $C$9, 100%, $E$9)</f>
        <v>12.200699999999999</v>
      </c>
      <c r="O739" s="27">
        <f>12.206 * CHOOSE(CONTROL!$C$32, $C$9, 100%, $E$9)</f>
        <v>12.206</v>
      </c>
    </row>
    <row r="740" spans="1:15" ht="15" x14ac:dyDescent="0.2">
      <c r="A740" s="16">
        <v>63371</v>
      </c>
      <c r="B740" s="26">
        <f>10.8293 * CHOOSE(CONTROL!$C$32, $C$9, 100%, $E$9)</f>
        <v>10.8293</v>
      </c>
      <c r="C740" s="26">
        <f>10.8293 * CHOOSE(CONTROL!$C$32, $C$9, 100%, $E$9)</f>
        <v>10.8293</v>
      </c>
      <c r="D740" s="26">
        <f>10.8309 * CHOOSE(CONTROL!$C$32, $C$9, 100%, $E$9)</f>
        <v>10.8309</v>
      </c>
      <c r="E740" s="27">
        <f>12.3722 * CHOOSE(CONTROL!$C$32, $C$9, 100%, $E$9)</f>
        <v>12.372199999999999</v>
      </c>
      <c r="F740" s="27">
        <f>12.3722 * CHOOSE(CONTROL!$C$32, $C$9, 100%, $E$9)</f>
        <v>12.372199999999999</v>
      </c>
      <c r="G740" s="27">
        <f>12.3775 * CHOOSE(CONTROL!$C$32, $C$9, 100%, $E$9)</f>
        <v>12.3775</v>
      </c>
      <c r="H740" s="27">
        <f>24.1283 * CHOOSE(CONTROL!$C$32, $C$9, 100%, $E$9)</f>
        <v>24.128299999999999</v>
      </c>
      <c r="I740" s="27">
        <f>24.1335 * CHOOSE(CONTROL!$C$32, $C$9, 100%, $E$9)</f>
        <v>24.133500000000002</v>
      </c>
      <c r="J740" s="27">
        <f>24.1283 * CHOOSE(CONTROL!$C$32, $C$9, 100%, $E$9)</f>
        <v>24.128299999999999</v>
      </c>
      <c r="K740" s="27">
        <f>24.1335 * CHOOSE(CONTROL!$C$32, $C$9, 100%, $E$9)</f>
        <v>24.133500000000002</v>
      </c>
      <c r="L740" s="27">
        <f>12.3722 * CHOOSE(CONTROL!$C$32, $C$9, 100%, $E$9)</f>
        <v>12.372199999999999</v>
      </c>
      <c r="M740" s="27">
        <f>12.3775 * CHOOSE(CONTROL!$C$32, $C$9, 100%, $E$9)</f>
        <v>12.3775</v>
      </c>
      <c r="N740" s="27">
        <f>12.3722 * CHOOSE(CONTROL!$C$32, $C$9, 100%, $E$9)</f>
        <v>12.372199999999999</v>
      </c>
      <c r="O740" s="27">
        <f>12.3775 * CHOOSE(CONTROL!$C$32, $C$9, 100%, $E$9)</f>
        <v>12.3775</v>
      </c>
    </row>
    <row r="741" spans="1:15" ht="15" x14ac:dyDescent="0.2">
      <c r="A741" s="16">
        <v>63402</v>
      </c>
      <c r="B741" s="26">
        <f>10.836 * CHOOSE(CONTROL!$C$32, $C$9, 100%, $E$9)</f>
        <v>10.836</v>
      </c>
      <c r="C741" s="26">
        <f>10.836 * CHOOSE(CONTROL!$C$32, $C$9, 100%, $E$9)</f>
        <v>10.836</v>
      </c>
      <c r="D741" s="26">
        <f>10.8376 * CHOOSE(CONTROL!$C$32, $C$9, 100%, $E$9)</f>
        <v>10.8376</v>
      </c>
      <c r="E741" s="27">
        <f>12.0815 * CHOOSE(CONTROL!$C$32, $C$9, 100%, $E$9)</f>
        <v>12.0815</v>
      </c>
      <c r="F741" s="27">
        <f>12.0815 * CHOOSE(CONTROL!$C$32, $C$9, 100%, $E$9)</f>
        <v>12.0815</v>
      </c>
      <c r="G741" s="27">
        <f>12.0868 * CHOOSE(CONTROL!$C$32, $C$9, 100%, $E$9)</f>
        <v>12.0868</v>
      </c>
      <c r="H741" s="27">
        <f>24.1785 * CHOOSE(CONTROL!$C$32, $C$9, 100%, $E$9)</f>
        <v>24.1785</v>
      </c>
      <c r="I741" s="27">
        <f>24.1838 * CHOOSE(CONTROL!$C$32, $C$9, 100%, $E$9)</f>
        <v>24.183800000000002</v>
      </c>
      <c r="J741" s="27">
        <f>24.1785 * CHOOSE(CONTROL!$C$32, $C$9, 100%, $E$9)</f>
        <v>24.1785</v>
      </c>
      <c r="K741" s="27">
        <f>24.1838 * CHOOSE(CONTROL!$C$32, $C$9, 100%, $E$9)</f>
        <v>24.183800000000002</v>
      </c>
      <c r="L741" s="27">
        <f>12.0815 * CHOOSE(CONTROL!$C$32, $C$9, 100%, $E$9)</f>
        <v>12.0815</v>
      </c>
      <c r="M741" s="27">
        <f>12.0868 * CHOOSE(CONTROL!$C$32, $C$9, 100%, $E$9)</f>
        <v>12.0868</v>
      </c>
      <c r="N741" s="27">
        <f>12.0815 * CHOOSE(CONTROL!$C$32, $C$9, 100%, $E$9)</f>
        <v>12.0815</v>
      </c>
      <c r="O741" s="27">
        <f>12.0868 * CHOOSE(CONTROL!$C$32, $C$9, 100%, $E$9)</f>
        <v>12.0868</v>
      </c>
    </row>
    <row r="742" spans="1:15" ht="15" x14ac:dyDescent="0.2">
      <c r="A742" s="16">
        <v>63433</v>
      </c>
      <c r="B742" s="26">
        <f>10.833 * CHOOSE(CONTROL!$C$32, $C$9, 100%, $E$9)</f>
        <v>10.833</v>
      </c>
      <c r="C742" s="26">
        <f>10.833 * CHOOSE(CONTROL!$C$32, $C$9, 100%, $E$9)</f>
        <v>10.833</v>
      </c>
      <c r="D742" s="26">
        <f>10.8345 * CHOOSE(CONTROL!$C$32, $C$9, 100%, $E$9)</f>
        <v>10.8345</v>
      </c>
      <c r="E742" s="27">
        <f>12.0465 * CHOOSE(CONTROL!$C$32, $C$9, 100%, $E$9)</f>
        <v>12.0465</v>
      </c>
      <c r="F742" s="27">
        <f>12.0465 * CHOOSE(CONTROL!$C$32, $C$9, 100%, $E$9)</f>
        <v>12.0465</v>
      </c>
      <c r="G742" s="27">
        <f>12.0518 * CHOOSE(CONTROL!$C$32, $C$9, 100%, $E$9)</f>
        <v>12.0518</v>
      </c>
      <c r="H742" s="27">
        <f>24.2289 * CHOOSE(CONTROL!$C$32, $C$9, 100%, $E$9)</f>
        <v>24.228899999999999</v>
      </c>
      <c r="I742" s="27">
        <f>24.2342 * CHOOSE(CONTROL!$C$32, $C$9, 100%, $E$9)</f>
        <v>24.234200000000001</v>
      </c>
      <c r="J742" s="27">
        <f>24.2289 * CHOOSE(CONTROL!$C$32, $C$9, 100%, $E$9)</f>
        <v>24.228899999999999</v>
      </c>
      <c r="K742" s="27">
        <f>24.2342 * CHOOSE(CONTROL!$C$32, $C$9, 100%, $E$9)</f>
        <v>24.234200000000001</v>
      </c>
      <c r="L742" s="27">
        <f>12.0465 * CHOOSE(CONTROL!$C$32, $C$9, 100%, $E$9)</f>
        <v>12.0465</v>
      </c>
      <c r="M742" s="27">
        <f>12.0518 * CHOOSE(CONTROL!$C$32, $C$9, 100%, $E$9)</f>
        <v>12.0518</v>
      </c>
      <c r="N742" s="27">
        <f>12.0465 * CHOOSE(CONTROL!$C$32, $C$9, 100%, $E$9)</f>
        <v>12.0465</v>
      </c>
      <c r="O742" s="27">
        <f>12.0518 * CHOOSE(CONTROL!$C$32, $C$9, 100%, $E$9)</f>
        <v>12.0518</v>
      </c>
    </row>
    <row r="743" spans="1:15" ht="15" x14ac:dyDescent="0.2">
      <c r="A743" s="16">
        <v>63463</v>
      </c>
      <c r="B743" s="26">
        <f>10.8535 * CHOOSE(CONTROL!$C$32, $C$9, 100%, $E$9)</f>
        <v>10.8535</v>
      </c>
      <c r="C743" s="26">
        <f>10.8535 * CHOOSE(CONTROL!$C$32, $C$9, 100%, $E$9)</f>
        <v>10.8535</v>
      </c>
      <c r="D743" s="26">
        <f>10.8546 * CHOOSE(CONTROL!$C$32, $C$9, 100%, $E$9)</f>
        <v>10.8546</v>
      </c>
      <c r="E743" s="27">
        <f>12.1644 * CHOOSE(CONTROL!$C$32, $C$9, 100%, $E$9)</f>
        <v>12.164400000000001</v>
      </c>
      <c r="F743" s="27">
        <f>12.1644 * CHOOSE(CONTROL!$C$32, $C$9, 100%, $E$9)</f>
        <v>12.164400000000001</v>
      </c>
      <c r="G743" s="27">
        <f>12.168 * CHOOSE(CONTROL!$C$32, $C$9, 100%, $E$9)</f>
        <v>12.167999999999999</v>
      </c>
      <c r="H743" s="27">
        <f>24.2794 * CHOOSE(CONTROL!$C$32, $C$9, 100%, $E$9)</f>
        <v>24.279399999999999</v>
      </c>
      <c r="I743" s="27">
        <f>24.283 * CHOOSE(CONTROL!$C$32, $C$9, 100%, $E$9)</f>
        <v>24.283000000000001</v>
      </c>
      <c r="J743" s="27">
        <f>24.2794 * CHOOSE(CONTROL!$C$32, $C$9, 100%, $E$9)</f>
        <v>24.279399999999999</v>
      </c>
      <c r="K743" s="27">
        <f>24.283 * CHOOSE(CONTROL!$C$32, $C$9, 100%, $E$9)</f>
        <v>24.283000000000001</v>
      </c>
      <c r="L743" s="27">
        <f>12.1644 * CHOOSE(CONTROL!$C$32, $C$9, 100%, $E$9)</f>
        <v>12.164400000000001</v>
      </c>
      <c r="M743" s="27">
        <f>12.168 * CHOOSE(CONTROL!$C$32, $C$9, 100%, $E$9)</f>
        <v>12.167999999999999</v>
      </c>
      <c r="N743" s="27">
        <f>12.1644 * CHOOSE(CONTROL!$C$32, $C$9, 100%, $E$9)</f>
        <v>12.164400000000001</v>
      </c>
      <c r="O743" s="27">
        <f>12.168 * CHOOSE(CONTROL!$C$32, $C$9, 100%, $E$9)</f>
        <v>12.167999999999999</v>
      </c>
    </row>
    <row r="744" spans="1:15" ht="15" x14ac:dyDescent="0.2">
      <c r="A744" s="16">
        <v>63494</v>
      </c>
      <c r="B744" s="26">
        <f>10.8566 * CHOOSE(CONTROL!$C$32, $C$9, 100%, $E$9)</f>
        <v>10.8566</v>
      </c>
      <c r="C744" s="26">
        <f>10.8566 * CHOOSE(CONTROL!$C$32, $C$9, 100%, $E$9)</f>
        <v>10.8566</v>
      </c>
      <c r="D744" s="26">
        <f>10.8576 * CHOOSE(CONTROL!$C$32, $C$9, 100%, $E$9)</f>
        <v>10.8576</v>
      </c>
      <c r="E744" s="27">
        <f>12.2322 * CHOOSE(CONTROL!$C$32, $C$9, 100%, $E$9)</f>
        <v>12.232200000000001</v>
      </c>
      <c r="F744" s="27">
        <f>12.2322 * CHOOSE(CONTROL!$C$32, $C$9, 100%, $E$9)</f>
        <v>12.232200000000001</v>
      </c>
      <c r="G744" s="27">
        <f>12.2358 * CHOOSE(CONTROL!$C$32, $C$9, 100%, $E$9)</f>
        <v>12.235799999999999</v>
      </c>
      <c r="H744" s="27">
        <f>24.3299 * CHOOSE(CONTROL!$C$32, $C$9, 100%, $E$9)</f>
        <v>24.329899999999999</v>
      </c>
      <c r="I744" s="27">
        <f>24.3336 * CHOOSE(CONTROL!$C$32, $C$9, 100%, $E$9)</f>
        <v>24.333600000000001</v>
      </c>
      <c r="J744" s="27">
        <f>24.3299 * CHOOSE(CONTROL!$C$32, $C$9, 100%, $E$9)</f>
        <v>24.329899999999999</v>
      </c>
      <c r="K744" s="27">
        <f>24.3336 * CHOOSE(CONTROL!$C$32, $C$9, 100%, $E$9)</f>
        <v>24.333600000000001</v>
      </c>
      <c r="L744" s="27">
        <f>12.2322 * CHOOSE(CONTROL!$C$32, $C$9, 100%, $E$9)</f>
        <v>12.232200000000001</v>
      </c>
      <c r="M744" s="27">
        <f>12.2358 * CHOOSE(CONTROL!$C$32, $C$9, 100%, $E$9)</f>
        <v>12.235799999999999</v>
      </c>
      <c r="N744" s="27">
        <f>12.2322 * CHOOSE(CONTROL!$C$32, $C$9, 100%, $E$9)</f>
        <v>12.232200000000001</v>
      </c>
      <c r="O744" s="27">
        <f>12.2358 * CHOOSE(CONTROL!$C$32, $C$9, 100%, $E$9)</f>
        <v>12.235799999999999</v>
      </c>
    </row>
    <row r="745" spans="1:15" ht="15" x14ac:dyDescent="0.2">
      <c r="A745" s="16">
        <v>63524</v>
      </c>
      <c r="B745" s="26">
        <f>10.8566 * CHOOSE(CONTROL!$C$32, $C$9, 100%, $E$9)</f>
        <v>10.8566</v>
      </c>
      <c r="C745" s="26">
        <f>10.8566 * CHOOSE(CONTROL!$C$32, $C$9, 100%, $E$9)</f>
        <v>10.8566</v>
      </c>
      <c r="D745" s="26">
        <f>10.8576 * CHOOSE(CONTROL!$C$32, $C$9, 100%, $E$9)</f>
        <v>10.8576</v>
      </c>
      <c r="E745" s="27">
        <f>12.068 * CHOOSE(CONTROL!$C$32, $C$9, 100%, $E$9)</f>
        <v>12.068</v>
      </c>
      <c r="F745" s="27">
        <f>12.068 * CHOOSE(CONTROL!$C$32, $C$9, 100%, $E$9)</f>
        <v>12.068</v>
      </c>
      <c r="G745" s="27">
        <f>12.0717 * CHOOSE(CONTROL!$C$32, $C$9, 100%, $E$9)</f>
        <v>12.0717</v>
      </c>
      <c r="H745" s="27">
        <f>24.3806 * CHOOSE(CONTROL!$C$32, $C$9, 100%, $E$9)</f>
        <v>24.380600000000001</v>
      </c>
      <c r="I745" s="27">
        <f>24.3843 * CHOOSE(CONTROL!$C$32, $C$9, 100%, $E$9)</f>
        <v>24.3843</v>
      </c>
      <c r="J745" s="27">
        <f>24.3806 * CHOOSE(CONTROL!$C$32, $C$9, 100%, $E$9)</f>
        <v>24.380600000000001</v>
      </c>
      <c r="K745" s="27">
        <f>24.3843 * CHOOSE(CONTROL!$C$32, $C$9, 100%, $E$9)</f>
        <v>24.3843</v>
      </c>
      <c r="L745" s="27">
        <f>12.068 * CHOOSE(CONTROL!$C$32, $C$9, 100%, $E$9)</f>
        <v>12.068</v>
      </c>
      <c r="M745" s="27">
        <f>12.0717 * CHOOSE(CONTROL!$C$32, $C$9, 100%, $E$9)</f>
        <v>12.0717</v>
      </c>
      <c r="N745" s="27">
        <f>12.068 * CHOOSE(CONTROL!$C$32, $C$9, 100%, $E$9)</f>
        <v>12.068</v>
      </c>
      <c r="O745" s="27">
        <f>12.0717 * CHOOSE(CONTROL!$C$32, $C$9, 100%, $E$9)</f>
        <v>12.0717</v>
      </c>
    </row>
    <row r="746" spans="1:15" ht="15" x14ac:dyDescent="0.2">
      <c r="A746" s="16">
        <v>63555</v>
      </c>
      <c r="B746" s="26">
        <f>10.8805 * CHOOSE(CONTROL!$C$32, $C$9, 100%, $E$9)</f>
        <v>10.8805</v>
      </c>
      <c r="C746" s="26">
        <f>10.8805 * CHOOSE(CONTROL!$C$32, $C$9, 100%, $E$9)</f>
        <v>10.8805</v>
      </c>
      <c r="D746" s="26">
        <f>10.8816 * CHOOSE(CONTROL!$C$32, $C$9, 100%, $E$9)</f>
        <v>10.881600000000001</v>
      </c>
      <c r="E746" s="27">
        <f>12.2205 * CHOOSE(CONTROL!$C$32, $C$9, 100%, $E$9)</f>
        <v>12.220499999999999</v>
      </c>
      <c r="F746" s="27">
        <f>12.2205 * CHOOSE(CONTROL!$C$32, $C$9, 100%, $E$9)</f>
        <v>12.220499999999999</v>
      </c>
      <c r="G746" s="27">
        <f>12.2242 * CHOOSE(CONTROL!$C$32, $C$9, 100%, $E$9)</f>
        <v>12.2242</v>
      </c>
      <c r="H746" s="27">
        <f>24.2823 * CHOOSE(CONTROL!$C$32, $C$9, 100%, $E$9)</f>
        <v>24.282299999999999</v>
      </c>
      <c r="I746" s="27">
        <f>24.286 * CHOOSE(CONTROL!$C$32, $C$9, 100%, $E$9)</f>
        <v>24.286000000000001</v>
      </c>
      <c r="J746" s="27">
        <f>24.2823 * CHOOSE(CONTROL!$C$32, $C$9, 100%, $E$9)</f>
        <v>24.282299999999999</v>
      </c>
      <c r="K746" s="27">
        <f>24.286 * CHOOSE(CONTROL!$C$32, $C$9, 100%, $E$9)</f>
        <v>24.286000000000001</v>
      </c>
      <c r="L746" s="27">
        <f>12.2205 * CHOOSE(CONTROL!$C$32, $C$9, 100%, $E$9)</f>
        <v>12.220499999999999</v>
      </c>
      <c r="M746" s="27">
        <f>12.2242 * CHOOSE(CONTROL!$C$32, $C$9, 100%, $E$9)</f>
        <v>12.2242</v>
      </c>
      <c r="N746" s="27">
        <f>12.2205 * CHOOSE(CONTROL!$C$32, $C$9, 100%, $E$9)</f>
        <v>12.220499999999999</v>
      </c>
      <c r="O746" s="27">
        <f>12.2242 * CHOOSE(CONTROL!$C$32, $C$9, 100%, $E$9)</f>
        <v>12.2242</v>
      </c>
    </row>
    <row r="747" spans="1:15" ht="15" x14ac:dyDescent="0.2">
      <c r="A747" s="16">
        <v>63586</v>
      </c>
      <c r="B747" s="26">
        <f>10.8775 * CHOOSE(CONTROL!$C$32, $C$9, 100%, $E$9)</f>
        <v>10.8775</v>
      </c>
      <c r="C747" s="26">
        <f>10.8775 * CHOOSE(CONTROL!$C$32, $C$9, 100%, $E$9)</f>
        <v>10.8775</v>
      </c>
      <c r="D747" s="26">
        <f>10.8785 * CHOOSE(CONTROL!$C$32, $C$9, 100%, $E$9)</f>
        <v>10.878500000000001</v>
      </c>
      <c r="E747" s="27">
        <f>11.9012 * CHOOSE(CONTROL!$C$32, $C$9, 100%, $E$9)</f>
        <v>11.901199999999999</v>
      </c>
      <c r="F747" s="27">
        <f>11.9012 * CHOOSE(CONTROL!$C$32, $C$9, 100%, $E$9)</f>
        <v>11.901199999999999</v>
      </c>
      <c r="G747" s="27">
        <f>11.9048 * CHOOSE(CONTROL!$C$32, $C$9, 100%, $E$9)</f>
        <v>11.9048</v>
      </c>
      <c r="H747" s="27">
        <f>24.3329 * CHOOSE(CONTROL!$C$32, $C$9, 100%, $E$9)</f>
        <v>24.332899999999999</v>
      </c>
      <c r="I747" s="27">
        <f>24.3365 * CHOOSE(CONTROL!$C$32, $C$9, 100%, $E$9)</f>
        <v>24.336500000000001</v>
      </c>
      <c r="J747" s="27">
        <f>24.3329 * CHOOSE(CONTROL!$C$32, $C$9, 100%, $E$9)</f>
        <v>24.332899999999999</v>
      </c>
      <c r="K747" s="27">
        <f>24.3365 * CHOOSE(CONTROL!$C$32, $C$9, 100%, $E$9)</f>
        <v>24.336500000000001</v>
      </c>
      <c r="L747" s="27">
        <f>11.9012 * CHOOSE(CONTROL!$C$32, $C$9, 100%, $E$9)</f>
        <v>11.901199999999999</v>
      </c>
      <c r="M747" s="27">
        <f>11.9048 * CHOOSE(CONTROL!$C$32, $C$9, 100%, $E$9)</f>
        <v>11.9048</v>
      </c>
      <c r="N747" s="27">
        <f>11.9012 * CHOOSE(CONTROL!$C$32, $C$9, 100%, $E$9)</f>
        <v>11.901199999999999</v>
      </c>
      <c r="O747" s="27">
        <f>11.9048 * CHOOSE(CONTROL!$C$32, $C$9, 100%, $E$9)</f>
        <v>11.9048</v>
      </c>
    </row>
    <row r="748" spans="1:15" ht="15" x14ac:dyDescent="0.2">
      <c r="A748" s="16">
        <v>63614</v>
      </c>
      <c r="B748" s="26">
        <f>10.8744 * CHOOSE(CONTROL!$C$32, $C$9, 100%, $E$9)</f>
        <v>10.8744</v>
      </c>
      <c r="C748" s="26">
        <f>10.8744 * CHOOSE(CONTROL!$C$32, $C$9, 100%, $E$9)</f>
        <v>10.8744</v>
      </c>
      <c r="D748" s="26">
        <f>10.8755 * CHOOSE(CONTROL!$C$32, $C$9, 100%, $E$9)</f>
        <v>10.875500000000001</v>
      </c>
      <c r="E748" s="27">
        <f>12.1491 * CHOOSE(CONTROL!$C$32, $C$9, 100%, $E$9)</f>
        <v>12.149100000000001</v>
      </c>
      <c r="F748" s="27">
        <f>12.1491 * CHOOSE(CONTROL!$C$32, $C$9, 100%, $E$9)</f>
        <v>12.149100000000001</v>
      </c>
      <c r="G748" s="27">
        <f>12.1528 * CHOOSE(CONTROL!$C$32, $C$9, 100%, $E$9)</f>
        <v>12.152799999999999</v>
      </c>
      <c r="H748" s="27">
        <f>24.3836 * CHOOSE(CONTROL!$C$32, $C$9, 100%, $E$9)</f>
        <v>24.383600000000001</v>
      </c>
      <c r="I748" s="27">
        <f>24.3872 * CHOOSE(CONTROL!$C$32, $C$9, 100%, $E$9)</f>
        <v>24.3872</v>
      </c>
      <c r="J748" s="27">
        <f>24.3836 * CHOOSE(CONTROL!$C$32, $C$9, 100%, $E$9)</f>
        <v>24.383600000000001</v>
      </c>
      <c r="K748" s="27">
        <f>24.3872 * CHOOSE(CONTROL!$C$32, $C$9, 100%, $E$9)</f>
        <v>24.3872</v>
      </c>
      <c r="L748" s="27">
        <f>12.1491 * CHOOSE(CONTROL!$C$32, $C$9, 100%, $E$9)</f>
        <v>12.149100000000001</v>
      </c>
      <c r="M748" s="27">
        <f>12.1528 * CHOOSE(CONTROL!$C$32, $C$9, 100%, $E$9)</f>
        <v>12.152799999999999</v>
      </c>
      <c r="N748" s="27">
        <f>12.1491 * CHOOSE(CONTROL!$C$32, $C$9, 100%, $E$9)</f>
        <v>12.149100000000001</v>
      </c>
      <c r="O748" s="27">
        <f>12.1528 * CHOOSE(CONTROL!$C$32, $C$9, 100%, $E$9)</f>
        <v>12.152799999999999</v>
      </c>
    </row>
    <row r="749" spans="1:15" ht="15" x14ac:dyDescent="0.2">
      <c r="A749" s="16">
        <v>63645</v>
      </c>
      <c r="B749" s="26">
        <f>10.8787 * CHOOSE(CONTROL!$C$32, $C$9, 100%, $E$9)</f>
        <v>10.8787</v>
      </c>
      <c r="C749" s="26">
        <f>10.8787 * CHOOSE(CONTROL!$C$32, $C$9, 100%, $E$9)</f>
        <v>10.8787</v>
      </c>
      <c r="D749" s="26">
        <f>10.8798 * CHOOSE(CONTROL!$C$32, $C$9, 100%, $E$9)</f>
        <v>10.879799999999999</v>
      </c>
      <c r="E749" s="27">
        <f>12.4135 * CHOOSE(CONTROL!$C$32, $C$9, 100%, $E$9)</f>
        <v>12.413500000000001</v>
      </c>
      <c r="F749" s="27">
        <f>12.4135 * CHOOSE(CONTROL!$C$32, $C$9, 100%, $E$9)</f>
        <v>12.413500000000001</v>
      </c>
      <c r="G749" s="27">
        <f>12.4171 * CHOOSE(CONTROL!$C$32, $C$9, 100%, $E$9)</f>
        <v>12.4171</v>
      </c>
      <c r="H749" s="27">
        <f>24.4344 * CHOOSE(CONTROL!$C$32, $C$9, 100%, $E$9)</f>
        <v>24.4344</v>
      </c>
      <c r="I749" s="27">
        <f>24.438 * CHOOSE(CONTROL!$C$32, $C$9, 100%, $E$9)</f>
        <v>24.437999999999999</v>
      </c>
      <c r="J749" s="27">
        <f>24.4344 * CHOOSE(CONTROL!$C$32, $C$9, 100%, $E$9)</f>
        <v>24.4344</v>
      </c>
      <c r="K749" s="27">
        <f>24.438 * CHOOSE(CONTROL!$C$32, $C$9, 100%, $E$9)</f>
        <v>24.437999999999999</v>
      </c>
      <c r="L749" s="27">
        <f>12.4135 * CHOOSE(CONTROL!$C$32, $C$9, 100%, $E$9)</f>
        <v>12.413500000000001</v>
      </c>
      <c r="M749" s="27">
        <f>12.4171 * CHOOSE(CONTROL!$C$32, $C$9, 100%, $E$9)</f>
        <v>12.4171</v>
      </c>
      <c r="N749" s="27">
        <f>12.4135 * CHOOSE(CONTROL!$C$32, $C$9, 100%, $E$9)</f>
        <v>12.413500000000001</v>
      </c>
      <c r="O749" s="27">
        <f>12.4171 * CHOOSE(CONTROL!$C$32, $C$9, 100%, $E$9)</f>
        <v>12.4171</v>
      </c>
    </row>
    <row r="750" spans="1:15" ht="15" x14ac:dyDescent="0.2">
      <c r="A750" s="16">
        <v>63675</v>
      </c>
      <c r="B750" s="26">
        <f>10.8787 * CHOOSE(CONTROL!$C$32, $C$9, 100%, $E$9)</f>
        <v>10.8787</v>
      </c>
      <c r="C750" s="26">
        <f>10.8787 * CHOOSE(CONTROL!$C$32, $C$9, 100%, $E$9)</f>
        <v>10.8787</v>
      </c>
      <c r="D750" s="26">
        <f>10.8803 * CHOOSE(CONTROL!$C$32, $C$9, 100%, $E$9)</f>
        <v>10.8803</v>
      </c>
      <c r="E750" s="27">
        <f>12.5142 * CHOOSE(CONTROL!$C$32, $C$9, 100%, $E$9)</f>
        <v>12.514200000000001</v>
      </c>
      <c r="F750" s="27">
        <f>12.5142 * CHOOSE(CONTROL!$C$32, $C$9, 100%, $E$9)</f>
        <v>12.514200000000001</v>
      </c>
      <c r="G750" s="27">
        <f>12.5195 * CHOOSE(CONTROL!$C$32, $C$9, 100%, $E$9)</f>
        <v>12.519500000000001</v>
      </c>
      <c r="H750" s="27">
        <f>24.4853 * CHOOSE(CONTROL!$C$32, $C$9, 100%, $E$9)</f>
        <v>24.485299999999999</v>
      </c>
      <c r="I750" s="27">
        <f>24.4906 * CHOOSE(CONTROL!$C$32, $C$9, 100%, $E$9)</f>
        <v>24.490600000000001</v>
      </c>
      <c r="J750" s="27">
        <f>24.4853 * CHOOSE(CONTROL!$C$32, $C$9, 100%, $E$9)</f>
        <v>24.485299999999999</v>
      </c>
      <c r="K750" s="27">
        <f>24.4906 * CHOOSE(CONTROL!$C$32, $C$9, 100%, $E$9)</f>
        <v>24.490600000000001</v>
      </c>
      <c r="L750" s="27">
        <f>12.5142 * CHOOSE(CONTROL!$C$32, $C$9, 100%, $E$9)</f>
        <v>12.514200000000001</v>
      </c>
      <c r="M750" s="27">
        <f>12.5195 * CHOOSE(CONTROL!$C$32, $C$9, 100%, $E$9)</f>
        <v>12.519500000000001</v>
      </c>
      <c r="N750" s="27">
        <f>12.5142 * CHOOSE(CONTROL!$C$32, $C$9, 100%, $E$9)</f>
        <v>12.514200000000001</v>
      </c>
      <c r="O750" s="27">
        <f>12.5195 * CHOOSE(CONTROL!$C$32, $C$9, 100%, $E$9)</f>
        <v>12.519500000000001</v>
      </c>
    </row>
    <row r="751" spans="1:15" ht="15" x14ac:dyDescent="0.2">
      <c r="A751" s="16">
        <v>63706</v>
      </c>
      <c r="B751" s="26">
        <f>10.8848 * CHOOSE(CONTROL!$C$32, $C$9, 100%, $E$9)</f>
        <v>10.8848</v>
      </c>
      <c r="C751" s="26">
        <f>10.8848 * CHOOSE(CONTROL!$C$32, $C$9, 100%, $E$9)</f>
        <v>10.8848</v>
      </c>
      <c r="D751" s="26">
        <f>10.8864 * CHOOSE(CONTROL!$C$32, $C$9, 100%, $E$9)</f>
        <v>10.8864</v>
      </c>
      <c r="E751" s="27">
        <f>12.4177 * CHOOSE(CONTROL!$C$32, $C$9, 100%, $E$9)</f>
        <v>12.4177</v>
      </c>
      <c r="F751" s="27">
        <f>12.4177 * CHOOSE(CONTROL!$C$32, $C$9, 100%, $E$9)</f>
        <v>12.4177</v>
      </c>
      <c r="G751" s="27">
        <f>12.423 * CHOOSE(CONTROL!$C$32, $C$9, 100%, $E$9)</f>
        <v>12.423</v>
      </c>
      <c r="H751" s="27">
        <f>24.5363 * CHOOSE(CONTROL!$C$32, $C$9, 100%, $E$9)</f>
        <v>24.536300000000001</v>
      </c>
      <c r="I751" s="27">
        <f>24.5416 * CHOOSE(CONTROL!$C$32, $C$9, 100%, $E$9)</f>
        <v>24.541599999999999</v>
      </c>
      <c r="J751" s="27">
        <f>24.5363 * CHOOSE(CONTROL!$C$32, $C$9, 100%, $E$9)</f>
        <v>24.536300000000001</v>
      </c>
      <c r="K751" s="27">
        <f>24.5416 * CHOOSE(CONTROL!$C$32, $C$9, 100%, $E$9)</f>
        <v>24.541599999999999</v>
      </c>
      <c r="L751" s="27">
        <f>12.4177 * CHOOSE(CONTROL!$C$32, $C$9, 100%, $E$9)</f>
        <v>12.4177</v>
      </c>
      <c r="M751" s="27">
        <f>12.423 * CHOOSE(CONTROL!$C$32, $C$9, 100%, $E$9)</f>
        <v>12.423</v>
      </c>
      <c r="N751" s="27">
        <f>12.4177 * CHOOSE(CONTROL!$C$32, $C$9, 100%, $E$9)</f>
        <v>12.4177</v>
      </c>
      <c r="O751" s="27">
        <f>12.423 * CHOOSE(CONTROL!$C$32, $C$9, 100%, $E$9)</f>
        <v>12.423</v>
      </c>
    </row>
    <row r="752" spans="1:15" ht="15" x14ac:dyDescent="0.2">
      <c r="A752" s="16">
        <v>63736</v>
      </c>
      <c r="B752" s="26">
        <f>11.0189 * CHOOSE(CONTROL!$C$32, $C$9, 100%, $E$9)</f>
        <v>11.0189</v>
      </c>
      <c r="C752" s="26">
        <f>11.0189 * CHOOSE(CONTROL!$C$32, $C$9, 100%, $E$9)</f>
        <v>11.0189</v>
      </c>
      <c r="D752" s="26">
        <f>11.0205 * CHOOSE(CONTROL!$C$32, $C$9, 100%, $E$9)</f>
        <v>11.0205</v>
      </c>
      <c r="E752" s="27">
        <f>12.5924 * CHOOSE(CONTROL!$C$32, $C$9, 100%, $E$9)</f>
        <v>12.5924</v>
      </c>
      <c r="F752" s="27">
        <f>12.5924 * CHOOSE(CONTROL!$C$32, $C$9, 100%, $E$9)</f>
        <v>12.5924</v>
      </c>
      <c r="G752" s="27">
        <f>12.5977 * CHOOSE(CONTROL!$C$32, $C$9, 100%, $E$9)</f>
        <v>12.5977</v>
      </c>
      <c r="H752" s="27">
        <f>24.5875 * CHOOSE(CONTROL!$C$32, $C$9, 100%, $E$9)</f>
        <v>24.587499999999999</v>
      </c>
      <c r="I752" s="27">
        <f>24.5927 * CHOOSE(CONTROL!$C$32, $C$9, 100%, $E$9)</f>
        <v>24.592700000000001</v>
      </c>
      <c r="J752" s="27">
        <f>24.5875 * CHOOSE(CONTROL!$C$32, $C$9, 100%, $E$9)</f>
        <v>24.587499999999999</v>
      </c>
      <c r="K752" s="27">
        <f>24.5927 * CHOOSE(CONTROL!$C$32, $C$9, 100%, $E$9)</f>
        <v>24.592700000000001</v>
      </c>
      <c r="L752" s="27">
        <f>12.5924 * CHOOSE(CONTROL!$C$32, $C$9, 100%, $E$9)</f>
        <v>12.5924</v>
      </c>
      <c r="M752" s="27">
        <f>12.5977 * CHOOSE(CONTROL!$C$32, $C$9, 100%, $E$9)</f>
        <v>12.5977</v>
      </c>
      <c r="N752" s="27">
        <f>12.5924 * CHOOSE(CONTROL!$C$32, $C$9, 100%, $E$9)</f>
        <v>12.5924</v>
      </c>
      <c r="O752" s="27">
        <f>12.5977 * CHOOSE(CONTROL!$C$32, $C$9, 100%, $E$9)</f>
        <v>12.5977</v>
      </c>
    </row>
    <row r="753" spans="1:15" ht="15" x14ac:dyDescent="0.2">
      <c r="A753" s="16">
        <v>63767</v>
      </c>
      <c r="B753" s="26">
        <f>11.0256 * CHOOSE(CONTROL!$C$32, $C$9, 100%, $E$9)</f>
        <v>11.025600000000001</v>
      </c>
      <c r="C753" s="26">
        <f>11.0256 * CHOOSE(CONTROL!$C$32, $C$9, 100%, $E$9)</f>
        <v>11.025600000000001</v>
      </c>
      <c r="D753" s="26">
        <f>11.0272 * CHOOSE(CONTROL!$C$32, $C$9, 100%, $E$9)</f>
        <v>11.027200000000001</v>
      </c>
      <c r="E753" s="27">
        <f>12.2949 * CHOOSE(CONTROL!$C$32, $C$9, 100%, $E$9)</f>
        <v>12.2949</v>
      </c>
      <c r="F753" s="27">
        <f>12.2949 * CHOOSE(CONTROL!$C$32, $C$9, 100%, $E$9)</f>
        <v>12.2949</v>
      </c>
      <c r="G753" s="27">
        <f>12.3002 * CHOOSE(CONTROL!$C$32, $C$9, 100%, $E$9)</f>
        <v>12.3002</v>
      </c>
      <c r="H753" s="27">
        <f>24.6387 * CHOOSE(CONTROL!$C$32, $C$9, 100%, $E$9)</f>
        <v>24.6387</v>
      </c>
      <c r="I753" s="27">
        <f>24.644 * CHOOSE(CONTROL!$C$32, $C$9, 100%, $E$9)</f>
        <v>24.643999999999998</v>
      </c>
      <c r="J753" s="27">
        <f>24.6387 * CHOOSE(CONTROL!$C$32, $C$9, 100%, $E$9)</f>
        <v>24.6387</v>
      </c>
      <c r="K753" s="27">
        <f>24.644 * CHOOSE(CONTROL!$C$32, $C$9, 100%, $E$9)</f>
        <v>24.643999999999998</v>
      </c>
      <c r="L753" s="27">
        <f>12.2949 * CHOOSE(CONTROL!$C$32, $C$9, 100%, $E$9)</f>
        <v>12.2949</v>
      </c>
      <c r="M753" s="27">
        <f>12.3002 * CHOOSE(CONTROL!$C$32, $C$9, 100%, $E$9)</f>
        <v>12.3002</v>
      </c>
      <c r="N753" s="27">
        <f>12.2949 * CHOOSE(CONTROL!$C$32, $C$9, 100%, $E$9)</f>
        <v>12.2949</v>
      </c>
      <c r="O753" s="27">
        <f>12.3002 * CHOOSE(CONTROL!$C$32, $C$9, 100%, $E$9)</f>
        <v>12.3002</v>
      </c>
    </row>
    <row r="754" spans="1:15" ht="15" x14ac:dyDescent="0.2">
      <c r="A754" s="16">
        <v>63798</v>
      </c>
      <c r="B754" s="26">
        <f>11.0226 * CHOOSE(CONTROL!$C$32, $C$9, 100%, $E$9)</f>
        <v>11.022600000000001</v>
      </c>
      <c r="C754" s="26">
        <f>11.0226 * CHOOSE(CONTROL!$C$32, $C$9, 100%, $E$9)</f>
        <v>11.022600000000001</v>
      </c>
      <c r="D754" s="26">
        <f>11.0241 * CHOOSE(CONTROL!$C$32, $C$9, 100%, $E$9)</f>
        <v>11.024100000000001</v>
      </c>
      <c r="E754" s="27">
        <f>12.2592 * CHOOSE(CONTROL!$C$32, $C$9, 100%, $E$9)</f>
        <v>12.2592</v>
      </c>
      <c r="F754" s="27">
        <f>12.2592 * CHOOSE(CONTROL!$C$32, $C$9, 100%, $E$9)</f>
        <v>12.2592</v>
      </c>
      <c r="G754" s="27">
        <f>12.2645 * CHOOSE(CONTROL!$C$32, $C$9, 100%, $E$9)</f>
        <v>12.2645</v>
      </c>
      <c r="H754" s="27">
        <f>24.69 * CHOOSE(CONTROL!$C$32, $C$9, 100%, $E$9)</f>
        <v>24.69</v>
      </c>
      <c r="I754" s="27">
        <f>24.6953 * CHOOSE(CONTROL!$C$32, $C$9, 100%, $E$9)</f>
        <v>24.6953</v>
      </c>
      <c r="J754" s="27">
        <f>24.69 * CHOOSE(CONTROL!$C$32, $C$9, 100%, $E$9)</f>
        <v>24.69</v>
      </c>
      <c r="K754" s="27">
        <f>24.6953 * CHOOSE(CONTROL!$C$32, $C$9, 100%, $E$9)</f>
        <v>24.6953</v>
      </c>
      <c r="L754" s="27">
        <f>12.2592 * CHOOSE(CONTROL!$C$32, $C$9, 100%, $E$9)</f>
        <v>12.2592</v>
      </c>
      <c r="M754" s="27">
        <f>12.2645 * CHOOSE(CONTROL!$C$32, $C$9, 100%, $E$9)</f>
        <v>12.2645</v>
      </c>
      <c r="N754" s="27">
        <f>12.2592 * CHOOSE(CONTROL!$C$32, $C$9, 100%, $E$9)</f>
        <v>12.2592</v>
      </c>
      <c r="O754" s="27">
        <f>12.2645 * CHOOSE(CONTROL!$C$32, $C$9, 100%, $E$9)</f>
        <v>12.2645</v>
      </c>
    </row>
    <row r="755" spans="1:15" ht="15" x14ac:dyDescent="0.2">
      <c r="A755" s="16">
        <v>63828</v>
      </c>
      <c r="B755" s="26">
        <f>11.0438 * CHOOSE(CONTROL!$C$32, $C$9, 100%, $E$9)</f>
        <v>11.043799999999999</v>
      </c>
      <c r="C755" s="26">
        <f>11.0438 * CHOOSE(CONTROL!$C$32, $C$9, 100%, $E$9)</f>
        <v>11.043799999999999</v>
      </c>
      <c r="D755" s="26">
        <f>11.0449 * CHOOSE(CONTROL!$C$32, $C$9, 100%, $E$9)</f>
        <v>11.0449</v>
      </c>
      <c r="E755" s="27">
        <f>12.3801 * CHOOSE(CONTROL!$C$32, $C$9, 100%, $E$9)</f>
        <v>12.380100000000001</v>
      </c>
      <c r="F755" s="27">
        <f>12.3801 * CHOOSE(CONTROL!$C$32, $C$9, 100%, $E$9)</f>
        <v>12.380100000000001</v>
      </c>
      <c r="G755" s="27">
        <f>12.3837 * CHOOSE(CONTROL!$C$32, $C$9, 100%, $E$9)</f>
        <v>12.383699999999999</v>
      </c>
      <c r="H755" s="27">
        <f>24.7414 * CHOOSE(CONTROL!$C$32, $C$9, 100%, $E$9)</f>
        <v>24.741399999999999</v>
      </c>
      <c r="I755" s="27">
        <f>24.7451 * CHOOSE(CONTROL!$C$32, $C$9, 100%, $E$9)</f>
        <v>24.745100000000001</v>
      </c>
      <c r="J755" s="27">
        <f>24.7414 * CHOOSE(CONTROL!$C$32, $C$9, 100%, $E$9)</f>
        <v>24.741399999999999</v>
      </c>
      <c r="K755" s="27">
        <f>24.7451 * CHOOSE(CONTROL!$C$32, $C$9, 100%, $E$9)</f>
        <v>24.745100000000001</v>
      </c>
      <c r="L755" s="27">
        <f>12.3801 * CHOOSE(CONTROL!$C$32, $C$9, 100%, $E$9)</f>
        <v>12.380100000000001</v>
      </c>
      <c r="M755" s="27">
        <f>12.3837 * CHOOSE(CONTROL!$C$32, $C$9, 100%, $E$9)</f>
        <v>12.383699999999999</v>
      </c>
      <c r="N755" s="27">
        <f>12.3801 * CHOOSE(CONTROL!$C$32, $C$9, 100%, $E$9)</f>
        <v>12.380100000000001</v>
      </c>
      <c r="O755" s="27">
        <f>12.3837 * CHOOSE(CONTROL!$C$32, $C$9, 100%, $E$9)</f>
        <v>12.383699999999999</v>
      </c>
    </row>
    <row r="756" spans="1:15" ht="15" x14ac:dyDescent="0.2">
      <c r="A756" s="16">
        <v>63859</v>
      </c>
      <c r="B756" s="26">
        <f>11.0469 * CHOOSE(CONTROL!$C$32, $C$9, 100%, $E$9)</f>
        <v>11.046900000000001</v>
      </c>
      <c r="C756" s="26">
        <f>11.0469 * CHOOSE(CONTROL!$C$32, $C$9, 100%, $E$9)</f>
        <v>11.046900000000001</v>
      </c>
      <c r="D756" s="26">
        <f>11.048 * CHOOSE(CONTROL!$C$32, $C$9, 100%, $E$9)</f>
        <v>11.048</v>
      </c>
      <c r="E756" s="27">
        <f>12.4493 * CHOOSE(CONTROL!$C$32, $C$9, 100%, $E$9)</f>
        <v>12.449299999999999</v>
      </c>
      <c r="F756" s="27">
        <f>12.4493 * CHOOSE(CONTROL!$C$32, $C$9, 100%, $E$9)</f>
        <v>12.449299999999999</v>
      </c>
      <c r="G756" s="27">
        <f>12.453 * CHOOSE(CONTROL!$C$32, $C$9, 100%, $E$9)</f>
        <v>12.452999999999999</v>
      </c>
      <c r="H756" s="27">
        <f>24.793 * CHOOSE(CONTROL!$C$32, $C$9, 100%, $E$9)</f>
        <v>24.792999999999999</v>
      </c>
      <c r="I756" s="27">
        <f>24.7966 * CHOOSE(CONTROL!$C$32, $C$9, 100%, $E$9)</f>
        <v>24.796600000000002</v>
      </c>
      <c r="J756" s="27">
        <f>24.793 * CHOOSE(CONTROL!$C$32, $C$9, 100%, $E$9)</f>
        <v>24.792999999999999</v>
      </c>
      <c r="K756" s="27">
        <f>24.7966 * CHOOSE(CONTROL!$C$32, $C$9, 100%, $E$9)</f>
        <v>24.796600000000002</v>
      </c>
      <c r="L756" s="27">
        <f>12.4493 * CHOOSE(CONTROL!$C$32, $C$9, 100%, $E$9)</f>
        <v>12.449299999999999</v>
      </c>
      <c r="M756" s="27">
        <f>12.453 * CHOOSE(CONTROL!$C$32, $C$9, 100%, $E$9)</f>
        <v>12.452999999999999</v>
      </c>
      <c r="N756" s="27">
        <f>12.4493 * CHOOSE(CONTROL!$C$32, $C$9, 100%, $E$9)</f>
        <v>12.449299999999999</v>
      </c>
      <c r="O756" s="27">
        <f>12.453 * CHOOSE(CONTROL!$C$32, $C$9, 100%, $E$9)</f>
        <v>12.452999999999999</v>
      </c>
    </row>
    <row r="757" spans="1:15" ht="15" x14ac:dyDescent="0.2">
      <c r="A757" s="16">
        <v>63889</v>
      </c>
      <c r="B757" s="26">
        <f>11.0469 * CHOOSE(CONTROL!$C$32, $C$9, 100%, $E$9)</f>
        <v>11.046900000000001</v>
      </c>
      <c r="C757" s="26">
        <f>11.0469 * CHOOSE(CONTROL!$C$32, $C$9, 100%, $E$9)</f>
        <v>11.046900000000001</v>
      </c>
      <c r="D757" s="26">
        <f>11.048 * CHOOSE(CONTROL!$C$32, $C$9, 100%, $E$9)</f>
        <v>11.048</v>
      </c>
      <c r="E757" s="27">
        <f>12.2815 * CHOOSE(CONTROL!$C$32, $C$9, 100%, $E$9)</f>
        <v>12.281499999999999</v>
      </c>
      <c r="F757" s="27">
        <f>12.2815 * CHOOSE(CONTROL!$C$32, $C$9, 100%, $E$9)</f>
        <v>12.281499999999999</v>
      </c>
      <c r="G757" s="27">
        <f>12.2851 * CHOOSE(CONTROL!$C$32, $C$9, 100%, $E$9)</f>
        <v>12.2851</v>
      </c>
      <c r="H757" s="27">
        <f>24.8446 * CHOOSE(CONTROL!$C$32, $C$9, 100%, $E$9)</f>
        <v>24.8446</v>
      </c>
      <c r="I757" s="27">
        <f>24.8483 * CHOOSE(CONTROL!$C$32, $C$9, 100%, $E$9)</f>
        <v>24.848299999999998</v>
      </c>
      <c r="J757" s="27">
        <f>24.8446 * CHOOSE(CONTROL!$C$32, $C$9, 100%, $E$9)</f>
        <v>24.8446</v>
      </c>
      <c r="K757" s="27">
        <f>24.8483 * CHOOSE(CONTROL!$C$32, $C$9, 100%, $E$9)</f>
        <v>24.848299999999998</v>
      </c>
      <c r="L757" s="27">
        <f>12.2815 * CHOOSE(CONTROL!$C$32, $C$9, 100%, $E$9)</f>
        <v>12.281499999999999</v>
      </c>
      <c r="M757" s="27">
        <f>12.2851 * CHOOSE(CONTROL!$C$32, $C$9, 100%, $E$9)</f>
        <v>12.2851</v>
      </c>
      <c r="N757" s="27">
        <f>12.2815 * CHOOSE(CONTROL!$C$32, $C$9, 100%, $E$9)</f>
        <v>12.281499999999999</v>
      </c>
      <c r="O757" s="27">
        <f>12.2851 * CHOOSE(CONTROL!$C$32, $C$9, 100%, $E$9)</f>
        <v>12.2851</v>
      </c>
    </row>
    <row r="758" spans="1:15" ht="15" x14ac:dyDescent="0.2">
      <c r="A758" s="16">
        <v>63920</v>
      </c>
      <c r="B758" s="26">
        <f>11.0679 * CHOOSE(CONTROL!$C$32, $C$9, 100%, $E$9)</f>
        <v>11.0679</v>
      </c>
      <c r="C758" s="26">
        <f>11.0679 * CHOOSE(CONTROL!$C$32, $C$9, 100%, $E$9)</f>
        <v>11.0679</v>
      </c>
      <c r="D758" s="26">
        <f>11.0689 * CHOOSE(CONTROL!$C$32, $C$9, 100%, $E$9)</f>
        <v>11.068899999999999</v>
      </c>
      <c r="E758" s="27">
        <f>12.433 * CHOOSE(CONTROL!$C$32, $C$9, 100%, $E$9)</f>
        <v>12.433</v>
      </c>
      <c r="F758" s="27">
        <f>12.433 * CHOOSE(CONTROL!$C$32, $C$9, 100%, $E$9)</f>
        <v>12.433</v>
      </c>
      <c r="G758" s="27">
        <f>12.4367 * CHOOSE(CONTROL!$C$32, $C$9, 100%, $E$9)</f>
        <v>12.4367</v>
      </c>
      <c r="H758" s="27">
        <f>24.7358 * CHOOSE(CONTROL!$C$32, $C$9, 100%, $E$9)</f>
        <v>24.735800000000001</v>
      </c>
      <c r="I758" s="27">
        <f>24.7395 * CHOOSE(CONTROL!$C$32, $C$9, 100%, $E$9)</f>
        <v>24.7395</v>
      </c>
      <c r="J758" s="27">
        <f>24.7358 * CHOOSE(CONTROL!$C$32, $C$9, 100%, $E$9)</f>
        <v>24.735800000000001</v>
      </c>
      <c r="K758" s="27">
        <f>24.7395 * CHOOSE(CONTROL!$C$32, $C$9, 100%, $E$9)</f>
        <v>24.7395</v>
      </c>
      <c r="L758" s="27">
        <f>12.433 * CHOOSE(CONTROL!$C$32, $C$9, 100%, $E$9)</f>
        <v>12.433</v>
      </c>
      <c r="M758" s="27">
        <f>12.4367 * CHOOSE(CONTROL!$C$32, $C$9, 100%, $E$9)</f>
        <v>12.4367</v>
      </c>
      <c r="N758" s="27">
        <f>12.433 * CHOOSE(CONTROL!$C$32, $C$9, 100%, $E$9)</f>
        <v>12.433</v>
      </c>
      <c r="O758" s="27">
        <f>12.4367 * CHOOSE(CONTROL!$C$32, $C$9, 100%, $E$9)</f>
        <v>12.4367</v>
      </c>
    </row>
    <row r="759" spans="1:15" ht="15" x14ac:dyDescent="0.2">
      <c r="A759" s="16">
        <v>63951</v>
      </c>
      <c r="B759" s="26">
        <f>11.0648 * CHOOSE(CONTROL!$C$32, $C$9, 100%, $E$9)</f>
        <v>11.0648</v>
      </c>
      <c r="C759" s="26">
        <f>11.0648 * CHOOSE(CONTROL!$C$32, $C$9, 100%, $E$9)</f>
        <v>11.0648</v>
      </c>
      <c r="D759" s="26">
        <f>11.0659 * CHOOSE(CONTROL!$C$32, $C$9, 100%, $E$9)</f>
        <v>11.065899999999999</v>
      </c>
      <c r="E759" s="27">
        <f>12.1066 * CHOOSE(CONTROL!$C$32, $C$9, 100%, $E$9)</f>
        <v>12.1066</v>
      </c>
      <c r="F759" s="27">
        <f>12.1066 * CHOOSE(CONTROL!$C$32, $C$9, 100%, $E$9)</f>
        <v>12.1066</v>
      </c>
      <c r="G759" s="27">
        <f>12.1102 * CHOOSE(CONTROL!$C$32, $C$9, 100%, $E$9)</f>
        <v>12.110200000000001</v>
      </c>
      <c r="H759" s="27">
        <f>24.7874 * CHOOSE(CONTROL!$C$32, $C$9, 100%, $E$9)</f>
        <v>24.787400000000002</v>
      </c>
      <c r="I759" s="27">
        <f>24.791 * CHOOSE(CONTROL!$C$32, $C$9, 100%, $E$9)</f>
        <v>24.791</v>
      </c>
      <c r="J759" s="27">
        <f>24.7874 * CHOOSE(CONTROL!$C$32, $C$9, 100%, $E$9)</f>
        <v>24.787400000000002</v>
      </c>
      <c r="K759" s="27">
        <f>24.791 * CHOOSE(CONTROL!$C$32, $C$9, 100%, $E$9)</f>
        <v>24.791</v>
      </c>
      <c r="L759" s="27">
        <f>12.1066 * CHOOSE(CONTROL!$C$32, $C$9, 100%, $E$9)</f>
        <v>12.1066</v>
      </c>
      <c r="M759" s="27">
        <f>12.1102 * CHOOSE(CONTROL!$C$32, $C$9, 100%, $E$9)</f>
        <v>12.110200000000001</v>
      </c>
      <c r="N759" s="27">
        <f>12.1066 * CHOOSE(CONTROL!$C$32, $C$9, 100%, $E$9)</f>
        <v>12.1066</v>
      </c>
      <c r="O759" s="27">
        <f>12.1102 * CHOOSE(CONTROL!$C$32, $C$9, 100%, $E$9)</f>
        <v>12.110200000000001</v>
      </c>
    </row>
    <row r="760" spans="1:15" ht="15" x14ac:dyDescent="0.2">
      <c r="A760" s="16">
        <v>63979</v>
      </c>
      <c r="B760" s="26">
        <f>11.0618 * CHOOSE(CONTROL!$C$32, $C$9, 100%, $E$9)</f>
        <v>11.0618</v>
      </c>
      <c r="C760" s="26">
        <f>11.0618 * CHOOSE(CONTROL!$C$32, $C$9, 100%, $E$9)</f>
        <v>11.0618</v>
      </c>
      <c r="D760" s="26">
        <f>11.0629 * CHOOSE(CONTROL!$C$32, $C$9, 100%, $E$9)</f>
        <v>11.062900000000001</v>
      </c>
      <c r="E760" s="27">
        <f>12.3602 * CHOOSE(CONTROL!$C$32, $C$9, 100%, $E$9)</f>
        <v>12.360200000000001</v>
      </c>
      <c r="F760" s="27">
        <f>12.3602 * CHOOSE(CONTROL!$C$32, $C$9, 100%, $E$9)</f>
        <v>12.360200000000001</v>
      </c>
      <c r="G760" s="27">
        <f>12.3638 * CHOOSE(CONTROL!$C$32, $C$9, 100%, $E$9)</f>
        <v>12.363799999999999</v>
      </c>
      <c r="H760" s="27">
        <f>24.839 * CHOOSE(CONTROL!$C$32, $C$9, 100%, $E$9)</f>
        <v>24.838999999999999</v>
      </c>
      <c r="I760" s="27">
        <f>24.8426 * CHOOSE(CONTROL!$C$32, $C$9, 100%, $E$9)</f>
        <v>24.842600000000001</v>
      </c>
      <c r="J760" s="27">
        <f>24.839 * CHOOSE(CONTROL!$C$32, $C$9, 100%, $E$9)</f>
        <v>24.838999999999999</v>
      </c>
      <c r="K760" s="27">
        <f>24.8426 * CHOOSE(CONTROL!$C$32, $C$9, 100%, $E$9)</f>
        <v>24.842600000000001</v>
      </c>
      <c r="L760" s="27">
        <f>12.3602 * CHOOSE(CONTROL!$C$32, $C$9, 100%, $E$9)</f>
        <v>12.360200000000001</v>
      </c>
      <c r="M760" s="27">
        <f>12.3638 * CHOOSE(CONTROL!$C$32, $C$9, 100%, $E$9)</f>
        <v>12.363799999999999</v>
      </c>
      <c r="N760" s="27">
        <f>12.3602 * CHOOSE(CONTROL!$C$32, $C$9, 100%, $E$9)</f>
        <v>12.360200000000001</v>
      </c>
      <c r="O760" s="27">
        <f>12.3638 * CHOOSE(CONTROL!$C$32, $C$9, 100%, $E$9)</f>
        <v>12.363799999999999</v>
      </c>
    </row>
    <row r="761" spans="1:15" ht="15" x14ac:dyDescent="0.2">
      <c r="A761" s="16">
        <v>64010</v>
      </c>
      <c r="B761" s="26">
        <f>11.0663 * CHOOSE(CONTROL!$C$32, $C$9, 100%, $E$9)</f>
        <v>11.0663</v>
      </c>
      <c r="C761" s="26">
        <f>11.0663 * CHOOSE(CONTROL!$C$32, $C$9, 100%, $E$9)</f>
        <v>11.0663</v>
      </c>
      <c r="D761" s="26">
        <f>11.0674 * CHOOSE(CONTROL!$C$32, $C$9, 100%, $E$9)</f>
        <v>11.067399999999999</v>
      </c>
      <c r="E761" s="27">
        <f>12.6305 * CHOOSE(CONTROL!$C$32, $C$9, 100%, $E$9)</f>
        <v>12.6305</v>
      </c>
      <c r="F761" s="27">
        <f>12.6305 * CHOOSE(CONTROL!$C$32, $C$9, 100%, $E$9)</f>
        <v>12.6305</v>
      </c>
      <c r="G761" s="27">
        <f>12.6341 * CHOOSE(CONTROL!$C$32, $C$9, 100%, $E$9)</f>
        <v>12.6341</v>
      </c>
      <c r="H761" s="27">
        <f>24.8908 * CHOOSE(CONTROL!$C$32, $C$9, 100%, $E$9)</f>
        <v>24.890799999999999</v>
      </c>
      <c r="I761" s="27">
        <f>24.8944 * CHOOSE(CONTROL!$C$32, $C$9, 100%, $E$9)</f>
        <v>24.894400000000001</v>
      </c>
      <c r="J761" s="27">
        <f>24.8908 * CHOOSE(CONTROL!$C$32, $C$9, 100%, $E$9)</f>
        <v>24.890799999999999</v>
      </c>
      <c r="K761" s="27">
        <f>24.8944 * CHOOSE(CONTROL!$C$32, $C$9, 100%, $E$9)</f>
        <v>24.894400000000001</v>
      </c>
      <c r="L761" s="27">
        <f>12.6305 * CHOOSE(CONTROL!$C$32, $C$9, 100%, $E$9)</f>
        <v>12.6305</v>
      </c>
      <c r="M761" s="27">
        <f>12.6341 * CHOOSE(CONTROL!$C$32, $C$9, 100%, $E$9)</f>
        <v>12.6341</v>
      </c>
      <c r="N761" s="27">
        <f>12.6305 * CHOOSE(CONTROL!$C$32, $C$9, 100%, $E$9)</f>
        <v>12.6305</v>
      </c>
      <c r="O761" s="27">
        <f>12.6341 * CHOOSE(CONTROL!$C$32, $C$9, 100%, $E$9)</f>
        <v>12.6341</v>
      </c>
    </row>
    <row r="762" spans="1:15" ht="15" x14ac:dyDescent="0.2">
      <c r="A762" s="16">
        <v>64040</v>
      </c>
      <c r="B762" s="26">
        <f>11.0663 * CHOOSE(CONTROL!$C$32, $C$9, 100%, $E$9)</f>
        <v>11.0663</v>
      </c>
      <c r="C762" s="26">
        <f>11.0663 * CHOOSE(CONTROL!$C$32, $C$9, 100%, $E$9)</f>
        <v>11.0663</v>
      </c>
      <c r="D762" s="26">
        <f>11.0679 * CHOOSE(CONTROL!$C$32, $C$9, 100%, $E$9)</f>
        <v>11.0679</v>
      </c>
      <c r="E762" s="27">
        <f>12.7335 * CHOOSE(CONTROL!$C$32, $C$9, 100%, $E$9)</f>
        <v>12.733499999999999</v>
      </c>
      <c r="F762" s="27">
        <f>12.7335 * CHOOSE(CONTROL!$C$32, $C$9, 100%, $E$9)</f>
        <v>12.733499999999999</v>
      </c>
      <c r="G762" s="27">
        <f>12.7388 * CHOOSE(CONTROL!$C$32, $C$9, 100%, $E$9)</f>
        <v>12.738799999999999</v>
      </c>
      <c r="H762" s="27">
        <f>24.9426 * CHOOSE(CONTROL!$C$32, $C$9, 100%, $E$9)</f>
        <v>24.942599999999999</v>
      </c>
      <c r="I762" s="27">
        <f>24.9479 * CHOOSE(CONTROL!$C$32, $C$9, 100%, $E$9)</f>
        <v>24.947900000000001</v>
      </c>
      <c r="J762" s="27">
        <f>24.9426 * CHOOSE(CONTROL!$C$32, $C$9, 100%, $E$9)</f>
        <v>24.942599999999999</v>
      </c>
      <c r="K762" s="27">
        <f>24.9479 * CHOOSE(CONTROL!$C$32, $C$9, 100%, $E$9)</f>
        <v>24.947900000000001</v>
      </c>
      <c r="L762" s="27">
        <f>12.7335 * CHOOSE(CONTROL!$C$32, $C$9, 100%, $E$9)</f>
        <v>12.733499999999999</v>
      </c>
      <c r="M762" s="27">
        <f>12.7388 * CHOOSE(CONTROL!$C$32, $C$9, 100%, $E$9)</f>
        <v>12.738799999999999</v>
      </c>
      <c r="N762" s="27">
        <f>12.7335 * CHOOSE(CONTROL!$C$32, $C$9, 100%, $E$9)</f>
        <v>12.733499999999999</v>
      </c>
      <c r="O762" s="27">
        <f>12.7388 * CHOOSE(CONTROL!$C$32, $C$9, 100%, $E$9)</f>
        <v>12.738799999999999</v>
      </c>
    </row>
    <row r="763" spans="1:15" ht="15" x14ac:dyDescent="0.2">
      <c r="A763" s="16">
        <v>64071</v>
      </c>
      <c r="B763" s="26">
        <f>11.0724 * CHOOSE(CONTROL!$C$32, $C$9, 100%, $E$9)</f>
        <v>11.0724</v>
      </c>
      <c r="C763" s="26">
        <f>11.0724 * CHOOSE(CONTROL!$C$32, $C$9, 100%, $E$9)</f>
        <v>11.0724</v>
      </c>
      <c r="D763" s="26">
        <f>11.0739 * CHOOSE(CONTROL!$C$32, $C$9, 100%, $E$9)</f>
        <v>11.0739</v>
      </c>
      <c r="E763" s="27">
        <f>12.6347 * CHOOSE(CONTROL!$C$32, $C$9, 100%, $E$9)</f>
        <v>12.6347</v>
      </c>
      <c r="F763" s="27">
        <f>12.6347 * CHOOSE(CONTROL!$C$32, $C$9, 100%, $E$9)</f>
        <v>12.6347</v>
      </c>
      <c r="G763" s="27">
        <f>12.64 * CHOOSE(CONTROL!$C$32, $C$9, 100%, $E$9)</f>
        <v>12.64</v>
      </c>
      <c r="H763" s="27">
        <f>24.9946 * CHOOSE(CONTROL!$C$32, $C$9, 100%, $E$9)</f>
        <v>24.994599999999998</v>
      </c>
      <c r="I763" s="27">
        <f>24.9999 * CHOOSE(CONTROL!$C$32, $C$9, 100%, $E$9)</f>
        <v>24.9999</v>
      </c>
      <c r="J763" s="27">
        <f>24.9946 * CHOOSE(CONTROL!$C$32, $C$9, 100%, $E$9)</f>
        <v>24.994599999999998</v>
      </c>
      <c r="K763" s="27">
        <f>24.9999 * CHOOSE(CONTROL!$C$32, $C$9, 100%, $E$9)</f>
        <v>24.9999</v>
      </c>
      <c r="L763" s="27">
        <f>12.6347 * CHOOSE(CONTROL!$C$32, $C$9, 100%, $E$9)</f>
        <v>12.6347</v>
      </c>
      <c r="M763" s="27">
        <f>12.64 * CHOOSE(CONTROL!$C$32, $C$9, 100%, $E$9)</f>
        <v>12.64</v>
      </c>
      <c r="N763" s="27">
        <f>12.6347 * CHOOSE(CONTROL!$C$32, $C$9, 100%, $E$9)</f>
        <v>12.6347</v>
      </c>
      <c r="O763" s="27">
        <f>12.64 * CHOOSE(CONTROL!$C$32, $C$9, 100%, $E$9)</f>
        <v>12.64</v>
      </c>
    </row>
    <row r="764" spans="1:15" ht="15" x14ac:dyDescent="0.2">
      <c r="A764" s="16">
        <v>64101</v>
      </c>
      <c r="B764" s="26">
        <f>11.2085 * CHOOSE(CONTROL!$C$32, $C$9, 100%, $E$9)</f>
        <v>11.208500000000001</v>
      </c>
      <c r="C764" s="26">
        <f>11.2085 * CHOOSE(CONTROL!$C$32, $C$9, 100%, $E$9)</f>
        <v>11.208500000000001</v>
      </c>
      <c r="D764" s="26">
        <f>11.2101 * CHOOSE(CONTROL!$C$32, $C$9, 100%, $E$9)</f>
        <v>11.210100000000001</v>
      </c>
      <c r="E764" s="27">
        <f>12.8126 * CHOOSE(CONTROL!$C$32, $C$9, 100%, $E$9)</f>
        <v>12.8126</v>
      </c>
      <c r="F764" s="27">
        <f>12.8126 * CHOOSE(CONTROL!$C$32, $C$9, 100%, $E$9)</f>
        <v>12.8126</v>
      </c>
      <c r="G764" s="27">
        <f>12.8179 * CHOOSE(CONTROL!$C$32, $C$9, 100%, $E$9)</f>
        <v>12.8179</v>
      </c>
      <c r="H764" s="27">
        <f>25.0467 * CHOOSE(CONTROL!$C$32, $C$9, 100%, $E$9)</f>
        <v>25.046700000000001</v>
      </c>
      <c r="I764" s="27">
        <f>25.052 * CHOOSE(CONTROL!$C$32, $C$9, 100%, $E$9)</f>
        <v>25.052</v>
      </c>
      <c r="J764" s="27">
        <f>25.0467 * CHOOSE(CONTROL!$C$32, $C$9, 100%, $E$9)</f>
        <v>25.046700000000001</v>
      </c>
      <c r="K764" s="27">
        <f>25.052 * CHOOSE(CONTROL!$C$32, $C$9, 100%, $E$9)</f>
        <v>25.052</v>
      </c>
      <c r="L764" s="27">
        <f>12.8126 * CHOOSE(CONTROL!$C$32, $C$9, 100%, $E$9)</f>
        <v>12.8126</v>
      </c>
      <c r="M764" s="27">
        <f>12.8179 * CHOOSE(CONTROL!$C$32, $C$9, 100%, $E$9)</f>
        <v>12.8179</v>
      </c>
      <c r="N764" s="27">
        <f>12.8126 * CHOOSE(CONTROL!$C$32, $C$9, 100%, $E$9)</f>
        <v>12.8126</v>
      </c>
      <c r="O764" s="27">
        <f>12.8179 * CHOOSE(CONTROL!$C$32, $C$9, 100%, $E$9)</f>
        <v>12.8179</v>
      </c>
    </row>
    <row r="765" spans="1:15" ht="15" x14ac:dyDescent="0.2">
      <c r="A765" s="16">
        <v>64132</v>
      </c>
      <c r="B765" s="26">
        <f>11.2152 * CHOOSE(CONTROL!$C$32, $C$9, 100%, $E$9)</f>
        <v>11.215199999999999</v>
      </c>
      <c r="C765" s="26">
        <f>11.2152 * CHOOSE(CONTROL!$C$32, $C$9, 100%, $E$9)</f>
        <v>11.215199999999999</v>
      </c>
      <c r="D765" s="26">
        <f>11.2168 * CHOOSE(CONTROL!$C$32, $C$9, 100%, $E$9)</f>
        <v>11.216799999999999</v>
      </c>
      <c r="E765" s="27">
        <f>12.5083 * CHOOSE(CONTROL!$C$32, $C$9, 100%, $E$9)</f>
        <v>12.5083</v>
      </c>
      <c r="F765" s="27">
        <f>12.5083 * CHOOSE(CONTROL!$C$32, $C$9, 100%, $E$9)</f>
        <v>12.5083</v>
      </c>
      <c r="G765" s="27">
        <f>12.5136 * CHOOSE(CONTROL!$C$32, $C$9, 100%, $E$9)</f>
        <v>12.5136</v>
      </c>
      <c r="H765" s="27">
        <f>25.0988 * CHOOSE(CONTROL!$C$32, $C$9, 100%, $E$9)</f>
        <v>25.098800000000001</v>
      </c>
      <c r="I765" s="27">
        <f>25.1041 * CHOOSE(CONTROL!$C$32, $C$9, 100%, $E$9)</f>
        <v>25.104099999999999</v>
      </c>
      <c r="J765" s="27">
        <f>25.0988 * CHOOSE(CONTROL!$C$32, $C$9, 100%, $E$9)</f>
        <v>25.098800000000001</v>
      </c>
      <c r="K765" s="27">
        <f>25.1041 * CHOOSE(CONTROL!$C$32, $C$9, 100%, $E$9)</f>
        <v>25.104099999999999</v>
      </c>
      <c r="L765" s="27">
        <f>12.5083 * CHOOSE(CONTROL!$C$32, $C$9, 100%, $E$9)</f>
        <v>12.5083</v>
      </c>
      <c r="M765" s="27">
        <f>12.5136 * CHOOSE(CONTROL!$C$32, $C$9, 100%, $E$9)</f>
        <v>12.5136</v>
      </c>
      <c r="N765" s="27">
        <f>12.5083 * CHOOSE(CONTROL!$C$32, $C$9, 100%, $E$9)</f>
        <v>12.5083</v>
      </c>
      <c r="O765" s="27">
        <f>12.5136 * CHOOSE(CONTROL!$C$32, $C$9, 100%, $E$9)</f>
        <v>12.5136</v>
      </c>
    </row>
    <row r="766" spans="1:15" ht="15" x14ac:dyDescent="0.2">
      <c r="A766" s="16">
        <v>64163</v>
      </c>
      <c r="B766" s="26">
        <f>11.2122 * CHOOSE(CONTROL!$C$32, $C$9, 100%, $E$9)</f>
        <v>11.212199999999999</v>
      </c>
      <c r="C766" s="26">
        <f>11.2122 * CHOOSE(CONTROL!$C$32, $C$9, 100%, $E$9)</f>
        <v>11.212199999999999</v>
      </c>
      <c r="D766" s="26">
        <f>11.2137 * CHOOSE(CONTROL!$C$32, $C$9, 100%, $E$9)</f>
        <v>11.213699999999999</v>
      </c>
      <c r="E766" s="27">
        <f>12.4719 * CHOOSE(CONTROL!$C$32, $C$9, 100%, $E$9)</f>
        <v>12.4719</v>
      </c>
      <c r="F766" s="27">
        <f>12.4719 * CHOOSE(CONTROL!$C$32, $C$9, 100%, $E$9)</f>
        <v>12.4719</v>
      </c>
      <c r="G766" s="27">
        <f>12.4772 * CHOOSE(CONTROL!$C$32, $C$9, 100%, $E$9)</f>
        <v>12.4772</v>
      </c>
      <c r="H766" s="27">
        <f>25.1511 * CHOOSE(CONTROL!$C$32, $C$9, 100%, $E$9)</f>
        <v>25.1511</v>
      </c>
      <c r="I766" s="27">
        <f>25.1564 * CHOOSE(CONTROL!$C$32, $C$9, 100%, $E$9)</f>
        <v>25.156400000000001</v>
      </c>
      <c r="J766" s="27">
        <f>25.1511 * CHOOSE(CONTROL!$C$32, $C$9, 100%, $E$9)</f>
        <v>25.1511</v>
      </c>
      <c r="K766" s="27">
        <f>25.1564 * CHOOSE(CONTROL!$C$32, $C$9, 100%, $E$9)</f>
        <v>25.156400000000001</v>
      </c>
      <c r="L766" s="27">
        <f>12.4719 * CHOOSE(CONTROL!$C$32, $C$9, 100%, $E$9)</f>
        <v>12.4719</v>
      </c>
      <c r="M766" s="27">
        <f>12.4772 * CHOOSE(CONTROL!$C$32, $C$9, 100%, $E$9)</f>
        <v>12.4772</v>
      </c>
      <c r="N766" s="27">
        <f>12.4719 * CHOOSE(CONTROL!$C$32, $C$9, 100%, $E$9)</f>
        <v>12.4719</v>
      </c>
      <c r="O766" s="27">
        <f>12.4772 * CHOOSE(CONTROL!$C$32, $C$9, 100%, $E$9)</f>
        <v>12.4772</v>
      </c>
    </row>
    <row r="767" spans="1:15" ht="15" x14ac:dyDescent="0.2">
      <c r="A767" s="16">
        <v>64193</v>
      </c>
      <c r="B767" s="26">
        <f>11.2342 * CHOOSE(CONTROL!$C$32, $C$9, 100%, $E$9)</f>
        <v>11.2342</v>
      </c>
      <c r="C767" s="26">
        <f>11.2342 * CHOOSE(CONTROL!$C$32, $C$9, 100%, $E$9)</f>
        <v>11.2342</v>
      </c>
      <c r="D767" s="26">
        <f>11.2352 * CHOOSE(CONTROL!$C$32, $C$9, 100%, $E$9)</f>
        <v>11.235200000000001</v>
      </c>
      <c r="E767" s="27">
        <f>12.5958 * CHOOSE(CONTROL!$C$32, $C$9, 100%, $E$9)</f>
        <v>12.595800000000001</v>
      </c>
      <c r="F767" s="27">
        <f>12.5958 * CHOOSE(CONTROL!$C$32, $C$9, 100%, $E$9)</f>
        <v>12.595800000000001</v>
      </c>
      <c r="G767" s="27">
        <f>12.5994 * CHOOSE(CONTROL!$C$32, $C$9, 100%, $E$9)</f>
        <v>12.599399999999999</v>
      </c>
      <c r="H767" s="27">
        <f>25.2035 * CHOOSE(CONTROL!$C$32, $C$9, 100%, $E$9)</f>
        <v>25.203499999999998</v>
      </c>
      <c r="I767" s="27">
        <f>25.2071 * CHOOSE(CONTROL!$C$32, $C$9, 100%, $E$9)</f>
        <v>25.207100000000001</v>
      </c>
      <c r="J767" s="27">
        <f>25.2035 * CHOOSE(CONTROL!$C$32, $C$9, 100%, $E$9)</f>
        <v>25.203499999999998</v>
      </c>
      <c r="K767" s="27">
        <f>25.2071 * CHOOSE(CONTROL!$C$32, $C$9, 100%, $E$9)</f>
        <v>25.207100000000001</v>
      </c>
      <c r="L767" s="27">
        <f>12.5958 * CHOOSE(CONTROL!$C$32, $C$9, 100%, $E$9)</f>
        <v>12.595800000000001</v>
      </c>
      <c r="M767" s="27">
        <f>12.5994 * CHOOSE(CONTROL!$C$32, $C$9, 100%, $E$9)</f>
        <v>12.599399999999999</v>
      </c>
      <c r="N767" s="27">
        <f>12.5958 * CHOOSE(CONTROL!$C$32, $C$9, 100%, $E$9)</f>
        <v>12.595800000000001</v>
      </c>
      <c r="O767" s="27">
        <f>12.5994 * CHOOSE(CONTROL!$C$32, $C$9, 100%, $E$9)</f>
        <v>12.599399999999999</v>
      </c>
    </row>
    <row r="768" spans="1:15" ht="15" x14ac:dyDescent="0.2">
      <c r="A768" s="16">
        <v>64224</v>
      </c>
      <c r="B768" s="26">
        <f>11.2372 * CHOOSE(CONTROL!$C$32, $C$9, 100%, $E$9)</f>
        <v>11.2372</v>
      </c>
      <c r="C768" s="26">
        <f>11.2372 * CHOOSE(CONTROL!$C$32, $C$9, 100%, $E$9)</f>
        <v>11.2372</v>
      </c>
      <c r="D768" s="26">
        <f>11.2383 * CHOOSE(CONTROL!$C$32, $C$9, 100%, $E$9)</f>
        <v>11.238300000000001</v>
      </c>
      <c r="E768" s="27">
        <f>12.6665 * CHOOSE(CONTROL!$C$32, $C$9, 100%, $E$9)</f>
        <v>12.666499999999999</v>
      </c>
      <c r="F768" s="27">
        <f>12.6665 * CHOOSE(CONTROL!$C$32, $C$9, 100%, $E$9)</f>
        <v>12.666499999999999</v>
      </c>
      <c r="G768" s="27">
        <f>12.6701 * CHOOSE(CONTROL!$C$32, $C$9, 100%, $E$9)</f>
        <v>12.6701</v>
      </c>
      <c r="H768" s="27">
        <f>25.256 * CHOOSE(CONTROL!$C$32, $C$9, 100%, $E$9)</f>
        <v>25.256</v>
      </c>
      <c r="I768" s="27">
        <f>25.2596 * CHOOSE(CONTROL!$C$32, $C$9, 100%, $E$9)</f>
        <v>25.259599999999999</v>
      </c>
      <c r="J768" s="27">
        <f>25.256 * CHOOSE(CONTROL!$C$32, $C$9, 100%, $E$9)</f>
        <v>25.256</v>
      </c>
      <c r="K768" s="27">
        <f>25.2596 * CHOOSE(CONTROL!$C$32, $C$9, 100%, $E$9)</f>
        <v>25.259599999999999</v>
      </c>
      <c r="L768" s="27">
        <f>12.6665 * CHOOSE(CONTROL!$C$32, $C$9, 100%, $E$9)</f>
        <v>12.666499999999999</v>
      </c>
      <c r="M768" s="27">
        <f>12.6701 * CHOOSE(CONTROL!$C$32, $C$9, 100%, $E$9)</f>
        <v>12.6701</v>
      </c>
      <c r="N768" s="27">
        <f>12.6665 * CHOOSE(CONTROL!$C$32, $C$9, 100%, $E$9)</f>
        <v>12.666499999999999</v>
      </c>
      <c r="O768" s="27">
        <f>12.6701 * CHOOSE(CONTROL!$C$32, $C$9, 100%, $E$9)</f>
        <v>12.6701</v>
      </c>
    </row>
    <row r="769" spans="1:15" ht="15" x14ac:dyDescent="0.2">
      <c r="A769" s="16">
        <v>64254</v>
      </c>
      <c r="B769" s="26">
        <f>11.2372 * CHOOSE(CONTROL!$C$32, $C$9, 100%, $E$9)</f>
        <v>11.2372</v>
      </c>
      <c r="C769" s="26">
        <f>11.2372 * CHOOSE(CONTROL!$C$32, $C$9, 100%, $E$9)</f>
        <v>11.2372</v>
      </c>
      <c r="D769" s="26">
        <f>11.2383 * CHOOSE(CONTROL!$C$32, $C$9, 100%, $E$9)</f>
        <v>11.238300000000001</v>
      </c>
      <c r="E769" s="27">
        <f>12.4949 * CHOOSE(CONTROL!$C$32, $C$9, 100%, $E$9)</f>
        <v>12.494899999999999</v>
      </c>
      <c r="F769" s="27">
        <f>12.4949 * CHOOSE(CONTROL!$C$32, $C$9, 100%, $E$9)</f>
        <v>12.494899999999999</v>
      </c>
      <c r="G769" s="27">
        <f>12.4985 * CHOOSE(CONTROL!$C$32, $C$9, 100%, $E$9)</f>
        <v>12.4985</v>
      </c>
      <c r="H769" s="27">
        <f>25.3086 * CHOOSE(CONTROL!$C$32, $C$9, 100%, $E$9)</f>
        <v>25.308599999999998</v>
      </c>
      <c r="I769" s="27">
        <f>25.3123 * CHOOSE(CONTROL!$C$32, $C$9, 100%, $E$9)</f>
        <v>25.3123</v>
      </c>
      <c r="J769" s="27">
        <f>25.3086 * CHOOSE(CONTROL!$C$32, $C$9, 100%, $E$9)</f>
        <v>25.308599999999998</v>
      </c>
      <c r="K769" s="27">
        <f>25.3123 * CHOOSE(CONTROL!$C$32, $C$9, 100%, $E$9)</f>
        <v>25.3123</v>
      </c>
      <c r="L769" s="27">
        <f>12.4949 * CHOOSE(CONTROL!$C$32, $C$9, 100%, $E$9)</f>
        <v>12.494899999999999</v>
      </c>
      <c r="M769" s="27">
        <f>12.4985 * CHOOSE(CONTROL!$C$32, $C$9, 100%, $E$9)</f>
        <v>12.4985</v>
      </c>
      <c r="N769" s="27">
        <f>12.4949 * CHOOSE(CONTROL!$C$32, $C$9, 100%, $E$9)</f>
        <v>12.494899999999999</v>
      </c>
      <c r="O769" s="27">
        <f>12.4985 * CHOOSE(CONTROL!$C$32, $C$9, 100%, $E$9)</f>
        <v>12.4985</v>
      </c>
    </row>
    <row r="770" spans="1:15" ht="15" x14ac:dyDescent="0.2">
      <c r="A770" s="16">
        <v>64285</v>
      </c>
      <c r="B770" s="26">
        <f>11.2552 * CHOOSE(CONTROL!$C$32, $C$9, 100%, $E$9)</f>
        <v>11.2552</v>
      </c>
      <c r="C770" s="26">
        <f>11.2552 * CHOOSE(CONTROL!$C$32, $C$9, 100%, $E$9)</f>
        <v>11.2552</v>
      </c>
      <c r="D770" s="26">
        <f>11.2563 * CHOOSE(CONTROL!$C$32, $C$9, 100%, $E$9)</f>
        <v>11.2563</v>
      </c>
      <c r="E770" s="27">
        <f>12.6455 * CHOOSE(CONTROL!$C$32, $C$9, 100%, $E$9)</f>
        <v>12.6455</v>
      </c>
      <c r="F770" s="27">
        <f>12.6455 * CHOOSE(CONTROL!$C$32, $C$9, 100%, $E$9)</f>
        <v>12.6455</v>
      </c>
      <c r="G770" s="27">
        <f>12.6492 * CHOOSE(CONTROL!$C$32, $C$9, 100%, $E$9)</f>
        <v>12.6492</v>
      </c>
      <c r="H770" s="27">
        <f>25.1893 * CHOOSE(CONTROL!$C$32, $C$9, 100%, $E$9)</f>
        <v>25.189299999999999</v>
      </c>
      <c r="I770" s="27">
        <f>25.193 * CHOOSE(CONTROL!$C$32, $C$9, 100%, $E$9)</f>
        <v>25.193000000000001</v>
      </c>
      <c r="J770" s="27">
        <f>25.1893 * CHOOSE(CONTROL!$C$32, $C$9, 100%, $E$9)</f>
        <v>25.189299999999999</v>
      </c>
      <c r="K770" s="27">
        <f>25.193 * CHOOSE(CONTROL!$C$32, $C$9, 100%, $E$9)</f>
        <v>25.193000000000001</v>
      </c>
      <c r="L770" s="27">
        <f>12.6455 * CHOOSE(CONTROL!$C$32, $C$9, 100%, $E$9)</f>
        <v>12.6455</v>
      </c>
      <c r="M770" s="27">
        <f>12.6492 * CHOOSE(CONTROL!$C$32, $C$9, 100%, $E$9)</f>
        <v>12.6492</v>
      </c>
      <c r="N770" s="27">
        <f>12.6455 * CHOOSE(CONTROL!$C$32, $C$9, 100%, $E$9)</f>
        <v>12.6455</v>
      </c>
      <c r="O770" s="27">
        <f>12.6492 * CHOOSE(CONTROL!$C$32, $C$9, 100%, $E$9)</f>
        <v>12.6492</v>
      </c>
    </row>
    <row r="771" spans="1:15" ht="15" x14ac:dyDescent="0.2">
      <c r="A771" s="16">
        <v>64316</v>
      </c>
      <c r="B771" s="26">
        <f>11.2522 * CHOOSE(CONTROL!$C$32, $C$9, 100%, $E$9)</f>
        <v>11.2522</v>
      </c>
      <c r="C771" s="26">
        <f>11.2522 * CHOOSE(CONTROL!$C$32, $C$9, 100%, $E$9)</f>
        <v>11.2522</v>
      </c>
      <c r="D771" s="26">
        <f>11.2533 * CHOOSE(CONTROL!$C$32, $C$9, 100%, $E$9)</f>
        <v>11.253299999999999</v>
      </c>
      <c r="E771" s="27">
        <f>12.312 * CHOOSE(CONTROL!$C$32, $C$9, 100%, $E$9)</f>
        <v>12.311999999999999</v>
      </c>
      <c r="F771" s="27">
        <f>12.312 * CHOOSE(CONTROL!$C$32, $C$9, 100%, $E$9)</f>
        <v>12.311999999999999</v>
      </c>
      <c r="G771" s="27">
        <f>12.3156 * CHOOSE(CONTROL!$C$32, $C$9, 100%, $E$9)</f>
        <v>12.3156</v>
      </c>
      <c r="H771" s="27">
        <f>25.2418 * CHOOSE(CONTROL!$C$32, $C$9, 100%, $E$9)</f>
        <v>25.241800000000001</v>
      </c>
      <c r="I771" s="27">
        <f>25.2454 * CHOOSE(CONTROL!$C$32, $C$9, 100%, $E$9)</f>
        <v>25.2454</v>
      </c>
      <c r="J771" s="27">
        <f>25.2418 * CHOOSE(CONTROL!$C$32, $C$9, 100%, $E$9)</f>
        <v>25.241800000000001</v>
      </c>
      <c r="K771" s="27">
        <f>25.2454 * CHOOSE(CONTROL!$C$32, $C$9, 100%, $E$9)</f>
        <v>25.2454</v>
      </c>
      <c r="L771" s="27">
        <f>12.312 * CHOOSE(CONTROL!$C$32, $C$9, 100%, $E$9)</f>
        <v>12.311999999999999</v>
      </c>
      <c r="M771" s="27">
        <f>12.3156 * CHOOSE(CONTROL!$C$32, $C$9, 100%, $E$9)</f>
        <v>12.3156</v>
      </c>
      <c r="N771" s="27">
        <f>12.312 * CHOOSE(CONTROL!$C$32, $C$9, 100%, $E$9)</f>
        <v>12.311999999999999</v>
      </c>
      <c r="O771" s="27">
        <f>12.3156 * CHOOSE(CONTROL!$C$32, $C$9, 100%, $E$9)</f>
        <v>12.3156</v>
      </c>
    </row>
    <row r="772" spans="1:15" ht="15" x14ac:dyDescent="0.2">
      <c r="A772" s="16">
        <v>64345</v>
      </c>
      <c r="B772" s="26">
        <f>11.2491 * CHOOSE(CONTROL!$C$32, $C$9, 100%, $E$9)</f>
        <v>11.2491</v>
      </c>
      <c r="C772" s="26">
        <f>11.2491 * CHOOSE(CONTROL!$C$32, $C$9, 100%, $E$9)</f>
        <v>11.2491</v>
      </c>
      <c r="D772" s="26">
        <f>11.2502 * CHOOSE(CONTROL!$C$32, $C$9, 100%, $E$9)</f>
        <v>11.2502</v>
      </c>
      <c r="E772" s="27">
        <f>12.5712 * CHOOSE(CONTROL!$C$32, $C$9, 100%, $E$9)</f>
        <v>12.571199999999999</v>
      </c>
      <c r="F772" s="27">
        <f>12.5712 * CHOOSE(CONTROL!$C$32, $C$9, 100%, $E$9)</f>
        <v>12.571199999999999</v>
      </c>
      <c r="G772" s="27">
        <f>12.5748 * CHOOSE(CONTROL!$C$32, $C$9, 100%, $E$9)</f>
        <v>12.5748</v>
      </c>
      <c r="H772" s="27">
        <f>25.2944 * CHOOSE(CONTROL!$C$32, $C$9, 100%, $E$9)</f>
        <v>25.2944</v>
      </c>
      <c r="I772" s="27">
        <f>25.298 * CHOOSE(CONTROL!$C$32, $C$9, 100%, $E$9)</f>
        <v>25.297999999999998</v>
      </c>
      <c r="J772" s="27">
        <f>25.2944 * CHOOSE(CONTROL!$C$32, $C$9, 100%, $E$9)</f>
        <v>25.2944</v>
      </c>
      <c r="K772" s="27">
        <f>25.298 * CHOOSE(CONTROL!$C$32, $C$9, 100%, $E$9)</f>
        <v>25.297999999999998</v>
      </c>
      <c r="L772" s="27">
        <f>12.5712 * CHOOSE(CONTROL!$C$32, $C$9, 100%, $E$9)</f>
        <v>12.571199999999999</v>
      </c>
      <c r="M772" s="27">
        <f>12.5748 * CHOOSE(CONTROL!$C$32, $C$9, 100%, $E$9)</f>
        <v>12.5748</v>
      </c>
      <c r="N772" s="27">
        <f>12.5712 * CHOOSE(CONTROL!$C$32, $C$9, 100%, $E$9)</f>
        <v>12.571199999999999</v>
      </c>
      <c r="O772" s="27">
        <f>12.5748 * CHOOSE(CONTROL!$C$32, $C$9, 100%, $E$9)</f>
        <v>12.5748</v>
      </c>
    </row>
    <row r="773" spans="1:15" ht="15" x14ac:dyDescent="0.2">
      <c r="A773" s="16">
        <v>64376</v>
      </c>
      <c r="B773" s="26">
        <f>11.2538 * CHOOSE(CONTROL!$C$32, $C$9, 100%, $E$9)</f>
        <v>11.2538</v>
      </c>
      <c r="C773" s="26">
        <f>11.2538 * CHOOSE(CONTROL!$C$32, $C$9, 100%, $E$9)</f>
        <v>11.2538</v>
      </c>
      <c r="D773" s="26">
        <f>11.2549 * CHOOSE(CONTROL!$C$32, $C$9, 100%, $E$9)</f>
        <v>11.254899999999999</v>
      </c>
      <c r="E773" s="27">
        <f>12.8475 * CHOOSE(CONTROL!$C$32, $C$9, 100%, $E$9)</f>
        <v>12.8475</v>
      </c>
      <c r="F773" s="27">
        <f>12.8475 * CHOOSE(CONTROL!$C$32, $C$9, 100%, $E$9)</f>
        <v>12.8475</v>
      </c>
      <c r="G773" s="27">
        <f>12.8511 * CHOOSE(CONTROL!$C$32, $C$9, 100%, $E$9)</f>
        <v>12.851100000000001</v>
      </c>
      <c r="H773" s="27">
        <f>25.3471 * CHOOSE(CONTROL!$C$32, $C$9, 100%, $E$9)</f>
        <v>25.347100000000001</v>
      </c>
      <c r="I773" s="27">
        <f>25.3507 * CHOOSE(CONTROL!$C$32, $C$9, 100%, $E$9)</f>
        <v>25.3507</v>
      </c>
      <c r="J773" s="27">
        <f>25.3471 * CHOOSE(CONTROL!$C$32, $C$9, 100%, $E$9)</f>
        <v>25.347100000000001</v>
      </c>
      <c r="K773" s="27">
        <f>25.3507 * CHOOSE(CONTROL!$C$32, $C$9, 100%, $E$9)</f>
        <v>25.3507</v>
      </c>
      <c r="L773" s="27">
        <f>12.8475 * CHOOSE(CONTROL!$C$32, $C$9, 100%, $E$9)</f>
        <v>12.8475</v>
      </c>
      <c r="M773" s="27">
        <f>12.8511 * CHOOSE(CONTROL!$C$32, $C$9, 100%, $E$9)</f>
        <v>12.851100000000001</v>
      </c>
      <c r="N773" s="27">
        <f>12.8475 * CHOOSE(CONTROL!$C$32, $C$9, 100%, $E$9)</f>
        <v>12.8475</v>
      </c>
      <c r="O773" s="27">
        <f>12.8511 * CHOOSE(CONTROL!$C$32, $C$9, 100%, $E$9)</f>
        <v>12.851100000000001</v>
      </c>
    </row>
    <row r="774" spans="1:15" ht="15" x14ac:dyDescent="0.2">
      <c r="A774" s="16">
        <v>64406</v>
      </c>
      <c r="B774" s="26">
        <f>11.2538 * CHOOSE(CONTROL!$C$32, $C$9, 100%, $E$9)</f>
        <v>11.2538</v>
      </c>
      <c r="C774" s="26">
        <f>11.2538 * CHOOSE(CONTROL!$C$32, $C$9, 100%, $E$9)</f>
        <v>11.2538</v>
      </c>
      <c r="D774" s="26">
        <f>11.2554 * CHOOSE(CONTROL!$C$32, $C$9, 100%, $E$9)</f>
        <v>11.2554</v>
      </c>
      <c r="E774" s="27">
        <f>12.9527 * CHOOSE(CONTROL!$C$32, $C$9, 100%, $E$9)</f>
        <v>12.9527</v>
      </c>
      <c r="F774" s="27">
        <f>12.9527 * CHOOSE(CONTROL!$C$32, $C$9, 100%, $E$9)</f>
        <v>12.9527</v>
      </c>
      <c r="G774" s="27">
        <f>12.958 * CHOOSE(CONTROL!$C$32, $C$9, 100%, $E$9)</f>
        <v>12.958</v>
      </c>
      <c r="H774" s="27">
        <f>25.3999 * CHOOSE(CONTROL!$C$32, $C$9, 100%, $E$9)</f>
        <v>25.399899999999999</v>
      </c>
      <c r="I774" s="27">
        <f>25.4052 * CHOOSE(CONTROL!$C$32, $C$9, 100%, $E$9)</f>
        <v>25.405200000000001</v>
      </c>
      <c r="J774" s="27">
        <f>25.3999 * CHOOSE(CONTROL!$C$32, $C$9, 100%, $E$9)</f>
        <v>25.399899999999999</v>
      </c>
      <c r="K774" s="27">
        <f>25.4052 * CHOOSE(CONTROL!$C$32, $C$9, 100%, $E$9)</f>
        <v>25.405200000000001</v>
      </c>
      <c r="L774" s="27">
        <f>12.9527 * CHOOSE(CONTROL!$C$32, $C$9, 100%, $E$9)</f>
        <v>12.9527</v>
      </c>
      <c r="M774" s="27">
        <f>12.958 * CHOOSE(CONTROL!$C$32, $C$9, 100%, $E$9)</f>
        <v>12.958</v>
      </c>
      <c r="N774" s="27">
        <f>12.9527 * CHOOSE(CONTROL!$C$32, $C$9, 100%, $E$9)</f>
        <v>12.9527</v>
      </c>
      <c r="O774" s="27">
        <f>12.958 * CHOOSE(CONTROL!$C$32, $C$9, 100%, $E$9)</f>
        <v>12.958</v>
      </c>
    </row>
    <row r="775" spans="1:15" ht="15" x14ac:dyDescent="0.2">
      <c r="A775" s="16">
        <v>64437</v>
      </c>
      <c r="B775" s="26">
        <f>11.2599 * CHOOSE(CONTROL!$C$32, $C$9, 100%, $E$9)</f>
        <v>11.2599</v>
      </c>
      <c r="C775" s="26">
        <f>11.2599 * CHOOSE(CONTROL!$C$32, $C$9, 100%, $E$9)</f>
        <v>11.2599</v>
      </c>
      <c r="D775" s="26">
        <f>11.2615 * CHOOSE(CONTROL!$C$32, $C$9, 100%, $E$9)</f>
        <v>11.2615</v>
      </c>
      <c r="E775" s="27">
        <f>12.8518 * CHOOSE(CONTROL!$C$32, $C$9, 100%, $E$9)</f>
        <v>12.851800000000001</v>
      </c>
      <c r="F775" s="27">
        <f>12.8518 * CHOOSE(CONTROL!$C$32, $C$9, 100%, $E$9)</f>
        <v>12.851800000000001</v>
      </c>
      <c r="G775" s="27">
        <f>12.857 * CHOOSE(CONTROL!$C$32, $C$9, 100%, $E$9)</f>
        <v>12.856999999999999</v>
      </c>
      <c r="H775" s="27">
        <f>25.4528 * CHOOSE(CONTROL!$C$32, $C$9, 100%, $E$9)</f>
        <v>25.4528</v>
      </c>
      <c r="I775" s="27">
        <f>25.4581 * CHOOSE(CONTROL!$C$32, $C$9, 100%, $E$9)</f>
        <v>25.458100000000002</v>
      </c>
      <c r="J775" s="27">
        <f>25.4528 * CHOOSE(CONTROL!$C$32, $C$9, 100%, $E$9)</f>
        <v>25.4528</v>
      </c>
      <c r="K775" s="27">
        <f>25.4581 * CHOOSE(CONTROL!$C$32, $C$9, 100%, $E$9)</f>
        <v>25.458100000000002</v>
      </c>
      <c r="L775" s="27">
        <f>12.8518 * CHOOSE(CONTROL!$C$32, $C$9, 100%, $E$9)</f>
        <v>12.851800000000001</v>
      </c>
      <c r="M775" s="27">
        <f>12.857 * CHOOSE(CONTROL!$C$32, $C$9, 100%, $E$9)</f>
        <v>12.856999999999999</v>
      </c>
      <c r="N775" s="27">
        <f>12.8518 * CHOOSE(CONTROL!$C$32, $C$9, 100%, $E$9)</f>
        <v>12.851800000000001</v>
      </c>
      <c r="O775" s="27">
        <f>12.857 * CHOOSE(CONTROL!$C$32, $C$9, 100%, $E$9)</f>
        <v>12.856999999999999</v>
      </c>
    </row>
    <row r="776" spans="1:15" ht="15" x14ac:dyDescent="0.2">
      <c r="A776" s="16">
        <v>64467</v>
      </c>
      <c r="B776" s="26">
        <f>11.3981 * CHOOSE(CONTROL!$C$32, $C$9, 100%, $E$9)</f>
        <v>11.398099999999999</v>
      </c>
      <c r="C776" s="26">
        <f>11.3981 * CHOOSE(CONTROL!$C$32, $C$9, 100%, $E$9)</f>
        <v>11.398099999999999</v>
      </c>
      <c r="D776" s="26">
        <f>11.3997 * CHOOSE(CONTROL!$C$32, $C$9, 100%, $E$9)</f>
        <v>11.399699999999999</v>
      </c>
      <c r="E776" s="27">
        <f>13.0328 * CHOOSE(CONTROL!$C$32, $C$9, 100%, $E$9)</f>
        <v>13.0328</v>
      </c>
      <c r="F776" s="27">
        <f>13.0328 * CHOOSE(CONTROL!$C$32, $C$9, 100%, $E$9)</f>
        <v>13.0328</v>
      </c>
      <c r="G776" s="27">
        <f>13.0381 * CHOOSE(CONTROL!$C$32, $C$9, 100%, $E$9)</f>
        <v>13.0381</v>
      </c>
      <c r="H776" s="27">
        <f>25.5059 * CHOOSE(CONTROL!$C$32, $C$9, 100%, $E$9)</f>
        <v>25.5059</v>
      </c>
      <c r="I776" s="27">
        <f>25.5112 * CHOOSE(CONTROL!$C$32, $C$9, 100%, $E$9)</f>
        <v>25.511199999999999</v>
      </c>
      <c r="J776" s="27">
        <f>25.5059 * CHOOSE(CONTROL!$C$32, $C$9, 100%, $E$9)</f>
        <v>25.5059</v>
      </c>
      <c r="K776" s="27">
        <f>25.5112 * CHOOSE(CONTROL!$C$32, $C$9, 100%, $E$9)</f>
        <v>25.511199999999999</v>
      </c>
      <c r="L776" s="27">
        <f>13.0328 * CHOOSE(CONTROL!$C$32, $C$9, 100%, $E$9)</f>
        <v>13.0328</v>
      </c>
      <c r="M776" s="27">
        <f>13.0381 * CHOOSE(CONTROL!$C$32, $C$9, 100%, $E$9)</f>
        <v>13.0381</v>
      </c>
      <c r="N776" s="27">
        <f>13.0328 * CHOOSE(CONTROL!$C$32, $C$9, 100%, $E$9)</f>
        <v>13.0328</v>
      </c>
      <c r="O776" s="27">
        <f>13.0381 * CHOOSE(CONTROL!$C$32, $C$9, 100%, $E$9)</f>
        <v>13.0381</v>
      </c>
    </row>
    <row r="777" spans="1:15" ht="15" x14ac:dyDescent="0.2">
      <c r="A777" s="16">
        <v>64498</v>
      </c>
      <c r="B777" s="26">
        <f>11.4048 * CHOOSE(CONTROL!$C$32, $C$9, 100%, $E$9)</f>
        <v>11.4048</v>
      </c>
      <c r="C777" s="26">
        <f>11.4048 * CHOOSE(CONTROL!$C$32, $C$9, 100%, $E$9)</f>
        <v>11.4048</v>
      </c>
      <c r="D777" s="26">
        <f>11.4064 * CHOOSE(CONTROL!$C$32, $C$9, 100%, $E$9)</f>
        <v>11.4064</v>
      </c>
      <c r="E777" s="27">
        <f>12.7218 * CHOOSE(CONTROL!$C$32, $C$9, 100%, $E$9)</f>
        <v>12.7218</v>
      </c>
      <c r="F777" s="27">
        <f>12.7218 * CHOOSE(CONTROL!$C$32, $C$9, 100%, $E$9)</f>
        <v>12.7218</v>
      </c>
      <c r="G777" s="27">
        <f>12.727 * CHOOSE(CONTROL!$C$32, $C$9, 100%, $E$9)</f>
        <v>12.727</v>
      </c>
      <c r="H777" s="27">
        <f>25.559 * CHOOSE(CONTROL!$C$32, $C$9, 100%, $E$9)</f>
        <v>25.559000000000001</v>
      </c>
      <c r="I777" s="27">
        <f>25.5643 * CHOOSE(CONTROL!$C$32, $C$9, 100%, $E$9)</f>
        <v>25.564299999999999</v>
      </c>
      <c r="J777" s="27">
        <f>25.559 * CHOOSE(CONTROL!$C$32, $C$9, 100%, $E$9)</f>
        <v>25.559000000000001</v>
      </c>
      <c r="K777" s="27">
        <f>25.5643 * CHOOSE(CONTROL!$C$32, $C$9, 100%, $E$9)</f>
        <v>25.564299999999999</v>
      </c>
      <c r="L777" s="27">
        <f>12.7218 * CHOOSE(CONTROL!$C$32, $C$9, 100%, $E$9)</f>
        <v>12.7218</v>
      </c>
      <c r="M777" s="27">
        <f>12.727 * CHOOSE(CONTROL!$C$32, $C$9, 100%, $E$9)</f>
        <v>12.727</v>
      </c>
      <c r="N777" s="27">
        <f>12.7218 * CHOOSE(CONTROL!$C$32, $C$9, 100%, $E$9)</f>
        <v>12.7218</v>
      </c>
      <c r="O777" s="27">
        <f>12.727 * CHOOSE(CONTROL!$C$32, $C$9, 100%, $E$9)</f>
        <v>12.727</v>
      </c>
    </row>
    <row r="778" spans="1:15" ht="15" x14ac:dyDescent="0.2">
      <c r="A778" s="16">
        <v>64529</v>
      </c>
      <c r="B778" s="26">
        <f>11.4018 * CHOOSE(CONTROL!$C$32, $C$9, 100%, $E$9)</f>
        <v>11.4018</v>
      </c>
      <c r="C778" s="26">
        <f>11.4018 * CHOOSE(CONTROL!$C$32, $C$9, 100%, $E$9)</f>
        <v>11.4018</v>
      </c>
      <c r="D778" s="26">
        <f>11.4033 * CHOOSE(CONTROL!$C$32, $C$9, 100%, $E$9)</f>
        <v>11.4033</v>
      </c>
      <c r="E778" s="27">
        <f>12.6846 * CHOOSE(CONTROL!$C$32, $C$9, 100%, $E$9)</f>
        <v>12.6846</v>
      </c>
      <c r="F778" s="27">
        <f>12.6846 * CHOOSE(CONTROL!$C$32, $C$9, 100%, $E$9)</f>
        <v>12.6846</v>
      </c>
      <c r="G778" s="27">
        <f>12.6899 * CHOOSE(CONTROL!$C$32, $C$9, 100%, $E$9)</f>
        <v>12.6899</v>
      </c>
      <c r="H778" s="27">
        <f>25.6122 * CHOOSE(CONTROL!$C$32, $C$9, 100%, $E$9)</f>
        <v>25.612200000000001</v>
      </c>
      <c r="I778" s="27">
        <f>25.6175 * CHOOSE(CONTROL!$C$32, $C$9, 100%, $E$9)</f>
        <v>25.6175</v>
      </c>
      <c r="J778" s="27">
        <f>25.6122 * CHOOSE(CONTROL!$C$32, $C$9, 100%, $E$9)</f>
        <v>25.612200000000001</v>
      </c>
      <c r="K778" s="27">
        <f>25.6175 * CHOOSE(CONTROL!$C$32, $C$9, 100%, $E$9)</f>
        <v>25.6175</v>
      </c>
      <c r="L778" s="27">
        <f>12.6846 * CHOOSE(CONTROL!$C$32, $C$9, 100%, $E$9)</f>
        <v>12.6846</v>
      </c>
      <c r="M778" s="27">
        <f>12.6899 * CHOOSE(CONTROL!$C$32, $C$9, 100%, $E$9)</f>
        <v>12.6899</v>
      </c>
      <c r="N778" s="27">
        <f>12.6846 * CHOOSE(CONTROL!$C$32, $C$9, 100%, $E$9)</f>
        <v>12.6846</v>
      </c>
      <c r="O778" s="27">
        <f>12.6899 * CHOOSE(CONTROL!$C$32, $C$9, 100%, $E$9)</f>
        <v>12.6899</v>
      </c>
    </row>
    <row r="779" spans="1:15" ht="15" x14ac:dyDescent="0.2">
      <c r="A779" s="16">
        <v>64559</v>
      </c>
      <c r="B779" s="26">
        <f>11.4245 * CHOOSE(CONTROL!$C$32, $C$9, 100%, $E$9)</f>
        <v>11.4245</v>
      </c>
      <c r="C779" s="26">
        <f>11.4245 * CHOOSE(CONTROL!$C$32, $C$9, 100%, $E$9)</f>
        <v>11.4245</v>
      </c>
      <c r="D779" s="26">
        <f>11.4255 * CHOOSE(CONTROL!$C$32, $C$9, 100%, $E$9)</f>
        <v>11.4255</v>
      </c>
      <c r="E779" s="27">
        <f>12.8114 * CHOOSE(CONTROL!$C$32, $C$9, 100%, $E$9)</f>
        <v>12.811400000000001</v>
      </c>
      <c r="F779" s="27">
        <f>12.8114 * CHOOSE(CONTROL!$C$32, $C$9, 100%, $E$9)</f>
        <v>12.811400000000001</v>
      </c>
      <c r="G779" s="27">
        <f>12.8151 * CHOOSE(CONTROL!$C$32, $C$9, 100%, $E$9)</f>
        <v>12.815099999999999</v>
      </c>
      <c r="H779" s="27">
        <f>25.6656 * CHOOSE(CONTROL!$C$32, $C$9, 100%, $E$9)</f>
        <v>25.665600000000001</v>
      </c>
      <c r="I779" s="27">
        <f>25.6692 * CHOOSE(CONTROL!$C$32, $C$9, 100%, $E$9)</f>
        <v>25.6692</v>
      </c>
      <c r="J779" s="27">
        <f>25.6656 * CHOOSE(CONTROL!$C$32, $C$9, 100%, $E$9)</f>
        <v>25.665600000000001</v>
      </c>
      <c r="K779" s="27">
        <f>25.6692 * CHOOSE(CONTROL!$C$32, $C$9, 100%, $E$9)</f>
        <v>25.6692</v>
      </c>
      <c r="L779" s="27">
        <f>12.8114 * CHOOSE(CONTROL!$C$32, $C$9, 100%, $E$9)</f>
        <v>12.811400000000001</v>
      </c>
      <c r="M779" s="27">
        <f>12.8151 * CHOOSE(CONTROL!$C$32, $C$9, 100%, $E$9)</f>
        <v>12.815099999999999</v>
      </c>
      <c r="N779" s="27">
        <f>12.8114 * CHOOSE(CONTROL!$C$32, $C$9, 100%, $E$9)</f>
        <v>12.811400000000001</v>
      </c>
      <c r="O779" s="27">
        <f>12.8151 * CHOOSE(CONTROL!$C$32, $C$9, 100%, $E$9)</f>
        <v>12.815099999999999</v>
      </c>
    </row>
    <row r="780" spans="1:15" ht="15" x14ac:dyDescent="0.2">
      <c r="A780" s="16">
        <v>64590</v>
      </c>
      <c r="B780" s="26">
        <f>11.4275 * CHOOSE(CONTROL!$C$32, $C$9, 100%, $E$9)</f>
        <v>11.4275</v>
      </c>
      <c r="C780" s="26">
        <f>11.4275 * CHOOSE(CONTROL!$C$32, $C$9, 100%, $E$9)</f>
        <v>11.4275</v>
      </c>
      <c r="D780" s="26">
        <f>11.4286 * CHOOSE(CONTROL!$C$32, $C$9, 100%, $E$9)</f>
        <v>11.428599999999999</v>
      </c>
      <c r="E780" s="27">
        <f>12.8837 * CHOOSE(CONTROL!$C$32, $C$9, 100%, $E$9)</f>
        <v>12.883699999999999</v>
      </c>
      <c r="F780" s="27">
        <f>12.8837 * CHOOSE(CONTROL!$C$32, $C$9, 100%, $E$9)</f>
        <v>12.883699999999999</v>
      </c>
      <c r="G780" s="27">
        <f>12.8873 * CHOOSE(CONTROL!$C$32, $C$9, 100%, $E$9)</f>
        <v>12.8873</v>
      </c>
      <c r="H780" s="27">
        <f>25.7191 * CHOOSE(CONTROL!$C$32, $C$9, 100%, $E$9)</f>
        <v>25.719100000000001</v>
      </c>
      <c r="I780" s="27">
        <f>25.7227 * CHOOSE(CONTROL!$C$32, $C$9, 100%, $E$9)</f>
        <v>25.7227</v>
      </c>
      <c r="J780" s="27">
        <f>25.7191 * CHOOSE(CONTROL!$C$32, $C$9, 100%, $E$9)</f>
        <v>25.719100000000001</v>
      </c>
      <c r="K780" s="27">
        <f>25.7227 * CHOOSE(CONTROL!$C$32, $C$9, 100%, $E$9)</f>
        <v>25.7227</v>
      </c>
      <c r="L780" s="27">
        <f>12.8837 * CHOOSE(CONTROL!$C$32, $C$9, 100%, $E$9)</f>
        <v>12.883699999999999</v>
      </c>
      <c r="M780" s="27">
        <f>12.8873 * CHOOSE(CONTROL!$C$32, $C$9, 100%, $E$9)</f>
        <v>12.8873</v>
      </c>
      <c r="N780" s="27">
        <f>12.8837 * CHOOSE(CONTROL!$C$32, $C$9, 100%, $E$9)</f>
        <v>12.883699999999999</v>
      </c>
      <c r="O780" s="27">
        <f>12.8873 * CHOOSE(CONTROL!$C$32, $C$9, 100%, $E$9)</f>
        <v>12.8873</v>
      </c>
    </row>
    <row r="781" spans="1:15" ht="15" x14ac:dyDescent="0.2">
      <c r="A781" s="16">
        <v>64620</v>
      </c>
      <c r="B781" s="26">
        <f>11.4275 * CHOOSE(CONTROL!$C$32, $C$9, 100%, $E$9)</f>
        <v>11.4275</v>
      </c>
      <c r="C781" s="26">
        <f>11.4275 * CHOOSE(CONTROL!$C$32, $C$9, 100%, $E$9)</f>
        <v>11.4275</v>
      </c>
      <c r="D781" s="26">
        <f>11.4286 * CHOOSE(CONTROL!$C$32, $C$9, 100%, $E$9)</f>
        <v>11.428599999999999</v>
      </c>
      <c r="E781" s="27">
        <f>12.7083 * CHOOSE(CONTROL!$C$32, $C$9, 100%, $E$9)</f>
        <v>12.708299999999999</v>
      </c>
      <c r="F781" s="27">
        <f>12.7083 * CHOOSE(CONTROL!$C$32, $C$9, 100%, $E$9)</f>
        <v>12.708299999999999</v>
      </c>
      <c r="G781" s="27">
        <f>12.712 * CHOOSE(CONTROL!$C$32, $C$9, 100%, $E$9)</f>
        <v>12.712</v>
      </c>
      <c r="H781" s="27">
        <f>25.7727 * CHOOSE(CONTROL!$C$32, $C$9, 100%, $E$9)</f>
        <v>25.7727</v>
      </c>
      <c r="I781" s="27">
        <f>25.7763 * CHOOSE(CONTROL!$C$32, $C$9, 100%, $E$9)</f>
        <v>25.776299999999999</v>
      </c>
      <c r="J781" s="27">
        <f>25.7727 * CHOOSE(CONTROL!$C$32, $C$9, 100%, $E$9)</f>
        <v>25.7727</v>
      </c>
      <c r="K781" s="27">
        <f>25.7763 * CHOOSE(CONTROL!$C$32, $C$9, 100%, $E$9)</f>
        <v>25.776299999999999</v>
      </c>
      <c r="L781" s="27">
        <f>12.7083 * CHOOSE(CONTROL!$C$32, $C$9, 100%, $E$9)</f>
        <v>12.708299999999999</v>
      </c>
      <c r="M781" s="27">
        <f>12.712 * CHOOSE(CONTROL!$C$32, $C$9, 100%, $E$9)</f>
        <v>12.712</v>
      </c>
      <c r="N781" s="27">
        <f>12.7083 * CHOOSE(CONTROL!$C$32, $C$9, 100%, $E$9)</f>
        <v>12.708299999999999</v>
      </c>
      <c r="O781" s="27">
        <f>12.712 * CHOOSE(CONTROL!$C$32, $C$9, 100%, $E$9)</f>
        <v>12.712</v>
      </c>
    </row>
    <row r="782" spans="1:15" ht="15" x14ac:dyDescent="0.2">
      <c r="A782" s="16">
        <v>64651</v>
      </c>
      <c r="B782" s="26">
        <f>11.4426 * CHOOSE(CONTROL!$C$32, $C$9, 100%, $E$9)</f>
        <v>11.442600000000001</v>
      </c>
      <c r="C782" s="26">
        <f>11.4426 * CHOOSE(CONTROL!$C$32, $C$9, 100%, $E$9)</f>
        <v>11.442600000000001</v>
      </c>
      <c r="D782" s="26">
        <f>11.4436 * CHOOSE(CONTROL!$C$32, $C$9, 100%, $E$9)</f>
        <v>11.4436</v>
      </c>
      <c r="E782" s="27">
        <f>12.858 * CHOOSE(CONTROL!$C$32, $C$9, 100%, $E$9)</f>
        <v>12.858000000000001</v>
      </c>
      <c r="F782" s="27">
        <f>12.858 * CHOOSE(CONTROL!$C$32, $C$9, 100%, $E$9)</f>
        <v>12.858000000000001</v>
      </c>
      <c r="G782" s="27">
        <f>12.8617 * CHOOSE(CONTROL!$C$32, $C$9, 100%, $E$9)</f>
        <v>12.861700000000001</v>
      </c>
      <c r="H782" s="27">
        <f>25.6429 * CHOOSE(CONTROL!$C$32, $C$9, 100%, $E$9)</f>
        <v>25.642900000000001</v>
      </c>
      <c r="I782" s="27">
        <f>25.6465 * CHOOSE(CONTROL!$C$32, $C$9, 100%, $E$9)</f>
        <v>25.6465</v>
      </c>
      <c r="J782" s="27">
        <f>25.6429 * CHOOSE(CONTROL!$C$32, $C$9, 100%, $E$9)</f>
        <v>25.642900000000001</v>
      </c>
      <c r="K782" s="27">
        <f>25.6465 * CHOOSE(CONTROL!$C$32, $C$9, 100%, $E$9)</f>
        <v>25.6465</v>
      </c>
      <c r="L782" s="27">
        <f>12.858 * CHOOSE(CONTROL!$C$32, $C$9, 100%, $E$9)</f>
        <v>12.858000000000001</v>
      </c>
      <c r="M782" s="27">
        <f>12.8617 * CHOOSE(CONTROL!$C$32, $C$9, 100%, $E$9)</f>
        <v>12.861700000000001</v>
      </c>
      <c r="N782" s="27">
        <f>12.858 * CHOOSE(CONTROL!$C$32, $C$9, 100%, $E$9)</f>
        <v>12.858000000000001</v>
      </c>
      <c r="O782" s="27">
        <f>12.8617 * CHOOSE(CONTROL!$C$32, $C$9, 100%, $E$9)</f>
        <v>12.861700000000001</v>
      </c>
    </row>
    <row r="783" spans="1:15" ht="15" x14ac:dyDescent="0.2">
      <c r="A783" s="16">
        <v>64682</v>
      </c>
      <c r="B783" s="26">
        <f>11.4395 * CHOOSE(CONTROL!$C$32, $C$9, 100%, $E$9)</f>
        <v>11.439500000000001</v>
      </c>
      <c r="C783" s="26">
        <f>11.4395 * CHOOSE(CONTROL!$C$32, $C$9, 100%, $E$9)</f>
        <v>11.439500000000001</v>
      </c>
      <c r="D783" s="26">
        <f>11.4406 * CHOOSE(CONTROL!$C$32, $C$9, 100%, $E$9)</f>
        <v>11.4406</v>
      </c>
      <c r="E783" s="27">
        <f>12.5174 * CHOOSE(CONTROL!$C$32, $C$9, 100%, $E$9)</f>
        <v>12.5174</v>
      </c>
      <c r="F783" s="27">
        <f>12.5174 * CHOOSE(CONTROL!$C$32, $C$9, 100%, $E$9)</f>
        <v>12.5174</v>
      </c>
      <c r="G783" s="27">
        <f>12.521 * CHOOSE(CONTROL!$C$32, $C$9, 100%, $E$9)</f>
        <v>12.521000000000001</v>
      </c>
      <c r="H783" s="27">
        <f>25.6963 * CHOOSE(CONTROL!$C$32, $C$9, 100%, $E$9)</f>
        <v>25.696300000000001</v>
      </c>
      <c r="I783" s="27">
        <f>25.6999 * CHOOSE(CONTROL!$C$32, $C$9, 100%, $E$9)</f>
        <v>25.6999</v>
      </c>
      <c r="J783" s="27">
        <f>25.6963 * CHOOSE(CONTROL!$C$32, $C$9, 100%, $E$9)</f>
        <v>25.696300000000001</v>
      </c>
      <c r="K783" s="27">
        <f>25.6999 * CHOOSE(CONTROL!$C$32, $C$9, 100%, $E$9)</f>
        <v>25.6999</v>
      </c>
      <c r="L783" s="27">
        <f>12.5174 * CHOOSE(CONTROL!$C$32, $C$9, 100%, $E$9)</f>
        <v>12.5174</v>
      </c>
      <c r="M783" s="27">
        <f>12.521 * CHOOSE(CONTROL!$C$32, $C$9, 100%, $E$9)</f>
        <v>12.521000000000001</v>
      </c>
      <c r="N783" s="27">
        <f>12.5174 * CHOOSE(CONTROL!$C$32, $C$9, 100%, $E$9)</f>
        <v>12.5174</v>
      </c>
      <c r="O783" s="27">
        <f>12.521 * CHOOSE(CONTROL!$C$32, $C$9, 100%, $E$9)</f>
        <v>12.521000000000001</v>
      </c>
    </row>
    <row r="784" spans="1:15" ht="15" x14ac:dyDescent="0.2">
      <c r="A784" s="16">
        <v>64710</v>
      </c>
      <c r="B784" s="26">
        <f>11.4365 * CHOOSE(CONTROL!$C$32, $C$9, 100%, $E$9)</f>
        <v>11.436500000000001</v>
      </c>
      <c r="C784" s="26">
        <f>11.4365 * CHOOSE(CONTROL!$C$32, $C$9, 100%, $E$9)</f>
        <v>11.436500000000001</v>
      </c>
      <c r="D784" s="26">
        <f>11.4376 * CHOOSE(CONTROL!$C$32, $C$9, 100%, $E$9)</f>
        <v>11.4376</v>
      </c>
      <c r="E784" s="27">
        <f>12.7822 * CHOOSE(CONTROL!$C$32, $C$9, 100%, $E$9)</f>
        <v>12.7822</v>
      </c>
      <c r="F784" s="27">
        <f>12.7822 * CHOOSE(CONTROL!$C$32, $C$9, 100%, $E$9)</f>
        <v>12.7822</v>
      </c>
      <c r="G784" s="27">
        <f>12.7858 * CHOOSE(CONTROL!$C$32, $C$9, 100%, $E$9)</f>
        <v>12.7858</v>
      </c>
      <c r="H784" s="27">
        <f>25.7498 * CHOOSE(CONTROL!$C$32, $C$9, 100%, $E$9)</f>
        <v>25.7498</v>
      </c>
      <c r="I784" s="27">
        <f>25.7534 * CHOOSE(CONTROL!$C$32, $C$9, 100%, $E$9)</f>
        <v>25.753399999999999</v>
      </c>
      <c r="J784" s="27">
        <f>25.7498 * CHOOSE(CONTROL!$C$32, $C$9, 100%, $E$9)</f>
        <v>25.7498</v>
      </c>
      <c r="K784" s="27">
        <f>25.7534 * CHOOSE(CONTROL!$C$32, $C$9, 100%, $E$9)</f>
        <v>25.753399999999999</v>
      </c>
      <c r="L784" s="27">
        <f>12.7822 * CHOOSE(CONTROL!$C$32, $C$9, 100%, $E$9)</f>
        <v>12.7822</v>
      </c>
      <c r="M784" s="27">
        <f>12.7858 * CHOOSE(CONTROL!$C$32, $C$9, 100%, $E$9)</f>
        <v>12.7858</v>
      </c>
      <c r="N784" s="27">
        <f>12.7822 * CHOOSE(CONTROL!$C$32, $C$9, 100%, $E$9)</f>
        <v>12.7822</v>
      </c>
      <c r="O784" s="27">
        <f>12.7858 * CHOOSE(CONTROL!$C$32, $C$9, 100%, $E$9)</f>
        <v>12.7858</v>
      </c>
    </row>
    <row r="785" spans="1:15" ht="15" x14ac:dyDescent="0.2">
      <c r="A785" s="16">
        <v>64741</v>
      </c>
      <c r="B785" s="26">
        <f>11.4414 * CHOOSE(CONTROL!$C$32, $C$9, 100%, $E$9)</f>
        <v>11.4414</v>
      </c>
      <c r="C785" s="26">
        <f>11.4414 * CHOOSE(CONTROL!$C$32, $C$9, 100%, $E$9)</f>
        <v>11.4414</v>
      </c>
      <c r="D785" s="26">
        <f>11.4424 * CHOOSE(CONTROL!$C$32, $C$9, 100%, $E$9)</f>
        <v>11.442399999999999</v>
      </c>
      <c r="E785" s="27">
        <f>13.0645 * CHOOSE(CONTROL!$C$32, $C$9, 100%, $E$9)</f>
        <v>13.064500000000001</v>
      </c>
      <c r="F785" s="27">
        <f>13.0645 * CHOOSE(CONTROL!$C$32, $C$9, 100%, $E$9)</f>
        <v>13.064500000000001</v>
      </c>
      <c r="G785" s="27">
        <f>13.0681 * CHOOSE(CONTROL!$C$32, $C$9, 100%, $E$9)</f>
        <v>13.068099999999999</v>
      </c>
      <c r="H785" s="27">
        <f>25.8035 * CHOOSE(CONTROL!$C$32, $C$9, 100%, $E$9)</f>
        <v>25.8035</v>
      </c>
      <c r="I785" s="27">
        <f>25.8071 * CHOOSE(CONTROL!$C$32, $C$9, 100%, $E$9)</f>
        <v>25.807099999999998</v>
      </c>
      <c r="J785" s="27">
        <f>25.8035 * CHOOSE(CONTROL!$C$32, $C$9, 100%, $E$9)</f>
        <v>25.8035</v>
      </c>
      <c r="K785" s="27">
        <f>25.8071 * CHOOSE(CONTROL!$C$32, $C$9, 100%, $E$9)</f>
        <v>25.807099999999998</v>
      </c>
      <c r="L785" s="27">
        <f>13.0645 * CHOOSE(CONTROL!$C$32, $C$9, 100%, $E$9)</f>
        <v>13.064500000000001</v>
      </c>
      <c r="M785" s="27">
        <f>13.0681 * CHOOSE(CONTROL!$C$32, $C$9, 100%, $E$9)</f>
        <v>13.068099999999999</v>
      </c>
      <c r="N785" s="27">
        <f>13.0645 * CHOOSE(CONTROL!$C$32, $C$9, 100%, $E$9)</f>
        <v>13.064500000000001</v>
      </c>
      <c r="O785" s="27">
        <f>13.0681 * CHOOSE(CONTROL!$C$32, $C$9, 100%, $E$9)</f>
        <v>13.068099999999999</v>
      </c>
    </row>
    <row r="786" spans="1:15" ht="15" x14ac:dyDescent="0.2">
      <c r="A786" s="16">
        <v>64771</v>
      </c>
      <c r="B786" s="26">
        <f>11.4414 * CHOOSE(CONTROL!$C$32, $C$9, 100%, $E$9)</f>
        <v>11.4414</v>
      </c>
      <c r="C786" s="26">
        <f>11.4414 * CHOOSE(CONTROL!$C$32, $C$9, 100%, $E$9)</f>
        <v>11.4414</v>
      </c>
      <c r="D786" s="26">
        <f>11.4429 * CHOOSE(CONTROL!$C$32, $C$9, 100%, $E$9)</f>
        <v>11.4429</v>
      </c>
      <c r="E786" s="27">
        <f>13.172 * CHOOSE(CONTROL!$C$32, $C$9, 100%, $E$9)</f>
        <v>13.172000000000001</v>
      </c>
      <c r="F786" s="27">
        <f>13.172 * CHOOSE(CONTROL!$C$32, $C$9, 100%, $E$9)</f>
        <v>13.172000000000001</v>
      </c>
      <c r="G786" s="27">
        <f>13.1773 * CHOOSE(CONTROL!$C$32, $C$9, 100%, $E$9)</f>
        <v>13.177300000000001</v>
      </c>
      <c r="H786" s="27">
        <f>25.8572 * CHOOSE(CONTROL!$C$32, $C$9, 100%, $E$9)</f>
        <v>25.857199999999999</v>
      </c>
      <c r="I786" s="27">
        <f>25.8625 * CHOOSE(CONTROL!$C$32, $C$9, 100%, $E$9)</f>
        <v>25.862500000000001</v>
      </c>
      <c r="J786" s="27">
        <f>25.8572 * CHOOSE(CONTROL!$C$32, $C$9, 100%, $E$9)</f>
        <v>25.857199999999999</v>
      </c>
      <c r="K786" s="27">
        <f>25.8625 * CHOOSE(CONTROL!$C$32, $C$9, 100%, $E$9)</f>
        <v>25.862500000000001</v>
      </c>
      <c r="L786" s="27">
        <f>13.172 * CHOOSE(CONTROL!$C$32, $C$9, 100%, $E$9)</f>
        <v>13.172000000000001</v>
      </c>
      <c r="M786" s="27">
        <f>13.1773 * CHOOSE(CONTROL!$C$32, $C$9, 100%, $E$9)</f>
        <v>13.177300000000001</v>
      </c>
      <c r="N786" s="27">
        <f>13.172 * CHOOSE(CONTROL!$C$32, $C$9, 100%, $E$9)</f>
        <v>13.172000000000001</v>
      </c>
      <c r="O786" s="27">
        <f>13.1773 * CHOOSE(CONTROL!$C$32, $C$9, 100%, $E$9)</f>
        <v>13.177300000000001</v>
      </c>
    </row>
    <row r="787" spans="1:15" ht="15" x14ac:dyDescent="0.2">
      <c r="A787" s="16">
        <v>64802</v>
      </c>
      <c r="B787" s="26">
        <f>11.4474 * CHOOSE(CONTROL!$C$32, $C$9, 100%, $E$9)</f>
        <v>11.4474</v>
      </c>
      <c r="C787" s="26">
        <f>11.4474 * CHOOSE(CONTROL!$C$32, $C$9, 100%, $E$9)</f>
        <v>11.4474</v>
      </c>
      <c r="D787" s="26">
        <f>11.449 * CHOOSE(CONTROL!$C$32, $C$9, 100%, $E$9)</f>
        <v>11.449</v>
      </c>
      <c r="E787" s="27">
        <f>13.0688 * CHOOSE(CONTROL!$C$32, $C$9, 100%, $E$9)</f>
        <v>13.0688</v>
      </c>
      <c r="F787" s="27">
        <f>13.0688 * CHOOSE(CONTROL!$C$32, $C$9, 100%, $E$9)</f>
        <v>13.0688</v>
      </c>
      <c r="G787" s="27">
        <f>13.074 * CHOOSE(CONTROL!$C$32, $C$9, 100%, $E$9)</f>
        <v>13.074</v>
      </c>
      <c r="H787" s="27">
        <f>25.9111 * CHOOSE(CONTROL!$C$32, $C$9, 100%, $E$9)</f>
        <v>25.911100000000001</v>
      </c>
      <c r="I787" s="27">
        <f>25.9164 * CHOOSE(CONTROL!$C$32, $C$9, 100%, $E$9)</f>
        <v>25.916399999999999</v>
      </c>
      <c r="J787" s="27">
        <f>25.9111 * CHOOSE(CONTROL!$C$32, $C$9, 100%, $E$9)</f>
        <v>25.911100000000001</v>
      </c>
      <c r="K787" s="27">
        <f>25.9164 * CHOOSE(CONTROL!$C$32, $C$9, 100%, $E$9)</f>
        <v>25.916399999999999</v>
      </c>
      <c r="L787" s="27">
        <f>13.0688 * CHOOSE(CONTROL!$C$32, $C$9, 100%, $E$9)</f>
        <v>13.0688</v>
      </c>
      <c r="M787" s="27">
        <f>13.074 * CHOOSE(CONTROL!$C$32, $C$9, 100%, $E$9)</f>
        <v>13.074</v>
      </c>
      <c r="N787" s="27">
        <f>13.0688 * CHOOSE(CONTROL!$C$32, $C$9, 100%, $E$9)</f>
        <v>13.0688</v>
      </c>
      <c r="O787" s="27">
        <f>13.074 * CHOOSE(CONTROL!$C$32, $C$9, 100%, $E$9)</f>
        <v>13.074</v>
      </c>
    </row>
    <row r="788" spans="1:15" ht="15" x14ac:dyDescent="0.2">
      <c r="A788" s="16">
        <v>64832</v>
      </c>
      <c r="B788" s="26">
        <f>11.5877 * CHOOSE(CONTROL!$C$32, $C$9, 100%, $E$9)</f>
        <v>11.5877</v>
      </c>
      <c r="C788" s="26">
        <f>11.5877 * CHOOSE(CONTROL!$C$32, $C$9, 100%, $E$9)</f>
        <v>11.5877</v>
      </c>
      <c r="D788" s="26">
        <f>11.5893 * CHOOSE(CONTROL!$C$32, $C$9, 100%, $E$9)</f>
        <v>11.5893</v>
      </c>
      <c r="E788" s="27">
        <f>13.2529 * CHOOSE(CONTROL!$C$32, $C$9, 100%, $E$9)</f>
        <v>13.2529</v>
      </c>
      <c r="F788" s="27">
        <f>13.2529 * CHOOSE(CONTROL!$C$32, $C$9, 100%, $E$9)</f>
        <v>13.2529</v>
      </c>
      <c r="G788" s="27">
        <f>13.2582 * CHOOSE(CONTROL!$C$32, $C$9, 100%, $E$9)</f>
        <v>13.2582</v>
      </c>
      <c r="H788" s="27">
        <f>25.9651 * CHOOSE(CONTROL!$C$32, $C$9, 100%, $E$9)</f>
        <v>25.9651</v>
      </c>
      <c r="I788" s="27">
        <f>25.9704 * CHOOSE(CONTROL!$C$32, $C$9, 100%, $E$9)</f>
        <v>25.970400000000001</v>
      </c>
      <c r="J788" s="27">
        <f>25.9651 * CHOOSE(CONTROL!$C$32, $C$9, 100%, $E$9)</f>
        <v>25.9651</v>
      </c>
      <c r="K788" s="27">
        <f>25.9704 * CHOOSE(CONTROL!$C$32, $C$9, 100%, $E$9)</f>
        <v>25.970400000000001</v>
      </c>
      <c r="L788" s="27">
        <f>13.2529 * CHOOSE(CONTROL!$C$32, $C$9, 100%, $E$9)</f>
        <v>13.2529</v>
      </c>
      <c r="M788" s="27">
        <f>13.2582 * CHOOSE(CONTROL!$C$32, $C$9, 100%, $E$9)</f>
        <v>13.2582</v>
      </c>
      <c r="N788" s="27">
        <f>13.2529 * CHOOSE(CONTROL!$C$32, $C$9, 100%, $E$9)</f>
        <v>13.2529</v>
      </c>
      <c r="O788" s="27">
        <f>13.2582 * CHOOSE(CONTROL!$C$32, $C$9, 100%, $E$9)</f>
        <v>13.2582</v>
      </c>
    </row>
    <row r="789" spans="1:15" ht="15" x14ac:dyDescent="0.2">
      <c r="A789" s="16">
        <v>64863</v>
      </c>
      <c r="B789" s="26">
        <f>11.5944 * CHOOSE(CONTROL!$C$32, $C$9, 100%, $E$9)</f>
        <v>11.5944</v>
      </c>
      <c r="C789" s="26">
        <f>11.5944 * CHOOSE(CONTROL!$C$32, $C$9, 100%, $E$9)</f>
        <v>11.5944</v>
      </c>
      <c r="D789" s="26">
        <f>11.596 * CHOOSE(CONTROL!$C$32, $C$9, 100%, $E$9)</f>
        <v>11.596</v>
      </c>
      <c r="E789" s="27">
        <f>12.9352 * CHOOSE(CONTROL!$C$32, $C$9, 100%, $E$9)</f>
        <v>12.9352</v>
      </c>
      <c r="F789" s="27">
        <f>12.9352 * CHOOSE(CONTROL!$C$32, $C$9, 100%, $E$9)</f>
        <v>12.9352</v>
      </c>
      <c r="G789" s="27">
        <f>12.9405 * CHOOSE(CONTROL!$C$32, $C$9, 100%, $E$9)</f>
        <v>12.9405</v>
      </c>
      <c r="H789" s="27">
        <f>26.0192 * CHOOSE(CONTROL!$C$32, $C$9, 100%, $E$9)</f>
        <v>26.019200000000001</v>
      </c>
      <c r="I789" s="27">
        <f>26.0245 * CHOOSE(CONTROL!$C$32, $C$9, 100%, $E$9)</f>
        <v>26.0245</v>
      </c>
      <c r="J789" s="27">
        <f>26.0192 * CHOOSE(CONTROL!$C$32, $C$9, 100%, $E$9)</f>
        <v>26.019200000000001</v>
      </c>
      <c r="K789" s="27">
        <f>26.0245 * CHOOSE(CONTROL!$C$32, $C$9, 100%, $E$9)</f>
        <v>26.0245</v>
      </c>
      <c r="L789" s="27">
        <f>12.9352 * CHOOSE(CONTROL!$C$32, $C$9, 100%, $E$9)</f>
        <v>12.9352</v>
      </c>
      <c r="M789" s="27">
        <f>12.9405 * CHOOSE(CONTROL!$C$32, $C$9, 100%, $E$9)</f>
        <v>12.9405</v>
      </c>
      <c r="N789" s="27">
        <f>12.9352 * CHOOSE(CONTROL!$C$32, $C$9, 100%, $E$9)</f>
        <v>12.9352</v>
      </c>
      <c r="O789" s="27">
        <f>12.9405 * CHOOSE(CONTROL!$C$32, $C$9, 100%, $E$9)</f>
        <v>12.9405</v>
      </c>
    </row>
    <row r="790" spans="1:15" ht="15" x14ac:dyDescent="0.2">
      <c r="A790" s="16">
        <v>64894</v>
      </c>
      <c r="B790" s="26">
        <f>11.5913 * CHOOSE(CONTROL!$C$32, $C$9, 100%, $E$9)</f>
        <v>11.5913</v>
      </c>
      <c r="C790" s="26">
        <f>11.5913 * CHOOSE(CONTROL!$C$32, $C$9, 100%, $E$9)</f>
        <v>11.5913</v>
      </c>
      <c r="D790" s="26">
        <f>11.5929 * CHOOSE(CONTROL!$C$32, $C$9, 100%, $E$9)</f>
        <v>11.5929</v>
      </c>
      <c r="E790" s="27">
        <f>12.8972 * CHOOSE(CONTROL!$C$32, $C$9, 100%, $E$9)</f>
        <v>12.8972</v>
      </c>
      <c r="F790" s="27">
        <f>12.8972 * CHOOSE(CONTROL!$C$32, $C$9, 100%, $E$9)</f>
        <v>12.8972</v>
      </c>
      <c r="G790" s="27">
        <f>12.9025 * CHOOSE(CONTROL!$C$32, $C$9, 100%, $E$9)</f>
        <v>12.9025</v>
      </c>
      <c r="H790" s="27">
        <f>26.0734 * CHOOSE(CONTROL!$C$32, $C$9, 100%, $E$9)</f>
        <v>26.073399999999999</v>
      </c>
      <c r="I790" s="27">
        <f>26.0787 * CHOOSE(CONTROL!$C$32, $C$9, 100%, $E$9)</f>
        <v>26.078700000000001</v>
      </c>
      <c r="J790" s="27">
        <f>26.0734 * CHOOSE(CONTROL!$C$32, $C$9, 100%, $E$9)</f>
        <v>26.073399999999999</v>
      </c>
      <c r="K790" s="27">
        <f>26.0787 * CHOOSE(CONTROL!$C$32, $C$9, 100%, $E$9)</f>
        <v>26.078700000000001</v>
      </c>
      <c r="L790" s="27">
        <f>12.8972 * CHOOSE(CONTROL!$C$32, $C$9, 100%, $E$9)</f>
        <v>12.8972</v>
      </c>
      <c r="M790" s="27">
        <f>12.9025 * CHOOSE(CONTROL!$C$32, $C$9, 100%, $E$9)</f>
        <v>12.9025</v>
      </c>
      <c r="N790" s="27">
        <f>12.8972 * CHOOSE(CONTROL!$C$32, $C$9, 100%, $E$9)</f>
        <v>12.8972</v>
      </c>
      <c r="O790" s="27">
        <f>12.9025 * CHOOSE(CONTROL!$C$32, $C$9, 100%, $E$9)</f>
        <v>12.9025</v>
      </c>
    </row>
    <row r="791" spans="1:15" ht="15" x14ac:dyDescent="0.2">
      <c r="A791" s="16">
        <v>64924</v>
      </c>
      <c r="B791" s="26">
        <f>11.6148 * CHOOSE(CONTROL!$C$32, $C$9, 100%, $E$9)</f>
        <v>11.614800000000001</v>
      </c>
      <c r="C791" s="26">
        <f>11.6148 * CHOOSE(CONTROL!$C$32, $C$9, 100%, $E$9)</f>
        <v>11.614800000000001</v>
      </c>
      <c r="D791" s="26">
        <f>11.6158 * CHOOSE(CONTROL!$C$32, $C$9, 100%, $E$9)</f>
        <v>11.6158</v>
      </c>
      <c r="E791" s="27">
        <f>13.0271 * CHOOSE(CONTROL!$C$32, $C$9, 100%, $E$9)</f>
        <v>13.027100000000001</v>
      </c>
      <c r="F791" s="27">
        <f>13.0271 * CHOOSE(CONTROL!$C$32, $C$9, 100%, $E$9)</f>
        <v>13.027100000000001</v>
      </c>
      <c r="G791" s="27">
        <f>13.0307 * CHOOSE(CONTROL!$C$32, $C$9, 100%, $E$9)</f>
        <v>13.0307</v>
      </c>
      <c r="H791" s="27">
        <f>26.1277 * CHOOSE(CONTROL!$C$32, $C$9, 100%, $E$9)</f>
        <v>26.127700000000001</v>
      </c>
      <c r="I791" s="27">
        <f>26.1313 * CHOOSE(CONTROL!$C$32, $C$9, 100%, $E$9)</f>
        <v>26.1313</v>
      </c>
      <c r="J791" s="27">
        <f>26.1277 * CHOOSE(CONTROL!$C$32, $C$9, 100%, $E$9)</f>
        <v>26.127700000000001</v>
      </c>
      <c r="K791" s="27">
        <f>26.1313 * CHOOSE(CONTROL!$C$32, $C$9, 100%, $E$9)</f>
        <v>26.1313</v>
      </c>
      <c r="L791" s="27">
        <f>13.0271 * CHOOSE(CONTROL!$C$32, $C$9, 100%, $E$9)</f>
        <v>13.027100000000001</v>
      </c>
      <c r="M791" s="27">
        <f>13.0307 * CHOOSE(CONTROL!$C$32, $C$9, 100%, $E$9)</f>
        <v>13.0307</v>
      </c>
      <c r="N791" s="27">
        <f>13.0271 * CHOOSE(CONTROL!$C$32, $C$9, 100%, $E$9)</f>
        <v>13.027100000000001</v>
      </c>
      <c r="O791" s="27">
        <f>13.0307 * CHOOSE(CONTROL!$C$32, $C$9, 100%, $E$9)</f>
        <v>13.0307</v>
      </c>
    </row>
    <row r="792" spans="1:15" ht="15" x14ac:dyDescent="0.2">
      <c r="A792" s="16">
        <v>64955</v>
      </c>
      <c r="B792" s="26">
        <f>11.6178 * CHOOSE(CONTROL!$C$32, $C$9, 100%, $E$9)</f>
        <v>11.617800000000001</v>
      </c>
      <c r="C792" s="26">
        <f>11.6178 * CHOOSE(CONTROL!$C$32, $C$9, 100%, $E$9)</f>
        <v>11.617800000000001</v>
      </c>
      <c r="D792" s="26">
        <f>11.6189 * CHOOSE(CONTROL!$C$32, $C$9, 100%, $E$9)</f>
        <v>11.6189</v>
      </c>
      <c r="E792" s="27">
        <f>13.1009 * CHOOSE(CONTROL!$C$32, $C$9, 100%, $E$9)</f>
        <v>13.100899999999999</v>
      </c>
      <c r="F792" s="27">
        <f>13.1009 * CHOOSE(CONTROL!$C$32, $C$9, 100%, $E$9)</f>
        <v>13.100899999999999</v>
      </c>
      <c r="G792" s="27">
        <f>13.1045 * CHOOSE(CONTROL!$C$32, $C$9, 100%, $E$9)</f>
        <v>13.1045</v>
      </c>
      <c r="H792" s="27">
        <f>26.1821 * CHOOSE(CONTROL!$C$32, $C$9, 100%, $E$9)</f>
        <v>26.182099999999998</v>
      </c>
      <c r="I792" s="27">
        <f>26.1857 * CHOOSE(CONTROL!$C$32, $C$9, 100%, $E$9)</f>
        <v>26.185700000000001</v>
      </c>
      <c r="J792" s="27">
        <f>26.1821 * CHOOSE(CONTROL!$C$32, $C$9, 100%, $E$9)</f>
        <v>26.182099999999998</v>
      </c>
      <c r="K792" s="27">
        <f>26.1857 * CHOOSE(CONTROL!$C$32, $C$9, 100%, $E$9)</f>
        <v>26.185700000000001</v>
      </c>
      <c r="L792" s="27">
        <f>13.1009 * CHOOSE(CONTROL!$C$32, $C$9, 100%, $E$9)</f>
        <v>13.100899999999999</v>
      </c>
      <c r="M792" s="27">
        <f>13.1045 * CHOOSE(CONTROL!$C$32, $C$9, 100%, $E$9)</f>
        <v>13.1045</v>
      </c>
      <c r="N792" s="27">
        <f>13.1009 * CHOOSE(CONTROL!$C$32, $C$9, 100%, $E$9)</f>
        <v>13.100899999999999</v>
      </c>
      <c r="O792" s="27">
        <f>13.1045 * CHOOSE(CONTROL!$C$32, $C$9, 100%, $E$9)</f>
        <v>13.1045</v>
      </c>
    </row>
    <row r="793" spans="1:15" ht="15" x14ac:dyDescent="0.2">
      <c r="A793" s="16">
        <v>64985</v>
      </c>
      <c r="B793" s="26">
        <f>11.6178 * CHOOSE(CONTROL!$C$32, $C$9, 100%, $E$9)</f>
        <v>11.617800000000001</v>
      </c>
      <c r="C793" s="26">
        <f>11.6178 * CHOOSE(CONTROL!$C$32, $C$9, 100%, $E$9)</f>
        <v>11.617800000000001</v>
      </c>
      <c r="D793" s="26">
        <f>11.6189 * CHOOSE(CONTROL!$C$32, $C$9, 100%, $E$9)</f>
        <v>11.6189</v>
      </c>
      <c r="E793" s="27">
        <f>12.9218 * CHOOSE(CONTROL!$C$32, $C$9, 100%, $E$9)</f>
        <v>12.921799999999999</v>
      </c>
      <c r="F793" s="27">
        <f>12.9218 * CHOOSE(CONTROL!$C$32, $C$9, 100%, $E$9)</f>
        <v>12.921799999999999</v>
      </c>
      <c r="G793" s="27">
        <f>12.9254 * CHOOSE(CONTROL!$C$32, $C$9, 100%, $E$9)</f>
        <v>12.9254</v>
      </c>
      <c r="H793" s="27">
        <f>26.2367 * CHOOSE(CONTROL!$C$32, $C$9, 100%, $E$9)</f>
        <v>26.236699999999999</v>
      </c>
      <c r="I793" s="27">
        <f>26.2403 * CHOOSE(CONTROL!$C$32, $C$9, 100%, $E$9)</f>
        <v>26.240300000000001</v>
      </c>
      <c r="J793" s="27">
        <f>26.2367 * CHOOSE(CONTROL!$C$32, $C$9, 100%, $E$9)</f>
        <v>26.236699999999999</v>
      </c>
      <c r="K793" s="27">
        <f>26.2403 * CHOOSE(CONTROL!$C$32, $C$9, 100%, $E$9)</f>
        <v>26.240300000000001</v>
      </c>
      <c r="L793" s="27">
        <f>12.9218 * CHOOSE(CONTROL!$C$32, $C$9, 100%, $E$9)</f>
        <v>12.921799999999999</v>
      </c>
      <c r="M793" s="27">
        <f>12.9254 * CHOOSE(CONTROL!$C$32, $C$9, 100%, $E$9)</f>
        <v>12.9254</v>
      </c>
      <c r="N793" s="27">
        <f>12.9218 * CHOOSE(CONTROL!$C$32, $C$9, 100%, $E$9)</f>
        <v>12.921799999999999</v>
      </c>
      <c r="O793" s="27">
        <f>12.9254 * CHOOSE(CONTROL!$C$32, $C$9, 100%, $E$9)</f>
        <v>12.9254</v>
      </c>
    </row>
    <row r="794" spans="1:15" ht="15" x14ac:dyDescent="0.2">
      <c r="A794" s="16">
        <v>65016</v>
      </c>
      <c r="B794" s="26">
        <f>11.6299 * CHOOSE(CONTROL!$C$32, $C$9, 100%, $E$9)</f>
        <v>11.629899999999999</v>
      </c>
      <c r="C794" s="26">
        <f>11.6299 * CHOOSE(CONTROL!$C$32, $C$9, 100%, $E$9)</f>
        <v>11.629899999999999</v>
      </c>
      <c r="D794" s="26">
        <f>11.631 * CHOOSE(CONTROL!$C$32, $C$9, 100%, $E$9)</f>
        <v>11.631</v>
      </c>
      <c r="E794" s="27">
        <f>13.0706 * CHOOSE(CONTROL!$C$32, $C$9, 100%, $E$9)</f>
        <v>13.070600000000001</v>
      </c>
      <c r="F794" s="27">
        <f>13.0706 * CHOOSE(CONTROL!$C$32, $C$9, 100%, $E$9)</f>
        <v>13.070600000000001</v>
      </c>
      <c r="G794" s="27">
        <f>13.0742 * CHOOSE(CONTROL!$C$32, $C$9, 100%, $E$9)</f>
        <v>13.074199999999999</v>
      </c>
      <c r="H794" s="27">
        <f>26.0964 * CHOOSE(CONTROL!$C$32, $C$9, 100%, $E$9)</f>
        <v>26.096399999999999</v>
      </c>
      <c r="I794" s="27">
        <f>26.1 * CHOOSE(CONTROL!$C$32, $C$9, 100%, $E$9)</f>
        <v>26.1</v>
      </c>
      <c r="J794" s="27">
        <f>26.0964 * CHOOSE(CONTROL!$C$32, $C$9, 100%, $E$9)</f>
        <v>26.096399999999999</v>
      </c>
      <c r="K794" s="27">
        <f>26.1 * CHOOSE(CONTROL!$C$32, $C$9, 100%, $E$9)</f>
        <v>26.1</v>
      </c>
      <c r="L794" s="27">
        <f>13.0706 * CHOOSE(CONTROL!$C$32, $C$9, 100%, $E$9)</f>
        <v>13.070600000000001</v>
      </c>
      <c r="M794" s="27">
        <f>13.0742 * CHOOSE(CONTROL!$C$32, $C$9, 100%, $E$9)</f>
        <v>13.074199999999999</v>
      </c>
      <c r="N794" s="27">
        <f>13.0706 * CHOOSE(CONTROL!$C$32, $C$9, 100%, $E$9)</f>
        <v>13.070600000000001</v>
      </c>
      <c r="O794" s="27">
        <f>13.0742 * CHOOSE(CONTROL!$C$32, $C$9, 100%, $E$9)</f>
        <v>13.074199999999999</v>
      </c>
    </row>
    <row r="795" spans="1:15" ht="15" x14ac:dyDescent="0.2">
      <c r="A795" s="16">
        <v>65047</v>
      </c>
      <c r="B795" s="26">
        <f>11.6269 * CHOOSE(CONTROL!$C$32, $C$9, 100%, $E$9)</f>
        <v>11.626899999999999</v>
      </c>
      <c r="C795" s="26">
        <f>11.6269 * CHOOSE(CONTROL!$C$32, $C$9, 100%, $E$9)</f>
        <v>11.626899999999999</v>
      </c>
      <c r="D795" s="26">
        <f>11.628 * CHOOSE(CONTROL!$C$32, $C$9, 100%, $E$9)</f>
        <v>11.628</v>
      </c>
      <c r="E795" s="27">
        <f>12.7228 * CHOOSE(CONTROL!$C$32, $C$9, 100%, $E$9)</f>
        <v>12.722799999999999</v>
      </c>
      <c r="F795" s="27">
        <f>12.7228 * CHOOSE(CONTROL!$C$32, $C$9, 100%, $E$9)</f>
        <v>12.722799999999999</v>
      </c>
      <c r="G795" s="27">
        <f>12.7265 * CHOOSE(CONTROL!$C$32, $C$9, 100%, $E$9)</f>
        <v>12.7265</v>
      </c>
      <c r="H795" s="27">
        <f>26.1507 * CHOOSE(CONTROL!$C$32, $C$9, 100%, $E$9)</f>
        <v>26.150700000000001</v>
      </c>
      <c r="I795" s="27">
        <f>26.1543 * CHOOSE(CONTROL!$C$32, $C$9, 100%, $E$9)</f>
        <v>26.154299999999999</v>
      </c>
      <c r="J795" s="27">
        <f>26.1507 * CHOOSE(CONTROL!$C$32, $C$9, 100%, $E$9)</f>
        <v>26.150700000000001</v>
      </c>
      <c r="K795" s="27">
        <f>26.1543 * CHOOSE(CONTROL!$C$32, $C$9, 100%, $E$9)</f>
        <v>26.154299999999999</v>
      </c>
      <c r="L795" s="27">
        <f>12.7228 * CHOOSE(CONTROL!$C$32, $C$9, 100%, $E$9)</f>
        <v>12.722799999999999</v>
      </c>
      <c r="M795" s="27">
        <f>12.7265 * CHOOSE(CONTROL!$C$32, $C$9, 100%, $E$9)</f>
        <v>12.7265</v>
      </c>
      <c r="N795" s="27">
        <f>12.7228 * CHOOSE(CONTROL!$C$32, $C$9, 100%, $E$9)</f>
        <v>12.722799999999999</v>
      </c>
      <c r="O795" s="27">
        <f>12.7265 * CHOOSE(CONTROL!$C$32, $C$9, 100%, $E$9)</f>
        <v>12.7265</v>
      </c>
    </row>
    <row r="796" spans="1:15" ht="15" x14ac:dyDescent="0.2">
      <c r="A796" s="16">
        <v>65075</v>
      </c>
      <c r="B796" s="26">
        <f>11.6239 * CHOOSE(CONTROL!$C$32, $C$9, 100%, $E$9)</f>
        <v>11.623900000000001</v>
      </c>
      <c r="C796" s="26">
        <f>11.6239 * CHOOSE(CONTROL!$C$32, $C$9, 100%, $E$9)</f>
        <v>11.623900000000001</v>
      </c>
      <c r="D796" s="26">
        <f>11.6249 * CHOOSE(CONTROL!$C$32, $C$9, 100%, $E$9)</f>
        <v>11.6249</v>
      </c>
      <c r="E796" s="27">
        <f>12.9932 * CHOOSE(CONTROL!$C$32, $C$9, 100%, $E$9)</f>
        <v>12.9932</v>
      </c>
      <c r="F796" s="27">
        <f>12.9932 * CHOOSE(CONTROL!$C$32, $C$9, 100%, $E$9)</f>
        <v>12.9932</v>
      </c>
      <c r="G796" s="27">
        <f>12.9968 * CHOOSE(CONTROL!$C$32, $C$9, 100%, $E$9)</f>
        <v>12.9968</v>
      </c>
      <c r="H796" s="27">
        <f>26.2052 * CHOOSE(CONTROL!$C$32, $C$9, 100%, $E$9)</f>
        <v>26.205200000000001</v>
      </c>
      <c r="I796" s="27">
        <f>26.2088 * CHOOSE(CONTROL!$C$32, $C$9, 100%, $E$9)</f>
        <v>26.2088</v>
      </c>
      <c r="J796" s="27">
        <f>26.2052 * CHOOSE(CONTROL!$C$32, $C$9, 100%, $E$9)</f>
        <v>26.205200000000001</v>
      </c>
      <c r="K796" s="27">
        <f>26.2088 * CHOOSE(CONTROL!$C$32, $C$9, 100%, $E$9)</f>
        <v>26.2088</v>
      </c>
      <c r="L796" s="27">
        <f>12.9932 * CHOOSE(CONTROL!$C$32, $C$9, 100%, $E$9)</f>
        <v>12.9932</v>
      </c>
      <c r="M796" s="27">
        <f>12.9968 * CHOOSE(CONTROL!$C$32, $C$9, 100%, $E$9)</f>
        <v>12.9968</v>
      </c>
      <c r="N796" s="27">
        <f>12.9932 * CHOOSE(CONTROL!$C$32, $C$9, 100%, $E$9)</f>
        <v>12.9932</v>
      </c>
      <c r="O796" s="27">
        <f>12.9968 * CHOOSE(CONTROL!$C$32, $C$9, 100%, $E$9)</f>
        <v>12.9968</v>
      </c>
    </row>
    <row r="797" spans="1:15" ht="15" x14ac:dyDescent="0.2">
      <c r="A797" s="16">
        <v>65106</v>
      </c>
      <c r="B797" s="26">
        <f>11.6289 * CHOOSE(CONTROL!$C$32, $C$9, 100%, $E$9)</f>
        <v>11.6289</v>
      </c>
      <c r="C797" s="26">
        <f>11.6289 * CHOOSE(CONTROL!$C$32, $C$9, 100%, $E$9)</f>
        <v>11.6289</v>
      </c>
      <c r="D797" s="26">
        <f>11.63 * CHOOSE(CONTROL!$C$32, $C$9, 100%, $E$9)</f>
        <v>11.63</v>
      </c>
      <c r="E797" s="27">
        <f>13.2815 * CHOOSE(CONTROL!$C$32, $C$9, 100%, $E$9)</f>
        <v>13.281499999999999</v>
      </c>
      <c r="F797" s="27">
        <f>13.2815 * CHOOSE(CONTROL!$C$32, $C$9, 100%, $E$9)</f>
        <v>13.281499999999999</v>
      </c>
      <c r="G797" s="27">
        <f>13.2851 * CHOOSE(CONTROL!$C$32, $C$9, 100%, $E$9)</f>
        <v>13.2851</v>
      </c>
      <c r="H797" s="27">
        <f>26.2598 * CHOOSE(CONTROL!$C$32, $C$9, 100%, $E$9)</f>
        <v>26.259799999999998</v>
      </c>
      <c r="I797" s="27">
        <f>26.2634 * CHOOSE(CONTROL!$C$32, $C$9, 100%, $E$9)</f>
        <v>26.263400000000001</v>
      </c>
      <c r="J797" s="27">
        <f>26.2598 * CHOOSE(CONTROL!$C$32, $C$9, 100%, $E$9)</f>
        <v>26.259799999999998</v>
      </c>
      <c r="K797" s="27">
        <f>26.2634 * CHOOSE(CONTROL!$C$32, $C$9, 100%, $E$9)</f>
        <v>26.263400000000001</v>
      </c>
      <c r="L797" s="27">
        <f>13.2815 * CHOOSE(CONTROL!$C$32, $C$9, 100%, $E$9)</f>
        <v>13.281499999999999</v>
      </c>
      <c r="M797" s="27">
        <f>13.2851 * CHOOSE(CONTROL!$C$32, $C$9, 100%, $E$9)</f>
        <v>13.2851</v>
      </c>
      <c r="N797" s="27">
        <f>13.2815 * CHOOSE(CONTROL!$C$32, $C$9, 100%, $E$9)</f>
        <v>13.281499999999999</v>
      </c>
      <c r="O797" s="27">
        <f>13.2851 * CHOOSE(CONTROL!$C$32, $C$9, 100%, $E$9)</f>
        <v>13.2851</v>
      </c>
    </row>
    <row r="798" spans="1:15" ht="15" x14ac:dyDescent="0.2">
      <c r="A798" s="16">
        <v>65136</v>
      </c>
      <c r="B798" s="26">
        <f>11.6289 * CHOOSE(CONTROL!$C$32, $C$9, 100%, $E$9)</f>
        <v>11.6289</v>
      </c>
      <c r="C798" s="26">
        <f>11.6289 * CHOOSE(CONTROL!$C$32, $C$9, 100%, $E$9)</f>
        <v>11.6289</v>
      </c>
      <c r="D798" s="26">
        <f>11.6305 * CHOOSE(CONTROL!$C$32, $C$9, 100%, $E$9)</f>
        <v>11.6305</v>
      </c>
      <c r="E798" s="27">
        <f>13.3912 * CHOOSE(CONTROL!$C$32, $C$9, 100%, $E$9)</f>
        <v>13.3912</v>
      </c>
      <c r="F798" s="27">
        <f>13.3912 * CHOOSE(CONTROL!$C$32, $C$9, 100%, $E$9)</f>
        <v>13.3912</v>
      </c>
      <c r="G798" s="27">
        <f>13.3965 * CHOOSE(CONTROL!$C$32, $C$9, 100%, $E$9)</f>
        <v>13.3965</v>
      </c>
      <c r="H798" s="27">
        <f>26.3145 * CHOOSE(CONTROL!$C$32, $C$9, 100%, $E$9)</f>
        <v>26.314499999999999</v>
      </c>
      <c r="I798" s="27">
        <f>26.3198 * CHOOSE(CONTROL!$C$32, $C$9, 100%, $E$9)</f>
        <v>26.319800000000001</v>
      </c>
      <c r="J798" s="27">
        <f>26.3145 * CHOOSE(CONTROL!$C$32, $C$9, 100%, $E$9)</f>
        <v>26.314499999999999</v>
      </c>
      <c r="K798" s="27">
        <f>26.3198 * CHOOSE(CONTROL!$C$32, $C$9, 100%, $E$9)</f>
        <v>26.319800000000001</v>
      </c>
      <c r="L798" s="27">
        <f>13.3912 * CHOOSE(CONTROL!$C$32, $C$9, 100%, $E$9)</f>
        <v>13.3912</v>
      </c>
      <c r="M798" s="27">
        <f>13.3965 * CHOOSE(CONTROL!$C$32, $C$9, 100%, $E$9)</f>
        <v>13.3965</v>
      </c>
      <c r="N798" s="27">
        <f>13.3912 * CHOOSE(CONTROL!$C$32, $C$9, 100%, $E$9)</f>
        <v>13.3912</v>
      </c>
      <c r="O798" s="27">
        <f>13.3965 * CHOOSE(CONTROL!$C$32, $C$9, 100%, $E$9)</f>
        <v>13.3965</v>
      </c>
    </row>
    <row r="799" spans="1:15" ht="15" x14ac:dyDescent="0.2">
      <c r="A799" s="16">
        <v>65167</v>
      </c>
      <c r="B799" s="26">
        <f>11.635 * CHOOSE(CONTROL!$C$32, $C$9, 100%, $E$9)</f>
        <v>11.635</v>
      </c>
      <c r="C799" s="26">
        <f>11.635 * CHOOSE(CONTROL!$C$32, $C$9, 100%, $E$9)</f>
        <v>11.635</v>
      </c>
      <c r="D799" s="26">
        <f>11.6366 * CHOOSE(CONTROL!$C$32, $C$9, 100%, $E$9)</f>
        <v>11.6366</v>
      </c>
      <c r="E799" s="27">
        <f>13.2858 * CHOOSE(CONTROL!$C$32, $C$9, 100%, $E$9)</f>
        <v>13.2858</v>
      </c>
      <c r="F799" s="27">
        <f>13.2858 * CHOOSE(CONTROL!$C$32, $C$9, 100%, $E$9)</f>
        <v>13.2858</v>
      </c>
      <c r="G799" s="27">
        <f>13.2911 * CHOOSE(CONTROL!$C$32, $C$9, 100%, $E$9)</f>
        <v>13.2911</v>
      </c>
      <c r="H799" s="27">
        <f>26.3693 * CHOOSE(CONTROL!$C$32, $C$9, 100%, $E$9)</f>
        <v>26.369299999999999</v>
      </c>
      <c r="I799" s="27">
        <f>26.3746 * CHOOSE(CONTROL!$C$32, $C$9, 100%, $E$9)</f>
        <v>26.374600000000001</v>
      </c>
      <c r="J799" s="27">
        <f>26.3693 * CHOOSE(CONTROL!$C$32, $C$9, 100%, $E$9)</f>
        <v>26.369299999999999</v>
      </c>
      <c r="K799" s="27">
        <f>26.3746 * CHOOSE(CONTROL!$C$32, $C$9, 100%, $E$9)</f>
        <v>26.374600000000001</v>
      </c>
      <c r="L799" s="27">
        <f>13.2858 * CHOOSE(CONTROL!$C$32, $C$9, 100%, $E$9)</f>
        <v>13.2858</v>
      </c>
      <c r="M799" s="27">
        <f>13.2911 * CHOOSE(CONTROL!$C$32, $C$9, 100%, $E$9)</f>
        <v>13.2911</v>
      </c>
      <c r="N799" s="27">
        <f>13.2858 * CHOOSE(CONTROL!$C$32, $C$9, 100%, $E$9)</f>
        <v>13.2858</v>
      </c>
      <c r="O799" s="27">
        <f>13.2911 * CHOOSE(CONTROL!$C$32, $C$9, 100%, $E$9)</f>
        <v>13.2911</v>
      </c>
    </row>
    <row r="800" spans="1:15" ht="15" x14ac:dyDescent="0.2">
      <c r="A800" s="16">
        <v>65197</v>
      </c>
      <c r="B800" s="26">
        <f>11.7773 * CHOOSE(CONTROL!$C$32, $C$9, 100%, $E$9)</f>
        <v>11.7773</v>
      </c>
      <c r="C800" s="26">
        <f>11.7773 * CHOOSE(CONTROL!$C$32, $C$9, 100%, $E$9)</f>
        <v>11.7773</v>
      </c>
      <c r="D800" s="26">
        <f>11.7789 * CHOOSE(CONTROL!$C$32, $C$9, 100%, $E$9)</f>
        <v>11.7789</v>
      </c>
      <c r="E800" s="27">
        <f>13.4731 * CHOOSE(CONTROL!$C$32, $C$9, 100%, $E$9)</f>
        <v>13.473100000000001</v>
      </c>
      <c r="F800" s="27">
        <f>13.4731 * CHOOSE(CONTROL!$C$32, $C$9, 100%, $E$9)</f>
        <v>13.473100000000001</v>
      </c>
      <c r="G800" s="27">
        <f>13.4784 * CHOOSE(CONTROL!$C$32, $C$9, 100%, $E$9)</f>
        <v>13.478400000000001</v>
      </c>
      <c r="H800" s="27">
        <f>26.4243 * CHOOSE(CONTROL!$C$32, $C$9, 100%, $E$9)</f>
        <v>26.424299999999999</v>
      </c>
      <c r="I800" s="27">
        <f>26.4296 * CHOOSE(CONTROL!$C$32, $C$9, 100%, $E$9)</f>
        <v>26.429600000000001</v>
      </c>
      <c r="J800" s="27">
        <f>26.4243 * CHOOSE(CONTROL!$C$32, $C$9, 100%, $E$9)</f>
        <v>26.424299999999999</v>
      </c>
      <c r="K800" s="27">
        <f>26.4296 * CHOOSE(CONTROL!$C$32, $C$9, 100%, $E$9)</f>
        <v>26.429600000000001</v>
      </c>
      <c r="L800" s="27">
        <f>13.4731 * CHOOSE(CONTROL!$C$32, $C$9, 100%, $E$9)</f>
        <v>13.473100000000001</v>
      </c>
      <c r="M800" s="27">
        <f>13.4784 * CHOOSE(CONTROL!$C$32, $C$9, 100%, $E$9)</f>
        <v>13.478400000000001</v>
      </c>
      <c r="N800" s="27">
        <f>13.4731 * CHOOSE(CONTROL!$C$32, $C$9, 100%, $E$9)</f>
        <v>13.473100000000001</v>
      </c>
      <c r="O800" s="27">
        <f>13.4784 * CHOOSE(CONTROL!$C$32, $C$9, 100%, $E$9)</f>
        <v>13.478400000000001</v>
      </c>
    </row>
    <row r="801" spans="1:15" ht="15" x14ac:dyDescent="0.2">
      <c r="A801" s="16">
        <v>65228</v>
      </c>
      <c r="B801" s="26">
        <f>11.784 * CHOOSE(CONTROL!$C$32, $C$9, 100%, $E$9)</f>
        <v>11.784000000000001</v>
      </c>
      <c r="C801" s="26">
        <f>11.784 * CHOOSE(CONTROL!$C$32, $C$9, 100%, $E$9)</f>
        <v>11.784000000000001</v>
      </c>
      <c r="D801" s="26">
        <f>11.7856 * CHOOSE(CONTROL!$C$32, $C$9, 100%, $E$9)</f>
        <v>11.785600000000001</v>
      </c>
      <c r="E801" s="27">
        <f>13.1486 * CHOOSE(CONTROL!$C$32, $C$9, 100%, $E$9)</f>
        <v>13.1486</v>
      </c>
      <c r="F801" s="27">
        <f>13.1486 * CHOOSE(CONTROL!$C$32, $C$9, 100%, $E$9)</f>
        <v>13.1486</v>
      </c>
      <c r="G801" s="27">
        <f>13.1539 * CHOOSE(CONTROL!$C$32, $C$9, 100%, $E$9)</f>
        <v>13.1539</v>
      </c>
      <c r="H801" s="27">
        <f>26.4793 * CHOOSE(CONTROL!$C$32, $C$9, 100%, $E$9)</f>
        <v>26.479299999999999</v>
      </c>
      <c r="I801" s="27">
        <f>26.4846 * CHOOSE(CONTROL!$C$32, $C$9, 100%, $E$9)</f>
        <v>26.4846</v>
      </c>
      <c r="J801" s="27">
        <f>26.4793 * CHOOSE(CONTROL!$C$32, $C$9, 100%, $E$9)</f>
        <v>26.479299999999999</v>
      </c>
      <c r="K801" s="27">
        <f>26.4846 * CHOOSE(CONTROL!$C$32, $C$9, 100%, $E$9)</f>
        <v>26.4846</v>
      </c>
      <c r="L801" s="27">
        <f>13.1486 * CHOOSE(CONTROL!$C$32, $C$9, 100%, $E$9)</f>
        <v>13.1486</v>
      </c>
      <c r="M801" s="27">
        <f>13.1539 * CHOOSE(CONTROL!$C$32, $C$9, 100%, $E$9)</f>
        <v>13.1539</v>
      </c>
      <c r="N801" s="27">
        <f>13.1486 * CHOOSE(CONTROL!$C$32, $C$9, 100%, $E$9)</f>
        <v>13.1486</v>
      </c>
      <c r="O801" s="27">
        <f>13.1539 * CHOOSE(CONTROL!$C$32, $C$9, 100%, $E$9)</f>
        <v>13.1539</v>
      </c>
    </row>
    <row r="802" spans="1:15" ht="15" x14ac:dyDescent="0.2">
      <c r="A802" s="16">
        <v>65259</v>
      </c>
      <c r="B802" s="26">
        <f>11.7809 * CHOOSE(CONTROL!$C$32, $C$9, 100%, $E$9)</f>
        <v>11.780900000000001</v>
      </c>
      <c r="C802" s="26">
        <f>11.7809 * CHOOSE(CONTROL!$C$32, $C$9, 100%, $E$9)</f>
        <v>11.780900000000001</v>
      </c>
      <c r="D802" s="26">
        <f>11.7825 * CHOOSE(CONTROL!$C$32, $C$9, 100%, $E$9)</f>
        <v>11.782500000000001</v>
      </c>
      <c r="E802" s="27">
        <f>13.1099 * CHOOSE(CONTROL!$C$32, $C$9, 100%, $E$9)</f>
        <v>13.1099</v>
      </c>
      <c r="F802" s="27">
        <f>13.1099 * CHOOSE(CONTROL!$C$32, $C$9, 100%, $E$9)</f>
        <v>13.1099</v>
      </c>
      <c r="G802" s="27">
        <f>13.1152 * CHOOSE(CONTROL!$C$32, $C$9, 100%, $E$9)</f>
        <v>13.1152</v>
      </c>
      <c r="H802" s="27">
        <f>26.5345 * CHOOSE(CONTROL!$C$32, $C$9, 100%, $E$9)</f>
        <v>26.534500000000001</v>
      </c>
      <c r="I802" s="27">
        <f>26.5398 * CHOOSE(CONTROL!$C$32, $C$9, 100%, $E$9)</f>
        <v>26.5398</v>
      </c>
      <c r="J802" s="27">
        <f>26.5345 * CHOOSE(CONTROL!$C$32, $C$9, 100%, $E$9)</f>
        <v>26.534500000000001</v>
      </c>
      <c r="K802" s="27">
        <f>26.5398 * CHOOSE(CONTROL!$C$32, $C$9, 100%, $E$9)</f>
        <v>26.5398</v>
      </c>
      <c r="L802" s="27">
        <f>13.1099 * CHOOSE(CONTROL!$C$32, $C$9, 100%, $E$9)</f>
        <v>13.1099</v>
      </c>
      <c r="M802" s="27">
        <f>13.1152 * CHOOSE(CONTROL!$C$32, $C$9, 100%, $E$9)</f>
        <v>13.1152</v>
      </c>
      <c r="N802" s="27">
        <f>13.1099 * CHOOSE(CONTROL!$C$32, $C$9, 100%, $E$9)</f>
        <v>13.1099</v>
      </c>
      <c r="O802" s="27">
        <f>13.1152 * CHOOSE(CONTROL!$C$32, $C$9, 100%, $E$9)</f>
        <v>13.1152</v>
      </c>
    </row>
    <row r="803" spans="1:15" ht="15" x14ac:dyDescent="0.2">
      <c r="A803" s="16">
        <v>65289</v>
      </c>
      <c r="B803" s="26">
        <f>11.8051 * CHOOSE(CONTROL!$C$32, $C$9, 100%, $E$9)</f>
        <v>11.805099999999999</v>
      </c>
      <c r="C803" s="26">
        <f>11.8051 * CHOOSE(CONTROL!$C$32, $C$9, 100%, $E$9)</f>
        <v>11.805099999999999</v>
      </c>
      <c r="D803" s="26">
        <f>11.8062 * CHOOSE(CONTROL!$C$32, $C$9, 100%, $E$9)</f>
        <v>11.8062</v>
      </c>
      <c r="E803" s="27">
        <f>13.2428 * CHOOSE(CONTROL!$C$32, $C$9, 100%, $E$9)</f>
        <v>13.242800000000001</v>
      </c>
      <c r="F803" s="27">
        <f>13.2428 * CHOOSE(CONTROL!$C$32, $C$9, 100%, $E$9)</f>
        <v>13.242800000000001</v>
      </c>
      <c r="G803" s="27">
        <f>13.2464 * CHOOSE(CONTROL!$C$32, $C$9, 100%, $E$9)</f>
        <v>13.2464</v>
      </c>
      <c r="H803" s="27">
        <f>26.5898 * CHOOSE(CONTROL!$C$32, $C$9, 100%, $E$9)</f>
        <v>26.5898</v>
      </c>
      <c r="I803" s="27">
        <f>26.5934 * CHOOSE(CONTROL!$C$32, $C$9, 100%, $E$9)</f>
        <v>26.593399999999999</v>
      </c>
      <c r="J803" s="27">
        <f>26.5898 * CHOOSE(CONTROL!$C$32, $C$9, 100%, $E$9)</f>
        <v>26.5898</v>
      </c>
      <c r="K803" s="27">
        <f>26.5934 * CHOOSE(CONTROL!$C$32, $C$9, 100%, $E$9)</f>
        <v>26.593399999999999</v>
      </c>
      <c r="L803" s="27">
        <f>13.2428 * CHOOSE(CONTROL!$C$32, $C$9, 100%, $E$9)</f>
        <v>13.242800000000001</v>
      </c>
      <c r="M803" s="27">
        <f>13.2464 * CHOOSE(CONTROL!$C$32, $C$9, 100%, $E$9)</f>
        <v>13.2464</v>
      </c>
      <c r="N803" s="27">
        <f>13.2428 * CHOOSE(CONTROL!$C$32, $C$9, 100%, $E$9)</f>
        <v>13.242800000000001</v>
      </c>
      <c r="O803" s="27">
        <f>13.2464 * CHOOSE(CONTROL!$C$32, $C$9, 100%, $E$9)</f>
        <v>13.2464</v>
      </c>
    </row>
    <row r="804" spans="1:15" ht="15" x14ac:dyDescent="0.2">
      <c r="A804" s="16">
        <v>65320</v>
      </c>
      <c r="B804" s="26">
        <f>11.8081 * CHOOSE(CONTROL!$C$32, $C$9, 100%, $E$9)</f>
        <v>11.8081</v>
      </c>
      <c r="C804" s="26">
        <f>11.8081 * CHOOSE(CONTROL!$C$32, $C$9, 100%, $E$9)</f>
        <v>11.8081</v>
      </c>
      <c r="D804" s="26">
        <f>11.8092 * CHOOSE(CONTROL!$C$32, $C$9, 100%, $E$9)</f>
        <v>11.809200000000001</v>
      </c>
      <c r="E804" s="27">
        <f>13.3181 * CHOOSE(CONTROL!$C$32, $C$9, 100%, $E$9)</f>
        <v>13.318099999999999</v>
      </c>
      <c r="F804" s="27">
        <f>13.3181 * CHOOSE(CONTROL!$C$32, $C$9, 100%, $E$9)</f>
        <v>13.318099999999999</v>
      </c>
      <c r="G804" s="27">
        <f>13.3217 * CHOOSE(CONTROL!$C$32, $C$9, 100%, $E$9)</f>
        <v>13.3217</v>
      </c>
      <c r="H804" s="27">
        <f>26.6452 * CHOOSE(CONTROL!$C$32, $C$9, 100%, $E$9)</f>
        <v>26.645199999999999</v>
      </c>
      <c r="I804" s="27">
        <f>26.6488 * CHOOSE(CONTROL!$C$32, $C$9, 100%, $E$9)</f>
        <v>26.648800000000001</v>
      </c>
      <c r="J804" s="27">
        <f>26.6452 * CHOOSE(CONTROL!$C$32, $C$9, 100%, $E$9)</f>
        <v>26.645199999999999</v>
      </c>
      <c r="K804" s="27">
        <f>26.6488 * CHOOSE(CONTROL!$C$32, $C$9, 100%, $E$9)</f>
        <v>26.648800000000001</v>
      </c>
      <c r="L804" s="27">
        <f>13.3181 * CHOOSE(CONTROL!$C$32, $C$9, 100%, $E$9)</f>
        <v>13.318099999999999</v>
      </c>
      <c r="M804" s="27">
        <f>13.3217 * CHOOSE(CONTROL!$C$32, $C$9, 100%, $E$9)</f>
        <v>13.3217</v>
      </c>
      <c r="N804" s="27">
        <f>13.3181 * CHOOSE(CONTROL!$C$32, $C$9, 100%, $E$9)</f>
        <v>13.318099999999999</v>
      </c>
      <c r="O804" s="27">
        <f>13.3217 * CHOOSE(CONTROL!$C$32, $C$9, 100%, $E$9)</f>
        <v>13.3217</v>
      </c>
    </row>
    <row r="805" spans="1:15" ht="15" x14ac:dyDescent="0.2">
      <c r="A805" s="16">
        <v>65350</v>
      </c>
      <c r="B805" s="26">
        <f>11.8081 * CHOOSE(CONTROL!$C$32, $C$9, 100%, $E$9)</f>
        <v>11.8081</v>
      </c>
      <c r="C805" s="26">
        <f>11.8081 * CHOOSE(CONTROL!$C$32, $C$9, 100%, $E$9)</f>
        <v>11.8081</v>
      </c>
      <c r="D805" s="26">
        <f>11.8092 * CHOOSE(CONTROL!$C$32, $C$9, 100%, $E$9)</f>
        <v>11.809200000000001</v>
      </c>
      <c r="E805" s="27">
        <f>13.1352 * CHOOSE(CONTROL!$C$32, $C$9, 100%, $E$9)</f>
        <v>13.135199999999999</v>
      </c>
      <c r="F805" s="27">
        <f>13.1352 * CHOOSE(CONTROL!$C$32, $C$9, 100%, $E$9)</f>
        <v>13.135199999999999</v>
      </c>
      <c r="G805" s="27">
        <f>13.1388 * CHOOSE(CONTROL!$C$32, $C$9, 100%, $E$9)</f>
        <v>13.1388</v>
      </c>
      <c r="H805" s="27">
        <f>26.7007 * CHOOSE(CONTROL!$C$32, $C$9, 100%, $E$9)</f>
        <v>26.700700000000001</v>
      </c>
      <c r="I805" s="27">
        <f>26.7043 * CHOOSE(CONTROL!$C$32, $C$9, 100%, $E$9)</f>
        <v>26.7043</v>
      </c>
      <c r="J805" s="27">
        <f>26.7007 * CHOOSE(CONTROL!$C$32, $C$9, 100%, $E$9)</f>
        <v>26.700700000000001</v>
      </c>
      <c r="K805" s="27">
        <f>26.7043 * CHOOSE(CONTROL!$C$32, $C$9, 100%, $E$9)</f>
        <v>26.7043</v>
      </c>
      <c r="L805" s="27">
        <f>13.1352 * CHOOSE(CONTROL!$C$32, $C$9, 100%, $E$9)</f>
        <v>13.135199999999999</v>
      </c>
      <c r="M805" s="27">
        <f>13.1388 * CHOOSE(CONTROL!$C$32, $C$9, 100%, $E$9)</f>
        <v>13.1388</v>
      </c>
      <c r="N805" s="27">
        <f>13.1352 * CHOOSE(CONTROL!$C$32, $C$9, 100%, $E$9)</f>
        <v>13.135199999999999</v>
      </c>
      <c r="O805" s="27">
        <f>13.1388 * CHOOSE(CONTROL!$C$32, $C$9, 100%, $E$9)</f>
        <v>13.1388</v>
      </c>
    </row>
    <row r="806" spans="1:15" ht="15" x14ac:dyDescent="0.2">
      <c r="A806" s="16">
        <v>65381</v>
      </c>
      <c r="B806" s="26">
        <f>11.8173 * CHOOSE(CONTROL!$C$32, $C$9, 100%, $E$9)</f>
        <v>11.817299999999999</v>
      </c>
      <c r="C806" s="26">
        <f>11.8173 * CHOOSE(CONTROL!$C$32, $C$9, 100%, $E$9)</f>
        <v>11.817299999999999</v>
      </c>
      <c r="D806" s="26">
        <f>11.8184 * CHOOSE(CONTROL!$C$32, $C$9, 100%, $E$9)</f>
        <v>11.8184</v>
      </c>
      <c r="E806" s="27">
        <f>13.2831 * CHOOSE(CONTROL!$C$32, $C$9, 100%, $E$9)</f>
        <v>13.283099999999999</v>
      </c>
      <c r="F806" s="27">
        <f>13.2831 * CHOOSE(CONTROL!$C$32, $C$9, 100%, $E$9)</f>
        <v>13.283099999999999</v>
      </c>
      <c r="G806" s="27">
        <f>13.2867 * CHOOSE(CONTROL!$C$32, $C$9, 100%, $E$9)</f>
        <v>13.2867</v>
      </c>
      <c r="H806" s="27">
        <f>26.5499 * CHOOSE(CONTROL!$C$32, $C$9, 100%, $E$9)</f>
        <v>26.549900000000001</v>
      </c>
      <c r="I806" s="27">
        <f>26.5535 * CHOOSE(CONTROL!$C$32, $C$9, 100%, $E$9)</f>
        <v>26.5535</v>
      </c>
      <c r="J806" s="27">
        <f>26.5499 * CHOOSE(CONTROL!$C$32, $C$9, 100%, $E$9)</f>
        <v>26.549900000000001</v>
      </c>
      <c r="K806" s="27">
        <f>26.5535 * CHOOSE(CONTROL!$C$32, $C$9, 100%, $E$9)</f>
        <v>26.5535</v>
      </c>
      <c r="L806" s="27">
        <f>13.2831 * CHOOSE(CONTROL!$C$32, $C$9, 100%, $E$9)</f>
        <v>13.283099999999999</v>
      </c>
      <c r="M806" s="27">
        <f>13.2867 * CHOOSE(CONTROL!$C$32, $C$9, 100%, $E$9)</f>
        <v>13.2867</v>
      </c>
      <c r="N806" s="27">
        <f>13.2831 * CHOOSE(CONTROL!$C$32, $C$9, 100%, $E$9)</f>
        <v>13.283099999999999</v>
      </c>
      <c r="O806" s="27">
        <f>13.2867 * CHOOSE(CONTROL!$C$32, $C$9, 100%, $E$9)</f>
        <v>13.2867</v>
      </c>
    </row>
    <row r="807" spans="1:15" ht="15" x14ac:dyDescent="0.2">
      <c r="A807" s="16">
        <v>65412</v>
      </c>
      <c r="B807" s="26">
        <f>11.8143 * CHOOSE(CONTROL!$C$32, $C$9, 100%, $E$9)</f>
        <v>11.814299999999999</v>
      </c>
      <c r="C807" s="26">
        <f>11.8143 * CHOOSE(CONTROL!$C$32, $C$9, 100%, $E$9)</f>
        <v>11.814299999999999</v>
      </c>
      <c r="D807" s="26">
        <f>11.8153 * CHOOSE(CONTROL!$C$32, $C$9, 100%, $E$9)</f>
        <v>11.815300000000001</v>
      </c>
      <c r="E807" s="27">
        <f>12.9283 * CHOOSE(CONTROL!$C$32, $C$9, 100%, $E$9)</f>
        <v>12.9283</v>
      </c>
      <c r="F807" s="27">
        <f>12.9283 * CHOOSE(CONTROL!$C$32, $C$9, 100%, $E$9)</f>
        <v>12.9283</v>
      </c>
      <c r="G807" s="27">
        <f>12.9319 * CHOOSE(CONTROL!$C$32, $C$9, 100%, $E$9)</f>
        <v>12.931900000000001</v>
      </c>
      <c r="H807" s="27">
        <f>26.6052 * CHOOSE(CONTROL!$C$32, $C$9, 100%, $E$9)</f>
        <v>26.6052</v>
      </c>
      <c r="I807" s="27">
        <f>26.6088 * CHOOSE(CONTROL!$C$32, $C$9, 100%, $E$9)</f>
        <v>26.608799999999999</v>
      </c>
      <c r="J807" s="27">
        <f>26.6052 * CHOOSE(CONTROL!$C$32, $C$9, 100%, $E$9)</f>
        <v>26.6052</v>
      </c>
      <c r="K807" s="27">
        <f>26.6088 * CHOOSE(CONTROL!$C$32, $C$9, 100%, $E$9)</f>
        <v>26.608799999999999</v>
      </c>
      <c r="L807" s="27">
        <f>12.9283 * CHOOSE(CONTROL!$C$32, $C$9, 100%, $E$9)</f>
        <v>12.9283</v>
      </c>
      <c r="M807" s="27">
        <f>12.9319 * CHOOSE(CONTROL!$C$32, $C$9, 100%, $E$9)</f>
        <v>12.931900000000001</v>
      </c>
      <c r="N807" s="27">
        <f>12.9283 * CHOOSE(CONTROL!$C$32, $C$9, 100%, $E$9)</f>
        <v>12.9283</v>
      </c>
      <c r="O807" s="27">
        <f>12.9319 * CHOOSE(CONTROL!$C$32, $C$9, 100%, $E$9)</f>
        <v>12.931900000000001</v>
      </c>
    </row>
    <row r="808" spans="1:15" ht="15" x14ac:dyDescent="0.2">
      <c r="A808" s="16">
        <v>65440</v>
      </c>
      <c r="B808" s="26">
        <f>11.8112 * CHOOSE(CONTROL!$C$32, $C$9, 100%, $E$9)</f>
        <v>11.811199999999999</v>
      </c>
      <c r="C808" s="26">
        <f>11.8112 * CHOOSE(CONTROL!$C$32, $C$9, 100%, $E$9)</f>
        <v>11.811199999999999</v>
      </c>
      <c r="D808" s="26">
        <f>11.8123 * CHOOSE(CONTROL!$C$32, $C$9, 100%, $E$9)</f>
        <v>11.8123</v>
      </c>
      <c r="E808" s="27">
        <f>13.2042 * CHOOSE(CONTROL!$C$32, $C$9, 100%, $E$9)</f>
        <v>13.2042</v>
      </c>
      <c r="F808" s="27">
        <f>13.2042 * CHOOSE(CONTROL!$C$32, $C$9, 100%, $E$9)</f>
        <v>13.2042</v>
      </c>
      <c r="G808" s="27">
        <f>13.2078 * CHOOSE(CONTROL!$C$32, $C$9, 100%, $E$9)</f>
        <v>13.207800000000001</v>
      </c>
      <c r="H808" s="27">
        <f>26.6606 * CHOOSE(CONTROL!$C$32, $C$9, 100%, $E$9)</f>
        <v>26.660599999999999</v>
      </c>
      <c r="I808" s="27">
        <f>26.6642 * CHOOSE(CONTROL!$C$32, $C$9, 100%, $E$9)</f>
        <v>26.664200000000001</v>
      </c>
      <c r="J808" s="27">
        <f>26.6606 * CHOOSE(CONTROL!$C$32, $C$9, 100%, $E$9)</f>
        <v>26.660599999999999</v>
      </c>
      <c r="K808" s="27">
        <f>26.6642 * CHOOSE(CONTROL!$C$32, $C$9, 100%, $E$9)</f>
        <v>26.664200000000001</v>
      </c>
      <c r="L808" s="27">
        <f>13.2042 * CHOOSE(CONTROL!$C$32, $C$9, 100%, $E$9)</f>
        <v>13.2042</v>
      </c>
      <c r="M808" s="27">
        <f>13.2078 * CHOOSE(CONTROL!$C$32, $C$9, 100%, $E$9)</f>
        <v>13.207800000000001</v>
      </c>
      <c r="N808" s="27">
        <f>13.2042 * CHOOSE(CONTROL!$C$32, $C$9, 100%, $E$9)</f>
        <v>13.2042</v>
      </c>
      <c r="O808" s="27">
        <f>13.2078 * CHOOSE(CONTROL!$C$32, $C$9, 100%, $E$9)</f>
        <v>13.207800000000001</v>
      </c>
    </row>
    <row r="809" spans="1:15" ht="15" x14ac:dyDescent="0.2">
      <c r="A809" s="16">
        <v>65471</v>
      </c>
      <c r="B809" s="26">
        <f>11.8164 * CHOOSE(CONTROL!$C$32, $C$9, 100%, $E$9)</f>
        <v>11.8164</v>
      </c>
      <c r="C809" s="26">
        <f>11.8164 * CHOOSE(CONTROL!$C$32, $C$9, 100%, $E$9)</f>
        <v>11.8164</v>
      </c>
      <c r="D809" s="26">
        <f>11.8175 * CHOOSE(CONTROL!$C$32, $C$9, 100%, $E$9)</f>
        <v>11.817500000000001</v>
      </c>
      <c r="E809" s="27">
        <f>13.4985 * CHOOSE(CONTROL!$C$32, $C$9, 100%, $E$9)</f>
        <v>13.4985</v>
      </c>
      <c r="F809" s="27">
        <f>13.4985 * CHOOSE(CONTROL!$C$32, $C$9, 100%, $E$9)</f>
        <v>13.4985</v>
      </c>
      <c r="G809" s="27">
        <f>13.5021 * CHOOSE(CONTROL!$C$32, $C$9, 100%, $E$9)</f>
        <v>13.5021</v>
      </c>
      <c r="H809" s="27">
        <f>26.7161 * CHOOSE(CONTROL!$C$32, $C$9, 100%, $E$9)</f>
        <v>26.716100000000001</v>
      </c>
      <c r="I809" s="27">
        <f>26.7198 * CHOOSE(CONTROL!$C$32, $C$9, 100%, $E$9)</f>
        <v>26.719799999999999</v>
      </c>
      <c r="J809" s="27">
        <f>26.7161 * CHOOSE(CONTROL!$C$32, $C$9, 100%, $E$9)</f>
        <v>26.716100000000001</v>
      </c>
      <c r="K809" s="27">
        <f>26.7198 * CHOOSE(CONTROL!$C$32, $C$9, 100%, $E$9)</f>
        <v>26.719799999999999</v>
      </c>
      <c r="L809" s="27">
        <f>13.4985 * CHOOSE(CONTROL!$C$32, $C$9, 100%, $E$9)</f>
        <v>13.4985</v>
      </c>
      <c r="M809" s="27">
        <f>13.5021 * CHOOSE(CONTROL!$C$32, $C$9, 100%, $E$9)</f>
        <v>13.5021</v>
      </c>
      <c r="N809" s="27">
        <f>13.4985 * CHOOSE(CONTROL!$C$32, $C$9, 100%, $E$9)</f>
        <v>13.4985</v>
      </c>
      <c r="O809" s="27">
        <f>13.5021 * CHOOSE(CONTROL!$C$32, $C$9, 100%, $E$9)</f>
        <v>13.5021</v>
      </c>
    </row>
    <row r="810" spans="1:15" ht="15" x14ac:dyDescent="0.2">
      <c r="A810" s="16">
        <v>65501</v>
      </c>
      <c r="B810" s="26">
        <f>11.8164 * CHOOSE(CONTROL!$C$32, $C$9, 100%, $E$9)</f>
        <v>11.8164</v>
      </c>
      <c r="C810" s="26">
        <f>11.8164 * CHOOSE(CONTROL!$C$32, $C$9, 100%, $E$9)</f>
        <v>11.8164</v>
      </c>
      <c r="D810" s="26">
        <f>11.818 * CHOOSE(CONTROL!$C$32, $C$9, 100%, $E$9)</f>
        <v>11.818</v>
      </c>
      <c r="E810" s="27">
        <f>13.6105 * CHOOSE(CONTROL!$C$32, $C$9, 100%, $E$9)</f>
        <v>13.6105</v>
      </c>
      <c r="F810" s="27">
        <f>13.6105 * CHOOSE(CONTROL!$C$32, $C$9, 100%, $E$9)</f>
        <v>13.6105</v>
      </c>
      <c r="G810" s="27">
        <f>13.6158 * CHOOSE(CONTROL!$C$32, $C$9, 100%, $E$9)</f>
        <v>13.6158</v>
      </c>
      <c r="H810" s="27">
        <f>26.7718 * CHOOSE(CONTROL!$C$32, $C$9, 100%, $E$9)</f>
        <v>26.771799999999999</v>
      </c>
      <c r="I810" s="27">
        <f>26.7771 * CHOOSE(CONTROL!$C$32, $C$9, 100%, $E$9)</f>
        <v>26.777100000000001</v>
      </c>
      <c r="J810" s="27">
        <f>26.7718 * CHOOSE(CONTROL!$C$32, $C$9, 100%, $E$9)</f>
        <v>26.771799999999999</v>
      </c>
      <c r="K810" s="27">
        <f>26.7771 * CHOOSE(CONTROL!$C$32, $C$9, 100%, $E$9)</f>
        <v>26.777100000000001</v>
      </c>
      <c r="L810" s="27">
        <f>13.6105 * CHOOSE(CONTROL!$C$32, $C$9, 100%, $E$9)</f>
        <v>13.6105</v>
      </c>
      <c r="M810" s="27">
        <f>13.6158 * CHOOSE(CONTROL!$C$32, $C$9, 100%, $E$9)</f>
        <v>13.6158</v>
      </c>
      <c r="N810" s="27">
        <f>13.6105 * CHOOSE(CONTROL!$C$32, $C$9, 100%, $E$9)</f>
        <v>13.6105</v>
      </c>
      <c r="O810" s="27">
        <f>13.6158 * CHOOSE(CONTROL!$C$32, $C$9, 100%, $E$9)</f>
        <v>13.6158</v>
      </c>
    </row>
    <row r="811" spans="1:15" ht="15" x14ac:dyDescent="0.2">
      <c r="A811" s="16">
        <v>65532</v>
      </c>
      <c r="B811" s="26">
        <f>11.8225 * CHOOSE(CONTROL!$C$32, $C$9, 100%, $E$9)</f>
        <v>11.8225</v>
      </c>
      <c r="C811" s="26">
        <f>11.8225 * CHOOSE(CONTROL!$C$32, $C$9, 100%, $E$9)</f>
        <v>11.8225</v>
      </c>
      <c r="D811" s="26">
        <f>11.8241 * CHOOSE(CONTROL!$C$32, $C$9, 100%, $E$9)</f>
        <v>11.8241</v>
      </c>
      <c r="E811" s="27">
        <f>13.5028 * CHOOSE(CONTROL!$C$32, $C$9, 100%, $E$9)</f>
        <v>13.502800000000001</v>
      </c>
      <c r="F811" s="27">
        <f>13.5028 * CHOOSE(CONTROL!$C$32, $C$9, 100%, $E$9)</f>
        <v>13.502800000000001</v>
      </c>
      <c r="G811" s="27">
        <f>13.5081 * CHOOSE(CONTROL!$C$32, $C$9, 100%, $E$9)</f>
        <v>13.508100000000001</v>
      </c>
      <c r="H811" s="27">
        <f>26.8276 * CHOOSE(CONTROL!$C$32, $C$9, 100%, $E$9)</f>
        <v>26.8276</v>
      </c>
      <c r="I811" s="27">
        <f>26.8329 * CHOOSE(CONTROL!$C$32, $C$9, 100%, $E$9)</f>
        <v>26.832899999999999</v>
      </c>
      <c r="J811" s="27">
        <f>26.8276 * CHOOSE(CONTROL!$C$32, $C$9, 100%, $E$9)</f>
        <v>26.8276</v>
      </c>
      <c r="K811" s="27">
        <f>26.8329 * CHOOSE(CONTROL!$C$32, $C$9, 100%, $E$9)</f>
        <v>26.832899999999999</v>
      </c>
      <c r="L811" s="27">
        <f>13.5028 * CHOOSE(CONTROL!$C$32, $C$9, 100%, $E$9)</f>
        <v>13.502800000000001</v>
      </c>
      <c r="M811" s="27">
        <f>13.5081 * CHOOSE(CONTROL!$C$32, $C$9, 100%, $E$9)</f>
        <v>13.508100000000001</v>
      </c>
      <c r="N811" s="27">
        <f>13.5028 * CHOOSE(CONTROL!$C$32, $C$9, 100%, $E$9)</f>
        <v>13.502800000000001</v>
      </c>
      <c r="O811" s="27">
        <f>13.5081 * CHOOSE(CONTROL!$C$32, $C$9, 100%, $E$9)</f>
        <v>13.508100000000001</v>
      </c>
    </row>
    <row r="812" spans="1:15" ht="15" x14ac:dyDescent="0.2">
      <c r="A812" s="16">
        <v>65562</v>
      </c>
      <c r="B812" s="26">
        <f>11.9669 * CHOOSE(CONTROL!$C$32, $C$9, 100%, $E$9)</f>
        <v>11.966900000000001</v>
      </c>
      <c r="C812" s="26">
        <f>11.9669 * CHOOSE(CONTROL!$C$32, $C$9, 100%, $E$9)</f>
        <v>11.966900000000001</v>
      </c>
      <c r="D812" s="26">
        <f>11.9685 * CHOOSE(CONTROL!$C$32, $C$9, 100%, $E$9)</f>
        <v>11.968500000000001</v>
      </c>
      <c r="E812" s="27">
        <f>13.6933 * CHOOSE(CONTROL!$C$32, $C$9, 100%, $E$9)</f>
        <v>13.693300000000001</v>
      </c>
      <c r="F812" s="27">
        <f>13.6933 * CHOOSE(CONTROL!$C$32, $C$9, 100%, $E$9)</f>
        <v>13.693300000000001</v>
      </c>
      <c r="G812" s="27">
        <f>13.6986 * CHOOSE(CONTROL!$C$32, $C$9, 100%, $E$9)</f>
        <v>13.698600000000001</v>
      </c>
      <c r="H812" s="27">
        <f>26.8835 * CHOOSE(CONTROL!$C$32, $C$9, 100%, $E$9)</f>
        <v>26.883500000000002</v>
      </c>
      <c r="I812" s="27">
        <f>26.8888 * CHOOSE(CONTROL!$C$32, $C$9, 100%, $E$9)</f>
        <v>26.8888</v>
      </c>
      <c r="J812" s="27">
        <f>26.8835 * CHOOSE(CONTROL!$C$32, $C$9, 100%, $E$9)</f>
        <v>26.883500000000002</v>
      </c>
      <c r="K812" s="27">
        <f>26.8888 * CHOOSE(CONTROL!$C$32, $C$9, 100%, $E$9)</f>
        <v>26.8888</v>
      </c>
      <c r="L812" s="27">
        <f>13.6933 * CHOOSE(CONTROL!$C$32, $C$9, 100%, $E$9)</f>
        <v>13.693300000000001</v>
      </c>
      <c r="M812" s="27">
        <f>13.6986 * CHOOSE(CONTROL!$C$32, $C$9, 100%, $E$9)</f>
        <v>13.698600000000001</v>
      </c>
      <c r="N812" s="27">
        <f>13.6933 * CHOOSE(CONTROL!$C$32, $C$9, 100%, $E$9)</f>
        <v>13.693300000000001</v>
      </c>
      <c r="O812" s="27">
        <f>13.6986 * CHOOSE(CONTROL!$C$32, $C$9, 100%, $E$9)</f>
        <v>13.698600000000001</v>
      </c>
    </row>
    <row r="813" spans="1:15" ht="15" x14ac:dyDescent="0.2">
      <c r="A813" s="16">
        <v>65593</v>
      </c>
      <c r="B813" s="26">
        <f>11.9736 * CHOOSE(CONTROL!$C$32, $C$9, 100%, $E$9)</f>
        <v>11.973599999999999</v>
      </c>
      <c r="C813" s="26">
        <f>11.9736 * CHOOSE(CONTROL!$C$32, $C$9, 100%, $E$9)</f>
        <v>11.973599999999999</v>
      </c>
      <c r="D813" s="26">
        <f>11.9752 * CHOOSE(CONTROL!$C$32, $C$9, 100%, $E$9)</f>
        <v>11.975199999999999</v>
      </c>
      <c r="E813" s="27">
        <f>13.3621 * CHOOSE(CONTROL!$C$32, $C$9, 100%, $E$9)</f>
        <v>13.3621</v>
      </c>
      <c r="F813" s="27">
        <f>13.3621 * CHOOSE(CONTROL!$C$32, $C$9, 100%, $E$9)</f>
        <v>13.3621</v>
      </c>
      <c r="G813" s="27">
        <f>13.3673 * CHOOSE(CONTROL!$C$32, $C$9, 100%, $E$9)</f>
        <v>13.3673</v>
      </c>
      <c r="H813" s="27">
        <f>26.9395 * CHOOSE(CONTROL!$C$32, $C$9, 100%, $E$9)</f>
        <v>26.939499999999999</v>
      </c>
      <c r="I813" s="27">
        <f>26.9448 * CHOOSE(CONTROL!$C$32, $C$9, 100%, $E$9)</f>
        <v>26.944800000000001</v>
      </c>
      <c r="J813" s="27">
        <f>26.9395 * CHOOSE(CONTROL!$C$32, $C$9, 100%, $E$9)</f>
        <v>26.939499999999999</v>
      </c>
      <c r="K813" s="27">
        <f>26.9448 * CHOOSE(CONTROL!$C$32, $C$9, 100%, $E$9)</f>
        <v>26.944800000000001</v>
      </c>
      <c r="L813" s="27">
        <f>13.3621 * CHOOSE(CONTROL!$C$32, $C$9, 100%, $E$9)</f>
        <v>13.3621</v>
      </c>
      <c r="M813" s="27">
        <f>13.3673 * CHOOSE(CONTROL!$C$32, $C$9, 100%, $E$9)</f>
        <v>13.3673</v>
      </c>
      <c r="N813" s="27">
        <f>13.3621 * CHOOSE(CONTROL!$C$32, $C$9, 100%, $E$9)</f>
        <v>13.3621</v>
      </c>
      <c r="O813" s="27">
        <f>13.3673 * CHOOSE(CONTROL!$C$32, $C$9, 100%, $E$9)</f>
        <v>13.3673</v>
      </c>
    </row>
    <row r="814" spans="1:15" ht="15" x14ac:dyDescent="0.2">
      <c r="A814" s="16">
        <v>65624</v>
      </c>
      <c r="B814" s="26">
        <f>11.9705 * CHOOSE(CONTROL!$C$32, $C$9, 100%, $E$9)</f>
        <v>11.970499999999999</v>
      </c>
      <c r="C814" s="26">
        <f>11.9705 * CHOOSE(CONTROL!$C$32, $C$9, 100%, $E$9)</f>
        <v>11.970499999999999</v>
      </c>
      <c r="D814" s="26">
        <f>11.9721 * CHOOSE(CONTROL!$C$32, $C$9, 100%, $E$9)</f>
        <v>11.972099999999999</v>
      </c>
      <c r="E814" s="27">
        <f>13.3226 * CHOOSE(CONTROL!$C$32, $C$9, 100%, $E$9)</f>
        <v>13.3226</v>
      </c>
      <c r="F814" s="27">
        <f>13.3226 * CHOOSE(CONTROL!$C$32, $C$9, 100%, $E$9)</f>
        <v>13.3226</v>
      </c>
      <c r="G814" s="27">
        <f>13.3279 * CHOOSE(CONTROL!$C$32, $C$9, 100%, $E$9)</f>
        <v>13.3279</v>
      </c>
      <c r="H814" s="27">
        <f>26.9956 * CHOOSE(CONTROL!$C$32, $C$9, 100%, $E$9)</f>
        <v>26.9956</v>
      </c>
      <c r="I814" s="27">
        <f>27.0009 * CHOOSE(CONTROL!$C$32, $C$9, 100%, $E$9)</f>
        <v>27.000900000000001</v>
      </c>
      <c r="J814" s="27">
        <f>26.9956 * CHOOSE(CONTROL!$C$32, $C$9, 100%, $E$9)</f>
        <v>26.9956</v>
      </c>
      <c r="K814" s="27">
        <f>27.0009 * CHOOSE(CONTROL!$C$32, $C$9, 100%, $E$9)</f>
        <v>27.000900000000001</v>
      </c>
      <c r="L814" s="27">
        <f>13.3226 * CHOOSE(CONTROL!$C$32, $C$9, 100%, $E$9)</f>
        <v>13.3226</v>
      </c>
      <c r="M814" s="27">
        <f>13.3279 * CHOOSE(CONTROL!$C$32, $C$9, 100%, $E$9)</f>
        <v>13.3279</v>
      </c>
      <c r="N814" s="27">
        <f>13.3226 * CHOOSE(CONTROL!$C$32, $C$9, 100%, $E$9)</f>
        <v>13.3226</v>
      </c>
      <c r="O814" s="27">
        <f>13.3279 * CHOOSE(CONTROL!$C$32, $C$9, 100%, $E$9)</f>
        <v>13.3279</v>
      </c>
    </row>
    <row r="815" spans="1:15" ht="15" x14ac:dyDescent="0.2">
      <c r="A815" s="16">
        <v>65654</v>
      </c>
      <c r="B815" s="26">
        <f>11.9954 * CHOOSE(CONTROL!$C$32, $C$9, 100%, $E$9)</f>
        <v>11.9954</v>
      </c>
      <c r="C815" s="26">
        <f>11.9954 * CHOOSE(CONTROL!$C$32, $C$9, 100%, $E$9)</f>
        <v>11.9954</v>
      </c>
      <c r="D815" s="26">
        <f>11.9965 * CHOOSE(CONTROL!$C$32, $C$9, 100%, $E$9)</f>
        <v>11.996499999999999</v>
      </c>
      <c r="E815" s="27">
        <f>13.4585 * CHOOSE(CONTROL!$C$32, $C$9, 100%, $E$9)</f>
        <v>13.458500000000001</v>
      </c>
      <c r="F815" s="27">
        <f>13.4585 * CHOOSE(CONTROL!$C$32, $C$9, 100%, $E$9)</f>
        <v>13.458500000000001</v>
      </c>
      <c r="G815" s="27">
        <f>13.4621 * CHOOSE(CONTROL!$C$32, $C$9, 100%, $E$9)</f>
        <v>13.4621</v>
      </c>
      <c r="H815" s="27">
        <f>27.0518 * CHOOSE(CONTROL!$C$32, $C$9, 100%, $E$9)</f>
        <v>27.0518</v>
      </c>
      <c r="I815" s="27">
        <f>27.0555 * CHOOSE(CONTROL!$C$32, $C$9, 100%, $E$9)</f>
        <v>27.055499999999999</v>
      </c>
      <c r="J815" s="27">
        <f>27.0518 * CHOOSE(CONTROL!$C$32, $C$9, 100%, $E$9)</f>
        <v>27.0518</v>
      </c>
      <c r="K815" s="27">
        <f>27.0555 * CHOOSE(CONTROL!$C$32, $C$9, 100%, $E$9)</f>
        <v>27.055499999999999</v>
      </c>
      <c r="L815" s="27">
        <f>13.4585 * CHOOSE(CONTROL!$C$32, $C$9, 100%, $E$9)</f>
        <v>13.458500000000001</v>
      </c>
      <c r="M815" s="27">
        <f>13.4621 * CHOOSE(CONTROL!$C$32, $C$9, 100%, $E$9)</f>
        <v>13.4621</v>
      </c>
      <c r="N815" s="27">
        <f>13.4585 * CHOOSE(CONTROL!$C$32, $C$9, 100%, $E$9)</f>
        <v>13.458500000000001</v>
      </c>
      <c r="O815" s="27">
        <f>13.4621 * CHOOSE(CONTROL!$C$32, $C$9, 100%, $E$9)</f>
        <v>13.4621</v>
      </c>
    </row>
    <row r="816" spans="1:15" ht="15" x14ac:dyDescent="0.2">
      <c r="A816" s="16">
        <v>65685</v>
      </c>
      <c r="B816" s="26">
        <f>11.9984 * CHOOSE(CONTROL!$C$32, $C$9, 100%, $E$9)</f>
        <v>11.9984</v>
      </c>
      <c r="C816" s="26">
        <f>11.9984 * CHOOSE(CONTROL!$C$32, $C$9, 100%, $E$9)</f>
        <v>11.9984</v>
      </c>
      <c r="D816" s="26">
        <f>11.9995 * CHOOSE(CONTROL!$C$32, $C$9, 100%, $E$9)</f>
        <v>11.999499999999999</v>
      </c>
      <c r="E816" s="27">
        <f>13.5353 * CHOOSE(CONTROL!$C$32, $C$9, 100%, $E$9)</f>
        <v>13.535299999999999</v>
      </c>
      <c r="F816" s="27">
        <f>13.5353 * CHOOSE(CONTROL!$C$32, $C$9, 100%, $E$9)</f>
        <v>13.535299999999999</v>
      </c>
      <c r="G816" s="27">
        <f>13.5389 * CHOOSE(CONTROL!$C$32, $C$9, 100%, $E$9)</f>
        <v>13.5389</v>
      </c>
      <c r="H816" s="27">
        <f>27.1082 * CHOOSE(CONTROL!$C$32, $C$9, 100%, $E$9)</f>
        <v>27.1082</v>
      </c>
      <c r="I816" s="27">
        <f>27.1118 * CHOOSE(CONTROL!$C$32, $C$9, 100%, $E$9)</f>
        <v>27.111799999999999</v>
      </c>
      <c r="J816" s="27">
        <f>27.1082 * CHOOSE(CONTROL!$C$32, $C$9, 100%, $E$9)</f>
        <v>27.1082</v>
      </c>
      <c r="K816" s="27">
        <f>27.1118 * CHOOSE(CONTROL!$C$32, $C$9, 100%, $E$9)</f>
        <v>27.111799999999999</v>
      </c>
      <c r="L816" s="27">
        <f>13.5353 * CHOOSE(CONTROL!$C$32, $C$9, 100%, $E$9)</f>
        <v>13.535299999999999</v>
      </c>
      <c r="M816" s="27">
        <f>13.5389 * CHOOSE(CONTROL!$C$32, $C$9, 100%, $E$9)</f>
        <v>13.5389</v>
      </c>
      <c r="N816" s="27">
        <f>13.5353 * CHOOSE(CONTROL!$C$32, $C$9, 100%, $E$9)</f>
        <v>13.535299999999999</v>
      </c>
      <c r="O816" s="27">
        <f>13.5389 * CHOOSE(CONTROL!$C$32, $C$9, 100%, $E$9)</f>
        <v>13.5389</v>
      </c>
    </row>
    <row r="817" spans="1:15" ht="15" x14ac:dyDescent="0.2">
      <c r="A817" s="16">
        <v>65715</v>
      </c>
      <c r="B817" s="26">
        <f>11.9984 * CHOOSE(CONTROL!$C$32, $C$9, 100%, $E$9)</f>
        <v>11.9984</v>
      </c>
      <c r="C817" s="26">
        <f>11.9984 * CHOOSE(CONTROL!$C$32, $C$9, 100%, $E$9)</f>
        <v>11.9984</v>
      </c>
      <c r="D817" s="26">
        <f>11.9995 * CHOOSE(CONTROL!$C$32, $C$9, 100%, $E$9)</f>
        <v>11.999499999999999</v>
      </c>
      <c r="E817" s="27">
        <f>13.3486 * CHOOSE(CONTROL!$C$32, $C$9, 100%, $E$9)</f>
        <v>13.348599999999999</v>
      </c>
      <c r="F817" s="27">
        <f>13.3486 * CHOOSE(CONTROL!$C$32, $C$9, 100%, $E$9)</f>
        <v>13.348599999999999</v>
      </c>
      <c r="G817" s="27">
        <f>13.3523 * CHOOSE(CONTROL!$C$32, $C$9, 100%, $E$9)</f>
        <v>13.3523</v>
      </c>
      <c r="H817" s="27">
        <f>27.1647 * CHOOSE(CONTROL!$C$32, $C$9, 100%, $E$9)</f>
        <v>27.1647</v>
      </c>
      <c r="I817" s="27">
        <f>27.1683 * CHOOSE(CONTROL!$C$32, $C$9, 100%, $E$9)</f>
        <v>27.168299999999999</v>
      </c>
      <c r="J817" s="27">
        <f>27.1647 * CHOOSE(CONTROL!$C$32, $C$9, 100%, $E$9)</f>
        <v>27.1647</v>
      </c>
      <c r="K817" s="27">
        <f>27.1683 * CHOOSE(CONTROL!$C$32, $C$9, 100%, $E$9)</f>
        <v>27.168299999999999</v>
      </c>
      <c r="L817" s="27">
        <f>13.3486 * CHOOSE(CONTROL!$C$32, $C$9, 100%, $E$9)</f>
        <v>13.348599999999999</v>
      </c>
      <c r="M817" s="27">
        <f>13.3523 * CHOOSE(CONTROL!$C$32, $C$9, 100%, $E$9)</f>
        <v>13.3523</v>
      </c>
      <c r="N817" s="27">
        <f>13.3486 * CHOOSE(CONTROL!$C$32, $C$9, 100%, $E$9)</f>
        <v>13.348599999999999</v>
      </c>
      <c r="O817" s="27">
        <f>13.3523 * CHOOSE(CONTROL!$C$32, $C$9, 100%, $E$9)</f>
        <v>13.3523</v>
      </c>
    </row>
    <row r="818" spans="1:15" ht="15" x14ac:dyDescent="0.2">
      <c r="A818" s="16">
        <v>65746</v>
      </c>
      <c r="B818" s="26">
        <f>12.0047 * CHOOSE(CONTROL!$C$32, $C$9, 100%, $E$9)</f>
        <v>12.0047</v>
      </c>
      <c r="C818" s="26">
        <f>12.0047 * CHOOSE(CONTROL!$C$32, $C$9, 100%, $E$9)</f>
        <v>12.0047</v>
      </c>
      <c r="D818" s="26">
        <f>12.0057 * CHOOSE(CONTROL!$C$32, $C$9, 100%, $E$9)</f>
        <v>12.005699999999999</v>
      </c>
      <c r="E818" s="27">
        <f>13.4956 * CHOOSE(CONTROL!$C$32, $C$9, 100%, $E$9)</f>
        <v>13.4956</v>
      </c>
      <c r="F818" s="27">
        <f>13.4956 * CHOOSE(CONTROL!$C$32, $C$9, 100%, $E$9)</f>
        <v>13.4956</v>
      </c>
      <c r="G818" s="27">
        <f>13.4992 * CHOOSE(CONTROL!$C$32, $C$9, 100%, $E$9)</f>
        <v>13.4992</v>
      </c>
      <c r="H818" s="27">
        <f>27.0034 * CHOOSE(CONTROL!$C$32, $C$9, 100%, $E$9)</f>
        <v>27.003399999999999</v>
      </c>
      <c r="I818" s="27">
        <f>27.007 * CHOOSE(CONTROL!$C$32, $C$9, 100%, $E$9)</f>
        <v>27.007000000000001</v>
      </c>
      <c r="J818" s="27">
        <f>27.0034 * CHOOSE(CONTROL!$C$32, $C$9, 100%, $E$9)</f>
        <v>27.003399999999999</v>
      </c>
      <c r="K818" s="27">
        <f>27.007 * CHOOSE(CONTROL!$C$32, $C$9, 100%, $E$9)</f>
        <v>27.007000000000001</v>
      </c>
      <c r="L818" s="27">
        <f>13.4956 * CHOOSE(CONTROL!$C$32, $C$9, 100%, $E$9)</f>
        <v>13.4956</v>
      </c>
      <c r="M818" s="27">
        <f>13.4992 * CHOOSE(CONTROL!$C$32, $C$9, 100%, $E$9)</f>
        <v>13.4992</v>
      </c>
      <c r="N818" s="27">
        <f>13.4956 * CHOOSE(CONTROL!$C$32, $C$9, 100%, $E$9)</f>
        <v>13.4956</v>
      </c>
      <c r="O818" s="27">
        <f>13.4992 * CHOOSE(CONTROL!$C$32, $C$9, 100%, $E$9)</f>
        <v>13.4992</v>
      </c>
    </row>
    <row r="819" spans="1:15" ht="15" x14ac:dyDescent="0.2">
      <c r="A819" s="16">
        <v>65777</v>
      </c>
      <c r="B819" s="26">
        <f>12.0016 * CHOOSE(CONTROL!$C$32, $C$9, 100%, $E$9)</f>
        <v>12.0016</v>
      </c>
      <c r="C819" s="26">
        <f>12.0016 * CHOOSE(CONTROL!$C$32, $C$9, 100%, $E$9)</f>
        <v>12.0016</v>
      </c>
      <c r="D819" s="26">
        <f>12.0027 * CHOOSE(CONTROL!$C$32, $C$9, 100%, $E$9)</f>
        <v>12.002700000000001</v>
      </c>
      <c r="E819" s="27">
        <f>13.1337 * CHOOSE(CONTROL!$C$32, $C$9, 100%, $E$9)</f>
        <v>13.133699999999999</v>
      </c>
      <c r="F819" s="27">
        <f>13.1337 * CHOOSE(CONTROL!$C$32, $C$9, 100%, $E$9)</f>
        <v>13.133699999999999</v>
      </c>
      <c r="G819" s="27">
        <f>13.1373 * CHOOSE(CONTROL!$C$32, $C$9, 100%, $E$9)</f>
        <v>13.1373</v>
      </c>
      <c r="H819" s="27">
        <f>27.0596 * CHOOSE(CONTROL!$C$32, $C$9, 100%, $E$9)</f>
        <v>27.0596</v>
      </c>
      <c r="I819" s="27">
        <f>27.0632 * CHOOSE(CONTROL!$C$32, $C$9, 100%, $E$9)</f>
        <v>27.063199999999998</v>
      </c>
      <c r="J819" s="27">
        <f>27.0596 * CHOOSE(CONTROL!$C$32, $C$9, 100%, $E$9)</f>
        <v>27.0596</v>
      </c>
      <c r="K819" s="27">
        <f>27.0632 * CHOOSE(CONTROL!$C$32, $C$9, 100%, $E$9)</f>
        <v>27.063199999999998</v>
      </c>
      <c r="L819" s="27">
        <f>13.1337 * CHOOSE(CONTROL!$C$32, $C$9, 100%, $E$9)</f>
        <v>13.133699999999999</v>
      </c>
      <c r="M819" s="27">
        <f>13.1373 * CHOOSE(CONTROL!$C$32, $C$9, 100%, $E$9)</f>
        <v>13.1373</v>
      </c>
      <c r="N819" s="27">
        <f>13.1337 * CHOOSE(CONTROL!$C$32, $C$9, 100%, $E$9)</f>
        <v>13.133699999999999</v>
      </c>
      <c r="O819" s="27">
        <f>13.1373 * CHOOSE(CONTROL!$C$32, $C$9, 100%, $E$9)</f>
        <v>13.1373</v>
      </c>
    </row>
    <row r="820" spans="1:15" ht="15" x14ac:dyDescent="0.2">
      <c r="A820" s="16">
        <v>65806</v>
      </c>
      <c r="B820" s="26">
        <f>11.9986 * CHOOSE(CONTROL!$C$32, $C$9, 100%, $E$9)</f>
        <v>11.9986</v>
      </c>
      <c r="C820" s="26">
        <f>11.9986 * CHOOSE(CONTROL!$C$32, $C$9, 100%, $E$9)</f>
        <v>11.9986</v>
      </c>
      <c r="D820" s="26">
        <f>11.9996 * CHOOSE(CONTROL!$C$32, $C$9, 100%, $E$9)</f>
        <v>11.999599999999999</v>
      </c>
      <c r="E820" s="27">
        <f>13.4152 * CHOOSE(CONTROL!$C$32, $C$9, 100%, $E$9)</f>
        <v>13.4152</v>
      </c>
      <c r="F820" s="27">
        <f>13.4152 * CHOOSE(CONTROL!$C$32, $C$9, 100%, $E$9)</f>
        <v>13.4152</v>
      </c>
      <c r="G820" s="27">
        <f>13.4188 * CHOOSE(CONTROL!$C$32, $C$9, 100%, $E$9)</f>
        <v>13.418799999999999</v>
      </c>
      <c r="H820" s="27">
        <f>27.116 * CHOOSE(CONTROL!$C$32, $C$9, 100%, $E$9)</f>
        <v>27.116</v>
      </c>
      <c r="I820" s="27">
        <f>27.1196 * CHOOSE(CONTROL!$C$32, $C$9, 100%, $E$9)</f>
        <v>27.119599999999998</v>
      </c>
      <c r="J820" s="27">
        <f>27.116 * CHOOSE(CONTROL!$C$32, $C$9, 100%, $E$9)</f>
        <v>27.116</v>
      </c>
      <c r="K820" s="27">
        <f>27.1196 * CHOOSE(CONTROL!$C$32, $C$9, 100%, $E$9)</f>
        <v>27.119599999999998</v>
      </c>
      <c r="L820" s="27">
        <f>13.4152 * CHOOSE(CONTROL!$C$32, $C$9, 100%, $E$9)</f>
        <v>13.4152</v>
      </c>
      <c r="M820" s="27">
        <f>13.4188 * CHOOSE(CONTROL!$C$32, $C$9, 100%, $E$9)</f>
        <v>13.418799999999999</v>
      </c>
      <c r="N820" s="27">
        <f>13.4152 * CHOOSE(CONTROL!$C$32, $C$9, 100%, $E$9)</f>
        <v>13.4152</v>
      </c>
      <c r="O820" s="27">
        <f>13.4188 * CHOOSE(CONTROL!$C$32, $C$9, 100%, $E$9)</f>
        <v>13.418799999999999</v>
      </c>
    </row>
    <row r="821" spans="1:15" ht="15" x14ac:dyDescent="0.2">
      <c r="A821" s="16">
        <v>65837</v>
      </c>
      <c r="B821" s="26">
        <f>12.004 * CHOOSE(CONTROL!$C$32, $C$9, 100%, $E$9)</f>
        <v>12.004</v>
      </c>
      <c r="C821" s="26">
        <f>12.004 * CHOOSE(CONTROL!$C$32, $C$9, 100%, $E$9)</f>
        <v>12.004</v>
      </c>
      <c r="D821" s="26">
        <f>12.0051 * CHOOSE(CONTROL!$C$32, $C$9, 100%, $E$9)</f>
        <v>12.005100000000001</v>
      </c>
      <c r="E821" s="27">
        <f>13.7155 * CHOOSE(CONTROL!$C$32, $C$9, 100%, $E$9)</f>
        <v>13.7155</v>
      </c>
      <c r="F821" s="27">
        <f>13.7155 * CHOOSE(CONTROL!$C$32, $C$9, 100%, $E$9)</f>
        <v>13.7155</v>
      </c>
      <c r="G821" s="27">
        <f>13.7191 * CHOOSE(CONTROL!$C$32, $C$9, 100%, $E$9)</f>
        <v>13.719099999999999</v>
      </c>
      <c r="H821" s="27">
        <f>27.1725 * CHOOSE(CONTROL!$C$32, $C$9, 100%, $E$9)</f>
        <v>27.172499999999999</v>
      </c>
      <c r="I821" s="27">
        <f>27.1761 * CHOOSE(CONTROL!$C$32, $C$9, 100%, $E$9)</f>
        <v>27.176100000000002</v>
      </c>
      <c r="J821" s="27">
        <f>27.1725 * CHOOSE(CONTROL!$C$32, $C$9, 100%, $E$9)</f>
        <v>27.172499999999999</v>
      </c>
      <c r="K821" s="27">
        <f>27.1761 * CHOOSE(CONTROL!$C$32, $C$9, 100%, $E$9)</f>
        <v>27.176100000000002</v>
      </c>
      <c r="L821" s="27">
        <f>13.7155 * CHOOSE(CONTROL!$C$32, $C$9, 100%, $E$9)</f>
        <v>13.7155</v>
      </c>
      <c r="M821" s="27">
        <f>13.7191 * CHOOSE(CONTROL!$C$32, $C$9, 100%, $E$9)</f>
        <v>13.719099999999999</v>
      </c>
      <c r="N821" s="27">
        <f>13.7155 * CHOOSE(CONTROL!$C$32, $C$9, 100%, $E$9)</f>
        <v>13.7155</v>
      </c>
      <c r="O821" s="27">
        <f>13.7191 * CHOOSE(CONTROL!$C$32, $C$9, 100%, $E$9)</f>
        <v>13.719099999999999</v>
      </c>
    </row>
    <row r="822" spans="1:15" ht="15" x14ac:dyDescent="0.2">
      <c r="A822" s="16">
        <v>65867</v>
      </c>
      <c r="B822" s="26">
        <f>12.004 * CHOOSE(CONTROL!$C$32, $C$9, 100%, $E$9)</f>
        <v>12.004</v>
      </c>
      <c r="C822" s="26">
        <f>12.004 * CHOOSE(CONTROL!$C$32, $C$9, 100%, $E$9)</f>
        <v>12.004</v>
      </c>
      <c r="D822" s="26">
        <f>12.0056 * CHOOSE(CONTROL!$C$32, $C$9, 100%, $E$9)</f>
        <v>12.005599999999999</v>
      </c>
      <c r="E822" s="27">
        <f>13.8298 * CHOOSE(CONTROL!$C$32, $C$9, 100%, $E$9)</f>
        <v>13.829800000000001</v>
      </c>
      <c r="F822" s="27">
        <f>13.8298 * CHOOSE(CONTROL!$C$32, $C$9, 100%, $E$9)</f>
        <v>13.829800000000001</v>
      </c>
      <c r="G822" s="27">
        <f>13.835 * CHOOSE(CONTROL!$C$32, $C$9, 100%, $E$9)</f>
        <v>13.835000000000001</v>
      </c>
      <c r="H822" s="27">
        <f>27.2291 * CHOOSE(CONTROL!$C$32, $C$9, 100%, $E$9)</f>
        <v>27.229099999999999</v>
      </c>
      <c r="I822" s="27">
        <f>27.2344 * CHOOSE(CONTROL!$C$32, $C$9, 100%, $E$9)</f>
        <v>27.234400000000001</v>
      </c>
      <c r="J822" s="27">
        <f>27.2291 * CHOOSE(CONTROL!$C$32, $C$9, 100%, $E$9)</f>
        <v>27.229099999999999</v>
      </c>
      <c r="K822" s="27">
        <f>27.2344 * CHOOSE(CONTROL!$C$32, $C$9, 100%, $E$9)</f>
        <v>27.234400000000001</v>
      </c>
      <c r="L822" s="27">
        <f>13.8298 * CHOOSE(CONTROL!$C$32, $C$9, 100%, $E$9)</f>
        <v>13.829800000000001</v>
      </c>
      <c r="M822" s="27">
        <f>13.835 * CHOOSE(CONTROL!$C$32, $C$9, 100%, $E$9)</f>
        <v>13.835000000000001</v>
      </c>
      <c r="N822" s="27">
        <f>13.8298 * CHOOSE(CONTROL!$C$32, $C$9, 100%, $E$9)</f>
        <v>13.829800000000001</v>
      </c>
      <c r="O822" s="27">
        <f>13.835 * CHOOSE(CONTROL!$C$32, $C$9, 100%, $E$9)</f>
        <v>13.835000000000001</v>
      </c>
    </row>
    <row r="823" spans="1:15" ht="15" x14ac:dyDescent="0.2">
      <c r="A823" s="16">
        <v>65898</v>
      </c>
      <c r="B823" s="26">
        <f>12.0101 * CHOOSE(CONTROL!$C$32, $C$9, 100%, $E$9)</f>
        <v>12.0101</v>
      </c>
      <c r="C823" s="26">
        <f>12.0101 * CHOOSE(CONTROL!$C$32, $C$9, 100%, $E$9)</f>
        <v>12.0101</v>
      </c>
      <c r="D823" s="26">
        <f>12.0116 * CHOOSE(CONTROL!$C$32, $C$9, 100%, $E$9)</f>
        <v>12.0116</v>
      </c>
      <c r="E823" s="27">
        <f>13.7198 * CHOOSE(CONTROL!$C$32, $C$9, 100%, $E$9)</f>
        <v>13.719799999999999</v>
      </c>
      <c r="F823" s="27">
        <f>13.7198 * CHOOSE(CONTROL!$C$32, $C$9, 100%, $E$9)</f>
        <v>13.719799999999999</v>
      </c>
      <c r="G823" s="27">
        <f>13.7251 * CHOOSE(CONTROL!$C$32, $C$9, 100%, $E$9)</f>
        <v>13.725099999999999</v>
      </c>
      <c r="H823" s="27">
        <f>27.2858 * CHOOSE(CONTROL!$C$32, $C$9, 100%, $E$9)</f>
        <v>27.285799999999998</v>
      </c>
      <c r="I823" s="27">
        <f>27.2911 * CHOOSE(CONTROL!$C$32, $C$9, 100%, $E$9)</f>
        <v>27.2911</v>
      </c>
      <c r="J823" s="27">
        <f>27.2858 * CHOOSE(CONTROL!$C$32, $C$9, 100%, $E$9)</f>
        <v>27.285799999999998</v>
      </c>
      <c r="K823" s="27">
        <f>27.2911 * CHOOSE(CONTROL!$C$32, $C$9, 100%, $E$9)</f>
        <v>27.2911</v>
      </c>
      <c r="L823" s="27">
        <f>13.7198 * CHOOSE(CONTROL!$C$32, $C$9, 100%, $E$9)</f>
        <v>13.719799999999999</v>
      </c>
      <c r="M823" s="27">
        <f>13.7251 * CHOOSE(CONTROL!$C$32, $C$9, 100%, $E$9)</f>
        <v>13.725099999999999</v>
      </c>
      <c r="N823" s="27">
        <f>13.7198 * CHOOSE(CONTROL!$C$32, $C$9, 100%, $E$9)</f>
        <v>13.719799999999999</v>
      </c>
      <c r="O823" s="27">
        <f>13.7251 * CHOOSE(CONTROL!$C$32, $C$9, 100%, $E$9)</f>
        <v>13.725099999999999</v>
      </c>
    </row>
    <row r="824" spans="1:15" ht="15" x14ac:dyDescent="0.2">
      <c r="A824" s="16">
        <v>65928</v>
      </c>
      <c r="B824" s="26">
        <f>12.1565 * CHOOSE(CONTROL!$C$32, $C$9, 100%, $E$9)</f>
        <v>12.156499999999999</v>
      </c>
      <c r="C824" s="26">
        <f>12.1565 * CHOOSE(CONTROL!$C$32, $C$9, 100%, $E$9)</f>
        <v>12.156499999999999</v>
      </c>
      <c r="D824" s="26">
        <f>12.1581 * CHOOSE(CONTROL!$C$32, $C$9, 100%, $E$9)</f>
        <v>12.158099999999999</v>
      </c>
      <c r="E824" s="27">
        <f>13.9135 * CHOOSE(CONTROL!$C$32, $C$9, 100%, $E$9)</f>
        <v>13.913500000000001</v>
      </c>
      <c r="F824" s="27">
        <f>13.9135 * CHOOSE(CONTROL!$C$32, $C$9, 100%, $E$9)</f>
        <v>13.913500000000001</v>
      </c>
      <c r="G824" s="27">
        <f>13.9188 * CHOOSE(CONTROL!$C$32, $C$9, 100%, $E$9)</f>
        <v>13.918799999999999</v>
      </c>
      <c r="H824" s="27">
        <f>27.3427 * CHOOSE(CONTROL!$C$32, $C$9, 100%, $E$9)</f>
        <v>27.342700000000001</v>
      </c>
      <c r="I824" s="27">
        <f>27.348 * CHOOSE(CONTROL!$C$32, $C$9, 100%, $E$9)</f>
        <v>27.347999999999999</v>
      </c>
      <c r="J824" s="27">
        <f>27.3427 * CHOOSE(CONTROL!$C$32, $C$9, 100%, $E$9)</f>
        <v>27.342700000000001</v>
      </c>
      <c r="K824" s="27">
        <f>27.348 * CHOOSE(CONTROL!$C$32, $C$9, 100%, $E$9)</f>
        <v>27.347999999999999</v>
      </c>
      <c r="L824" s="27">
        <f>13.9135 * CHOOSE(CONTROL!$C$32, $C$9, 100%, $E$9)</f>
        <v>13.913500000000001</v>
      </c>
      <c r="M824" s="27">
        <f>13.9188 * CHOOSE(CONTROL!$C$32, $C$9, 100%, $E$9)</f>
        <v>13.918799999999999</v>
      </c>
      <c r="N824" s="27">
        <f>13.9135 * CHOOSE(CONTROL!$C$32, $C$9, 100%, $E$9)</f>
        <v>13.913500000000001</v>
      </c>
      <c r="O824" s="27">
        <f>13.9188 * CHOOSE(CONTROL!$C$32, $C$9, 100%, $E$9)</f>
        <v>13.918799999999999</v>
      </c>
    </row>
    <row r="825" spans="1:15" ht="15" x14ac:dyDescent="0.2">
      <c r="A825" s="16">
        <v>65959</v>
      </c>
      <c r="B825" s="26">
        <f>12.1632 * CHOOSE(CONTROL!$C$32, $C$9, 100%, $E$9)</f>
        <v>12.1632</v>
      </c>
      <c r="C825" s="26">
        <f>12.1632 * CHOOSE(CONTROL!$C$32, $C$9, 100%, $E$9)</f>
        <v>12.1632</v>
      </c>
      <c r="D825" s="26">
        <f>12.1648 * CHOOSE(CONTROL!$C$32, $C$9, 100%, $E$9)</f>
        <v>12.1648</v>
      </c>
      <c r="E825" s="27">
        <f>13.5755 * CHOOSE(CONTROL!$C$32, $C$9, 100%, $E$9)</f>
        <v>13.5755</v>
      </c>
      <c r="F825" s="27">
        <f>13.5755 * CHOOSE(CONTROL!$C$32, $C$9, 100%, $E$9)</f>
        <v>13.5755</v>
      </c>
      <c r="G825" s="27">
        <f>13.5808 * CHOOSE(CONTROL!$C$32, $C$9, 100%, $E$9)</f>
        <v>13.5808</v>
      </c>
      <c r="H825" s="27">
        <f>27.3996 * CHOOSE(CONTROL!$C$32, $C$9, 100%, $E$9)</f>
        <v>27.3996</v>
      </c>
      <c r="I825" s="27">
        <f>27.4049 * CHOOSE(CONTROL!$C$32, $C$9, 100%, $E$9)</f>
        <v>27.404900000000001</v>
      </c>
      <c r="J825" s="27">
        <f>27.3996 * CHOOSE(CONTROL!$C$32, $C$9, 100%, $E$9)</f>
        <v>27.3996</v>
      </c>
      <c r="K825" s="27">
        <f>27.4049 * CHOOSE(CONTROL!$C$32, $C$9, 100%, $E$9)</f>
        <v>27.404900000000001</v>
      </c>
      <c r="L825" s="27">
        <f>13.5755 * CHOOSE(CONTROL!$C$32, $C$9, 100%, $E$9)</f>
        <v>13.5755</v>
      </c>
      <c r="M825" s="27">
        <f>13.5808 * CHOOSE(CONTROL!$C$32, $C$9, 100%, $E$9)</f>
        <v>13.5808</v>
      </c>
      <c r="N825" s="27">
        <f>13.5755 * CHOOSE(CONTROL!$C$32, $C$9, 100%, $E$9)</f>
        <v>13.5755</v>
      </c>
      <c r="O825" s="27">
        <f>13.5808 * CHOOSE(CONTROL!$C$32, $C$9, 100%, $E$9)</f>
        <v>13.5808</v>
      </c>
    </row>
    <row r="826" spans="1:15" ht="15" x14ac:dyDescent="0.2">
      <c r="A826" s="16">
        <v>65990</v>
      </c>
      <c r="B826" s="26">
        <f>12.1601 * CHOOSE(CONTROL!$C$32, $C$9, 100%, $E$9)</f>
        <v>12.1601</v>
      </c>
      <c r="C826" s="26">
        <f>12.1601 * CHOOSE(CONTROL!$C$32, $C$9, 100%, $E$9)</f>
        <v>12.1601</v>
      </c>
      <c r="D826" s="26">
        <f>12.1617 * CHOOSE(CONTROL!$C$32, $C$9, 100%, $E$9)</f>
        <v>12.1617</v>
      </c>
      <c r="E826" s="27">
        <f>13.5353 * CHOOSE(CONTROL!$C$32, $C$9, 100%, $E$9)</f>
        <v>13.535299999999999</v>
      </c>
      <c r="F826" s="27">
        <f>13.5353 * CHOOSE(CONTROL!$C$32, $C$9, 100%, $E$9)</f>
        <v>13.535299999999999</v>
      </c>
      <c r="G826" s="27">
        <f>13.5406 * CHOOSE(CONTROL!$C$32, $C$9, 100%, $E$9)</f>
        <v>13.5406</v>
      </c>
      <c r="H826" s="27">
        <f>27.4567 * CHOOSE(CONTROL!$C$32, $C$9, 100%, $E$9)</f>
        <v>27.456700000000001</v>
      </c>
      <c r="I826" s="27">
        <f>27.462 * CHOOSE(CONTROL!$C$32, $C$9, 100%, $E$9)</f>
        <v>27.462</v>
      </c>
      <c r="J826" s="27">
        <f>27.4567 * CHOOSE(CONTROL!$C$32, $C$9, 100%, $E$9)</f>
        <v>27.456700000000001</v>
      </c>
      <c r="K826" s="27">
        <f>27.462 * CHOOSE(CONTROL!$C$32, $C$9, 100%, $E$9)</f>
        <v>27.462</v>
      </c>
      <c r="L826" s="27">
        <f>13.5353 * CHOOSE(CONTROL!$C$32, $C$9, 100%, $E$9)</f>
        <v>13.535299999999999</v>
      </c>
      <c r="M826" s="27">
        <f>13.5406 * CHOOSE(CONTROL!$C$32, $C$9, 100%, $E$9)</f>
        <v>13.5406</v>
      </c>
      <c r="N826" s="27">
        <f>13.5353 * CHOOSE(CONTROL!$C$32, $C$9, 100%, $E$9)</f>
        <v>13.535299999999999</v>
      </c>
      <c r="O826" s="27">
        <f>13.5406 * CHOOSE(CONTROL!$C$32, $C$9, 100%, $E$9)</f>
        <v>13.5406</v>
      </c>
    </row>
    <row r="827" spans="1:15" ht="15" x14ac:dyDescent="0.2">
      <c r="A827" s="16">
        <v>66020</v>
      </c>
      <c r="B827" s="26">
        <f>12.1857 * CHOOSE(CONTROL!$C$32, $C$9, 100%, $E$9)</f>
        <v>12.185700000000001</v>
      </c>
      <c r="C827" s="26">
        <f>12.1857 * CHOOSE(CONTROL!$C$32, $C$9, 100%, $E$9)</f>
        <v>12.185700000000001</v>
      </c>
      <c r="D827" s="26">
        <f>12.1868 * CHOOSE(CONTROL!$C$32, $C$9, 100%, $E$9)</f>
        <v>12.1868</v>
      </c>
      <c r="E827" s="27">
        <f>13.6742 * CHOOSE(CONTROL!$C$32, $C$9, 100%, $E$9)</f>
        <v>13.674200000000001</v>
      </c>
      <c r="F827" s="27">
        <f>13.6742 * CHOOSE(CONTROL!$C$32, $C$9, 100%, $E$9)</f>
        <v>13.674200000000001</v>
      </c>
      <c r="G827" s="27">
        <f>13.6778 * CHOOSE(CONTROL!$C$32, $C$9, 100%, $E$9)</f>
        <v>13.6778</v>
      </c>
      <c r="H827" s="27">
        <f>27.5139 * CHOOSE(CONTROL!$C$32, $C$9, 100%, $E$9)</f>
        <v>27.5139</v>
      </c>
      <c r="I827" s="27">
        <f>27.5175 * CHOOSE(CONTROL!$C$32, $C$9, 100%, $E$9)</f>
        <v>27.517499999999998</v>
      </c>
      <c r="J827" s="27">
        <f>27.5139 * CHOOSE(CONTROL!$C$32, $C$9, 100%, $E$9)</f>
        <v>27.5139</v>
      </c>
      <c r="K827" s="27">
        <f>27.5175 * CHOOSE(CONTROL!$C$32, $C$9, 100%, $E$9)</f>
        <v>27.517499999999998</v>
      </c>
      <c r="L827" s="27">
        <f>13.6742 * CHOOSE(CONTROL!$C$32, $C$9, 100%, $E$9)</f>
        <v>13.674200000000001</v>
      </c>
      <c r="M827" s="27">
        <f>13.6778 * CHOOSE(CONTROL!$C$32, $C$9, 100%, $E$9)</f>
        <v>13.6778</v>
      </c>
      <c r="N827" s="27">
        <f>13.6742 * CHOOSE(CONTROL!$C$32, $C$9, 100%, $E$9)</f>
        <v>13.674200000000001</v>
      </c>
      <c r="O827" s="27">
        <f>13.6778 * CHOOSE(CONTROL!$C$32, $C$9, 100%, $E$9)</f>
        <v>13.6778</v>
      </c>
    </row>
    <row r="828" spans="1:15" ht="15" x14ac:dyDescent="0.2">
      <c r="A828" s="16">
        <v>66051</v>
      </c>
      <c r="B828" s="26">
        <f>12.1887 * CHOOSE(CONTROL!$C$32, $C$9, 100%, $E$9)</f>
        <v>12.188700000000001</v>
      </c>
      <c r="C828" s="26">
        <f>12.1887 * CHOOSE(CONTROL!$C$32, $C$9, 100%, $E$9)</f>
        <v>12.188700000000001</v>
      </c>
      <c r="D828" s="26">
        <f>12.1898 * CHOOSE(CONTROL!$C$32, $C$9, 100%, $E$9)</f>
        <v>12.1898</v>
      </c>
      <c r="E828" s="27">
        <f>13.7524 * CHOOSE(CONTROL!$C$32, $C$9, 100%, $E$9)</f>
        <v>13.7524</v>
      </c>
      <c r="F828" s="27">
        <f>13.7524 * CHOOSE(CONTROL!$C$32, $C$9, 100%, $E$9)</f>
        <v>13.7524</v>
      </c>
      <c r="G828" s="27">
        <f>13.7561 * CHOOSE(CONTROL!$C$32, $C$9, 100%, $E$9)</f>
        <v>13.7561</v>
      </c>
      <c r="H828" s="27">
        <f>27.5712 * CHOOSE(CONTROL!$C$32, $C$9, 100%, $E$9)</f>
        <v>27.571200000000001</v>
      </c>
      <c r="I828" s="27">
        <f>27.5749 * CHOOSE(CONTROL!$C$32, $C$9, 100%, $E$9)</f>
        <v>27.5749</v>
      </c>
      <c r="J828" s="27">
        <f>27.5712 * CHOOSE(CONTROL!$C$32, $C$9, 100%, $E$9)</f>
        <v>27.571200000000001</v>
      </c>
      <c r="K828" s="27">
        <f>27.5749 * CHOOSE(CONTROL!$C$32, $C$9, 100%, $E$9)</f>
        <v>27.5749</v>
      </c>
      <c r="L828" s="27">
        <f>13.7524 * CHOOSE(CONTROL!$C$32, $C$9, 100%, $E$9)</f>
        <v>13.7524</v>
      </c>
      <c r="M828" s="27">
        <f>13.7561 * CHOOSE(CONTROL!$C$32, $C$9, 100%, $E$9)</f>
        <v>13.7561</v>
      </c>
      <c r="N828" s="27">
        <f>13.7524 * CHOOSE(CONTROL!$C$32, $C$9, 100%, $E$9)</f>
        <v>13.7524</v>
      </c>
      <c r="O828" s="27">
        <f>13.7561 * CHOOSE(CONTROL!$C$32, $C$9, 100%, $E$9)</f>
        <v>13.7561</v>
      </c>
    </row>
    <row r="829" spans="1:15" ht="15" x14ac:dyDescent="0.2">
      <c r="A829" s="16">
        <v>66081</v>
      </c>
      <c r="B829" s="26">
        <f>12.1887 * CHOOSE(CONTROL!$C$32, $C$9, 100%, $E$9)</f>
        <v>12.188700000000001</v>
      </c>
      <c r="C829" s="26">
        <f>12.1887 * CHOOSE(CONTROL!$C$32, $C$9, 100%, $E$9)</f>
        <v>12.188700000000001</v>
      </c>
      <c r="D829" s="26">
        <f>12.1898 * CHOOSE(CONTROL!$C$32, $C$9, 100%, $E$9)</f>
        <v>12.1898</v>
      </c>
      <c r="E829" s="27">
        <f>13.5621 * CHOOSE(CONTROL!$C$32, $C$9, 100%, $E$9)</f>
        <v>13.562099999999999</v>
      </c>
      <c r="F829" s="27">
        <f>13.5621 * CHOOSE(CONTROL!$C$32, $C$9, 100%, $E$9)</f>
        <v>13.562099999999999</v>
      </c>
      <c r="G829" s="27">
        <f>13.5657 * CHOOSE(CONTROL!$C$32, $C$9, 100%, $E$9)</f>
        <v>13.5657</v>
      </c>
      <c r="H829" s="27">
        <f>27.6287 * CHOOSE(CONTROL!$C$32, $C$9, 100%, $E$9)</f>
        <v>27.628699999999998</v>
      </c>
      <c r="I829" s="27">
        <f>27.6323 * CHOOSE(CONTROL!$C$32, $C$9, 100%, $E$9)</f>
        <v>27.632300000000001</v>
      </c>
      <c r="J829" s="27">
        <f>27.6287 * CHOOSE(CONTROL!$C$32, $C$9, 100%, $E$9)</f>
        <v>27.628699999999998</v>
      </c>
      <c r="K829" s="27">
        <f>27.6323 * CHOOSE(CONTROL!$C$32, $C$9, 100%, $E$9)</f>
        <v>27.632300000000001</v>
      </c>
      <c r="L829" s="27">
        <f>13.5621 * CHOOSE(CONTROL!$C$32, $C$9, 100%, $E$9)</f>
        <v>13.562099999999999</v>
      </c>
      <c r="M829" s="27">
        <f>13.5657 * CHOOSE(CONTROL!$C$32, $C$9, 100%, $E$9)</f>
        <v>13.5657</v>
      </c>
      <c r="N829" s="27">
        <f>13.5621 * CHOOSE(CONTROL!$C$32, $C$9, 100%, $E$9)</f>
        <v>13.562099999999999</v>
      </c>
      <c r="O829" s="27">
        <f>13.5657 * CHOOSE(CONTROL!$C$32, $C$9, 100%, $E$9)</f>
        <v>13.5657</v>
      </c>
    </row>
    <row r="830" spans="1:15" ht="15" x14ac:dyDescent="0.2">
      <c r="A830" s="16">
        <v>66112</v>
      </c>
      <c r="B830" s="26">
        <f>12.192 * CHOOSE(CONTROL!$C$32, $C$9, 100%, $E$9)</f>
        <v>12.192</v>
      </c>
      <c r="C830" s="26">
        <f>12.192 * CHOOSE(CONTROL!$C$32, $C$9, 100%, $E$9)</f>
        <v>12.192</v>
      </c>
      <c r="D830" s="26">
        <f>12.1931 * CHOOSE(CONTROL!$C$32, $C$9, 100%, $E$9)</f>
        <v>12.193099999999999</v>
      </c>
      <c r="E830" s="27">
        <f>13.7081 * CHOOSE(CONTROL!$C$32, $C$9, 100%, $E$9)</f>
        <v>13.7081</v>
      </c>
      <c r="F830" s="27">
        <f>13.7081 * CHOOSE(CONTROL!$C$32, $C$9, 100%, $E$9)</f>
        <v>13.7081</v>
      </c>
      <c r="G830" s="27">
        <f>13.7117 * CHOOSE(CONTROL!$C$32, $C$9, 100%, $E$9)</f>
        <v>13.7117</v>
      </c>
      <c r="H830" s="27">
        <f>27.4569 * CHOOSE(CONTROL!$C$32, $C$9, 100%, $E$9)</f>
        <v>27.456900000000001</v>
      </c>
      <c r="I830" s="27">
        <f>27.4605 * CHOOSE(CONTROL!$C$32, $C$9, 100%, $E$9)</f>
        <v>27.4605</v>
      </c>
      <c r="J830" s="27">
        <f>27.4569 * CHOOSE(CONTROL!$C$32, $C$9, 100%, $E$9)</f>
        <v>27.456900000000001</v>
      </c>
      <c r="K830" s="27">
        <f>27.4605 * CHOOSE(CONTROL!$C$32, $C$9, 100%, $E$9)</f>
        <v>27.4605</v>
      </c>
      <c r="L830" s="27">
        <f>13.7081 * CHOOSE(CONTROL!$C$32, $C$9, 100%, $E$9)</f>
        <v>13.7081</v>
      </c>
      <c r="M830" s="27">
        <f>13.7117 * CHOOSE(CONTROL!$C$32, $C$9, 100%, $E$9)</f>
        <v>13.7117</v>
      </c>
      <c r="N830" s="27">
        <f>13.7081 * CHOOSE(CONTROL!$C$32, $C$9, 100%, $E$9)</f>
        <v>13.7081</v>
      </c>
      <c r="O830" s="27">
        <f>13.7117 * CHOOSE(CONTROL!$C$32, $C$9, 100%, $E$9)</f>
        <v>13.7117</v>
      </c>
    </row>
    <row r="831" spans="1:15" ht="15" x14ac:dyDescent="0.2">
      <c r="A831" s="16">
        <v>66143</v>
      </c>
      <c r="B831" s="26">
        <f>12.189 * CHOOSE(CONTROL!$C$32, $C$9, 100%, $E$9)</f>
        <v>12.189</v>
      </c>
      <c r="C831" s="26">
        <f>12.189 * CHOOSE(CONTROL!$C$32, $C$9, 100%, $E$9)</f>
        <v>12.189</v>
      </c>
      <c r="D831" s="26">
        <f>12.19 * CHOOSE(CONTROL!$C$32, $C$9, 100%, $E$9)</f>
        <v>12.19</v>
      </c>
      <c r="E831" s="27">
        <f>13.3391 * CHOOSE(CONTROL!$C$32, $C$9, 100%, $E$9)</f>
        <v>13.3391</v>
      </c>
      <c r="F831" s="27">
        <f>13.3391 * CHOOSE(CONTROL!$C$32, $C$9, 100%, $E$9)</f>
        <v>13.3391</v>
      </c>
      <c r="G831" s="27">
        <f>13.3427 * CHOOSE(CONTROL!$C$32, $C$9, 100%, $E$9)</f>
        <v>13.342700000000001</v>
      </c>
      <c r="H831" s="27">
        <f>27.5141 * CHOOSE(CONTROL!$C$32, $C$9, 100%, $E$9)</f>
        <v>27.514099999999999</v>
      </c>
      <c r="I831" s="27">
        <f>27.5177 * CHOOSE(CONTROL!$C$32, $C$9, 100%, $E$9)</f>
        <v>27.517700000000001</v>
      </c>
      <c r="J831" s="27">
        <f>27.5141 * CHOOSE(CONTROL!$C$32, $C$9, 100%, $E$9)</f>
        <v>27.514099999999999</v>
      </c>
      <c r="K831" s="27">
        <f>27.5177 * CHOOSE(CONTROL!$C$32, $C$9, 100%, $E$9)</f>
        <v>27.517700000000001</v>
      </c>
      <c r="L831" s="27">
        <f>13.3391 * CHOOSE(CONTROL!$C$32, $C$9, 100%, $E$9)</f>
        <v>13.3391</v>
      </c>
      <c r="M831" s="27">
        <f>13.3427 * CHOOSE(CONTROL!$C$32, $C$9, 100%, $E$9)</f>
        <v>13.342700000000001</v>
      </c>
      <c r="N831" s="27">
        <f>13.3391 * CHOOSE(CONTROL!$C$32, $C$9, 100%, $E$9)</f>
        <v>13.3391</v>
      </c>
      <c r="O831" s="27">
        <f>13.3427 * CHOOSE(CONTROL!$C$32, $C$9, 100%, $E$9)</f>
        <v>13.342700000000001</v>
      </c>
    </row>
    <row r="832" spans="1:15" ht="15" x14ac:dyDescent="0.2">
      <c r="A832" s="16">
        <v>66171</v>
      </c>
      <c r="B832" s="26">
        <f>12.1859 * CHOOSE(CONTROL!$C$32, $C$9, 100%, $E$9)</f>
        <v>12.1859</v>
      </c>
      <c r="C832" s="26">
        <f>12.1859 * CHOOSE(CONTROL!$C$32, $C$9, 100%, $E$9)</f>
        <v>12.1859</v>
      </c>
      <c r="D832" s="26">
        <f>12.187 * CHOOSE(CONTROL!$C$32, $C$9, 100%, $E$9)</f>
        <v>12.186999999999999</v>
      </c>
      <c r="E832" s="27">
        <f>13.6262 * CHOOSE(CONTROL!$C$32, $C$9, 100%, $E$9)</f>
        <v>13.626200000000001</v>
      </c>
      <c r="F832" s="27">
        <f>13.6262 * CHOOSE(CONTROL!$C$32, $C$9, 100%, $E$9)</f>
        <v>13.626200000000001</v>
      </c>
      <c r="G832" s="27">
        <f>13.6298 * CHOOSE(CONTROL!$C$32, $C$9, 100%, $E$9)</f>
        <v>13.629799999999999</v>
      </c>
      <c r="H832" s="27">
        <f>27.5714 * CHOOSE(CONTROL!$C$32, $C$9, 100%, $E$9)</f>
        <v>27.571400000000001</v>
      </c>
      <c r="I832" s="27">
        <f>27.575 * CHOOSE(CONTROL!$C$32, $C$9, 100%, $E$9)</f>
        <v>27.574999999999999</v>
      </c>
      <c r="J832" s="27">
        <f>27.5714 * CHOOSE(CONTROL!$C$32, $C$9, 100%, $E$9)</f>
        <v>27.571400000000001</v>
      </c>
      <c r="K832" s="27">
        <f>27.575 * CHOOSE(CONTROL!$C$32, $C$9, 100%, $E$9)</f>
        <v>27.574999999999999</v>
      </c>
      <c r="L832" s="27">
        <f>13.6262 * CHOOSE(CONTROL!$C$32, $C$9, 100%, $E$9)</f>
        <v>13.626200000000001</v>
      </c>
      <c r="M832" s="27">
        <f>13.6298 * CHOOSE(CONTROL!$C$32, $C$9, 100%, $E$9)</f>
        <v>13.629799999999999</v>
      </c>
      <c r="N832" s="27">
        <f>13.6262 * CHOOSE(CONTROL!$C$32, $C$9, 100%, $E$9)</f>
        <v>13.626200000000001</v>
      </c>
      <c r="O832" s="27">
        <f>13.6298 * CHOOSE(CONTROL!$C$32, $C$9, 100%, $E$9)</f>
        <v>13.629799999999999</v>
      </c>
    </row>
    <row r="833" spans="1:15" ht="15" x14ac:dyDescent="0.2">
      <c r="A833" s="16">
        <v>66202</v>
      </c>
      <c r="B833" s="26">
        <f>12.1915 * CHOOSE(CONTROL!$C$32, $C$9, 100%, $E$9)</f>
        <v>12.1915</v>
      </c>
      <c r="C833" s="26">
        <f>12.1915 * CHOOSE(CONTROL!$C$32, $C$9, 100%, $E$9)</f>
        <v>12.1915</v>
      </c>
      <c r="D833" s="26">
        <f>12.1926 * CHOOSE(CONTROL!$C$32, $C$9, 100%, $E$9)</f>
        <v>12.192600000000001</v>
      </c>
      <c r="E833" s="27">
        <f>13.9325 * CHOOSE(CONTROL!$C$32, $C$9, 100%, $E$9)</f>
        <v>13.932499999999999</v>
      </c>
      <c r="F833" s="27">
        <f>13.9325 * CHOOSE(CONTROL!$C$32, $C$9, 100%, $E$9)</f>
        <v>13.932499999999999</v>
      </c>
      <c r="G833" s="27">
        <f>13.9361 * CHOOSE(CONTROL!$C$32, $C$9, 100%, $E$9)</f>
        <v>13.9361</v>
      </c>
      <c r="H833" s="27">
        <f>27.6288 * CHOOSE(CONTROL!$C$32, $C$9, 100%, $E$9)</f>
        <v>27.628799999999998</v>
      </c>
      <c r="I833" s="27">
        <f>27.6325 * CHOOSE(CONTROL!$C$32, $C$9, 100%, $E$9)</f>
        <v>27.6325</v>
      </c>
      <c r="J833" s="27">
        <f>27.6288 * CHOOSE(CONTROL!$C$32, $C$9, 100%, $E$9)</f>
        <v>27.628799999999998</v>
      </c>
      <c r="K833" s="27">
        <f>27.6325 * CHOOSE(CONTROL!$C$32, $C$9, 100%, $E$9)</f>
        <v>27.6325</v>
      </c>
      <c r="L833" s="27">
        <f>13.9325 * CHOOSE(CONTROL!$C$32, $C$9, 100%, $E$9)</f>
        <v>13.932499999999999</v>
      </c>
      <c r="M833" s="27">
        <f>13.9361 * CHOOSE(CONTROL!$C$32, $C$9, 100%, $E$9)</f>
        <v>13.9361</v>
      </c>
      <c r="N833" s="27">
        <f>13.9325 * CHOOSE(CONTROL!$C$32, $C$9, 100%, $E$9)</f>
        <v>13.932499999999999</v>
      </c>
      <c r="O833" s="27">
        <f>13.9361 * CHOOSE(CONTROL!$C$32, $C$9, 100%, $E$9)</f>
        <v>13.9361</v>
      </c>
    </row>
    <row r="834" spans="1:15" ht="15" x14ac:dyDescent="0.2">
      <c r="A834" s="16">
        <v>66232</v>
      </c>
      <c r="B834" s="26">
        <f>12.1915 * CHOOSE(CONTROL!$C$32, $C$9, 100%, $E$9)</f>
        <v>12.1915</v>
      </c>
      <c r="C834" s="26">
        <f>12.1915 * CHOOSE(CONTROL!$C$32, $C$9, 100%, $E$9)</f>
        <v>12.1915</v>
      </c>
      <c r="D834" s="26">
        <f>12.1931 * CHOOSE(CONTROL!$C$32, $C$9, 100%, $E$9)</f>
        <v>12.193099999999999</v>
      </c>
      <c r="E834" s="27">
        <f>14.049 * CHOOSE(CONTROL!$C$32, $C$9, 100%, $E$9)</f>
        <v>14.048999999999999</v>
      </c>
      <c r="F834" s="27">
        <f>14.049 * CHOOSE(CONTROL!$C$32, $C$9, 100%, $E$9)</f>
        <v>14.048999999999999</v>
      </c>
      <c r="G834" s="27">
        <f>14.0543 * CHOOSE(CONTROL!$C$32, $C$9, 100%, $E$9)</f>
        <v>14.0543</v>
      </c>
      <c r="H834" s="27">
        <f>27.6864 * CHOOSE(CONTROL!$C$32, $C$9, 100%, $E$9)</f>
        <v>27.686399999999999</v>
      </c>
      <c r="I834" s="27">
        <f>27.6917 * CHOOSE(CONTROL!$C$32, $C$9, 100%, $E$9)</f>
        <v>27.691700000000001</v>
      </c>
      <c r="J834" s="27">
        <f>27.6864 * CHOOSE(CONTROL!$C$32, $C$9, 100%, $E$9)</f>
        <v>27.686399999999999</v>
      </c>
      <c r="K834" s="27">
        <f>27.6917 * CHOOSE(CONTROL!$C$32, $C$9, 100%, $E$9)</f>
        <v>27.691700000000001</v>
      </c>
      <c r="L834" s="27">
        <f>14.049 * CHOOSE(CONTROL!$C$32, $C$9, 100%, $E$9)</f>
        <v>14.048999999999999</v>
      </c>
      <c r="M834" s="27">
        <f>14.0543 * CHOOSE(CONTROL!$C$32, $C$9, 100%, $E$9)</f>
        <v>14.0543</v>
      </c>
      <c r="N834" s="27">
        <f>14.049 * CHOOSE(CONTROL!$C$32, $C$9, 100%, $E$9)</f>
        <v>14.048999999999999</v>
      </c>
      <c r="O834" s="27">
        <f>14.0543 * CHOOSE(CONTROL!$C$32, $C$9, 100%, $E$9)</f>
        <v>14.0543</v>
      </c>
    </row>
    <row r="835" spans="1:15" ht="15" x14ac:dyDescent="0.2">
      <c r="A835" s="16">
        <v>66263</v>
      </c>
      <c r="B835" s="26">
        <f>12.1976 * CHOOSE(CONTROL!$C$32, $C$9, 100%, $E$9)</f>
        <v>12.1976</v>
      </c>
      <c r="C835" s="26">
        <f>12.1976 * CHOOSE(CONTROL!$C$32, $C$9, 100%, $E$9)</f>
        <v>12.1976</v>
      </c>
      <c r="D835" s="26">
        <f>12.1992 * CHOOSE(CONTROL!$C$32, $C$9, 100%, $E$9)</f>
        <v>12.199199999999999</v>
      </c>
      <c r="E835" s="27">
        <f>13.9368 * CHOOSE(CONTROL!$C$32, $C$9, 100%, $E$9)</f>
        <v>13.9368</v>
      </c>
      <c r="F835" s="27">
        <f>13.9368 * CHOOSE(CONTROL!$C$32, $C$9, 100%, $E$9)</f>
        <v>13.9368</v>
      </c>
      <c r="G835" s="27">
        <f>13.9421 * CHOOSE(CONTROL!$C$32, $C$9, 100%, $E$9)</f>
        <v>13.9421</v>
      </c>
      <c r="H835" s="27">
        <f>27.7441 * CHOOSE(CONTROL!$C$32, $C$9, 100%, $E$9)</f>
        <v>27.7441</v>
      </c>
      <c r="I835" s="27">
        <f>27.7494 * CHOOSE(CONTROL!$C$32, $C$9, 100%, $E$9)</f>
        <v>27.749400000000001</v>
      </c>
      <c r="J835" s="27">
        <f>27.7441 * CHOOSE(CONTROL!$C$32, $C$9, 100%, $E$9)</f>
        <v>27.7441</v>
      </c>
      <c r="K835" s="27">
        <f>27.7494 * CHOOSE(CONTROL!$C$32, $C$9, 100%, $E$9)</f>
        <v>27.749400000000001</v>
      </c>
      <c r="L835" s="27">
        <f>13.9368 * CHOOSE(CONTROL!$C$32, $C$9, 100%, $E$9)</f>
        <v>13.9368</v>
      </c>
      <c r="M835" s="27">
        <f>13.9421 * CHOOSE(CONTROL!$C$32, $C$9, 100%, $E$9)</f>
        <v>13.9421</v>
      </c>
      <c r="N835" s="27">
        <f>13.9368 * CHOOSE(CONTROL!$C$32, $C$9, 100%, $E$9)</f>
        <v>13.9368</v>
      </c>
      <c r="O835" s="27">
        <f>13.9421 * CHOOSE(CONTROL!$C$32, $C$9, 100%, $E$9)</f>
        <v>13.9421</v>
      </c>
    </row>
    <row r="836" spans="1:15" ht="15" x14ac:dyDescent="0.2">
      <c r="A836" s="16">
        <v>66293</v>
      </c>
      <c r="B836" s="26">
        <f>12.3461 * CHOOSE(CONTROL!$C$32, $C$9, 100%, $E$9)</f>
        <v>12.3461</v>
      </c>
      <c r="C836" s="26">
        <f>12.3461 * CHOOSE(CONTROL!$C$32, $C$9, 100%, $E$9)</f>
        <v>12.3461</v>
      </c>
      <c r="D836" s="26">
        <f>12.3477 * CHOOSE(CONTROL!$C$32, $C$9, 100%, $E$9)</f>
        <v>12.3477</v>
      </c>
      <c r="E836" s="27">
        <f>14.1337 * CHOOSE(CONTROL!$C$32, $C$9, 100%, $E$9)</f>
        <v>14.133699999999999</v>
      </c>
      <c r="F836" s="27">
        <f>14.1337 * CHOOSE(CONTROL!$C$32, $C$9, 100%, $E$9)</f>
        <v>14.133699999999999</v>
      </c>
      <c r="G836" s="27">
        <f>14.139 * CHOOSE(CONTROL!$C$32, $C$9, 100%, $E$9)</f>
        <v>14.138999999999999</v>
      </c>
      <c r="H836" s="27">
        <f>27.8019 * CHOOSE(CONTROL!$C$32, $C$9, 100%, $E$9)</f>
        <v>27.8019</v>
      </c>
      <c r="I836" s="27">
        <f>27.8072 * CHOOSE(CONTROL!$C$32, $C$9, 100%, $E$9)</f>
        <v>27.807200000000002</v>
      </c>
      <c r="J836" s="27">
        <f>27.8019 * CHOOSE(CONTROL!$C$32, $C$9, 100%, $E$9)</f>
        <v>27.8019</v>
      </c>
      <c r="K836" s="27">
        <f>27.8072 * CHOOSE(CONTROL!$C$32, $C$9, 100%, $E$9)</f>
        <v>27.807200000000002</v>
      </c>
      <c r="L836" s="27">
        <f>14.1337 * CHOOSE(CONTROL!$C$32, $C$9, 100%, $E$9)</f>
        <v>14.133699999999999</v>
      </c>
      <c r="M836" s="27">
        <f>14.139 * CHOOSE(CONTROL!$C$32, $C$9, 100%, $E$9)</f>
        <v>14.138999999999999</v>
      </c>
      <c r="N836" s="27">
        <f>14.1337 * CHOOSE(CONTROL!$C$32, $C$9, 100%, $E$9)</f>
        <v>14.133699999999999</v>
      </c>
      <c r="O836" s="27">
        <f>14.139 * CHOOSE(CONTROL!$C$32, $C$9, 100%, $E$9)</f>
        <v>14.138999999999999</v>
      </c>
    </row>
    <row r="837" spans="1:15" ht="15" x14ac:dyDescent="0.2">
      <c r="A837" s="16">
        <v>66324</v>
      </c>
      <c r="B837" s="26">
        <f>12.3528 * CHOOSE(CONTROL!$C$32, $C$9, 100%, $E$9)</f>
        <v>12.3528</v>
      </c>
      <c r="C837" s="26">
        <f>12.3528 * CHOOSE(CONTROL!$C$32, $C$9, 100%, $E$9)</f>
        <v>12.3528</v>
      </c>
      <c r="D837" s="26">
        <f>12.3544 * CHOOSE(CONTROL!$C$32, $C$9, 100%, $E$9)</f>
        <v>12.3544</v>
      </c>
      <c r="E837" s="27">
        <f>13.7889 * CHOOSE(CONTROL!$C$32, $C$9, 100%, $E$9)</f>
        <v>13.7889</v>
      </c>
      <c r="F837" s="27">
        <f>13.7889 * CHOOSE(CONTROL!$C$32, $C$9, 100%, $E$9)</f>
        <v>13.7889</v>
      </c>
      <c r="G837" s="27">
        <f>13.7942 * CHOOSE(CONTROL!$C$32, $C$9, 100%, $E$9)</f>
        <v>13.7942</v>
      </c>
      <c r="H837" s="27">
        <f>27.8598 * CHOOSE(CONTROL!$C$32, $C$9, 100%, $E$9)</f>
        <v>27.8598</v>
      </c>
      <c r="I837" s="27">
        <f>27.8651 * CHOOSE(CONTROL!$C$32, $C$9, 100%, $E$9)</f>
        <v>27.865100000000002</v>
      </c>
      <c r="J837" s="27">
        <f>27.8598 * CHOOSE(CONTROL!$C$32, $C$9, 100%, $E$9)</f>
        <v>27.8598</v>
      </c>
      <c r="K837" s="27">
        <f>27.8651 * CHOOSE(CONTROL!$C$32, $C$9, 100%, $E$9)</f>
        <v>27.865100000000002</v>
      </c>
      <c r="L837" s="27">
        <f>13.7889 * CHOOSE(CONTROL!$C$32, $C$9, 100%, $E$9)</f>
        <v>13.7889</v>
      </c>
      <c r="M837" s="27">
        <f>13.7942 * CHOOSE(CONTROL!$C$32, $C$9, 100%, $E$9)</f>
        <v>13.7942</v>
      </c>
      <c r="N837" s="27">
        <f>13.7889 * CHOOSE(CONTROL!$C$32, $C$9, 100%, $E$9)</f>
        <v>13.7889</v>
      </c>
      <c r="O837" s="27">
        <f>13.7942 * CHOOSE(CONTROL!$C$32, $C$9, 100%, $E$9)</f>
        <v>13.7942</v>
      </c>
    </row>
    <row r="838" spans="1:15" ht="15" x14ac:dyDescent="0.2">
      <c r="A838" s="16">
        <v>66355</v>
      </c>
      <c r="B838" s="26">
        <f>12.3497 * CHOOSE(CONTROL!$C$32, $C$9, 100%, $E$9)</f>
        <v>12.3497</v>
      </c>
      <c r="C838" s="26">
        <f>12.3497 * CHOOSE(CONTROL!$C$32, $C$9, 100%, $E$9)</f>
        <v>12.3497</v>
      </c>
      <c r="D838" s="26">
        <f>12.3513 * CHOOSE(CONTROL!$C$32, $C$9, 100%, $E$9)</f>
        <v>12.3513</v>
      </c>
      <c r="E838" s="27">
        <f>13.748 * CHOOSE(CONTROL!$C$32, $C$9, 100%, $E$9)</f>
        <v>13.747999999999999</v>
      </c>
      <c r="F838" s="27">
        <f>13.748 * CHOOSE(CONTROL!$C$32, $C$9, 100%, $E$9)</f>
        <v>13.747999999999999</v>
      </c>
      <c r="G838" s="27">
        <f>13.7533 * CHOOSE(CONTROL!$C$32, $C$9, 100%, $E$9)</f>
        <v>13.753299999999999</v>
      </c>
      <c r="H838" s="27">
        <f>27.9178 * CHOOSE(CONTROL!$C$32, $C$9, 100%, $E$9)</f>
        <v>27.9178</v>
      </c>
      <c r="I838" s="27">
        <f>27.9231 * CHOOSE(CONTROL!$C$32, $C$9, 100%, $E$9)</f>
        <v>27.923100000000002</v>
      </c>
      <c r="J838" s="27">
        <f>27.9178 * CHOOSE(CONTROL!$C$32, $C$9, 100%, $E$9)</f>
        <v>27.9178</v>
      </c>
      <c r="K838" s="27">
        <f>27.9231 * CHOOSE(CONTROL!$C$32, $C$9, 100%, $E$9)</f>
        <v>27.923100000000002</v>
      </c>
      <c r="L838" s="27">
        <f>13.748 * CHOOSE(CONTROL!$C$32, $C$9, 100%, $E$9)</f>
        <v>13.747999999999999</v>
      </c>
      <c r="M838" s="27">
        <f>13.7533 * CHOOSE(CONTROL!$C$32, $C$9, 100%, $E$9)</f>
        <v>13.753299999999999</v>
      </c>
      <c r="N838" s="27">
        <f>13.748 * CHOOSE(CONTROL!$C$32, $C$9, 100%, $E$9)</f>
        <v>13.747999999999999</v>
      </c>
      <c r="O838" s="27">
        <f>13.7533 * CHOOSE(CONTROL!$C$32, $C$9, 100%, $E$9)</f>
        <v>13.753299999999999</v>
      </c>
    </row>
    <row r="839" spans="1:15" ht="15" x14ac:dyDescent="0.2">
      <c r="A839" s="16">
        <v>66385</v>
      </c>
      <c r="B839" s="26">
        <f>12.376 * CHOOSE(CONTROL!$C$32, $C$9, 100%, $E$9)</f>
        <v>12.375999999999999</v>
      </c>
      <c r="C839" s="26">
        <f>12.376 * CHOOSE(CONTROL!$C$32, $C$9, 100%, $E$9)</f>
        <v>12.375999999999999</v>
      </c>
      <c r="D839" s="26">
        <f>12.3771 * CHOOSE(CONTROL!$C$32, $C$9, 100%, $E$9)</f>
        <v>12.3771</v>
      </c>
      <c r="E839" s="27">
        <f>13.8899 * CHOOSE(CONTROL!$C$32, $C$9, 100%, $E$9)</f>
        <v>13.889900000000001</v>
      </c>
      <c r="F839" s="27">
        <f>13.8899 * CHOOSE(CONTROL!$C$32, $C$9, 100%, $E$9)</f>
        <v>13.889900000000001</v>
      </c>
      <c r="G839" s="27">
        <f>13.8935 * CHOOSE(CONTROL!$C$32, $C$9, 100%, $E$9)</f>
        <v>13.8935</v>
      </c>
      <c r="H839" s="27">
        <f>27.976 * CHOOSE(CONTROL!$C$32, $C$9, 100%, $E$9)</f>
        <v>27.975999999999999</v>
      </c>
      <c r="I839" s="27">
        <f>27.9796 * CHOOSE(CONTROL!$C$32, $C$9, 100%, $E$9)</f>
        <v>27.979600000000001</v>
      </c>
      <c r="J839" s="27">
        <f>27.976 * CHOOSE(CONTROL!$C$32, $C$9, 100%, $E$9)</f>
        <v>27.975999999999999</v>
      </c>
      <c r="K839" s="27">
        <f>27.9796 * CHOOSE(CONTROL!$C$32, $C$9, 100%, $E$9)</f>
        <v>27.979600000000001</v>
      </c>
      <c r="L839" s="27">
        <f>13.8899 * CHOOSE(CONTROL!$C$32, $C$9, 100%, $E$9)</f>
        <v>13.889900000000001</v>
      </c>
      <c r="M839" s="27">
        <f>13.8935 * CHOOSE(CONTROL!$C$32, $C$9, 100%, $E$9)</f>
        <v>13.8935</v>
      </c>
      <c r="N839" s="27">
        <f>13.8899 * CHOOSE(CONTROL!$C$32, $C$9, 100%, $E$9)</f>
        <v>13.889900000000001</v>
      </c>
      <c r="O839" s="27">
        <f>13.8935 * CHOOSE(CONTROL!$C$32, $C$9, 100%, $E$9)</f>
        <v>13.8935</v>
      </c>
    </row>
    <row r="840" spans="1:15" ht="15" x14ac:dyDescent="0.2">
      <c r="A840" s="16">
        <v>66416</v>
      </c>
      <c r="B840" s="26">
        <f>12.379 * CHOOSE(CONTROL!$C$32, $C$9, 100%, $E$9)</f>
        <v>12.379</v>
      </c>
      <c r="C840" s="26">
        <f>12.379 * CHOOSE(CONTROL!$C$32, $C$9, 100%, $E$9)</f>
        <v>12.379</v>
      </c>
      <c r="D840" s="26">
        <f>12.3801 * CHOOSE(CONTROL!$C$32, $C$9, 100%, $E$9)</f>
        <v>12.380100000000001</v>
      </c>
      <c r="E840" s="27">
        <f>13.9696 * CHOOSE(CONTROL!$C$32, $C$9, 100%, $E$9)</f>
        <v>13.9696</v>
      </c>
      <c r="F840" s="27">
        <f>13.9696 * CHOOSE(CONTROL!$C$32, $C$9, 100%, $E$9)</f>
        <v>13.9696</v>
      </c>
      <c r="G840" s="27">
        <f>13.9732 * CHOOSE(CONTROL!$C$32, $C$9, 100%, $E$9)</f>
        <v>13.9732</v>
      </c>
      <c r="H840" s="27">
        <f>28.0343 * CHOOSE(CONTROL!$C$32, $C$9, 100%, $E$9)</f>
        <v>28.034300000000002</v>
      </c>
      <c r="I840" s="27">
        <f>28.0379 * CHOOSE(CONTROL!$C$32, $C$9, 100%, $E$9)</f>
        <v>28.0379</v>
      </c>
      <c r="J840" s="27">
        <f>28.0343 * CHOOSE(CONTROL!$C$32, $C$9, 100%, $E$9)</f>
        <v>28.034300000000002</v>
      </c>
      <c r="K840" s="27">
        <f>28.0379 * CHOOSE(CONTROL!$C$32, $C$9, 100%, $E$9)</f>
        <v>28.0379</v>
      </c>
      <c r="L840" s="27">
        <f>13.9696 * CHOOSE(CONTROL!$C$32, $C$9, 100%, $E$9)</f>
        <v>13.9696</v>
      </c>
      <c r="M840" s="27">
        <f>13.9732 * CHOOSE(CONTROL!$C$32, $C$9, 100%, $E$9)</f>
        <v>13.9732</v>
      </c>
      <c r="N840" s="27">
        <f>13.9696 * CHOOSE(CONTROL!$C$32, $C$9, 100%, $E$9)</f>
        <v>13.9696</v>
      </c>
      <c r="O840" s="27">
        <f>13.9732 * CHOOSE(CONTROL!$C$32, $C$9, 100%, $E$9)</f>
        <v>13.9732</v>
      </c>
    </row>
    <row r="841" spans="1:15" ht="15" x14ac:dyDescent="0.2">
      <c r="A841" s="16">
        <v>66446</v>
      </c>
      <c r="B841" s="26">
        <f>12.379 * CHOOSE(CONTROL!$C$32, $C$9, 100%, $E$9)</f>
        <v>12.379</v>
      </c>
      <c r="C841" s="26">
        <f>12.379 * CHOOSE(CONTROL!$C$32, $C$9, 100%, $E$9)</f>
        <v>12.379</v>
      </c>
      <c r="D841" s="26">
        <f>12.3801 * CHOOSE(CONTROL!$C$32, $C$9, 100%, $E$9)</f>
        <v>12.380100000000001</v>
      </c>
      <c r="E841" s="27">
        <f>13.7755 * CHOOSE(CONTROL!$C$32, $C$9, 100%, $E$9)</f>
        <v>13.775499999999999</v>
      </c>
      <c r="F841" s="27">
        <f>13.7755 * CHOOSE(CONTROL!$C$32, $C$9, 100%, $E$9)</f>
        <v>13.775499999999999</v>
      </c>
      <c r="G841" s="27">
        <f>13.7791 * CHOOSE(CONTROL!$C$32, $C$9, 100%, $E$9)</f>
        <v>13.7791</v>
      </c>
      <c r="H841" s="27">
        <f>28.0927 * CHOOSE(CONTROL!$C$32, $C$9, 100%, $E$9)</f>
        <v>28.092700000000001</v>
      </c>
      <c r="I841" s="27">
        <f>28.0963 * CHOOSE(CONTROL!$C$32, $C$9, 100%, $E$9)</f>
        <v>28.096299999999999</v>
      </c>
      <c r="J841" s="27">
        <f>28.0927 * CHOOSE(CONTROL!$C$32, $C$9, 100%, $E$9)</f>
        <v>28.092700000000001</v>
      </c>
      <c r="K841" s="27">
        <f>28.0963 * CHOOSE(CONTROL!$C$32, $C$9, 100%, $E$9)</f>
        <v>28.096299999999999</v>
      </c>
      <c r="L841" s="27">
        <f>13.7755 * CHOOSE(CONTROL!$C$32, $C$9, 100%, $E$9)</f>
        <v>13.775499999999999</v>
      </c>
      <c r="M841" s="27">
        <f>13.7791 * CHOOSE(CONTROL!$C$32, $C$9, 100%, $E$9)</f>
        <v>13.7791</v>
      </c>
      <c r="N841" s="27">
        <f>13.7755 * CHOOSE(CONTROL!$C$32, $C$9, 100%, $E$9)</f>
        <v>13.775499999999999</v>
      </c>
      <c r="O841" s="27">
        <f>13.7791 * CHOOSE(CONTROL!$C$32, $C$9, 100%, $E$9)</f>
        <v>13.7791</v>
      </c>
    </row>
    <row r="842" spans="1:15" ht="15" x14ac:dyDescent="0.2">
      <c r="A842" s="16">
        <v>66477</v>
      </c>
      <c r="B842" s="26">
        <f>12.3794 * CHOOSE(CONTROL!$C$32, $C$9, 100%, $E$9)</f>
        <v>12.3794</v>
      </c>
      <c r="C842" s="26">
        <f>12.3794 * CHOOSE(CONTROL!$C$32, $C$9, 100%, $E$9)</f>
        <v>12.3794</v>
      </c>
      <c r="D842" s="26">
        <f>12.3804 * CHOOSE(CONTROL!$C$32, $C$9, 100%, $E$9)</f>
        <v>12.3804</v>
      </c>
      <c r="E842" s="27">
        <f>13.9206 * CHOOSE(CONTROL!$C$32, $C$9, 100%, $E$9)</f>
        <v>13.9206</v>
      </c>
      <c r="F842" s="27">
        <f>13.9206 * CHOOSE(CONTROL!$C$32, $C$9, 100%, $E$9)</f>
        <v>13.9206</v>
      </c>
      <c r="G842" s="27">
        <f>13.9242 * CHOOSE(CONTROL!$C$32, $C$9, 100%, $E$9)</f>
        <v>13.924200000000001</v>
      </c>
      <c r="H842" s="27">
        <f>27.9104 * CHOOSE(CONTROL!$C$32, $C$9, 100%, $E$9)</f>
        <v>27.910399999999999</v>
      </c>
      <c r="I842" s="27">
        <f>27.914 * CHOOSE(CONTROL!$C$32, $C$9, 100%, $E$9)</f>
        <v>27.914000000000001</v>
      </c>
      <c r="J842" s="27">
        <f>27.9104 * CHOOSE(CONTROL!$C$32, $C$9, 100%, $E$9)</f>
        <v>27.910399999999999</v>
      </c>
      <c r="K842" s="27">
        <f>27.914 * CHOOSE(CONTROL!$C$32, $C$9, 100%, $E$9)</f>
        <v>27.914000000000001</v>
      </c>
      <c r="L842" s="27">
        <f>13.9206 * CHOOSE(CONTROL!$C$32, $C$9, 100%, $E$9)</f>
        <v>13.9206</v>
      </c>
      <c r="M842" s="27">
        <f>13.9242 * CHOOSE(CONTROL!$C$32, $C$9, 100%, $E$9)</f>
        <v>13.924200000000001</v>
      </c>
      <c r="N842" s="27">
        <f>13.9206 * CHOOSE(CONTROL!$C$32, $C$9, 100%, $E$9)</f>
        <v>13.9206</v>
      </c>
      <c r="O842" s="27">
        <f>13.9242 * CHOOSE(CONTROL!$C$32, $C$9, 100%, $E$9)</f>
        <v>13.924200000000001</v>
      </c>
    </row>
    <row r="843" spans="1:15" ht="15" x14ac:dyDescent="0.2">
      <c r="A843" s="16">
        <v>66508</v>
      </c>
      <c r="B843" s="26">
        <f>12.3763 * CHOOSE(CONTROL!$C$32, $C$9, 100%, $E$9)</f>
        <v>12.376300000000001</v>
      </c>
      <c r="C843" s="26">
        <f>12.3763 * CHOOSE(CONTROL!$C$32, $C$9, 100%, $E$9)</f>
        <v>12.376300000000001</v>
      </c>
      <c r="D843" s="26">
        <f>12.3774 * CHOOSE(CONTROL!$C$32, $C$9, 100%, $E$9)</f>
        <v>12.3774</v>
      </c>
      <c r="E843" s="27">
        <f>13.5445 * CHOOSE(CONTROL!$C$32, $C$9, 100%, $E$9)</f>
        <v>13.544499999999999</v>
      </c>
      <c r="F843" s="27">
        <f>13.5445 * CHOOSE(CONTROL!$C$32, $C$9, 100%, $E$9)</f>
        <v>13.544499999999999</v>
      </c>
      <c r="G843" s="27">
        <f>13.5481 * CHOOSE(CONTROL!$C$32, $C$9, 100%, $E$9)</f>
        <v>13.5481</v>
      </c>
      <c r="H843" s="27">
        <f>27.9685 * CHOOSE(CONTROL!$C$32, $C$9, 100%, $E$9)</f>
        <v>27.968499999999999</v>
      </c>
      <c r="I843" s="27">
        <f>27.9721 * CHOOSE(CONTROL!$C$32, $C$9, 100%, $E$9)</f>
        <v>27.972100000000001</v>
      </c>
      <c r="J843" s="27">
        <f>27.9685 * CHOOSE(CONTROL!$C$32, $C$9, 100%, $E$9)</f>
        <v>27.968499999999999</v>
      </c>
      <c r="K843" s="27">
        <f>27.9721 * CHOOSE(CONTROL!$C$32, $C$9, 100%, $E$9)</f>
        <v>27.972100000000001</v>
      </c>
      <c r="L843" s="27">
        <f>13.5445 * CHOOSE(CONTROL!$C$32, $C$9, 100%, $E$9)</f>
        <v>13.544499999999999</v>
      </c>
      <c r="M843" s="27">
        <f>13.5481 * CHOOSE(CONTROL!$C$32, $C$9, 100%, $E$9)</f>
        <v>13.5481</v>
      </c>
      <c r="N843" s="27">
        <f>13.5445 * CHOOSE(CONTROL!$C$32, $C$9, 100%, $E$9)</f>
        <v>13.544499999999999</v>
      </c>
      <c r="O843" s="27">
        <f>13.5481 * CHOOSE(CONTROL!$C$32, $C$9, 100%, $E$9)</f>
        <v>13.5481</v>
      </c>
    </row>
    <row r="844" spans="1:15" ht="15" x14ac:dyDescent="0.2">
      <c r="A844" s="16">
        <v>66536</v>
      </c>
      <c r="B844" s="26">
        <f>12.3733 * CHOOSE(CONTROL!$C$32, $C$9, 100%, $E$9)</f>
        <v>12.3733</v>
      </c>
      <c r="C844" s="26">
        <f>12.3733 * CHOOSE(CONTROL!$C$32, $C$9, 100%, $E$9)</f>
        <v>12.3733</v>
      </c>
      <c r="D844" s="26">
        <f>12.3744 * CHOOSE(CONTROL!$C$32, $C$9, 100%, $E$9)</f>
        <v>12.3744</v>
      </c>
      <c r="E844" s="27">
        <f>13.8372 * CHOOSE(CONTROL!$C$32, $C$9, 100%, $E$9)</f>
        <v>13.837199999999999</v>
      </c>
      <c r="F844" s="27">
        <f>13.8372 * CHOOSE(CONTROL!$C$32, $C$9, 100%, $E$9)</f>
        <v>13.837199999999999</v>
      </c>
      <c r="G844" s="27">
        <f>13.8408 * CHOOSE(CONTROL!$C$32, $C$9, 100%, $E$9)</f>
        <v>13.8408</v>
      </c>
      <c r="H844" s="27">
        <f>28.0268 * CHOOSE(CONTROL!$C$32, $C$9, 100%, $E$9)</f>
        <v>28.026800000000001</v>
      </c>
      <c r="I844" s="27">
        <f>28.0304 * CHOOSE(CONTROL!$C$32, $C$9, 100%, $E$9)</f>
        <v>28.0304</v>
      </c>
      <c r="J844" s="27">
        <f>28.0268 * CHOOSE(CONTROL!$C$32, $C$9, 100%, $E$9)</f>
        <v>28.026800000000001</v>
      </c>
      <c r="K844" s="27">
        <f>28.0304 * CHOOSE(CONTROL!$C$32, $C$9, 100%, $E$9)</f>
        <v>28.0304</v>
      </c>
      <c r="L844" s="27">
        <f>13.8372 * CHOOSE(CONTROL!$C$32, $C$9, 100%, $E$9)</f>
        <v>13.837199999999999</v>
      </c>
      <c r="M844" s="27">
        <f>13.8408 * CHOOSE(CONTROL!$C$32, $C$9, 100%, $E$9)</f>
        <v>13.8408</v>
      </c>
      <c r="N844" s="27">
        <f>13.8372 * CHOOSE(CONTROL!$C$32, $C$9, 100%, $E$9)</f>
        <v>13.837199999999999</v>
      </c>
      <c r="O844" s="27">
        <f>13.8408 * CHOOSE(CONTROL!$C$32, $C$9, 100%, $E$9)</f>
        <v>13.8408</v>
      </c>
    </row>
    <row r="845" spans="1:15" ht="15" x14ac:dyDescent="0.2">
      <c r="A845" s="16">
        <v>66567</v>
      </c>
      <c r="B845" s="26">
        <f>12.3791 * CHOOSE(CONTROL!$C$32, $C$9, 100%, $E$9)</f>
        <v>12.379099999999999</v>
      </c>
      <c r="C845" s="26">
        <f>12.3791 * CHOOSE(CONTROL!$C$32, $C$9, 100%, $E$9)</f>
        <v>12.379099999999999</v>
      </c>
      <c r="D845" s="26">
        <f>12.3801 * CHOOSE(CONTROL!$C$32, $C$9, 100%, $E$9)</f>
        <v>12.380100000000001</v>
      </c>
      <c r="E845" s="27">
        <f>14.1495 * CHOOSE(CONTROL!$C$32, $C$9, 100%, $E$9)</f>
        <v>14.1495</v>
      </c>
      <c r="F845" s="27">
        <f>14.1495 * CHOOSE(CONTROL!$C$32, $C$9, 100%, $E$9)</f>
        <v>14.1495</v>
      </c>
      <c r="G845" s="27">
        <f>14.1532 * CHOOSE(CONTROL!$C$32, $C$9, 100%, $E$9)</f>
        <v>14.1532</v>
      </c>
      <c r="H845" s="27">
        <f>28.0852 * CHOOSE(CONTROL!$C$32, $C$9, 100%, $E$9)</f>
        <v>28.0852</v>
      </c>
      <c r="I845" s="27">
        <f>28.0888 * CHOOSE(CONTROL!$C$32, $C$9, 100%, $E$9)</f>
        <v>28.088799999999999</v>
      </c>
      <c r="J845" s="27">
        <f>28.0852 * CHOOSE(CONTROL!$C$32, $C$9, 100%, $E$9)</f>
        <v>28.0852</v>
      </c>
      <c r="K845" s="27">
        <f>28.0888 * CHOOSE(CONTROL!$C$32, $C$9, 100%, $E$9)</f>
        <v>28.088799999999999</v>
      </c>
      <c r="L845" s="27">
        <f>14.1495 * CHOOSE(CONTROL!$C$32, $C$9, 100%, $E$9)</f>
        <v>14.1495</v>
      </c>
      <c r="M845" s="27">
        <f>14.1532 * CHOOSE(CONTROL!$C$32, $C$9, 100%, $E$9)</f>
        <v>14.1532</v>
      </c>
      <c r="N845" s="27">
        <f>14.1495 * CHOOSE(CONTROL!$C$32, $C$9, 100%, $E$9)</f>
        <v>14.1495</v>
      </c>
      <c r="O845" s="27">
        <f>14.1532 * CHOOSE(CONTROL!$C$32, $C$9, 100%, $E$9)</f>
        <v>14.1532</v>
      </c>
    </row>
    <row r="846" spans="1:15" ht="15" x14ac:dyDescent="0.2">
      <c r="A846" s="16">
        <v>66597</v>
      </c>
      <c r="B846" s="26">
        <f>12.3791 * CHOOSE(CONTROL!$C$32, $C$9, 100%, $E$9)</f>
        <v>12.379099999999999</v>
      </c>
      <c r="C846" s="26">
        <f>12.3791 * CHOOSE(CONTROL!$C$32, $C$9, 100%, $E$9)</f>
        <v>12.379099999999999</v>
      </c>
      <c r="D846" s="26">
        <f>12.3806 * CHOOSE(CONTROL!$C$32, $C$9, 100%, $E$9)</f>
        <v>12.380599999999999</v>
      </c>
      <c r="E846" s="27">
        <f>14.2683 * CHOOSE(CONTROL!$C$32, $C$9, 100%, $E$9)</f>
        <v>14.2683</v>
      </c>
      <c r="F846" s="27">
        <f>14.2683 * CHOOSE(CONTROL!$C$32, $C$9, 100%, $E$9)</f>
        <v>14.2683</v>
      </c>
      <c r="G846" s="27">
        <f>14.2736 * CHOOSE(CONTROL!$C$32, $C$9, 100%, $E$9)</f>
        <v>14.2736</v>
      </c>
      <c r="H846" s="27">
        <f>28.1437 * CHOOSE(CONTROL!$C$32, $C$9, 100%, $E$9)</f>
        <v>28.143699999999999</v>
      </c>
      <c r="I846" s="27">
        <f>28.149 * CHOOSE(CONTROL!$C$32, $C$9, 100%, $E$9)</f>
        <v>28.149000000000001</v>
      </c>
      <c r="J846" s="27">
        <f>28.1437 * CHOOSE(CONTROL!$C$32, $C$9, 100%, $E$9)</f>
        <v>28.143699999999999</v>
      </c>
      <c r="K846" s="27">
        <f>28.149 * CHOOSE(CONTROL!$C$32, $C$9, 100%, $E$9)</f>
        <v>28.149000000000001</v>
      </c>
      <c r="L846" s="27">
        <f>14.2683 * CHOOSE(CONTROL!$C$32, $C$9, 100%, $E$9)</f>
        <v>14.2683</v>
      </c>
      <c r="M846" s="27">
        <f>14.2736 * CHOOSE(CONTROL!$C$32, $C$9, 100%, $E$9)</f>
        <v>14.2736</v>
      </c>
      <c r="N846" s="27">
        <f>14.2683 * CHOOSE(CONTROL!$C$32, $C$9, 100%, $E$9)</f>
        <v>14.2683</v>
      </c>
      <c r="O846" s="27">
        <f>14.2736 * CHOOSE(CONTROL!$C$32, $C$9, 100%, $E$9)</f>
        <v>14.2736</v>
      </c>
    </row>
    <row r="847" spans="1:15" ht="15" x14ac:dyDescent="0.2">
      <c r="A847" s="16">
        <v>66628</v>
      </c>
      <c r="B847" s="26">
        <f>12.3851 * CHOOSE(CONTROL!$C$32, $C$9, 100%, $E$9)</f>
        <v>12.3851</v>
      </c>
      <c r="C847" s="26">
        <f>12.3851 * CHOOSE(CONTROL!$C$32, $C$9, 100%, $E$9)</f>
        <v>12.3851</v>
      </c>
      <c r="D847" s="26">
        <f>12.3867 * CHOOSE(CONTROL!$C$32, $C$9, 100%, $E$9)</f>
        <v>12.386699999999999</v>
      </c>
      <c r="E847" s="27">
        <f>14.1538 * CHOOSE(CONTROL!$C$32, $C$9, 100%, $E$9)</f>
        <v>14.1538</v>
      </c>
      <c r="F847" s="27">
        <f>14.1538 * CHOOSE(CONTROL!$C$32, $C$9, 100%, $E$9)</f>
        <v>14.1538</v>
      </c>
      <c r="G847" s="27">
        <f>14.1591 * CHOOSE(CONTROL!$C$32, $C$9, 100%, $E$9)</f>
        <v>14.1591</v>
      </c>
      <c r="H847" s="27">
        <f>28.2023 * CHOOSE(CONTROL!$C$32, $C$9, 100%, $E$9)</f>
        <v>28.202300000000001</v>
      </c>
      <c r="I847" s="27">
        <f>28.2076 * CHOOSE(CONTROL!$C$32, $C$9, 100%, $E$9)</f>
        <v>28.207599999999999</v>
      </c>
      <c r="J847" s="27">
        <f>28.2023 * CHOOSE(CONTROL!$C$32, $C$9, 100%, $E$9)</f>
        <v>28.202300000000001</v>
      </c>
      <c r="K847" s="27">
        <f>28.2076 * CHOOSE(CONTROL!$C$32, $C$9, 100%, $E$9)</f>
        <v>28.207599999999999</v>
      </c>
      <c r="L847" s="27">
        <f>14.1538 * CHOOSE(CONTROL!$C$32, $C$9, 100%, $E$9)</f>
        <v>14.1538</v>
      </c>
      <c r="M847" s="27">
        <f>14.1591 * CHOOSE(CONTROL!$C$32, $C$9, 100%, $E$9)</f>
        <v>14.1591</v>
      </c>
      <c r="N847" s="27">
        <f>14.1538 * CHOOSE(CONTROL!$C$32, $C$9, 100%, $E$9)</f>
        <v>14.1538</v>
      </c>
      <c r="O847" s="27">
        <f>14.1591 * CHOOSE(CONTROL!$C$32, $C$9, 100%, $E$9)</f>
        <v>14.1591</v>
      </c>
    </row>
    <row r="848" spans="1:15" ht="15" x14ac:dyDescent="0.2">
      <c r="A848" s="16">
        <v>66658</v>
      </c>
      <c r="B848" s="26">
        <f>12.5357 * CHOOSE(CONTROL!$C$32, $C$9, 100%, $E$9)</f>
        <v>12.5357</v>
      </c>
      <c r="C848" s="26">
        <f>12.5357 * CHOOSE(CONTROL!$C$32, $C$9, 100%, $E$9)</f>
        <v>12.5357</v>
      </c>
      <c r="D848" s="26">
        <f>12.5373 * CHOOSE(CONTROL!$C$32, $C$9, 100%, $E$9)</f>
        <v>12.5373</v>
      </c>
      <c r="E848" s="27">
        <f>14.3539 * CHOOSE(CONTROL!$C$32, $C$9, 100%, $E$9)</f>
        <v>14.353899999999999</v>
      </c>
      <c r="F848" s="27">
        <f>14.3539 * CHOOSE(CONTROL!$C$32, $C$9, 100%, $E$9)</f>
        <v>14.353899999999999</v>
      </c>
      <c r="G848" s="27">
        <f>14.3591 * CHOOSE(CONTROL!$C$32, $C$9, 100%, $E$9)</f>
        <v>14.3591</v>
      </c>
      <c r="H848" s="27">
        <f>28.2611 * CHOOSE(CONTROL!$C$32, $C$9, 100%, $E$9)</f>
        <v>28.261099999999999</v>
      </c>
      <c r="I848" s="27">
        <f>28.2664 * CHOOSE(CONTROL!$C$32, $C$9, 100%, $E$9)</f>
        <v>28.266400000000001</v>
      </c>
      <c r="J848" s="27">
        <f>28.2611 * CHOOSE(CONTROL!$C$32, $C$9, 100%, $E$9)</f>
        <v>28.261099999999999</v>
      </c>
      <c r="K848" s="27">
        <f>28.2664 * CHOOSE(CONTROL!$C$32, $C$9, 100%, $E$9)</f>
        <v>28.266400000000001</v>
      </c>
      <c r="L848" s="27">
        <f>14.3539 * CHOOSE(CONTROL!$C$32, $C$9, 100%, $E$9)</f>
        <v>14.353899999999999</v>
      </c>
      <c r="M848" s="27">
        <f>14.3591 * CHOOSE(CONTROL!$C$32, $C$9, 100%, $E$9)</f>
        <v>14.3591</v>
      </c>
      <c r="N848" s="27">
        <f>14.3539 * CHOOSE(CONTROL!$C$32, $C$9, 100%, $E$9)</f>
        <v>14.353899999999999</v>
      </c>
      <c r="O848" s="27">
        <f>14.3591 * CHOOSE(CONTROL!$C$32, $C$9, 100%, $E$9)</f>
        <v>14.3591</v>
      </c>
    </row>
    <row r="849" spans="1:15" ht="15" x14ac:dyDescent="0.2">
      <c r="A849" s="16">
        <v>66689</v>
      </c>
      <c r="B849" s="26">
        <f>12.5424 * CHOOSE(CONTROL!$C$32, $C$9, 100%, $E$9)</f>
        <v>12.542400000000001</v>
      </c>
      <c r="C849" s="26">
        <f>12.5424 * CHOOSE(CONTROL!$C$32, $C$9, 100%, $E$9)</f>
        <v>12.542400000000001</v>
      </c>
      <c r="D849" s="26">
        <f>12.544 * CHOOSE(CONTROL!$C$32, $C$9, 100%, $E$9)</f>
        <v>12.544</v>
      </c>
      <c r="E849" s="27">
        <f>14.0024 * CHOOSE(CONTROL!$C$32, $C$9, 100%, $E$9)</f>
        <v>14.0024</v>
      </c>
      <c r="F849" s="27">
        <f>14.0024 * CHOOSE(CONTROL!$C$32, $C$9, 100%, $E$9)</f>
        <v>14.0024</v>
      </c>
      <c r="G849" s="27">
        <f>14.0076 * CHOOSE(CONTROL!$C$32, $C$9, 100%, $E$9)</f>
        <v>14.0076</v>
      </c>
      <c r="H849" s="27">
        <f>28.32 * CHOOSE(CONTROL!$C$32, $C$9, 100%, $E$9)</f>
        <v>28.32</v>
      </c>
      <c r="I849" s="27">
        <f>28.3253 * CHOOSE(CONTROL!$C$32, $C$9, 100%, $E$9)</f>
        <v>28.325299999999999</v>
      </c>
      <c r="J849" s="27">
        <f>28.32 * CHOOSE(CONTROL!$C$32, $C$9, 100%, $E$9)</f>
        <v>28.32</v>
      </c>
      <c r="K849" s="27">
        <f>28.3253 * CHOOSE(CONTROL!$C$32, $C$9, 100%, $E$9)</f>
        <v>28.325299999999999</v>
      </c>
      <c r="L849" s="27">
        <f>14.0024 * CHOOSE(CONTROL!$C$32, $C$9, 100%, $E$9)</f>
        <v>14.0024</v>
      </c>
      <c r="M849" s="27">
        <f>14.0076 * CHOOSE(CONTROL!$C$32, $C$9, 100%, $E$9)</f>
        <v>14.0076</v>
      </c>
      <c r="N849" s="27">
        <f>14.0024 * CHOOSE(CONTROL!$C$32, $C$9, 100%, $E$9)</f>
        <v>14.0024</v>
      </c>
      <c r="O849" s="27">
        <f>14.0076 * CHOOSE(CONTROL!$C$32, $C$9, 100%, $E$9)</f>
        <v>14.0076</v>
      </c>
    </row>
    <row r="850" spans="1:15" ht="15" x14ac:dyDescent="0.2">
      <c r="A850" s="16">
        <v>66720</v>
      </c>
      <c r="B850" s="26">
        <f>12.5393 * CHOOSE(CONTROL!$C$32, $C$9, 100%, $E$9)</f>
        <v>12.539300000000001</v>
      </c>
      <c r="C850" s="26">
        <f>12.5393 * CHOOSE(CONTROL!$C$32, $C$9, 100%, $E$9)</f>
        <v>12.539300000000001</v>
      </c>
      <c r="D850" s="26">
        <f>12.5409 * CHOOSE(CONTROL!$C$32, $C$9, 100%, $E$9)</f>
        <v>12.540900000000001</v>
      </c>
      <c r="E850" s="27">
        <f>13.9607 * CHOOSE(CONTROL!$C$32, $C$9, 100%, $E$9)</f>
        <v>13.960699999999999</v>
      </c>
      <c r="F850" s="27">
        <f>13.9607 * CHOOSE(CONTROL!$C$32, $C$9, 100%, $E$9)</f>
        <v>13.960699999999999</v>
      </c>
      <c r="G850" s="27">
        <f>13.966 * CHOOSE(CONTROL!$C$32, $C$9, 100%, $E$9)</f>
        <v>13.965999999999999</v>
      </c>
      <c r="H850" s="27">
        <f>28.379 * CHOOSE(CONTROL!$C$32, $C$9, 100%, $E$9)</f>
        <v>28.379000000000001</v>
      </c>
      <c r="I850" s="27">
        <f>28.3843 * CHOOSE(CONTROL!$C$32, $C$9, 100%, $E$9)</f>
        <v>28.3843</v>
      </c>
      <c r="J850" s="27">
        <f>28.379 * CHOOSE(CONTROL!$C$32, $C$9, 100%, $E$9)</f>
        <v>28.379000000000001</v>
      </c>
      <c r="K850" s="27">
        <f>28.3843 * CHOOSE(CONTROL!$C$32, $C$9, 100%, $E$9)</f>
        <v>28.3843</v>
      </c>
      <c r="L850" s="27">
        <f>13.9607 * CHOOSE(CONTROL!$C$32, $C$9, 100%, $E$9)</f>
        <v>13.960699999999999</v>
      </c>
      <c r="M850" s="27">
        <f>13.966 * CHOOSE(CONTROL!$C$32, $C$9, 100%, $E$9)</f>
        <v>13.965999999999999</v>
      </c>
      <c r="N850" s="27">
        <f>13.9607 * CHOOSE(CONTROL!$C$32, $C$9, 100%, $E$9)</f>
        <v>13.960699999999999</v>
      </c>
      <c r="O850" s="27">
        <f>13.966 * CHOOSE(CONTROL!$C$32, $C$9, 100%, $E$9)</f>
        <v>13.965999999999999</v>
      </c>
    </row>
    <row r="851" spans="1:15" ht="15" x14ac:dyDescent="0.2">
      <c r="A851" s="16">
        <v>66750</v>
      </c>
      <c r="B851" s="26">
        <f>12.5663 * CHOOSE(CONTROL!$C$32, $C$9, 100%, $E$9)</f>
        <v>12.5663</v>
      </c>
      <c r="C851" s="26">
        <f>12.5663 * CHOOSE(CONTROL!$C$32, $C$9, 100%, $E$9)</f>
        <v>12.5663</v>
      </c>
      <c r="D851" s="26">
        <f>12.5674 * CHOOSE(CONTROL!$C$32, $C$9, 100%, $E$9)</f>
        <v>12.567399999999999</v>
      </c>
      <c r="E851" s="27">
        <f>14.1055 * CHOOSE(CONTROL!$C$32, $C$9, 100%, $E$9)</f>
        <v>14.105499999999999</v>
      </c>
      <c r="F851" s="27">
        <f>14.1055 * CHOOSE(CONTROL!$C$32, $C$9, 100%, $E$9)</f>
        <v>14.105499999999999</v>
      </c>
      <c r="G851" s="27">
        <f>14.1092 * CHOOSE(CONTROL!$C$32, $C$9, 100%, $E$9)</f>
        <v>14.1092</v>
      </c>
      <c r="H851" s="27">
        <f>28.4381 * CHOOSE(CONTROL!$C$32, $C$9, 100%, $E$9)</f>
        <v>28.438099999999999</v>
      </c>
      <c r="I851" s="27">
        <f>28.4417 * CHOOSE(CONTROL!$C$32, $C$9, 100%, $E$9)</f>
        <v>28.441700000000001</v>
      </c>
      <c r="J851" s="27">
        <f>28.4381 * CHOOSE(CONTROL!$C$32, $C$9, 100%, $E$9)</f>
        <v>28.438099999999999</v>
      </c>
      <c r="K851" s="27">
        <f>28.4417 * CHOOSE(CONTROL!$C$32, $C$9, 100%, $E$9)</f>
        <v>28.441700000000001</v>
      </c>
      <c r="L851" s="27">
        <f>14.1055 * CHOOSE(CONTROL!$C$32, $C$9, 100%, $E$9)</f>
        <v>14.105499999999999</v>
      </c>
      <c r="M851" s="27">
        <f>14.1092 * CHOOSE(CONTROL!$C$32, $C$9, 100%, $E$9)</f>
        <v>14.1092</v>
      </c>
      <c r="N851" s="27">
        <f>14.1055 * CHOOSE(CONTROL!$C$32, $C$9, 100%, $E$9)</f>
        <v>14.105499999999999</v>
      </c>
      <c r="O851" s="27">
        <f>14.1092 * CHOOSE(CONTROL!$C$32, $C$9, 100%, $E$9)</f>
        <v>14.1092</v>
      </c>
    </row>
    <row r="852" spans="1:15" ht="15" x14ac:dyDescent="0.2">
      <c r="A852" s="16">
        <v>66781</v>
      </c>
      <c r="B852" s="26">
        <f>12.5694 * CHOOSE(CONTROL!$C$32, $C$9, 100%, $E$9)</f>
        <v>12.5694</v>
      </c>
      <c r="C852" s="26">
        <f>12.5694 * CHOOSE(CONTROL!$C$32, $C$9, 100%, $E$9)</f>
        <v>12.5694</v>
      </c>
      <c r="D852" s="26">
        <f>12.5704 * CHOOSE(CONTROL!$C$32, $C$9, 100%, $E$9)</f>
        <v>12.570399999999999</v>
      </c>
      <c r="E852" s="27">
        <f>14.1868 * CHOOSE(CONTROL!$C$32, $C$9, 100%, $E$9)</f>
        <v>14.1868</v>
      </c>
      <c r="F852" s="27">
        <f>14.1868 * CHOOSE(CONTROL!$C$32, $C$9, 100%, $E$9)</f>
        <v>14.1868</v>
      </c>
      <c r="G852" s="27">
        <f>14.1904 * CHOOSE(CONTROL!$C$32, $C$9, 100%, $E$9)</f>
        <v>14.1904</v>
      </c>
      <c r="H852" s="27">
        <f>28.4973 * CHOOSE(CONTROL!$C$32, $C$9, 100%, $E$9)</f>
        <v>28.497299999999999</v>
      </c>
      <c r="I852" s="27">
        <f>28.5009 * CHOOSE(CONTROL!$C$32, $C$9, 100%, $E$9)</f>
        <v>28.500900000000001</v>
      </c>
      <c r="J852" s="27">
        <f>28.4973 * CHOOSE(CONTROL!$C$32, $C$9, 100%, $E$9)</f>
        <v>28.497299999999999</v>
      </c>
      <c r="K852" s="27">
        <f>28.5009 * CHOOSE(CONTROL!$C$32, $C$9, 100%, $E$9)</f>
        <v>28.500900000000001</v>
      </c>
      <c r="L852" s="27">
        <f>14.1868 * CHOOSE(CONTROL!$C$32, $C$9, 100%, $E$9)</f>
        <v>14.1868</v>
      </c>
      <c r="M852" s="27">
        <f>14.1904 * CHOOSE(CONTROL!$C$32, $C$9, 100%, $E$9)</f>
        <v>14.1904</v>
      </c>
      <c r="N852" s="27">
        <f>14.1868 * CHOOSE(CONTROL!$C$32, $C$9, 100%, $E$9)</f>
        <v>14.1868</v>
      </c>
      <c r="O852" s="27">
        <f>14.1904 * CHOOSE(CONTROL!$C$32, $C$9, 100%, $E$9)</f>
        <v>14.1904</v>
      </c>
    </row>
    <row r="853" spans="1:15" ht="15" x14ac:dyDescent="0.2">
      <c r="A853" s="16">
        <v>66811</v>
      </c>
      <c r="B853" s="26">
        <f>12.5694 * CHOOSE(CONTROL!$C$32, $C$9, 100%, $E$9)</f>
        <v>12.5694</v>
      </c>
      <c r="C853" s="26">
        <f>12.5694 * CHOOSE(CONTROL!$C$32, $C$9, 100%, $E$9)</f>
        <v>12.5694</v>
      </c>
      <c r="D853" s="26">
        <f>12.5704 * CHOOSE(CONTROL!$C$32, $C$9, 100%, $E$9)</f>
        <v>12.570399999999999</v>
      </c>
      <c r="E853" s="27">
        <f>13.9889 * CHOOSE(CONTROL!$C$32, $C$9, 100%, $E$9)</f>
        <v>13.988899999999999</v>
      </c>
      <c r="F853" s="27">
        <f>13.9889 * CHOOSE(CONTROL!$C$32, $C$9, 100%, $E$9)</f>
        <v>13.988899999999999</v>
      </c>
      <c r="G853" s="27">
        <f>13.9926 * CHOOSE(CONTROL!$C$32, $C$9, 100%, $E$9)</f>
        <v>13.992599999999999</v>
      </c>
      <c r="H853" s="27">
        <f>28.5567 * CHOOSE(CONTROL!$C$32, $C$9, 100%, $E$9)</f>
        <v>28.556699999999999</v>
      </c>
      <c r="I853" s="27">
        <f>28.5603 * CHOOSE(CONTROL!$C$32, $C$9, 100%, $E$9)</f>
        <v>28.560300000000002</v>
      </c>
      <c r="J853" s="27">
        <f>28.5567 * CHOOSE(CONTROL!$C$32, $C$9, 100%, $E$9)</f>
        <v>28.556699999999999</v>
      </c>
      <c r="K853" s="27">
        <f>28.5603 * CHOOSE(CONTROL!$C$32, $C$9, 100%, $E$9)</f>
        <v>28.560300000000002</v>
      </c>
      <c r="L853" s="27">
        <f>13.9889 * CHOOSE(CONTROL!$C$32, $C$9, 100%, $E$9)</f>
        <v>13.988899999999999</v>
      </c>
      <c r="M853" s="27">
        <f>13.9926 * CHOOSE(CONTROL!$C$32, $C$9, 100%, $E$9)</f>
        <v>13.992599999999999</v>
      </c>
      <c r="N853" s="27">
        <f>13.9889 * CHOOSE(CONTROL!$C$32, $C$9, 100%, $E$9)</f>
        <v>13.988899999999999</v>
      </c>
      <c r="O853" s="27">
        <f>13.9926 * CHOOSE(CONTROL!$C$32, $C$9, 100%, $E$9)</f>
        <v>13.992599999999999</v>
      </c>
    </row>
    <row r="854" spans="1:15" ht="15" x14ac:dyDescent="0.2">
      <c r="A854" s="16">
        <v>66842</v>
      </c>
      <c r="B854" s="26">
        <f>12.5667 * CHOOSE(CONTROL!$C$32, $C$9, 100%, $E$9)</f>
        <v>12.566700000000001</v>
      </c>
      <c r="C854" s="26">
        <f>12.5667 * CHOOSE(CONTROL!$C$32, $C$9, 100%, $E$9)</f>
        <v>12.566700000000001</v>
      </c>
      <c r="D854" s="26">
        <f>12.5678 * CHOOSE(CONTROL!$C$32, $C$9, 100%, $E$9)</f>
        <v>12.5678</v>
      </c>
      <c r="E854" s="27">
        <f>14.1331 * CHOOSE(CONTROL!$C$32, $C$9, 100%, $E$9)</f>
        <v>14.133100000000001</v>
      </c>
      <c r="F854" s="27">
        <f>14.1331 * CHOOSE(CONTROL!$C$32, $C$9, 100%, $E$9)</f>
        <v>14.133100000000001</v>
      </c>
      <c r="G854" s="27">
        <f>14.1367 * CHOOSE(CONTROL!$C$32, $C$9, 100%, $E$9)</f>
        <v>14.136699999999999</v>
      </c>
      <c r="H854" s="27">
        <f>28.3639 * CHOOSE(CONTROL!$C$32, $C$9, 100%, $E$9)</f>
        <v>28.363900000000001</v>
      </c>
      <c r="I854" s="27">
        <f>28.3675 * CHOOSE(CONTROL!$C$32, $C$9, 100%, $E$9)</f>
        <v>28.3675</v>
      </c>
      <c r="J854" s="27">
        <f>28.3639 * CHOOSE(CONTROL!$C$32, $C$9, 100%, $E$9)</f>
        <v>28.363900000000001</v>
      </c>
      <c r="K854" s="27">
        <f>28.3675 * CHOOSE(CONTROL!$C$32, $C$9, 100%, $E$9)</f>
        <v>28.3675</v>
      </c>
      <c r="L854" s="27">
        <f>14.1331 * CHOOSE(CONTROL!$C$32, $C$9, 100%, $E$9)</f>
        <v>14.133100000000001</v>
      </c>
      <c r="M854" s="27">
        <f>14.1367 * CHOOSE(CONTROL!$C$32, $C$9, 100%, $E$9)</f>
        <v>14.136699999999999</v>
      </c>
      <c r="N854" s="27">
        <f>14.1331 * CHOOSE(CONTROL!$C$32, $C$9, 100%, $E$9)</f>
        <v>14.133100000000001</v>
      </c>
      <c r="O854" s="27">
        <f>14.1367 * CHOOSE(CONTROL!$C$32, $C$9, 100%, $E$9)</f>
        <v>14.136699999999999</v>
      </c>
    </row>
    <row r="855" spans="1:15" ht="15" x14ac:dyDescent="0.2">
      <c r="A855" s="16">
        <v>66873</v>
      </c>
      <c r="B855" s="26">
        <f>12.5637 * CHOOSE(CONTROL!$C$32, $C$9, 100%, $E$9)</f>
        <v>12.563700000000001</v>
      </c>
      <c r="C855" s="26">
        <f>12.5637 * CHOOSE(CONTROL!$C$32, $C$9, 100%, $E$9)</f>
        <v>12.563700000000001</v>
      </c>
      <c r="D855" s="26">
        <f>12.5648 * CHOOSE(CONTROL!$C$32, $C$9, 100%, $E$9)</f>
        <v>12.5648</v>
      </c>
      <c r="E855" s="27">
        <f>13.7499 * CHOOSE(CONTROL!$C$32, $C$9, 100%, $E$9)</f>
        <v>13.7499</v>
      </c>
      <c r="F855" s="27">
        <f>13.7499 * CHOOSE(CONTROL!$C$32, $C$9, 100%, $E$9)</f>
        <v>13.7499</v>
      </c>
      <c r="G855" s="27">
        <f>13.7535 * CHOOSE(CONTROL!$C$32, $C$9, 100%, $E$9)</f>
        <v>13.753500000000001</v>
      </c>
      <c r="H855" s="27">
        <f>28.423 * CHOOSE(CONTROL!$C$32, $C$9, 100%, $E$9)</f>
        <v>28.422999999999998</v>
      </c>
      <c r="I855" s="27">
        <f>28.4266 * CHOOSE(CONTROL!$C$32, $C$9, 100%, $E$9)</f>
        <v>28.426600000000001</v>
      </c>
      <c r="J855" s="27">
        <f>28.423 * CHOOSE(CONTROL!$C$32, $C$9, 100%, $E$9)</f>
        <v>28.422999999999998</v>
      </c>
      <c r="K855" s="27">
        <f>28.4266 * CHOOSE(CONTROL!$C$32, $C$9, 100%, $E$9)</f>
        <v>28.426600000000001</v>
      </c>
      <c r="L855" s="27">
        <f>13.7499 * CHOOSE(CONTROL!$C$32, $C$9, 100%, $E$9)</f>
        <v>13.7499</v>
      </c>
      <c r="M855" s="27">
        <f>13.7535 * CHOOSE(CONTROL!$C$32, $C$9, 100%, $E$9)</f>
        <v>13.753500000000001</v>
      </c>
      <c r="N855" s="27">
        <f>13.7499 * CHOOSE(CONTROL!$C$32, $C$9, 100%, $E$9)</f>
        <v>13.7499</v>
      </c>
      <c r="O855" s="27">
        <f>13.7535 * CHOOSE(CONTROL!$C$32, $C$9, 100%, $E$9)</f>
        <v>13.753500000000001</v>
      </c>
    </row>
    <row r="856" spans="1:15" ht="15" x14ac:dyDescent="0.2">
      <c r="A856" s="16">
        <v>66901</v>
      </c>
      <c r="B856" s="26">
        <f>12.5606 * CHOOSE(CONTROL!$C$32, $C$9, 100%, $E$9)</f>
        <v>12.560600000000001</v>
      </c>
      <c r="C856" s="26">
        <f>12.5606 * CHOOSE(CONTROL!$C$32, $C$9, 100%, $E$9)</f>
        <v>12.560600000000001</v>
      </c>
      <c r="D856" s="26">
        <f>12.5617 * CHOOSE(CONTROL!$C$32, $C$9, 100%, $E$9)</f>
        <v>12.5617</v>
      </c>
      <c r="E856" s="27">
        <f>14.0482 * CHOOSE(CONTROL!$C$32, $C$9, 100%, $E$9)</f>
        <v>14.0482</v>
      </c>
      <c r="F856" s="27">
        <f>14.0482 * CHOOSE(CONTROL!$C$32, $C$9, 100%, $E$9)</f>
        <v>14.0482</v>
      </c>
      <c r="G856" s="27">
        <f>14.0518 * CHOOSE(CONTROL!$C$32, $C$9, 100%, $E$9)</f>
        <v>14.0518</v>
      </c>
      <c r="H856" s="27">
        <f>28.4822 * CHOOSE(CONTROL!$C$32, $C$9, 100%, $E$9)</f>
        <v>28.482199999999999</v>
      </c>
      <c r="I856" s="27">
        <f>28.4858 * CHOOSE(CONTROL!$C$32, $C$9, 100%, $E$9)</f>
        <v>28.485800000000001</v>
      </c>
      <c r="J856" s="27">
        <f>28.4822 * CHOOSE(CONTROL!$C$32, $C$9, 100%, $E$9)</f>
        <v>28.482199999999999</v>
      </c>
      <c r="K856" s="27">
        <f>28.4858 * CHOOSE(CONTROL!$C$32, $C$9, 100%, $E$9)</f>
        <v>28.485800000000001</v>
      </c>
      <c r="L856" s="27">
        <f>14.0482 * CHOOSE(CONTROL!$C$32, $C$9, 100%, $E$9)</f>
        <v>14.0482</v>
      </c>
      <c r="M856" s="27">
        <f>14.0518 * CHOOSE(CONTROL!$C$32, $C$9, 100%, $E$9)</f>
        <v>14.0518</v>
      </c>
      <c r="N856" s="27">
        <f>14.0482 * CHOOSE(CONTROL!$C$32, $C$9, 100%, $E$9)</f>
        <v>14.0482</v>
      </c>
      <c r="O856" s="27">
        <f>14.0518 * CHOOSE(CONTROL!$C$32, $C$9, 100%, $E$9)</f>
        <v>14.0518</v>
      </c>
    </row>
    <row r="857" spans="1:15" ht="15" x14ac:dyDescent="0.2">
      <c r="A857" s="16">
        <v>66932</v>
      </c>
      <c r="B857" s="26">
        <f>12.5666 * CHOOSE(CONTROL!$C$32, $C$9, 100%, $E$9)</f>
        <v>12.566599999999999</v>
      </c>
      <c r="C857" s="26">
        <f>12.5666 * CHOOSE(CONTROL!$C$32, $C$9, 100%, $E$9)</f>
        <v>12.566599999999999</v>
      </c>
      <c r="D857" s="26">
        <f>12.5677 * CHOOSE(CONTROL!$C$32, $C$9, 100%, $E$9)</f>
        <v>12.5677</v>
      </c>
      <c r="E857" s="27">
        <f>14.3665 * CHOOSE(CONTROL!$C$32, $C$9, 100%, $E$9)</f>
        <v>14.3665</v>
      </c>
      <c r="F857" s="27">
        <f>14.3665 * CHOOSE(CONTROL!$C$32, $C$9, 100%, $E$9)</f>
        <v>14.3665</v>
      </c>
      <c r="G857" s="27">
        <f>14.3702 * CHOOSE(CONTROL!$C$32, $C$9, 100%, $E$9)</f>
        <v>14.370200000000001</v>
      </c>
      <c r="H857" s="27">
        <f>28.5415 * CHOOSE(CONTROL!$C$32, $C$9, 100%, $E$9)</f>
        <v>28.541499999999999</v>
      </c>
      <c r="I857" s="27">
        <f>28.5451 * CHOOSE(CONTROL!$C$32, $C$9, 100%, $E$9)</f>
        <v>28.545100000000001</v>
      </c>
      <c r="J857" s="27">
        <f>28.5415 * CHOOSE(CONTROL!$C$32, $C$9, 100%, $E$9)</f>
        <v>28.541499999999999</v>
      </c>
      <c r="K857" s="27">
        <f>28.5451 * CHOOSE(CONTROL!$C$32, $C$9, 100%, $E$9)</f>
        <v>28.545100000000001</v>
      </c>
      <c r="L857" s="27">
        <f>14.3665 * CHOOSE(CONTROL!$C$32, $C$9, 100%, $E$9)</f>
        <v>14.3665</v>
      </c>
      <c r="M857" s="27">
        <f>14.3702 * CHOOSE(CONTROL!$C$32, $C$9, 100%, $E$9)</f>
        <v>14.370200000000001</v>
      </c>
      <c r="N857" s="27">
        <f>14.3665 * CHOOSE(CONTROL!$C$32, $C$9, 100%, $E$9)</f>
        <v>14.3665</v>
      </c>
      <c r="O857" s="27">
        <f>14.3702 * CHOOSE(CONTROL!$C$32, $C$9, 100%, $E$9)</f>
        <v>14.370200000000001</v>
      </c>
    </row>
    <row r="858" spans="1:15" ht="15" x14ac:dyDescent="0.2">
      <c r="A858" s="16">
        <v>66962</v>
      </c>
      <c r="B858" s="26">
        <f>12.5666 * CHOOSE(CONTROL!$C$32, $C$9, 100%, $E$9)</f>
        <v>12.566599999999999</v>
      </c>
      <c r="C858" s="26">
        <f>12.5666 * CHOOSE(CONTROL!$C$32, $C$9, 100%, $E$9)</f>
        <v>12.566599999999999</v>
      </c>
      <c r="D858" s="26">
        <f>12.5682 * CHOOSE(CONTROL!$C$32, $C$9, 100%, $E$9)</f>
        <v>12.568199999999999</v>
      </c>
      <c r="E858" s="27">
        <f>14.4875 * CHOOSE(CONTROL!$C$32, $C$9, 100%, $E$9)</f>
        <v>14.487500000000001</v>
      </c>
      <c r="F858" s="27">
        <f>14.4875 * CHOOSE(CONTROL!$C$32, $C$9, 100%, $E$9)</f>
        <v>14.487500000000001</v>
      </c>
      <c r="G858" s="27">
        <f>14.4928 * CHOOSE(CONTROL!$C$32, $C$9, 100%, $E$9)</f>
        <v>14.492800000000001</v>
      </c>
      <c r="H858" s="27">
        <f>28.601 * CHOOSE(CONTROL!$C$32, $C$9, 100%, $E$9)</f>
        <v>28.600999999999999</v>
      </c>
      <c r="I858" s="27">
        <f>28.6063 * CHOOSE(CONTROL!$C$32, $C$9, 100%, $E$9)</f>
        <v>28.606300000000001</v>
      </c>
      <c r="J858" s="27">
        <f>28.601 * CHOOSE(CONTROL!$C$32, $C$9, 100%, $E$9)</f>
        <v>28.600999999999999</v>
      </c>
      <c r="K858" s="27">
        <f>28.6063 * CHOOSE(CONTROL!$C$32, $C$9, 100%, $E$9)</f>
        <v>28.606300000000001</v>
      </c>
      <c r="L858" s="27">
        <f>14.4875 * CHOOSE(CONTROL!$C$32, $C$9, 100%, $E$9)</f>
        <v>14.487500000000001</v>
      </c>
      <c r="M858" s="27">
        <f>14.4928 * CHOOSE(CONTROL!$C$32, $C$9, 100%, $E$9)</f>
        <v>14.492800000000001</v>
      </c>
      <c r="N858" s="27">
        <f>14.4875 * CHOOSE(CONTROL!$C$32, $C$9, 100%, $E$9)</f>
        <v>14.487500000000001</v>
      </c>
      <c r="O858" s="27">
        <f>14.4928 * CHOOSE(CONTROL!$C$32, $C$9, 100%, $E$9)</f>
        <v>14.492800000000001</v>
      </c>
    </row>
    <row r="859" spans="1:15" ht="15" x14ac:dyDescent="0.2">
      <c r="A859" s="16">
        <v>66993</v>
      </c>
      <c r="B859" s="26">
        <f>12.5727 * CHOOSE(CONTROL!$C$32, $C$9, 100%, $E$9)</f>
        <v>12.572699999999999</v>
      </c>
      <c r="C859" s="26">
        <f>12.5727 * CHOOSE(CONTROL!$C$32, $C$9, 100%, $E$9)</f>
        <v>12.572699999999999</v>
      </c>
      <c r="D859" s="26">
        <f>12.5743 * CHOOSE(CONTROL!$C$32, $C$9, 100%, $E$9)</f>
        <v>12.574299999999999</v>
      </c>
      <c r="E859" s="27">
        <f>14.3708 * CHOOSE(CONTROL!$C$32, $C$9, 100%, $E$9)</f>
        <v>14.370799999999999</v>
      </c>
      <c r="F859" s="27">
        <f>14.3708 * CHOOSE(CONTROL!$C$32, $C$9, 100%, $E$9)</f>
        <v>14.370799999999999</v>
      </c>
      <c r="G859" s="27">
        <f>14.3761 * CHOOSE(CONTROL!$C$32, $C$9, 100%, $E$9)</f>
        <v>14.376099999999999</v>
      </c>
      <c r="H859" s="27">
        <f>28.6606 * CHOOSE(CONTROL!$C$32, $C$9, 100%, $E$9)</f>
        <v>28.660599999999999</v>
      </c>
      <c r="I859" s="27">
        <f>28.6659 * CHOOSE(CONTROL!$C$32, $C$9, 100%, $E$9)</f>
        <v>28.665900000000001</v>
      </c>
      <c r="J859" s="27">
        <f>28.6606 * CHOOSE(CONTROL!$C$32, $C$9, 100%, $E$9)</f>
        <v>28.660599999999999</v>
      </c>
      <c r="K859" s="27">
        <f>28.6659 * CHOOSE(CONTROL!$C$32, $C$9, 100%, $E$9)</f>
        <v>28.665900000000001</v>
      </c>
      <c r="L859" s="27">
        <f>14.3708 * CHOOSE(CONTROL!$C$32, $C$9, 100%, $E$9)</f>
        <v>14.370799999999999</v>
      </c>
      <c r="M859" s="27">
        <f>14.3761 * CHOOSE(CONTROL!$C$32, $C$9, 100%, $E$9)</f>
        <v>14.376099999999999</v>
      </c>
      <c r="N859" s="27">
        <f>14.3708 * CHOOSE(CONTROL!$C$32, $C$9, 100%, $E$9)</f>
        <v>14.370799999999999</v>
      </c>
      <c r="O859" s="27">
        <f>14.3761 * CHOOSE(CONTROL!$C$32, $C$9, 100%, $E$9)</f>
        <v>14.376099999999999</v>
      </c>
    </row>
    <row r="860" spans="1:15" ht="15" x14ac:dyDescent="0.2">
      <c r="A860" s="16">
        <v>67023</v>
      </c>
      <c r="B860" s="26">
        <f>12.7253 * CHOOSE(CONTROL!$C$32, $C$9, 100%, $E$9)</f>
        <v>12.725300000000001</v>
      </c>
      <c r="C860" s="26">
        <f>12.7253 * CHOOSE(CONTROL!$C$32, $C$9, 100%, $E$9)</f>
        <v>12.725300000000001</v>
      </c>
      <c r="D860" s="26">
        <f>12.7269 * CHOOSE(CONTROL!$C$32, $C$9, 100%, $E$9)</f>
        <v>12.726900000000001</v>
      </c>
      <c r="E860" s="27">
        <f>14.574 * CHOOSE(CONTROL!$C$32, $C$9, 100%, $E$9)</f>
        <v>14.574</v>
      </c>
      <c r="F860" s="27">
        <f>14.574 * CHOOSE(CONTROL!$C$32, $C$9, 100%, $E$9)</f>
        <v>14.574</v>
      </c>
      <c r="G860" s="27">
        <f>14.5793 * CHOOSE(CONTROL!$C$32, $C$9, 100%, $E$9)</f>
        <v>14.5793</v>
      </c>
      <c r="H860" s="27">
        <f>28.7203 * CHOOSE(CONTROL!$C$32, $C$9, 100%, $E$9)</f>
        <v>28.720300000000002</v>
      </c>
      <c r="I860" s="27">
        <f>28.7256 * CHOOSE(CONTROL!$C$32, $C$9, 100%, $E$9)</f>
        <v>28.7256</v>
      </c>
      <c r="J860" s="27">
        <f>28.7203 * CHOOSE(CONTROL!$C$32, $C$9, 100%, $E$9)</f>
        <v>28.720300000000002</v>
      </c>
      <c r="K860" s="27">
        <f>28.7256 * CHOOSE(CONTROL!$C$32, $C$9, 100%, $E$9)</f>
        <v>28.7256</v>
      </c>
      <c r="L860" s="27">
        <f>14.574 * CHOOSE(CONTROL!$C$32, $C$9, 100%, $E$9)</f>
        <v>14.574</v>
      </c>
      <c r="M860" s="27">
        <f>14.5793 * CHOOSE(CONTROL!$C$32, $C$9, 100%, $E$9)</f>
        <v>14.5793</v>
      </c>
      <c r="N860" s="27">
        <f>14.574 * CHOOSE(CONTROL!$C$32, $C$9, 100%, $E$9)</f>
        <v>14.574</v>
      </c>
      <c r="O860" s="27">
        <f>14.5793 * CHOOSE(CONTROL!$C$32, $C$9, 100%, $E$9)</f>
        <v>14.5793</v>
      </c>
    </row>
    <row r="861" spans="1:15" ht="15" x14ac:dyDescent="0.2">
      <c r="A861" s="16">
        <v>67054</v>
      </c>
      <c r="B861" s="26">
        <f>12.732 * CHOOSE(CONTROL!$C$32, $C$9, 100%, $E$9)</f>
        <v>12.731999999999999</v>
      </c>
      <c r="C861" s="26">
        <f>12.732 * CHOOSE(CONTROL!$C$32, $C$9, 100%, $E$9)</f>
        <v>12.731999999999999</v>
      </c>
      <c r="D861" s="26">
        <f>12.7336 * CHOOSE(CONTROL!$C$32, $C$9, 100%, $E$9)</f>
        <v>12.733599999999999</v>
      </c>
      <c r="E861" s="27">
        <f>14.2158 * CHOOSE(CONTROL!$C$32, $C$9, 100%, $E$9)</f>
        <v>14.2158</v>
      </c>
      <c r="F861" s="27">
        <f>14.2158 * CHOOSE(CONTROL!$C$32, $C$9, 100%, $E$9)</f>
        <v>14.2158</v>
      </c>
      <c r="G861" s="27">
        <f>14.2211 * CHOOSE(CONTROL!$C$32, $C$9, 100%, $E$9)</f>
        <v>14.2211</v>
      </c>
      <c r="H861" s="27">
        <f>28.7801 * CHOOSE(CONTROL!$C$32, $C$9, 100%, $E$9)</f>
        <v>28.780100000000001</v>
      </c>
      <c r="I861" s="27">
        <f>28.7854 * CHOOSE(CONTROL!$C$32, $C$9, 100%, $E$9)</f>
        <v>28.785399999999999</v>
      </c>
      <c r="J861" s="27">
        <f>28.7801 * CHOOSE(CONTROL!$C$32, $C$9, 100%, $E$9)</f>
        <v>28.780100000000001</v>
      </c>
      <c r="K861" s="27">
        <f>28.7854 * CHOOSE(CONTROL!$C$32, $C$9, 100%, $E$9)</f>
        <v>28.785399999999999</v>
      </c>
      <c r="L861" s="27">
        <f>14.2158 * CHOOSE(CONTROL!$C$32, $C$9, 100%, $E$9)</f>
        <v>14.2158</v>
      </c>
      <c r="M861" s="27">
        <f>14.2211 * CHOOSE(CONTROL!$C$32, $C$9, 100%, $E$9)</f>
        <v>14.2211</v>
      </c>
      <c r="N861" s="27">
        <f>14.2158 * CHOOSE(CONTROL!$C$32, $C$9, 100%, $E$9)</f>
        <v>14.2158</v>
      </c>
      <c r="O861" s="27">
        <f>14.2211 * CHOOSE(CONTROL!$C$32, $C$9, 100%, $E$9)</f>
        <v>14.2211</v>
      </c>
    </row>
    <row r="862" spans="1:15" ht="15" x14ac:dyDescent="0.2">
      <c r="A862" s="16">
        <v>67085</v>
      </c>
      <c r="B862" s="26">
        <f>12.7289 * CHOOSE(CONTROL!$C$32, $C$9, 100%, $E$9)</f>
        <v>12.728899999999999</v>
      </c>
      <c r="C862" s="26">
        <f>12.7289 * CHOOSE(CONTROL!$C$32, $C$9, 100%, $E$9)</f>
        <v>12.728899999999999</v>
      </c>
      <c r="D862" s="26">
        <f>12.7305 * CHOOSE(CONTROL!$C$32, $C$9, 100%, $E$9)</f>
        <v>12.730499999999999</v>
      </c>
      <c r="E862" s="27">
        <f>14.1733 * CHOOSE(CONTROL!$C$32, $C$9, 100%, $E$9)</f>
        <v>14.173299999999999</v>
      </c>
      <c r="F862" s="27">
        <f>14.1733 * CHOOSE(CONTROL!$C$32, $C$9, 100%, $E$9)</f>
        <v>14.173299999999999</v>
      </c>
      <c r="G862" s="27">
        <f>14.1786 * CHOOSE(CONTROL!$C$32, $C$9, 100%, $E$9)</f>
        <v>14.178599999999999</v>
      </c>
      <c r="H862" s="27">
        <f>28.8401 * CHOOSE(CONTROL!$C$32, $C$9, 100%, $E$9)</f>
        <v>28.8401</v>
      </c>
      <c r="I862" s="27">
        <f>28.8454 * CHOOSE(CONTROL!$C$32, $C$9, 100%, $E$9)</f>
        <v>28.845400000000001</v>
      </c>
      <c r="J862" s="27">
        <f>28.8401 * CHOOSE(CONTROL!$C$32, $C$9, 100%, $E$9)</f>
        <v>28.8401</v>
      </c>
      <c r="K862" s="27">
        <f>28.8454 * CHOOSE(CONTROL!$C$32, $C$9, 100%, $E$9)</f>
        <v>28.845400000000001</v>
      </c>
      <c r="L862" s="27">
        <f>14.1733 * CHOOSE(CONTROL!$C$32, $C$9, 100%, $E$9)</f>
        <v>14.173299999999999</v>
      </c>
      <c r="M862" s="27">
        <f>14.1786 * CHOOSE(CONTROL!$C$32, $C$9, 100%, $E$9)</f>
        <v>14.178599999999999</v>
      </c>
      <c r="N862" s="27">
        <f>14.1733 * CHOOSE(CONTROL!$C$32, $C$9, 100%, $E$9)</f>
        <v>14.173299999999999</v>
      </c>
      <c r="O862" s="27">
        <f>14.1786 * CHOOSE(CONTROL!$C$32, $C$9, 100%, $E$9)</f>
        <v>14.178599999999999</v>
      </c>
    </row>
    <row r="863" spans="1:15" ht="15" x14ac:dyDescent="0.2">
      <c r="A863" s="16">
        <v>67115</v>
      </c>
      <c r="B863" s="26">
        <f>12.7566 * CHOOSE(CONTROL!$C$32, $C$9, 100%, $E$9)</f>
        <v>12.756600000000001</v>
      </c>
      <c r="C863" s="26">
        <f>12.7566 * CHOOSE(CONTROL!$C$32, $C$9, 100%, $E$9)</f>
        <v>12.756600000000001</v>
      </c>
      <c r="D863" s="26">
        <f>12.7577 * CHOOSE(CONTROL!$C$32, $C$9, 100%, $E$9)</f>
        <v>12.7577</v>
      </c>
      <c r="E863" s="27">
        <f>14.3212 * CHOOSE(CONTROL!$C$32, $C$9, 100%, $E$9)</f>
        <v>14.321199999999999</v>
      </c>
      <c r="F863" s="27">
        <f>14.3212 * CHOOSE(CONTROL!$C$32, $C$9, 100%, $E$9)</f>
        <v>14.321199999999999</v>
      </c>
      <c r="G863" s="27">
        <f>14.3248 * CHOOSE(CONTROL!$C$32, $C$9, 100%, $E$9)</f>
        <v>14.3248</v>
      </c>
      <c r="H863" s="27">
        <f>28.9002 * CHOOSE(CONTROL!$C$32, $C$9, 100%, $E$9)</f>
        <v>28.900200000000002</v>
      </c>
      <c r="I863" s="27">
        <f>28.9038 * CHOOSE(CONTROL!$C$32, $C$9, 100%, $E$9)</f>
        <v>28.9038</v>
      </c>
      <c r="J863" s="27">
        <f>28.9002 * CHOOSE(CONTROL!$C$32, $C$9, 100%, $E$9)</f>
        <v>28.900200000000002</v>
      </c>
      <c r="K863" s="27">
        <f>28.9038 * CHOOSE(CONTROL!$C$32, $C$9, 100%, $E$9)</f>
        <v>28.9038</v>
      </c>
      <c r="L863" s="27">
        <f>14.3212 * CHOOSE(CONTROL!$C$32, $C$9, 100%, $E$9)</f>
        <v>14.321199999999999</v>
      </c>
      <c r="M863" s="27">
        <f>14.3248 * CHOOSE(CONTROL!$C$32, $C$9, 100%, $E$9)</f>
        <v>14.3248</v>
      </c>
      <c r="N863" s="27">
        <f>14.3212 * CHOOSE(CONTROL!$C$32, $C$9, 100%, $E$9)</f>
        <v>14.321199999999999</v>
      </c>
      <c r="O863" s="27">
        <f>14.3248 * CHOOSE(CONTROL!$C$32, $C$9, 100%, $E$9)</f>
        <v>14.3248</v>
      </c>
    </row>
    <row r="864" spans="1:15" ht="15" x14ac:dyDescent="0.2">
      <c r="A864" s="16">
        <v>67146</v>
      </c>
      <c r="B864" s="26">
        <f>12.7597 * CHOOSE(CONTROL!$C$32, $C$9, 100%, $E$9)</f>
        <v>12.7597</v>
      </c>
      <c r="C864" s="26">
        <f>12.7597 * CHOOSE(CONTROL!$C$32, $C$9, 100%, $E$9)</f>
        <v>12.7597</v>
      </c>
      <c r="D864" s="26">
        <f>12.7607 * CHOOSE(CONTROL!$C$32, $C$9, 100%, $E$9)</f>
        <v>12.7607</v>
      </c>
      <c r="E864" s="27">
        <f>14.404 * CHOOSE(CONTROL!$C$32, $C$9, 100%, $E$9)</f>
        <v>14.404</v>
      </c>
      <c r="F864" s="27">
        <f>14.404 * CHOOSE(CONTROL!$C$32, $C$9, 100%, $E$9)</f>
        <v>14.404</v>
      </c>
      <c r="G864" s="27">
        <f>14.4076 * CHOOSE(CONTROL!$C$32, $C$9, 100%, $E$9)</f>
        <v>14.4076</v>
      </c>
      <c r="H864" s="27">
        <f>28.9604 * CHOOSE(CONTROL!$C$32, $C$9, 100%, $E$9)</f>
        <v>28.9604</v>
      </c>
      <c r="I864" s="27">
        <f>28.964 * CHOOSE(CONTROL!$C$32, $C$9, 100%, $E$9)</f>
        <v>28.963999999999999</v>
      </c>
      <c r="J864" s="27">
        <f>28.9604 * CHOOSE(CONTROL!$C$32, $C$9, 100%, $E$9)</f>
        <v>28.9604</v>
      </c>
      <c r="K864" s="27">
        <f>28.964 * CHOOSE(CONTROL!$C$32, $C$9, 100%, $E$9)</f>
        <v>28.963999999999999</v>
      </c>
      <c r="L864" s="27">
        <f>14.404 * CHOOSE(CONTROL!$C$32, $C$9, 100%, $E$9)</f>
        <v>14.404</v>
      </c>
      <c r="M864" s="27">
        <f>14.4076 * CHOOSE(CONTROL!$C$32, $C$9, 100%, $E$9)</f>
        <v>14.4076</v>
      </c>
      <c r="N864" s="27">
        <f>14.404 * CHOOSE(CONTROL!$C$32, $C$9, 100%, $E$9)</f>
        <v>14.404</v>
      </c>
      <c r="O864" s="27">
        <f>14.4076 * CHOOSE(CONTROL!$C$32, $C$9, 100%, $E$9)</f>
        <v>14.4076</v>
      </c>
    </row>
    <row r="865" spans="1:15" ht="15" x14ac:dyDescent="0.2">
      <c r="A865" s="16">
        <v>67176</v>
      </c>
      <c r="B865" s="26">
        <f>12.7597 * CHOOSE(CONTROL!$C$32, $C$9, 100%, $E$9)</f>
        <v>12.7597</v>
      </c>
      <c r="C865" s="26">
        <f>12.7597 * CHOOSE(CONTROL!$C$32, $C$9, 100%, $E$9)</f>
        <v>12.7597</v>
      </c>
      <c r="D865" s="26">
        <f>12.7607 * CHOOSE(CONTROL!$C$32, $C$9, 100%, $E$9)</f>
        <v>12.7607</v>
      </c>
      <c r="E865" s="27">
        <f>14.2024 * CHOOSE(CONTROL!$C$32, $C$9, 100%, $E$9)</f>
        <v>14.202400000000001</v>
      </c>
      <c r="F865" s="27">
        <f>14.2024 * CHOOSE(CONTROL!$C$32, $C$9, 100%, $E$9)</f>
        <v>14.202400000000001</v>
      </c>
      <c r="G865" s="27">
        <f>14.206 * CHOOSE(CONTROL!$C$32, $C$9, 100%, $E$9)</f>
        <v>14.206</v>
      </c>
      <c r="H865" s="27">
        <f>29.0207 * CHOOSE(CONTROL!$C$32, $C$9, 100%, $E$9)</f>
        <v>29.020700000000001</v>
      </c>
      <c r="I865" s="27">
        <f>29.0243 * CHOOSE(CONTROL!$C$32, $C$9, 100%, $E$9)</f>
        <v>29.0243</v>
      </c>
      <c r="J865" s="27">
        <f>29.0207 * CHOOSE(CONTROL!$C$32, $C$9, 100%, $E$9)</f>
        <v>29.020700000000001</v>
      </c>
      <c r="K865" s="27">
        <f>29.0243 * CHOOSE(CONTROL!$C$32, $C$9, 100%, $E$9)</f>
        <v>29.0243</v>
      </c>
      <c r="L865" s="27">
        <f>14.2024 * CHOOSE(CONTROL!$C$32, $C$9, 100%, $E$9)</f>
        <v>14.202400000000001</v>
      </c>
      <c r="M865" s="27">
        <f>14.206 * CHOOSE(CONTROL!$C$32, $C$9, 100%, $E$9)</f>
        <v>14.206</v>
      </c>
      <c r="N865" s="27">
        <f>14.2024 * CHOOSE(CONTROL!$C$32, $C$9, 100%, $E$9)</f>
        <v>14.202400000000001</v>
      </c>
      <c r="O865" s="27">
        <f>14.206 * CHOOSE(CONTROL!$C$32, $C$9, 100%, $E$9)</f>
        <v>14.206</v>
      </c>
    </row>
    <row r="866" spans="1:15" ht="15" x14ac:dyDescent="0.2">
      <c r="A866" s="16">
        <v>67207</v>
      </c>
      <c r="B866" s="26">
        <f>12.7541 * CHOOSE(CONTROL!$C$32, $C$9, 100%, $E$9)</f>
        <v>12.754099999999999</v>
      </c>
      <c r="C866" s="26">
        <f>12.7541 * CHOOSE(CONTROL!$C$32, $C$9, 100%, $E$9)</f>
        <v>12.754099999999999</v>
      </c>
      <c r="D866" s="26">
        <f>12.7552 * CHOOSE(CONTROL!$C$32, $C$9, 100%, $E$9)</f>
        <v>12.7552</v>
      </c>
      <c r="E866" s="27">
        <f>14.3456 * CHOOSE(CONTROL!$C$32, $C$9, 100%, $E$9)</f>
        <v>14.345599999999999</v>
      </c>
      <c r="F866" s="27">
        <f>14.3456 * CHOOSE(CONTROL!$C$32, $C$9, 100%, $E$9)</f>
        <v>14.345599999999999</v>
      </c>
      <c r="G866" s="27">
        <f>14.3492 * CHOOSE(CONTROL!$C$32, $C$9, 100%, $E$9)</f>
        <v>14.3492</v>
      </c>
      <c r="H866" s="27">
        <f>28.8174 * CHOOSE(CONTROL!$C$32, $C$9, 100%, $E$9)</f>
        <v>28.817399999999999</v>
      </c>
      <c r="I866" s="27">
        <f>28.821 * CHOOSE(CONTROL!$C$32, $C$9, 100%, $E$9)</f>
        <v>28.821000000000002</v>
      </c>
      <c r="J866" s="27">
        <f>28.8174 * CHOOSE(CONTROL!$C$32, $C$9, 100%, $E$9)</f>
        <v>28.817399999999999</v>
      </c>
      <c r="K866" s="27">
        <f>28.821 * CHOOSE(CONTROL!$C$32, $C$9, 100%, $E$9)</f>
        <v>28.821000000000002</v>
      </c>
      <c r="L866" s="27">
        <f>14.3456 * CHOOSE(CONTROL!$C$32, $C$9, 100%, $E$9)</f>
        <v>14.345599999999999</v>
      </c>
      <c r="M866" s="27">
        <f>14.3492 * CHOOSE(CONTROL!$C$32, $C$9, 100%, $E$9)</f>
        <v>14.3492</v>
      </c>
      <c r="N866" s="27">
        <f>14.3456 * CHOOSE(CONTROL!$C$32, $C$9, 100%, $E$9)</f>
        <v>14.345599999999999</v>
      </c>
      <c r="O866" s="27">
        <f>14.3492 * CHOOSE(CONTROL!$C$32, $C$9, 100%, $E$9)</f>
        <v>14.3492</v>
      </c>
    </row>
    <row r="867" spans="1:15" ht="15" x14ac:dyDescent="0.2">
      <c r="A867" s="16">
        <v>67238</v>
      </c>
      <c r="B867" s="26">
        <f>12.751 * CHOOSE(CONTROL!$C$32, $C$9, 100%, $E$9)</f>
        <v>12.750999999999999</v>
      </c>
      <c r="C867" s="26">
        <f>12.751 * CHOOSE(CONTROL!$C$32, $C$9, 100%, $E$9)</f>
        <v>12.750999999999999</v>
      </c>
      <c r="D867" s="26">
        <f>12.7521 * CHOOSE(CONTROL!$C$32, $C$9, 100%, $E$9)</f>
        <v>12.7521</v>
      </c>
      <c r="E867" s="27">
        <f>13.9553 * CHOOSE(CONTROL!$C$32, $C$9, 100%, $E$9)</f>
        <v>13.955299999999999</v>
      </c>
      <c r="F867" s="27">
        <f>13.9553 * CHOOSE(CONTROL!$C$32, $C$9, 100%, $E$9)</f>
        <v>13.955299999999999</v>
      </c>
      <c r="G867" s="27">
        <f>13.959 * CHOOSE(CONTROL!$C$32, $C$9, 100%, $E$9)</f>
        <v>13.959</v>
      </c>
      <c r="H867" s="27">
        <f>28.8774 * CHOOSE(CONTROL!$C$32, $C$9, 100%, $E$9)</f>
        <v>28.877400000000002</v>
      </c>
      <c r="I867" s="27">
        <f>28.881 * CHOOSE(CONTROL!$C$32, $C$9, 100%, $E$9)</f>
        <v>28.881</v>
      </c>
      <c r="J867" s="27">
        <f>28.8774 * CHOOSE(CONTROL!$C$32, $C$9, 100%, $E$9)</f>
        <v>28.877400000000002</v>
      </c>
      <c r="K867" s="27">
        <f>28.881 * CHOOSE(CONTROL!$C$32, $C$9, 100%, $E$9)</f>
        <v>28.881</v>
      </c>
      <c r="L867" s="27">
        <f>13.9553 * CHOOSE(CONTROL!$C$32, $C$9, 100%, $E$9)</f>
        <v>13.955299999999999</v>
      </c>
      <c r="M867" s="27">
        <f>13.959 * CHOOSE(CONTROL!$C$32, $C$9, 100%, $E$9)</f>
        <v>13.959</v>
      </c>
      <c r="N867" s="27">
        <f>13.9553 * CHOOSE(CONTROL!$C$32, $C$9, 100%, $E$9)</f>
        <v>13.955299999999999</v>
      </c>
      <c r="O867" s="27">
        <f>13.959 * CHOOSE(CONTROL!$C$32, $C$9, 100%, $E$9)</f>
        <v>13.959</v>
      </c>
    </row>
    <row r="868" spans="1:15" ht="15" x14ac:dyDescent="0.2">
      <c r="A868" s="16">
        <v>67267</v>
      </c>
      <c r="B868" s="26">
        <f>12.748 * CHOOSE(CONTROL!$C$32, $C$9, 100%, $E$9)</f>
        <v>12.747999999999999</v>
      </c>
      <c r="C868" s="26">
        <f>12.748 * CHOOSE(CONTROL!$C$32, $C$9, 100%, $E$9)</f>
        <v>12.747999999999999</v>
      </c>
      <c r="D868" s="26">
        <f>12.7491 * CHOOSE(CONTROL!$C$32, $C$9, 100%, $E$9)</f>
        <v>12.7491</v>
      </c>
      <c r="E868" s="27">
        <f>14.2592 * CHOOSE(CONTROL!$C$32, $C$9, 100%, $E$9)</f>
        <v>14.2592</v>
      </c>
      <c r="F868" s="27">
        <f>14.2592 * CHOOSE(CONTROL!$C$32, $C$9, 100%, $E$9)</f>
        <v>14.2592</v>
      </c>
      <c r="G868" s="27">
        <f>14.2628 * CHOOSE(CONTROL!$C$32, $C$9, 100%, $E$9)</f>
        <v>14.2628</v>
      </c>
      <c r="H868" s="27">
        <f>28.9376 * CHOOSE(CONTROL!$C$32, $C$9, 100%, $E$9)</f>
        <v>28.9376</v>
      </c>
      <c r="I868" s="27">
        <f>28.9412 * CHOOSE(CONTROL!$C$32, $C$9, 100%, $E$9)</f>
        <v>28.941199999999998</v>
      </c>
      <c r="J868" s="27">
        <f>28.9376 * CHOOSE(CONTROL!$C$32, $C$9, 100%, $E$9)</f>
        <v>28.9376</v>
      </c>
      <c r="K868" s="27">
        <f>28.9412 * CHOOSE(CONTROL!$C$32, $C$9, 100%, $E$9)</f>
        <v>28.941199999999998</v>
      </c>
      <c r="L868" s="27">
        <f>14.2592 * CHOOSE(CONTROL!$C$32, $C$9, 100%, $E$9)</f>
        <v>14.2592</v>
      </c>
      <c r="M868" s="27">
        <f>14.2628 * CHOOSE(CONTROL!$C$32, $C$9, 100%, $E$9)</f>
        <v>14.2628</v>
      </c>
      <c r="N868" s="27">
        <f>14.2592 * CHOOSE(CONTROL!$C$32, $C$9, 100%, $E$9)</f>
        <v>14.2592</v>
      </c>
      <c r="O868" s="27">
        <f>14.2628 * CHOOSE(CONTROL!$C$32, $C$9, 100%, $E$9)</f>
        <v>14.2628</v>
      </c>
    </row>
    <row r="869" spans="1:15" ht="15" x14ac:dyDescent="0.2">
      <c r="A869" s="16">
        <v>67298</v>
      </c>
      <c r="B869" s="26">
        <f>12.7541 * CHOOSE(CONTROL!$C$32, $C$9, 100%, $E$9)</f>
        <v>12.754099999999999</v>
      </c>
      <c r="C869" s="26">
        <f>12.7541 * CHOOSE(CONTROL!$C$32, $C$9, 100%, $E$9)</f>
        <v>12.754099999999999</v>
      </c>
      <c r="D869" s="26">
        <f>12.7552 * CHOOSE(CONTROL!$C$32, $C$9, 100%, $E$9)</f>
        <v>12.7552</v>
      </c>
      <c r="E869" s="27">
        <f>14.5835 * CHOOSE(CONTROL!$C$32, $C$9, 100%, $E$9)</f>
        <v>14.583500000000001</v>
      </c>
      <c r="F869" s="27">
        <f>14.5835 * CHOOSE(CONTROL!$C$32, $C$9, 100%, $E$9)</f>
        <v>14.583500000000001</v>
      </c>
      <c r="G869" s="27">
        <f>14.5872 * CHOOSE(CONTROL!$C$32, $C$9, 100%, $E$9)</f>
        <v>14.587199999999999</v>
      </c>
      <c r="H869" s="27">
        <f>28.9979 * CHOOSE(CONTROL!$C$32, $C$9, 100%, $E$9)</f>
        <v>28.997900000000001</v>
      </c>
      <c r="I869" s="27">
        <f>29.0015 * CHOOSE(CONTROL!$C$32, $C$9, 100%, $E$9)</f>
        <v>29.0015</v>
      </c>
      <c r="J869" s="27">
        <f>28.9979 * CHOOSE(CONTROL!$C$32, $C$9, 100%, $E$9)</f>
        <v>28.997900000000001</v>
      </c>
      <c r="K869" s="27">
        <f>29.0015 * CHOOSE(CONTROL!$C$32, $C$9, 100%, $E$9)</f>
        <v>29.0015</v>
      </c>
      <c r="L869" s="27">
        <f>14.5835 * CHOOSE(CONTROL!$C$32, $C$9, 100%, $E$9)</f>
        <v>14.583500000000001</v>
      </c>
      <c r="M869" s="27">
        <f>14.5872 * CHOOSE(CONTROL!$C$32, $C$9, 100%, $E$9)</f>
        <v>14.587199999999999</v>
      </c>
      <c r="N869" s="27">
        <f>14.5835 * CHOOSE(CONTROL!$C$32, $C$9, 100%, $E$9)</f>
        <v>14.583500000000001</v>
      </c>
      <c r="O869" s="27">
        <f>14.5872 * CHOOSE(CONTROL!$C$32, $C$9, 100%, $E$9)</f>
        <v>14.587199999999999</v>
      </c>
    </row>
    <row r="870" spans="1:15" ht="15" x14ac:dyDescent="0.2">
      <c r="A870" s="16">
        <v>67328</v>
      </c>
      <c r="B870" s="26">
        <f>12.7541 * CHOOSE(CONTROL!$C$32, $C$9, 100%, $E$9)</f>
        <v>12.754099999999999</v>
      </c>
      <c r="C870" s="26">
        <f>12.7541 * CHOOSE(CONTROL!$C$32, $C$9, 100%, $E$9)</f>
        <v>12.754099999999999</v>
      </c>
      <c r="D870" s="26">
        <f>12.7557 * CHOOSE(CONTROL!$C$32, $C$9, 100%, $E$9)</f>
        <v>12.755699999999999</v>
      </c>
      <c r="E870" s="27">
        <f>14.7068 * CHOOSE(CONTROL!$C$32, $C$9, 100%, $E$9)</f>
        <v>14.706799999999999</v>
      </c>
      <c r="F870" s="27">
        <f>14.7068 * CHOOSE(CONTROL!$C$32, $C$9, 100%, $E$9)</f>
        <v>14.706799999999999</v>
      </c>
      <c r="G870" s="27">
        <f>14.7121 * CHOOSE(CONTROL!$C$32, $C$9, 100%, $E$9)</f>
        <v>14.7121</v>
      </c>
      <c r="H870" s="27">
        <f>29.0583 * CHOOSE(CONTROL!$C$32, $C$9, 100%, $E$9)</f>
        <v>29.058299999999999</v>
      </c>
      <c r="I870" s="27">
        <f>29.0636 * CHOOSE(CONTROL!$C$32, $C$9, 100%, $E$9)</f>
        <v>29.063600000000001</v>
      </c>
      <c r="J870" s="27">
        <f>29.0583 * CHOOSE(CONTROL!$C$32, $C$9, 100%, $E$9)</f>
        <v>29.058299999999999</v>
      </c>
      <c r="K870" s="27">
        <f>29.0636 * CHOOSE(CONTROL!$C$32, $C$9, 100%, $E$9)</f>
        <v>29.063600000000001</v>
      </c>
      <c r="L870" s="27">
        <f>14.7068 * CHOOSE(CONTROL!$C$32, $C$9, 100%, $E$9)</f>
        <v>14.706799999999999</v>
      </c>
      <c r="M870" s="27">
        <f>14.7121 * CHOOSE(CONTROL!$C$32, $C$9, 100%, $E$9)</f>
        <v>14.7121</v>
      </c>
      <c r="N870" s="27">
        <f>14.7068 * CHOOSE(CONTROL!$C$32, $C$9, 100%, $E$9)</f>
        <v>14.706799999999999</v>
      </c>
      <c r="O870" s="27">
        <f>14.7121 * CHOOSE(CONTROL!$C$32, $C$9, 100%, $E$9)</f>
        <v>14.7121</v>
      </c>
    </row>
    <row r="871" spans="1:15" ht="15" x14ac:dyDescent="0.2">
      <c r="A871" s="16">
        <v>67359</v>
      </c>
      <c r="B871" s="26">
        <f>12.7602 * CHOOSE(CONTROL!$C$32, $C$9, 100%, $E$9)</f>
        <v>12.760199999999999</v>
      </c>
      <c r="C871" s="26">
        <f>12.7602 * CHOOSE(CONTROL!$C$32, $C$9, 100%, $E$9)</f>
        <v>12.760199999999999</v>
      </c>
      <c r="D871" s="26">
        <f>12.7618 * CHOOSE(CONTROL!$C$32, $C$9, 100%, $E$9)</f>
        <v>12.761799999999999</v>
      </c>
      <c r="E871" s="27">
        <f>14.5878 * CHOOSE(CONTROL!$C$32, $C$9, 100%, $E$9)</f>
        <v>14.5878</v>
      </c>
      <c r="F871" s="27">
        <f>14.5878 * CHOOSE(CONTROL!$C$32, $C$9, 100%, $E$9)</f>
        <v>14.5878</v>
      </c>
      <c r="G871" s="27">
        <f>14.5931 * CHOOSE(CONTROL!$C$32, $C$9, 100%, $E$9)</f>
        <v>14.5931</v>
      </c>
      <c r="H871" s="27">
        <f>29.1188 * CHOOSE(CONTROL!$C$32, $C$9, 100%, $E$9)</f>
        <v>29.1188</v>
      </c>
      <c r="I871" s="27">
        <f>29.1241 * CHOOSE(CONTROL!$C$32, $C$9, 100%, $E$9)</f>
        <v>29.124099999999999</v>
      </c>
      <c r="J871" s="27">
        <f>29.1188 * CHOOSE(CONTROL!$C$32, $C$9, 100%, $E$9)</f>
        <v>29.1188</v>
      </c>
      <c r="K871" s="27">
        <f>29.1241 * CHOOSE(CONTROL!$C$32, $C$9, 100%, $E$9)</f>
        <v>29.124099999999999</v>
      </c>
      <c r="L871" s="27">
        <f>14.5878 * CHOOSE(CONTROL!$C$32, $C$9, 100%, $E$9)</f>
        <v>14.5878</v>
      </c>
      <c r="M871" s="27">
        <f>14.5931 * CHOOSE(CONTROL!$C$32, $C$9, 100%, $E$9)</f>
        <v>14.5931</v>
      </c>
      <c r="N871" s="27">
        <f>14.5878 * CHOOSE(CONTROL!$C$32, $C$9, 100%, $E$9)</f>
        <v>14.5878</v>
      </c>
      <c r="O871" s="27">
        <f>14.5931 * CHOOSE(CONTROL!$C$32, $C$9, 100%, $E$9)</f>
        <v>14.5931</v>
      </c>
    </row>
    <row r="872" spans="1:15" ht="15" x14ac:dyDescent="0.2">
      <c r="A872" s="16">
        <v>67389</v>
      </c>
      <c r="B872" s="26">
        <f>12.9149 * CHOOSE(CONTROL!$C$32, $C$9, 100%, $E$9)</f>
        <v>12.914899999999999</v>
      </c>
      <c r="C872" s="26">
        <f>12.9149 * CHOOSE(CONTROL!$C$32, $C$9, 100%, $E$9)</f>
        <v>12.914899999999999</v>
      </c>
      <c r="D872" s="26">
        <f>12.9165 * CHOOSE(CONTROL!$C$32, $C$9, 100%, $E$9)</f>
        <v>12.916499999999999</v>
      </c>
      <c r="E872" s="27">
        <f>14.7942 * CHOOSE(CONTROL!$C$32, $C$9, 100%, $E$9)</f>
        <v>14.7942</v>
      </c>
      <c r="F872" s="27">
        <f>14.7942 * CHOOSE(CONTROL!$C$32, $C$9, 100%, $E$9)</f>
        <v>14.7942</v>
      </c>
      <c r="G872" s="27">
        <f>14.7995 * CHOOSE(CONTROL!$C$32, $C$9, 100%, $E$9)</f>
        <v>14.7995</v>
      </c>
      <c r="H872" s="27">
        <f>29.1795 * CHOOSE(CONTROL!$C$32, $C$9, 100%, $E$9)</f>
        <v>29.179500000000001</v>
      </c>
      <c r="I872" s="27">
        <f>29.1848 * CHOOSE(CONTROL!$C$32, $C$9, 100%, $E$9)</f>
        <v>29.184799999999999</v>
      </c>
      <c r="J872" s="27">
        <f>29.1795 * CHOOSE(CONTROL!$C$32, $C$9, 100%, $E$9)</f>
        <v>29.179500000000001</v>
      </c>
      <c r="K872" s="27">
        <f>29.1848 * CHOOSE(CONTROL!$C$32, $C$9, 100%, $E$9)</f>
        <v>29.184799999999999</v>
      </c>
      <c r="L872" s="27">
        <f>14.7942 * CHOOSE(CONTROL!$C$32, $C$9, 100%, $E$9)</f>
        <v>14.7942</v>
      </c>
      <c r="M872" s="27">
        <f>14.7995 * CHOOSE(CONTROL!$C$32, $C$9, 100%, $E$9)</f>
        <v>14.7995</v>
      </c>
      <c r="N872" s="27">
        <f>14.7942 * CHOOSE(CONTROL!$C$32, $C$9, 100%, $E$9)</f>
        <v>14.7942</v>
      </c>
      <c r="O872" s="27">
        <f>14.7995 * CHOOSE(CONTROL!$C$32, $C$9, 100%, $E$9)</f>
        <v>14.7995</v>
      </c>
    </row>
    <row r="873" spans="1:15" ht="15" x14ac:dyDescent="0.2">
      <c r="A873" s="16">
        <v>67420</v>
      </c>
      <c r="B873" s="26">
        <f>12.9216 * CHOOSE(CONTROL!$C$32, $C$9, 100%, $E$9)</f>
        <v>12.9216</v>
      </c>
      <c r="C873" s="26">
        <f>12.9216 * CHOOSE(CONTROL!$C$32, $C$9, 100%, $E$9)</f>
        <v>12.9216</v>
      </c>
      <c r="D873" s="26">
        <f>12.9231 * CHOOSE(CONTROL!$C$32, $C$9, 100%, $E$9)</f>
        <v>12.9231</v>
      </c>
      <c r="E873" s="27">
        <f>14.4292 * CHOOSE(CONTROL!$C$32, $C$9, 100%, $E$9)</f>
        <v>14.4292</v>
      </c>
      <c r="F873" s="27">
        <f>14.4292 * CHOOSE(CONTROL!$C$32, $C$9, 100%, $E$9)</f>
        <v>14.4292</v>
      </c>
      <c r="G873" s="27">
        <f>14.4345 * CHOOSE(CONTROL!$C$32, $C$9, 100%, $E$9)</f>
        <v>14.4345</v>
      </c>
      <c r="H873" s="27">
        <f>29.2403 * CHOOSE(CONTROL!$C$32, $C$9, 100%, $E$9)</f>
        <v>29.240300000000001</v>
      </c>
      <c r="I873" s="27">
        <f>29.2456 * CHOOSE(CONTROL!$C$32, $C$9, 100%, $E$9)</f>
        <v>29.2456</v>
      </c>
      <c r="J873" s="27">
        <f>29.2403 * CHOOSE(CONTROL!$C$32, $C$9, 100%, $E$9)</f>
        <v>29.240300000000001</v>
      </c>
      <c r="K873" s="27">
        <f>29.2456 * CHOOSE(CONTROL!$C$32, $C$9, 100%, $E$9)</f>
        <v>29.2456</v>
      </c>
      <c r="L873" s="27">
        <f>14.4292 * CHOOSE(CONTROL!$C$32, $C$9, 100%, $E$9)</f>
        <v>14.4292</v>
      </c>
      <c r="M873" s="27">
        <f>14.4345 * CHOOSE(CONTROL!$C$32, $C$9, 100%, $E$9)</f>
        <v>14.4345</v>
      </c>
      <c r="N873" s="27">
        <f>14.4292 * CHOOSE(CONTROL!$C$32, $C$9, 100%, $E$9)</f>
        <v>14.4292</v>
      </c>
      <c r="O873" s="27">
        <f>14.4345 * CHOOSE(CONTROL!$C$32, $C$9, 100%, $E$9)</f>
        <v>14.4345</v>
      </c>
    </row>
    <row r="874" spans="1:15" ht="15" x14ac:dyDescent="0.2">
      <c r="A874" s="16">
        <v>67451</v>
      </c>
      <c r="B874" s="26">
        <f>12.9185 * CHOOSE(CONTROL!$C$32, $C$9, 100%, $E$9)</f>
        <v>12.9185</v>
      </c>
      <c r="C874" s="26">
        <f>12.9185 * CHOOSE(CONTROL!$C$32, $C$9, 100%, $E$9)</f>
        <v>12.9185</v>
      </c>
      <c r="D874" s="26">
        <f>12.9201 * CHOOSE(CONTROL!$C$32, $C$9, 100%, $E$9)</f>
        <v>12.9201</v>
      </c>
      <c r="E874" s="27">
        <f>14.386 * CHOOSE(CONTROL!$C$32, $C$9, 100%, $E$9)</f>
        <v>14.385999999999999</v>
      </c>
      <c r="F874" s="27">
        <f>14.386 * CHOOSE(CONTROL!$C$32, $C$9, 100%, $E$9)</f>
        <v>14.385999999999999</v>
      </c>
      <c r="G874" s="27">
        <f>14.3913 * CHOOSE(CONTROL!$C$32, $C$9, 100%, $E$9)</f>
        <v>14.391299999999999</v>
      </c>
      <c r="H874" s="27">
        <f>29.3012 * CHOOSE(CONTROL!$C$32, $C$9, 100%, $E$9)</f>
        <v>29.301200000000001</v>
      </c>
      <c r="I874" s="27">
        <f>29.3065 * CHOOSE(CONTROL!$C$32, $C$9, 100%, $E$9)</f>
        <v>29.3065</v>
      </c>
      <c r="J874" s="27">
        <f>29.3012 * CHOOSE(CONTROL!$C$32, $C$9, 100%, $E$9)</f>
        <v>29.301200000000001</v>
      </c>
      <c r="K874" s="27">
        <f>29.3065 * CHOOSE(CONTROL!$C$32, $C$9, 100%, $E$9)</f>
        <v>29.3065</v>
      </c>
      <c r="L874" s="27">
        <f>14.386 * CHOOSE(CONTROL!$C$32, $C$9, 100%, $E$9)</f>
        <v>14.385999999999999</v>
      </c>
      <c r="M874" s="27">
        <f>14.3913 * CHOOSE(CONTROL!$C$32, $C$9, 100%, $E$9)</f>
        <v>14.391299999999999</v>
      </c>
      <c r="N874" s="27">
        <f>14.386 * CHOOSE(CONTROL!$C$32, $C$9, 100%, $E$9)</f>
        <v>14.385999999999999</v>
      </c>
      <c r="O874" s="27">
        <f>14.3913 * CHOOSE(CONTROL!$C$32, $C$9, 100%, $E$9)</f>
        <v>14.391299999999999</v>
      </c>
    </row>
    <row r="875" spans="1:15" ht="15" x14ac:dyDescent="0.2">
      <c r="A875" s="16">
        <v>67481</v>
      </c>
      <c r="B875" s="26">
        <f>12.9469 * CHOOSE(CONTROL!$C$32, $C$9, 100%, $E$9)</f>
        <v>12.946899999999999</v>
      </c>
      <c r="C875" s="26">
        <f>12.9469 * CHOOSE(CONTROL!$C$32, $C$9, 100%, $E$9)</f>
        <v>12.946899999999999</v>
      </c>
      <c r="D875" s="26">
        <f>12.948 * CHOOSE(CONTROL!$C$32, $C$9, 100%, $E$9)</f>
        <v>12.948</v>
      </c>
      <c r="E875" s="27">
        <f>14.5369 * CHOOSE(CONTROL!$C$32, $C$9, 100%, $E$9)</f>
        <v>14.536899999999999</v>
      </c>
      <c r="F875" s="27">
        <f>14.5369 * CHOOSE(CONTROL!$C$32, $C$9, 100%, $E$9)</f>
        <v>14.536899999999999</v>
      </c>
      <c r="G875" s="27">
        <f>14.5405 * CHOOSE(CONTROL!$C$32, $C$9, 100%, $E$9)</f>
        <v>14.5405</v>
      </c>
      <c r="H875" s="27">
        <f>29.3622 * CHOOSE(CONTROL!$C$32, $C$9, 100%, $E$9)</f>
        <v>29.362200000000001</v>
      </c>
      <c r="I875" s="27">
        <f>29.3659 * CHOOSE(CONTROL!$C$32, $C$9, 100%, $E$9)</f>
        <v>29.3659</v>
      </c>
      <c r="J875" s="27">
        <f>29.3622 * CHOOSE(CONTROL!$C$32, $C$9, 100%, $E$9)</f>
        <v>29.362200000000001</v>
      </c>
      <c r="K875" s="27">
        <f>29.3659 * CHOOSE(CONTROL!$C$32, $C$9, 100%, $E$9)</f>
        <v>29.3659</v>
      </c>
      <c r="L875" s="27">
        <f>14.5369 * CHOOSE(CONTROL!$C$32, $C$9, 100%, $E$9)</f>
        <v>14.536899999999999</v>
      </c>
      <c r="M875" s="27">
        <f>14.5405 * CHOOSE(CONTROL!$C$32, $C$9, 100%, $E$9)</f>
        <v>14.5405</v>
      </c>
      <c r="N875" s="27">
        <f>14.5369 * CHOOSE(CONTROL!$C$32, $C$9, 100%, $E$9)</f>
        <v>14.536899999999999</v>
      </c>
      <c r="O875" s="27">
        <f>14.5405 * CHOOSE(CONTROL!$C$32, $C$9, 100%, $E$9)</f>
        <v>14.5405</v>
      </c>
    </row>
    <row r="876" spans="1:15" ht="15" x14ac:dyDescent="0.2">
      <c r="A876" s="16">
        <v>67512</v>
      </c>
      <c r="B876" s="26">
        <f>12.95 * CHOOSE(CONTROL!$C$32, $C$9, 100%, $E$9)</f>
        <v>12.95</v>
      </c>
      <c r="C876" s="26">
        <f>12.95 * CHOOSE(CONTROL!$C$32, $C$9, 100%, $E$9)</f>
        <v>12.95</v>
      </c>
      <c r="D876" s="26">
        <f>12.951 * CHOOSE(CONTROL!$C$32, $C$9, 100%, $E$9)</f>
        <v>12.951000000000001</v>
      </c>
      <c r="E876" s="27">
        <f>14.6212 * CHOOSE(CONTROL!$C$32, $C$9, 100%, $E$9)</f>
        <v>14.6212</v>
      </c>
      <c r="F876" s="27">
        <f>14.6212 * CHOOSE(CONTROL!$C$32, $C$9, 100%, $E$9)</f>
        <v>14.6212</v>
      </c>
      <c r="G876" s="27">
        <f>14.6248 * CHOOSE(CONTROL!$C$32, $C$9, 100%, $E$9)</f>
        <v>14.6248</v>
      </c>
      <c r="H876" s="27">
        <f>29.4234 * CHOOSE(CONTROL!$C$32, $C$9, 100%, $E$9)</f>
        <v>29.423400000000001</v>
      </c>
      <c r="I876" s="27">
        <f>29.427 * CHOOSE(CONTROL!$C$32, $C$9, 100%, $E$9)</f>
        <v>29.427</v>
      </c>
      <c r="J876" s="27">
        <f>29.4234 * CHOOSE(CONTROL!$C$32, $C$9, 100%, $E$9)</f>
        <v>29.423400000000001</v>
      </c>
      <c r="K876" s="27">
        <f>29.427 * CHOOSE(CONTROL!$C$32, $C$9, 100%, $E$9)</f>
        <v>29.427</v>
      </c>
      <c r="L876" s="27">
        <f>14.6212 * CHOOSE(CONTROL!$C$32, $C$9, 100%, $E$9)</f>
        <v>14.6212</v>
      </c>
      <c r="M876" s="27">
        <f>14.6248 * CHOOSE(CONTROL!$C$32, $C$9, 100%, $E$9)</f>
        <v>14.6248</v>
      </c>
      <c r="N876" s="27">
        <f>14.6212 * CHOOSE(CONTROL!$C$32, $C$9, 100%, $E$9)</f>
        <v>14.6212</v>
      </c>
      <c r="O876" s="27">
        <f>14.6248 * CHOOSE(CONTROL!$C$32, $C$9, 100%, $E$9)</f>
        <v>14.6248</v>
      </c>
    </row>
    <row r="877" spans="1:15" ht="15" x14ac:dyDescent="0.2">
      <c r="A877" s="16">
        <v>67542</v>
      </c>
      <c r="B877" s="26">
        <f>12.95 * CHOOSE(CONTROL!$C$32, $C$9, 100%, $E$9)</f>
        <v>12.95</v>
      </c>
      <c r="C877" s="26">
        <f>12.95 * CHOOSE(CONTROL!$C$32, $C$9, 100%, $E$9)</f>
        <v>12.95</v>
      </c>
      <c r="D877" s="26">
        <f>12.951 * CHOOSE(CONTROL!$C$32, $C$9, 100%, $E$9)</f>
        <v>12.951000000000001</v>
      </c>
      <c r="E877" s="27">
        <f>14.4158 * CHOOSE(CONTROL!$C$32, $C$9, 100%, $E$9)</f>
        <v>14.415800000000001</v>
      </c>
      <c r="F877" s="27">
        <f>14.4158 * CHOOSE(CONTROL!$C$32, $C$9, 100%, $E$9)</f>
        <v>14.415800000000001</v>
      </c>
      <c r="G877" s="27">
        <f>14.4194 * CHOOSE(CONTROL!$C$32, $C$9, 100%, $E$9)</f>
        <v>14.4194</v>
      </c>
      <c r="H877" s="27">
        <f>29.4847 * CHOOSE(CONTROL!$C$32, $C$9, 100%, $E$9)</f>
        <v>29.4847</v>
      </c>
      <c r="I877" s="27">
        <f>29.4883 * CHOOSE(CONTROL!$C$32, $C$9, 100%, $E$9)</f>
        <v>29.488299999999999</v>
      </c>
      <c r="J877" s="27">
        <f>29.4847 * CHOOSE(CONTROL!$C$32, $C$9, 100%, $E$9)</f>
        <v>29.4847</v>
      </c>
      <c r="K877" s="27">
        <f>29.4883 * CHOOSE(CONTROL!$C$32, $C$9, 100%, $E$9)</f>
        <v>29.488299999999999</v>
      </c>
      <c r="L877" s="27">
        <f>14.4158 * CHOOSE(CONTROL!$C$32, $C$9, 100%, $E$9)</f>
        <v>14.415800000000001</v>
      </c>
      <c r="M877" s="27">
        <f>14.4194 * CHOOSE(CONTROL!$C$32, $C$9, 100%, $E$9)</f>
        <v>14.4194</v>
      </c>
      <c r="N877" s="27">
        <f>14.4158 * CHOOSE(CONTROL!$C$32, $C$9, 100%, $E$9)</f>
        <v>14.415800000000001</v>
      </c>
      <c r="O877" s="27">
        <f>14.4194 * CHOOSE(CONTROL!$C$32, $C$9, 100%, $E$9)</f>
        <v>14.4194</v>
      </c>
    </row>
    <row r="878" spans="1:15" ht="15" x14ac:dyDescent="0.2">
      <c r="A878" s="16">
        <v>67573</v>
      </c>
      <c r="B878" s="26">
        <f>12.9414 * CHOOSE(CONTROL!$C$32, $C$9, 100%, $E$9)</f>
        <v>12.9414</v>
      </c>
      <c r="C878" s="26">
        <f>12.9414 * CHOOSE(CONTROL!$C$32, $C$9, 100%, $E$9)</f>
        <v>12.9414</v>
      </c>
      <c r="D878" s="26">
        <f>12.9425 * CHOOSE(CONTROL!$C$32, $C$9, 100%, $E$9)</f>
        <v>12.942500000000001</v>
      </c>
      <c r="E878" s="27">
        <f>14.5581 * CHOOSE(CONTROL!$C$32, $C$9, 100%, $E$9)</f>
        <v>14.5581</v>
      </c>
      <c r="F878" s="27">
        <f>14.5581 * CHOOSE(CONTROL!$C$32, $C$9, 100%, $E$9)</f>
        <v>14.5581</v>
      </c>
      <c r="G878" s="27">
        <f>14.5617 * CHOOSE(CONTROL!$C$32, $C$9, 100%, $E$9)</f>
        <v>14.5617</v>
      </c>
      <c r="H878" s="27">
        <f>29.2709 * CHOOSE(CONTROL!$C$32, $C$9, 100%, $E$9)</f>
        <v>29.270900000000001</v>
      </c>
      <c r="I878" s="27">
        <f>29.2745 * CHOOSE(CONTROL!$C$32, $C$9, 100%, $E$9)</f>
        <v>29.2745</v>
      </c>
      <c r="J878" s="27">
        <f>29.2709 * CHOOSE(CONTROL!$C$32, $C$9, 100%, $E$9)</f>
        <v>29.270900000000001</v>
      </c>
      <c r="K878" s="27">
        <f>29.2745 * CHOOSE(CONTROL!$C$32, $C$9, 100%, $E$9)</f>
        <v>29.2745</v>
      </c>
      <c r="L878" s="27">
        <f>14.5581 * CHOOSE(CONTROL!$C$32, $C$9, 100%, $E$9)</f>
        <v>14.5581</v>
      </c>
      <c r="M878" s="27">
        <f>14.5617 * CHOOSE(CONTROL!$C$32, $C$9, 100%, $E$9)</f>
        <v>14.5617</v>
      </c>
      <c r="N878" s="27">
        <f>14.5581 * CHOOSE(CONTROL!$C$32, $C$9, 100%, $E$9)</f>
        <v>14.5581</v>
      </c>
      <c r="O878" s="27">
        <f>14.5617 * CHOOSE(CONTROL!$C$32, $C$9, 100%, $E$9)</f>
        <v>14.5617</v>
      </c>
    </row>
    <row r="879" spans="1:15" ht="15" x14ac:dyDescent="0.2">
      <c r="A879" s="16">
        <v>67604</v>
      </c>
      <c r="B879" s="26">
        <f>12.9384 * CHOOSE(CONTROL!$C$32, $C$9, 100%, $E$9)</f>
        <v>12.9384</v>
      </c>
      <c r="C879" s="26">
        <f>12.9384 * CHOOSE(CONTROL!$C$32, $C$9, 100%, $E$9)</f>
        <v>12.9384</v>
      </c>
      <c r="D879" s="26">
        <f>12.9395 * CHOOSE(CONTROL!$C$32, $C$9, 100%, $E$9)</f>
        <v>12.939500000000001</v>
      </c>
      <c r="E879" s="27">
        <f>14.1608 * CHOOSE(CONTROL!$C$32, $C$9, 100%, $E$9)</f>
        <v>14.1608</v>
      </c>
      <c r="F879" s="27">
        <f>14.1608 * CHOOSE(CONTROL!$C$32, $C$9, 100%, $E$9)</f>
        <v>14.1608</v>
      </c>
      <c r="G879" s="27">
        <f>14.1644 * CHOOSE(CONTROL!$C$32, $C$9, 100%, $E$9)</f>
        <v>14.164400000000001</v>
      </c>
      <c r="H879" s="27">
        <f>29.3319 * CHOOSE(CONTROL!$C$32, $C$9, 100%, $E$9)</f>
        <v>29.331900000000001</v>
      </c>
      <c r="I879" s="27">
        <f>29.3355 * CHOOSE(CONTROL!$C$32, $C$9, 100%, $E$9)</f>
        <v>29.3355</v>
      </c>
      <c r="J879" s="27">
        <f>29.3319 * CHOOSE(CONTROL!$C$32, $C$9, 100%, $E$9)</f>
        <v>29.331900000000001</v>
      </c>
      <c r="K879" s="27">
        <f>29.3355 * CHOOSE(CONTROL!$C$32, $C$9, 100%, $E$9)</f>
        <v>29.3355</v>
      </c>
      <c r="L879" s="27">
        <f>14.1608 * CHOOSE(CONTROL!$C$32, $C$9, 100%, $E$9)</f>
        <v>14.1608</v>
      </c>
      <c r="M879" s="27">
        <f>14.1644 * CHOOSE(CONTROL!$C$32, $C$9, 100%, $E$9)</f>
        <v>14.164400000000001</v>
      </c>
      <c r="N879" s="27">
        <f>14.1608 * CHOOSE(CONTROL!$C$32, $C$9, 100%, $E$9)</f>
        <v>14.1608</v>
      </c>
      <c r="O879" s="27">
        <f>14.1644 * CHOOSE(CONTROL!$C$32, $C$9, 100%, $E$9)</f>
        <v>14.164400000000001</v>
      </c>
    </row>
    <row r="880" spans="1:15" ht="15" x14ac:dyDescent="0.2">
      <c r="A880" s="16">
        <v>67632</v>
      </c>
      <c r="B880" s="26">
        <f>12.9354 * CHOOSE(CONTROL!$C$32, $C$9, 100%, $E$9)</f>
        <v>12.9354</v>
      </c>
      <c r="C880" s="26">
        <f>12.9354 * CHOOSE(CONTROL!$C$32, $C$9, 100%, $E$9)</f>
        <v>12.9354</v>
      </c>
      <c r="D880" s="26">
        <f>12.9364 * CHOOSE(CONTROL!$C$32, $C$9, 100%, $E$9)</f>
        <v>12.936400000000001</v>
      </c>
      <c r="E880" s="27">
        <f>14.4702 * CHOOSE(CONTROL!$C$32, $C$9, 100%, $E$9)</f>
        <v>14.4702</v>
      </c>
      <c r="F880" s="27">
        <f>14.4702 * CHOOSE(CONTROL!$C$32, $C$9, 100%, $E$9)</f>
        <v>14.4702</v>
      </c>
      <c r="G880" s="27">
        <f>14.4738 * CHOOSE(CONTROL!$C$32, $C$9, 100%, $E$9)</f>
        <v>14.473800000000001</v>
      </c>
      <c r="H880" s="27">
        <f>29.393 * CHOOSE(CONTROL!$C$32, $C$9, 100%, $E$9)</f>
        <v>29.393000000000001</v>
      </c>
      <c r="I880" s="27">
        <f>29.3966 * CHOOSE(CONTROL!$C$32, $C$9, 100%, $E$9)</f>
        <v>29.396599999999999</v>
      </c>
      <c r="J880" s="27">
        <f>29.393 * CHOOSE(CONTROL!$C$32, $C$9, 100%, $E$9)</f>
        <v>29.393000000000001</v>
      </c>
      <c r="K880" s="27">
        <f>29.3966 * CHOOSE(CONTROL!$C$32, $C$9, 100%, $E$9)</f>
        <v>29.396599999999999</v>
      </c>
      <c r="L880" s="27">
        <f>14.4702 * CHOOSE(CONTROL!$C$32, $C$9, 100%, $E$9)</f>
        <v>14.4702</v>
      </c>
      <c r="M880" s="27">
        <f>14.4738 * CHOOSE(CONTROL!$C$32, $C$9, 100%, $E$9)</f>
        <v>14.473800000000001</v>
      </c>
      <c r="N880" s="27">
        <f>14.4702 * CHOOSE(CONTROL!$C$32, $C$9, 100%, $E$9)</f>
        <v>14.4702</v>
      </c>
      <c r="O880" s="27">
        <f>14.4738 * CHOOSE(CONTROL!$C$32, $C$9, 100%, $E$9)</f>
        <v>14.473800000000001</v>
      </c>
    </row>
    <row r="881" spans="1:15" ht="15" x14ac:dyDescent="0.2">
      <c r="A881" s="16">
        <v>67663</v>
      </c>
      <c r="B881" s="26">
        <f>12.9417 * CHOOSE(CONTROL!$C$32, $C$9, 100%, $E$9)</f>
        <v>12.941700000000001</v>
      </c>
      <c r="C881" s="26">
        <f>12.9417 * CHOOSE(CONTROL!$C$32, $C$9, 100%, $E$9)</f>
        <v>12.941700000000001</v>
      </c>
      <c r="D881" s="26">
        <f>12.9428 * CHOOSE(CONTROL!$C$32, $C$9, 100%, $E$9)</f>
        <v>12.9428</v>
      </c>
      <c r="E881" s="27">
        <f>14.8005 * CHOOSE(CONTROL!$C$32, $C$9, 100%, $E$9)</f>
        <v>14.8005</v>
      </c>
      <c r="F881" s="27">
        <f>14.8005 * CHOOSE(CONTROL!$C$32, $C$9, 100%, $E$9)</f>
        <v>14.8005</v>
      </c>
      <c r="G881" s="27">
        <f>14.8042 * CHOOSE(CONTROL!$C$32, $C$9, 100%, $E$9)</f>
        <v>14.8042</v>
      </c>
      <c r="H881" s="27">
        <f>29.4542 * CHOOSE(CONTROL!$C$32, $C$9, 100%, $E$9)</f>
        <v>29.4542</v>
      </c>
      <c r="I881" s="27">
        <f>29.4578 * CHOOSE(CONTROL!$C$32, $C$9, 100%, $E$9)</f>
        <v>29.457799999999999</v>
      </c>
      <c r="J881" s="27">
        <f>29.4542 * CHOOSE(CONTROL!$C$32, $C$9, 100%, $E$9)</f>
        <v>29.4542</v>
      </c>
      <c r="K881" s="27">
        <f>29.4578 * CHOOSE(CONTROL!$C$32, $C$9, 100%, $E$9)</f>
        <v>29.457799999999999</v>
      </c>
      <c r="L881" s="27">
        <f>14.8005 * CHOOSE(CONTROL!$C$32, $C$9, 100%, $E$9)</f>
        <v>14.8005</v>
      </c>
      <c r="M881" s="27">
        <f>14.8042 * CHOOSE(CONTROL!$C$32, $C$9, 100%, $E$9)</f>
        <v>14.8042</v>
      </c>
      <c r="N881" s="27">
        <f>14.8005 * CHOOSE(CONTROL!$C$32, $C$9, 100%, $E$9)</f>
        <v>14.8005</v>
      </c>
      <c r="O881" s="27">
        <f>14.8042 * CHOOSE(CONTROL!$C$32, $C$9, 100%, $E$9)</f>
        <v>14.8042</v>
      </c>
    </row>
    <row r="882" spans="1:15" ht="15" x14ac:dyDescent="0.2">
      <c r="A882" s="16">
        <v>67693</v>
      </c>
      <c r="B882" s="26">
        <f>12.9417 * CHOOSE(CONTROL!$C$32, $C$9, 100%, $E$9)</f>
        <v>12.941700000000001</v>
      </c>
      <c r="C882" s="26">
        <f>12.9417 * CHOOSE(CONTROL!$C$32, $C$9, 100%, $E$9)</f>
        <v>12.941700000000001</v>
      </c>
      <c r="D882" s="26">
        <f>12.9433 * CHOOSE(CONTROL!$C$32, $C$9, 100%, $E$9)</f>
        <v>12.943300000000001</v>
      </c>
      <c r="E882" s="27">
        <f>14.926 * CHOOSE(CONTROL!$C$32, $C$9, 100%, $E$9)</f>
        <v>14.926</v>
      </c>
      <c r="F882" s="27">
        <f>14.926 * CHOOSE(CONTROL!$C$32, $C$9, 100%, $E$9)</f>
        <v>14.926</v>
      </c>
      <c r="G882" s="27">
        <f>14.9313 * CHOOSE(CONTROL!$C$32, $C$9, 100%, $E$9)</f>
        <v>14.9313</v>
      </c>
      <c r="H882" s="27">
        <f>29.5156 * CHOOSE(CONTROL!$C$32, $C$9, 100%, $E$9)</f>
        <v>29.515599999999999</v>
      </c>
      <c r="I882" s="27">
        <f>29.5209 * CHOOSE(CONTROL!$C$32, $C$9, 100%, $E$9)</f>
        <v>29.520900000000001</v>
      </c>
      <c r="J882" s="27">
        <f>29.5156 * CHOOSE(CONTROL!$C$32, $C$9, 100%, $E$9)</f>
        <v>29.515599999999999</v>
      </c>
      <c r="K882" s="27">
        <f>29.5209 * CHOOSE(CONTROL!$C$32, $C$9, 100%, $E$9)</f>
        <v>29.520900000000001</v>
      </c>
      <c r="L882" s="27">
        <f>14.926 * CHOOSE(CONTROL!$C$32, $C$9, 100%, $E$9)</f>
        <v>14.926</v>
      </c>
      <c r="M882" s="27">
        <f>14.9313 * CHOOSE(CONTROL!$C$32, $C$9, 100%, $E$9)</f>
        <v>14.9313</v>
      </c>
      <c r="N882" s="27">
        <f>14.926 * CHOOSE(CONTROL!$C$32, $C$9, 100%, $E$9)</f>
        <v>14.926</v>
      </c>
      <c r="O882" s="27">
        <f>14.9313 * CHOOSE(CONTROL!$C$32, $C$9, 100%, $E$9)</f>
        <v>14.9313</v>
      </c>
    </row>
    <row r="883" spans="1:15" ht="15" x14ac:dyDescent="0.2">
      <c r="A883" s="16">
        <v>67724</v>
      </c>
      <c r="B883" s="26">
        <f>12.9478 * CHOOSE(CONTROL!$C$32, $C$9, 100%, $E$9)</f>
        <v>12.947800000000001</v>
      </c>
      <c r="C883" s="26">
        <f>12.9478 * CHOOSE(CONTROL!$C$32, $C$9, 100%, $E$9)</f>
        <v>12.947800000000001</v>
      </c>
      <c r="D883" s="26">
        <f>12.9493 * CHOOSE(CONTROL!$C$32, $C$9, 100%, $E$9)</f>
        <v>12.949299999999999</v>
      </c>
      <c r="E883" s="27">
        <f>14.8048 * CHOOSE(CONTROL!$C$32, $C$9, 100%, $E$9)</f>
        <v>14.8048</v>
      </c>
      <c r="F883" s="27">
        <f>14.8048 * CHOOSE(CONTROL!$C$32, $C$9, 100%, $E$9)</f>
        <v>14.8048</v>
      </c>
      <c r="G883" s="27">
        <f>14.8101 * CHOOSE(CONTROL!$C$32, $C$9, 100%, $E$9)</f>
        <v>14.8101</v>
      </c>
      <c r="H883" s="27">
        <f>29.5771 * CHOOSE(CONTROL!$C$32, $C$9, 100%, $E$9)</f>
        <v>29.577100000000002</v>
      </c>
      <c r="I883" s="27">
        <f>29.5824 * CHOOSE(CONTROL!$C$32, $C$9, 100%, $E$9)</f>
        <v>29.5824</v>
      </c>
      <c r="J883" s="27">
        <f>29.5771 * CHOOSE(CONTROL!$C$32, $C$9, 100%, $E$9)</f>
        <v>29.577100000000002</v>
      </c>
      <c r="K883" s="27">
        <f>29.5824 * CHOOSE(CONTROL!$C$32, $C$9, 100%, $E$9)</f>
        <v>29.5824</v>
      </c>
      <c r="L883" s="27">
        <f>14.8048 * CHOOSE(CONTROL!$C$32, $C$9, 100%, $E$9)</f>
        <v>14.8048</v>
      </c>
      <c r="M883" s="27">
        <f>14.8101 * CHOOSE(CONTROL!$C$32, $C$9, 100%, $E$9)</f>
        <v>14.8101</v>
      </c>
      <c r="N883" s="27">
        <f>14.8048 * CHOOSE(CONTROL!$C$32, $C$9, 100%, $E$9)</f>
        <v>14.8048</v>
      </c>
      <c r="O883" s="27">
        <f>14.8101 * CHOOSE(CONTROL!$C$32, $C$9, 100%, $E$9)</f>
        <v>14.8101</v>
      </c>
    </row>
    <row r="884" spans="1:15" ht="15" x14ac:dyDescent="0.2">
      <c r="A884" s="16">
        <v>67754</v>
      </c>
      <c r="B884" s="26">
        <f>13.1045 * CHOOSE(CONTROL!$C$32, $C$9, 100%, $E$9)</f>
        <v>13.1045</v>
      </c>
      <c r="C884" s="26">
        <f>13.1045 * CHOOSE(CONTROL!$C$32, $C$9, 100%, $E$9)</f>
        <v>13.1045</v>
      </c>
      <c r="D884" s="26">
        <f>13.1061 * CHOOSE(CONTROL!$C$32, $C$9, 100%, $E$9)</f>
        <v>13.1061</v>
      </c>
      <c r="E884" s="27">
        <f>15.0144 * CHOOSE(CONTROL!$C$32, $C$9, 100%, $E$9)</f>
        <v>15.0144</v>
      </c>
      <c r="F884" s="27">
        <f>15.0144 * CHOOSE(CONTROL!$C$32, $C$9, 100%, $E$9)</f>
        <v>15.0144</v>
      </c>
      <c r="G884" s="27">
        <f>15.0197 * CHOOSE(CONTROL!$C$32, $C$9, 100%, $E$9)</f>
        <v>15.0197</v>
      </c>
      <c r="H884" s="27">
        <f>29.6387 * CHOOSE(CONTROL!$C$32, $C$9, 100%, $E$9)</f>
        <v>29.6387</v>
      </c>
      <c r="I884" s="27">
        <f>29.644 * CHOOSE(CONTROL!$C$32, $C$9, 100%, $E$9)</f>
        <v>29.643999999999998</v>
      </c>
      <c r="J884" s="27">
        <f>29.6387 * CHOOSE(CONTROL!$C$32, $C$9, 100%, $E$9)</f>
        <v>29.6387</v>
      </c>
      <c r="K884" s="27">
        <f>29.644 * CHOOSE(CONTROL!$C$32, $C$9, 100%, $E$9)</f>
        <v>29.643999999999998</v>
      </c>
      <c r="L884" s="27">
        <f>15.0144 * CHOOSE(CONTROL!$C$32, $C$9, 100%, $E$9)</f>
        <v>15.0144</v>
      </c>
      <c r="M884" s="27">
        <f>15.0197 * CHOOSE(CONTROL!$C$32, $C$9, 100%, $E$9)</f>
        <v>15.0197</v>
      </c>
      <c r="N884" s="27">
        <f>15.0144 * CHOOSE(CONTROL!$C$32, $C$9, 100%, $E$9)</f>
        <v>15.0144</v>
      </c>
      <c r="O884" s="27">
        <f>15.0197 * CHOOSE(CONTROL!$C$32, $C$9, 100%, $E$9)</f>
        <v>15.0197</v>
      </c>
    </row>
    <row r="885" spans="1:15" ht="15" x14ac:dyDescent="0.2">
      <c r="A885" s="16">
        <v>67785</v>
      </c>
      <c r="B885" s="26">
        <f>13.1112 * CHOOSE(CONTROL!$C$32, $C$9, 100%, $E$9)</f>
        <v>13.1112</v>
      </c>
      <c r="C885" s="26">
        <f>13.1112 * CHOOSE(CONTROL!$C$32, $C$9, 100%, $E$9)</f>
        <v>13.1112</v>
      </c>
      <c r="D885" s="26">
        <f>13.1127 * CHOOSE(CONTROL!$C$32, $C$9, 100%, $E$9)</f>
        <v>13.1127</v>
      </c>
      <c r="E885" s="27">
        <f>14.6427 * CHOOSE(CONTROL!$C$32, $C$9, 100%, $E$9)</f>
        <v>14.6427</v>
      </c>
      <c r="F885" s="27">
        <f>14.6427 * CHOOSE(CONTROL!$C$32, $C$9, 100%, $E$9)</f>
        <v>14.6427</v>
      </c>
      <c r="G885" s="27">
        <f>14.6479 * CHOOSE(CONTROL!$C$32, $C$9, 100%, $E$9)</f>
        <v>14.6479</v>
      </c>
      <c r="H885" s="27">
        <f>29.7004 * CHOOSE(CONTROL!$C$32, $C$9, 100%, $E$9)</f>
        <v>29.700399999999998</v>
      </c>
      <c r="I885" s="27">
        <f>29.7057 * CHOOSE(CONTROL!$C$32, $C$9, 100%, $E$9)</f>
        <v>29.7057</v>
      </c>
      <c r="J885" s="27">
        <f>29.7004 * CHOOSE(CONTROL!$C$32, $C$9, 100%, $E$9)</f>
        <v>29.700399999999998</v>
      </c>
      <c r="K885" s="27">
        <f>29.7057 * CHOOSE(CONTROL!$C$32, $C$9, 100%, $E$9)</f>
        <v>29.7057</v>
      </c>
      <c r="L885" s="27">
        <f>14.6427 * CHOOSE(CONTROL!$C$32, $C$9, 100%, $E$9)</f>
        <v>14.6427</v>
      </c>
      <c r="M885" s="27">
        <f>14.6479 * CHOOSE(CONTROL!$C$32, $C$9, 100%, $E$9)</f>
        <v>14.6479</v>
      </c>
      <c r="N885" s="27">
        <f>14.6427 * CHOOSE(CONTROL!$C$32, $C$9, 100%, $E$9)</f>
        <v>14.6427</v>
      </c>
      <c r="O885" s="27">
        <f>14.6479 * CHOOSE(CONTROL!$C$32, $C$9, 100%, $E$9)</f>
        <v>14.6479</v>
      </c>
    </row>
    <row r="886" spans="1:15" ht="15" x14ac:dyDescent="0.2">
      <c r="A886" s="16">
        <v>67816</v>
      </c>
      <c r="B886" s="26">
        <f>13.1081 * CHOOSE(CONTROL!$C$32, $C$9, 100%, $E$9)</f>
        <v>13.1081</v>
      </c>
      <c r="C886" s="26">
        <f>13.1081 * CHOOSE(CONTROL!$C$32, $C$9, 100%, $E$9)</f>
        <v>13.1081</v>
      </c>
      <c r="D886" s="26">
        <f>13.1097 * CHOOSE(CONTROL!$C$32, $C$9, 100%, $E$9)</f>
        <v>13.1097</v>
      </c>
      <c r="E886" s="27">
        <f>14.5987 * CHOOSE(CONTROL!$C$32, $C$9, 100%, $E$9)</f>
        <v>14.598699999999999</v>
      </c>
      <c r="F886" s="27">
        <f>14.5987 * CHOOSE(CONTROL!$C$32, $C$9, 100%, $E$9)</f>
        <v>14.598699999999999</v>
      </c>
      <c r="G886" s="27">
        <f>14.604 * CHOOSE(CONTROL!$C$32, $C$9, 100%, $E$9)</f>
        <v>14.603999999999999</v>
      </c>
      <c r="H886" s="27">
        <f>29.7623 * CHOOSE(CONTROL!$C$32, $C$9, 100%, $E$9)</f>
        <v>29.7623</v>
      </c>
      <c r="I886" s="27">
        <f>29.7676 * CHOOSE(CONTROL!$C$32, $C$9, 100%, $E$9)</f>
        <v>29.767600000000002</v>
      </c>
      <c r="J886" s="27">
        <f>29.7623 * CHOOSE(CONTROL!$C$32, $C$9, 100%, $E$9)</f>
        <v>29.7623</v>
      </c>
      <c r="K886" s="27">
        <f>29.7676 * CHOOSE(CONTROL!$C$32, $C$9, 100%, $E$9)</f>
        <v>29.767600000000002</v>
      </c>
      <c r="L886" s="27">
        <f>14.5987 * CHOOSE(CONTROL!$C$32, $C$9, 100%, $E$9)</f>
        <v>14.598699999999999</v>
      </c>
      <c r="M886" s="27">
        <f>14.604 * CHOOSE(CONTROL!$C$32, $C$9, 100%, $E$9)</f>
        <v>14.603999999999999</v>
      </c>
      <c r="N886" s="27">
        <f>14.5987 * CHOOSE(CONTROL!$C$32, $C$9, 100%, $E$9)</f>
        <v>14.598699999999999</v>
      </c>
      <c r="O886" s="27">
        <f>14.604 * CHOOSE(CONTROL!$C$32, $C$9, 100%, $E$9)</f>
        <v>14.603999999999999</v>
      </c>
    </row>
    <row r="887" spans="1:15" ht="15" x14ac:dyDescent="0.2">
      <c r="A887" s="16">
        <v>67846</v>
      </c>
      <c r="B887" s="26">
        <f>13.1372 * CHOOSE(CONTROL!$C$32, $C$9, 100%, $E$9)</f>
        <v>13.1372</v>
      </c>
      <c r="C887" s="26">
        <f>13.1372 * CHOOSE(CONTROL!$C$32, $C$9, 100%, $E$9)</f>
        <v>13.1372</v>
      </c>
      <c r="D887" s="26">
        <f>13.1383 * CHOOSE(CONTROL!$C$32, $C$9, 100%, $E$9)</f>
        <v>13.138299999999999</v>
      </c>
      <c r="E887" s="27">
        <f>14.7526 * CHOOSE(CONTROL!$C$32, $C$9, 100%, $E$9)</f>
        <v>14.752599999999999</v>
      </c>
      <c r="F887" s="27">
        <f>14.7526 * CHOOSE(CONTROL!$C$32, $C$9, 100%, $E$9)</f>
        <v>14.752599999999999</v>
      </c>
      <c r="G887" s="27">
        <f>14.7562 * CHOOSE(CONTROL!$C$32, $C$9, 100%, $E$9)</f>
        <v>14.7562</v>
      </c>
      <c r="H887" s="27">
        <f>29.8243 * CHOOSE(CONTROL!$C$32, $C$9, 100%, $E$9)</f>
        <v>29.824300000000001</v>
      </c>
      <c r="I887" s="27">
        <f>29.8279 * CHOOSE(CONTROL!$C$32, $C$9, 100%, $E$9)</f>
        <v>29.8279</v>
      </c>
      <c r="J887" s="27">
        <f>29.8243 * CHOOSE(CONTROL!$C$32, $C$9, 100%, $E$9)</f>
        <v>29.824300000000001</v>
      </c>
      <c r="K887" s="27">
        <f>29.8279 * CHOOSE(CONTROL!$C$32, $C$9, 100%, $E$9)</f>
        <v>29.8279</v>
      </c>
      <c r="L887" s="27">
        <f>14.7526 * CHOOSE(CONTROL!$C$32, $C$9, 100%, $E$9)</f>
        <v>14.752599999999999</v>
      </c>
      <c r="M887" s="27">
        <f>14.7562 * CHOOSE(CONTROL!$C$32, $C$9, 100%, $E$9)</f>
        <v>14.7562</v>
      </c>
      <c r="N887" s="27">
        <f>14.7526 * CHOOSE(CONTROL!$C$32, $C$9, 100%, $E$9)</f>
        <v>14.752599999999999</v>
      </c>
      <c r="O887" s="27">
        <f>14.7562 * CHOOSE(CONTROL!$C$32, $C$9, 100%, $E$9)</f>
        <v>14.7562</v>
      </c>
    </row>
    <row r="888" spans="1:15" ht="15" x14ac:dyDescent="0.2">
      <c r="A888" s="16">
        <v>67877</v>
      </c>
      <c r="B888" s="26">
        <f>13.1403 * CHOOSE(CONTROL!$C$32, $C$9, 100%, $E$9)</f>
        <v>13.1403</v>
      </c>
      <c r="C888" s="26">
        <f>13.1403 * CHOOSE(CONTROL!$C$32, $C$9, 100%, $E$9)</f>
        <v>13.1403</v>
      </c>
      <c r="D888" s="26">
        <f>13.1413 * CHOOSE(CONTROL!$C$32, $C$9, 100%, $E$9)</f>
        <v>13.141299999999999</v>
      </c>
      <c r="E888" s="27">
        <f>14.8383 * CHOOSE(CONTROL!$C$32, $C$9, 100%, $E$9)</f>
        <v>14.8383</v>
      </c>
      <c r="F888" s="27">
        <f>14.8383 * CHOOSE(CONTROL!$C$32, $C$9, 100%, $E$9)</f>
        <v>14.8383</v>
      </c>
      <c r="G888" s="27">
        <f>14.842 * CHOOSE(CONTROL!$C$32, $C$9, 100%, $E$9)</f>
        <v>14.842000000000001</v>
      </c>
      <c r="H888" s="27">
        <f>29.8865 * CHOOSE(CONTROL!$C$32, $C$9, 100%, $E$9)</f>
        <v>29.886500000000002</v>
      </c>
      <c r="I888" s="27">
        <f>29.8901 * CHOOSE(CONTROL!$C$32, $C$9, 100%, $E$9)</f>
        <v>29.8901</v>
      </c>
      <c r="J888" s="27">
        <f>29.8865 * CHOOSE(CONTROL!$C$32, $C$9, 100%, $E$9)</f>
        <v>29.886500000000002</v>
      </c>
      <c r="K888" s="27">
        <f>29.8901 * CHOOSE(CONTROL!$C$32, $C$9, 100%, $E$9)</f>
        <v>29.8901</v>
      </c>
      <c r="L888" s="27">
        <f>14.8383 * CHOOSE(CONTROL!$C$32, $C$9, 100%, $E$9)</f>
        <v>14.8383</v>
      </c>
      <c r="M888" s="27">
        <f>14.842 * CHOOSE(CONTROL!$C$32, $C$9, 100%, $E$9)</f>
        <v>14.842000000000001</v>
      </c>
      <c r="N888" s="27">
        <f>14.8383 * CHOOSE(CONTROL!$C$32, $C$9, 100%, $E$9)</f>
        <v>14.8383</v>
      </c>
      <c r="O888" s="27">
        <f>14.842 * CHOOSE(CONTROL!$C$32, $C$9, 100%, $E$9)</f>
        <v>14.842000000000001</v>
      </c>
    </row>
    <row r="889" spans="1:15" ht="15" x14ac:dyDescent="0.2">
      <c r="A889" s="16">
        <v>67907</v>
      </c>
      <c r="B889" s="26">
        <f>13.1403 * CHOOSE(CONTROL!$C$32, $C$9, 100%, $E$9)</f>
        <v>13.1403</v>
      </c>
      <c r="C889" s="26">
        <f>13.1403 * CHOOSE(CONTROL!$C$32, $C$9, 100%, $E$9)</f>
        <v>13.1403</v>
      </c>
      <c r="D889" s="26">
        <f>13.1413 * CHOOSE(CONTROL!$C$32, $C$9, 100%, $E$9)</f>
        <v>13.141299999999999</v>
      </c>
      <c r="E889" s="27">
        <f>14.6292 * CHOOSE(CONTROL!$C$32, $C$9, 100%, $E$9)</f>
        <v>14.629200000000001</v>
      </c>
      <c r="F889" s="27">
        <f>14.6292 * CHOOSE(CONTROL!$C$32, $C$9, 100%, $E$9)</f>
        <v>14.629200000000001</v>
      </c>
      <c r="G889" s="27">
        <f>14.6328 * CHOOSE(CONTROL!$C$32, $C$9, 100%, $E$9)</f>
        <v>14.6328</v>
      </c>
      <c r="H889" s="27">
        <f>29.9487 * CHOOSE(CONTROL!$C$32, $C$9, 100%, $E$9)</f>
        <v>29.948699999999999</v>
      </c>
      <c r="I889" s="27">
        <f>29.9523 * CHOOSE(CONTROL!$C$32, $C$9, 100%, $E$9)</f>
        <v>29.952300000000001</v>
      </c>
      <c r="J889" s="27">
        <f>29.9487 * CHOOSE(CONTROL!$C$32, $C$9, 100%, $E$9)</f>
        <v>29.948699999999999</v>
      </c>
      <c r="K889" s="27">
        <f>29.9523 * CHOOSE(CONTROL!$C$32, $C$9, 100%, $E$9)</f>
        <v>29.952300000000001</v>
      </c>
      <c r="L889" s="27">
        <f>14.6292 * CHOOSE(CONTROL!$C$32, $C$9, 100%, $E$9)</f>
        <v>14.629200000000001</v>
      </c>
      <c r="M889" s="27">
        <f>14.6328 * CHOOSE(CONTROL!$C$32, $C$9, 100%, $E$9)</f>
        <v>14.6328</v>
      </c>
      <c r="N889" s="27">
        <f>14.6292 * CHOOSE(CONTROL!$C$32, $C$9, 100%, $E$9)</f>
        <v>14.629200000000001</v>
      </c>
      <c r="O889" s="27">
        <f>14.6328 * CHOOSE(CONTROL!$C$32, $C$9, 100%, $E$9)</f>
        <v>14.6328</v>
      </c>
    </row>
    <row r="890" spans="1:15" ht="15" x14ac:dyDescent="0.2">
      <c r="A890" s="16">
        <v>67938</v>
      </c>
      <c r="B890" s="26">
        <f>13.1288 * CHOOSE(CONTROL!$C$32, $C$9, 100%, $E$9)</f>
        <v>13.1288</v>
      </c>
      <c r="C890" s="26">
        <f>13.1288 * CHOOSE(CONTROL!$C$32, $C$9, 100%, $E$9)</f>
        <v>13.1288</v>
      </c>
      <c r="D890" s="26">
        <f>13.1299 * CHOOSE(CONTROL!$C$32, $C$9, 100%, $E$9)</f>
        <v>13.129899999999999</v>
      </c>
      <c r="E890" s="27">
        <f>14.7706 * CHOOSE(CONTROL!$C$32, $C$9, 100%, $E$9)</f>
        <v>14.7706</v>
      </c>
      <c r="F890" s="27">
        <f>14.7706 * CHOOSE(CONTROL!$C$32, $C$9, 100%, $E$9)</f>
        <v>14.7706</v>
      </c>
      <c r="G890" s="27">
        <f>14.7742 * CHOOSE(CONTROL!$C$32, $C$9, 100%, $E$9)</f>
        <v>14.7742</v>
      </c>
      <c r="H890" s="27">
        <f>29.7244 * CHOOSE(CONTROL!$C$32, $C$9, 100%, $E$9)</f>
        <v>29.724399999999999</v>
      </c>
      <c r="I890" s="27">
        <f>29.728 * CHOOSE(CONTROL!$C$32, $C$9, 100%, $E$9)</f>
        <v>29.728000000000002</v>
      </c>
      <c r="J890" s="27">
        <f>29.7244 * CHOOSE(CONTROL!$C$32, $C$9, 100%, $E$9)</f>
        <v>29.724399999999999</v>
      </c>
      <c r="K890" s="27">
        <f>29.728 * CHOOSE(CONTROL!$C$32, $C$9, 100%, $E$9)</f>
        <v>29.728000000000002</v>
      </c>
      <c r="L890" s="27">
        <f>14.7706 * CHOOSE(CONTROL!$C$32, $C$9, 100%, $E$9)</f>
        <v>14.7706</v>
      </c>
      <c r="M890" s="27">
        <f>14.7742 * CHOOSE(CONTROL!$C$32, $C$9, 100%, $E$9)</f>
        <v>14.7742</v>
      </c>
      <c r="N890" s="27">
        <f>14.7706 * CHOOSE(CONTROL!$C$32, $C$9, 100%, $E$9)</f>
        <v>14.7706</v>
      </c>
      <c r="O890" s="27">
        <f>14.7742 * CHOOSE(CONTROL!$C$32, $C$9, 100%, $E$9)</f>
        <v>14.7742</v>
      </c>
    </row>
    <row r="891" spans="1:15" ht="15" x14ac:dyDescent="0.2">
      <c r="A891" s="16">
        <v>67969</v>
      </c>
      <c r="B891" s="26">
        <f>13.1258 * CHOOSE(CONTROL!$C$32, $C$9, 100%, $E$9)</f>
        <v>13.1258</v>
      </c>
      <c r="C891" s="26">
        <f>13.1258 * CHOOSE(CONTROL!$C$32, $C$9, 100%, $E$9)</f>
        <v>13.1258</v>
      </c>
      <c r="D891" s="26">
        <f>13.1268 * CHOOSE(CONTROL!$C$32, $C$9, 100%, $E$9)</f>
        <v>13.126799999999999</v>
      </c>
      <c r="E891" s="27">
        <f>14.3662 * CHOOSE(CONTROL!$C$32, $C$9, 100%, $E$9)</f>
        <v>14.366199999999999</v>
      </c>
      <c r="F891" s="27">
        <f>14.3662 * CHOOSE(CONTROL!$C$32, $C$9, 100%, $E$9)</f>
        <v>14.366199999999999</v>
      </c>
      <c r="G891" s="27">
        <f>14.3698 * CHOOSE(CONTROL!$C$32, $C$9, 100%, $E$9)</f>
        <v>14.3698</v>
      </c>
      <c r="H891" s="27">
        <f>29.7863 * CHOOSE(CONTROL!$C$32, $C$9, 100%, $E$9)</f>
        <v>29.786300000000001</v>
      </c>
      <c r="I891" s="27">
        <f>29.7899 * CHOOSE(CONTROL!$C$32, $C$9, 100%, $E$9)</f>
        <v>29.789899999999999</v>
      </c>
      <c r="J891" s="27">
        <f>29.7863 * CHOOSE(CONTROL!$C$32, $C$9, 100%, $E$9)</f>
        <v>29.786300000000001</v>
      </c>
      <c r="K891" s="27">
        <f>29.7899 * CHOOSE(CONTROL!$C$32, $C$9, 100%, $E$9)</f>
        <v>29.789899999999999</v>
      </c>
      <c r="L891" s="27">
        <f>14.3662 * CHOOSE(CONTROL!$C$32, $C$9, 100%, $E$9)</f>
        <v>14.366199999999999</v>
      </c>
      <c r="M891" s="27">
        <f>14.3698 * CHOOSE(CONTROL!$C$32, $C$9, 100%, $E$9)</f>
        <v>14.3698</v>
      </c>
      <c r="N891" s="27">
        <f>14.3662 * CHOOSE(CONTROL!$C$32, $C$9, 100%, $E$9)</f>
        <v>14.366199999999999</v>
      </c>
      <c r="O891" s="27">
        <f>14.3698 * CHOOSE(CONTROL!$C$32, $C$9, 100%, $E$9)</f>
        <v>14.3698</v>
      </c>
    </row>
    <row r="892" spans="1:15" ht="15" x14ac:dyDescent="0.2">
      <c r="A892" s="16">
        <v>67997</v>
      </c>
      <c r="B892" s="26">
        <f>13.1227 * CHOOSE(CONTROL!$C$32, $C$9, 100%, $E$9)</f>
        <v>13.1227</v>
      </c>
      <c r="C892" s="26">
        <f>13.1227 * CHOOSE(CONTROL!$C$32, $C$9, 100%, $E$9)</f>
        <v>13.1227</v>
      </c>
      <c r="D892" s="26">
        <f>13.1238 * CHOOSE(CONTROL!$C$32, $C$9, 100%, $E$9)</f>
        <v>13.123799999999999</v>
      </c>
      <c r="E892" s="27">
        <f>14.6812 * CHOOSE(CONTROL!$C$32, $C$9, 100%, $E$9)</f>
        <v>14.6812</v>
      </c>
      <c r="F892" s="27">
        <f>14.6812 * CHOOSE(CONTROL!$C$32, $C$9, 100%, $E$9)</f>
        <v>14.6812</v>
      </c>
      <c r="G892" s="27">
        <f>14.6848 * CHOOSE(CONTROL!$C$32, $C$9, 100%, $E$9)</f>
        <v>14.684799999999999</v>
      </c>
      <c r="H892" s="27">
        <f>29.8484 * CHOOSE(CONTROL!$C$32, $C$9, 100%, $E$9)</f>
        <v>29.848400000000002</v>
      </c>
      <c r="I892" s="27">
        <f>29.852 * CHOOSE(CONTROL!$C$32, $C$9, 100%, $E$9)</f>
        <v>29.852</v>
      </c>
      <c r="J892" s="27">
        <f>29.8484 * CHOOSE(CONTROL!$C$32, $C$9, 100%, $E$9)</f>
        <v>29.848400000000002</v>
      </c>
      <c r="K892" s="27">
        <f>29.852 * CHOOSE(CONTROL!$C$32, $C$9, 100%, $E$9)</f>
        <v>29.852</v>
      </c>
      <c r="L892" s="27">
        <f>14.6812 * CHOOSE(CONTROL!$C$32, $C$9, 100%, $E$9)</f>
        <v>14.6812</v>
      </c>
      <c r="M892" s="27">
        <f>14.6848 * CHOOSE(CONTROL!$C$32, $C$9, 100%, $E$9)</f>
        <v>14.684799999999999</v>
      </c>
      <c r="N892" s="27">
        <f>14.6812 * CHOOSE(CONTROL!$C$32, $C$9, 100%, $E$9)</f>
        <v>14.6812</v>
      </c>
      <c r="O892" s="27">
        <f>14.6848 * CHOOSE(CONTROL!$C$32, $C$9, 100%, $E$9)</f>
        <v>14.684799999999999</v>
      </c>
    </row>
    <row r="893" spans="1:15" ht="15" x14ac:dyDescent="0.2">
      <c r="A893" s="16">
        <v>68028</v>
      </c>
      <c r="B893" s="26">
        <f>13.1292 * CHOOSE(CONTROL!$C$32, $C$9, 100%, $E$9)</f>
        <v>13.129200000000001</v>
      </c>
      <c r="C893" s="26">
        <f>13.1292 * CHOOSE(CONTROL!$C$32, $C$9, 100%, $E$9)</f>
        <v>13.129200000000001</v>
      </c>
      <c r="D893" s="26">
        <f>13.1303 * CHOOSE(CONTROL!$C$32, $C$9, 100%, $E$9)</f>
        <v>13.1303</v>
      </c>
      <c r="E893" s="27">
        <f>15.0175 * CHOOSE(CONTROL!$C$32, $C$9, 100%, $E$9)</f>
        <v>15.0175</v>
      </c>
      <c r="F893" s="27">
        <f>15.0175 * CHOOSE(CONTROL!$C$32, $C$9, 100%, $E$9)</f>
        <v>15.0175</v>
      </c>
      <c r="G893" s="27">
        <f>15.0212 * CHOOSE(CONTROL!$C$32, $C$9, 100%, $E$9)</f>
        <v>15.0212</v>
      </c>
      <c r="H893" s="27">
        <f>29.9106 * CHOOSE(CONTROL!$C$32, $C$9, 100%, $E$9)</f>
        <v>29.910599999999999</v>
      </c>
      <c r="I893" s="27">
        <f>29.9142 * CHOOSE(CONTROL!$C$32, $C$9, 100%, $E$9)</f>
        <v>29.914200000000001</v>
      </c>
      <c r="J893" s="27">
        <f>29.9106 * CHOOSE(CONTROL!$C$32, $C$9, 100%, $E$9)</f>
        <v>29.910599999999999</v>
      </c>
      <c r="K893" s="27">
        <f>29.9142 * CHOOSE(CONTROL!$C$32, $C$9, 100%, $E$9)</f>
        <v>29.914200000000001</v>
      </c>
      <c r="L893" s="27">
        <f>15.0175 * CHOOSE(CONTROL!$C$32, $C$9, 100%, $E$9)</f>
        <v>15.0175</v>
      </c>
      <c r="M893" s="27">
        <f>15.0212 * CHOOSE(CONTROL!$C$32, $C$9, 100%, $E$9)</f>
        <v>15.0212</v>
      </c>
      <c r="N893" s="27">
        <f>15.0175 * CHOOSE(CONTROL!$C$32, $C$9, 100%, $E$9)</f>
        <v>15.0175</v>
      </c>
      <c r="O893" s="27">
        <f>15.0212 * CHOOSE(CONTROL!$C$32, $C$9, 100%, $E$9)</f>
        <v>15.0212</v>
      </c>
    </row>
    <row r="894" spans="1:15" ht="15" x14ac:dyDescent="0.2">
      <c r="A894" s="16">
        <v>68058</v>
      </c>
      <c r="B894" s="26">
        <f>13.1292 * CHOOSE(CONTROL!$C$32, $C$9, 100%, $E$9)</f>
        <v>13.129200000000001</v>
      </c>
      <c r="C894" s="26">
        <f>13.1292 * CHOOSE(CONTROL!$C$32, $C$9, 100%, $E$9)</f>
        <v>13.129200000000001</v>
      </c>
      <c r="D894" s="26">
        <f>13.1308 * CHOOSE(CONTROL!$C$32, $C$9, 100%, $E$9)</f>
        <v>13.130800000000001</v>
      </c>
      <c r="E894" s="27">
        <f>15.1453 * CHOOSE(CONTROL!$C$32, $C$9, 100%, $E$9)</f>
        <v>15.145300000000001</v>
      </c>
      <c r="F894" s="27">
        <f>15.1453 * CHOOSE(CONTROL!$C$32, $C$9, 100%, $E$9)</f>
        <v>15.145300000000001</v>
      </c>
      <c r="G894" s="27">
        <f>15.1506 * CHOOSE(CONTROL!$C$32, $C$9, 100%, $E$9)</f>
        <v>15.150600000000001</v>
      </c>
      <c r="H894" s="27">
        <f>29.9729 * CHOOSE(CONTROL!$C$32, $C$9, 100%, $E$9)</f>
        <v>29.972899999999999</v>
      </c>
      <c r="I894" s="27">
        <f>29.9782 * CHOOSE(CONTROL!$C$32, $C$9, 100%, $E$9)</f>
        <v>29.978200000000001</v>
      </c>
      <c r="J894" s="27">
        <f>29.9729 * CHOOSE(CONTROL!$C$32, $C$9, 100%, $E$9)</f>
        <v>29.972899999999999</v>
      </c>
      <c r="K894" s="27">
        <f>29.9782 * CHOOSE(CONTROL!$C$32, $C$9, 100%, $E$9)</f>
        <v>29.978200000000001</v>
      </c>
      <c r="L894" s="27">
        <f>15.1453 * CHOOSE(CONTROL!$C$32, $C$9, 100%, $E$9)</f>
        <v>15.145300000000001</v>
      </c>
      <c r="M894" s="27">
        <f>15.1506 * CHOOSE(CONTROL!$C$32, $C$9, 100%, $E$9)</f>
        <v>15.150600000000001</v>
      </c>
      <c r="N894" s="27">
        <f>15.1453 * CHOOSE(CONTROL!$C$32, $C$9, 100%, $E$9)</f>
        <v>15.145300000000001</v>
      </c>
      <c r="O894" s="27">
        <f>15.1506 * CHOOSE(CONTROL!$C$32, $C$9, 100%, $E$9)</f>
        <v>15.150600000000001</v>
      </c>
    </row>
    <row r="895" spans="1:15" ht="15" x14ac:dyDescent="0.2">
      <c r="A895" s="16">
        <v>68089</v>
      </c>
      <c r="B895" s="26">
        <f>13.1353 * CHOOSE(CONTROL!$C$32, $C$9, 100%, $E$9)</f>
        <v>13.135300000000001</v>
      </c>
      <c r="C895" s="26">
        <f>13.1353 * CHOOSE(CONTROL!$C$32, $C$9, 100%, $E$9)</f>
        <v>13.135300000000001</v>
      </c>
      <c r="D895" s="26">
        <f>13.1369 * CHOOSE(CONTROL!$C$32, $C$9, 100%, $E$9)</f>
        <v>13.136900000000001</v>
      </c>
      <c r="E895" s="27">
        <f>15.0218 * CHOOSE(CONTROL!$C$32, $C$9, 100%, $E$9)</f>
        <v>15.021800000000001</v>
      </c>
      <c r="F895" s="27">
        <f>15.0218 * CHOOSE(CONTROL!$C$32, $C$9, 100%, $E$9)</f>
        <v>15.021800000000001</v>
      </c>
      <c r="G895" s="27">
        <f>15.0271 * CHOOSE(CONTROL!$C$32, $C$9, 100%, $E$9)</f>
        <v>15.027100000000001</v>
      </c>
      <c r="H895" s="27">
        <f>30.0353 * CHOOSE(CONTROL!$C$32, $C$9, 100%, $E$9)</f>
        <v>30.035299999999999</v>
      </c>
      <c r="I895" s="27">
        <f>30.0406 * CHOOSE(CONTROL!$C$32, $C$9, 100%, $E$9)</f>
        <v>30.040600000000001</v>
      </c>
      <c r="J895" s="27">
        <f>30.0353 * CHOOSE(CONTROL!$C$32, $C$9, 100%, $E$9)</f>
        <v>30.035299999999999</v>
      </c>
      <c r="K895" s="27">
        <f>30.0406 * CHOOSE(CONTROL!$C$32, $C$9, 100%, $E$9)</f>
        <v>30.040600000000001</v>
      </c>
      <c r="L895" s="27">
        <f>15.0218 * CHOOSE(CONTROL!$C$32, $C$9, 100%, $E$9)</f>
        <v>15.021800000000001</v>
      </c>
      <c r="M895" s="27">
        <f>15.0271 * CHOOSE(CONTROL!$C$32, $C$9, 100%, $E$9)</f>
        <v>15.027100000000001</v>
      </c>
      <c r="N895" s="27">
        <f>15.0218 * CHOOSE(CONTROL!$C$32, $C$9, 100%, $E$9)</f>
        <v>15.021800000000001</v>
      </c>
      <c r="O895" s="27">
        <f>15.0271 * CHOOSE(CONTROL!$C$32, $C$9, 100%, $E$9)</f>
        <v>15.027100000000001</v>
      </c>
    </row>
    <row r="896" spans="1:15" ht="15" x14ac:dyDescent="0.2">
      <c r="A896" s="16">
        <v>68119</v>
      </c>
      <c r="B896" s="26">
        <f>13.2941 * CHOOSE(CONTROL!$C$32, $C$9, 100%, $E$9)</f>
        <v>13.2941</v>
      </c>
      <c r="C896" s="26">
        <f>13.2941 * CHOOSE(CONTROL!$C$32, $C$9, 100%, $E$9)</f>
        <v>13.2941</v>
      </c>
      <c r="D896" s="26">
        <f>13.2957 * CHOOSE(CONTROL!$C$32, $C$9, 100%, $E$9)</f>
        <v>13.2957</v>
      </c>
      <c r="E896" s="27">
        <f>15.2346 * CHOOSE(CONTROL!$C$32, $C$9, 100%, $E$9)</f>
        <v>15.2346</v>
      </c>
      <c r="F896" s="27">
        <f>15.2346 * CHOOSE(CONTROL!$C$32, $C$9, 100%, $E$9)</f>
        <v>15.2346</v>
      </c>
      <c r="G896" s="27">
        <f>15.2399 * CHOOSE(CONTROL!$C$32, $C$9, 100%, $E$9)</f>
        <v>15.2399</v>
      </c>
      <c r="H896" s="27">
        <f>30.0979 * CHOOSE(CONTROL!$C$32, $C$9, 100%, $E$9)</f>
        <v>30.097899999999999</v>
      </c>
      <c r="I896" s="27">
        <f>30.1032 * CHOOSE(CONTROL!$C$32, $C$9, 100%, $E$9)</f>
        <v>30.103200000000001</v>
      </c>
      <c r="J896" s="27">
        <f>30.0979 * CHOOSE(CONTROL!$C$32, $C$9, 100%, $E$9)</f>
        <v>30.097899999999999</v>
      </c>
      <c r="K896" s="27">
        <f>30.1032 * CHOOSE(CONTROL!$C$32, $C$9, 100%, $E$9)</f>
        <v>30.103200000000001</v>
      </c>
      <c r="L896" s="27">
        <f>15.2346 * CHOOSE(CONTROL!$C$32, $C$9, 100%, $E$9)</f>
        <v>15.2346</v>
      </c>
      <c r="M896" s="27">
        <f>15.2399 * CHOOSE(CONTROL!$C$32, $C$9, 100%, $E$9)</f>
        <v>15.2399</v>
      </c>
      <c r="N896" s="27">
        <f>15.2346 * CHOOSE(CONTROL!$C$32, $C$9, 100%, $E$9)</f>
        <v>15.2346</v>
      </c>
      <c r="O896" s="27">
        <f>15.2399 * CHOOSE(CONTROL!$C$32, $C$9, 100%, $E$9)</f>
        <v>15.2399</v>
      </c>
    </row>
    <row r="897" spans="1:15" ht="15" x14ac:dyDescent="0.2">
      <c r="A897" s="16">
        <v>68150</v>
      </c>
      <c r="B897" s="26">
        <f>13.3008 * CHOOSE(CONTROL!$C$32, $C$9, 100%, $E$9)</f>
        <v>13.300800000000001</v>
      </c>
      <c r="C897" s="26">
        <f>13.3008 * CHOOSE(CONTROL!$C$32, $C$9, 100%, $E$9)</f>
        <v>13.300800000000001</v>
      </c>
      <c r="D897" s="26">
        <f>13.3023 * CHOOSE(CONTROL!$C$32, $C$9, 100%, $E$9)</f>
        <v>13.302300000000001</v>
      </c>
      <c r="E897" s="27">
        <f>14.8561 * CHOOSE(CONTROL!$C$32, $C$9, 100%, $E$9)</f>
        <v>14.8561</v>
      </c>
      <c r="F897" s="27">
        <f>14.8561 * CHOOSE(CONTROL!$C$32, $C$9, 100%, $E$9)</f>
        <v>14.8561</v>
      </c>
      <c r="G897" s="27">
        <f>14.8614 * CHOOSE(CONTROL!$C$32, $C$9, 100%, $E$9)</f>
        <v>14.8614</v>
      </c>
      <c r="H897" s="27">
        <f>30.1606 * CHOOSE(CONTROL!$C$32, $C$9, 100%, $E$9)</f>
        <v>30.160599999999999</v>
      </c>
      <c r="I897" s="27">
        <f>30.1659 * CHOOSE(CONTROL!$C$32, $C$9, 100%, $E$9)</f>
        <v>30.165900000000001</v>
      </c>
      <c r="J897" s="27">
        <f>30.1606 * CHOOSE(CONTROL!$C$32, $C$9, 100%, $E$9)</f>
        <v>30.160599999999999</v>
      </c>
      <c r="K897" s="27">
        <f>30.1659 * CHOOSE(CONTROL!$C$32, $C$9, 100%, $E$9)</f>
        <v>30.165900000000001</v>
      </c>
      <c r="L897" s="27">
        <f>14.8561 * CHOOSE(CONTROL!$C$32, $C$9, 100%, $E$9)</f>
        <v>14.8561</v>
      </c>
      <c r="M897" s="27">
        <f>14.8614 * CHOOSE(CONTROL!$C$32, $C$9, 100%, $E$9)</f>
        <v>14.8614</v>
      </c>
      <c r="N897" s="27">
        <f>14.8561 * CHOOSE(CONTROL!$C$32, $C$9, 100%, $E$9)</f>
        <v>14.8561</v>
      </c>
      <c r="O897" s="27">
        <f>14.8614 * CHOOSE(CONTROL!$C$32, $C$9, 100%, $E$9)</f>
        <v>14.8614</v>
      </c>
    </row>
    <row r="898" spans="1:15" ht="15" x14ac:dyDescent="0.2">
      <c r="A898" s="16">
        <v>68181</v>
      </c>
      <c r="B898" s="26">
        <f>13.2977 * CHOOSE(CONTROL!$C$32, $C$9, 100%, $E$9)</f>
        <v>13.297700000000001</v>
      </c>
      <c r="C898" s="26">
        <f>13.2977 * CHOOSE(CONTROL!$C$32, $C$9, 100%, $E$9)</f>
        <v>13.297700000000001</v>
      </c>
      <c r="D898" s="26">
        <f>13.2993 * CHOOSE(CONTROL!$C$32, $C$9, 100%, $E$9)</f>
        <v>13.299300000000001</v>
      </c>
      <c r="E898" s="27">
        <f>14.8114 * CHOOSE(CONTROL!$C$32, $C$9, 100%, $E$9)</f>
        <v>14.811400000000001</v>
      </c>
      <c r="F898" s="27">
        <f>14.8114 * CHOOSE(CONTROL!$C$32, $C$9, 100%, $E$9)</f>
        <v>14.811400000000001</v>
      </c>
      <c r="G898" s="27">
        <f>14.8167 * CHOOSE(CONTROL!$C$32, $C$9, 100%, $E$9)</f>
        <v>14.816700000000001</v>
      </c>
      <c r="H898" s="27">
        <f>30.2234 * CHOOSE(CONTROL!$C$32, $C$9, 100%, $E$9)</f>
        <v>30.223400000000002</v>
      </c>
      <c r="I898" s="27">
        <f>30.2287 * CHOOSE(CONTROL!$C$32, $C$9, 100%, $E$9)</f>
        <v>30.2287</v>
      </c>
      <c r="J898" s="27">
        <f>30.2234 * CHOOSE(CONTROL!$C$32, $C$9, 100%, $E$9)</f>
        <v>30.223400000000002</v>
      </c>
      <c r="K898" s="27">
        <f>30.2287 * CHOOSE(CONTROL!$C$32, $C$9, 100%, $E$9)</f>
        <v>30.2287</v>
      </c>
      <c r="L898" s="27">
        <f>14.8114 * CHOOSE(CONTROL!$C$32, $C$9, 100%, $E$9)</f>
        <v>14.811400000000001</v>
      </c>
      <c r="M898" s="27">
        <f>14.8167 * CHOOSE(CONTROL!$C$32, $C$9, 100%, $E$9)</f>
        <v>14.816700000000001</v>
      </c>
      <c r="N898" s="27">
        <f>14.8114 * CHOOSE(CONTROL!$C$32, $C$9, 100%, $E$9)</f>
        <v>14.811400000000001</v>
      </c>
      <c r="O898" s="27">
        <f>14.8167 * CHOOSE(CONTROL!$C$32, $C$9, 100%, $E$9)</f>
        <v>14.816700000000001</v>
      </c>
    </row>
    <row r="899" spans="1:15" ht="15" x14ac:dyDescent="0.2">
      <c r="A899" s="16">
        <v>68211</v>
      </c>
      <c r="B899" s="26">
        <f>13.3275 * CHOOSE(CONTROL!$C$32, $C$9, 100%, $E$9)</f>
        <v>13.327500000000001</v>
      </c>
      <c r="C899" s="26">
        <f>13.3275 * CHOOSE(CONTROL!$C$32, $C$9, 100%, $E$9)</f>
        <v>13.327500000000001</v>
      </c>
      <c r="D899" s="26">
        <f>13.3286 * CHOOSE(CONTROL!$C$32, $C$9, 100%, $E$9)</f>
        <v>13.3286</v>
      </c>
      <c r="E899" s="27">
        <f>14.9683 * CHOOSE(CONTROL!$C$32, $C$9, 100%, $E$9)</f>
        <v>14.968299999999999</v>
      </c>
      <c r="F899" s="27">
        <f>14.9683 * CHOOSE(CONTROL!$C$32, $C$9, 100%, $E$9)</f>
        <v>14.968299999999999</v>
      </c>
      <c r="G899" s="27">
        <f>14.9719 * CHOOSE(CONTROL!$C$32, $C$9, 100%, $E$9)</f>
        <v>14.9719</v>
      </c>
      <c r="H899" s="27">
        <f>30.2864 * CHOOSE(CONTROL!$C$32, $C$9, 100%, $E$9)</f>
        <v>30.2864</v>
      </c>
      <c r="I899" s="27">
        <f>30.29 * CHOOSE(CONTROL!$C$32, $C$9, 100%, $E$9)</f>
        <v>30.29</v>
      </c>
      <c r="J899" s="27">
        <f>30.2864 * CHOOSE(CONTROL!$C$32, $C$9, 100%, $E$9)</f>
        <v>30.2864</v>
      </c>
      <c r="K899" s="27">
        <f>30.29 * CHOOSE(CONTROL!$C$32, $C$9, 100%, $E$9)</f>
        <v>30.29</v>
      </c>
      <c r="L899" s="27">
        <f>14.9683 * CHOOSE(CONTROL!$C$32, $C$9, 100%, $E$9)</f>
        <v>14.968299999999999</v>
      </c>
      <c r="M899" s="27">
        <f>14.9719 * CHOOSE(CONTROL!$C$32, $C$9, 100%, $E$9)</f>
        <v>14.9719</v>
      </c>
      <c r="N899" s="27">
        <f>14.9683 * CHOOSE(CONTROL!$C$32, $C$9, 100%, $E$9)</f>
        <v>14.968299999999999</v>
      </c>
      <c r="O899" s="27">
        <f>14.9719 * CHOOSE(CONTROL!$C$32, $C$9, 100%, $E$9)</f>
        <v>14.9719</v>
      </c>
    </row>
    <row r="900" spans="1:15" ht="15" x14ac:dyDescent="0.2">
      <c r="A900" s="16">
        <v>68242</v>
      </c>
      <c r="B900" s="26">
        <f>13.3306 * CHOOSE(CONTROL!$C$32, $C$9, 100%, $E$9)</f>
        <v>13.3306</v>
      </c>
      <c r="C900" s="26">
        <f>13.3306 * CHOOSE(CONTROL!$C$32, $C$9, 100%, $E$9)</f>
        <v>13.3306</v>
      </c>
      <c r="D900" s="26">
        <f>13.3317 * CHOOSE(CONTROL!$C$32, $C$9, 100%, $E$9)</f>
        <v>13.3317</v>
      </c>
      <c r="E900" s="27">
        <f>15.0555 * CHOOSE(CONTROL!$C$32, $C$9, 100%, $E$9)</f>
        <v>15.0555</v>
      </c>
      <c r="F900" s="27">
        <f>15.0555 * CHOOSE(CONTROL!$C$32, $C$9, 100%, $E$9)</f>
        <v>15.0555</v>
      </c>
      <c r="G900" s="27">
        <f>15.0591 * CHOOSE(CONTROL!$C$32, $C$9, 100%, $E$9)</f>
        <v>15.059100000000001</v>
      </c>
      <c r="H900" s="27">
        <f>30.3495 * CHOOSE(CONTROL!$C$32, $C$9, 100%, $E$9)</f>
        <v>30.349499999999999</v>
      </c>
      <c r="I900" s="27">
        <f>30.3531 * CHOOSE(CONTROL!$C$32, $C$9, 100%, $E$9)</f>
        <v>30.353100000000001</v>
      </c>
      <c r="J900" s="27">
        <f>30.3495 * CHOOSE(CONTROL!$C$32, $C$9, 100%, $E$9)</f>
        <v>30.349499999999999</v>
      </c>
      <c r="K900" s="27">
        <f>30.3531 * CHOOSE(CONTROL!$C$32, $C$9, 100%, $E$9)</f>
        <v>30.353100000000001</v>
      </c>
      <c r="L900" s="27">
        <f>15.0555 * CHOOSE(CONTROL!$C$32, $C$9, 100%, $E$9)</f>
        <v>15.0555</v>
      </c>
      <c r="M900" s="27">
        <f>15.0591 * CHOOSE(CONTROL!$C$32, $C$9, 100%, $E$9)</f>
        <v>15.059100000000001</v>
      </c>
      <c r="N900" s="27">
        <f>15.0555 * CHOOSE(CONTROL!$C$32, $C$9, 100%, $E$9)</f>
        <v>15.0555</v>
      </c>
      <c r="O900" s="27">
        <f>15.0591 * CHOOSE(CONTROL!$C$32, $C$9, 100%, $E$9)</f>
        <v>15.059100000000001</v>
      </c>
    </row>
    <row r="901" spans="1:15" ht="15" x14ac:dyDescent="0.2">
      <c r="A901" s="16">
        <v>68272</v>
      </c>
      <c r="B901" s="26">
        <f>13.3306 * CHOOSE(CONTROL!$C$32, $C$9, 100%, $E$9)</f>
        <v>13.3306</v>
      </c>
      <c r="C901" s="26">
        <f>13.3306 * CHOOSE(CONTROL!$C$32, $C$9, 100%, $E$9)</f>
        <v>13.3306</v>
      </c>
      <c r="D901" s="26">
        <f>13.3317 * CHOOSE(CONTROL!$C$32, $C$9, 100%, $E$9)</f>
        <v>13.3317</v>
      </c>
      <c r="E901" s="27">
        <f>14.8427 * CHOOSE(CONTROL!$C$32, $C$9, 100%, $E$9)</f>
        <v>14.842700000000001</v>
      </c>
      <c r="F901" s="27">
        <f>14.8427 * CHOOSE(CONTROL!$C$32, $C$9, 100%, $E$9)</f>
        <v>14.842700000000001</v>
      </c>
      <c r="G901" s="27">
        <f>14.8463 * CHOOSE(CONTROL!$C$32, $C$9, 100%, $E$9)</f>
        <v>14.846299999999999</v>
      </c>
      <c r="H901" s="27">
        <f>30.4127 * CHOOSE(CONTROL!$C$32, $C$9, 100%, $E$9)</f>
        <v>30.412700000000001</v>
      </c>
      <c r="I901" s="27">
        <f>30.4163 * CHOOSE(CONTROL!$C$32, $C$9, 100%, $E$9)</f>
        <v>30.4163</v>
      </c>
      <c r="J901" s="27">
        <f>30.4127 * CHOOSE(CONTROL!$C$32, $C$9, 100%, $E$9)</f>
        <v>30.412700000000001</v>
      </c>
      <c r="K901" s="27">
        <f>30.4163 * CHOOSE(CONTROL!$C$32, $C$9, 100%, $E$9)</f>
        <v>30.4163</v>
      </c>
      <c r="L901" s="27">
        <f>14.8427 * CHOOSE(CONTROL!$C$32, $C$9, 100%, $E$9)</f>
        <v>14.842700000000001</v>
      </c>
      <c r="M901" s="27">
        <f>14.8463 * CHOOSE(CONTROL!$C$32, $C$9, 100%, $E$9)</f>
        <v>14.846299999999999</v>
      </c>
      <c r="N901" s="27">
        <f>14.8427 * CHOOSE(CONTROL!$C$32, $C$9, 100%, $E$9)</f>
        <v>14.842700000000001</v>
      </c>
      <c r="O901" s="27">
        <f>14.8463 * CHOOSE(CONTROL!$C$32, $C$9, 100%, $E$9)</f>
        <v>14.846299999999999</v>
      </c>
    </row>
    <row r="902" spans="1:15" ht="15" x14ac:dyDescent="0.2">
      <c r="A902" s="16">
        <v>68303</v>
      </c>
      <c r="B902" s="26">
        <f>13.3162 * CHOOSE(CONTROL!$C$32, $C$9, 100%, $E$9)</f>
        <v>13.3162</v>
      </c>
      <c r="C902" s="26">
        <f>13.3162 * CHOOSE(CONTROL!$C$32, $C$9, 100%, $E$9)</f>
        <v>13.3162</v>
      </c>
      <c r="D902" s="26">
        <f>13.3172 * CHOOSE(CONTROL!$C$32, $C$9, 100%, $E$9)</f>
        <v>13.3172</v>
      </c>
      <c r="E902" s="27">
        <f>14.9831 * CHOOSE(CONTROL!$C$32, $C$9, 100%, $E$9)</f>
        <v>14.9831</v>
      </c>
      <c r="F902" s="27">
        <f>14.9831 * CHOOSE(CONTROL!$C$32, $C$9, 100%, $E$9)</f>
        <v>14.9831</v>
      </c>
      <c r="G902" s="27">
        <f>14.9867 * CHOOSE(CONTROL!$C$32, $C$9, 100%, $E$9)</f>
        <v>14.986700000000001</v>
      </c>
      <c r="H902" s="27">
        <f>30.1779 * CHOOSE(CONTROL!$C$32, $C$9, 100%, $E$9)</f>
        <v>30.177900000000001</v>
      </c>
      <c r="I902" s="27">
        <f>30.1815 * CHOOSE(CONTROL!$C$32, $C$9, 100%, $E$9)</f>
        <v>30.1815</v>
      </c>
      <c r="J902" s="27">
        <f>30.1779 * CHOOSE(CONTROL!$C$32, $C$9, 100%, $E$9)</f>
        <v>30.177900000000001</v>
      </c>
      <c r="K902" s="27">
        <f>30.1815 * CHOOSE(CONTROL!$C$32, $C$9, 100%, $E$9)</f>
        <v>30.1815</v>
      </c>
      <c r="L902" s="27">
        <f>14.9831 * CHOOSE(CONTROL!$C$32, $C$9, 100%, $E$9)</f>
        <v>14.9831</v>
      </c>
      <c r="M902" s="27">
        <f>14.9867 * CHOOSE(CONTROL!$C$32, $C$9, 100%, $E$9)</f>
        <v>14.986700000000001</v>
      </c>
      <c r="N902" s="27">
        <f>14.9831 * CHOOSE(CONTROL!$C$32, $C$9, 100%, $E$9)</f>
        <v>14.9831</v>
      </c>
      <c r="O902" s="27">
        <f>14.9867 * CHOOSE(CONTROL!$C$32, $C$9, 100%, $E$9)</f>
        <v>14.986700000000001</v>
      </c>
    </row>
    <row r="903" spans="1:15" ht="15" x14ac:dyDescent="0.2">
      <c r="A903" s="16">
        <v>68334</v>
      </c>
      <c r="B903" s="26">
        <f>13.3131 * CHOOSE(CONTROL!$C$32, $C$9, 100%, $E$9)</f>
        <v>13.3131</v>
      </c>
      <c r="C903" s="26">
        <f>13.3131 * CHOOSE(CONTROL!$C$32, $C$9, 100%, $E$9)</f>
        <v>13.3131</v>
      </c>
      <c r="D903" s="26">
        <f>13.3142 * CHOOSE(CONTROL!$C$32, $C$9, 100%, $E$9)</f>
        <v>13.3142</v>
      </c>
      <c r="E903" s="27">
        <f>14.5716 * CHOOSE(CONTROL!$C$32, $C$9, 100%, $E$9)</f>
        <v>14.5716</v>
      </c>
      <c r="F903" s="27">
        <f>14.5716 * CHOOSE(CONTROL!$C$32, $C$9, 100%, $E$9)</f>
        <v>14.5716</v>
      </c>
      <c r="G903" s="27">
        <f>14.5752 * CHOOSE(CONTROL!$C$32, $C$9, 100%, $E$9)</f>
        <v>14.575200000000001</v>
      </c>
      <c r="H903" s="27">
        <f>30.2408 * CHOOSE(CONTROL!$C$32, $C$9, 100%, $E$9)</f>
        <v>30.2408</v>
      </c>
      <c r="I903" s="27">
        <f>30.2444 * CHOOSE(CONTROL!$C$32, $C$9, 100%, $E$9)</f>
        <v>30.244399999999999</v>
      </c>
      <c r="J903" s="27">
        <f>30.2408 * CHOOSE(CONTROL!$C$32, $C$9, 100%, $E$9)</f>
        <v>30.2408</v>
      </c>
      <c r="K903" s="27">
        <f>30.2444 * CHOOSE(CONTROL!$C$32, $C$9, 100%, $E$9)</f>
        <v>30.244399999999999</v>
      </c>
      <c r="L903" s="27">
        <f>14.5716 * CHOOSE(CONTROL!$C$32, $C$9, 100%, $E$9)</f>
        <v>14.5716</v>
      </c>
      <c r="M903" s="27">
        <f>14.5752 * CHOOSE(CONTROL!$C$32, $C$9, 100%, $E$9)</f>
        <v>14.575200000000001</v>
      </c>
      <c r="N903" s="27">
        <f>14.5716 * CHOOSE(CONTROL!$C$32, $C$9, 100%, $E$9)</f>
        <v>14.5716</v>
      </c>
      <c r="O903" s="27">
        <f>14.5752 * CHOOSE(CONTROL!$C$32, $C$9, 100%, $E$9)</f>
        <v>14.575200000000001</v>
      </c>
    </row>
    <row r="904" spans="1:15" ht="15" x14ac:dyDescent="0.2">
      <c r="A904" s="16">
        <v>68362</v>
      </c>
      <c r="B904" s="26">
        <f>13.3101 * CHOOSE(CONTROL!$C$32, $C$9, 100%, $E$9)</f>
        <v>13.3101</v>
      </c>
      <c r="C904" s="26">
        <f>13.3101 * CHOOSE(CONTROL!$C$32, $C$9, 100%, $E$9)</f>
        <v>13.3101</v>
      </c>
      <c r="D904" s="26">
        <f>13.3112 * CHOOSE(CONTROL!$C$32, $C$9, 100%, $E$9)</f>
        <v>13.311199999999999</v>
      </c>
      <c r="E904" s="27">
        <f>14.8922 * CHOOSE(CONTROL!$C$32, $C$9, 100%, $E$9)</f>
        <v>14.892200000000001</v>
      </c>
      <c r="F904" s="27">
        <f>14.8922 * CHOOSE(CONTROL!$C$32, $C$9, 100%, $E$9)</f>
        <v>14.892200000000001</v>
      </c>
      <c r="G904" s="27">
        <f>14.8958 * CHOOSE(CONTROL!$C$32, $C$9, 100%, $E$9)</f>
        <v>14.895799999999999</v>
      </c>
      <c r="H904" s="27">
        <f>30.3038 * CHOOSE(CONTROL!$C$32, $C$9, 100%, $E$9)</f>
        <v>30.303799999999999</v>
      </c>
      <c r="I904" s="27">
        <f>30.3074 * CHOOSE(CONTROL!$C$32, $C$9, 100%, $E$9)</f>
        <v>30.307400000000001</v>
      </c>
      <c r="J904" s="27">
        <f>30.3038 * CHOOSE(CONTROL!$C$32, $C$9, 100%, $E$9)</f>
        <v>30.303799999999999</v>
      </c>
      <c r="K904" s="27">
        <f>30.3074 * CHOOSE(CONTROL!$C$32, $C$9, 100%, $E$9)</f>
        <v>30.307400000000001</v>
      </c>
      <c r="L904" s="27">
        <f>14.8922 * CHOOSE(CONTROL!$C$32, $C$9, 100%, $E$9)</f>
        <v>14.892200000000001</v>
      </c>
      <c r="M904" s="27">
        <f>14.8958 * CHOOSE(CONTROL!$C$32, $C$9, 100%, $E$9)</f>
        <v>14.895799999999999</v>
      </c>
      <c r="N904" s="27">
        <f>14.8922 * CHOOSE(CONTROL!$C$32, $C$9, 100%, $E$9)</f>
        <v>14.892200000000001</v>
      </c>
      <c r="O904" s="27">
        <f>14.8958 * CHOOSE(CONTROL!$C$32, $C$9, 100%, $E$9)</f>
        <v>14.895799999999999</v>
      </c>
    </row>
    <row r="905" spans="1:15" ht="15" x14ac:dyDescent="0.2">
      <c r="A905" s="16">
        <v>68393</v>
      </c>
      <c r="B905" s="26">
        <f>13.3168 * CHOOSE(CONTROL!$C$32, $C$9, 100%, $E$9)</f>
        <v>13.316800000000001</v>
      </c>
      <c r="C905" s="26">
        <f>13.3168 * CHOOSE(CONTROL!$C$32, $C$9, 100%, $E$9)</f>
        <v>13.316800000000001</v>
      </c>
      <c r="D905" s="26">
        <f>13.3178 * CHOOSE(CONTROL!$C$32, $C$9, 100%, $E$9)</f>
        <v>13.3178</v>
      </c>
      <c r="E905" s="27">
        <f>15.2346 * CHOOSE(CONTROL!$C$32, $C$9, 100%, $E$9)</f>
        <v>15.2346</v>
      </c>
      <c r="F905" s="27">
        <f>15.2346 * CHOOSE(CONTROL!$C$32, $C$9, 100%, $E$9)</f>
        <v>15.2346</v>
      </c>
      <c r="G905" s="27">
        <f>15.2382 * CHOOSE(CONTROL!$C$32, $C$9, 100%, $E$9)</f>
        <v>15.238200000000001</v>
      </c>
      <c r="H905" s="27">
        <f>30.3669 * CHOOSE(CONTROL!$C$32, $C$9, 100%, $E$9)</f>
        <v>30.366900000000001</v>
      </c>
      <c r="I905" s="27">
        <f>30.3705 * CHOOSE(CONTROL!$C$32, $C$9, 100%, $E$9)</f>
        <v>30.3705</v>
      </c>
      <c r="J905" s="27">
        <f>30.3669 * CHOOSE(CONTROL!$C$32, $C$9, 100%, $E$9)</f>
        <v>30.366900000000001</v>
      </c>
      <c r="K905" s="27">
        <f>30.3705 * CHOOSE(CONTROL!$C$32, $C$9, 100%, $E$9)</f>
        <v>30.3705</v>
      </c>
      <c r="L905" s="27">
        <f>15.2346 * CHOOSE(CONTROL!$C$32, $C$9, 100%, $E$9)</f>
        <v>15.2346</v>
      </c>
      <c r="M905" s="27">
        <f>15.2382 * CHOOSE(CONTROL!$C$32, $C$9, 100%, $E$9)</f>
        <v>15.238200000000001</v>
      </c>
      <c r="N905" s="27">
        <f>15.2346 * CHOOSE(CONTROL!$C$32, $C$9, 100%, $E$9)</f>
        <v>15.2346</v>
      </c>
      <c r="O905" s="27">
        <f>15.2382 * CHOOSE(CONTROL!$C$32, $C$9, 100%, $E$9)</f>
        <v>15.238200000000001</v>
      </c>
    </row>
    <row r="906" spans="1:15" ht="15" x14ac:dyDescent="0.2">
      <c r="A906" s="16">
        <v>68423</v>
      </c>
      <c r="B906" s="26">
        <f>13.3168 * CHOOSE(CONTROL!$C$32, $C$9, 100%, $E$9)</f>
        <v>13.316800000000001</v>
      </c>
      <c r="C906" s="26">
        <f>13.3168 * CHOOSE(CONTROL!$C$32, $C$9, 100%, $E$9)</f>
        <v>13.316800000000001</v>
      </c>
      <c r="D906" s="26">
        <f>13.3183 * CHOOSE(CONTROL!$C$32, $C$9, 100%, $E$9)</f>
        <v>13.318300000000001</v>
      </c>
      <c r="E906" s="27">
        <f>15.3645 * CHOOSE(CONTROL!$C$32, $C$9, 100%, $E$9)</f>
        <v>15.3645</v>
      </c>
      <c r="F906" s="27">
        <f>15.3645 * CHOOSE(CONTROL!$C$32, $C$9, 100%, $E$9)</f>
        <v>15.3645</v>
      </c>
      <c r="G906" s="27">
        <f>15.3698 * CHOOSE(CONTROL!$C$32, $C$9, 100%, $E$9)</f>
        <v>15.3698</v>
      </c>
      <c r="H906" s="27">
        <f>30.4302 * CHOOSE(CONTROL!$C$32, $C$9, 100%, $E$9)</f>
        <v>30.430199999999999</v>
      </c>
      <c r="I906" s="27">
        <f>30.4355 * CHOOSE(CONTROL!$C$32, $C$9, 100%, $E$9)</f>
        <v>30.435500000000001</v>
      </c>
      <c r="J906" s="27">
        <f>30.4302 * CHOOSE(CONTROL!$C$32, $C$9, 100%, $E$9)</f>
        <v>30.430199999999999</v>
      </c>
      <c r="K906" s="27">
        <f>30.4355 * CHOOSE(CONTROL!$C$32, $C$9, 100%, $E$9)</f>
        <v>30.435500000000001</v>
      </c>
      <c r="L906" s="27">
        <f>15.3645 * CHOOSE(CONTROL!$C$32, $C$9, 100%, $E$9)</f>
        <v>15.3645</v>
      </c>
      <c r="M906" s="27">
        <f>15.3698 * CHOOSE(CONTROL!$C$32, $C$9, 100%, $E$9)</f>
        <v>15.3698</v>
      </c>
      <c r="N906" s="27">
        <f>15.3645 * CHOOSE(CONTROL!$C$32, $C$9, 100%, $E$9)</f>
        <v>15.3645</v>
      </c>
      <c r="O906" s="27">
        <f>15.3698 * CHOOSE(CONTROL!$C$32, $C$9, 100%, $E$9)</f>
        <v>15.3698</v>
      </c>
    </row>
    <row r="907" spans="1:15" ht="15" x14ac:dyDescent="0.2">
      <c r="A907" s="16">
        <v>68454</v>
      </c>
      <c r="B907" s="26">
        <f>13.3229 * CHOOSE(CONTROL!$C$32, $C$9, 100%, $E$9)</f>
        <v>13.322900000000001</v>
      </c>
      <c r="C907" s="26">
        <f>13.3229 * CHOOSE(CONTROL!$C$32, $C$9, 100%, $E$9)</f>
        <v>13.322900000000001</v>
      </c>
      <c r="D907" s="26">
        <f>13.3244 * CHOOSE(CONTROL!$C$32, $C$9, 100%, $E$9)</f>
        <v>13.324400000000001</v>
      </c>
      <c r="E907" s="27">
        <f>15.2388 * CHOOSE(CONTROL!$C$32, $C$9, 100%, $E$9)</f>
        <v>15.238799999999999</v>
      </c>
      <c r="F907" s="27">
        <f>15.2388 * CHOOSE(CONTROL!$C$32, $C$9, 100%, $E$9)</f>
        <v>15.238799999999999</v>
      </c>
      <c r="G907" s="27">
        <f>15.2441 * CHOOSE(CONTROL!$C$32, $C$9, 100%, $E$9)</f>
        <v>15.2441</v>
      </c>
      <c r="H907" s="27">
        <f>30.4936 * CHOOSE(CONTROL!$C$32, $C$9, 100%, $E$9)</f>
        <v>30.493600000000001</v>
      </c>
      <c r="I907" s="27">
        <f>30.4989 * CHOOSE(CONTROL!$C$32, $C$9, 100%, $E$9)</f>
        <v>30.498899999999999</v>
      </c>
      <c r="J907" s="27">
        <f>30.4936 * CHOOSE(CONTROL!$C$32, $C$9, 100%, $E$9)</f>
        <v>30.493600000000001</v>
      </c>
      <c r="K907" s="27">
        <f>30.4989 * CHOOSE(CONTROL!$C$32, $C$9, 100%, $E$9)</f>
        <v>30.498899999999999</v>
      </c>
      <c r="L907" s="27">
        <f>15.2388 * CHOOSE(CONTROL!$C$32, $C$9, 100%, $E$9)</f>
        <v>15.238799999999999</v>
      </c>
      <c r="M907" s="27">
        <f>15.2441 * CHOOSE(CONTROL!$C$32, $C$9, 100%, $E$9)</f>
        <v>15.2441</v>
      </c>
      <c r="N907" s="27">
        <f>15.2388 * CHOOSE(CONTROL!$C$32, $C$9, 100%, $E$9)</f>
        <v>15.238799999999999</v>
      </c>
      <c r="O907" s="27">
        <f>15.2441 * CHOOSE(CONTROL!$C$32, $C$9, 100%, $E$9)</f>
        <v>15.2441</v>
      </c>
    </row>
    <row r="908" spans="1:15" ht="15" x14ac:dyDescent="0.2">
      <c r="A908" s="16">
        <v>68484</v>
      </c>
      <c r="B908" s="26">
        <f>13.4837 * CHOOSE(CONTROL!$C$32, $C$9, 100%, $E$9)</f>
        <v>13.483700000000001</v>
      </c>
      <c r="C908" s="26">
        <f>13.4837 * CHOOSE(CONTROL!$C$32, $C$9, 100%, $E$9)</f>
        <v>13.483700000000001</v>
      </c>
      <c r="D908" s="26">
        <f>13.4853 * CHOOSE(CONTROL!$C$32, $C$9, 100%, $E$9)</f>
        <v>13.485300000000001</v>
      </c>
      <c r="E908" s="27">
        <f>15.4548 * CHOOSE(CONTROL!$C$32, $C$9, 100%, $E$9)</f>
        <v>15.454800000000001</v>
      </c>
      <c r="F908" s="27">
        <f>15.4548 * CHOOSE(CONTROL!$C$32, $C$9, 100%, $E$9)</f>
        <v>15.454800000000001</v>
      </c>
      <c r="G908" s="27">
        <f>15.4601 * CHOOSE(CONTROL!$C$32, $C$9, 100%, $E$9)</f>
        <v>15.460100000000001</v>
      </c>
      <c r="H908" s="27">
        <f>30.5571 * CHOOSE(CONTROL!$C$32, $C$9, 100%, $E$9)</f>
        <v>30.557099999999998</v>
      </c>
      <c r="I908" s="27">
        <f>30.5624 * CHOOSE(CONTROL!$C$32, $C$9, 100%, $E$9)</f>
        <v>30.5624</v>
      </c>
      <c r="J908" s="27">
        <f>30.5571 * CHOOSE(CONTROL!$C$32, $C$9, 100%, $E$9)</f>
        <v>30.557099999999998</v>
      </c>
      <c r="K908" s="27">
        <f>30.5624 * CHOOSE(CONTROL!$C$32, $C$9, 100%, $E$9)</f>
        <v>30.5624</v>
      </c>
      <c r="L908" s="27">
        <f>15.4548 * CHOOSE(CONTROL!$C$32, $C$9, 100%, $E$9)</f>
        <v>15.454800000000001</v>
      </c>
      <c r="M908" s="27">
        <f>15.4601 * CHOOSE(CONTROL!$C$32, $C$9, 100%, $E$9)</f>
        <v>15.460100000000001</v>
      </c>
      <c r="N908" s="27">
        <f>15.4548 * CHOOSE(CONTROL!$C$32, $C$9, 100%, $E$9)</f>
        <v>15.454800000000001</v>
      </c>
      <c r="O908" s="27">
        <f>15.4601 * CHOOSE(CONTROL!$C$32, $C$9, 100%, $E$9)</f>
        <v>15.460100000000001</v>
      </c>
    </row>
    <row r="909" spans="1:15" ht="15" x14ac:dyDescent="0.2">
      <c r="A909" s="16">
        <v>68515</v>
      </c>
      <c r="B909" s="26">
        <f>13.4904 * CHOOSE(CONTROL!$C$32, $C$9, 100%, $E$9)</f>
        <v>13.490399999999999</v>
      </c>
      <c r="C909" s="26">
        <f>13.4904 * CHOOSE(CONTROL!$C$32, $C$9, 100%, $E$9)</f>
        <v>13.490399999999999</v>
      </c>
      <c r="D909" s="26">
        <f>13.4919 * CHOOSE(CONTROL!$C$32, $C$9, 100%, $E$9)</f>
        <v>13.491899999999999</v>
      </c>
      <c r="E909" s="27">
        <f>15.0695 * CHOOSE(CONTROL!$C$32, $C$9, 100%, $E$9)</f>
        <v>15.0695</v>
      </c>
      <c r="F909" s="27">
        <f>15.0695 * CHOOSE(CONTROL!$C$32, $C$9, 100%, $E$9)</f>
        <v>15.0695</v>
      </c>
      <c r="G909" s="27">
        <f>15.0748 * CHOOSE(CONTROL!$C$32, $C$9, 100%, $E$9)</f>
        <v>15.0748</v>
      </c>
      <c r="H909" s="27">
        <f>30.6208 * CHOOSE(CONTROL!$C$32, $C$9, 100%, $E$9)</f>
        <v>30.620799999999999</v>
      </c>
      <c r="I909" s="27">
        <f>30.6261 * CHOOSE(CONTROL!$C$32, $C$9, 100%, $E$9)</f>
        <v>30.626100000000001</v>
      </c>
      <c r="J909" s="27">
        <f>30.6208 * CHOOSE(CONTROL!$C$32, $C$9, 100%, $E$9)</f>
        <v>30.620799999999999</v>
      </c>
      <c r="K909" s="27">
        <f>30.6261 * CHOOSE(CONTROL!$C$32, $C$9, 100%, $E$9)</f>
        <v>30.626100000000001</v>
      </c>
      <c r="L909" s="27">
        <f>15.0695 * CHOOSE(CONTROL!$C$32, $C$9, 100%, $E$9)</f>
        <v>15.0695</v>
      </c>
      <c r="M909" s="27">
        <f>15.0748 * CHOOSE(CONTROL!$C$32, $C$9, 100%, $E$9)</f>
        <v>15.0748</v>
      </c>
      <c r="N909" s="27">
        <f>15.0695 * CHOOSE(CONTROL!$C$32, $C$9, 100%, $E$9)</f>
        <v>15.0695</v>
      </c>
      <c r="O909" s="27">
        <f>15.0748 * CHOOSE(CONTROL!$C$32, $C$9, 100%, $E$9)</f>
        <v>15.0748</v>
      </c>
    </row>
    <row r="910" spans="1:15" ht="15" x14ac:dyDescent="0.2">
      <c r="A910" s="16">
        <v>68546</v>
      </c>
      <c r="B910" s="26">
        <f>13.4873 * CHOOSE(CONTROL!$C$32, $C$9, 100%, $E$9)</f>
        <v>13.487299999999999</v>
      </c>
      <c r="C910" s="26">
        <f>13.4873 * CHOOSE(CONTROL!$C$32, $C$9, 100%, $E$9)</f>
        <v>13.487299999999999</v>
      </c>
      <c r="D910" s="26">
        <f>13.4889 * CHOOSE(CONTROL!$C$32, $C$9, 100%, $E$9)</f>
        <v>13.488899999999999</v>
      </c>
      <c r="E910" s="27">
        <f>15.0241 * CHOOSE(CONTROL!$C$32, $C$9, 100%, $E$9)</f>
        <v>15.024100000000001</v>
      </c>
      <c r="F910" s="27">
        <f>15.0241 * CHOOSE(CONTROL!$C$32, $C$9, 100%, $E$9)</f>
        <v>15.024100000000001</v>
      </c>
      <c r="G910" s="27">
        <f>15.0294 * CHOOSE(CONTROL!$C$32, $C$9, 100%, $E$9)</f>
        <v>15.029400000000001</v>
      </c>
      <c r="H910" s="27">
        <f>30.6846 * CHOOSE(CONTROL!$C$32, $C$9, 100%, $E$9)</f>
        <v>30.6846</v>
      </c>
      <c r="I910" s="27">
        <f>30.6898 * CHOOSE(CONTROL!$C$32, $C$9, 100%, $E$9)</f>
        <v>30.689800000000002</v>
      </c>
      <c r="J910" s="27">
        <f>30.6846 * CHOOSE(CONTROL!$C$32, $C$9, 100%, $E$9)</f>
        <v>30.6846</v>
      </c>
      <c r="K910" s="27">
        <f>30.6898 * CHOOSE(CONTROL!$C$32, $C$9, 100%, $E$9)</f>
        <v>30.689800000000002</v>
      </c>
      <c r="L910" s="27">
        <f>15.0241 * CHOOSE(CONTROL!$C$32, $C$9, 100%, $E$9)</f>
        <v>15.024100000000001</v>
      </c>
      <c r="M910" s="27">
        <f>15.0294 * CHOOSE(CONTROL!$C$32, $C$9, 100%, $E$9)</f>
        <v>15.029400000000001</v>
      </c>
      <c r="N910" s="27">
        <f>15.0241 * CHOOSE(CONTROL!$C$32, $C$9, 100%, $E$9)</f>
        <v>15.024100000000001</v>
      </c>
      <c r="O910" s="27">
        <f>15.0294 * CHOOSE(CONTROL!$C$32, $C$9, 100%, $E$9)</f>
        <v>15.029400000000001</v>
      </c>
    </row>
    <row r="911" spans="1:15" ht="15" x14ac:dyDescent="0.2">
      <c r="A911" s="16">
        <v>68576</v>
      </c>
      <c r="B911" s="26">
        <f>13.5179 * CHOOSE(CONTROL!$C$32, $C$9, 100%, $E$9)</f>
        <v>13.517899999999999</v>
      </c>
      <c r="C911" s="26">
        <f>13.5179 * CHOOSE(CONTROL!$C$32, $C$9, 100%, $E$9)</f>
        <v>13.517899999999999</v>
      </c>
      <c r="D911" s="26">
        <f>13.5189 * CHOOSE(CONTROL!$C$32, $C$9, 100%, $E$9)</f>
        <v>13.5189</v>
      </c>
      <c r="E911" s="27">
        <f>15.1839 * CHOOSE(CONTROL!$C$32, $C$9, 100%, $E$9)</f>
        <v>15.1839</v>
      </c>
      <c r="F911" s="27">
        <f>15.1839 * CHOOSE(CONTROL!$C$32, $C$9, 100%, $E$9)</f>
        <v>15.1839</v>
      </c>
      <c r="G911" s="27">
        <f>15.1876 * CHOOSE(CONTROL!$C$32, $C$9, 100%, $E$9)</f>
        <v>15.1876</v>
      </c>
      <c r="H911" s="27">
        <f>30.7485 * CHOOSE(CONTROL!$C$32, $C$9, 100%, $E$9)</f>
        <v>30.7485</v>
      </c>
      <c r="I911" s="27">
        <f>30.7521 * CHOOSE(CONTROL!$C$32, $C$9, 100%, $E$9)</f>
        <v>30.752099999999999</v>
      </c>
      <c r="J911" s="27">
        <f>30.7485 * CHOOSE(CONTROL!$C$32, $C$9, 100%, $E$9)</f>
        <v>30.7485</v>
      </c>
      <c r="K911" s="27">
        <f>30.7521 * CHOOSE(CONTROL!$C$32, $C$9, 100%, $E$9)</f>
        <v>30.752099999999999</v>
      </c>
      <c r="L911" s="27">
        <f>15.1839 * CHOOSE(CONTROL!$C$32, $C$9, 100%, $E$9)</f>
        <v>15.1839</v>
      </c>
      <c r="M911" s="27">
        <f>15.1876 * CHOOSE(CONTROL!$C$32, $C$9, 100%, $E$9)</f>
        <v>15.1876</v>
      </c>
      <c r="N911" s="27">
        <f>15.1839 * CHOOSE(CONTROL!$C$32, $C$9, 100%, $E$9)</f>
        <v>15.1839</v>
      </c>
      <c r="O911" s="27">
        <f>15.1876 * CHOOSE(CONTROL!$C$32, $C$9, 100%, $E$9)</f>
        <v>15.1876</v>
      </c>
    </row>
    <row r="912" spans="1:15" ht="15" x14ac:dyDescent="0.2">
      <c r="A912" s="16">
        <v>68607</v>
      </c>
      <c r="B912" s="26">
        <f>13.5209 * CHOOSE(CONTROL!$C$32, $C$9, 100%, $E$9)</f>
        <v>13.520899999999999</v>
      </c>
      <c r="C912" s="26">
        <f>13.5209 * CHOOSE(CONTROL!$C$32, $C$9, 100%, $E$9)</f>
        <v>13.520899999999999</v>
      </c>
      <c r="D912" s="26">
        <f>13.522 * CHOOSE(CONTROL!$C$32, $C$9, 100%, $E$9)</f>
        <v>13.522</v>
      </c>
      <c r="E912" s="27">
        <f>15.2727 * CHOOSE(CONTROL!$C$32, $C$9, 100%, $E$9)</f>
        <v>15.2727</v>
      </c>
      <c r="F912" s="27">
        <f>15.2727 * CHOOSE(CONTROL!$C$32, $C$9, 100%, $E$9)</f>
        <v>15.2727</v>
      </c>
      <c r="G912" s="27">
        <f>15.2763 * CHOOSE(CONTROL!$C$32, $C$9, 100%, $E$9)</f>
        <v>15.276300000000001</v>
      </c>
      <c r="H912" s="27">
        <f>30.8125 * CHOOSE(CONTROL!$C$32, $C$9, 100%, $E$9)</f>
        <v>30.8125</v>
      </c>
      <c r="I912" s="27">
        <f>30.8162 * CHOOSE(CONTROL!$C$32, $C$9, 100%, $E$9)</f>
        <v>30.816199999999998</v>
      </c>
      <c r="J912" s="27">
        <f>30.8125 * CHOOSE(CONTROL!$C$32, $C$9, 100%, $E$9)</f>
        <v>30.8125</v>
      </c>
      <c r="K912" s="27">
        <f>30.8162 * CHOOSE(CONTROL!$C$32, $C$9, 100%, $E$9)</f>
        <v>30.816199999999998</v>
      </c>
      <c r="L912" s="27">
        <f>15.2727 * CHOOSE(CONTROL!$C$32, $C$9, 100%, $E$9)</f>
        <v>15.2727</v>
      </c>
      <c r="M912" s="27">
        <f>15.2763 * CHOOSE(CONTROL!$C$32, $C$9, 100%, $E$9)</f>
        <v>15.276300000000001</v>
      </c>
      <c r="N912" s="27">
        <f>15.2727 * CHOOSE(CONTROL!$C$32, $C$9, 100%, $E$9)</f>
        <v>15.2727</v>
      </c>
      <c r="O912" s="27">
        <f>15.2763 * CHOOSE(CONTROL!$C$32, $C$9, 100%, $E$9)</f>
        <v>15.276300000000001</v>
      </c>
    </row>
    <row r="913" spans="1:15" ht="15" x14ac:dyDescent="0.2">
      <c r="A913" s="16">
        <v>68637</v>
      </c>
      <c r="B913" s="26">
        <f>13.5209 * CHOOSE(CONTROL!$C$32, $C$9, 100%, $E$9)</f>
        <v>13.520899999999999</v>
      </c>
      <c r="C913" s="26">
        <f>13.5209 * CHOOSE(CONTROL!$C$32, $C$9, 100%, $E$9)</f>
        <v>13.520899999999999</v>
      </c>
      <c r="D913" s="26">
        <f>13.522 * CHOOSE(CONTROL!$C$32, $C$9, 100%, $E$9)</f>
        <v>13.522</v>
      </c>
      <c r="E913" s="27">
        <f>15.0561 * CHOOSE(CONTROL!$C$32, $C$9, 100%, $E$9)</f>
        <v>15.056100000000001</v>
      </c>
      <c r="F913" s="27">
        <f>15.0561 * CHOOSE(CONTROL!$C$32, $C$9, 100%, $E$9)</f>
        <v>15.056100000000001</v>
      </c>
      <c r="G913" s="27">
        <f>15.0597 * CHOOSE(CONTROL!$C$32, $C$9, 100%, $E$9)</f>
        <v>15.059699999999999</v>
      </c>
      <c r="H913" s="27">
        <f>30.8767 * CHOOSE(CONTROL!$C$32, $C$9, 100%, $E$9)</f>
        <v>30.8767</v>
      </c>
      <c r="I913" s="27">
        <f>30.8803 * CHOOSE(CONTROL!$C$32, $C$9, 100%, $E$9)</f>
        <v>30.880299999999998</v>
      </c>
      <c r="J913" s="27">
        <f>30.8767 * CHOOSE(CONTROL!$C$32, $C$9, 100%, $E$9)</f>
        <v>30.8767</v>
      </c>
      <c r="K913" s="27">
        <f>30.8803 * CHOOSE(CONTROL!$C$32, $C$9, 100%, $E$9)</f>
        <v>30.880299999999998</v>
      </c>
      <c r="L913" s="27">
        <f>15.0561 * CHOOSE(CONTROL!$C$32, $C$9, 100%, $E$9)</f>
        <v>15.056100000000001</v>
      </c>
      <c r="M913" s="27">
        <f>15.0597 * CHOOSE(CONTROL!$C$32, $C$9, 100%, $E$9)</f>
        <v>15.059699999999999</v>
      </c>
      <c r="N913" s="27">
        <f>15.0561 * CHOOSE(CONTROL!$C$32, $C$9, 100%, $E$9)</f>
        <v>15.056100000000001</v>
      </c>
      <c r="O913" s="27">
        <f>15.0597 * CHOOSE(CONTROL!$C$32, $C$9, 100%, $E$9)</f>
        <v>15.059699999999999</v>
      </c>
    </row>
    <row r="914" spans="1:15" ht="15" x14ac:dyDescent="0.2">
      <c r="A914" s="16">
        <v>68668</v>
      </c>
      <c r="B914" s="26">
        <f>13.5035 * CHOOSE(CONTROL!$C$32, $C$9, 100%, $E$9)</f>
        <v>13.503500000000001</v>
      </c>
      <c r="C914" s="26">
        <f>13.5035 * CHOOSE(CONTROL!$C$32, $C$9, 100%, $E$9)</f>
        <v>13.503500000000001</v>
      </c>
      <c r="D914" s="26">
        <f>13.5046 * CHOOSE(CONTROL!$C$32, $C$9, 100%, $E$9)</f>
        <v>13.5046</v>
      </c>
      <c r="E914" s="27">
        <f>15.1956 * CHOOSE(CONTROL!$C$32, $C$9, 100%, $E$9)</f>
        <v>15.195600000000001</v>
      </c>
      <c r="F914" s="27">
        <f>15.1956 * CHOOSE(CONTROL!$C$32, $C$9, 100%, $E$9)</f>
        <v>15.195600000000001</v>
      </c>
      <c r="G914" s="27">
        <f>15.1992 * CHOOSE(CONTROL!$C$32, $C$9, 100%, $E$9)</f>
        <v>15.199199999999999</v>
      </c>
      <c r="H914" s="27">
        <f>30.6314 * CHOOSE(CONTROL!$C$32, $C$9, 100%, $E$9)</f>
        <v>30.631399999999999</v>
      </c>
      <c r="I914" s="27">
        <f>30.635 * CHOOSE(CONTROL!$C$32, $C$9, 100%, $E$9)</f>
        <v>30.635000000000002</v>
      </c>
      <c r="J914" s="27">
        <f>30.6314 * CHOOSE(CONTROL!$C$32, $C$9, 100%, $E$9)</f>
        <v>30.631399999999999</v>
      </c>
      <c r="K914" s="27">
        <f>30.635 * CHOOSE(CONTROL!$C$32, $C$9, 100%, $E$9)</f>
        <v>30.635000000000002</v>
      </c>
      <c r="L914" s="27">
        <f>15.1956 * CHOOSE(CONTROL!$C$32, $C$9, 100%, $E$9)</f>
        <v>15.195600000000001</v>
      </c>
      <c r="M914" s="27">
        <f>15.1992 * CHOOSE(CONTROL!$C$32, $C$9, 100%, $E$9)</f>
        <v>15.199199999999999</v>
      </c>
      <c r="N914" s="27">
        <f>15.1956 * CHOOSE(CONTROL!$C$32, $C$9, 100%, $E$9)</f>
        <v>15.195600000000001</v>
      </c>
      <c r="O914" s="27">
        <f>15.1992 * CHOOSE(CONTROL!$C$32, $C$9, 100%, $E$9)</f>
        <v>15.199199999999999</v>
      </c>
    </row>
    <row r="915" spans="1:15" ht="15" x14ac:dyDescent="0.2">
      <c r="A915" s="16">
        <v>68699</v>
      </c>
      <c r="B915" s="26">
        <f>13.5005 * CHOOSE(CONTROL!$C$32, $C$9, 100%, $E$9)</f>
        <v>13.500500000000001</v>
      </c>
      <c r="C915" s="26">
        <f>13.5005 * CHOOSE(CONTROL!$C$32, $C$9, 100%, $E$9)</f>
        <v>13.500500000000001</v>
      </c>
      <c r="D915" s="26">
        <f>13.5016 * CHOOSE(CONTROL!$C$32, $C$9, 100%, $E$9)</f>
        <v>13.5016</v>
      </c>
      <c r="E915" s="27">
        <f>14.777 * CHOOSE(CONTROL!$C$32, $C$9, 100%, $E$9)</f>
        <v>14.776999999999999</v>
      </c>
      <c r="F915" s="27">
        <f>14.777 * CHOOSE(CONTROL!$C$32, $C$9, 100%, $E$9)</f>
        <v>14.776999999999999</v>
      </c>
      <c r="G915" s="27">
        <f>14.7806 * CHOOSE(CONTROL!$C$32, $C$9, 100%, $E$9)</f>
        <v>14.7806</v>
      </c>
      <c r="H915" s="27">
        <f>30.6952 * CHOOSE(CONTROL!$C$32, $C$9, 100%, $E$9)</f>
        <v>30.6952</v>
      </c>
      <c r="I915" s="27">
        <f>30.6988 * CHOOSE(CONTROL!$C$32, $C$9, 100%, $E$9)</f>
        <v>30.698799999999999</v>
      </c>
      <c r="J915" s="27">
        <f>30.6952 * CHOOSE(CONTROL!$C$32, $C$9, 100%, $E$9)</f>
        <v>30.6952</v>
      </c>
      <c r="K915" s="27">
        <f>30.6988 * CHOOSE(CONTROL!$C$32, $C$9, 100%, $E$9)</f>
        <v>30.698799999999999</v>
      </c>
      <c r="L915" s="27">
        <f>14.777 * CHOOSE(CONTROL!$C$32, $C$9, 100%, $E$9)</f>
        <v>14.776999999999999</v>
      </c>
      <c r="M915" s="27">
        <f>14.7806 * CHOOSE(CONTROL!$C$32, $C$9, 100%, $E$9)</f>
        <v>14.7806</v>
      </c>
      <c r="N915" s="27">
        <f>14.777 * CHOOSE(CONTROL!$C$32, $C$9, 100%, $E$9)</f>
        <v>14.776999999999999</v>
      </c>
      <c r="O915" s="27">
        <f>14.7806 * CHOOSE(CONTROL!$C$32, $C$9, 100%, $E$9)</f>
        <v>14.7806</v>
      </c>
    </row>
    <row r="916" spans="1:15" ht="15" x14ac:dyDescent="0.2">
      <c r="A916" s="16">
        <v>68728</v>
      </c>
      <c r="B916" s="26">
        <f>13.4974 * CHOOSE(CONTROL!$C$32, $C$9, 100%, $E$9)</f>
        <v>13.497400000000001</v>
      </c>
      <c r="C916" s="26">
        <f>13.4974 * CHOOSE(CONTROL!$C$32, $C$9, 100%, $E$9)</f>
        <v>13.497400000000001</v>
      </c>
      <c r="D916" s="26">
        <f>13.4985 * CHOOSE(CONTROL!$C$32, $C$9, 100%, $E$9)</f>
        <v>13.4985</v>
      </c>
      <c r="E916" s="27">
        <f>15.1032 * CHOOSE(CONTROL!$C$32, $C$9, 100%, $E$9)</f>
        <v>15.103199999999999</v>
      </c>
      <c r="F916" s="27">
        <f>15.1032 * CHOOSE(CONTROL!$C$32, $C$9, 100%, $E$9)</f>
        <v>15.103199999999999</v>
      </c>
      <c r="G916" s="27">
        <f>15.1068 * CHOOSE(CONTROL!$C$32, $C$9, 100%, $E$9)</f>
        <v>15.1068</v>
      </c>
      <c r="H916" s="27">
        <f>30.7592 * CHOOSE(CONTROL!$C$32, $C$9, 100%, $E$9)</f>
        <v>30.7592</v>
      </c>
      <c r="I916" s="27">
        <f>30.7628 * CHOOSE(CONTROL!$C$32, $C$9, 100%, $E$9)</f>
        <v>30.762799999999999</v>
      </c>
      <c r="J916" s="27">
        <f>30.7592 * CHOOSE(CONTROL!$C$32, $C$9, 100%, $E$9)</f>
        <v>30.7592</v>
      </c>
      <c r="K916" s="27">
        <f>30.7628 * CHOOSE(CONTROL!$C$32, $C$9, 100%, $E$9)</f>
        <v>30.762799999999999</v>
      </c>
      <c r="L916" s="27">
        <f>15.1032 * CHOOSE(CONTROL!$C$32, $C$9, 100%, $E$9)</f>
        <v>15.103199999999999</v>
      </c>
      <c r="M916" s="27">
        <f>15.1068 * CHOOSE(CONTROL!$C$32, $C$9, 100%, $E$9)</f>
        <v>15.1068</v>
      </c>
      <c r="N916" s="27">
        <f>15.1032 * CHOOSE(CONTROL!$C$32, $C$9, 100%, $E$9)</f>
        <v>15.103199999999999</v>
      </c>
      <c r="O916" s="27">
        <f>15.1068 * CHOOSE(CONTROL!$C$32, $C$9, 100%, $E$9)</f>
        <v>15.1068</v>
      </c>
    </row>
    <row r="917" spans="1:15" ht="15" x14ac:dyDescent="0.2">
      <c r="A917" s="16">
        <v>68759</v>
      </c>
      <c r="B917" s="26">
        <f>13.5043 * CHOOSE(CONTROL!$C$32, $C$9, 100%, $E$9)</f>
        <v>13.504300000000001</v>
      </c>
      <c r="C917" s="26">
        <f>13.5043 * CHOOSE(CONTROL!$C$32, $C$9, 100%, $E$9)</f>
        <v>13.504300000000001</v>
      </c>
      <c r="D917" s="26">
        <f>13.5054 * CHOOSE(CONTROL!$C$32, $C$9, 100%, $E$9)</f>
        <v>13.5054</v>
      </c>
      <c r="E917" s="27">
        <f>15.4516 * CHOOSE(CONTROL!$C$32, $C$9, 100%, $E$9)</f>
        <v>15.451599999999999</v>
      </c>
      <c r="F917" s="27">
        <f>15.4516 * CHOOSE(CONTROL!$C$32, $C$9, 100%, $E$9)</f>
        <v>15.451599999999999</v>
      </c>
      <c r="G917" s="27">
        <f>15.4552 * CHOOSE(CONTROL!$C$32, $C$9, 100%, $E$9)</f>
        <v>15.4552</v>
      </c>
      <c r="H917" s="27">
        <f>30.8233 * CHOOSE(CONTROL!$C$32, $C$9, 100%, $E$9)</f>
        <v>30.8233</v>
      </c>
      <c r="I917" s="27">
        <f>30.8269 * CHOOSE(CONTROL!$C$32, $C$9, 100%, $E$9)</f>
        <v>30.826899999999998</v>
      </c>
      <c r="J917" s="27">
        <f>30.8233 * CHOOSE(CONTROL!$C$32, $C$9, 100%, $E$9)</f>
        <v>30.8233</v>
      </c>
      <c r="K917" s="27">
        <f>30.8269 * CHOOSE(CONTROL!$C$32, $C$9, 100%, $E$9)</f>
        <v>30.826899999999998</v>
      </c>
      <c r="L917" s="27">
        <f>15.4516 * CHOOSE(CONTROL!$C$32, $C$9, 100%, $E$9)</f>
        <v>15.451599999999999</v>
      </c>
      <c r="M917" s="27">
        <f>15.4552 * CHOOSE(CONTROL!$C$32, $C$9, 100%, $E$9)</f>
        <v>15.4552</v>
      </c>
      <c r="N917" s="27">
        <f>15.4516 * CHOOSE(CONTROL!$C$32, $C$9, 100%, $E$9)</f>
        <v>15.451599999999999</v>
      </c>
      <c r="O917" s="27">
        <f>15.4552 * CHOOSE(CONTROL!$C$32, $C$9, 100%, $E$9)</f>
        <v>15.4552</v>
      </c>
    </row>
    <row r="918" spans="1:15" ht="15" x14ac:dyDescent="0.2">
      <c r="A918" s="16">
        <v>68789</v>
      </c>
      <c r="B918" s="26">
        <f>13.5043 * CHOOSE(CONTROL!$C$32, $C$9, 100%, $E$9)</f>
        <v>13.504300000000001</v>
      </c>
      <c r="C918" s="26">
        <f>13.5043 * CHOOSE(CONTROL!$C$32, $C$9, 100%, $E$9)</f>
        <v>13.504300000000001</v>
      </c>
      <c r="D918" s="26">
        <f>13.5059 * CHOOSE(CONTROL!$C$32, $C$9, 100%, $E$9)</f>
        <v>13.5059</v>
      </c>
      <c r="E918" s="27">
        <f>15.5838 * CHOOSE(CONTROL!$C$32, $C$9, 100%, $E$9)</f>
        <v>15.5838</v>
      </c>
      <c r="F918" s="27">
        <f>15.5838 * CHOOSE(CONTROL!$C$32, $C$9, 100%, $E$9)</f>
        <v>15.5838</v>
      </c>
      <c r="G918" s="27">
        <f>15.5891 * CHOOSE(CONTROL!$C$32, $C$9, 100%, $E$9)</f>
        <v>15.5891</v>
      </c>
      <c r="H918" s="27">
        <f>30.8875 * CHOOSE(CONTROL!$C$32, $C$9, 100%, $E$9)</f>
        <v>30.887499999999999</v>
      </c>
      <c r="I918" s="27">
        <f>30.8928 * CHOOSE(CONTROL!$C$32, $C$9, 100%, $E$9)</f>
        <v>30.892800000000001</v>
      </c>
      <c r="J918" s="27">
        <f>30.8875 * CHOOSE(CONTROL!$C$32, $C$9, 100%, $E$9)</f>
        <v>30.887499999999999</v>
      </c>
      <c r="K918" s="27">
        <f>30.8928 * CHOOSE(CONTROL!$C$32, $C$9, 100%, $E$9)</f>
        <v>30.892800000000001</v>
      </c>
      <c r="L918" s="27">
        <f>15.5838 * CHOOSE(CONTROL!$C$32, $C$9, 100%, $E$9)</f>
        <v>15.5838</v>
      </c>
      <c r="M918" s="27">
        <f>15.5891 * CHOOSE(CONTROL!$C$32, $C$9, 100%, $E$9)</f>
        <v>15.5891</v>
      </c>
      <c r="N918" s="27">
        <f>15.5838 * CHOOSE(CONTROL!$C$32, $C$9, 100%, $E$9)</f>
        <v>15.5838</v>
      </c>
      <c r="O918" s="27">
        <f>15.5891 * CHOOSE(CONTROL!$C$32, $C$9, 100%, $E$9)</f>
        <v>15.5891</v>
      </c>
    </row>
    <row r="919" spans="1:15" ht="15" x14ac:dyDescent="0.2">
      <c r="A919" s="16">
        <v>68820</v>
      </c>
      <c r="B919" s="26">
        <f>13.5104 * CHOOSE(CONTROL!$C$32, $C$9, 100%, $E$9)</f>
        <v>13.510400000000001</v>
      </c>
      <c r="C919" s="26">
        <f>13.5104 * CHOOSE(CONTROL!$C$32, $C$9, 100%, $E$9)</f>
        <v>13.510400000000001</v>
      </c>
      <c r="D919" s="26">
        <f>13.512 * CHOOSE(CONTROL!$C$32, $C$9, 100%, $E$9)</f>
        <v>13.512</v>
      </c>
      <c r="E919" s="27">
        <f>15.4558 * CHOOSE(CONTROL!$C$32, $C$9, 100%, $E$9)</f>
        <v>15.4558</v>
      </c>
      <c r="F919" s="27">
        <f>15.4558 * CHOOSE(CONTROL!$C$32, $C$9, 100%, $E$9)</f>
        <v>15.4558</v>
      </c>
      <c r="G919" s="27">
        <f>15.4611 * CHOOSE(CONTROL!$C$32, $C$9, 100%, $E$9)</f>
        <v>15.4611</v>
      </c>
      <c r="H919" s="27">
        <f>30.9518 * CHOOSE(CONTROL!$C$32, $C$9, 100%, $E$9)</f>
        <v>30.951799999999999</v>
      </c>
      <c r="I919" s="27">
        <f>30.9571 * CHOOSE(CONTROL!$C$32, $C$9, 100%, $E$9)</f>
        <v>30.957100000000001</v>
      </c>
      <c r="J919" s="27">
        <f>30.9518 * CHOOSE(CONTROL!$C$32, $C$9, 100%, $E$9)</f>
        <v>30.951799999999999</v>
      </c>
      <c r="K919" s="27">
        <f>30.9571 * CHOOSE(CONTROL!$C$32, $C$9, 100%, $E$9)</f>
        <v>30.957100000000001</v>
      </c>
      <c r="L919" s="27">
        <f>15.4558 * CHOOSE(CONTROL!$C$32, $C$9, 100%, $E$9)</f>
        <v>15.4558</v>
      </c>
      <c r="M919" s="27">
        <f>15.4611 * CHOOSE(CONTROL!$C$32, $C$9, 100%, $E$9)</f>
        <v>15.4611</v>
      </c>
      <c r="N919" s="27">
        <f>15.4558 * CHOOSE(CONTROL!$C$32, $C$9, 100%, $E$9)</f>
        <v>15.4558</v>
      </c>
      <c r="O919" s="27">
        <f>15.4611 * CHOOSE(CONTROL!$C$32, $C$9, 100%, $E$9)</f>
        <v>15.4611</v>
      </c>
    </row>
    <row r="920" spans="1:15" ht="15" x14ac:dyDescent="0.2">
      <c r="A920" s="16">
        <v>68850</v>
      </c>
      <c r="B920" s="26">
        <f>13.6733 * CHOOSE(CONTROL!$C$32, $C$9, 100%, $E$9)</f>
        <v>13.673299999999999</v>
      </c>
      <c r="C920" s="26">
        <f>13.6733 * CHOOSE(CONTROL!$C$32, $C$9, 100%, $E$9)</f>
        <v>13.673299999999999</v>
      </c>
      <c r="D920" s="26">
        <f>13.6749 * CHOOSE(CONTROL!$C$32, $C$9, 100%, $E$9)</f>
        <v>13.674899999999999</v>
      </c>
      <c r="E920" s="27">
        <f>15.6749 * CHOOSE(CONTROL!$C$32, $C$9, 100%, $E$9)</f>
        <v>15.674899999999999</v>
      </c>
      <c r="F920" s="27">
        <f>15.6749 * CHOOSE(CONTROL!$C$32, $C$9, 100%, $E$9)</f>
        <v>15.674899999999999</v>
      </c>
      <c r="G920" s="27">
        <f>15.6802 * CHOOSE(CONTROL!$C$32, $C$9, 100%, $E$9)</f>
        <v>15.680199999999999</v>
      </c>
      <c r="H920" s="27">
        <f>31.0163 * CHOOSE(CONTROL!$C$32, $C$9, 100%, $E$9)</f>
        <v>31.016300000000001</v>
      </c>
      <c r="I920" s="27">
        <f>31.0216 * CHOOSE(CONTROL!$C$32, $C$9, 100%, $E$9)</f>
        <v>31.021599999999999</v>
      </c>
      <c r="J920" s="27">
        <f>31.0163 * CHOOSE(CONTROL!$C$32, $C$9, 100%, $E$9)</f>
        <v>31.016300000000001</v>
      </c>
      <c r="K920" s="27">
        <f>31.0216 * CHOOSE(CONTROL!$C$32, $C$9, 100%, $E$9)</f>
        <v>31.021599999999999</v>
      </c>
      <c r="L920" s="27">
        <f>15.6749 * CHOOSE(CONTROL!$C$32, $C$9, 100%, $E$9)</f>
        <v>15.674899999999999</v>
      </c>
      <c r="M920" s="27">
        <f>15.6802 * CHOOSE(CONTROL!$C$32, $C$9, 100%, $E$9)</f>
        <v>15.680199999999999</v>
      </c>
      <c r="N920" s="27">
        <f>15.6749 * CHOOSE(CONTROL!$C$32, $C$9, 100%, $E$9)</f>
        <v>15.674899999999999</v>
      </c>
      <c r="O920" s="27">
        <f>15.6802 * CHOOSE(CONTROL!$C$32, $C$9, 100%, $E$9)</f>
        <v>15.680199999999999</v>
      </c>
    </row>
    <row r="921" spans="1:15" ht="15" x14ac:dyDescent="0.2">
      <c r="A921" s="16">
        <v>68881</v>
      </c>
      <c r="B921" s="26">
        <f>13.68 * CHOOSE(CONTROL!$C$32, $C$9, 100%, $E$9)</f>
        <v>13.68</v>
      </c>
      <c r="C921" s="26">
        <f>13.68 * CHOOSE(CONTROL!$C$32, $C$9, 100%, $E$9)</f>
        <v>13.68</v>
      </c>
      <c r="D921" s="26">
        <f>13.6815 * CHOOSE(CONTROL!$C$32, $C$9, 100%, $E$9)</f>
        <v>13.6815</v>
      </c>
      <c r="E921" s="27">
        <f>15.2829 * CHOOSE(CONTROL!$C$32, $C$9, 100%, $E$9)</f>
        <v>15.2829</v>
      </c>
      <c r="F921" s="27">
        <f>15.2829 * CHOOSE(CONTROL!$C$32, $C$9, 100%, $E$9)</f>
        <v>15.2829</v>
      </c>
      <c r="G921" s="27">
        <f>15.2882 * CHOOSE(CONTROL!$C$32, $C$9, 100%, $E$9)</f>
        <v>15.2882</v>
      </c>
      <c r="H921" s="27">
        <f>31.0809 * CHOOSE(CONTROL!$C$32, $C$9, 100%, $E$9)</f>
        <v>31.0809</v>
      </c>
      <c r="I921" s="27">
        <f>31.0862 * CHOOSE(CONTROL!$C$32, $C$9, 100%, $E$9)</f>
        <v>31.086200000000002</v>
      </c>
      <c r="J921" s="27">
        <f>31.0809 * CHOOSE(CONTROL!$C$32, $C$9, 100%, $E$9)</f>
        <v>31.0809</v>
      </c>
      <c r="K921" s="27">
        <f>31.0862 * CHOOSE(CONTROL!$C$32, $C$9, 100%, $E$9)</f>
        <v>31.086200000000002</v>
      </c>
      <c r="L921" s="27">
        <f>15.2829 * CHOOSE(CONTROL!$C$32, $C$9, 100%, $E$9)</f>
        <v>15.2829</v>
      </c>
      <c r="M921" s="27">
        <f>15.2882 * CHOOSE(CONTROL!$C$32, $C$9, 100%, $E$9)</f>
        <v>15.2882</v>
      </c>
      <c r="N921" s="27">
        <f>15.2829 * CHOOSE(CONTROL!$C$32, $C$9, 100%, $E$9)</f>
        <v>15.2829</v>
      </c>
      <c r="O921" s="27">
        <f>15.2882 * CHOOSE(CONTROL!$C$32, $C$9, 100%, $E$9)</f>
        <v>15.2882</v>
      </c>
    </row>
    <row r="922" spans="1:15" ht="15" x14ac:dyDescent="0.2">
      <c r="A922" s="16">
        <v>68912</v>
      </c>
      <c r="B922" s="26">
        <f>13.6769 * CHOOSE(CONTROL!$C$32, $C$9, 100%, $E$9)</f>
        <v>13.6769</v>
      </c>
      <c r="C922" s="26">
        <f>13.6769 * CHOOSE(CONTROL!$C$32, $C$9, 100%, $E$9)</f>
        <v>13.6769</v>
      </c>
      <c r="D922" s="26">
        <f>13.6785 * CHOOSE(CONTROL!$C$32, $C$9, 100%, $E$9)</f>
        <v>13.6785</v>
      </c>
      <c r="E922" s="27">
        <f>15.2368 * CHOOSE(CONTROL!$C$32, $C$9, 100%, $E$9)</f>
        <v>15.236800000000001</v>
      </c>
      <c r="F922" s="27">
        <f>15.2368 * CHOOSE(CONTROL!$C$32, $C$9, 100%, $E$9)</f>
        <v>15.236800000000001</v>
      </c>
      <c r="G922" s="27">
        <f>15.2421 * CHOOSE(CONTROL!$C$32, $C$9, 100%, $E$9)</f>
        <v>15.242100000000001</v>
      </c>
      <c r="H922" s="27">
        <f>31.1457 * CHOOSE(CONTROL!$C$32, $C$9, 100%, $E$9)</f>
        <v>31.145700000000001</v>
      </c>
      <c r="I922" s="27">
        <f>31.151 * CHOOSE(CONTROL!$C$32, $C$9, 100%, $E$9)</f>
        <v>31.151</v>
      </c>
      <c r="J922" s="27">
        <f>31.1457 * CHOOSE(CONTROL!$C$32, $C$9, 100%, $E$9)</f>
        <v>31.145700000000001</v>
      </c>
      <c r="K922" s="27">
        <f>31.151 * CHOOSE(CONTROL!$C$32, $C$9, 100%, $E$9)</f>
        <v>31.151</v>
      </c>
      <c r="L922" s="27">
        <f>15.2368 * CHOOSE(CONTROL!$C$32, $C$9, 100%, $E$9)</f>
        <v>15.236800000000001</v>
      </c>
      <c r="M922" s="27">
        <f>15.2421 * CHOOSE(CONTROL!$C$32, $C$9, 100%, $E$9)</f>
        <v>15.242100000000001</v>
      </c>
      <c r="N922" s="27">
        <f>15.2368 * CHOOSE(CONTROL!$C$32, $C$9, 100%, $E$9)</f>
        <v>15.236800000000001</v>
      </c>
      <c r="O922" s="27">
        <f>15.2421 * CHOOSE(CONTROL!$C$32, $C$9, 100%, $E$9)</f>
        <v>15.242100000000001</v>
      </c>
    </row>
    <row r="923" spans="1:15" ht="15" x14ac:dyDescent="0.2">
      <c r="A923" s="16">
        <v>68942</v>
      </c>
      <c r="B923" s="26">
        <f>13.7082 * CHOOSE(CONTROL!$C$32, $C$9, 100%, $E$9)</f>
        <v>13.7082</v>
      </c>
      <c r="C923" s="26">
        <f>13.7082 * CHOOSE(CONTROL!$C$32, $C$9, 100%, $E$9)</f>
        <v>13.7082</v>
      </c>
      <c r="D923" s="26">
        <f>13.7092 * CHOOSE(CONTROL!$C$32, $C$9, 100%, $E$9)</f>
        <v>13.709199999999999</v>
      </c>
      <c r="E923" s="27">
        <f>15.3996 * CHOOSE(CONTROL!$C$32, $C$9, 100%, $E$9)</f>
        <v>15.3996</v>
      </c>
      <c r="F923" s="27">
        <f>15.3996 * CHOOSE(CONTROL!$C$32, $C$9, 100%, $E$9)</f>
        <v>15.3996</v>
      </c>
      <c r="G923" s="27">
        <f>15.4032 * CHOOSE(CONTROL!$C$32, $C$9, 100%, $E$9)</f>
        <v>15.4032</v>
      </c>
      <c r="H923" s="27">
        <f>31.2106 * CHOOSE(CONTROL!$C$32, $C$9, 100%, $E$9)</f>
        <v>31.210599999999999</v>
      </c>
      <c r="I923" s="27">
        <f>31.2142 * CHOOSE(CONTROL!$C$32, $C$9, 100%, $E$9)</f>
        <v>31.214200000000002</v>
      </c>
      <c r="J923" s="27">
        <f>31.2106 * CHOOSE(CONTROL!$C$32, $C$9, 100%, $E$9)</f>
        <v>31.210599999999999</v>
      </c>
      <c r="K923" s="27">
        <f>31.2142 * CHOOSE(CONTROL!$C$32, $C$9, 100%, $E$9)</f>
        <v>31.214200000000002</v>
      </c>
      <c r="L923" s="27">
        <f>15.3996 * CHOOSE(CONTROL!$C$32, $C$9, 100%, $E$9)</f>
        <v>15.3996</v>
      </c>
      <c r="M923" s="27">
        <f>15.4032 * CHOOSE(CONTROL!$C$32, $C$9, 100%, $E$9)</f>
        <v>15.4032</v>
      </c>
      <c r="N923" s="27">
        <f>15.3996 * CHOOSE(CONTROL!$C$32, $C$9, 100%, $E$9)</f>
        <v>15.3996</v>
      </c>
      <c r="O923" s="27">
        <f>15.4032 * CHOOSE(CONTROL!$C$32, $C$9, 100%, $E$9)</f>
        <v>15.4032</v>
      </c>
    </row>
    <row r="924" spans="1:15" ht="15" x14ac:dyDescent="0.2">
      <c r="A924" s="16">
        <v>68973</v>
      </c>
      <c r="B924" s="26">
        <f>13.7112 * CHOOSE(CONTROL!$C$32, $C$9, 100%, $E$9)</f>
        <v>13.7112</v>
      </c>
      <c r="C924" s="26">
        <f>13.7112 * CHOOSE(CONTROL!$C$32, $C$9, 100%, $E$9)</f>
        <v>13.7112</v>
      </c>
      <c r="D924" s="26">
        <f>13.7123 * CHOOSE(CONTROL!$C$32, $C$9, 100%, $E$9)</f>
        <v>13.712300000000001</v>
      </c>
      <c r="E924" s="27">
        <f>15.4899 * CHOOSE(CONTROL!$C$32, $C$9, 100%, $E$9)</f>
        <v>15.4899</v>
      </c>
      <c r="F924" s="27">
        <f>15.4899 * CHOOSE(CONTROL!$C$32, $C$9, 100%, $E$9)</f>
        <v>15.4899</v>
      </c>
      <c r="G924" s="27">
        <f>15.4935 * CHOOSE(CONTROL!$C$32, $C$9, 100%, $E$9)</f>
        <v>15.493499999999999</v>
      </c>
      <c r="H924" s="27">
        <f>31.2756 * CHOOSE(CONTROL!$C$32, $C$9, 100%, $E$9)</f>
        <v>31.275600000000001</v>
      </c>
      <c r="I924" s="27">
        <f>31.2792 * CHOOSE(CONTROL!$C$32, $C$9, 100%, $E$9)</f>
        <v>31.279199999999999</v>
      </c>
      <c r="J924" s="27">
        <f>31.2756 * CHOOSE(CONTROL!$C$32, $C$9, 100%, $E$9)</f>
        <v>31.275600000000001</v>
      </c>
      <c r="K924" s="27">
        <f>31.2792 * CHOOSE(CONTROL!$C$32, $C$9, 100%, $E$9)</f>
        <v>31.279199999999999</v>
      </c>
      <c r="L924" s="27">
        <f>15.4899 * CHOOSE(CONTROL!$C$32, $C$9, 100%, $E$9)</f>
        <v>15.4899</v>
      </c>
      <c r="M924" s="27">
        <f>15.4935 * CHOOSE(CONTROL!$C$32, $C$9, 100%, $E$9)</f>
        <v>15.493499999999999</v>
      </c>
      <c r="N924" s="27">
        <f>15.4899 * CHOOSE(CONTROL!$C$32, $C$9, 100%, $E$9)</f>
        <v>15.4899</v>
      </c>
      <c r="O924" s="27">
        <f>15.4935 * CHOOSE(CONTROL!$C$32, $C$9, 100%, $E$9)</f>
        <v>15.493499999999999</v>
      </c>
    </row>
    <row r="925" spans="1:15" ht="15" x14ac:dyDescent="0.2">
      <c r="A925" s="16">
        <v>69003</v>
      </c>
      <c r="B925" s="26">
        <f>13.7112 * CHOOSE(CONTROL!$C$32, $C$9, 100%, $E$9)</f>
        <v>13.7112</v>
      </c>
      <c r="C925" s="26">
        <f>13.7112 * CHOOSE(CONTROL!$C$32, $C$9, 100%, $E$9)</f>
        <v>13.7112</v>
      </c>
      <c r="D925" s="26">
        <f>13.7123 * CHOOSE(CONTROL!$C$32, $C$9, 100%, $E$9)</f>
        <v>13.712300000000001</v>
      </c>
      <c r="E925" s="27">
        <f>15.2695 * CHOOSE(CONTROL!$C$32, $C$9, 100%, $E$9)</f>
        <v>15.269500000000001</v>
      </c>
      <c r="F925" s="27">
        <f>15.2695 * CHOOSE(CONTROL!$C$32, $C$9, 100%, $E$9)</f>
        <v>15.269500000000001</v>
      </c>
      <c r="G925" s="27">
        <f>15.2731 * CHOOSE(CONTROL!$C$32, $C$9, 100%, $E$9)</f>
        <v>15.273099999999999</v>
      </c>
      <c r="H925" s="27">
        <f>31.3407 * CHOOSE(CONTROL!$C$32, $C$9, 100%, $E$9)</f>
        <v>31.340699999999998</v>
      </c>
      <c r="I925" s="27">
        <f>31.3444 * CHOOSE(CONTROL!$C$32, $C$9, 100%, $E$9)</f>
        <v>31.3444</v>
      </c>
      <c r="J925" s="27">
        <f>31.3407 * CHOOSE(CONTROL!$C$32, $C$9, 100%, $E$9)</f>
        <v>31.340699999999998</v>
      </c>
      <c r="K925" s="27">
        <f>31.3444 * CHOOSE(CONTROL!$C$32, $C$9, 100%, $E$9)</f>
        <v>31.3444</v>
      </c>
      <c r="L925" s="27">
        <f>15.2695 * CHOOSE(CONTROL!$C$32, $C$9, 100%, $E$9)</f>
        <v>15.269500000000001</v>
      </c>
      <c r="M925" s="27">
        <f>15.2731 * CHOOSE(CONTROL!$C$32, $C$9, 100%, $E$9)</f>
        <v>15.273099999999999</v>
      </c>
      <c r="N925" s="27">
        <f>15.2695 * CHOOSE(CONTROL!$C$32, $C$9, 100%, $E$9)</f>
        <v>15.269500000000001</v>
      </c>
      <c r="O925" s="27">
        <f>15.2731 * CHOOSE(CONTROL!$C$32, $C$9, 100%, $E$9)</f>
        <v>15.273099999999999</v>
      </c>
    </row>
    <row r="926" spans="1:15" ht="15" x14ac:dyDescent="0.2">
      <c r="A926" s="16">
        <v>69034</v>
      </c>
      <c r="B926" s="26">
        <f>13.6909 * CHOOSE(CONTROL!$C$32, $C$9, 100%, $E$9)</f>
        <v>13.690899999999999</v>
      </c>
      <c r="C926" s="26">
        <f>13.6909 * CHOOSE(CONTROL!$C$32, $C$9, 100%, $E$9)</f>
        <v>13.690899999999999</v>
      </c>
      <c r="D926" s="26">
        <f>13.6919 * CHOOSE(CONTROL!$C$32, $C$9, 100%, $E$9)</f>
        <v>13.6919</v>
      </c>
      <c r="E926" s="27">
        <f>15.4081 * CHOOSE(CONTROL!$C$32, $C$9, 100%, $E$9)</f>
        <v>15.408099999999999</v>
      </c>
      <c r="F926" s="27">
        <f>15.4081 * CHOOSE(CONTROL!$C$32, $C$9, 100%, $E$9)</f>
        <v>15.408099999999999</v>
      </c>
      <c r="G926" s="27">
        <f>15.4117 * CHOOSE(CONTROL!$C$32, $C$9, 100%, $E$9)</f>
        <v>15.4117</v>
      </c>
      <c r="H926" s="27">
        <f>31.0849 * CHOOSE(CONTROL!$C$32, $C$9, 100%, $E$9)</f>
        <v>31.084900000000001</v>
      </c>
      <c r="I926" s="27">
        <f>31.0885 * CHOOSE(CONTROL!$C$32, $C$9, 100%, $E$9)</f>
        <v>31.0885</v>
      </c>
      <c r="J926" s="27">
        <f>31.0849 * CHOOSE(CONTROL!$C$32, $C$9, 100%, $E$9)</f>
        <v>31.084900000000001</v>
      </c>
      <c r="K926" s="27">
        <f>31.0885 * CHOOSE(CONTROL!$C$32, $C$9, 100%, $E$9)</f>
        <v>31.0885</v>
      </c>
      <c r="L926" s="27">
        <f>15.4081 * CHOOSE(CONTROL!$C$32, $C$9, 100%, $E$9)</f>
        <v>15.408099999999999</v>
      </c>
      <c r="M926" s="27">
        <f>15.4117 * CHOOSE(CONTROL!$C$32, $C$9, 100%, $E$9)</f>
        <v>15.4117</v>
      </c>
      <c r="N926" s="27">
        <f>15.4081 * CHOOSE(CONTROL!$C$32, $C$9, 100%, $E$9)</f>
        <v>15.408099999999999</v>
      </c>
      <c r="O926" s="27">
        <f>15.4117 * CHOOSE(CONTROL!$C$32, $C$9, 100%, $E$9)</f>
        <v>15.4117</v>
      </c>
    </row>
    <row r="927" spans="1:15" ht="15" x14ac:dyDescent="0.2">
      <c r="A927" s="16">
        <v>69065</v>
      </c>
      <c r="B927" s="26">
        <f>13.6878 * CHOOSE(CONTROL!$C$32, $C$9, 100%, $E$9)</f>
        <v>13.687799999999999</v>
      </c>
      <c r="C927" s="26">
        <f>13.6878 * CHOOSE(CONTROL!$C$32, $C$9, 100%, $E$9)</f>
        <v>13.687799999999999</v>
      </c>
      <c r="D927" s="26">
        <f>13.6889 * CHOOSE(CONTROL!$C$32, $C$9, 100%, $E$9)</f>
        <v>13.6889</v>
      </c>
      <c r="E927" s="27">
        <f>14.9824 * CHOOSE(CONTROL!$C$32, $C$9, 100%, $E$9)</f>
        <v>14.9824</v>
      </c>
      <c r="F927" s="27">
        <f>14.9824 * CHOOSE(CONTROL!$C$32, $C$9, 100%, $E$9)</f>
        <v>14.9824</v>
      </c>
      <c r="G927" s="27">
        <f>14.9861 * CHOOSE(CONTROL!$C$32, $C$9, 100%, $E$9)</f>
        <v>14.9861</v>
      </c>
      <c r="H927" s="27">
        <f>31.1497 * CHOOSE(CONTROL!$C$32, $C$9, 100%, $E$9)</f>
        <v>31.149699999999999</v>
      </c>
      <c r="I927" s="27">
        <f>31.1533 * CHOOSE(CONTROL!$C$32, $C$9, 100%, $E$9)</f>
        <v>31.153300000000002</v>
      </c>
      <c r="J927" s="27">
        <f>31.1497 * CHOOSE(CONTROL!$C$32, $C$9, 100%, $E$9)</f>
        <v>31.149699999999999</v>
      </c>
      <c r="K927" s="27">
        <f>31.1533 * CHOOSE(CONTROL!$C$32, $C$9, 100%, $E$9)</f>
        <v>31.153300000000002</v>
      </c>
      <c r="L927" s="27">
        <f>14.9824 * CHOOSE(CONTROL!$C$32, $C$9, 100%, $E$9)</f>
        <v>14.9824</v>
      </c>
      <c r="M927" s="27">
        <f>14.9861 * CHOOSE(CONTROL!$C$32, $C$9, 100%, $E$9)</f>
        <v>14.9861</v>
      </c>
      <c r="N927" s="27">
        <f>14.9824 * CHOOSE(CONTROL!$C$32, $C$9, 100%, $E$9)</f>
        <v>14.9824</v>
      </c>
      <c r="O927" s="27">
        <f>14.9861 * CHOOSE(CONTROL!$C$32, $C$9, 100%, $E$9)</f>
        <v>14.9861</v>
      </c>
    </row>
    <row r="928" spans="1:15" ht="15" x14ac:dyDescent="0.2">
      <c r="A928" s="16">
        <v>69093</v>
      </c>
      <c r="B928" s="26">
        <f>13.6848 * CHOOSE(CONTROL!$C$32, $C$9, 100%, $E$9)</f>
        <v>13.684799999999999</v>
      </c>
      <c r="C928" s="26">
        <f>13.6848 * CHOOSE(CONTROL!$C$32, $C$9, 100%, $E$9)</f>
        <v>13.684799999999999</v>
      </c>
      <c r="D928" s="26">
        <f>13.6859 * CHOOSE(CONTROL!$C$32, $C$9, 100%, $E$9)</f>
        <v>13.6859</v>
      </c>
      <c r="E928" s="27">
        <f>15.3142 * CHOOSE(CONTROL!$C$32, $C$9, 100%, $E$9)</f>
        <v>15.3142</v>
      </c>
      <c r="F928" s="27">
        <f>15.3142 * CHOOSE(CONTROL!$C$32, $C$9, 100%, $E$9)</f>
        <v>15.3142</v>
      </c>
      <c r="G928" s="27">
        <f>15.3178 * CHOOSE(CONTROL!$C$32, $C$9, 100%, $E$9)</f>
        <v>15.3178</v>
      </c>
      <c r="H928" s="27">
        <f>31.2146 * CHOOSE(CONTROL!$C$32, $C$9, 100%, $E$9)</f>
        <v>31.214600000000001</v>
      </c>
      <c r="I928" s="27">
        <f>31.2182 * CHOOSE(CONTROL!$C$32, $C$9, 100%, $E$9)</f>
        <v>31.2182</v>
      </c>
      <c r="J928" s="27">
        <f>31.2146 * CHOOSE(CONTROL!$C$32, $C$9, 100%, $E$9)</f>
        <v>31.214600000000001</v>
      </c>
      <c r="K928" s="27">
        <f>31.2182 * CHOOSE(CONTROL!$C$32, $C$9, 100%, $E$9)</f>
        <v>31.2182</v>
      </c>
      <c r="L928" s="27">
        <f>15.3142 * CHOOSE(CONTROL!$C$32, $C$9, 100%, $E$9)</f>
        <v>15.3142</v>
      </c>
      <c r="M928" s="27">
        <f>15.3178 * CHOOSE(CONTROL!$C$32, $C$9, 100%, $E$9)</f>
        <v>15.3178</v>
      </c>
      <c r="N928" s="27">
        <f>15.3142 * CHOOSE(CONTROL!$C$32, $C$9, 100%, $E$9)</f>
        <v>15.3142</v>
      </c>
      <c r="O928" s="27">
        <f>15.3178 * CHOOSE(CONTROL!$C$32, $C$9, 100%, $E$9)</f>
        <v>15.3178</v>
      </c>
    </row>
    <row r="929" spans="1:15" ht="15" x14ac:dyDescent="0.2">
      <c r="A929" s="16">
        <v>69124</v>
      </c>
      <c r="B929" s="26">
        <f>13.6919 * CHOOSE(CONTROL!$C$32, $C$9, 100%, $E$9)</f>
        <v>13.6919</v>
      </c>
      <c r="C929" s="26">
        <f>13.6919 * CHOOSE(CONTROL!$C$32, $C$9, 100%, $E$9)</f>
        <v>13.6919</v>
      </c>
      <c r="D929" s="26">
        <f>13.6929 * CHOOSE(CONTROL!$C$32, $C$9, 100%, $E$9)</f>
        <v>13.6929</v>
      </c>
      <c r="E929" s="27">
        <f>15.6686 * CHOOSE(CONTROL!$C$32, $C$9, 100%, $E$9)</f>
        <v>15.6686</v>
      </c>
      <c r="F929" s="27">
        <f>15.6686 * CHOOSE(CONTROL!$C$32, $C$9, 100%, $E$9)</f>
        <v>15.6686</v>
      </c>
      <c r="G929" s="27">
        <f>15.6722 * CHOOSE(CONTROL!$C$32, $C$9, 100%, $E$9)</f>
        <v>15.6722</v>
      </c>
      <c r="H929" s="27">
        <f>31.2796 * CHOOSE(CONTROL!$C$32, $C$9, 100%, $E$9)</f>
        <v>31.279599999999999</v>
      </c>
      <c r="I929" s="27">
        <f>31.2832 * CHOOSE(CONTROL!$C$32, $C$9, 100%, $E$9)</f>
        <v>31.283200000000001</v>
      </c>
      <c r="J929" s="27">
        <f>31.2796 * CHOOSE(CONTROL!$C$32, $C$9, 100%, $E$9)</f>
        <v>31.279599999999999</v>
      </c>
      <c r="K929" s="27">
        <f>31.2832 * CHOOSE(CONTROL!$C$32, $C$9, 100%, $E$9)</f>
        <v>31.283200000000001</v>
      </c>
      <c r="L929" s="27">
        <f>15.6686 * CHOOSE(CONTROL!$C$32, $C$9, 100%, $E$9)</f>
        <v>15.6686</v>
      </c>
      <c r="M929" s="27">
        <f>15.6722 * CHOOSE(CONTROL!$C$32, $C$9, 100%, $E$9)</f>
        <v>15.6722</v>
      </c>
      <c r="N929" s="27">
        <f>15.6686 * CHOOSE(CONTROL!$C$32, $C$9, 100%, $E$9)</f>
        <v>15.6686</v>
      </c>
      <c r="O929" s="27">
        <f>15.6722 * CHOOSE(CONTROL!$C$32, $C$9, 100%, $E$9)</f>
        <v>15.6722</v>
      </c>
    </row>
    <row r="930" spans="1:15" ht="15" x14ac:dyDescent="0.2">
      <c r="A930" s="16">
        <v>69154</v>
      </c>
      <c r="B930" s="26">
        <f>13.6919 * CHOOSE(CONTROL!$C$32, $C$9, 100%, $E$9)</f>
        <v>13.6919</v>
      </c>
      <c r="C930" s="26">
        <f>13.6919 * CHOOSE(CONTROL!$C$32, $C$9, 100%, $E$9)</f>
        <v>13.6919</v>
      </c>
      <c r="D930" s="26">
        <f>13.6934 * CHOOSE(CONTROL!$C$32, $C$9, 100%, $E$9)</f>
        <v>13.6934</v>
      </c>
      <c r="E930" s="27">
        <f>15.803 * CHOOSE(CONTROL!$C$32, $C$9, 100%, $E$9)</f>
        <v>15.803000000000001</v>
      </c>
      <c r="F930" s="27">
        <f>15.803 * CHOOSE(CONTROL!$C$32, $C$9, 100%, $E$9)</f>
        <v>15.803000000000001</v>
      </c>
      <c r="G930" s="27">
        <f>15.8083 * CHOOSE(CONTROL!$C$32, $C$9, 100%, $E$9)</f>
        <v>15.808299999999999</v>
      </c>
      <c r="H930" s="27">
        <f>31.3448 * CHOOSE(CONTROL!$C$32, $C$9, 100%, $E$9)</f>
        <v>31.344799999999999</v>
      </c>
      <c r="I930" s="27">
        <f>31.3501 * CHOOSE(CONTROL!$C$32, $C$9, 100%, $E$9)</f>
        <v>31.350100000000001</v>
      </c>
      <c r="J930" s="27">
        <f>31.3448 * CHOOSE(CONTROL!$C$32, $C$9, 100%, $E$9)</f>
        <v>31.344799999999999</v>
      </c>
      <c r="K930" s="27">
        <f>31.3501 * CHOOSE(CONTROL!$C$32, $C$9, 100%, $E$9)</f>
        <v>31.350100000000001</v>
      </c>
      <c r="L930" s="27">
        <f>15.803 * CHOOSE(CONTROL!$C$32, $C$9, 100%, $E$9)</f>
        <v>15.803000000000001</v>
      </c>
      <c r="M930" s="27">
        <f>15.8083 * CHOOSE(CONTROL!$C$32, $C$9, 100%, $E$9)</f>
        <v>15.808299999999999</v>
      </c>
      <c r="N930" s="27">
        <f>15.803 * CHOOSE(CONTROL!$C$32, $C$9, 100%, $E$9)</f>
        <v>15.803000000000001</v>
      </c>
      <c r="O930" s="27">
        <f>15.8083 * CHOOSE(CONTROL!$C$32, $C$9, 100%, $E$9)</f>
        <v>15.808299999999999</v>
      </c>
    </row>
    <row r="931" spans="1:15" ht="15" x14ac:dyDescent="0.2">
      <c r="A931" s="16">
        <v>69185</v>
      </c>
      <c r="B931" s="26">
        <f>13.6979 * CHOOSE(CONTROL!$C$32, $C$9, 100%, $E$9)</f>
        <v>13.697900000000001</v>
      </c>
      <c r="C931" s="26">
        <f>13.6979 * CHOOSE(CONTROL!$C$32, $C$9, 100%, $E$9)</f>
        <v>13.697900000000001</v>
      </c>
      <c r="D931" s="26">
        <f>13.6995 * CHOOSE(CONTROL!$C$32, $C$9, 100%, $E$9)</f>
        <v>13.6995</v>
      </c>
      <c r="E931" s="27">
        <f>15.6728 * CHOOSE(CONTROL!$C$32, $C$9, 100%, $E$9)</f>
        <v>15.672800000000001</v>
      </c>
      <c r="F931" s="27">
        <f>15.6728 * CHOOSE(CONTROL!$C$32, $C$9, 100%, $E$9)</f>
        <v>15.672800000000001</v>
      </c>
      <c r="G931" s="27">
        <f>15.6781 * CHOOSE(CONTROL!$C$32, $C$9, 100%, $E$9)</f>
        <v>15.678100000000001</v>
      </c>
      <c r="H931" s="27">
        <f>31.4101 * CHOOSE(CONTROL!$C$32, $C$9, 100%, $E$9)</f>
        <v>31.4101</v>
      </c>
      <c r="I931" s="27">
        <f>31.4154 * CHOOSE(CONTROL!$C$32, $C$9, 100%, $E$9)</f>
        <v>31.415400000000002</v>
      </c>
      <c r="J931" s="27">
        <f>31.4101 * CHOOSE(CONTROL!$C$32, $C$9, 100%, $E$9)</f>
        <v>31.4101</v>
      </c>
      <c r="K931" s="27">
        <f>31.4154 * CHOOSE(CONTROL!$C$32, $C$9, 100%, $E$9)</f>
        <v>31.415400000000002</v>
      </c>
      <c r="L931" s="27">
        <f>15.6728 * CHOOSE(CONTROL!$C$32, $C$9, 100%, $E$9)</f>
        <v>15.672800000000001</v>
      </c>
      <c r="M931" s="27">
        <f>15.6781 * CHOOSE(CONTROL!$C$32, $C$9, 100%, $E$9)</f>
        <v>15.678100000000001</v>
      </c>
      <c r="N931" s="27">
        <f>15.6728 * CHOOSE(CONTROL!$C$32, $C$9, 100%, $E$9)</f>
        <v>15.672800000000001</v>
      </c>
      <c r="O931" s="27">
        <f>15.6781 * CHOOSE(CONTROL!$C$32, $C$9, 100%, $E$9)</f>
        <v>15.678100000000001</v>
      </c>
    </row>
    <row r="932" spans="1:15" ht="15" x14ac:dyDescent="0.2">
      <c r="A932" s="16">
        <v>69215</v>
      </c>
      <c r="B932" s="26">
        <f>13.8629 * CHOOSE(CONTROL!$C$32, $C$9, 100%, $E$9)</f>
        <v>13.8629</v>
      </c>
      <c r="C932" s="26">
        <f>13.8629 * CHOOSE(CONTROL!$C$32, $C$9, 100%, $E$9)</f>
        <v>13.8629</v>
      </c>
      <c r="D932" s="26">
        <f>13.8644 * CHOOSE(CONTROL!$C$32, $C$9, 100%, $E$9)</f>
        <v>13.8644</v>
      </c>
      <c r="E932" s="27">
        <f>15.8951 * CHOOSE(CONTROL!$C$32, $C$9, 100%, $E$9)</f>
        <v>15.895099999999999</v>
      </c>
      <c r="F932" s="27">
        <f>15.8951 * CHOOSE(CONTROL!$C$32, $C$9, 100%, $E$9)</f>
        <v>15.895099999999999</v>
      </c>
      <c r="G932" s="27">
        <f>15.9004 * CHOOSE(CONTROL!$C$32, $C$9, 100%, $E$9)</f>
        <v>15.900399999999999</v>
      </c>
      <c r="H932" s="27">
        <f>31.4755 * CHOOSE(CONTROL!$C$32, $C$9, 100%, $E$9)</f>
        <v>31.4755</v>
      </c>
      <c r="I932" s="27">
        <f>31.4808 * CHOOSE(CONTROL!$C$32, $C$9, 100%, $E$9)</f>
        <v>31.480799999999999</v>
      </c>
      <c r="J932" s="27">
        <f>31.4755 * CHOOSE(CONTROL!$C$32, $C$9, 100%, $E$9)</f>
        <v>31.4755</v>
      </c>
      <c r="K932" s="27">
        <f>31.4808 * CHOOSE(CONTROL!$C$32, $C$9, 100%, $E$9)</f>
        <v>31.480799999999999</v>
      </c>
      <c r="L932" s="27">
        <f>15.8951 * CHOOSE(CONTROL!$C$32, $C$9, 100%, $E$9)</f>
        <v>15.895099999999999</v>
      </c>
      <c r="M932" s="27">
        <f>15.9004 * CHOOSE(CONTROL!$C$32, $C$9, 100%, $E$9)</f>
        <v>15.900399999999999</v>
      </c>
      <c r="N932" s="27">
        <f>15.8951 * CHOOSE(CONTROL!$C$32, $C$9, 100%, $E$9)</f>
        <v>15.895099999999999</v>
      </c>
      <c r="O932" s="27">
        <f>15.9004 * CHOOSE(CONTROL!$C$32, $C$9, 100%, $E$9)</f>
        <v>15.900399999999999</v>
      </c>
    </row>
    <row r="933" spans="1:15" ht="15" x14ac:dyDescent="0.2">
      <c r="A933" s="16">
        <v>69246</v>
      </c>
      <c r="B933" s="26">
        <f>13.8696 * CHOOSE(CONTROL!$C$32, $C$9, 100%, $E$9)</f>
        <v>13.8696</v>
      </c>
      <c r="C933" s="26">
        <f>13.8696 * CHOOSE(CONTROL!$C$32, $C$9, 100%, $E$9)</f>
        <v>13.8696</v>
      </c>
      <c r="D933" s="26">
        <f>13.8711 * CHOOSE(CONTROL!$C$32, $C$9, 100%, $E$9)</f>
        <v>13.8711</v>
      </c>
      <c r="E933" s="27">
        <f>15.4964 * CHOOSE(CONTROL!$C$32, $C$9, 100%, $E$9)</f>
        <v>15.4964</v>
      </c>
      <c r="F933" s="27">
        <f>15.4964 * CHOOSE(CONTROL!$C$32, $C$9, 100%, $E$9)</f>
        <v>15.4964</v>
      </c>
      <c r="G933" s="27">
        <f>15.5017 * CHOOSE(CONTROL!$C$32, $C$9, 100%, $E$9)</f>
        <v>15.5017</v>
      </c>
      <c r="H933" s="27">
        <f>31.5411 * CHOOSE(CONTROL!$C$32, $C$9, 100%, $E$9)</f>
        <v>31.5411</v>
      </c>
      <c r="I933" s="27">
        <f>31.5464 * CHOOSE(CONTROL!$C$32, $C$9, 100%, $E$9)</f>
        <v>31.546399999999998</v>
      </c>
      <c r="J933" s="27">
        <f>31.5411 * CHOOSE(CONTROL!$C$32, $C$9, 100%, $E$9)</f>
        <v>31.5411</v>
      </c>
      <c r="K933" s="27">
        <f>31.5464 * CHOOSE(CONTROL!$C$32, $C$9, 100%, $E$9)</f>
        <v>31.546399999999998</v>
      </c>
      <c r="L933" s="27">
        <f>15.4964 * CHOOSE(CONTROL!$C$32, $C$9, 100%, $E$9)</f>
        <v>15.4964</v>
      </c>
      <c r="M933" s="27">
        <f>15.5017 * CHOOSE(CONTROL!$C$32, $C$9, 100%, $E$9)</f>
        <v>15.5017</v>
      </c>
      <c r="N933" s="27">
        <f>15.4964 * CHOOSE(CONTROL!$C$32, $C$9, 100%, $E$9)</f>
        <v>15.4964</v>
      </c>
      <c r="O933" s="27">
        <f>15.5017 * CHOOSE(CONTROL!$C$32, $C$9, 100%, $E$9)</f>
        <v>15.5017</v>
      </c>
    </row>
    <row r="934" spans="1:15" ht="15" x14ac:dyDescent="0.2">
      <c r="A934" s="16">
        <v>69277</v>
      </c>
      <c r="B934" s="26">
        <f>13.8665 * CHOOSE(CONTROL!$C$32, $C$9, 100%, $E$9)</f>
        <v>13.8665</v>
      </c>
      <c r="C934" s="26">
        <f>13.8665 * CHOOSE(CONTROL!$C$32, $C$9, 100%, $E$9)</f>
        <v>13.8665</v>
      </c>
      <c r="D934" s="26">
        <f>13.8681 * CHOOSE(CONTROL!$C$32, $C$9, 100%, $E$9)</f>
        <v>13.8681</v>
      </c>
      <c r="E934" s="27">
        <f>15.4494 * CHOOSE(CONTROL!$C$32, $C$9, 100%, $E$9)</f>
        <v>15.449400000000001</v>
      </c>
      <c r="F934" s="27">
        <f>15.4494 * CHOOSE(CONTROL!$C$32, $C$9, 100%, $E$9)</f>
        <v>15.449400000000001</v>
      </c>
      <c r="G934" s="27">
        <f>15.4547 * CHOOSE(CONTROL!$C$32, $C$9, 100%, $E$9)</f>
        <v>15.454700000000001</v>
      </c>
      <c r="H934" s="27">
        <f>31.6068 * CHOOSE(CONTROL!$C$32, $C$9, 100%, $E$9)</f>
        <v>31.6068</v>
      </c>
      <c r="I934" s="27">
        <f>31.6121 * CHOOSE(CONTROL!$C$32, $C$9, 100%, $E$9)</f>
        <v>31.612100000000002</v>
      </c>
      <c r="J934" s="27">
        <f>31.6068 * CHOOSE(CONTROL!$C$32, $C$9, 100%, $E$9)</f>
        <v>31.6068</v>
      </c>
      <c r="K934" s="27">
        <f>31.6121 * CHOOSE(CONTROL!$C$32, $C$9, 100%, $E$9)</f>
        <v>31.612100000000002</v>
      </c>
      <c r="L934" s="27">
        <f>15.4494 * CHOOSE(CONTROL!$C$32, $C$9, 100%, $E$9)</f>
        <v>15.449400000000001</v>
      </c>
      <c r="M934" s="27">
        <f>15.4547 * CHOOSE(CONTROL!$C$32, $C$9, 100%, $E$9)</f>
        <v>15.454700000000001</v>
      </c>
      <c r="N934" s="27">
        <f>15.4494 * CHOOSE(CONTROL!$C$32, $C$9, 100%, $E$9)</f>
        <v>15.449400000000001</v>
      </c>
      <c r="O934" s="27">
        <f>15.4547 * CHOOSE(CONTROL!$C$32, $C$9, 100%, $E$9)</f>
        <v>15.454700000000001</v>
      </c>
    </row>
    <row r="935" spans="1:15" ht="15" x14ac:dyDescent="0.2">
      <c r="A935" s="16">
        <v>69307</v>
      </c>
      <c r="B935" s="26">
        <f>13.8985 * CHOOSE(CONTROL!$C$32, $C$9, 100%, $E$9)</f>
        <v>13.8985</v>
      </c>
      <c r="C935" s="26">
        <f>13.8985 * CHOOSE(CONTROL!$C$32, $C$9, 100%, $E$9)</f>
        <v>13.8985</v>
      </c>
      <c r="D935" s="26">
        <f>13.8995 * CHOOSE(CONTROL!$C$32, $C$9, 100%, $E$9)</f>
        <v>13.8995</v>
      </c>
      <c r="E935" s="27">
        <f>15.6153 * CHOOSE(CONTROL!$C$32, $C$9, 100%, $E$9)</f>
        <v>15.6153</v>
      </c>
      <c r="F935" s="27">
        <f>15.6153 * CHOOSE(CONTROL!$C$32, $C$9, 100%, $E$9)</f>
        <v>15.6153</v>
      </c>
      <c r="G935" s="27">
        <f>15.6189 * CHOOSE(CONTROL!$C$32, $C$9, 100%, $E$9)</f>
        <v>15.6189</v>
      </c>
      <c r="H935" s="27">
        <f>31.6726 * CHOOSE(CONTROL!$C$32, $C$9, 100%, $E$9)</f>
        <v>31.672599999999999</v>
      </c>
      <c r="I935" s="27">
        <f>31.6763 * CHOOSE(CONTROL!$C$32, $C$9, 100%, $E$9)</f>
        <v>31.676300000000001</v>
      </c>
      <c r="J935" s="27">
        <f>31.6726 * CHOOSE(CONTROL!$C$32, $C$9, 100%, $E$9)</f>
        <v>31.672599999999999</v>
      </c>
      <c r="K935" s="27">
        <f>31.6763 * CHOOSE(CONTROL!$C$32, $C$9, 100%, $E$9)</f>
        <v>31.676300000000001</v>
      </c>
      <c r="L935" s="27">
        <f>15.6153 * CHOOSE(CONTROL!$C$32, $C$9, 100%, $E$9)</f>
        <v>15.6153</v>
      </c>
      <c r="M935" s="27">
        <f>15.6189 * CHOOSE(CONTROL!$C$32, $C$9, 100%, $E$9)</f>
        <v>15.6189</v>
      </c>
      <c r="N935" s="27">
        <f>15.6153 * CHOOSE(CONTROL!$C$32, $C$9, 100%, $E$9)</f>
        <v>15.6153</v>
      </c>
      <c r="O935" s="27">
        <f>15.6189 * CHOOSE(CONTROL!$C$32, $C$9, 100%, $E$9)</f>
        <v>15.6189</v>
      </c>
    </row>
    <row r="936" spans="1:15" ht="15" x14ac:dyDescent="0.2">
      <c r="A936" s="16">
        <v>69338</v>
      </c>
      <c r="B936" s="26">
        <f>13.9015 * CHOOSE(CONTROL!$C$32, $C$9, 100%, $E$9)</f>
        <v>13.9015</v>
      </c>
      <c r="C936" s="26">
        <f>13.9015 * CHOOSE(CONTROL!$C$32, $C$9, 100%, $E$9)</f>
        <v>13.9015</v>
      </c>
      <c r="D936" s="26">
        <f>13.9026 * CHOOSE(CONTROL!$C$32, $C$9, 100%, $E$9)</f>
        <v>13.9026</v>
      </c>
      <c r="E936" s="27">
        <f>15.7071 * CHOOSE(CONTROL!$C$32, $C$9, 100%, $E$9)</f>
        <v>15.707100000000001</v>
      </c>
      <c r="F936" s="27">
        <f>15.7071 * CHOOSE(CONTROL!$C$32, $C$9, 100%, $E$9)</f>
        <v>15.707100000000001</v>
      </c>
      <c r="G936" s="27">
        <f>15.7107 * CHOOSE(CONTROL!$C$32, $C$9, 100%, $E$9)</f>
        <v>15.710699999999999</v>
      </c>
      <c r="H936" s="27">
        <f>31.7386 * CHOOSE(CONTROL!$C$32, $C$9, 100%, $E$9)</f>
        <v>31.738600000000002</v>
      </c>
      <c r="I936" s="27">
        <f>31.7422 * CHOOSE(CONTROL!$C$32, $C$9, 100%, $E$9)</f>
        <v>31.7422</v>
      </c>
      <c r="J936" s="27">
        <f>31.7386 * CHOOSE(CONTROL!$C$32, $C$9, 100%, $E$9)</f>
        <v>31.738600000000002</v>
      </c>
      <c r="K936" s="27">
        <f>31.7422 * CHOOSE(CONTROL!$C$32, $C$9, 100%, $E$9)</f>
        <v>31.7422</v>
      </c>
      <c r="L936" s="27">
        <f>15.7071 * CHOOSE(CONTROL!$C$32, $C$9, 100%, $E$9)</f>
        <v>15.707100000000001</v>
      </c>
      <c r="M936" s="27">
        <f>15.7107 * CHOOSE(CONTROL!$C$32, $C$9, 100%, $E$9)</f>
        <v>15.710699999999999</v>
      </c>
      <c r="N936" s="27">
        <f>15.7071 * CHOOSE(CONTROL!$C$32, $C$9, 100%, $E$9)</f>
        <v>15.707100000000001</v>
      </c>
      <c r="O936" s="27">
        <f>15.7107 * CHOOSE(CONTROL!$C$32, $C$9, 100%, $E$9)</f>
        <v>15.710699999999999</v>
      </c>
    </row>
    <row r="937" spans="1:15" ht="15" x14ac:dyDescent="0.2">
      <c r="A937" s="16">
        <v>69368</v>
      </c>
      <c r="B937" s="26">
        <f>13.9015 * CHOOSE(CONTROL!$C$32, $C$9, 100%, $E$9)</f>
        <v>13.9015</v>
      </c>
      <c r="C937" s="26">
        <f>13.9015 * CHOOSE(CONTROL!$C$32, $C$9, 100%, $E$9)</f>
        <v>13.9015</v>
      </c>
      <c r="D937" s="26">
        <f>13.9026 * CHOOSE(CONTROL!$C$32, $C$9, 100%, $E$9)</f>
        <v>13.9026</v>
      </c>
      <c r="E937" s="27">
        <f>15.483 * CHOOSE(CONTROL!$C$32, $C$9, 100%, $E$9)</f>
        <v>15.483000000000001</v>
      </c>
      <c r="F937" s="27">
        <f>15.483 * CHOOSE(CONTROL!$C$32, $C$9, 100%, $E$9)</f>
        <v>15.483000000000001</v>
      </c>
      <c r="G937" s="27">
        <f>15.4866 * CHOOSE(CONTROL!$C$32, $C$9, 100%, $E$9)</f>
        <v>15.486599999999999</v>
      </c>
      <c r="H937" s="27">
        <f>31.8047 * CHOOSE(CONTROL!$C$32, $C$9, 100%, $E$9)</f>
        <v>31.8047</v>
      </c>
      <c r="I937" s="27">
        <f>31.8084 * CHOOSE(CONTROL!$C$32, $C$9, 100%, $E$9)</f>
        <v>31.808399999999999</v>
      </c>
      <c r="J937" s="27">
        <f>31.8047 * CHOOSE(CONTROL!$C$32, $C$9, 100%, $E$9)</f>
        <v>31.8047</v>
      </c>
      <c r="K937" s="27">
        <f>31.8084 * CHOOSE(CONTROL!$C$32, $C$9, 100%, $E$9)</f>
        <v>31.808399999999999</v>
      </c>
      <c r="L937" s="27">
        <f>15.483 * CHOOSE(CONTROL!$C$32, $C$9, 100%, $E$9)</f>
        <v>15.483000000000001</v>
      </c>
      <c r="M937" s="27">
        <f>15.4866 * CHOOSE(CONTROL!$C$32, $C$9, 100%, $E$9)</f>
        <v>15.486599999999999</v>
      </c>
      <c r="N937" s="27">
        <f>15.483 * CHOOSE(CONTROL!$C$32, $C$9, 100%, $E$9)</f>
        <v>15.483000000000001</v>
      </c>
      <c r="O937" s="27">
        <f>15.4866 * CHOOSE(CONTROL!$C$32, $C$9, 100%, $E$9)</f>
        <v>15.486599999999999</v>
      </c>
    </row>
    <row r="938" spans="1:15" ht="15" x14ac:dyDescent="0.2">
      <c r="A938" s="16">
        <v>69399</v>
      </c>
      <c r="B938" s="26">
        <f>13.8782 * CHOOSE(CONTROL!$C$32, $C$9, 100%, $E$9)</f>
        <v>13.8782</v>
      </c>
      <c r="C938" s="26">
        <f>13.8782 * CHOOSE(CONTROL!$C$32, $C$9, 100%, $E$9)</f>
        <v>13.8782</v>
      </c>
      <c r="D938" s="26">
        <f>13.8793 * CHOOSE(CONTROL!$C$32, $C$9, 100%, $E$9)</f>
        <v>13.879300000000001</v>
      </c>
      <c r="E938" s="27">
        <f>15.6206 * CHOOSE(CONTROL!$C$32, $C$9, 100%, $E$9)</f>
        <v>15.6206</v>
      </c>
      <c r="F938" s="27">
        <f>15.6206 * CHOOSE(CONTROL!$C$32, $C$9, 100%, $E$9)</f>
        <v>15.6206</v>
      </c>
      <c r="G938" s="27">
        <f>15.6242 * CHOOSE(CONTROL!$C$32, $C$9, 100%, $E$9)</f>
        <v>15.6242</v>
      </c>
      <c r="H938" s="27">
        <f>31.5384 * CHOOSE(CONTROL!$C$32, $C$9, 100%, $E$9)</f>
        <v>31.538399999999999</v>
      </c>
      <c r="I938" s="27">
        <f>31.542 * CHOOSE(CONTROL!$C$32, $C$9, 100%, $E$9)</f>
        <v>31.542000000000002</v>
      </c>
      <c r="J938" s="27">
        <f>31.5384 * CHOOSE(CONTROL!$C$32, $C$9, 100%, $E$9)</f>
        <v>31.538399999999999</v>
      </c>
      <c r="K938" s="27">
        <f>31.542 * CHOOSE(CONTROL!$C$32, $C$9, 100%, $E$9)</f>
        <v>31.542000000000002</v>
      </c>
      <c r="L938" s="27">
        <f>15.6206 * CHOOSE(CONTROL!$C$32, $C$9, 100%, $E$9)</f>
        <v>15.6206</v>
      </c>
      <c r="M938" s="27">
        <f>15.6242 * CHOOSE(CONTROL!$C$32, $C$9, 100%, $E$9)</f>
        <v>15.6242</v>
      </c>
      <c r="N938" s="27">
        <f>15.6206 * CHOOSE(CONTROL!$C$32, $C$9, 100%, $E$9)</f>
        <v>15.6206</v>
      </c>
      <c r="O938" s="27">
        <f>15.6242 * CHOOSE(CONTROL!$C$32, $C$9, 100%, $E$9)</f>
        <v>15.6242</v>
      </c>
    </row>
    <row r="939" spans="1:15" ht="15" x14ac:dyDescent="0.2">
      <c r="A939" s="16">
        <v>69430</v>
      </c>
      <c r="B939" s="26">
        <f>13.8752 * CHOOSE(CONTROL!$C$32, $C$9, 100%, $E$9)</f>
        <v>13.8752</v>
      </c>
      <c r="C939" s="26">
        <f>13.8752 * CHOOSE(CONTROL!$C$32, $C$9, 100%, $E$9)</f>
        <v>13.8752</v>
      </c>
      <c r="D939" s="26">
        <f>13.8763 * CHOOSE(CONTROL!$C$32, $C$9, 100%, $E$9)</f>
        <v>13.876300000000001</v>
      </c>
      <c r="E939" s="27">
        <f>15.1879 * CHOOSE(CONTROL!$C$32, $C$9, 100%, $E$9)</f>
        <v>15.187900000000001</v>
      </c>
      <c r="F939" s="27">
        <f>15.1879 * CHOOSE(CONTROL!$C$32, $C$9, 100%, $E$9)</f>
        <v>15.187900000000001</v>
      </c>
      <c r="G939" s="27">
        <f>15.1915 * CHOOSE(CONTROL!$C$32, $C$9, 100%, $E$9)</f>
        <v>15.1915</v>
      </c>
      <c r="H939" s="27">
        <f>31.6041 * CHOOSE(CONTROL!$C$32, $C$9, 100%, $E$9)</f>
        <v>31.604099999999999</v>
      </c>
      <c r="I939" s="27">
        <f>31.6077 * CHOOSE(CONTROL!$C$32, $C$9, 100%, $E$9)</f>
        <v>31.607700000000001</v>
      </c>
      <c r="J939" s="27">
        <f>31.6041 * CHOOSE(CONTROL!$C$32, $C$9, 100%, $E$9)</f>
        <v>31.604099999999999</v>
      </c>
      <c r="K939" s="27">
        <f>31.6077 * CHOOSE(CONTROL!$C$32, $C$9, 100%, $E$9)</f>
        <v>31.607700000000001</v>
      </c>
      <c r="L939" s="27">
        <f>15.1879 * CHOOSE(CONTROL!$C$32, $C$9, 100%, $E$9)</f>
        <v>15.187900000000001</v>
      </c>
      <c r="M939" s="27">
        <f>15.1915 * CHOOSE(CONTROL!$C$32, $C$9, 100%, $E$9)</f>
        <v>15.1915</v>
      </c>
      <c r="N939" s="27">
        <f>15.1879 * CHOOSE(CONTROL!$C$32, $C$9, 100%, $E$9)</f>
        <v>15.187900000000001</v>
      </c>
      <c r="O939" s="27">
        <f>15.1915 * CHOOSE(CONTROL!$C$32, $C$9, 100%, $E$9)</f>
        <v>15.1915</v>
      </c>
    </row>
    <row r="940" spans="1:15" ht="15" x14ac:dyDescent="0.2">
      <c r="A940" s="16">
        <v>69458</v>
      </c>
      <c r="B940" s="26">
        <f>13.8722 * CHOOSE(CONTROL!$C$32, $C$9, 100%, $E$9)</f>
        <v>13.872199999999999</v>
      </c>
      <c r="C940" s="26">
        <f>13.8722 * CHOOSE(CONTROL!$C$32, $C$9, 100%, $E$9)</f>
        <v>13.872199999999999</v>
      </c>
      <c r="D940" s="26">
        <f>13.8732 * CHOOSE(CONTROL!$C$32, $C$9, 100%, $E$9)</f>
        <v>13.873200000000001</v>
      </c>
      <c r="E940" s="27">
        <f>15.5252 * CHOOSE(CONTROL!$C$32, $C$9, 100%, $E$9)</f>
        <v>15.5252</v>
      </c>
      <c r="F940" s="27">
        <f>15.5252 * CHOOSE(CONTROL!$C$32, $C$9, 100%, $E$9)</f>
        <v>15.5252</v>
      </c>
      <c r="G940" s="27">
        <f>15.5288 * CHOOSE(CONTROL!$C$32, $C$9, 100%, $E$9)</f>
        <v>15.5288</v>
      </c>
      <c r="H940" s="27">
        <f>31.67 * CHOOSE(CONTROL!$C$32, $C$9, 100%, $E$9)</f>
        <v>31.67</v>
      </c>
      <c r="I940" s="27">
        <f>31.6736 * CHOOSE(CONTROL!$C$32, $C$9, 100%, $E$9)</f>
        <v>31.6736</v>
      </c>
      <c r="J940" s="27">
        <f>31.67 * CHOOSE(CONTROL!$C$32, $C$9, 100%, $E$9)</f>
        <v>31.67</v>
      </c>
      <c r="K940" s="27">
        <f>31.6736 * CHOOSE(CONTROL!$C$32, $C$9, 100%, $E$9)</f>
        <v>31.6736</v>
      </c>
      <c r="L940" s="27">
        <f>15.5252 * CHOOSE(CONTROL!$C$32, $C$9, 100%, $E$9)</f>
        <v>15.5252</v>
      </c>
      <c r="M940" s="27">
        <f>15.5288 * CHOOSE(CONTROL!$C$32, $C$9, 100%, $E$9)</f>
        <v>15.5288</v>
      </c>
      <c r="N940" s="27">
        <f>15.5252 * CHOOSE(CONTROL!$C$32, $C$9, 100%, $E$9)</f>
        <v>15.5252</v>
      </c>
      <c r="O940" s="27">
        <f>15.5288 * CHOOSE(CONTROL!$C$32, $C$9, 100%, $E$9)</f>
        <v>15.5288</v>
      </c>
    </row>
    <row r="941" spans="1:15" ht="15" x14ac:dyDescent="0.2">
      <c r="A941" s="16">
        <v>69489</v>
      </c>
      <c r="B941" s="26">
        <f>13.8794 * CHOOSE(CONTROL!$C$32, $C$9, 100%, $E$9)</f>
        <v>13.8794</v>
      </c>
      <c r="C941" s="26">
        <f>13.8794 * CHOOSE(CONTROL!$C$32, $C$9, 100%, $E$9)</f>
        <v>13.8794</v>
      </c>
      <c r="D941" s="26">
        <f>13.8805 * CHOOSE(CONTROL!$C$32, $C$9, 100%, $E$9)</f>
        <v>13.8805</v>
      </c>
      <c r="E941" s="27">
        <f>15.8856 * CHOOSE(CONTROL!$C$32, $C$9, 100%, $E$9)</f>
        <v>15.8856</v>
      </c>
      <c r="F941" s="27">
        <f>15.8856 * CHOOSE(CONTROL!$C$32, $C$9, 100%, $E$9)</f>
        <v>15.8856</v>
      </c>
      <c r="G941" s="27">
        <f>15.8892 * CHOOSE(CONTROL!$C$32, $C$9, 100%, $E$9)</f>
        <v>15.889200000000001</v>
      </c>
      <c r="H941" s="27">
        <f>31.7359 * CHOOSE(CONTROL!$C$32, $C$9, 100%, $E$9)</f>
        <v>31.735900000000001</v>
      </c>
      <c r="I941" s="27">
        <f>31.7396 * CHOOSE(CONTROL!$C$32, $C$9, 100%, $E$9)</f>
        <v>31.739599999999999</v>
      </c>
      <c r="J941" s="27">
        <f>31.7359 * CHOOSE(CONTROL!$C$32, $C$9, 100%, $E$9)</f>
        <v>31.735900000000001</v>
      </c>
      <c r="K941" s="27">
        <f>31.7396 * CHOOSE(CONTROL!$C$32, $C$9, 100%, $E$9)</f>
        <v>31.739599999999999</v>
      </c>
      <c r="L941" s="27">
        <f>15.8856 * CHOOSE(CONTROL!$C$32, $C$9, 100%, $E$9)</f>
        <v>15.8856</v>
      </c>
      <c r="M941" s="27">
        <f>15.8892 * CHOOSE(CONTROL!$C$32, $C$9, 100%, $E$9)</f>
        <v>15.889200000000001</v>
      </c>
      <c r="N941" s="27">
        <f>15.8856 * CHOOSE(CONTROL!$C$32, $C$9, 100%, $E$9)</f>
        <v>15.8856</v>
      </c>
      <c r="O941" s="27">
        <f>15.8892 * CHOOSE(CONTROL!$C$32, $C$9, 100%, $E$9)</f>
        <v>15.889200000000001</v>
      </c>
    </row>
    <row r="942" spans="1:15" ht="15" x14ac:dyDescent="0.2">
      <c r="A942" s="16">
        <v>69519</v>
      </c>
      <c r="B942" s="26">
        <f>13.8794 * CHOOSE(CONTROL!$C$32, $C$9, 100%, $E$9)</f>
        <v>13.8794</v>
      </c>
      <c r="C942" s="26">
        <f>13.8794 * CHOOSE(CONTROL!$C$32, $C$9, 100%, $E$9)</f>
        <v>13.8794</v>
      </c>
      <c r="D942" s="26">
        <f>13.881 * CHOOSE(CONTROL!$C$32, $C$9, 100%, $E$9)</f>
        <v>13.881</v>
      </c>
      <c r="E942" s="27">
        <f>16.0223 * CHOOSE(CONTROL!$C$32, $C$9, 100%, $E$9)</f>
        <v>16.022300000000001</v>
      </c>
      <c r="F942" s="27">
        <f>16.0223 * CHOOSE(CONTROL!$C$32, $C$9, 100%, $E$9)</f>
        <v>16.022300000000001</v>
      </c>
      <c r="G942" s="27">
        <f>16.0276 * CHOOSE(CONTROL!$C$32, $C$9, 100%, $E$9)</f>
        <v>16.0276</v>
      </c>
      <c r="H942" s="27">
        <f>31.8021 * CHOOSE(CONTROL!$C$32, $C$9, 100%, $E$9)</f>
        <v>31.802099999999999</v>
      </c>
      <c r="I942" s="27">
        <f>31.8074 * CHOOSE(CONTROL!$C$32, $C$9, 100%, $E$9)</f>
        <v>31.807400000000001</v>
      </c>
      <c r="J942" s="27">
        <f>31.8021 * CHOOSE(CONTROL!$C$32, $C$9, 100%, $E$9)</f>
        <v>31.802099999999999</v>
      </c>
      <c r="K942" s="27">
        <f>31.8074 * CHOOSE(CONTROL!$C$32, $C$9, 100%, $E$9)</f>
        <v>31.807400000000001</v>
      </c>
      <c r="L942" s="27">
        <f>16.0223 * CHOOSE(CONTROL!$C$32, $C$9, 100%, $E$9)</f>
        <v>16.022300000000001</v>
      </c>
      <c r="M942" s="27">
        <f>16.0276 * CHOOSE(CONTROL!$C$32, $C$9, 100%, $E$9)</f>
        <v>16.0276</v>
      </c>
      <c r="N942" s="27">
        <f>16.0223 * CHOOSE(CONTROL!$C$32, $C$9, 100%, $E$9)</f>
        <v>16.022300000000001</v>
      </c>
      <c r="O942" s="27">
        <f>16.0276 * CHOOSE(CONTROL!$C$32, $C$9, 100%, $E$9)</f>
        <v>16.0276</v>
      </c>
    </row>
    <row r="943" spans="1:15" ht="15" x14ac:dyDescent="0.2">
      <c r="A943" s="16">
        <v>69550</v>
      </c>
      <c r="B943" s="26">
        <f>13.8855 * CHOOSE(CONTROL!$C$32, $C$9, 100%, $E$9)</f>
        <v>13.8855</v>
      </c>
      <c r="C943" s="26">
        <f>13.8855 * CHOOSE(CONTROL!$C$32, $C$9, 100%, $E$9)</f>
        <v>13.8855</v>
      </c>
      <c r="D943" s="26">
        <f>13.8871 * CHOOSE(CONTROL!$C$32, $C$9, 100%, $E$9)</f>
        <v>13.8871</v>
      </c>
      <c r="E943" s="27">
        <f>15.8898 * CHOOSE(CONTROL!$C$32, $C$9, 100%, $E$9)</f>
        <v>15.889799999999999</v>
      </c>
      <c r="F943" s="27">
        <f>15.8898 * CHOOSE(CONTROL!$C$32, $C$9, 100%, $E$9)</f>
        <v>15.889799999999999</v>
      </c>
      <c r="G943" s="27">
        <f>15.8951 * CHOOSE(CONTROL!$C$32, $C$9, 100%, $E$9)</f>
        <v>15.895099999999999</v>
      </c>
      <c r="H943" s="27">
        <f>31.8683 * CHOOSE(CONTROL!$C$32, $C$9, 100%, $E$9)</f>
        <v>31.868300000000001</v>
      </c>
      <c r="I943" s="27">
        <f>31.8736 * CHOOSE(CONTROL!$C$32, $C$9, 100%, $E$9)</f>
        <v>31.8736</v>
      </c>
      <c r="J943" s="27">
        <f>31.8683 * CHOOSE(CONTROL!$C$32, $C$9, 100%, $E$9)</f>
        <v>31.868300000000001</v>
      </c>
      <c r="K943" s="27">
        <f>31.8736 * CHOOSE(CONTROL!$C$32, $C$9, 100%, $E$9)</f>
        <v>31.8736</v>
      </c>
      <c r="L943" s="27">
        <f>15.8898 * CHOOSE(CONTROL!$C$32, $C$9, 100%, $E$9)</f>
        <v>15.889799999999999</v>
      </c>
      <c r="M943" s="27">
        <f>15.8951 * CHOOSE(CONTROL!$C$32, $C$9, 100%, $E$9)</f>
        <v>15.895099999999999</v>
      </c>
      <c r="N943" s="27">
        <f>15.8898 * CHOOSE(CONTROL!$C$32, $C$9, 100%, $E$9)</f>
        <v>15.889799999999999</v>
      </c>
      <c r="O943" s="27">
        <f>15.8951 * CHOOSE(CONTROL!$C$32, $C$9, 100%, $E$9)</f>
        <v>15.895099999999999</v>
      </c>
    </row>
    <row r="944" spans="1:15" ht="15" x14ac:dyDescent="0.2">
      <c r="A944" s="16">
        <v>69580</v>
      </c>
      <c r="B944" s="26">
        <f>14.0525 * CHOOSE(CONTROL!$C$32, $C$9, 100%, $E$9)</f>
        <v>14.0525</v>
      </c>
      <c r="C944" s="26">
        <f>14.0525 * CHOOSE(CONTROL!$C$32, $C$9, 100%, $E$9)</f>
        <v>14.0525</v>
      </c>
      <c r="D944" s="26">
        <f>14.054 * CHOOSE(CONTROL!$C$32, $C$9, 100%, $E$9)</f>
        <v>14.054</v>
      </c>
      <c r="E944" s="27">
        <f>16.1153 * CHOOSE(CONTROL!$C$32, $C$9, 100%, $E$9)</f>
        <v>16.115300000000001</v>
      </c>
      <c r="F944" s="27">
        <f>16.1153 * CHOOSE(CONTROL!$C$32, $C$9, 100%, $E$9)</f>
        <v>16.115300000000001</v>
      </c>
      <c r="G944" s="27">
        <f>16.1206 * CHOOSE(CONTROL!$C$32, $C$9, 100%, $E$9)</f>
        <v>16.1206</v>
      </c>
      <c r="H944" s="27">
        <f>31.9347 * CHOOSE(CONTROL!$C$32, $C$9, 100%, $E$9)</f>
        <v>31.934699999999999</v>
      </c>
      <c r="I944" s="27">
        <f>31.94 * CHOOSE(CONTROL!$C$32, $C$9, 100%, $E$9)</f>
        <v>31.94</v>
      </c>
      <c r="J944" s="27">
        <f>31.9347 * CHOOSE(CONTROL!$C$32, $C$9, 100%, $E$9)</f>
        <v>31.934699999999999</v>
      </c>
      <c r="K944" s="27">
        <f>31.94 * CHOOSE(CONTROL!$C$32, $C$9, 100%, $E$9)</f>
        <v>31.94</v>
      </c>
      <c r="L944" s="27">
        <f>16.1153 * CHOOSE(CONTROL!$C$32, $C$9, 100%, $E$9)</f>
        <v>16.115300000000001</v>
      </c>
      <c r="M944" s="27">
        <f>16.1206 * CHOOSE(CONTROL!$C$32, $C$9, 100%, $E$9)</f>
        <v>16.1206</v>
      </c>
      <c r="N944" s="27">
        <f>16.1153 * CHOOSE(CONTROL!$C$32, $C$9, 100%, $E$9)</f>
        <v>16.115300000000001</v>
      </c>
      <c r="O944" s="27">
        <f>16.1206 * CHOOSE(CONTROL!$C$32, $C$9, 100%, $E$9)</f>
        <v>16.1206</v>
      </c>
    </row>
    <row r="945" spans="1:15" ht="15" x14ac:dyDescent="0.2">
      <c r="A945" s="16">
        <v>69611</v>
      </c>
      <c r="B945" s="26">
        <f>14.0592 * CHOOSE(CONTROL!$C$32, $C$9, 100%, $E$9)</f>
        <v>14.059200000000001</v>
      </c>
      <c r="C945" s="26">
        <f>14.0592 * CHOOSE(CONTROL!$C$32, $C$9, 100%, $E$9)</f>
        <v>14.059200000000001</v>
      </c>
      <c r="D945" s="26">
        <f>14.0607 * CHOOSE(CONTROL!$C$32, $C$9, 100%, $E$9)</f>
        <v>14.060700000000001</v>
      </c>
      <c r="E945" s="27">
        <f>15.7098 * CHOOSE(CONTROL!$C$32, $C$9, 100%, $E$9)</f>
        <v>15.7098</v>
      </c>
      <c r="F945" s="27">
        <f>15.7098 * CHOOSE(CONTROL!$C$32, $C$9, 100%, $E$9)</f>
        <v>15.7098</v>
      </c>
      <c r="G945" s="27">
        <f>15.7151 * CHOOSE(CONTROL!$C$32, $C$9, 100%, $E$9)</f>
        <v>15.7151</v>
      </c>
      <c r="H945" s="27">
        <f>32.0012 * CHOOSE(CONTROL!$C$32, $C$9, 100%, $E$9)</f>
        <v>32.001199999999997</v>
      </c>
      <c r="I945" s="27">
        <f>32.0065 * CHOOSE(CONTROL!$C$32, $C$9, 100%, $E$9)</f>
        <v>32.006500000000003</v>
      </c>
      <c r="J945" s="27">
        <f>32.0012 * CHOOSE(CONTROL!$C$32, $C$9, 100%, $E$9)</f>
        <v>32.001199999999997</v>
      </c>
      <c r="K945" s="27">
        <f>32.0065 * CHOOSE(CONTROL!$C$32, $C$9, 100%, $E$9)</f>
        <v>32.006500000000003</v>
      </c>
      <c r="L945" s="27">
        <f>15.7098 * CHOOSE(CONTROL!$C$32, $C$9, 100%, $E$9)</f>
        <v>15.7098</v>
      </c>
      <c r="M945" s="27">
        <f>15.7151 * CHOOSE(CONTROL!$C$32, $C$9, 100%, $E$9)</f>
        <v>15.7151</v>
      </c>
      <c r="N945" s="27">
        <f>15.7098 * CHOOSE(CONTROL!$C$32, $C$9, 100%, $E$9)</f>
        <v>15.7098</v>
      </c>
      <c r="O945" s="27">
        <f>15.7151 * CHOOSE(CONTROL!$C$32, $C$9, 100%, $E$9)</f>
        <v>15.7151</v>
      </c>
    </row>
    <row r="946" spans="1:15" ht="15" x14ac:dyDescent="0.2">
      <c r="A946" s="16">
        <v>69642</v>
      </c>
      <c r="B946" s="26">
        <f>14.0561 * CHOOSE(CONTROL!$C$32, $C$9, 100%, $E$9)</f>
        <v>14.056100000000001</v>
      </c>
      <c r="C946" s="26">
        <f>14.0561 * CHOOSE(CONTROL!$C$32, $C$9, 100%, $E$9)</f>
        <v>14.056100000000001</v>
      </c>
      <c r="D946" s="26">
        <f>14.0577 * CHOOSE(CONTROL!$C$32, $C$9, 100%, $E$9)</f>
        <v>14.057700000000001</v>
      </c>
      <c r="E946" s="27">
        <f>15.6621 * CHOOSE(CONTROL!$C$32, $C$9, 100%, $E$9)</f>
        <v>15.662100000000001</v>
      </c>
      <c r="F946" s="27">
        <f>15.6621 * CHOOSE(CONTROL!$C$32, $C$9, 100%, $E$9)</f>
        <v>15.662100000000001</v>
      </c>
      <c r="G946" s="27">
        <f>15.6674 * CHOOSE(CONTROL!$C$32, $C$9, 100%, $E$9)</f>
        <v>15.667400000000001</v>
      </c>
      <c r="H946" s="27">
        <f>32.0679 * CHOOSE(CONTROL!$C$32, $C$9, 100%, $E$9)</f>
        <v>32.067900000000002</v>
      </c>
      <c r="I946" s="27">
        <f>32.0732 * CHOOSE(CONTROL!$C$32, $C$9, 100%, $E$9)</f>
        <v>32.0732</v>
      </c>
      <c r="J946" s="27">
        <f>32.0679 * CHOOSE(CONTROL!$C$32, $C$9, 100%, $E$9)</f>
        <v>32.067900000000002</v>
      </c>
      <c r="K946" s="27">
        <f>32.0732 * CHOOSE(CONTROL!$C$32, $C$9, 100%, $E$9)</f>
        <v>32.0732</v>
      </c>
      <c r="L946" s="27">
        <f>15.6621 * CHOOSE(CONTROL!$C$32, $C$9, 100%, $E$9)</f>
        <v>15.662100000000001</v>
      </c>
      <c r="M946" s="27">
        <f>15.6674 * CHOOSE(CONTROL!$C$32, $C$9, 100%, $E$9)</f>
        <v>15.667400000000001</v>
      </c>
      <c r="N946" s="27">
        <f>15.6621 * CHOOSE(CONTROL!$C$32, $C$9, 100%, $E$9)</f>
        <v>15.662100000000001</v>
      </c>
      <c r="O946" s="27">
        <f>15.6674 * CHOOSE(CONTROL!$C$32, $C$9, 100%, $E$9)</f>
        <v>15.667400000000001</v>
      </c>
    </row>
    <row r="947" spans="1:15" ht="15" x14ac:dyDescent="0.2">
      <c r="A947" s="16">
        <v>69672</v>
      </c>
      <c r="B947" s="26">
        <f>14.0888 * CHOOSE(CONTROL!$C$32, $C$9, 100%, $E$9)</f>
        <v>14.088800000000001</v>
      </c>
      <c r="C947" s="26">
        <f>14.0888 * CHOOSE(CONTROL!$C$32, $C$9, 100%, $E$9)</f>
        <v>14.088800000000001</v>
      </c>
      <c r="D947" s="26">
        <f>14.0899 * CHOOSE(CONTROL!$C$32, $C$9, 100%, $E$9)</f>
        <v>14.0899</v>
      </c>
      <c r="E947" s="27">
        <f>15.831 * CHOOSE(CONTROL!$C$32, $C$9, 100%, $E$9)</f>
        <v>15.831</v>
      </c>
      <c r="F947" s="27">
        <f>15.831 * CHOOSE(CONTROL!$C$32, $C$9, 100%, $E$9)</f>
        <v>15.831</v>
      </c>
      <c r="G947" s="27">
        <f>15.8346 * CHOOSE(CONTROL!$C$32, $C$9, 100%, $E$9)</f>
        <v>15.8346</v>
      </c>
      <c r="H947" s="27">
        <f>32.1347 * CHOOSE(CONTROL!$C$32, $C$9, 100%, $E$9)</f>
        <v>32.134700000000002</v>
      </c>
      <c r="I947" s="27">
        <f>32.1383 * CHOOSE(CONTROL!$C$32, $C$9, 100%, $E$9)</f>
        <v>32.138300000000001</v>
      </c>
      <c r="J947" s="27">
        <f>32.1347 * CHOOSE(CONTROL!$C$32, $C$9, 100%, $E$9)</f>
        <v>32.134700000000002</v>
      </c>
      <c r="K947" s="27">
        <f>32.1383 * CHOOSE(CONTROL!$C$32, $C$9, 100%, $E$9)</f>
        <v>32.138300000000001</v>
      </c>
      <c r="L947" s="27">
        <f>15.831 * CHOOSE(CONTROL!$C$32, $C$9, 100%, $E$9)</f>
        <v>15.831</v>
      </c>
      <c r="M947" s="27">
        <f>15.8346 * CHOOSE(CONTROL!$C$32, $C$9, 100%, $E$9)</f>
        <v>15.8346</v>
      </c>
      <c r="N947" s="27">
        <f>15.831 * CHOOSE(CONTROL!$C$32, $C$9, 100%, $E$9)</f>
        <v>15.831</v>
      </c>
      <c r="O947" s="27">
        <f>15.8346 * CHOOSE(CONTROL!$C$32, $C$9, 100%, $E$9)</f>
        <v>15.8346</v>
      </c>
    </row>
    <row r="948" spans="1:15" ht="15" x14ac:dyDescent="0.2">
      <c r="A948" s="16">
        <v>69703</v>
      </c>
      <c r="B948" s="26">
        <f>14.0918 * CHOOSE(CONTROL!$C$32, $C$9, 100%, $E$9)</f>
        <v>14.091799999999999</v>
      </c>
      <c r="C948" s="26">
        <f>14.0918 * CHOOSE(CONTROL!$C$32, $C$9, 100%, $E$9)</f>
        <v>14.091799999999999</v>
      </c>
      <c r="D948" s="26">
        <f>14.0929 * CHOOSE(CONTROL!$C$32, $C$9, 100%, $E$9)</f>
        <v>14.0929</v>
      </c>
      <c r="E948" s="27">
        <f>15.9243 * CHOOSE(CONTROL!$C$32, $C$9, 100%, $E$9)</f>
        <v>15.924300000000001</v>
      </c>
      <c r="F948" s="27">
        <f>15.9243 * CHOOSE(CONTROL!$C$32, $C$9, 100%, $E$9)</f>
        <v>15.924300000000001</v>
      </c>
      <c r="G948" s="27">
        <f>15.9279 * CHOOSE(CONTROL!$C$32, $C$9, 100%, $E$9)</f>
        <v>15.927899999999999</v>
      </c>
      <c r="H948" s="27">
        <f>32.2017 * CHOOSE(CONTROL!$C$32, $C$9, 100%, $E$9)</f>
        <v>32.201700000000002</v>
      </c>
      <c r="I948" s="27">
        <f>32.2053 * CHOOSE(CONTROL!$C$32, $C$9, 100%, $E$9)</f>
        <v>32.205300000000001</v>
      </c>
      <c r="J948" s="27">
        <f>32.2017 * CHOOSE(CONTROL!$C$32, $C$9, 100%, $E$9)</f>
        <v>32.201700000000002</v>
      </c>
      <c r="K948" s="27">
        <f>32.2053 * CHOOSE(CONTROL!$C$32, $C$9, 100%, $E$9)</f>
        <v>32.205300000000001</v>
      </c>
      <c r="L948" s="27">
        <f>15.9243 * CHOOSE(CONTROL!$C$32, $C$9, 100%, $E$9)</f>
        <v>15.924300000000001</v>
      </c>
      <c r="M948" s="27">
        <f>15.9279 * CHOOSE(CONTROL!$C$32, $C$9, 100%, $E$9)</f>
        <v>15.927899999999999</v>
      </c>
      <c r="N948" s="27">
        <f>15.9243 * CHOOSE(CONTROL!$C$32, $C$9, 100%, $E$9)</f>
        <v>15.924300000000001</v>
      </c>
      <c r="O948" s="27">
        <f>15.9279 * CHOOSE(CONTROL!$C$32, $C$9, 100%, $E$9)</f>
        <v>15.927899999999999</v>
      </c>
    </row>
    <row r="949" spans="1:15" ht="15" x14ac:dyDescent="0.2">
      <c r="A949" s="16">
        <v>69733</v>
      </c>
      <c r="B949" s="26">
        <f>14.0918 * CHOOSE(CONTROL!$C$32, $C$9, 100%, $E$9)</f>
        <v>14.091799999999999</v>
      </c>
      <c r="C949" s="26">
        <f>14.0918 * CHOOSE(CONTROL!$C$32, $C$9, 100%, $E$9)</f>
        <v>14.091799999999999</v>
      </c>
      <c r="D949" s="26">
        <f>14.0929 * CHOOSE(CONTROL!$C$32, $C$9, 100%, $E$9)</f>
        <v>14.0929</v>
      </c>
      <c r="E949" s="27">
        <f>15.6964 * CHOOSE(CONTROL!$C$32, $C$9, 100%, $E$9)</f>
        <v>15.696400000000001</v>
      </c>
      <c r="F949" s="27">
        <f>15.6964 * CHOOSE(CONTROL!$C$32, $C$9, 100%, $E$9)</f>
        <v>15.696400000000001</v>
      </c>
      <c r="G949" s="27">
        <f>15.7 * CHOOSE(CONTROL!$C$32, $C$9, 100%, $E$9)</f>
        <v>15.7</v>
      </c>
      <c r="H949" s="27">
        <f>32.2687 * CHOOSE(CONTROL!$C$32, $C$9, 100%, $E$9)</f>
        <v>32.268700000000003</v>
      </c>
      <c r="I949" s="27">
        <f>32.2724 * CHOOSE(CONTROL!$C$32, $C$9, 100%, $E$9)</f>
        <v>32.272399999999998</v>
      </c>
      <c r="J949" s="27">
        <f>32.2687 * CHOOSE(CONTROL!$C$32, $C$9, 100%, $E$9)</f>
        <v>32.268700000000003</v>
      </c>
      <c r="K949" s="27">
        <f>32.2724 * CHOOSE(CONTROL!$C$32, $C$9, 100%, $E$9)</f>
        <v>32.272399999999998</v>
      </c>
      <c r="L949" s="27">
        <f>15.6964 * CHOOSE(CONTROL!$C$32, $C$9, 100%, $E$9)</f>
        <v>15.696400000000001</v>
      </c>
      <c r="M949" s="27">
        <f>15.7 * CHOOSE(CONTROL!$C$32, $C$9, 100%, $E$9)</f>
        <v>15.7</v>
      </c>
      <c r="N949" s="27">
        <f>15.6964 * CHOOSE(CONTROL!$C$32, $C$9, 100%, $E$9)</f>
        <v>15.696400000000001</v>
      </c>
      <c r="O949" s="27">
        <f>15.7 * CHOOSE(CONTROL!$C$32, $C$9, 100%, $E$9)</f>
        <v>15.7</v>
      </c>
    </row>
    <row r="950" spans="1:15" ht="15" x14ac:dyDescent="0.2">
      <c r="A950" s="16">
        <v>69764</v>
      </c>
      <c r="B950" s="26">
        <f>14.0656 * CHOOSE(CONTROL!$C$32, $C$9, 100%, $E$9)</f>
        <v>14.0656</v>
      </c>
      <c r="C950" s="26">
        <f>14.0656 * CHOOSE(CONTROL!$C$32, $C$9, 100%, $E$9)</f>
        <v>14.0656</v>
      </c>
      <c r="D950" s="26">
        <f>14.0667 * CHOOSE(CONTROL!$C$32, $C$9, 100%, $E$9)</f>
        <v>14.066700000000001</v>
      </c>
      <c r="E950" s="27">
        <f>15.8331 * CHOOSE(CONTROL!$C$32, $C$9, 100%, $E$9)</f>
        <v>15.8331</v>
      </c>
      <c r="F950" s="27">
        <f>15.8331 * CHOOSE(CONTROL!$C$32, $C$9, 100%, $E$9)</f>
        <v>15.8331</v>
      </c>
      <c r="G950" s="27">
        <f>15.8367 * CHOOSE(CONTROL!$C$32, $C$9, 100%, $E$9)</f>
        <v>15.8367</v>
      </c>
      <c r="H950" s="27">
        <f>31.9919 * CHOOSE(CONTROL!$C$32, $C$9, 100%, $E$9)</f>
        <v>31.991900000000001</v>
      </c>
      <c r="I950" s="27">
        <f>31.9955 * CHOOSE(CONTROL!$C$32, $C$9, 100%, $E$9)</f>
        <v>31.9955</v>
      </c>
      <c r="J950" s="27">
        <f>31.9919 * CHOOSE(CONTROL!$C$32, $C$9, 100%, $E$9)</f>
        <v>31.991900000000001</v>
      </c>
      <c r="K950" s="27">
        <f>31.9955 * CHOOSE(CONTROL!$C$32, $C$9, 100%, $E$9)</f>
        <v>31.9955</v>
      </c>
      <c r="L950" s="27">
        <f>15.8331 * CHOOSE(CONTROL!$C$32, $C$9, 100%, $E$9)</f>
        <v>15.8331</v>
      </c>
      <c r="M950" s="27">
        <f>15.8367 * CHOOSE(CONTROL!$C$32, $C$9, 100%, $E$9)</f>
        <v>15.8367</v>
      </c>
      <c r="N950" s="27">
        <f>15.8331 * CHOOSE(CONTROL!$C$32, $C$9, 100%, $E$9)</f>
        <v>15.8331</v>
      </c>
      <c r="O950" s="27">
        <f>15.8367 * CHOOSE(CONTROL!$C$32, $C$9, 100%, $E$9)</f>
        <v>15.8367</v>
      </c>
    </row>
    <row r="951" spans="1:15" ht="15" x14ac:dyDescent="0.2">
      <c r="A951" s="16">
        <v>69795</v>
      </c>
      <c r="B951" s="26">
        <f>14.0626 * CHOOSE(CONTROL!$C$32, $C$9, 100%, $E$9)</f>
        <v>14.0626</v>
      </c>
      <c r="C951" s="26">
        <f>14.0626 * CHOOSE(CONTROL!$C$32, $C$9, 100%, $E$9)</f>
        <v>14.0626</v>
      </c>
      <c r="D951" s="26">
        <f>14.0636 * CHOOSE(CONTROL!$C$32, $C$9, 100%, $E$9)</f>
        <v>14.063599999999999</v>
      </c>
      <c r="E951" s="27">
        <f>15.3933 * CHOOSE(CONTROL!$C$32, $C$9, 100%, $E$9)</f>
        <v>15.3933</v>
      </c>
      <c r="F951" s="27">
        <f>15.3933 * CHOOSE(CONTROL!$C$32, $C$9, 100%, $E$9)</f>
        <v>15.3933</v>
      </c>
      <c r="G951" s="27">
        <f>15.3969 * CHOOSE(CONTROL!$C$32, $C$9, 100%, $E$9)</f>
        <v>15.3969</v>
      </c>
      <c r="H951" s="27">
        <f>32.0586 * CHOOSE(CONTROL!$C$32, $C$9, 100%, $E$9)</f>
        <v>32.058599999999998</v>
      </c>
      <c r="I951" s="27">
        <f>32.0622 * CHOOSE(CONTROL!$C$32, $C$9, 100%, $E$9)</f>
        <v>32.062199999999997</v>
      </c>
      <c r="J951" s="27">
        <f>32.0586 * CHOOSE(CONTROL!$C$32, $C$9, 100%, $E$9)</f>
        <v>32.058599999999998</v>
      </c>
      <c r="K951" s="27">
        <f>32.0622 * CHOOSE(CONTROL!$C$32, $C$9, 100%, $E$9)</f>
        <v>32.062199999999997</v>
      </c>
      <c r="L951" s="27">
        <f>15.3933 * CHOOSE(CONTROL!$C$32, $C$9, 100%, $E$9)</f>
        <v>15.3933</v>
      </c>
      <c r="M951" s="27">
        <f>15.3969 * CHOOSE(CONTROL!$C$32, $C$9, 100%, $E$9)</f>
        <v>15.3969</v>
      </c>
      <c r="N951" s="27">
        <f>15.3933 * CHOOSE(CONTROL!$C$32, $C$9, 100%, $E$9)</f>
        <v>15.3933</v>
      </c>
      <c r="O951" s="27">
        <f>15.3969 * CHOOSE(CONTROL!$C$32, $C$9, 100%, $E$9)</f>
        <v>15.3969</v>
      </c>
    </row>
    <row r="952" spans="1:15" ht="15" x14ac:dyDescent="0.2">
      <c r="A952" s="16">
        <v>69823</v>
      </c>
      <c r="B952" s="26">
        <f>14.0595 * CHOOSE(CONTROL!$C$32, $C$9, 100%, $E$9)</f>
        <v>14.0595</v>
      </c>
      <c r="C952" s="26">
        <f>14.0595 * CHOOSE(CONTROL!$C$32, $C$9, 100%, $E$9)</f>
        <v>14.0595</v>
      </c>
      <c r="D952" s="26">
        <f>14.0606 * CHOOSE(CONTROL!$C$32, $C$9, 100%, $E$9)</f>
        <v>14.060600000000001</v>
      </c>
      <c r="E952" s="27">
        <f>15.7362 * CHOOSE(CONTROL!$C$32, $C$9, 100%, $E$9)</f>
        <v>15.7362</v>
      </c>
      <c r="F952" s="27">
        <f>15.7362 * CHOOSE(CONTROL!$C$32, $C$9, 100%, $E$9)</f>
        <v>15.7362</v>
      </c>
      <c r="G952" s="27">
        <f>15.7398 * CHOOSE(CONTROL!$C$32, $C$9, 100%, $E$9)</f>
        <v>15.739800000000001</v>
      </c>
      <c r="H952" s="27">
        <f>32.1254 * CHOOSE(CONTROL!$C$32, $C$9, 100%, $E$9)</f>
        <v>32.125399999999999</v>
      </c>
      <c r="I952" s="27">
        <f>32.129 * CHOOSE(CONTROL!$C$32, $C$9, 100%, $E$9)</f>
        <v>32.128999999999998</v>
      </c>
      <c r="J952" s="27">
        <f>32.1254 * CHOOSE(CONTROL!$C$32, $C$9, 100%, $E$9)</f>
        <v>32.125399999999999</v>
      </c>
      <c r="K952" s="27">
        <f>32.129 * CHOOSE(CONTROL!$C$32, $C$9, 100%, $E$9)</f>
        <v>32.128999999999998</v>
      </c>
      <c r="L952" s="27">
        <f>15.7362 * CHOOSE(CONTROL!$C$32, $C$9, 100%, $E$9)</f>
        <v>15.7362</v>
      </c>
      <c r="M952" s="27">
        <f>15.7398 * CHOOSE(CONTROL!$C$32, $C$9, 100%, $E$9)</f>
        <v>15.739800000000001</v>
      </c>
      <c r="N952" s="27">
        <f>15.7362 * CHOOSE(CONTROL!$C$32, $C$9, 100%, $E$9)</f>
        <v>15.7362</v>
      </c>
      <c r="O952" s="27">
        <f>15.7398 * CHOOSE(CONTROL!$C$32, $C$9, 100%, $E$9)</f>
        <v>15.739800000000001</v>
      </c>
    </row>
    <row r="953" spans="1:15" ht="15" x14ac:dyDescent="0.2">
      <c r="A953" s="16">
        <v>69854</v>
      </c>
      <c r="B953" s="26">
        <f>14.0669 * CHOOSE(CONTROL!$C$32, $C$9, 100%, $E$9)</f>
        <v>14.0669</v>
      </c>
      <c r="C953" s="26">
        <f>14.0669 * CHOOSE(CONTROL!$C$32, $C$9, 100%, $E$9)</f>
        <v>14.0669</v>
      </c>
      <c r="D953" s="26">
        <f>14.068 * CHOOSE(CONTROL!$C$32, $C$9, 100%, $E$9)</f>
        <v>14.068</v>
      </c>
      <c r="E953" s="27">
        <f>16.1026 * CHOOSE(CONTROL!$C$32, $C$9, 100%, $E$9)</f>
        <v>16.102599999999999</v>
      </c>
      <c r="F953" s="27">
        <f>16.1026 * CHOOSE(CONTROL!$C$32, $C$9, 100%, $E$9)</f>
        <v>16.102599999999999</v>
      </c>
      <c r="G953" s="27">
        <f>16.1062 * CHOOSE(CONTROL!$C$32, $C$9, 100%, $E$9)</f>
        <v>16.106200000000001</v>
      </c>
      <c r="H953" s="27">
        <f>32.1923 * CHOOSE(CONTROL!$C$32, $C$9, 100%, $E$9)</f>
        <v>32.192300000000003</v>
      </c>
      <c r="I953" s="27">
        <f>32.1959 * CHOOSE(CONTROL!$C$32, $C$9, 100%, $E$9)</f>
        <v>32.195900000000002</v>
      </c>
      <c r="J953" s="27">
        <f>32.1923 * CHOOSE(CONTROL!$C$32, $C$9, 100%, $E$9)</f>
        <v>32.192300000000003</v>
      </c>
      <c r="K953" s="27">
        <f>32.1959 * CHOOSE(CONTROL!$C$32, $C$9, 100%, $E$9)</f>
        <v>32.195900000000002</v>
      </c>
      <c r="L953" s="27">
        <f>16.1026 * CHOOSE(CONTROL!$C$32, $C$9, 100%, $E$9)</f>
        <v>16.102599999999999</v>
      </c>
      <c r="M953" s="27">
        <f>16.1062 * CHOOSE(CONTROL!$C$32, $C$9, 100%, $E$9)</f>
        <v>16.106200000000001</v>
      </c>
      <c r="N953" s="27">
        <f>16.1026 * CHOOSE(CONTROL!$C$32, $C$9, 100%, $E$9)</f>
        <v>16.102599999999999</v>
      </c>
      <c r="O953" s="27">
        <f>16.1062 * CHOOSE(CONTROL!$C$32, $C$9, 100%, $E$9)</f>
        <v>16.106200000000001</v>
      </c>
    </row>
    <row r="954" spans="1:15" ht="15" x14ac:dyDescent="0.2">
      <c r="A954" s="16">
        <v>69884</v>
      </c>
      <c r="B954" s="26">
        <f>14.0669 * CHOOSE(CONTROL!$C$32, $C$9, 100%, $E$9)</f>
        <v>14.0669</v>
      </c>
      <c r="C954" s="26">
        <f>14.0669 * CHOOSE(CONTROL!$C$32, $C$9, 100%, $E$9)</f>
        <v>14.0669</v>
      </c>
      <c r="D954" s="26">
        <f>14.0685 * CHOOSE(CONTROL!$C$32, $C$9, 100%, $E$9)</f>
        <v>14.0685</v>
      </c>
      <c r="E954" s="27">
        <f>16.2415 * CHOOSE(CONTROL!$C$32, $C$9, 100%, $E$9)</f>
        <v>16.241499999999998</v>
      </c>
      <c r="F954" s="27">
        <f>16.2415 * CHOOSE(CONTROL!$C$32, $C$9, 100%, $E$9)</f>
        <v>16.241499999999998</v>
      </c>
      <c r="G954" s="27">
        <f>16.2468 * CHOOSE(CONTROL!$C$32, $C$9, 100%, $E$9)</f>
        <v>16.2468</v>
      </c>
      <c r="H954" s="27">
        <f>32.2594 * CHOOSE(CONTROL!$C$32, $C$9, 100%, $E$9)</f>
        <v>32.259399999999999</v>
      </c>
      <c r="I954" s="27">
        <f>32.2646 * CHOOSE(CONTROL!$C$32, $C$9, 100%, $E$9)</f>
        <v>32.264600000000002</v>
      </c>
      <c r="J954" s="27">
        <f>32.2594 * CHOOSE(CONTROL!$C$32, $C$9, 100%, $E$9)</f>
        <v>32.259399999999999</v>
      </c>
      <c r="K954" s="27">
        <f>32.2646 * CHOOSE(CONTROL!$C$32, $C$9, 100%, $E$9)</f>
        <v>32.264600000000002</v>
      </c>
      <c r="L954" s="27">
        <f>16.2415 * CHOOSE(CONTROL!$C$32, $C$9, 100%, $E$9)</f>
        <v>16.241499999999998</v>
      </c>
      <c r="M954" s="27">
        <f>16.2468 * CHOOSE(CONTROL!$C$32, $C$9, 100%, $E$9)</f>
        <v>16.2468</v>
      </c>
      <c r="N954" s="27">
        <f>16.2415 * CHOOSE(CONTROL!$C$32, $C$9, 100%, $E$9)</f>
        <v>16.241499999999998</v>
      </c>
      <c r="O954" s="27">
        <f>16.2468 * CHOOSE(CONTROL!$C$32, $C$9, 100%, $E$9)</f>
        <v>16.2468</v>
      </c>
    </row>
    <row r="955" spans="1:15" ht="15" x14ac:dyDescent="0.2">
      <c r="A955" s="16">
        <v>69915</v>
      </c>
      <c r="B955" s="26">
        <f>14.073 * CHOOSE(CONTROL!$C$32, $C$9, 100%, $E$9)</f>
        <v>14.073</v>
      </c>
      <c r="C955" s="26">
        <f>14.073 * CHOOSE(CONTROL!$C$32, $C$9, 100%, $E$9)</f>
        <v>14.073</v>
      </c>
      <c r="D955" s="26">
        <f>14.0746 * CHOOSE(CONTROL!$C$32, $C$9, 100%, $E$9)</f>
        <v>14.0746</v>
      </c>
      <c r="E955" s="27">
        <f>16.1068 * CHOOSE(CONTROL!$C$32, $C$9, 100%, $E$9)</f>
        <v>16.1068</v>
      </c>
      <c r="F955" s="27">
        <f>16.1068 * CHOOSE(CONTROL!$C$32, $C$9, 100%, $E$9)</f>
        <v>16.1068</v>
      </c>
      <c r="G955" s="27">
        <f>16.1121 * CHOOSE(CONTROL!$C$32, $C$9, 100%, $E$9)</f>
        <v>16.112100000000002</v>
      </c>
      <c r="H955" s="27">
        <f>32.3266 * CHOOSE(CONTROL!$C$32, $C$9, 100%, $E$9)</f>
        <v>32.326599999999999</v>
      </c>
      <c r="I955" s="27">
        <f>32.3319 * CHOOSE(CONTROL!$C$32, $C$9, 100%, $E$9)</f>
        <v>32.331899999999997</v>
      </c>
      <c r="J955" s="27">
        <f>32.3266 * CHOOSE(CONTROL!$C$32, $C$9, 100%, $E$9)</f>
        <v>32.326599999999999</v>
      </c>
      <c r="K955" s="27">
        <f>32.3319 * CHOOSE(CONTROL!$C$32, $C$9, 100%, $E$9)</f>
        <v>32.331899999999997</v>
      </c>
      <c r="L955" s="27">
        <f>16.1068 * CHOOSE(CONTROL!$C$32, $C$9, 100%, $E$9)</f>
        <v>16.1068</v>
      </c>
      <c r="M955" s="27">
        <f>16.1121 * CHOOSE(CONTROL!$C$32, $C$9, 100%, $E$9)</f>
        <v>16.112100000000002</v>
      </c>
      <c r="N955" s="27">
        <f>16.1068 * CHOOSE(CONTROL!$C$32, $C$9, 100%, $E$9)</f>
        <v>16.1068</v>
      </c>
      <c r="O955" s="27">
        <f>16.1121 * CHOOSE(CONTROL!$C$32, $C$9, 100%, $E$9)</f>
        <v>16.112100000000002</v>
      </c>
    </row>
    <row r="956" spans="1:15" ht="15" x14ac:dyDescent="0.2">
      <c r="A956" s="16">
        <v>69945</v>
      </c>
      <c r="B956" s="26">
        <f>14.2421 * CHOOSE(CONTROL!$C$32, $C$9, 100%, $E$9)</f>
        <v>14.242100000000001</v>
      </c>
      <c r="C956" s="26">
        <f>14.2421 * CHOOSE(CONTROL!$C$32, $C$9, 100%, $E$9)</f>
        <v>14.242100000000001</v>
      </c>
      <c r="D956" s="26">
        <f>14.2436 * CHOOSE(CONTROL!$C$32, $C$9, 100%, $E$9)</f>
        <v>14.243600000000001</v>
      </c>
      <c r="E956" s="27">
        <f>16.3355 * CHOOSE(CONTROL!$C$32, $C$9, 100%, $E$9)</f>
        <v>16.3355</v>
      </c>
      <c r="F956" s="27">
        <f>16.3355 * CHOOSE(CONTROL!$C$32, $C$9, 100%, $E$9)</f>
        <v>16.3355</v>
      </c>
      <c r="G956" s="27">
        <f>16.3408 * CHOOSE(CONTROL!$C$32, $C$9, 100%, $E$9)</f>
        <v>16.340800000000002</v>
      </c>
      <c r="H956" s="27">
        <f>32.3939 * CHOOSE(CONTROL!$C$32, $C$9, 100%, $E$9)</f>
        <v>32.393900000000002</v>
      </c>
      <c r="I956" s="27">
        <f>32.3992 * CHOOSE(CONTROL!$C$32, $C$9, 100%, $E$9)</f>
        <v>32.3992</v>
      </c>
      <c r="J956" s="27">
        <f>32.3939 * CHOOSE(CONTROL!$C$32, $C$9, 100%, $E$9)</f>
        <v>32.393900000000002</v>
      </c>
      <c r="K956" s="27">
        <f>32.3992 * CHOOSE(CONTROL!$C$32, $C$9, 100%, $E$9)</f>
        <v>32.3992</v>
      </c>
      <c r="L956" s="27">
        <f>16.3355 * CHOOSE(CONTROL!$C$32, $C$9, 100%, $E$9)</f>
        <v>16.3355</v>
      </c>
      <c r="M956" s="27">
        <f>16.3408 * CHOOSE(CONTROL!$C$32, $C$9, 100%, $E$9)</f>
        <v>16.340800000000002</v>
      </c>
      <c r="N956" s="27">
        <f>16.3355 * CHOOSE(CONTROL!$C$32, $C$9, 100%, $E$9)</f>
        <v>16.3355</v>
      </c>
      <c r="O956" s="27">
        <f>16.3408 * CHOOSE(CONTROL!$C$32, $C$9, 100%, $E$9)</f>
        <v>16.340800000000002</v>
      </c>
    </row>
    <row r="957" spans="1:15" ht="15" x14ac:dyDescent="0.2">
      <c r="A957" s="16">
        <v>69976</v>
      </c>
      <c r="B957" s="26">
        <f>14.2488 * CHOOSE(CONTROL!$C$32, $C$9, 100%, $E$9)</f>
        <v>14.248799999999999</v>
      </c>
      <c r="C957" s="26">
        <f>14.2488 * CHOOSE(CONTROL!$C$32, $C$9, 100%, $E$9)</f>
        <v>14.248799999999999</v>
      </c>
      <c r="D957" s="26">
        <f>14.2503 * CHOOSE(CONTROL!$C$32, $C$9, 100%, $E$9)</f>
        <v>14.250299999999999</v>
      </c>
      <c r="E957" s="27">
        <f>15.9232 * CHOOSE(CONTROL!$C$32, $C$9, 100%, $E$9)</f>
        <v>15.9232</v>
      </c>
      <c r="F957" s="27">
        <f>15.9232 * CHOOSE(CONTROL!$C$32, $C$9, 100%, $E$9)</f>
        <v>15.9232</v>
      </c>
      <c r="G957" s="27">
        <f>15.9285 * CHOOSE(CONTROL!$C$32, $C$9, 100%, $E$9)</f>
        <v>15.9285</v>
      </c>
      <c r="H957" s="27">
        <f>32.4614 * CHOOSE(CONTROL!$C$32, $C$9, 100%, $E$9)</f>
        <v>32.461399999999998</v>
      </c>
      <c r="I957" s="27">
        <f>32.4667 * CHOOSE(CONTROL!$C$32, $C$9, 100%, $E$9)</f>
        <v>32.466700000000003</v>
      </c>
      <c r="J957" s="27">
        <f>32.4614 * CHOOSE(CONTROL!$C$32, $C$9, 100%, $E$9)</f>
        <v>32.461399999999998</v>
      </c>
      <c r="K957" s="27">
        <f>32.4667 * CHOOSE(CONTROL!$C$32, $C$9, 100%, $E$9)</f>
        <v>32.466700000000003</v>
      </c>
      <c r="L957" s="27">
        <f>15.9232 * CHOOSE(CONTROL!$C$32, $C$9, 100%, $E$9)</f>
        <v>15.9232</v>
      </c>
      <c r="M957" s="27">
        <f>15.9285 * CHOOSE(CONTROL!$C$32, $C$9, 100%, $E$9)</f>
        <v>15.9285</v>
      </c>
      <c r="N957" s="27">
        <f>15.9232 * CHOOSE(CONTROL!$C$32, $C$9, 100%, $E$9)</f>
        <v>15.9232</v>
      </c>
      <c r="O957" s="27">
        <f>15.9285 * CHOOSE(CONTROL!$C$32, $C$9, 100%, $E$9)</f>
        <v>15.9285</v>
      </c>
    </row>
    <row r="958" spans="1:15" ht="15" x14ac:dyDescent="0.2">
      <c r="A958" s="16">
        <v>70007</v>
      </c>
      <c r="B958" s="26">
        <f>14.2457 * CHOOSE(CONTROL!$C$32, $C$9, 100%, $E$9)</f>
        <v>14.245699999999999</v>
      </c>
      <c r="C958" s="26">
        <f>14.2457 * CHOOSE(CONTROL!$C$32, $C$9, 100%, $E$9)</f>
        <v>14.245699999999999</v>
      </c>
      <c r="D958" s="26">
        <f>14.2473 * CHOOSE(CONTROL!$C$32, $C$9, 100%, $E$9)</f>
        <v>14.247299999999999</v>
      </c>
      <c r="E958" s="27">
        <f>15.8748 * CHOOSE(CONTROL!$C$32, $C$9, 100%, $E$9)</f>
        <v>15.8748</v>
      </c>
      <c r="F958" s="27">
        <f>15.8748 * CHOOSE(CONTROL!$C$32, $C$9, 100%, $E$9)</f>
        <v>15.8748</v>
      </c>
      <c r="G958" s="27">
        <f>15.8801 * CHOOSE(CONTROL!$C$32, $C$9, 100%, $E$9)</f>
        <v>15.880100000000001</v>
      </c>
      <c r="H958" s="27">
        <f>32.529 * CHOOSE(CONTROL!$C$32, $C$9, 100%, $E$9)</f>
        <v>32.529000000000003</v>
      </c>
      <c r="I958" s="27">
        <f>32.5343 * CHOOSE(CONTROL!$C$32, $C$9, 100%, $E$9)</f>
        <v>32.534300000000002</v>
      </c>
      <c r="J958" s="27">
        <f>32.529 * CHOOSE(CONTROL!$C$32, $C$9, 100%, $E$9)</f>
        <v>32.529000000000003</v>
      </c>
      <c r="K958" s="27">
        <f>32.5343 * CHOOSE(CONTROL!$C$32, $C$9, 100%, $E$9)</f>
        <v>32.534300000000002</v>
      </c>
      <c r="L958" s="27">
        <f>15.8748 * CHOOSE(CONTROL!$C$32, $C$9, 100%, $E$9)</f>
        <v>15.8748</v>
      </c>
      <c r="M958" s="27">
        <f>15.8801 * CHOOSE(CONTROL!$C$32, $C$9, 100%, $E$9)</f>
        <v>15.880100000000001</v>
      </c>
      <c r="N958" s="27">
        <f>15.8748 * CHOOSE(CONTROL!$C$32, $C$9, 100%, $E$9)</f>
        <v>15.8748</v>
      </c>
      <c r="O958" s="27">
        <f>15.8801 * CHOOSE(CONTROL!$C$32, $C$9, 100%, $E$9)</f>
        <v>15.880100000000001</v>
      </c>
    </row>
    <row r="959" spans="1:15" ht="15" x14ac:dyDescent="0.2">
      <c r="A959" s="16">
        <v>70037</v>
      </c>
      <c r="B959" s="26">
        <f>14.2791 * CHOOSE(CONTROL!$C$32, $C$9, 100%, $E$9)</f>
        <v>14.2791</v>
      </c>
      <c r="C959" s="26">
        <f>14.2791 * CHOOSE(CONTROL!$C$32, $C$9, 100%, $E$9)</f>
        <v>14.2791</v>
      </c>
      <c r="D959" s="26">
        <f>14.2802 * CHOOSE(CONTROL!$C$32, $C$9, 100%, $E$9)</f>
        <v>14.280200000000001</v>
      </c>
      <c r="E959" s="27">
        <f>16.0467 * CHOOSE(CONTROL!$C$32, $C$9, 100%, $E$9)</f>
        <v>16.046700000000001</v>
      </c>
      <c r="F959" s="27">
        <f>16.0467 * CHOOSE(CONTROL!$C$32, $C$9, 100%, $E$9)</f>
        <v>16.046700000000001</v>
      </c>
      <c r="G959" s="27">
        <f>16.0503 * CHOOSE(CONTROL!$C$32, $C$9, 100%, $E$9)</f>
        <v>16.0503</v>
      </c>
      <c r="H959" s="27">
        <f>32.5968 * CHOOSE(CONTROL!$C$32, $C$9, 100%, $E$9)</f>
        <v>32.596800000000002</v>
      </c>
      <c r="I959" s="27">
        <f>32.6004 * CHOOSE(CONTROL!$C$32, $C$9, 100%, $E$9)</f>
        <v>32.6004</v>
      </c>
      <c r="J959" s="27">
        <f>32.5968 * CHOOSE(CONTROL!$C$32, $C$9, 100%, $E$9)</f>
        <v>32.596800000000002</v>
      </c>
      <c r="K959" s="27">
        <f>32.6004 * CHOOSE(CONTROL!$C$32, $C$9, 100%, $E$9)</f>
        <v>32.6004</v>
      </c>
      <c r="L959" s="27">
        <f>16.0467 * CHOOSE(CONTROL!$C$32, $C$9, 100%, $E$9)</f>
        <v>16.046700000000001</v>
      </c>
      <c r="M959" s="27">
        <f>16.0503 * CHOOSE(CONTROL!$C$32, $C$9, 100%, $E$9)</f>
        <v>16.0503</v>
      </c>
      <c r="N959" s="27">
        <f>16.0467 * CHOOSE(CONTROL!$C$32, $C$9, 100%, $E$9)</f>
        <v>16.046700000000001</v>
      </c>
      <c r="O959" s="27">
        <f>16.0503 * CHOOSE(CONTROL!$C$32, $C$9, 100%, $E$9)</f>
        <v>16.0503</v>
      </c>
    </row>
    <row r="960" spans="1:15" ht="15" x14ac:dyDescent="0.2">
      <c r="A960" s="16">
        <v>70068</v>
      </c>
      <c r="B960" s="26">
        <f>14.2821 * CHOOSE(CONTROL!$C$32, $C$9, 100%, $E$9)</f>
        <v>14.2821</v>
      </c>
      <c r="C960" s="26">
        <f>14.2821 * CHOOSE(CONTROL!$C$32, $C$9, 100%, $E$9)</f>
        <v>14.2821</v>
      </c>
      <c r="D960" s="26">
        <f>14.2832 * CHOOSE(CONTROL!$C$32, $C$9, 100%, $E$9)</f>
        <v>14.283200000000001</v>
      </c>
      <c r="E960" s="27">
        <f>16.1414 * CHOOSE(CONTROL!$C$32, $C$9, 100%, $E$9)</f>
        <v>16.141400000000001</v>
      </c>
      <c r="F960" s="27">
        <f>16.1414 * CHOOSE(CONTROL!$C$32, $C$9, 100%, $E$9)</f>
        <v>16.141400000000001</v>
      </c>
      <c r="G960" s="27">
        <f>16.1451 * CHOOSE(CONTROL!$C$32, $C$9, 100%, $E$9)</f>
        <v>16.145099999999999</v>
      </c>
      <c r="H960" s="27">
        <f>32.6647 * CHOOSE(CONTROL!$C$32, $C$9, 100%, $E$9)</f>
        <v>32.664700000000003</v>
      </c>
      <c r="I960" s="27">
        <f>32.6683 * CHOOSE(CONTROL!$C$32, $C$9, 100%, $E$9)</f>
        <v>32.668300000000002</v>
      </c>
      <c r="J960" s="27">
        <f>32.6647 * CHOOSE(CONTROL!$C$32, $C$9, 100%, $E$9)</f>
        <v>32.664700000000003</v>
      </c>
      <c r="K960" s="27">
        <f>32.6683 * CHOOSE(CONTROL!$C$32, $C$9, 100%, $E$9)</f>
        <v>32.668300000000002</v>
      </c>
      <c r="L960" s="27">
        <f>16.1414 * CHOOSE(CONTROL!$C$32, $C$9, 100%, $E$9)</f>
        <v>16.141400000000001</v>
      </c>
      <c r="M960" s="27">
        <f>16.1451 * CHOOSE(CONTROL!$C$32, $C$9, 100%, $E$9)</f>
        <v>16.145099999999999</v>
      </c>
      <c r="N960" s="27">
        <f>16.1414 * CHOOSE(CONTROL!$C$32, $C$9, 100%, $E$9)</f>
        <v>16.141400000000001</v>
      </c>
      <c r="O960" s="27">
        <f>16.1451 * CHOOSE(CONTROL!$C$32, $C$9, 100%, $E$9)</f>
        <v>16.145099999999999</v>
      </c>
    </row>
    <row r="961" spans="1:15" ht="15" x14ac:dyDescent="0.2">
      <c r="A961" s="16">
        <v>70098</v>
      </c>
      <c r="B961" s="26">
        <f>14.2821 * CHOOSE(CONTROL!$C$32, $C$9, 100%, $E$9)</f>
        <v>14.2821</v>
      </c>
      <c r="C961" s="26">
        <f>14.2821 * CHOOSE(CONTROL!$C$32, $C$9, 100%, $E$9)</f>
        <v>14.2821</v>
      </c>
      <c r="D961" s="26">
        <f>14.2832 * CHOOSE(CONTROL!$C$32, $C$9, 100%, $E$9)</f>
        <v>14.283200000000001</v>
      </c>
      <c r="E961" s="27">
        <f>15.9098 * CHOOSE(CONTROL!$C$32, $C$9, 100%, $E$9)</f>
        <v>15.909800000000001</v>
      </c>
      <c r="F961" s="27">
        <f>15.9098 * CHOOSE(CONTROL!$C$32, $C$9, 100%, $E$9)</f>
        <v>15.909800000000001</v>
      </c>
      <c r="G961" s="27">
        <f>15.9134 * CHOOSE(CONTROL!$C$32, $C$9, 100%, $E$9)</f>
        <v>15.913399999999999</v>
      </c>
      <c r="H961" s="27">
        <f>32.7328 * CHOOSE(CONTROL!$C$32, $C$9, 100%, $E$9)</f>
        <v>32.732799999999997</v>
      </c>
      <c r="I961" s="27">
        <f>32.7364 * CHOOSE(CONTROL!$C$32, $C$9, 100%, $E$9)</f>
        <v>32.736400000000003</v>
      </c>
      <c r="J961" s="27">
        <f>32.7328 * CHOOSE(CONTROL!$C$32, $C$9, 100%, $E$9)</f>
        <v>32.732799999999997</v>
      </c>
      <c r="K961" s="27">
        <f>32.7364 * CHOOSE(CONTROL!$C$32, $C$9, 100%, $E$9)</f>
        <v>32.736400000000003</v>
      </c>
      <c r="L961" s="27">
        <f>15.9098 * CHOOSE(CONTROL!$C$32, $C$9, 100%, $E$9)</f>
        <v>15.909800000000001</v>
      </c>
      <c r="M961" s="27">
        <f>15.9134 * CHOOSE(CONTROL!$C$32, $C$9, 100%, $E$9)</f>
        <v>15.913399999999999</v>
      </c>
      <c r="N961" s="27">
        <f>15.9098 * CHOOSE(CONTROL!$C$32, $C$9, 100%, $E$9)</f>
        <v>15.909800000000001</v>
      </c>
      <c r="O961" s="27">
        <f>15.9134 * CHOOSE(CONTROL!$C$32, $C$9, 100%, $E$9)</f>
        <v>15.913399999999999</v>
      </c>
    </row>
    <row r="962" spans="1:15" ht="15" x14ac:dyDescent="0.2">
      <c r="A962" s="16">
        <v>70129</v>
      </c>
      <c r="B962" s="26">
        <f>14.253 * CHOOSE(CONTROL!$C$32, $C$9, 100%, $E$9)</f>
        <v>14.253</v>
      </c>
      <c r="C962" s="26">
        <f>14.253 * CHOOSE(CONTROL!$C$32, $C$9, 100%, $E$9)</f>
        <v>14.253</v>
      </c>
      <c r="D962" s="26">
        <f>14.254 * CHOOSE(CONTROL!$C$32, $C$9, 100%, $E$9)</f>
        <v>14.254</v>
      </c>
      <c r="E962" s="27">
        <f>16.0456 * CHOOSE(CONTROL!$C$32, $C$9, 100%, $E$9)</f>
        <v>16.0456</v>
      </c>
      <c r="F962" s="27">
        <f>16.0456 * CHOOSE(CONTROL!$C$32, $C$9, 100%, $E$9)</f>
        <v>16.0456</v>
      </c>
      <c r="G962" s="27">
        <f>16.0492 * CHOOSE(CONTROL!$C$32, $C$9, 100%, $E$9)</f>
        <v>16.049199999999999</v>
      </c>
      <c r="H962" s="27">
        <f>32.4454 * CHOOSE(CONTROL!$C$32, $C$9, 100%, $E$9)</f>
        <v>32.445399999999999</v>
      </c>
      <c r="I962" s="27">
        <f>32.449 * CHOOSE(CONTROL!$C$32, $C$9, 100%, $E$9)</f>
        <v>32.448999999999998</v>
      </c>
      <c r="J962" s="27">
        <f>32.4454 * CHOOSE(CONTROL!$C$32, $C$9, 100%, $E$9)</f>
        <v>32.445399999999999</v>
      </c>
      <c r="K962" s="27">
        <f>32.449 * CHOOSE(CONTROL!$C$32, $C$9, 100%, $E$9)</f>
        <v>32.448999999999998</v>
      </c>
      <c r="L962" s="27">
        <f>16.0456 * CHOOSE(CONTROL!$C$32, $C$9, 100%, $E$9)</f>
        <v>16.0456</v>
      </c>
      <c r="M962" s="27">
        <f>16.0492 * CHOOSE(CONTROL!$C$32, $C$9, 100%, $E$9)</f>
        <v>16.049199999999999</v>
      </c>
      <c r="N962" s="27">
        <f>16.0456 * CHOOSE(CONTROL!$C$32, $C$9, 100%, $E$9)</f>
        <v>16.0456</v>
      </c>
      <c r="O962" s="27">
        <f>16.0492 * CHOOSE(CONTROL!$C$32, $C$9, 100%, $E$9)</f>
        <v>16.049199999999999</v>
      </c>
    </row>
    <row r="963" spans="1:15" ht="15" x14ac:dyDescent="0.2">
      <c r="A963" s="16">
        <v>70160</v>
      </c>
      <c r="B963" s="26">
        <f>14.2499 * CHOOSE(CONTROL!$C$32, $C$9, 100%, $E$9)</f>
        <v>14.2499</v>
      </c>
      <c r="C963" s="26">
        <f>14.2499 * CHOOSE(CONTROL!$C$32, $C$9, 100%, $E$9)</f>
        <v>14.2499</v>
      </c>
      <c r="D963" s="26">
        <f>14.251 * CHOOSE(CONTROL!$C$32, $C$9, 100%, $E$9)</f>
        <v>14.250999999999999</v>
      </c>
      <c r="E963" s="27">
        <f>15.5987 * CHOOSE(CONTROL!$C$32, $C$9, 100%, $E$9)</f>
        <v>15.598699999999999</v>
      </c>
      <c r="F963" s="27">
        <f>15.5987 * CHOOSE(CONTROL!$C$32, $C$9, 100%, $E$9)</f>
        <v>15.598699999999999</v>
      </c>
      <c r="G963" s="27">
        <f>15.6023 * CHOOSE(CONTROL!$C$32, $C$9, 100%, $E$9)</f>
        <v>15.6023</v>
      </c>
      <c r="H963" s="27">
        <f>32.513 * CHOOSE(CONTROL!$C$32, $C$9, 100%, $E$9)</f>
        <v>32.512999999999998</v>
      </c>
      <c r="I963" s="27">
        <f>32.5166 * CHOOSE(CONTROL!$C$32, $C$9, 100%, $E$9)</f>
        <v>32.516599999999997</v>
      </c>
      <c r="J963" s="27">
        <f>32.513 * CHOOSE(CONTROL!$C$32, $C$9, 100%, $E$9)</f>
        <v>32.512999999999998</v>
      </c>
      <c r="K963" s="27">
        <f>32.5166 * CHOOSE(CONTROL!$C$32, $C$9, 100%, $E$9)</f>
        <v>32.516599999999997</v>
      </c>
      <c r="L963" s="27">
        <f>15.5987 * CHOOSE(CONTROL!$C$32, $C$9, 100%, $E$9)</f>
        <v>15.598699999999999</v>
      </c>
      <c r="M963" s="27">
        <f>15.6023 * CHOOSE(CONTROL!$C$32, $C$9, 100%, $E$9)</f>
        <v>15.6023</v>
      </c>
      <c r="N963" s="27">
        <f>15.5987 * CHOOSE(CONTROL!$C$32, $C$9, 100%, $E$9)</f>
        <v>15.598699999999999</v>
      </c>
      <c r="O963" s="27">
        <f>15.6023 * CHOOSE(CONTROL!$C$32, $C$9, 100%, $E$9)</f>
        <v>15.6023</v>
      </c>
    </row>
    <row r="964" spans="1:15" ht="15" x14ac:dyDescent="0.2">
      <c r="A964" s="16">
        <v>70189</v>
      </c>
      <c r="B964" s="26">
        <f>14.2469 * CHOOSE(CONTROL!$C$32, $C$9, 100%, $E$9)</f>
        <v>14.2469</v>
      </c>
      <c r="C964" s="26">
        <f>14.2469 * CHOOSE(CONTROL!$C$32, $C$9, 100%, $E$9)</f>
        <v>14.2469</v>
      </c>
      <c r="D964" s="26">
        <f>14.2479 * CHOOSE(CONTROL!$C$32, $C$9, 100%, $E$9)</f>
        <v>14.2479</v>
      </c>
      <c r="E964" s="27">
        <f>15.9472 * CHOOSE(CONTROL!$C$32, $C$9, 100%, $E$9)</f>
        <v>15.9472</v>
      </c>
      <c r="F964" s="27">
        <f>15.9472 * CHOOSE(CONTROL!$C$32, $C$9, 100%, $E$9)</f>
        <v>15.9472</v>
      </c>
      <c r="G964" s="27">
        <f>15.9508 * CHOOSE(CONTROL!$C$32, $C$9, 100%, $E$9)</f>
        <v>15.950799999999999</v>
      </c>
      <c r="H964" s="27">
        <f>32.5808 * CHOOSE(CONTROL!$C$32, $C$9, 100%, $E$9)</f>
        <v>32.580800000000004</v>
      </c>
      <c r="I964" s="27">
        <f>32.5844 * CHOOSE(CONTROL!$C$32, $C$9, 100%, $E$9)</f>
        <v>32.584400000000002</v>
      </c>
      <c r="J964" s="27">
        <f>32.5808 * CHOOSE(CONTROL!$C$32, $C$9, 100%, $E$9)</f>
        <v>32.580800000000004</v>
      </c>
      <c r="K964" s="27">
        <f>32.5844 * CHOOSE(CONTROL!$C$32, $C$9, 100%, $E$9)</f>
        <v>32.584400000000002</v>
      </c>
      <c r="L964" s="27">
        <f>15.9472 * CHOOSE(CONTROL!$C$32, $C$9, 100%, $E$9)</f>
        <v>15.9472</v>
      </c>
      <c r="M964" s="27">
        <f>15.9508 * CHOOSE(CONTROL!$C$32, $C$9, 100%, $E$9)</f>
        <v>15.950799999999999</v>
      </c>
      <c r="N964" s="27">
        <f>15.9472 * CHOOSE(CONTROL!$C$32, $C$9, 100%, $E$9)</f>
        <v>15.9472</v>
      </c>
      <c r="O964" s="27">
        <f>15.9508 * CHOOSE(CONTROL!$C$32, $C$9, 100%, $E$9)</f>
        <v>15.950799999999999</v>
      </c>
    </row>
    <row r="965" spans="1:15" ht="15" x14ac:dyDescent="0.2">
      <c r="A965" s="16">
        <v>70220</v>
      </c>
      <c r="B965" s="26">
        <f>14.2545 * CHOOSE(CONTROL!$C$32, $C$9, 100%, $E$9)</f>
        <v>14.2545</v>
      </c>
      <c r="C965" s="26">
        <f>14.2545 * CHOOSE(CONTROL!$C$32, $C$9, 100%, $E$9)</f>
        <v>14.2545</v>
      </c>
      <c r="D965" s="26">
        <f>14.2555 * CHOOSE(CONTROL!$C$32, $C$9, 100%, $E$9)</f>
        <v>14.2555</v>
      </c>
      <c r="E965" s="27">
        <f>16.3196 * CHOOSE(CONTROL!$C$32, $C$9, 100%, $E$9)</f>
        <v>16.319600000000001</v>
      </c>
      <c r="F965" s="27">
        <f>16.3196 * CHOOSE(CONTROL!$C$32, $C$9, 100%, $E$9)</f>
        <v>16.319600000000001</v>
      </c>
      <c r="G965" s="27">
        <f>16.3232 * CHOOSE(CONTROL!$C$32, $C$9, 100%, $E$9)</f>
        <v>16.3232</v>
      </c>
      <c r="H965" s="27">
        <f>32.6486 * CHOOSE(CONTROL!$C$32, $C$9, 100%, $E$9)</f>
        <v>32.648600000000002</v>
      </c>
      <c r="I965" s="27">
        <f>32.6522 * CHOOSE(CONTROL!$C$32, $C$9, 100%, $E$9)</f>
        <v>32.652200000000001</v>
      </c>
      <c r="J965" s="27">
        <f>32.6486 * CHOOSE(CONTROL!$C$32, $C$9, 100%, $E$9)</f>
        <v>32.648600000000002</v>
      </c>
      <c r="K965" s="27">
        <f>32.6522 * CHOOSE(CONTROL!$C$32, $C$9, 100%, $E$9)</f>
        <v>32.652200000000001</v>
      </c>
      <c r="L965" s="27">
        <f>16.3196 * CHOOSE(CONTROL!$C$32, $C$9, 100%, $E$9)</f>
        <v>16.319600000000001</v>
      </c>
      <c r="M965" s="27">
        <f>16.3232 * CHOOSE(CONTROL!$C$32, $C$9, 100%, $E$9)</f>
        <v>16.3232</v>
      </c>
      <c r="N965" s="27">
        <f>16.3196 * CHOOSE(CONTROL!$C$32, $C$9, 100%, $E$9)</f>
        <v>16.319600000000001</v>
      </c>
      <c r="O965" s="27">
        <f>16.3232 * CHOOSE(CONTROL!$C$32, $C$9, 100%, $E$9)</f>
        <v>16.3232</v>
      </c>
    </row>
    <row r="966" spans="1:15" ht="15" x14ac:dyDescent="0.2">
      <c r="A966" s="16">
        <v>70250</v>
      </c>
      <c r="B966" s="26">
        <f>14.2545 * CHOOSE(CONTROL!$C$32, $C$9, 100%, $E$9)</f>
        <v>14.2545</v>
      </c>
      <c r="C966" s="26">
        <f>14.2545 * CHOOSE(CONTROL!$C$32, $C$9, 100%, $E$9)</f>
        <v>14.2545</v>
      </c>
      <c r="D966" s="26">
        <f>14.2561 * CHOOSE(CONTROL!$C$32, $C$9, 100%, $E$9)</f>
        <v>14.2561</v>
      </c>
      <c r="E966" s="27">
        <f>16.4608 * CHOOSE(CONTROL!$C$32, $C$9, 100%, $E$9)</f>
        <v>16.460799999999999</v>
      </c>
      <c r="F966" s="27">
        <f>16.4608 * CHOOSE(CONTROL!$C$32, $C$9, 100%, $E$9)</f>
        <v>16.460799999999999</v>
      </c>
      <c r="G966" s="27">
        <f>16.4661 * CHOOSE(CONTROL!$C$32, $C$9, 100%, $E$9)</f>
        <v>16.466100000000001</v>
      </c>
      <c r="H966" s="27">
        <f>32.7167 * CHOOSE(CONTROL!$C$32, $C$9, 100%, $E$9)</f>
        <v>32.716700000000003</v>
      </c>
      <c r="I966" s="27">
        <f>32.7219 * CHOOSE(CONTROL!$C$32, $C$9, 100%, $E$9)</f>
        <v>32.721899999999998</v>
      </c>
      <c r="J966" s="27">
        <f>32.7167 * CHOOSE(CONTROL!$C$32, $C$9, 100%, $E$9)</f>
        <v>32.716700000000003</v>
      </c>
      <c r="K966" s="27">
        <f>32.7219 * CHOOSE(CONTROL!$C$32, $C$9, 100%, $E$9)</f>
        <v>32.721899999999998</v>
      </c>
      <c r="L966" s="27">
        <f>16.4608 * CHOOSE(CONTROL!$C$32, $C$9, 100%, $E$9)</f>
        <v>16.460799999999999</v>
      </c>
      <c r="M966" s="27">
        <f>16.4661 * CHOOSE(CONTROL!$C$32, $C$9, 100%, $E$9)</f>
        <v>16.466100000000001</v>
      </c>
      <c r="N966" s="27">
        <f>16.4608 * CHOOSE(CONTROL!$C$32, $C$9, 100%, $E$9)</f>
        <v>16.460799999999999</v>
      </c>
      <c r="O966" s="27">
        <f>16.4661 * CHOOSE(CONTROL!$C$32, $C$9, 100%, $E$9)</f>
        <v>16.466100000000001</v>
      </c>
    </row>
    <row r="967" spans="1:15" ht="15" x14ac:dyDescent="0.2">
      <c r="A967" s="16">
        <v>70281</v>
      </c>
      <c r="B967" s="26">
        <f>14.2606 * CHOOSE(CONTROL!$C$32, $C$9, 100%, $E$9)</f>
        <v>14.2606</v>
      </c>
      <c r="C967" s="26">
        <f>14.2606 * CHOOSE(CONTROL!$C$32, $C$9, 100%, $E$9)</f>
        <v>14.2606</v>
      </c>
      <c r="D967" s="26">
        <f>14.2621 * CHOOSE(CONTROL!$C$32, $C$9, 100%, $E$9)</f>
        <v>14.2621</v>
      </c>
      <c r="E967" s="27">
        <f>16.3238 * CHOOSE(CONTROL!$C$32, $C$9, 100%, $E$9)</f>
        <v>16.323799999999999</v>
      </c>
      <c r="F967" s="27">
        <f>16.3238 * CHOOSE(CONTROL!$C$32, $C$9, 100%, $E$9)</f>
        <v>16.323799999999999</v>
      </c>
      <c r="G967" s="27">
        <f>16.3291 * CHOOSE(CONTROL!$C$32, $C$9, 100%, $E$9)</f>
        <v>16.3291</v>
      </c>
      <c r="H967" s="27">
        <f>32.7848 * CHOOSE(CONTROL!$C$32, $C$9, 100%, $E$9)</f>
        <v>32.784799999999997</v>
      </c>
      <c r="I967" s="27">
        <f>32.7901 * CHOOSE(CONTROL!$C$32, $C$9, 100%, $E$9)</f>
        <v>32.790100000000002</v>
      </c>
      <c r="J967" s="27">
        <f>32.7848 * CHOOSE(CONTROL!$C$32, $C$9, 100%, $E$9)</f>
        <v>32.784799999999997</v>
      </c>
      <c r="K967" s="27">
        <f>32.7901 * CHOOSE(CONTROL!$C$32, $C$9, 100%, $E$9)</f>
        <v>32.790100000000002</v>
      </c>
      <c r="L967" s="27">
        <f>16.3238 * CHOOSE(CONTROL!$C$32, $C$9, 100%, $E$9)</f>
        <v>16.323799999999999</v>
      </c>
      <c r="M967" s="27">
        <f>16.3291 * CHOOSE(CONTROL!$C$32, $C$9, 100%, $E$9)</f>
        <v>16.3291</v>
      </c>
      <c r="N967" s="27">
        <f>16.3238 * CHOOSE(CONTROL!$C$32, $C$9, 100%, $E$9)</f>
        <v>16.323799999999999</v>
      </c>
      <c r="O967" s="27">
        <f>16.3291 * CHOOSE(CONTROL!$C$32, $C$9, 100%, $E$9)</f>
        <v>16.3291</v>
      </c>
    </row>
    <row r="968" spans="1:15" ht="15" x14ac:dyDescent="0.2">
      <c r="A968" s="16">
        <v>70311</v>
      </c>
      <c r="B968" s="26">
        <f>14.4317 * CHOOSE(CONTROL!$C$32, $C$9, 100%, $E$9)</f>
        <v>14.431699999999999</v>
      </c>
      <c r="C968" s="26">
        <f>14.4317 * CHOOSE(CONTROL!$C$32, $C$9, 100%, $E$9)</f>
        <v>14.431699999999999</v>
      </c>
      <c r="D968" s="26">
        <f>14.4332 * CHOOSE(CONTROL!$C$32, $C$9, 100%, $E$9)</f>
        <v>14.433199999999999</v>
      </c>
      <c r="E968" s="27">
        <f>16.5557 * CHOOSE(CONTROL!$C$32, $C$9, 100%, $E$9)</f>
        <v>16.555700000000002</v>
      </c>
      <c r="F968" s="27">
        <f>16.5557 * CHOOSE(CONTROL!$C$32, $C$9, 100%, $E$9)</f>
        <v>16.555700000000002</v>
      </c>
      <c r="G968" s="27">
        <f>16.561 * CHOOSE(CONTROL!$C$32, $C$9, 100%, $E$9)</f>
        <v>16.561</v>
      </c>
      <c r="H968" s="27">
        <f>32.8531 * CHOOSE(CONTROL!$C$32, $C$9, 100%, $E$9)</f>
        <v>32.853099999999998</v>
      </c>
      <c r="I968" s="27">
        <f>32.8584 * CHOOSE(CONTROL!$C$32, $C$9, 100%, $E$9)</f>
        <v>32.858400000000003</v>
      </c>
      <c r="J968" s="27">
        <f>32.8531 * CHOOSE(CONTROL!$C$32, $C$9, 100%, $E$9)</f>
        <v>32.853099999999998</v>
      </c>
      <c r="K968" s="27">
        <f>32.8584 * CHOOSE(CONTROL!$C$32, $C$9, 100%, $E$9)</f>
        <v>32.858400000000003</v>
      </c>
      <c r="L968" s="27">
        <f>16.5557 * CHOOSE(CONTROL!$C$32, $C$9, 100%, $E$9)</f>
        <v>16.555700000000002</v>
      </c>
      <c r="M968" s="27">
        <f>16.561 * CHOOSE(CONTROL!$C$32, $C$9, 100%, $E$9)</f>
        <v>16.561</v>
      </c>
      <c r="N968" s="27">
        <f>16.5557 * CHOOSE(CONTROL!$C$32, $C$9, 100%, $E$9)</f>
        <v>16.555700000000002</v>
      </c>
      <c r="O968" s="27">
        <f>16.561 * CHOOSE(CONTROL!$C$32, $C$9, 100%, $E$9)</f>
        <v>16.561</v>
      </c>
    </row>
    <row r="969" spans="1:15" ht="15" x14ac:dyDescent="0.2">
      <c r="A969" s="16">
        <v>70342</v>
      </c>
      <c r="B969" s="26">
        <f>14.4384 * CHOOSE(CONTROL!$C$32, $C$9, 100%, $E$9)</f>
        <v>14.4384</v>
      </c>
      <c r="C969" s="26">
        <f>14.4384 * CHOOSE(CONTROL!$C$32, $C$9, 100%, $E$9)</f>
        <v>14.4384</v>
      </c>
      <c r="D969" s="26">
        <f>14.4399 * CHOOSE(CONTROL!$C$32, $C$9, 100%, $E$9)</f>
        <v>14.4399</v>
      </c>
      <c r="E969" s="27">
        <f>16.1367 * CHOOSE(CONTROL!$C$32, $C$9, 100%, $E$9)</f>
        <v>16.136700000000001</v>
      </c>
      <c r="F969" s="27">
        <f>16.1367 * CHOOSE(CONTROL!$C$32, $C$9, 100%, $E$9)</f>
        <v>16.136700000000001</v>
      </c>
      <c r="G969" s="27">
        <f>16.142 * CHOOSE(CONTROL!$C$32, $C$9, 100%, $E$9)</f>
        <v>16.141999999999999</v>
      </c>
      <c r="H969" s="27">
        <f>32.9216 * CHOOSE(CONTROL!$C$32, $C$9, 100%, $E$9)</f>
        <v>32.921599999999998</v>
      </c>
      <c r="I969" s="27">
        <f>32.9269 * CHOOSE(CONTROL!$C$32, $C$9, 100%, $E$9)</f>
        <v>32.926900000000003</v>
      </c>
      <c r="J969" s="27">
        <f>32.9216 * CHOOSE(CONTROL!$C$32, $C$9, 100%, $E$9)</f>
        <v>32.921599999999998</v>
      </c>
      <c r="K969" s="27">
        <f>32.9269 * CHOOSE(CONTROL!$C$32, $C$9, 100%, $E$9)</f>
        <v>32.926900000000003</v>
      </c>
      <c r="L969" s="27">
        <f>16.1367 * CHOOSE(CONTROL!$C$32, $C$9, 100%, $E$9)</f>
        <v>16.136700000000001</v>
      </c>
      <c r="M969" s="27">
        <f>16.142 * CHOOSE(CONTROL!$C$32, $C$9, 100%, $E$9)</f>
        <v>16.141999999999999</v>
      </c>
      <c r="N969" s="27">
        <f>16.1367 * CHOOSE(CONTROL!$C$32, $C$9, 100%, $E$9)</f>
        <v>16.136700000000001</v>
      </c>
      <c r="O969" s="27">
        <f>16.142 * CHOOSE(CONTROL!$C$32, $C$9, 100%, $E$9)</f>
        <v>16.141999999999999</v>
      </c>
    </row>
    <row r="970" spans="1:15" ht="15" x14ac:dyDescent="0.2">
      <c r="A970" s="16">
        <v>70373</v>
      </c>
      <c r="B970" s="26">
        <f>14.4353 * CHOOSE(CONTROL!$C$32, $C$9, 100%, $E$9)</f>
        <v>14.4353</v>
      </c>
      <c r="C970" s="26">
        <f>14.4353 * CHOOSE(CONTROL!$C$32, $C$9, 100%, $E$9)</f>
        <v>14.4353</v>
      </c>
      <c r="D970" s="26">
        <f>14.4369 * CHOOSE(CONTROL!$C$32, $C$9, 100%, $E$9)</f>
        <v>14.4369</v>
      </c>
      <c r="E970" s="27">
        <f>16.0875 * CHOOSE(CONTROL!$C$32, $C$9, 100%, $E$9)</f>
        <v>16.087499999999999</v>
      </c>
      <c r="F970" s="27">
        <f>16.0875 * CHOOSE(CONTROL!$C$32, $C$9, 100%, $E$9)</f>
        <v>16.087499999999999</v>
      </c>
      <c r="G970" s="27">
        <f>16.0928 * CHOOSE(CONTROL!$C$32, $C$9, 100%, $E$9)</f>
        <v>16.0928</v>
      </c>
      <c r="H970" s="27">
        <f>32.9901 * CHOOSE(CONTROL!$C$32, $C$9, 100%, $E$9)</f>
        <v>32.990099999999998</v>
      </c>
      <c r="I970" s="27">
        <f>32.9954 * CHOOSE(CONTROL!$C$32, $C$9, 100%, $E$9)</f>
        <v>32.995399999999997</v>
      </c>
      <c r="J970" s="27">
        <f>32.9901 * CHOOSE(CONTROL!$C$32, $C$9, 100%, $E$9)</f>
        <v>32.990099999999998</v>
      </c>
      <c r="K970" s="27">
        <f>32.9954 * CHOOSE(CONTROL!$C$32, $C$9, 100%, $E$9)</f>
        <v>32.995399999999997</v>
      </c>
      <c r="L970" s="27">
        <f>16.0875 * CHOOSE(CONTROL!$C$32, $C$9, 100%, $E$9)</f>
        <v>16.087499999999999</v>
      </c>
      <c r="M970" s="27">
        <f>16.0928 * CHOOSE(CONTROL!$C$32, $C$9, 100%, $E$9)</f>
        <v>16.0928</v>
      </c>
      <c r="N970" s="27">
        <f>16.0875 * CHOOSE(CONTROL!$C$32, $C$9, 100%, $E$9)</f>
        <v>16.087499999999999</v>
      </c>
      <c r="O970" s="27">
        <f>16.0928 * CHOOSE(CONTROL!$C$32, $C$9, 100%, $E$9)</f>
        <v>16.0928</v>
      </c>
    </row>
    <row r="971" spans="1:15" ht="15" x14ac:dyDescent="0.2">
      <c r="A971" s="16">
        <v>70403</v>
      </c>
      <c r="B971" s="26">
        <f>14.4694 * CHOOSE(CONTROL!$C$32, $C$9, 100%, $E$9)</f>
        <v>14.4694</v>
      </c>
      <c r="C971" s="26">
        <f>14.4694 * CHOOSE(CONTROL!$C$32, $C$9, 100%, $E$9)</f>
        <v>14.4694</v>
      </c>
      <c r="D971" s="26">
        <f>14.4705 * CHOOSE(CONTROL!$C$32, $C$9, 100%, $E$9)</f>
        <v>14.470499999999999</v>
      </c>
      <c r="E971" s="27">
        <f>16.2624 * CHOOSE(CONTROL!$C$32, $C$9, 100%, $E$9)</f>
        <v>16.2624</v>
      </c>
      <c r="F971" s="27">
        <f>16.2624 * CHOOSE(CONTROL!$C$32, $C$9, 100%, $E$9)</f>
        <v>16.2624</v>
      </c>
      <c r="G971" s="27">
        <f>16.266 * CHOOSE(CONTROL!$C$32, $C$9, 100%, $E$9)</f>
        <v>16.265999999999998</v>
      </c>
      <c r="H971" s="27">
        <f>33.0589 * CHOOSE(CONTROL!$C$32, $C$9, 100%, $E$9)</f>
        <v>33.058900000000001</v>
      </c>
      <c r="I971" s="27">
        <f>33.0625 * CHOOSE(CONTROL!$C$32, $C$9, 100%, $E$9)</f>
        <v>33.0625</v>
      </c>
      <c r="J971" s="27">
        <f>33.0589 * CHOOSE(CONTROL!$C$32, $C$9, 100%, $E$9)</f>
        <v>33.058900000000001</v>
      </c>
      <c r="K971" s="27">
        <f>33.0625 * CHOOSE(CONTROL!$C$32, $C$9, 100%, $E$9)</f>
        <v>33.0625</v>
      </c>
      <c r="L971" s="27">
        <f>16.2624 * CHOOSE(CONTROL!$C$32, $C$9, 100%, $E$9)</f>
        <v>16.2624</v>
      </c>
      <c r="M971" s="27">
        <f>16.266 * CHOOSE(CONTROL!$C$32, $C$9, 100%, $E$9)</f>
        <v>16.265999999999998</v>
      </c>
      <c r="N971" s="27">
        <f>16.2624 * CHOOSE(CONTROL!$C$32, $C$9, 100%, $E$9)</f>
        <v>16.2624</v>
      </c>
      <c r="O971" s="27">
        <f>16.266 * CHOOSE(CONTROL!$C$32, $C$9, 100%, $E$9)</f>
        <v>16.265999999999998</v>
      </c>
    </row>
    <row r="972" spans="1:15" ht="15" x14ac:dyDescent="0.2">
      <c r="A972" s="16">
        <v>70434</v>
      </c>
      <c r="B972" s="26">
        <f>14.4724 * CHOOSE(CONTROL!$C$32, $C$9, 100%, $E$9)</f>
        <v>14.4724</v>
      </c>
      <c r="C972" s="26">
        <f>14.4724 * CHOOSE(CONTROL!$C$32, $C$9, 100%, $E$9)</f>
        <v>14.4724</v>
      </c>
      <c r="D972" s="26">
        <f>14.4735 * CHOOSE(CONTROL!$C$32, $C$9, 100%, $E$9)</f>
        <v>14.4735</v>
      </c>
      <c r="E972" s="27">
        <f>16.3586 * CHOOSE(CONTROL!$C$32, $C$9, 100%, $E$9)</f>
        <v>16.358599999999999</v>
      </c>
      <c r="F972" s="27">
        <f>16.3586 * CHOOSE(CONTROL!$C$32, $C$9, 100%, $E$9)</f>
        <v>16.358599999999999</v>
      </c>
      <c r="G972" s="27">
        <f>16.3622 * CHOOSE(CONTROL!$C$32, $C$9, 100%, $E$9)</f>
        <v>16.362200000000001</v>
      </c>
      <c r="H972" s="27">
        <f>33.1277 * CHOOSE(CONTROL!$C$32, $C$9, 100%, $E$9)</f>
        <v>33.127699999999997</v>
      </c>
      <c r="I972" s="27">
        <f>33.1314 * CHOOSE(CONTROL!$C$32, $C$9, 100%, $E$9)</f>
        <v>33.131399999999999</v>
      </c>
      <c r="J972" s="27">
        <f>33.1277 * CHOOSE(CONTROL!$C$32, $C$9, 100%, $E$9)</f>
        <v>33.127699999999997</v>
      </c>
      <c r="K972" s="27">
        <f>33.1314 * CHOOSE(CONTROL!$C$32, $C$9, 100%, $E$9)</f>
        <v>33.131399999999999</v>
      </c>
      <c r="L972" s="27">
        <f>16.3586 * CHOOSE(CONTROL!$C$32, $C$9, 100%, $E$9)</f>
        <v>16.358599999999999</v>
      </c>
      <c r="M972" s="27">
        <f>16.3622 * CHOOSE(CONTROL!$C$32, $C$9, 100%, $E$9)</f>
        <v>16.362200000000001</v>
      </c>
      <c r="N972" s="27">
        <f>16.3586 * CHOOSE(CONTROL!$C$32, $C$9, 100%, $E$9)</f>
        <v>16.358599999999999</v>
      </c>
      <c r="O972" s="27">
        <f>16.3622 * CHOOSE(CONTROL!$C$32, $C$9, 100%, $E$9)</f>
        <v>16.362200000000001</v>
      </c>
    </row>
    <row r="973" spans="1:15" ht="15" x14ac:dyDescent="0.2">
      <c r="A973" s="16">
        <v>70464</v>
      </c>
      <c r="B973" s="26">
        <f>14.4724 * CHOOSE(CONTROL!$C$32, $C$9, 100%, $E$9)</f>
        <v>14.4724</v>
      </c>
      <c r="C973" s="26">
        <f>14.4724 * CHOOSE(CONTROL!$C$32, $C$9, 100%, $E$9)</f>
        <v>14.4724</v>
      </c>
      <c r="D973" s="26">
        <f>14.4735 * CHOOSE(CONTROL!$C$32, $C$9, 100%, $E$9)</f>
        <v>14.4735</v>
      </c>
      <c r="E973" s="27">
        <f>16.1233 * CHOOSE(CONTROL!$C$32, $C$9, 100%, $E$9)</f>
        <v>16.1233</v>
      </c>
      <c r="F973" s="27">
        <f>16.1233 * CHOOSE(CONTROL!$C$32, $C$9, 100%, $E$9)</f>
        <v>16.1233</v>
      </c>
      <c r="G973" s="27">
        <f>16.1269 * CHOOSE(CONTROL!$C$32, $C$9, 100%, $E$9)</f>
        <v>16.126899999999999</v>
      </c>
      <c r="H973" s="27">
        <f>33.1968 * CHOOSE(CONTROL!$C$32, $C$9, 100%, $E$9)</f>
        <v>33.196800000000003</v>
      </c>
      <c r="I973" s="27">
        <f>33.2004 * CHOOSE(CONTROL!$C$32, $C$9, 100%, $E$9)</f>
        <v>33.200400000000002</v>
      </c>
      <c r="J973" s="27">
        <f>33.1968 * CHOOSE(CONTROL!$C$32, $C$9, 100%, $E$9)</f>
        <v>33.196800000000003</v>
      </c>
      <c r="K973" s="27">
        <f>33.2004 * CHOOSE(CONTROL!$C$32, $C$9, 100%, $E$9)</f>
        <v>33.200400000000002</v>
      </c>
      <c r="L973" s="27">
        <f>16.1233 * CHOOSE(CONTROL!$C$32, $C$9, 100%, $E$9)</f>
        <v>16.1233</v>
      </c>
      <c r="M973" s="27">
        <f>16.1269 * CHOOSE(CONTROL!$C$32, $C$9, 100%, $E$9)</f>
        <v>16.126899999999999</v>
      </c>
      <c r="N973" s="27">
        <f>16.1233 * CHOOSE(CONTROL!$C$32, $C$9, 100%, $E$9)</f>
        <v>16.1233</v>
      </c>
      <c r="O973" s="27">
        <f>16.1269 * CHOOSE(CONTROL!$C$32, $C$9, 100%, $E$9)</f>
        <v>16.126899999999999</v>
      </c>
    </row>
    <row r="974" spans="1:15" ht="15" x14ac:dyDescent="0.2">
      <c r="A974" s="16">
        <v>70495</v>
      </c>
      <c r="B974" s="26">
        <f>14.4403 * CHOOSE(CONTROL!$C$32, $C$9, 100%, $E$9)</f>
        <v>14.440300000000001</v>
      </c>
      <c r="C974" s="26">
        <f>14.4403 * CHOOSE(CONTROL!$C$32, $C$9, 100%, $E$9)</f>
        <v>14.440300000000001</v>
      </c>
      <c r="D974" s="26">
        <f>14.4414 * CHOOSE(CONTROL!$C$32, $C$9, 100%, $E$9)</f>
        <v>14.4414</v>
      </c>
      <c r="E974" s="27">
        <f>16.2581 * CHOOSE(CONTROL!$C$32, $C$9, 100%, $E$9)</f>
        <v>16.258099999999999</v>
      </c>
      <c r="F974" s="27">
        <f>16.2581 * CHOOSE(CONTROL!$C$32, $C$9, 100%, $E$9)</f>
        <v>16.258099999999999</v>
      </c>
      <c r="G974" s="27">
        <f>16.2617 * CHOOSE(CONTROL!$C$32, $C$9, 100%, $E$9)</f>
        <v>16.261700000000001</v>
      </c>
      <c r="H974" s="27">
        <f>32.8989 * CHOOSE(CONTROL!$C$32, $C$9, 100%, $E$9)</f>
        <v>32.898899999999998</v>
      </c>
      <c r="I974" s="27">
        <f>32.9025 * CHOOSE(CONTROL!$C$32, $C$9, 100%, $E$9)</f>
        <v>32.902500000000003</v>
      </c>
      <c r="J974" s="27">
        <f>32.8989 * CHOOSE(CONTROL!$C$32, $C$9, 100%, $E$9)</f>
        <v>32.898899999999998</v>
      </c>
      <c r="K974" s="27">
        <f>32.9025 * CHOOSE(CONTROL!$C$32, $C$9, 100%, $E$9)</f>
        <v>32.902500000000003</v>
      </c>
      <c r="L974" s="27">
        <f>16.2581 * CHOOSE(CONTROL!$C$32, $C$9, 100%, $E$9)</f>
        <v>16.258099999999999</v>
      </c>
      <c r="M974" s="27">
        <f>16.2617 * CHOOSE(CONTROL!$C$32, $C$9, 100%, $E$9)</f>
        <v>16.261700000000001</v>
      </c>
      <c r="N974" s="27">
        <f>16.2581 * CHOOSE(CONTROL!$C$32, $C$9, 100%, $E$9)</f>
        <v>16.258099999999999</v>
      </c>
      <c r="O974" s="27">
        <f>16.2617 * CHOOSE(CONTROL!$C$32, $C$9, 100%, $E$9)</f>
        <v>16.261700000000001</v>
      </c>
    </row>
    <row r="975" spans="1:15" ht="15" x14ac:dyDescent="0.2">
      <c r="A975" s="16">
        <v>70526</v>
      </c>
      <c r="B975" s="26">
        <f>14.4373 * CHOOSE(CONTROL!$C$32, $C$9, 100%, $E$9)</f>
        <v>14.4373</v>
      </c>
      <c r="C975" s="26">
        <f>14.4373 * CHOOSE(CONTROL!$C$32, $C$9, 100%, $E$9)</f>
        <v>14.4373</v>
      </c>
      <c r="D975" s="26">
        <f>14.4383 * CHOOSE(CONTROL!$C$32, $C$9, 100%, $E$9)</f>
        <v>14.4383</v>
      </c>
      <c r="E975" s="27">
        <f>15.8041 * CHOOSE(CONTROL!$C$32, $C$9, 100%, $E$9)</f>
        <v>15.8041</v>
      </c>
      <c r="F975" s="27">
        <f>15.8041 * CHOOSE(CONTROL!$C$32, $C$9, 100%, $E$9)</f>
        <v>15.8041</v>
      </c>
      <c r="G975" s="27">
        <f>15.8077 * CHOOSE(CONTROL!$C$32, $C$9, 100%, $E$9)</f>
        <v>15.807700000000001</v>
      </c>
      <c r="H975" s="27">
        <f>32.9675 * CHOOSE(CONTROL!$C$32, $C$9, 100%, $E$9)</f>
        <v>32.967500000000001</v>
      </c>
      <c r="I975" s="27">
        <f>32.9711 * CHOOSE(CONTROL!$C$32, $C$9, 100%, $E$9)</f>
        <v>32.9711</v>
      </c>
      <c r="J975" s="27">
        <f>32.9675 * CHOOSE(CONTROL!$C$32, $C$9, 100%, $E$9)</f>
        <v>32.967500000000001</v>
      </c>
      <c r="K975" s="27">
        <f>32.9711 * CHOOSE(CONTROL!$C$32, $C$9, 100%, $E$9)</f>
        <v>32.9711</v>
      </c>
      <c r="L975" s="27">
        <f>15.8041 * CHOOSE(CONTROL!$C$32, $C$9, 100%, $E$9)</f>
        <v>15.8041</v>
      </c>
      <c r="M975" s="27">
        <f>15.8077 * CHOOSE(CONTROL!$C$32, $C$9, 100%, $E$9)</f>
        <v>15.807700000000001</v>
      </c>
      <c r="N975" s="27">
        <f>15.8041 * CHOOSE(CONTROL!$C$32, $C$9, 100%, $E$9)</f>
        <v>15.8041</v>
      </c>
      <c r="O975" s="27">
        <f>15.8077 * CHOOSE(CONTROL!$C$32, $C$9, 100%, $E$9)</f>
        <v>15.807700000000001</v>
      </c>
    </row>
    <row r="976" spans="1:15" ht="15" x14ac:dyDescent="0.2">
      <c r="A976" s="16">
        <v>70554</v>
      </c>
      <c r="B976" s="26">
        <f>14.4342 * CHOOSE(CONTROL!$C$32, $C$9, 100%, $E$9)</f>
        <v>14.434200000000001</v>
      </c>
      <c r="C976" s="26">
        <f>14.4342 * CHOOSE(CONTROL!$C$32, $C$9, 100%, $E$9)</f>
        <v>14.434200000000001</v>
      </c>
      <c r="D976" s="26">
        <f>14.4353 * CHOOSE(CONTROL!$C$32, $C$9, 100%, $E$9)</f>
        <v>14.4353</v>
      </c>
      <c r="E976" s="27">
        <f>16.1582 * CHOOSE(CONTROL!$C$32, $C$9, 100%, $E$9)</f>
        <v>16.158200000000001</v>
      </c>
      <c r="F976" s="27">
        <f>16.1582 * CHOOSE(CONTROL!$C$32, $C$9, 100%, $E$9)</f>
        <v>16.158200000000001</v>
      </c>
      <c r="G976" s="27">
        <f>16.1618 * CHOOSE(CONTROL!$C$32, $C$9, 100%, $E$9)</f>
        <v>16.161799999999999</v>
      </c>
      <c r="H976" s="27">
        <f>33.0362 * CHOOSE(CONTROL!$C$32, $C$9, 100%, $E$9)</f>
        <v>33.036200000000001</v>
      </c>
      <c r="I976" s="27">
        <f>33.0398 * CHOOSE(CONTROL!$C$32, $C$9, 100%, $E$9)</f>
        <v>33.0398</v>
      </c>
      <c r="J976" s="27">
        <f>33.0362 * CHOOSE(CONTROL!$C$32, $C$9, 100%, $E$9)</f>
        <v>33.036200000000001</v>
      </c>
      <c r="K976" s="27">
        <f>33.0398 * CHOOSE(CONTROL!$C$32, $C$9, 100%, $E$9)</f>
        <v>33.0398</v>
      </c>
      <c r="L976" s="27">
        <f>16.1582 * CHOOSE(CONTROL!$C$32, $C$9, 100%, $E$9)</f>
        <v>16.158200000000001</v>
      </c>
      <c r="M976" s="27">
        <f>16.1618 * CHOOSE(CONTROL!$C$32, $C$9, 100%, $E$9)</f>
        <v>16.161799999999999</v>
      </c>
      <c r="N976" s="27">
        <f>16.1582 * CHOOSE(CONTROL!$C$32, $C$9, 100%, $E$9)</f>
        <v>16.158200000000001</v>
      </c>
      <c r="O976" s="27">
        <f>16.1618 * CHOOSE(CONTROL!$C$32, $C$9, 100%, $E$9)</f>
        <v>16.161799999999999</v>
      </c>
    </row>
    <row r="977" spans="1:15" ht="15" x14ac:dyDescent="0.2">
      <c r="A977" s="16">
        <v>70585</v>
      </c>
      <c r="B977" s="26">
        <f>14.442 * CHOOSE(CONTROL!$C$32, $C$9, 100%, $E$9)</f>
        <v>14.442</v>
      </c>
      <c r="C977" s="26">
        <f>14.442 * CHOOSE(CONTROL!$C$32, $C$9, 100%, $E$9)</f>
        <v>14.442</v>
      </c>
      <c r="D977" s="26">
        <f>14.4431 * CHOOSE(CONTROL!$C$32, $C$9, 100%, $E$9)</f>
        <v>14.443099999999999</v>
      </c>
      <c r="E977" s="27">
        <f>16.5366 * CHOOSE(CONTROL!$C$32, $C$9, 100%, $E$9)</f>
        <v>16.5366</v>
      </c>
      <c r="F977" s="27">
        <f>16.5366 * CHOOSE(CONTROL!$C$32, $C$9, 100%, $E$9)</f>
        <v>16.5366</v>
      </c>
      <c r="G977" s="27">
        <f>16.5402 * CHOOSE(CONTROL!$C$32, $C$9, 100%, $E$9)</f>
        <v>16.540199999999999</v>
      </c>
      <c r="H977" s="27">
        <f>33.105 * CHOOSE(CONTROL!$C$32, $C$9, 100%, $E$9)</f>
        <v>33.104999999999997</v>
      </c>
      <c r="I977" s="27">
        <f>33.1086 * CHOOSE(CONTROL!$C$32, $C$9, 100%, $E$9)</f>
        <v>33.108600000000003</v>
      </c>
      <c r="J977" s="27">
        <f>33.105 * CHOOSE(CONTROL!$C$32, $C$9, 100%, $E$9)</f>
        <v>33.104999999999997</v>
      </c>
      <c r="K977" s="27">
        <f>33.1086 * CHOOSE(CONTROL!$C$32, $C$9, 100%, $E$9)</f>
        <v>33.108600000000003</v>
      </c>
      <c r="L977" s="27">
        <f>16.5366 * CHOOSE(CONTROL!$C$32, $C$9, 100%, $E$9)</f>
        <v>16.5366</v>
      </c>
      <c r="M977" s="27">
        <f>16.5402 * CHOOSE(CONTROL!$C$32, $C$9, 100%, $E$9)</f>
        <v>16.540199999999999</v>
      </c>
      <c r="N977" s="27">
        <f>16.5366 * CHOOSE(CONTROL!$C$32, $C$9, 100%, $E$9)</f>
        <v>16.5366</v>
      </c>
      <c r="O977" s="27">
        <f>16.5402 * CHOOSE(CONTROL!$C$32, $C$9, 100%, $E$9)</f>
        <v>16.540199999999999</v>
      </c>
    </row>
    <row r="978" spans="1:15" ht="15" x14ac:dyDescent="0.2">
      <c r="A978" s="16">
        <v>70615</v>
      </c>
      <c r="B978" s="26">
        <f>14.442 * CHOOSE(CONTROL!$C$32, $C$9, 100%, $E$9)</f>
        <v>14.442</v>
      </c>
      <c r="C978" s="26">
        <f>14.442 * CHOOSE(CONTROL!$C$32, $C$9, 100%, $E$9)</f>
        <v>14.442</v>
      </c>
      <c r="D978" s="26">
        <f>14.4436 * CHOOSE(CONTROL!$C$32, $C$9, 100%, $E$9)</f>
        <v>14.4436</v>
      </c>
      <c r="E978" s="27">
        <f>16.68 * CHOOSE(CONTROL!$C$32, $C$9, 100%, $E$9)</f>
        <v>16.68</v>
      </c>
      <c r="F978" s="27">
        <f>16.68 * CHOOSE(CONTROL!$C$32, $C$9, 100%, $E$9)</f>
        <v>16.68</v>
      </c>
      <c r="G978" s="27">
        <f>16.6853 * CHOOSE(CONTROL!$C$32, $C$9, 100%, $E$9)</f>
        <v>16.685300000000002</v>
      </c>
      <c r="H978" s="27">
        <f>33.1739 * CHOOSE(CONTROL!$C$32, $C$9, 100%, $E$9)</f>
        <v>33.173900000000003</v>
      </c>
      <c r="I978" s="27">
        <f>33.1792 * CHOOSE(CONTROL!$C$32, $C$9, 100%, $E$9)</f>
        <v>33.179200000000002</v>
      </c>
      <c r="J978" s="27">
        <f>33.1739 * CHOOSE(CONTROL!$C$32, $C$9, 100%, $E$9)</f>
        <v>33.173900000000003</v>
      </c>
      <c r="K978" s="27">
        <f>33.1792 * CHOOSE(CONTROL!$C$32, $C$9, 100%, $E$9)</f>
        <v>33.179200000000002</v>
      </c>
      <c r="L978" s="27">
        <f>16.68 * CHOOSE(CONTROL!$C$32, $C$9, 100%, $E$9)</f>
        <v>16.68</v>
      </c>
      <c r="M978" s="27">
        <f>16.6853 * CHOOSE(CONTROL!$C$32, $C$9, 100%, $E$9)</f>
        <v>16.685300000000002</v>
      </c>
      <c r="N978" s="27">
        <f>16.68 * CHOOSE(CONTROL!$C$32, $C$9, 100%, $E$9)</f>
        <v>16.68</v>
      </c>
      <c r="O978" s="27">
        <f>16.6853 * CHOOSE(CONTROL!$C$32, $C$9, 100%, $E$9)</f>
        <v>16.685300000000002</v>
      </c>
    </row>
    <row r="979" spans="1:15" ht="15" x14ac:dyDescent="0.2">
      <c r="A979" s="16">
        <v>70646</v>
      </c>
      <c r="B979" s="26">
        <f>14.4481 * CHOOSE(CONTROL!$C$32, $C$9, 100%, $E$9)</f>
        <v>14.4481</v>
      </c>
      <c r="C979" s="26">
        <f>14.4481 * CHOOSE(CONTROL!$C$32, $C$9, 100%, $E$9)</f>
        <v>14.4481</v>
      </c>
      <c r="D979" s="26">
        <f>14.4497 * CHOOSE(CONTROL!$C$32, $C$9, 100%, $E$9)</f>
        <v>14.4497</v>
      </c>
      <c r="E979" s="27">
        <f>16.5408 * CHOOSE(CONTROL!$C$32, $C$9, 100%, $E$9)</f>
        <v>16.540800000000001</v>
      </c>
      <c r="F979" s="27">
        <f>16.5408 * CHOOSE(CONTROL!$C$32, $C$9, 100%, $E$9)</f>
        <v>16.540800000000001</v>
      </c>
      <c r="G979" s="27">
        <f>16.5461 * CHOOSE(CONTROL!$C$32, $C$9, 100%, $E$9)</f>
        <v>16.546099999999999</v>
      </c>
      <c r="H979" s="27">
        <f>33.2431 * CHOOSE(CONTROL!$C$32, $C$9, 100%, $E$9)</f>
        <v>33.243099999999998</v>
      </c>
      <c r="I979" s="27">
        <f>33.2484 * CHOOSE(CONTROL!$C$32, $C$9, 100%, $E$9)</f>
        <v>33.248399999999997</v>
      </c>
      <c r="J979" s="27">
        <f>33.2431 * CHOOSE(CONTROL!$C$32, $C$9, 100%, $E$9)</f>
        <v>33.243099999999998</v>
      </c>
      <c r="K979" s="27">
        <f>33.2484 * CHOOSE(CONTROL!$C$32, $C$9, 100%, $E$9)</f>
        <v>33.248399999999997</v>
      </c>
      <c r="L979" s="27">
        <f>16.5408 * CHOOSE(CONTROL!$C$32, $C$9, 100%, $E$9)</f>
        <v>16.540800000000001</v>
      </c>
      <c r="M979" s="27">
        <f>16.5461 * CHOOSE(CONTROL!$C$32, $C$9, 100%, $E$9)</f>
        <v>16.546099999999999</v>
      </c>
      <c r="N979" s="27">
        <f>16.5408 * CHOOSE(CONTROL!$C$32, $C$9, 100%, $E$9)</f>
        <v>16.540800000000001</v>
      </c>
      <c r="O979" s="27">
        <f>16.5461 * CHOOSE(CONTROL!$C$32, $C$9, 100%, $E$9)</f>
        <v>16.546099999999999</v>
      </c>
    </row>
    <row r="980" spans="1:15" ht="15" x14ac:dyDescent="0.2">
      <c r="A980" s="16">
        <v>70676</v>
      </c>
      <c r="B980" s="26">
        <f>14.6213 * CHOOSE(CONTROL!$C$32, $C$9, 100%, $E$9)</f>
        <v>14.6213</v>
      </c>
      <c r="C980" s="26">
        <f>14.6213 * CHOOSE(CONTROL!$C$32, $C$9, 100%, $E$9)</f>
        <v>14.6213</v>
      </c>
      <c r="D980" s="26">
        <f>14.6228 * CHOOSE(CONTROL!$C$32, $C$9, 100%, $E$9)</f>
        <v>14.6228</v>
      </c>
      <c r="E980" s="27">
        <f>16.7759 * CHOOSE(CONTROL!$C$32, $C$9, 100%, $E$9)</f>
        <v>16.7759</v>
      </c>
      <c r="F980" s="27">
        <f>16.7759 * CHOOSE(CONTROL!$C$32, $C$9, 100%, $E$9)</f>
        <v>16.7759</v>
      </c>
      <c r="G980" s="27">
        <f>16.7811 * CHOOSE(CONTROL!$C$32, $C$9, 100%, $E$9)</f>
        <v>16.781099999999999</v>
      </c>
      <c r="H980" s="27">
        <f>33.3123 * CHOOSE(CONTROL!$C$32, $C$9, 100%, $E$9)</f>
        <v>33.3123</v>
      </c>
      <c r="I980" s="27">
        <f>33.3176 * CHOOSE(CONTROL!$C$32, $C$9, 100%, $E$9)</f>
        <v>33.317599999999999</v>
      </c>
      <c r="J980" s="27">
        <f>33.3123 * CHOOSE(CONTROL!$C$32, $C$9, 100%, $E$9)</f>
        <v>33.3123</v>
      </c>
      <c r="K980" s="27">
        <f>33.3176 * CHOOSE(CONTROL!$C$32, $C$9, 100%, $E$9)</f>
        <v>33.317599999999999</v>
      </c>
      <c r="L980" s="27">
        <f>16.7759 * CHOOSE(CONTROL!$C$32, $C$9, 100%, $E$9)</f>
        <v>16.7759</v>
      </c>
      <c r="M980" s="27">
        <f>16.7811 * CHOOSE(CONTROL!$C$32, $C$9, 100%, $E$9)</f>
        <v>16.781099999999999</v>
      </c>
      <c r="N980" s="27">
        <f>16.7759 * CHOOSE(CONTROL!$C$32, $C$9, 100%, $E$9)</f>
        <v>16.7759</v>
      </c>
      <c r="O980" s="27">
        <f>16.7811 * CHOOSE(CONTROL!$C$32, $C$9, 100%, $E$9)</f>
        <v>16.781099999999999</v>
      </c>
    </row>
    <row r="981" spans="1:15" ht="15" x14ac:dyDescent="0.2">
      <c r="A981" s="16">
        <v>70707</v>
      </c>
      <c r="B981" s="26">
        <f>14.6279 * CHOOSE(CONTROL!$C$32, $C$9, 100%, $E$9)</f>
        <v>14.6279</v>
      </c>
      <c r="C981" s="26">
        <f>14.6279 * CHOOSE(CONTROL!$C$32, $C$9, 100%, $E$9)</f>
        <v>14.6279</v>
      </c>
      <c r="D981" s="26">
        <f>14.6295 * CHOOSE(CONTROL!$C$32, $C$9, 100%, $E$9)</f>
        <v>14.6295</v>
      </c>
      <c r="E981" s="27">
        <f>16.3501 * CHOOSE(CONTROL!$C$32, $C$9, 100%, $E$9)</f>
        <v>16.350100000000001</v>
      </c>
      <c r="F981" s="27">
        <f>16.3501 * CHOOSE(CONTROL!$C$32, $C$9, 100%, $E$9)</f>
        <v>16.350100000000001</v>
      </c>
      <c r="G981" s="27">
        <f>16.3554 * CHOOSE(CONTROL!$C$32, $C$9, 100%, $E$9)</f>
        <v>16.355399999999999</v>
      </c>
      <c r="H981" s="27">
        <f>33.3817 * CHOOSE(CONTROL!$C$32, $C$9, 100%, $E$9)</f>
        <v>33.381700000000002</v>
      </c>
      <c r="I981" s="27">
        <f>33.387 * CHOOSE(CONTROL!$C$32, $C$9, 100%, $E$9)</f>
        <v>33.387</v>
      </c>
      <c r="J981" s="27">
        <f>33.3817 * CHOOSE(CONTROL!$C$32, $C$9, 100%, $E$9)</f>
        <v>33.381700000000002</v>
      </c>
      <c r="K981" s="27">
        <f>33.387 * CHOOSE(CONTROL!$C$32, $C$9, 100%, $E$9)</f>
        <v>33.387</v>
      </c>
      <c r="L981" s="27">
        <f>16.3501 * CHOOSE(CONTROL!$C$32, $C$9, 100%, $E$9)</f>
        <v>16.350100000000001</v>
      </c>
      <c r="M981" s="27">
        <f>16.3554 * CHOOSE(CONTROL!$C$32, $C$9, 100%, $E$9)</f>
        <v>16.355399999999999</v>
      </c>
      <c r="N981" s="27">
        <f>16.3501 * CHOOSE(CONTROL!$C$32, $C$9, 100%, $E$9)</f>
        <v>16.350100000000001</v>
      </c>
      <c r="O981" s="27">
        <f>16.3554 * CHOOSE(CONTROL!$C$32, $C$9, 100%, $E$9)</f>
        <v>16.355399999999999</v>
      </c>
    </row>
    <row r="982" spans="1:15" ht="15" x14ac:dyDescent="0.2">
      <c r="A982" s="16">
        <v>70738</v>
      </c>
      <c r="B982" s="26">
        <f>14.6249 * CHOOSE(CONTROL!$C$32, $C$9, 100%, $E$9)</f>
        <v>14.6249</v>
      </c>
      <c r="C982" s="26">
        <f>14.6249 * CHOOSE(CONTROL!$C$32, $C$9, 100%, $E$9)</f>
        <v>14.6249</v>
      </c>
      <c r="D982" s="26">
        <f>14.6265 * CHOOSE(CONTROL!$C$32, $C$9, 100%, $E$9)</f>
        <v>14.6265</v>
      </c>
      <c r="E982" s="27">
        <f>16.3002 * CHOOSE(CONTROL!$C$32, $C$9, 100%, $E$9)</f>
        <v>16.3002</v>
      </c>
      <c r="F982" s="27">
        <f>16.3002 * CHOOSE(CONTROL!$C$32, $C$9, 100%, $E$9)</f>
        <v>16.3002</v>
      </c>
      <c r="G982" s="27">
        <f>16.3055 * CHOOSE(CONTROL!$C$32, $C$9, 100%, $E$9)</f>
        <v>16.305499999999999</v>
      </c>
      <c r="H982" s="27">
        <f>33.4513 * CHOOSE(CONTROL!$C$32, $C$9, 100%, $E$9)</f>
        <v>33.451300000000003</v>
      </c>
      <c r="I982" s="27">
        <f>33.4566 * CHOOSE(CONTROL!$C$32, $C$9, 100%, $E$9)</f>
        <v>33.456600000000002</v>
      </c>
      <c r="J982" s="27">
        <f>33.4513 * CHOOSE(CONTROL!$C$32, $C$9, 100%, $E$9)</f>
        <v>33.451300000000003</v>
      </c>
      <c r="K982" s="27">
        <f>33.4566 * CHOOSE(CONTROL!$C$32, $C$9, 100%, $E$9)</f>
        <v>33.456600000000002</v>
      </c>
      <c r="L982" s="27">
        <f>16.3002 * CHOOSE(CONTROL!$C$32, $C$9, 100%, $E$9)</f>
        <v>16.3002</v>
      </c>
      <c r="M982" s="27">
        <f>16.3055 * CHOOSE(CONTROL!$C$32, $C$9, 100%, $E$9)</f>
        <v>16.305499999999999</v>
      </c>
      <c r="N982" s="27">
        <f>16.3002 * CHOOSE(CONTROL!$C$32, $C$9, 100%, $E$9)</f>
        <v>16.3002</v>
      </c>
      <c r="O982" s="27">
        <f>16.3055 * CHOOSE(CONTROL!$C$32, $C$9, 100%, $E$9)</f>
        <v>16.305499999999999</v>
      </c>
    </row>
    <row r="983" spans="1:15" ht="15" x14ac:dyDescent="0.2">
      <c r="A983" s="16">
        <v>70768</v>
      </c>
      <c r="B983" s="26">
        <f>14.6597 * CHOOSE(CONTROL!$C$32, $C$9, 100%, $E$9)</f>
        <v>14.659700000000001</v>
      </c>
      <c r="C983" s="26">
        <f>14.6597 * CHOOSE(CONTROL!$C$32, $C$9, 100%, $E$9)</f>
        <v>14.659700000000001</v>
      </c>
      <c r="D983" s="26">
        <f>14.6608 * CHOOSE(CONTROL!$C$32, $C$9, 100%, $E$9)</f>
        <v>14.6608</v>
      </c>
      <c r="E983" s="27">
        <f>16.478 * CHOOSE(CONTROL!$C$32, $C$9, 100%, $E$9)</f>
        <v>16.478000000000002</v>
      </c>
      <c r="F983" s="27">
        <f>16.478 * CHOOSE(CONTROL!$C$32, $C$9, 100%, $E$9)</f>
        <v>16.478000000000002</v>
      </c>
      <c r="G983" s="27">
        <f>16.4817 * CHOOSE(CONTROL!$C$32, $C$9, 100%, $E$9)</f>
        <v>16.4817</v>
      </c>
      <c r="H983" s="27">
        <f>33.521 * CHOOSE(CONTROL!$C$32, $C$9, 100%, $E$9)</f>
        <v>33.521000000000001</v>
      </c>
      <c r="I983" s="27">
        <f>33.5246 * CHOOSE(CONTROL!$C$32, $C$9, 100%, $E$9)</f>
        <v>33.5246</v>
      </c>
      <c r="J983" s="27">
        <f>33.521 * CHOOSE(CONTROL!$C$32, $C$9, 100%, $E$9)</f>
        <v>33.521000000000001</v>
      </c>
      <c r="K983" s="27">
        <f>33.5246 * CHOOSE(CONTROL!$C$32, $C$9, 100%, $E$9)</f>
        <v>33.5246</v>
      </c>
      <c r="L983" s="27">
        <f>16.478 * CHOOSE(CONTROL!$C$32, $C$9, 100%, $E$9)</f>
        <v>16.478000000000002</v>
      </c>
      <c r="M983" s="27">
        <f>16.4817 * CHOOSE(CONTROL!$C$32, $C$9, 100%, $E$9)</f>
        <v>16.4817</v>
      </c>
      <c r="N983" s="27">
        <f>16.478 * CHOOSE(CONTROL!$C$32, $C$9, 100%, $E$9)</f>
        <v>16.478000000000002</v>
      </c>
      <c r="O983" s="27">
        <f>16.4817 * CHOOSE(CONTROL!$C$32, $C$9, 100%, $E$9)</f>
        <v>16.4817</v>
      </c>
    </row>
    <row r="984" spans="1:15" ht="15" x14ac:dyDescent="0.2">
      <c r="A984" s="16">
        <v>70799</v>
      </c>
      <c r="B984" s="26">
        <f>14.6627 * CHOOSE(CONTROL!$C$32, $C$9, 100%, $E$9)</f>
        <v>14.662699999999999</v>
      </c>
      <c r="C984" s="26">
        <f>14.6627 * CHOOSE(CONTROL!$C$32, $C$9, 100%, $E$9)</f>
        <v>14.662699999999999</v>
      </c>
      <c r="D984" s="26">
        <f>14.6638 * CHOOSE(CONTROL!$C$32, $C$9, 100%, $E$9)</f>
        <v>14.6638</v>
      </c>
      <c r="E984" s="27">
        <f>16.5758 * CHOOSE(CONTROL!$C$32, $C$9, 100%, $E$9)</f>
        <v>16.575800000000001</v>
      </c>
      <c r="F984" s="27">
        <f>16.5758 * CHOOSE(CONTROL!$C$32, $C$9, 100%, $E$9)</f>
        <v>16.575800000000001</v>
      </c>
      <c r="G984" s="27">
        <f>16.5794 * CHOOSE(CONTROL!$C$32, $C$9, 100%, $E$9)</f>
        <v>16.5794</v>
      </c>
      <c r="H984" s="27">
        <f>33.5908 * CHOOSE(CONTROL!$C$32, $C$9, 100%, $E$9)</f>
        <v>33.590800000000002</v>
      </c>
      <c r="I984" s="27">
        <f>33.5944 * CHOOSE(CONTROL!$C$32, $C$9, 100%, $E$9)</f>
        <v>33.5944</v>
      </c>
      <c r="J984" s="27">
        <f>33.5908 * CHOOSE(CONTROL!$C$32, $C$9, 100%, $E$9)</f>
        <v>33.590800000000002</v>
      </c>
      <c r="K984" s="27">
        <f>33.5944 * CHOOSE(CONTROL!$C$32, $C$9, 100%, $E$9)</f>
        <v>33.5944</v>
      </c>
      <c r="L984" s="27">
        <f>16.5758 * CHOOSE(CONTROL!$C$32, $C$9, 100%, $E$9)</f>
        <v>16.575800000000001</v>
      </c>
      <c r="M984" s="27">
        <f>16.5794 * CHOOSE(CONTROL!$C$32, $C$9, 100%, $E$9)</f>
        <v>16.5794</v>
      </c>
      <c r="N984" s="27">
        <f>16.5758 * CHOOSE(CONTROL!$C$32, $C$9, 100%, $E$9)</f>
        <v>16.575800000000001</v>
      </c>
      <c r="O984" s="27">
        <f>16.5794 * CHOOSE(CONTROL!$C$32, $C$9, 100%, $E$9)</f>
        <v>16.5794</v>
      </c>
    </row>
    <row r="985" spans="1:15" ht="15" x14ac:dyDescent="0.2">
      <c r="A985" s="16">
        <v>70829</v>
      </c>
      <c r="B985" s="26">
        <f>14.6627 * CHOOSE(CONTROL!$C$32, $C$9, 100%, $E$9)</f>
        <v>14.662699999999999</v>
      </c>
      <c r="C985" s="26">
        <f>14.6627 * CHOOSE(CONTROL!$C$32, $C$9, 100%, $E$9)</f>
        <v>14.662699999999999</v>
      </c>
      <c r="D985" s="26">
        <f>14.6638 * CHOOSE(CONTROL!$C$32, $C$9, 100%, $E$9)</f>
        <v>14.6638</v>
      </c>
      <c r="E985" s="27">
        <f>16.3367 * CHOOSE(CONTROL!$C$32, $C$9, 100%, $E$9)</f>
        <v>16.3367</v>
      </c>
      <c r="F985" s="27">
        <f>16.3367 * CHOOSE(CONTROL!$C$32, $C$9, 100%, $E$9)</f>
        <v>16.3367</v>
      </c>
      <c r="G985" s="27">
        <f>16.3403 * CHOOSE(CONTROL!$C$32, $C$9, 100%, $E$9)</f>
        <v>16.340299999999999</v>
      </c>
      <c r="H985" s="27">
        <f>33.6608 * CHOOSE(CONTROL!$C$32, $C$9, 100%, $E$9)</f>
        <v>33.660800000000002</v>
      </c>
      <c r="I985" s="27">
        <f>33.6644 * CHOOSE(CONTROL!$C$32, $C$9, 100%, $E$9)</f>
        <v>33.664400000000001</v>
      </c>
      <c r="J985" s="27">
        <f>33.6608 * CHOOSE(CONTROL!$C$32, $C$9, 100%, $E$9)</f>
        <v>33.660800000000002</v>
      </c>
      <c r="K985" s="27">
        <f>33.6644 * CHOOSE(CONTROL!$C$32, $C$9, 100%, $E$9)</f>
        <v>33.664400000000001</v>
      </c>
      <c r="L985" s="27">
        <f>16.3367 * CHOOSE(CONTROL!$C$32, $C$9, 100%, $E$9)</f>
        <v>16.3367</v>
      </c>
      <c r="M985" s="27">
        <f>16.3403 * CHOOSE(CONTROL!$C$32, $C$9, 100%, $E$9)</f>
        <v>16.340299999999999</v>
      </c>
      <c r="N985" s="27">
        <f>16.3367 * CHOOSE(CONTROL!$C$32, $C$9, 100%, $E$9)</f>
        <v>16.3367</v>
      </c>
      <c r="O985" s="27">
        <f>16.3403 * CHOOSE(CONTROL!$C$32, $C$9, 100%, $E$9)</f>
        <v>16.340299999999999</v>
      </c>
    </row>
    <row r="986" spans="1:15" ht="15" x14ac:dyDescent="0.2">
      <c r="A986" s="16">
        <v>70860</v>
      </c>
      <c r="B986" s="26">
        <f>14.6277 * CHOOSE(CONTROL!$C$32, $C$9, 100%, $E$9)</f>
        <v>14.627700000000001</v>
      </c>
      <c r="C986" s="26">
        <f>14.6277 * CHOOSE(CONTROL!$C$32, $C$9, 100%, $E$9)</f>
        <v>14.627700000000001</v>
      </c>
      <c r="D986" s="26">
        <f>14.6287 * CHOOSE(CONTROL!$C$32, $C$9, 100%, $E$9)</f>
        <v>14.6287</v>
      </c>
      <c r="E986" s="27">
        <f>16.4706 * CHOOSE(CONTROL!$C$32, $C$9, 100%, $E$9)</f>
        <v>16.470600000000001</v>
      </c>
      <c r="F986" s="27">
        <f>16.4706 * CHOOSE(CONTROL!$C$32, $C$9, 100%, $E$9)</f>
        <v>16.470600000000001</v>
      </c>
      <c r="G986" s="27">
        <f>16.4742 * CHOOSE(CONTROL!$C$32, $C$9, 100%, $E$9)</f>
        <v>16.4742</v>
      </c>
      <c r="H986" s="27">
        <f>33.3524 * CHOOSE(CONTROL!$C$32, $C$9, 100%, $E$9)</f>
        <v>33.352400000000003</v>
      </c>
      <c r="I986" s="27">
        <f>33.3561 * CHOOSE(CONTROL!$C$32, $C$9, 100%, $E$9)</f>
        <v>33.356099999999998</v>
      </c>
      <c r="J986" s="27">
        <f>33.3524 * CHOOSE(CONTROL!$C$32, $C$9, 100%, $E$9)</f>
        <v>33.352400000000003</v>
      </c>
      <c r="K986" s="27">
        <f>33.3561 * CHOOSE(CONTROL!$C$32, $C$9, 100%, $E$9)</f>
        <v>33.356099999999998</v>
      </c>
      <c r="L986" s="27">
        <f>16.4706 * CHOOSE(CONTROL!$C$32, $C$9, 100%, $E$9)</f>
        <v>16.470600000000001</v>
      </c>
      <c r="M986" s="27">
        <f>16.4742 * CHOOSE(CONTROL!$C$32, $C$9, 100%, $E$9)</f>
        <v>16.4742</v>
      </c>
      <c r="N986" s="27">
        <f>16.4706 * CHOOSE(CONTROL!$C$32, $C$9, 100%, $E$9)</f>
        <v>16.470600000000001</v>
      </c>
      <c r="O986" s="27">
        <f>16.4742 * CHOOSE(CONTROL!$C$32, $C$9, 100%, $E$9)</f>
        <v>16.4742</v>
      </c>
    </row>
    <row r="987" spans="1:15" ht="15" x14ac:dyDescent="0.2">
      <c r="A987" s="16">
        <v>70891</v>
      </c>
      <c r="B987" s="26">
        <f>14.6246 * CHOOSE(CONTROL!$C$32, $C$9, 100%, $E$9)</f>
        <v>14.624599999999999</v>
      </c>
      <c r="C987" s="26">
        <f>14.6246 * CHOOSE(CONTROL!$C$32, $C$9, 100%, $E$9)</f>
        <v>14.624599999999999</v>
      </c>
      <c r="D987" s="26">
        <f>14.6257 * CHOOSE(CONTROL!$C$32, $C$9, 100%, $E$9)</f>
        <v>14.6257</v>
      </c>
      <c r="E987" s="27">
        <f>16.0095 * CHOOSE(CONTROL!$C$32, $C$9, 100%, $E$9)</f>
        <v>16.009499999999999</v>
      </c>
      <c r="F987" s="27">
        <f>16.0095 * CHOOSE(CONTROL!$C$32, $C$9, 100%, $E$9)</f>
        <v>16.009499999999999</v>
      </c>
      <c r="G987" s="27">
        <f>16.0132 * CHOOSE(CONTROL!$C$32, $C$9, 100%, $E$9)</f>
        <v>16.013200000000001</v>
      </c>
      <c r="H987" s="27">
        <f>33.4219 * CHOOSE(CONTROL!$C$32, $C$9, 100%, $E$9)</f>
        <v>33.421900000000001</v>
      </c>
      <c r="I987" s="27">
        <f>33.4255 * CHOOSE(CONTROL!$C$32, $C$9, 100%, $E$9)</f>
        <v>33.4255</v>
      </c>
      <c r="J987" s="27">
        <f>33.4219 * CHOOSE(CONTROL!$C$32, $C$9, 100%, $E$9)</f>
        <v>33.421900000000001</v>
      </c>
      <c r="K987" s="27">
        <f>33.4255 * CHOOSE(CONTROL!$C$32, $C$9, 100%, $E$9)</f>
        <v>33.4255</v>
      </c>
      <c r="L987" s="27">
        <f>16.0095 * CHOOSE(CONTROL!$C$32, $C$9, 100%, $E$9)</f>
        <v>16.009499999999999</v>
      </c>
      <c r="M987" s="27">
        <f>16.0132 * CHOOSE(CONTROL!$C$32, $C$9, 100%, $E$9)</f>
        <v>16.013200000000001</v>
      </c>
      <c r="N987" s="27">
        <f>16.0095 * CHOOSE(CONTROL!$C$32, $C$9, 100%, $E$9)</f>
        <v>16.009499999999999</v>
      </c>
      <c r="O987" s="27">
        <f>16.0132 * CHOOSE(CONTROL!$C$32, $C$9, 100%, $E$9)</f>
        <v>16.013200000000001</v>
      </c>
    </row>
    <row r="988" spans="1:15" ht="15" x14ac:dyDescent="0.2">
      <c r="A988" s="16">
        <v>70919</v>
      </c>
      <c r="B988" s="26">
        <f>14.6216 * CHOOSE(CONTROL!$C$32, $C$9, 100%, $E$9)</f>
        <v>14.621600000000001</v>
      </c>
      <c r="C988" s="26">
        <f>14.6216 * CHOOSE(CONTROL!$C$32, $C$9, 100%, $E$9)</f>
        <v>14.621600000000001</v>
      </c>
      <c r="D988" s="26">
        <f>14.6227 * CHOOSE(CONTROL!$C$32, $C$9, 100%, $E$9)</f>
        <v>14.6227</v>
      </c>
      <c r="E988" s="27">
        <f>16.3692 * CHOOSE(CONTROL!$C$32, $C$9, 100%, $E$9)</f>
        <v>16.369199999999999</v>
      </c>
      <c r="F988" s="27">
        <f>16.3692 * CHOOSE(CONTROL!$C$32, $C$9, 100%, $E$9)</f>
        <v>16.369199999999999</v>
      </c>
      <c r="G988" s="27">
        <f>16.3729 * CHOOSE(CONTROL!$C$32, $C$9, 100%, $E$9)</f>
        <v>16.372900000000001</v>
      </c>
      <c r="H988" s="27">
        <f>33.4915 * CHOOSE(CONTROL!$C$32, $C$9, 100%, $E$9)</f>
        <v>33.491500000000002</v>
      </c>
      <c r="I988" s="27">
        <f>33.4952 * CHOOSE(CONTROL!$C$32, $C$9, 100%, $E$9)</f>
        <v>33.495199999999997</v>
      </c>
      <c r="J988" s="27">
        <f>33.4915 * CHOOSE(CONTROL!$C$32, $C$9, 100%, $E$9)</f>
        <v>33.491500000000002</v>
      </c>
      <c r="K988" s="27">
        <f>33.4952 * CHOOSE(CONTROL!$C$32, $C$9, 100%, $E$9)</f>
        <v>33.495199999999997</v>
      </c>
      <c r="L988" s="27">
        <f>16.3692 * CHOOSE(CONTROL!$C$32, $C$9, 100%, $E$9)</f>
        <v>16.369199999999999</v>
      </c>
      <c r="M988" s="27">
        <f>16.3729 * CHOOSE(CONTROL!$C$32, $C$9, 100%, $E$9)</f>
        <v>16.372900000000001</v>
      </c>
      <c r="N988" s="27">
        <f>16.3692 * CHOOSE(CONTROL!$C$32, $C$9, 100%, $E$9)</f>
        <v>16.369199999999999</v>
      </c>
      <c r="O988" s="27">
        <f>16.3729 * CHOOSE(CONTROL!$C$32, $C$9, 100%, $E$9)</f>
        <v>16.372900000000001</v>
      </c>
    </row>
    <row r="989" spans="1:15" ht="15" x14ac:dyDescent="0.2">
      <c r="A989" s="16">
        <v>70950</v>
      </c>
      <c r="B989" s="26">
        <f>14.6296 * CHOOSE(CONTROL!$C$32, $C$9, 100%, $E$9)</f>
        <v>14.6296</v>
      </c>
      <c r="C989" s="26">
        <f>14.6296 * CHOOSE(CONTROL!$C$32, $C$9, 100%, $E$9)</f>
        <v>14.6296</v>
      </c>
      <c r="D989" s="26">
        <f>14.6306 * CHOOSE(CONTROL!$C$32, $C$9, 100%, $E$9)</f>
        <v>14.630599999999999</v>
      </c>
      <c r="E989" s="27">
        <f>16.7536 * CHOOSE(CONTROL!$C$32, $C$9, 100%, $E$9)</f>
        <v>16.753599999999999</v>
      </c>
      <c r="F989" s="27">
        <f>16.7536 * CHOOSE(CONTROL!$C$32, $C$9, 100%, $E$9)</f>
        <v>16.753599999999999</v>
      </c>
      <c r="G989" s="27">
        <f>16.7572 * CHOOSE(CONTROL!$C$32, $C$9, 100%, $E$9)</f>
        <v>16.757200000000001</v>
      </c>
      <c r="H989" s="27">
        <f>33.5613 * CHOOSE(CONTROL!$C$32, $C$9, 100%, $E$9)</f>
        <v>33.561300000000003</v>
      </c>
      <c r="I989" s="27">
        <f>33.5649 * CHOOSE(CONTROL!$C$32, $C$9, 100%, $E$9)</f>
        <v>33.564900000000002</v>
      </c>
      <c r="J989" s="27">
        <f>33.5613 * CHOOSE(CONTROL!$C$32, $C$9, 100%, $E$9)</f>
        <v>33.561300000000003</v>
      </c>
      <c r="K989" s="27">
        <f>33.5649 * CHOOSE(CONTROL!$C$32, $C$9, 100%, $E$9)</f>
        <v>33.564900000000002</v>
      </c>
      <c r="L989" s="27">
        <f>16.7536 * CHOOSE(CONTROL!$C$32, $C$9, 100%, $E$9)</f>
        <v>16.753599999999999</v>
      </c>
      <c r="M989" s="27">
        <f>16.7572 * CHOOSE(CONTROL!$C$32, $C$9, 100%, $E$9)</f>
        <v>16.757200000000001</v>
      </c>
      <c r="N989" s="27">
        <f>16.7536 * CHOOSE(CONTROL!$C$32, $C$9, 100%, $E$9)</f>
        <v>16.753599999999999</v>
      </c>
      <c r="O989" s="27">
        <f>16.7572 * CHOOSE(CONTROL!$C$32, $C$9, 100%, $E$9)</f>
        <v>16.757200000000001</v>
      </c>
    </row>
    <row r="990" spans="1:15" ht="15" x14ac:dyDescent="0.2">
      <c r="A990" s="16">
        <v>70980</v>
      </c>
      <c r="B990" s="26">
        <f>14.6296 * CHOOSE(CONTROL!$C$32, $C$9, 100%, $E$9)</f>
        <v>14.6296</v>
      </c>
      <c r="C990" s="26">
        <f>14.6296 * CHOOSE(CONTROL!$C$32, $C$9, 100%, $E$9)</f>
        <v>14.6296</v>
      </c>
      <c r="D990" s="26">
        <f>14.6311 * CHOOSE(CONTROL!$C$32, $C$9, 100%, $E$9)</f>
        <v>14.6311</v>
      </c>
      <c r="E990" s="27">
        <f>16.8993 * CHOOSE(CONTROL!$C$32, $C$9, 100%, $E$9)</f>
        <v>16.8993</v>
      </c>
      <c r="F990" s="27">
        <f>16.8993 * CHOOSE(CONTROL!$C$32, $C$9, 100%, $E$9)</f>
        <v>16.8993</v>
      </c>
      <c r="G990" s="27">
        <f>16.9046 * CHOOSE(CONTROL!$C$32, $C$9, 100%, $E$9)</f>
        <v>16.904599999999999</v>
      </c>
      <c r="H990" s="27">
        <f>33.6312 * CHOOSE(CONTROL!$C$32, $C$9, 100%, $E$9)</f>
        <v>33.6312</v>
      </c>
      <c r="I990" s="27">
        <f>33.6365 * CHOOSE(CONTROL!$C$32, $C$9, 100%, $E$9)</f>
        <v>33.636499999999998</v>
      </c>
      <c r="J990" s="27">
        <f>33.6312 * CHOOSE(CONTROL!$C$32, $C$9, 100%, $E$9)</f>
        <v>33.6312</v>
      </c>
      <c r="K990" s="27">
        <f>33.6365 * CHOOSE(CONTROL!$C$32, $C$9, 100%, $E$9)</f>
        <v>33.636499999999998</v>
      </c>
      <c r="L990" s="27">
        <f>16.8993 * CHOOSE(CONTROL!$C$32, $C$9, 100%, $E$9)</f>
        <v>16.8993</v>
      </c>
      <c r="M990" s="27">
        <f>16.9046 * CHOOSE(CONTROL!$C$32, $C$9, 100%, $E$9)</f>
        <v>16.904599999999999</v>
      </c>
      <c r="N990" s="27">
        <f>16.8993 * CHOOSE(CONTROL!$C$32, $C$9, 100%, $E$9)</f>
        <v>16.8993</v>
      </c>
      <c r="O990" s="27">
        <f>16.9046 * CHOOSE(CONTROL!$C$32, $C$9, 100%, $E$9)</f>
        <v>16.904599999999999</v>
      </c>
    </row>
    <row r="991" spans="1:15" ht="15" x14ac:dyDescent="0.2">
      <c r="A991" s="16">
        <v>71011</v>
      </c>
      <c r="B991" s="26">
        <f>14.6356 * CHOOSE(CONTROL!$C$32, $C$9, 100%, $E$9)</f>
        <v>14.6356</v>
      </c>
      <c r="C991" s="26">
        <f>14.6356 * CHOOSE(CONTROL!$C$32, $C$9, 100%, $E$9)</f>
        <v>14.6356</v>
      </c>
      <c r="D991" s="26">
        <f>14.6372 * CHOOSE(CONTROL!$C$32, $C$9, 100%, $E$9)</f>
        <v>14.6372</v>
      </c>
      <c r="E991" s="27">
        <f>16.7578 * CHOOSE(CONTROL!$C$32, $C$9, 100%, $E$9)</f>
        <v>16.7578</v>
      </c>
      <c r="F991" s="27">
        <f>16.7578 * CHOOSE(CONTROL!$C$32, $C$9, 100%, $E$9)</f>
        <v>16.7578</v>
      </c>
      <c r="G991" s="27">
        <f>16.7631 * CHOOSE(CONTROL!$C$32, $C$9, 100%, $E$9)</f>
        <v>16.763100000000001</v>
      </c>
      <c r="H991" s="27">
        <f>33.7013 * CHOOSE(CONTROL!$C$32, $C$9, 100%, $E$9)</f>
        <v>33.701300000000003</v>
      </c>
      <c r="I991" s="27">
        <f>33.7066 * CHOOSE(CONTROL!$C$32, $C$9, 100%, $E$9)</f>
        <v>33.706600000000002</v>
      </c>
      <c r="J991" s="27">
        <f>33.7013 * CHOOSE(CONTROL!$C$32, $C$9, 100%, $E$9)</f>
        <v>33.701300000000003</v>
      </c>
      <c r="K991" s="27">
        <f>33.7066 * CHOOSE(CONTROL!$C$32, $C$9, 100%, $E$9)</f>
        <v>33.706600000000002</v>
      </c>
      <c r="L991" s="27">
        <f>16.7578 * CHOOSE(CONTROL!$C$32, $C$9, 100%, $E$9)</f>
        <v>16.7578</v>
      </c>
      <c r="M991" s="27">
        <f>16.7631 * CHOOSE(CONTROL!$C$32, $C$9, 100%, $E$9)</f>
        <v>16.763100000000001</v>
      </c>
      <c r="N991" s="27">
        <f>16.7578 * CHOOSE(CONTROL!$C$32, $C$9, 100%, $E$9)</f>
        <v>16.7578</v>
      </c>
      <c r="O991" s="27">
        <f>16.7631 * CHOOSE(CONTROL!$C$32, $C$9, 100%, $E$9)</f>
        <v>16.763100000000001</v>
      </c>
    </row>
    <row r="992" spans="1:15" ht="15" x14ac:dyDescent="0.2">
      <c r="A992" s="16">
        <v>71041</v>
      </c>
      <c r="B992" s="26">
        <f>14.8109 * CHOOSE(CONTROL!$C$32, $C$9, 100%, $E$9)</f>
        <v>14.8109</v>
      </c>
      <c r="C992" s="26">
        <f>14.8109 * CHOOSE(CONTROL!$C$32, $C$9, 100%, $E$9)</f>
        <v>14.8109</v>
      </c>
      <c r="D992" s="26">
        <f>14.8124 * CHOOSE(CONTROL!$C$32, $C$9, 100%, $E$9)</f>
        <v>14.8124</v>
      </c>
      <c r="E992" s="27">
        <f>16.996 * CHOOSE(CONTROL!$C$32, $C$9, 100%, $E$9)</f>
        <v>16.995999999999999</v>
      </c>
      <c r="F992" s="27">
        <f>16.996 * CHOOSE(CONTROL!$C$32, $C$9, 100%, $E$9)</f>
        <v>16.995999999999999</v>
      </c>
      <c r="G992" s="27">
        <f>17.0013 * CHOOSE(CONTROL!$C$32, $C$9, 100%, $E$9)</f>
        <v>17.001300000000001</v>
      </c>
      <c r="H992" s="27">
        <f>33.7715 * CHOOSE(CONTROL!$C$32, $C$9, 100%, $E$9)</f>
        <v>33.771500000000003</v>
      </c>
      <c r="I992" s="27">
        <f>33.7768 * CHOOSE(CONTROL!$C$32, $C$9, 100%, $E$9)</f>
        <v>33.776800000000001</v>
      </c>
      <c r="J992" s="27">
        <f>33.7715 * CHOOSE(CONTROL!$C$32, $C$9, 100%, $E$9)</f>
        <v>33.771500000000003</v>
      </c>
      <c r="K992" s="27">
        <f>33.7768 * CHOOSE(CONTROL!$C$32, $C$9, 100%, $E$9)</f>
        <v>33.776800000000001</v>
      </c>
      <c r="L992" s="27">
        <f>16.996 * CHOOSE(CONTROL!$C$32, $C$9, 100%, $E$9)</f>
        <v>16.995999999999999</v>
      </c>
      <c r="M992" s="27">
        <f>17.0013 * CHOOSE(CONTROL!$C$32, $C$9, 100%, $E$9)</f>
        <v>17.001300000000001</v>
      </c>
      <c r="N992" s="27">
        <f>16.996 * CHOOSE(CONTROL!$C$32, $C$9, 100%, $E$9)</f>
        <v>16.995999999999999</v>
      </c>
      <c r="O992" s="27">
        <f>17.0013 * CHOOSE(CONTROL!$C$32, $C$9, 100%, $E$9)</f>
        <v>17.001300000000001</v>
      </c>
    </row>
    <row r="993" spans="1:15" ht="15" x14ac:dyDescent="0.2">
      <c r="A993" s="16">
        <v>71072</v>
      </c>
      <c r="B993" s="26">
        <f>14.8175 * CHOOSE(CONTROL!$C$32, $C$9, 100%, $E$9)</f>
        <v>14.817500000000001</v>
      </c>
      <c r="C993" s="26">
        <f>14.8175 * CHOOSE(CONTROL!$C$32, $C$9, 100%, $E$9)</f>
        <v>14.817500000000001</v>
      </c>
      <c r="D993" s="26">
        <f>14.8191 * CHOOSE(CONTROL!$C$32, $C$9, 100%, $E$9)</f>
        <v>14.819100000000001</v>
      </c>
      <c r="E993" s="27">
        <f>16.5635 * CHOOSE(CONTROL!$C$32, $C$9, 100%, $E$9)</f>
        <v>16.563500000000001</v>
      </c>
      <c r="F993" s="27">
        <f>16.5635 * CHOOSE(CONTROL!$C$32, $C$9, 100%, $E$9)</f>
        <v>16.563500000000001</v>
      </c>
      <c r="G993" s="27">
        <f>16.5688 * CHOOSE(CONTROL!$C$32, $C$9, 100%, $E$9)</f>
        <v>16.5688</v>
      </c>
      <c r="H993" s="27">
        <f>33.8419 * CHOOSE(CONTROL!$C$32, $C$9, 100%, $E$9)</f>
        <v>33.841900000000003</v>
      </c>
      <c r="I993" s="27">
        <f>33.8472 * CHOOSE(CONTROL!$C$32, $C$9, 100%, $E$9)</f>
        <v>33.847200000000001</v>
      </c>
      <c r="J993" s="27">
        <f>33.8419 * CHOOSE(CONTROL!$C$32, $C$9, 100%, $E$9)</f>
        <v>33.841900000000003</v>
      </c>
      <c r="K993" s="27">
        <f>33.8472 * CHOOSE(CONTROL!$C$32, $C$9, 100%, $E$9)</f>
        <v>33.847200000000001</v>
      </c>
      <c r="L993" s="27">
        <f>16.5635 * CHOOSE(CONTROL!$C$32, $C$9, 100%, $E$9)</f>
        <v>16.563500000000001</v>
      </c>
      <c r="M993" s="27">
        <f>16.5688 * CHOOSE(CONTROL!$C$32, $C$9, 100%, $E$9)</f>
        <v>16.5688</v>
      </c>
      <c r="N993" s="27">
        <f>16.5635 * CHOOSE(CONTROL!$C$32, $C$9, 100%, $E$9)</f>
        <v>16.563500000000001</v>
      </c>
      <c r="O993" s="27">
        <f>16.5688 * CHOOSE(CONTROL!$C$32, $C$9, 100%, $E$9)</f>
        <v>16.5688</v>
      </c>
    </row>
    <row r="994" spans="1:15" ht="15" x14ac:dyDescent="0.2">
      <c r="A994" s="16">
        <v>71103</v>
      </c>
      <c r="B994" s="26">
        <f>14.8145 * CHOOSE(CONTROL!$C$32, $C$9, 100%, $E$9)</f>
        <v>14.814500000000001</v>
      </c>
      <c r="C994" s="26">
        <f>14.8145 * CHOOSE(CONTROL!$C$32, $C$9, 100%, $E$9)</f>
        <v>14.814500000000001</v>
      </c>
      <c r="D994" s="26">
        <f>14.8161 * CHOOSE(CONTROL!$C$32, $C$9, 100%, $E$9)</f>
        <v>14.8161</v>
      </c>
      <c r="E994" s="27">
        <f>16.5129 * CHOOSE(CONTROL!$C$32, $C$9, 100%, $E$9)</f>
        <v>16.512899999999998</v>
      </c>
      <c r="F994" s="27">
        <f>16.5129 * CHOOSE(CONTROL!$C$32, $C$9, 100%, $E$9)</f>
        <v>16.512899999999998</v>
      </c>
      <c r="G994" s="27">
        <f>16.5181 * CHOOSE(CONTROL!$C$32, $C$9, 100%, $E$9)</f>
        <v>16.5181</v>
      </c>
      <c r="H994" s="27">
        <f>33.9124 * CHOOSE(CONTROL!$C$32, $C$9, 100%, $E$9)</f>
        <v>33.912399999999998</v>
      </c>
      <c r="I994" s="27">
        <f>33.9177 * CHOOSE(CONTROL!$C$32, $C$9, 100%, $E$9)</f>
        <v>33.917700000000004</v>
      </c>
      <c r="J994" s="27">
        <f>33.9124 * CHOOSE(CONTROL!$C$32, $C$9, 100%, $E$9)</f>
        <v>33.912399999999998</v>
      </c>
      <c r="K994" s="27">
        <f>33.9177 * CHOOSE(CONTROL!$C$32, $C$9, 100%, $E$9)</f>
        <v>33.917700000000004</v>
      </c>
      <c r="L994" s="27">
        <f>16.5129 * CHOOSE(CONTROL!$C$32, $C$9, 100%, $E$9)</f>
        <v>16.512899999999998</v>
      </c>
      <c r="M994" s="27">
        <f>16.5181 * CHOOSE(CONTROL!$C$32, $C$9, 100%, $E$9)</f>
        <v>16.5181</v>
      </c>
      <c r="N994" s="27">
        <f>16.5129 * CHOOSE(CONTROL!$C$32, $C$9, 100%, $E$9)</f>
        <v>16.512899999999998</v>
      </c>
      <c r="O994" s="27">
        <f>16.5181 * CHOOSE(CONTROL!$C$32, $C$9, 100%, $E$9)</f>
        <v>16.5181</v>
      </c>
    </row>
    <row r="995" spans="1:15" ht="15" x14ac:dyDescent="0.2">
      <c r="A995" s="16">
        <v>71133</v>
      </c>
      <c r="B995" s="26">
        <f>14.85 * CHOOSE(CONTROL!$C$32, $C$9, 100%, $E$9)</f>
        <v>14.85</v>
      </c>
      <c r="C995" s="26">
        <f>14.85 * CHOOSE(CONTROL!$C$32, $C$9, 100%, $E$9)</f>
        <v>14.85</v>
      </c>
      <c r="D995" s="26">
        <f>14.8511 * CHOOSE(CONTROL!$C$32, $C$9, 100%, $E$9)</f>
        <v>14.851100000000001</v>
      </c>
      <c r="E995" s="27">
        <f>16.6937 * CHOOSE(CONTROL!$C$32, $C$9, 100%, $E$9)</f>
        <v>16.6937</v>
      </c>
      <c r="F995" s="27">
        <f>16.6937 * CHOOSE(CONTROL!$C$32, $C$9, 100%, $E$9)</f>
        <v>16.6937</v>
      </c>
      <c r="G995" s="27">
        <f>16.6973 * CHOOSE(CONTROL!$C$32, $C$9, 100%, $E$9)</f>
        <v>16.697299999999998</v>
      </c>
      <c r="H995" s="27">
        <f>33.983 * CHOOSE(CONTROL!$C$32, $C$9, 100%, $E$9)</f>
        <v>33.982999999999997</v>
      </c>
      <c r="I995" s="27">
        <f>33.9866 * CHOOSE(CONTROL!$C$32, $C$9, 100%, $E$9)</f>
        <v>33.986600000000003</v>
      </c>
      <c r="J995" s="27">
        <f>33.983 * CHOOSE(CONTROL!$C$32, $C$9, 100%, $E$9)</f>
        <v>33.982999999999997</v>
      </c>
      <c r="K995" s="27">
        <f>33.9866 * CHOOSE(CONTROL!$C$32, $C$9, 100%, $E$9)</f>
        <v>33.986600000000003</v>
      </c>
      <c r="L995" s="27">
        <f>16.6937 * CHOOSE(CONTROL!$C$32, $C$9, 100%, $E$9)</f>
        <v>16.6937</v>
      </c>
      <c r="M995" s="27">
        <f>16.6973 * CHOOSE(CONTROL!$C$32, $C$9, 100%, $E$9)</f>
        <v>16.697299999999998</v>
      </c>
      <c r="N995" s="27">
        <f>16.6937 * CHOOSE(CONTROL!$C$32, $C$9, 100%, $E$9)</f>
        <v>16.6937</v>
      </c>
      <c r="O995" s="27">
        <f>16.6973 * CHOOSE(CONTROL!$C$32, $C$9, 100%, $E$9)</f>
        <v>16.697299999999998</v>
      </c>
    </row>
    <row r="996" spans="1:15" ht="15" x14ac:dyDescent="0.2">
      <c r="A996" s="16">
        <v>71164</v>
      </c>
      <c r="B996" s="26">
        <f>14.8531 * CHOOSE(CONTROL!$C$32, $C$9, 100%, $E$9)</f>
        <v>14.8531</v>
      </c>
      <c r="C996" s="26">
        <f>14.8531 * CHOOSE(CONTROL!$C$32, $C$9, 100%, $E$9)</f>
        <v>14.8531</v>
      </c>
      <c r="D996" s="26">
        <f>14.8541 * CHOOSE(CONTROL!$C$32, $C$9, 100%, $E$9)</f>
        <v>14.854100000000001</v>
      </c>
      <c r="E996" s="27">
        <f>16.793 * CHOOSE(CONTROL!$C$32, $C$9, 100%, $E$9)</f>
        <v>16.792999999999999</v>
      </c>
      <c r="F996" s="27">
        <f>16.793 * CHOOSE(CONTROL!$C$32, $C$9, 100%, $E$9)</f>
        <v>16.792999999999999</v>
      </c>
      <c r="G996" s="27">
        <f>16.7966 * CHOOSE(CONTROL!$C$32, $C$9, 100%, $E$9)</f>
        <v>16.796600000000002</v>
      </c>
      <c r="H996" s="27">
        <f>34.0538 * CHOOSE(CONTROL!$C$32, $C$9, 100%, $E$9)</f>
        <v>34.053800000000003</v>
      </c>
      <c r="I996" s="27">
        <f>34.0574 * CHOOSE(CONTROL!$C$32, $C$9, 100%, $E$9)</f>
        <v>34.057400000000001</v>
      </c>
      <c r="J996" s="27">
        <f>34.0538 * CHOOSE(CONTROL!$C$32, $C$9, 100%, $E$9)</f>
        <v>34.053800000000003</v>
      </c>
      <c r="K996" s="27">
        <f>34.0574 * CHOOSE(CONTROL!$C$32, $C$9, 100%, $E$9)</f>
        <v>34.057400000000001</v>
      </c>
      <c r="L996" s="27">
        <f>16.793 * CHOOSE(CONTROL!$C$32, $C$9, 100%, $E$9)</f>
        <v>16.792999999999999</v>
      </c>
      <c r="M996" s="27">
        <f>16.7966 * CHOOSE(CONTROL!$C$32, $C$9, 100%, $E$9)</f>
        <v>16.796600000000002</v>
      </c>
      <c r="N996" s="27">
        <f>16.793 * CHOOSE(CONTROL!$C$32, $C$9, 100%, $E$9)</f>
        <v>16.792999999999999</v>
      </c>
      <c r="O996" s="27">
        <f>16.7966 * CHOOSE(CONTROL!$C$32, $C$9, 100%, $E$9)</f>
        <v>16.796600000000002</v>
      </c>
    </row>
    <row r="997" spans="1:15" ht="15" x14ac:dyDescent="0.2">
      <c r="A997" s="16">
        <v>71194</v>
      </c>
      <c r="B997" s="26">
        <f>14.8531 * CHOOSE(CONTROL!$C$32, $C$9, 100%, $E$9)</f>
        <v>14.8531</v>
      </c>
      <c r="C997" s="26">
        <f>14.8531 * CHOOSE(CONTROL!$C$32, $C$9, 100%, $E$9)</f>
        <v>14.8531</v>
      </c>
      <c r="D997" s="26">
        <f>14.8541 * CHOOSE(CONTROL!$C$32, $C$9, 100%, $E$9)</f>
        <v>14.854100000000001</v>
      </c>
      <c r="E997" s="27">
        <f>16.5501 * CHOOSE(CONTROL!$C$32, $C$9, 100%, $E$9)</f>
        <v>16.5501</v>
      </c>
      <c r="F997" s="27">
        <f>16.5501 * CHOOSE(CONTROL!$C$32, $C$9, 100%, $E$9)</f>
        <v>16.5501</v>
      </c>
      <c r="G997" s="27">
        <f>16.5537 * CHOOSE(CONTROL!$C$32, $C$9, 100%, $E$9)</f>
        <v>16.553699999999999</v>
      </c>
      <c r="H997" s="27">
        <f>34.1248 * CHOOSE(CONTROL!$C$32, $C$9, 100%, $E$9)</f>
        <v>34.1248</v>
      </c>
      <c r="I997" s="27">
        <f>34.1284 * CHOOSE(CONTROL!$C$32, $C$9, 100%, $E$9)</f>
        <v>34.128399999999999</v>
      </c>
      <c r="J997" s="27">
        <f>34.1248 * CHOOSE(CONTROL!$C$32, $C$9, 100%, $E$9)</f>
        <v>34.1248</v>
      </c>
      <c r="K997" s="27">
        <f>34.1284 * CHOOSE(CONTROL!$C$32, $C$9, 100%, $E$9)</f>
        <v>34.128399999999999</v>
      </c>
      <c r="L997" s="27">
        <f>16.5501 * CHOOSE(CONTROL!$C$32, $C$9, 100%, $E$9)</f>
        <v>16.5501</v>
      </c>
      <c r="M997" s="27">
        <f>16.5537 * CHOOSE(CONTROL!$C$32, $C$9, 100%, $E$9)</f>
        <v>16.553699999999999</v>
      </c>
      <c r="N997" s="27">
        <f>16.5501 * CHOOSE(CONTROL!$C$32, $C$9, 100%, $E$9)</f>
        <v>16.5501</v>
      </c>
      <c r="O997" s="27">
        <f>16.5537 * CHOOSE(CONTROL!$C$32, $C$9, 100%, $E$9)</f>
        <v>16.553699999999999</v>
      </c>
    </row>
    <row r="998" spans="1:15" ht="15" x14ac:dyDescent="0.2">
      <c r="A998" s="16">
        <v>71225</v>
      </c>
      <c r="B998" s="26">
        <f>14.815 * CHOOSE(CONTROL!$C$32, $C$9, 100%, $E$9)</f>
        <v>14.815</v>
      </c>
      <c r="C998" s="26">
        <f>14.815 * CHOOSE(CONTROL!$C$32, $C$9, 100%, $E$9)</f>
        <v>14.815</v>
      </c>
      <c r="D998" s="26">
        <f>14.8161 * CHOOSE(CONTROL!$C$32, $C$9, 100%, $E$9)</f>
        <v>14.8161</v>
      </c>
      <c r="E998" s="27">
        <f>16.6831 * CHOOSE(CONTROL!$C$32, $C$9, 100%, $E$9)</f>
        <v>16.6831</v>
      </c>
      <c r="F998" s="27">
        <f>16.6831 * CHOOSE(CONTROL!$C$32, $C$9, 100%, $E$9)</f>
        <v>16.6831</v>
      </c>
      <c r="G998" s="27">
        <f>16.6867 * CHOOSE(CONTROL!$C$32, $C$9, 100%, $E$9)</f>
        <v>16.686699999999998</v>
      </c>
      <c r="H998" s="27">
        <f>33.8059 * CHOOSE(CONTROL!$C$32, $C$9, 100%, $E$9)</f>
        <v>33.805900000000001</v>
      </c>
      <c r="I998" s="27">
        <f>33.8096 * CHOOSE(CONTROL!$C$32, $C$9, 100%, $E$9)</f>
        <v>33.809600000000003</v>
      </c>
      <c r="J998" s="27">
        <f>33.8059 * CHOOSE(CONTROL!$C$32, $C$9, 100%, $E$9)</f>
        <v>33.805900000000001</v>
      </c>
      <c r="K998" s="27">
        <f>33.8096 * CHOOSE(CONTROL!$C$32, $C$9, 100%, $E$9)</f>
        <v>33.809600000000003</v>
      </c>
      <c r="L998" s="27">
        <f>16.6831 * CHOOSE(CONTROL!$C$32, $C$9, 100%, $E$9)</f>
        <v>16.6831</v>
      </c>
      <c r="M998" s="27">
        <f>16.6867 * CHOOSE(CONTROL!$C$32, $C$9, 100%, $E$9)</f>
        <v>16.686699999999998</v>
      </c>
      <c r="N998" s="27">
        <f>16.6831 * CHOOSE(CONTROL!$C$32, $C$9, 100%, $E$9)</f>
        <v>16.6831</v>
      </c>
      <c r="O998" s="27">
        <f>16.6867 * CHOOSE(CONTROL!$C$32, $C$9, 100%, $E$9)</f>
        <v>16.686699999999998</v>
      </c>
    </row>
    <row r="999" spans="1:15" ht="15" x14ac:dyDescent="0.2">
      <c r="A999" s="16">
        <v>71256</v>
      </c>
      <c r="B999" s="26">
        <f>14.812 * CHOOSE(CONTROL!$C$32, $C$9, 100%, $E$9)</f>
        <v>14.811999999999999</v>
      </c>
      <c r="C999" s="26">
        <f>14.812 * CHOOSE(CONTROL!$C$32, $C$9, 100%, $E$9)</f>
        <v>14.811999999999999</v>
      </c>
      <c r="D999" s="26">
        <f>14.8131 * CHOOSE(CONTROL!$C$32, $C$9, 100%, $E$9)</f>
        <v>14.8131</v>
      </c>
      <c r="E999" s="27">
        <f>16.215 * CHOOSE(CONTROL!$C$32, $C$9, 100%, $E$9)</f>
        <v>16.215</v>
      </c>
      <c r="F999" s="27">
        <f>16.215 * CHOOSE(CONTROL!$C$32, $C$9, 100%, $E$9)</f>
        <v>16.215</v>
      </c>
      <c r="G999" s="27">
        <f>16.2186 * CHOOSE(CONTROL!$C$32, $C$9, 100%, $E$9)</f>
        <v>16.218599999999999</v>
      </c>
      <c r="H999" s="27">
        <f>33.8764 * CHOOSE(CONTROL!$C$32, $C$9, 100%, $E$9)</f>
        <v>33.876399999999997</v>
      </c>
      <c r="I999" s="27">
        <f>33.88 * CHOOSE(CONTROL!$C$32, $C$9, 100%, $E$9)</f>
        <v>33.880000000000003</v>
      </c>
      <c r="J999" s="27">
        <f>33.8764 * CHOOSE(CONTROL!$C$32, $C$9, 100%, $E$9)</f>
        <v>33.876399999999997</v>
      </c>
      <c r="K999" s="27">
        <f>33.88 * CHOOSE(CONTROL!$C$32, $C$9, 100%, $E$9)</f>
        <v>33.880000000000003</v>
      </c>
      <c r="L999" s="27">
        <f>16.215 * CHOOSE(CONTROL!$C$32, $C$9, 100%, $E$9)</f>
        <v>16.215</v>
      </c>
      <c r="M999" s="27">
        <f>16.2186 * CHOOSE(CONTROL!$C$32, $C$9, 100%, $E$9)</f>
        <v>16.218599999999999</v>
      </c>
      <c r="N999" s="27">
        <f>16.215 * CHOOSE(CONTROL!$C$32, $C$9, 100%, $E$9)</f>
        <v>16.215</v>
      </c>
      <c r="O999" s="27">
        <f>16.2186 * CHOOSE(CONTROL!$C$32, $C$9, 100%, $E$9)</f>
        <v>16.218599999999999</v>
      </c>
    </row>
    <row r="1000" spans="1:15" ht="15" x14ac:dyDescent="0.2">
      <c r="A1000" s="16">
        <v>71284</v>
      </c>
      <c r="B1000" s="26">
        <f>14.8089 * CHOOSE(CONTROL!$C$32, $C$9, 100%, $E$9)</f>
        <v>14.8089</v>
      </c>
      <c r="C1000" s="26">
        <f>14.8089 * CHOOSE(CONTROL!$C$32, $C$9, 100%, $E$9)</f>
        <v>14.8089</v>
      </c>
      <c r="D1000" s="26">
        <f>14.81 * CHOOSE(CONTROL!$C$32, $C$9, 100%, $E$9)</f>
        <v>14.81</v>
      </c>
      <c r="E1000" s="27">
        <f>16.5802 * CHOOSE(CONTROL!$C$32, $C$9, 100%, $E$9)</f>
        <v>16.580200000000001</v>
      </c>
      <c r="F1000" s="27">
        <f>16.5802 * CHOOSE(CONTROL!$C$32, $C$9, 100%, $E$9)</f>
        <v>16.580200000000001</v>
      </c>
      <c r="G1000" s="27">
        <f>16.5839 * CHOOSE(CONTROL!$C$32, $C$9, 100%, $E$9)</f>
        <v>16.5839</v>
      </c>
      <c r="H1000" s="27">
        <f>33.9469 * CHOOSE(CONTROL!$C$32, $C$9, 100%, $E$9)</f>
        <v>33.946899999999999</v>
      </c>
      <c r="I1000" s="27">
        <f>33.9506 * CHOOSE(CONTROL!$C$32, $C$9, 100%, $E$9)</f>
        <v>33.950600000000001</v>
      </c>
      <c r="J1000" s="27">
        <f>33.9469 * CHOOSE(CONTROL!$C$32, $C$9, 100%, $E$9)</f>
        <v>33.946899999999999</v>
      </c>
      <c r="K1000" s="27">
        <f>33.9506 * CHOOSE(CONTROL!$C$32, $C$9, 100%, $E$9)</f>
        <v>33.950600000000001</v>
      </c>
      <c r="L1000" s="27">
        <f>16.5802 * CHOOSE(CONTROL!$C$32, $C$9, 100%, $E$9)</f>
        <v>16.580200000000001</v>
      </c>
      <c r="M1000" s="27">
        <f>16.5839 * CHOOSE(CONTROL!$C$32, $C$9, 100%, $E$9)</f>
        <v>16.5839</v>
      </c>
      <c r="N1000" s="27">
        <f>16.5802 * CHOOSE(CONTROL!$C$32, $C$9, 100%, $E$9)</f>
        <v>16.580200000000001</v>
      </c>
      <c r="O1000" s="27">
        <f>16.5839 * CHOOSE(CONTROL!$C$32, $C$9, 100%, $E$9)</f>
        <v>16.5839</v>
      </c>
    </row>
    <row r="1001" spans="1:15" ht="15" x14ac:dyDescent="0.2">
      <c r="A1001" s="16">
        <v>71315</v>
      </c>
      <c r="B1001" s="26">
        <f>14.8171 * CHOOSE(CONTROL!$C$32, $C$9, 100%, $E$9)</f>
        <v>14.8171</v>
      </c>
      <c r="C1001" s="26">
        <f>14.8171 * CHOOSE(CONTROL!$C$32, $C$9, 100%, $E$9)</f>
        <v>14.8171</v>
      </c>
      <c r="D1001" s="26">
        <f>14.8182 * CHOOSE(CONTROL!$C$32, $C$9, 100%, $E$9)</f>
        <v>14.818199999999999</v>
      </c>
      <c r="E1001" s="27">
        <f>16.9706 * CHOOSE(CONTROL!$C$32, $C$9, 100%, $E$9)</f>
        <v>16.970600000000001</v>
      </c>
      <c r="F1001" s="27">
        <f>16.9706 * CHOOSE(CONTROL!$C$32, $C$9, 100%, $E$9)</f>
        <v>16.970600000000001</v>
      </c>
      <c r="G1001" s="27">
        <f>16.9742 * CHOOSE(CONTROL!$C$32, $C$9, 100%, $E$9)</f>
        <v>16.9742</v>
      </c>
      <c r="H1001" s="27">
        <f>34.0177 * CHOOSE(CONTROL!$C$32, $C$9, 100%, $E$9)</f>
        <v>34.017699999999998</v>
      </c>
      <c r="I1001" s="27">
        <f>34.0213 * CHOOSE(CONTROL!$C$32, $C$9, 100%, $E$9)</f>
        <v>34.021299999999997</v>
      </c>
      <c r="J1001" s="27">
        <f>34.0177 * CHOOSE(CONTROL!$C$32, $C$9, 100%, $E$9)</f>
        <v>34.017699999999998</v>
      </c>
      <c r="K1001" s="27">
        <f>34.0213 * CHOOSE(CONTROL!$C$32, $C$9, 100%, $E$9)</f>
        <v>34.021299999999997</v>
      </c>
      <c r="L1001" s="27">
        <f>16.9706 * CHOOSE(CONTROL!$C$32, $C$9, 100%, $E$9)</f>
        <v>16.970600000000001</v>
      </c>
      <c r="M1001" s="27">
        <f>16.9742 * CHOOSE(CONTROL!$C$32, $C$9, 100%, $E$9)</f>
        <v>16.9742</v>
      </c>
      <c r="N1001" s="27">
        <f>16.9706 * CHOOSE(CONTROL!$C$32, $C$9, 100%, $E$9)</f>
        <v>16.970600000000001</v>
      </c>
      <c r="O1001" s="27">
        <f>16.9742 * CHOOSE(CONTROL!$C$32, $C$9, 100%, $E$9)</f>
        <v>16.9742</v>
      </c>
    </row>
    <row r="1002" spans="1:15" ht="15" x14ac:dyDescent="0.2">
      <c r="A1002" s="16">
        <v>71345</v>
      </c>
      <c r="B1002" s="26">
        <f>14.8171 * CHOOSE(CONTROL!$C$32, $C$9, 100%, $E$9)</f>
        <v>14.8171</v>
      </c>
      <c r="C1002" s="26">
        <f>14.8171 * CHOOSE(CONTROL!$C$32, $C$9, 100%, $E$9)</f>
        <v>14.8171</v>
      </c>
      <c r="D1002" s="26">
        <f>14.8187 * CHOOSE(CONTROL!$C$32, $C$9, 100%, $E$9)</f>
        <v>14.8187</v>
      </c>
      <c r="E1002" s="27">
        <f>17.1185 * CHOOSE(CONTROL!$C$32, $C$9, 100%, $E$9)</f>
        <v>17.118500000000001</v>
      </c>
      <c r="F1002" s="27">
        <f>17.1185 * CHOOSE(CONTROL!$C$32, $C$9, 100%, $E$9)</f>
        <v>17.118500000000001</v>
      </c>
      <c r="G1002" s="27">
        <f>17.1238 * CHOOSE(CONTROL!$C$32, $C$9, 100%, $E$9)</f>
        <v>17.123799999999999</v>
      </c>
      <c r="H1002" s="27">
        <f>34.0885 * CHOOSE(CONTROL!$C$32, $C$9, 100%, $E$9)</f>
        <v>34.088500000000003</v>
      </c>
      <c r="I1002" s="27">
        <f>34.0938 * CHOOSE(CONTROL!$C$32, $C$9, 100%, $E$9)</f>
        <v>34.093800000000002</v>
      </c>
      <c r="J1002" s="27">
        <f>34.0885 * CHOOSE(CONTROL!$C$32, $C$9, 100%, $E$9)</f>
        <v>34.088500000000003</v>
      </c>
      <c r="K1002" s="27">
        <f>34.0938 * CHOOSE(CONTROL!$C$32, $C$9, 100%, $E$9)</f>
        <v>34.093800000000002</v>
      </c>
      <c r="L1002" s="27">
        <f>17.1185 * CHOOSE(CONTROL!$C$32, $C$9, 100%, $E$9)</f>
        <v>17.118500000000001</v>
      </c>
      <c r="M1002" s="27">
        <f>17.1238 * CHOOSE(CONTROL!$C$32, $C$9, 100%, $E$9)</f>
        <v>17.123799999999999</v>
      </c>
      <c r="N1002" s="27">
        <f>17.1185 * CHOOSE(CONTROL!$C$32, $C$9, 100%, $E$9)</f>
        <v>17.118500000000001</v>
      </c>
      <c r="O1002" s="27">
        <f>17.1238 * CHOOSE(CONTROL!$C$32, $C$9, 100%, $E$9)</f>
        <v>17.123799999999999</v>
      </c>
    </row>
    <row r="1003" spans="1:15" ht="15" x14ac:dyDescent="0.2">
      <c r="A1003" s="16">
        <v>71376</v>
      </c>
      <c r="B1003" s="26">
        <f>14.8232 * CHOOSE(CONTROL!$C$32, $C$9, 100%, $E$9)</f>
        <v>14.8232</v>
      </c>
      <c r="C1003" s="26">
        <f>14.8232 * CHOOSE(CONTROL!$C$32, $C$9, 100%, $E$9)</f>
        <v>14.8232</v>
      </c>
      <c r="D1003" s="26">
        <f>14.8248 * CHOOSE(CONTROL!$C$32, $C$9, 100%, $E$9)</f>
        <v>14.8248</v>
      </c>
      <c r="E1003" s="27">
        <f>16.9748 * CHOOSE(CONTROL!$C$32, $C$9, 100%, $E$9)</f>
        <v>16.974799999999998</v>
      </c>
      <c r="F1003" s="27">
        <f>16.9748 * CHOOSE(CONTROL!$C$32, $C$9, 100%, $E$9)</f>
        <v>16.974799999999998</v>
      </c>
      <c r="G1003" s="27">
        <f>16.9801 * CHOOSE(CONTROL!$C$32, $C$9, 100%, $E$9)</f>
        <v>16.9801</v>
      </c>
      <c r="H1003" s="27">
        <f>34.1596 * CHOOSE(CONTROL!$C$32, $C$9, 100%, $E$9)</f>
        <v>34.159599999999998</v>
      </c>
      <c r="I1003" s="27">
        <f>34.1649 * CHOOSE(CONTROL!$C$32, $C$9, 100%, $E$9)</f>
        <v>34.164900000000003</v>
      </c>
      <c r="J1003" s="27">
        <f>34.1596 * CHOOSE(CONTROL!$C$32, $C$9, 100%, $E$9)</f>
        <v>34.159599999999998</v>
      </c>
      <c r="K1003" s="27">
        <f>34.1649 * CHOOSE(CONTROL!$C$32, $C$9, 100%, $E$9)</f>
        <v>34.164900000000003</v>
      </c>
      <c r="L1003" s="27">
        <f>16.9748 * CHOOSE(CONTROL!$C$32, $C$9, 100%, $E$9)</f>
        <v>16.974799999999998</v>
      </c>
      <c r="M1003" s="27">
        <f>16.9801 * CHOOSE(CONTROL!$C$32, $C$9, 100%, $E$9)</f>
        <v>16.9801</v>
      </c>
      <c r="N1003" s="27">
        <f>16.9748 * CHOOSE(CONTROL!$C$32, $C$9, 100%, $E$9)</f>
        <v>16.974799999999998</v>
      </c>
      <c r="O1003" s="27">
        <f>16.9801 * CHOOSE(CONTROL!$C$32, $C$9, 100%, $E$9)</f>
        <v>16.9801</v>
      </c>
    </row>
    <row r="1004" spans="1:15" ht="15" x14ac:dyDescent="0.2">
      <c r="A1004" s="16">
        <v>71406</v>
      </c>
      <c r="B1004" s="26">
        <f>15.0005 * CHOOSE(CONTROL!$C$32, $C$9, 100%, $E$9)</f>
        <v>15.000500000000001</v>
      </c>
      <c r="C1004" s="26">
        <f>15.0005 * CHOOSE(CONTROL!$C$32, $C$9, 100%, $E$9)</f>
        <v>15.000500000000001</v>
      </c>
      <c r="D1004" s="26">
        <f>15.002 * CHOOSE(CONTROL!$C$32, $C$9, 100%, $E$9)</f>
        <v>15.002000000000001</v>
      </c>
      <c r="E1004" s="27">
        <f>17.2162 * CHOOSE(CONTROL!$C$32, $C$9, 100%, $E$9)</f>
        <v>17.216200000000001</v>
      </c>
      <c r="F1004" s="27">
        <f>17.2162 * CHOOSE(CONTROL!$C$32, $C$9, 100%, $E$9)</f>
        <v>17.216200000000001</v>
      </c>
      <c r="G1004" s="27">
        <f>17.2215 * CHOOSE(CONTROL!$C$32, $C$9, 100%, $E$9)</f>
        <v>17.221499999999999</v>
      </c>
      <c r="H1004" s="27">
        <f>34.2307 * CHOOSE(CONTROL!$C$32, $C$9, 100%, $E$9)</f>
        <v>34.230699999999999</v>
      </c>
      <c r="I1004" s="27">
        <f>34.236 * CHOOSE(CONTROL!$C$32, $C$9, 100%, $E$9)</f>
        <v>34.235999999999997</v>
      </c>
      <c r="J1004" s="27">
        <f>34.2307 * CHOOSE(CONTROL!$C$32, $C$9, 100%, $E$9)</f>
        <v>34.230699999999999</v>
      </c>
      <c r="K1004" s="27">
        <f>34.236 * CHOOSE(CONTROL!$C$32, $C$9, 100%, $E$9)</f>
        <v>34.235999999999997</v>
      </c>
      <c r="L1004" s="27">
        <f>17.2162 * CHOOSE(CONTROL!$C$32, $C$9, 100%, $E$9)</f>
        <v>17.216200000000001</v>
      </c>
      <c r="M1004" s="27">
        <f>17.2215 * CHOOSE(CONTROL!$C$32, $C$9, 100%, $E$9)</f>
        <v>17.221499999999999</v>
      </c>
      <c r="N1004" s="27">
        <f>17.2162 * CHOOSE(CONTROL!$C$32, $C$9, 100%, $E$9)</f>
        <v>17.216200000000001</v>
      </c>
      <c r="O1004" s="27">
        <f>17.2215 * CHOOSE(CONTROL!$C$32, $C$9, 100%, $E$9)</f>
        <v>17.221499999999999</v>
      </c>
    </row>
    <row r="1005" spans="1:15" ht="15" x14ac:dyDescent="0.2">
      <c r="A1005" s="16">
        <v>71437</v>
      </c>
      <c r="B1005" s="26">
        <f>15.0071 * CHOOSE(CONTROL!$C$32, $C$9, 100%, $E$9)</f>
        <v>15.007099999999999</v>
      </c>
      <c r="C1005" s="26">
        <f>15.0071 * CHOOSE(CONTROL!$C$32, $C$9, 100%, $E$9)</f>
        <v>15.007099999999999</v>
      </c>
      <c r="D1005" s="26">
        <f>15.0087 * CHOOSE(CONTROL!$C$32, $C$9, 100%, $E$9)</f>
        <v>15.008699999999999</v>
      </c>
      <c r="E1005" s="27">
        <f>16.777 * CHOOSE(CONTROL!$C$32, $C$9, 100%, $E$9)</f>
        <v>16.777000000000001</v>
      </c>
      <c r="F1005" s="27">
        <f>16.777 * CHOOSE(CONTROL!$C$32, $C$9, 100%, $E$9)</f>
        <v>16.777000000000001</v>
      </c>
      <c r="G1005" s="27">
        <f>16.7823 * CHOOSE(CONTROL!$C$32, $C$9, 100%, $E$9)</f>
        <v>16.782299999999999</v>
      </c>
      <c r="H1005" s="27">
        <f>34.302 * CHOOSE(CONTROL!$C$32, $C$9, 100%, $E$9)</f>
        <v>34.302</v>
      </c>
      <c r="I1005" s="27">
        <f>34.3073 * CHOOSE(CONTROL!$C$32, $C$9, 100%, $E$9)</f>
        <v>34.307299999999998</v>
      </c>
      <c r="J1005" s="27">
        <f>34.302 * CHOOSE(CONTROL!$C$32, $C$9, 100%, $E$9)</f>
        <v>34.302</v>
      </c>
      <c r="K1005" s="27">
        <f>34.3073 * CHOOSE(CONTROL!$C$32, $C$9, 100%, $E$9)</f>
        <v>34.307299999999998</v>
      </c>
      <c r="L1005" s="27">
        <f>16.777 * CHOOSE(CONTROL!$C$32, $C$9, 100%, $E$9)</f>
        <v>16.777000000000001</v>
      </c>
      <c r="M1005" s="27">
        <f>16.7823 * CHOOSE(CONTROL!$C$32, $C$9, 100%, $E$9)</f>
        <v>16.782299999999999</v>
      </c>
      <c r="N1005" s="27">
        <f>16.777 * CHOOSE(CONTROL!$C$32, $C$9, 100%, $E$9)</f>
        <v>16.777000000000001</v>
      </c>
      <c r="O1005" s="27">
        <f>16.7823 * CHOOSE(CONTROL!$C$32, $C$9, 100%, $E$9)</f>
        <v>16.782299999999999</v>
      </c>
    </row>
    <row r="1006" spans="1:15" ht="15" x14ac:dyDescent="0.2">
      <c r="A1006" s="16">
        <v>71468</v>
      </c>
      <c r="B1006" s="26">
        <f>15.0041 * CHOOSE(CONTROL!$C$32, $C$9, 100%, $E$9)</f>
        <v>15.004099999999999</v>
      </c>
      <c r="C1006" s="26">
        <f>15.0041 * CHOOSE(CONTROL!$C$32, $C$9, 100%, $E$9)</f>
        <v>15.004099999999999</v>
      </c>
      <c r="D1006" s="26">
        <f>15.0057 * CHOOSE(CONTROL!$C$32, $C$9, 100%, $E$9)</f>
        <v>15.005699999999999</v>
      </c>
      <c r="E1006" s="27">
        <f>16.7255 * CHOOSE(CONTROL!$C$32, $C$9, 100%, $E$9)</f>
        <v>16.7255</v>
      </c>
      <c r="F1006" s="27">
        <f>16.7255 * CHOOSE(CONTROL!$C$32, $C$9, 100%, $E$9)</f>
        <v>16.7255</v>
      </c>
      <c r="G1006" s="27">
        <f>16.7308 * CHOOSE(CONTROL!$C$32, $C$9, 100%, $E$9)</f>
        <v>16.730799999999999</v>
      </c>
      <c r="H1006" s="27">
        <f>34.3735 * CHOOSE(CONTROL!$C$32, $C$9, 100%, $E$9)</f>
        <v>34.3735</v>
      </c>
      <c r="I1006" s="27">
        <f>34.3788 * CHOOSE(CONTROL!$C$32, $C$9, 100%, $E$9)</f>
        <v>34.378799999999998</v>
      </c>
      <c r="J1006" s="27">
        <f>34.3735 * CHOOSE(CONTROL!$C$32, $C$9, 100%, $E$9)</f>
        <v>34.3735</v>
      </c>
      <c r="K1006" s="27">
        <f>34.3788 * CHOOSE(CONTROL!$C$32, $C$9, 100%, $E$9)</f>
        <v>34.378799999999998</v>
      </c>
      <c r="L1006" s="27">
        <f>16.7255 * CHOOSE(CONTROL!$C$32, $C$9, 100%, $E$9)</f>
        <v>16.7255</v>
      </c>
      <c r="M1006" s="27">
        <f>16.7308 * CHOOSE(CONTROL!$C$32, $C$9, 100%, $E$9)</f>
        <v>16.730799999999999</v>
      </c>
      <c r="N1006" s="27">
        <f>16.7255 * CHOOSE(CONTROL!$C$32, $C$9, 100%, $E$9)</f>
        <v>16.7255</v>
      </c>
      <c r="O1006" s="27">
        <f>16.7308 * CHOOSE(CONTROL!$C$32, $C$9, 100%, $E$9)</f>
        <v>16.730799999999999</v>
      </c>
    </row>
    <row r="1007" spans="1:15" ht="15" x14ac:dyDescent="0.2">
      <c r="A1007" s="16">
        <v>71498</v>
      </c>
      <c r="B1007" s="26">
        <f>15.0403 * CHOOSE(CONTROL!$C$32, $C$9, 100%, $E$9)</f>
        <v>15.0403</v>
      </c>
      <c r="C1007" s="26">
        <f>15.0403 * CHOOSE(CONTROL!$C$32, $C$9, 100%, $E$9)</f>
        <v>15.0403</v>
      </c>
      <c r="D1007" s="26">
        <f>15.0414 * CHOOSE(CONTROL!$C$32, $C$9, 100%, $E$9)</f>
        <v>15.041399999999999</v>
      </c>
      <c r="E1007" s="27">
        <f>16.9094 * CHOOSE(CONTROL!$C$32, $C$9, 100%, $E$9)</f>
        <v>16.909400000000002</v>
      </c>
      <c r="F1007" s="27">
        <f>16.9094 * CHOOSE(CONTROL!$C$32, $C$9, 100%, $E$9)</f>
        <v>16.909400000000002</v>
      </c>
      <c r="G1007" s="27">
        <f>16.913 * CHOOSE(CONTROL!$C$32, $C$9, 100%, $E$9)</f>
        <v>16.913</v>
      </c>
      <c r="H1007" s="27">
        <f>34.4451 * CHOOSE(CONTROL!$C$32, $C$9, 100%, $E$9)</f>
        <v>34.445099999999996</v>
      </c>
      <c r="I1007" s="27">
        <f>34.4487 * CHOOSE(CONTROL!$C$32, $C$9, 100%, $E$9)</f>
        <v>34.448700000000002</v>
      </c>
      <c r="J1007" s="27">
        <f>34.4451 * CHOOSE(CONTROL!$C$32, $C$9, 100%, $E$9)</f>
        <v>34.445099999999996</v>
      </c>
      <c r="K1007" s="27">
        <f>34.4487 * CHOOSE(CONTROL!$C$32, $C$9, 100%, $E$9)</f>
        <v>34.448700000000002</v>
      </c>
      <c r="L1007" s="27">
        <f>16.9094 * CHOOSE(CONTROL!$C$32, $C$9, 100%, $E$9)</f>
        <v>16.909400000000002</v>
      </c>
      <c r="M1007" s="27">
        <f>16.913 * CHOOSE(CONTROL!$C$32, $C$9, 100%, $E$9)</f>
        <v>16.913</v>
      </c>
      <c r="N1007" s="27">
        <f>16.9094 * CHOOSE(CONTROL!$C$32, $C$9, 100%, $E$9)</f>
        <v>16.909400000000002</v>
      </c>
      <c r="O1007" s="27">
        <f>16.913 * CHOOSE(CONTROL!$C$32, $C$9, 100%, $E$9)</f>
        <v>16.913</v>
      </c>
    </row>
    <row r="1008" spans="1:15" ht="15" x14ac:dyDescent="0.2">
      <c r="A1008" s="16">
        <v>71529</v>
      </c>
      <c r="B1008" s="26">
        <f>15.0434 * CHOOSE(CONTROL!$C$32, $C$9, 100%, $E$9)</f>
        <v>15.0434</v>
      </c>
      <c r="C1008" s="26">
        <f>15.0434 * CHOOSE(CONTROL!$C$32, $C$9, 100%, $E$9)</f>
        <v>15.0434</v>
      </c>
      <c r="D1008" s="26">
        <f>15.0444 * CHOOSE(CONTROL!$C$32, $C$9, 100%, $E$9)</f>
        <v>15.0444</v>
      </c>
      <c r="E1008" s="27">
        <f>17.0102 * CHOOSE(CONTROL!$C$32, $C$9, 100%, $E$9)</f>
        <v>17.010200000000001</v>
      </c>
      <c r="F1008" s="27">
        <f>17.0102 * CHOOSE(CONTROL!$C$32, $C$9, 100%, $E$9)</f>
        <v>17.010200000000001</v>
      </c>
      <c r="G1008" s="27">
        <f>17.0138 * CHOOSE(CONTROL!$C$32, $C$9, 100%, $E$9)</f>
        <v>17.0138</v>
      </c>
      <c r="H1008" s="27">
        <f>34.5169 * CHOOSE(CONTROL!$C$32, $C$9, 100%, $E$9)</f>
        <v>34.5169</v>
      </c>
      <c r="I1008" s="27">
        <f>34.5205 * CHOOSE(CONTROL!$C$32, $C$9, 100%, $E$9)</f>
        <v>34.520499999999998</v>
      </c>
      <c r="J1008" s="27">
        <f>34.5169 * CHOOSE(CONTROL!$C$32, $C$9, 100%, $E$9)</f>
        <v>34.5169</v>
      </c>
      <c r="K1008" s="27">
        <f>34.5205 * CHOOSE(CONTROL!$C$32, $C$9, 100%, $E$9)</f>
        <v>34.520499999999998</v>
      </c>
      <c r="L1008" s="27">
        <f>17.0102 * CHOOSE(CONTROL!$C$32, $C$9, 100%, $E$9)</f>
        <v>17.010200000000001</v>
      </c>
      <c r="M1008" s="27">
        <f>17.0138 * CHOOSE(CONTROL!$C$32, $C$9, 100%, $E$9)</f>
        <v>17.0138</v>
      </c>
      <c r="N1008" s="27">
        <f>17.0102 * CHOOSE(CONTROL!$C$32, $C$9, 100%, $E$9)</f>
        <v>17.010200000000001</v>
      </c>
      <c r="O1008" s="27">
        <f>17.0138 * CHOOSE(CONTROL!$C$32, $C$9, 100%, $E$9)</f>
        <v>17.0138</v>
      </c>
    </row>
    <row r="1009" spans="1:15" ht="15" x14ac:dyDescent="0.2">
      <c r="A1009" s="16">
        <v>71559</v>
      </c>
      <c r="B1009" s="26">
        <f>15.0434 * CHOOSE(CONTROL!$C$32, $C$9, 100%, $E$9)</f>
        <v>15.0434</v>
      </c>
      <c r="C1009" s="26">
        <f>15.0434 * CHOOSE(CONTROL!$C$32, $C$9, 100%, $E$9)</f>
        <v>15.0434</v>
      </c>
      <c r="D1009" s="26">
        <f>15.0444 * CHOOSE(CONTROL!$C$32, $C$9, 100%, $E$9)</f>
        <v>15.0444</v>
      </c>
      <c r="E1009" s="27">
        <f>16.7636 * CHOOSE(CONTROL!$C$32, $C$9, 100%, $E$9)</f>
        <v>16.7636</v>
      </c>
      <c r="F1009" s="27">
        <f>16.7636 * CHOOSE(CONTROL!$C$32, $C$9, 100%, $E$9)</f>
        <v>16.7636</v>
      </c>
      <c r="G1009" s="27">
        <f>16.7672 * CHOOSE(CONTROL!$C$32, $C$9, 100%, $E$9)</f>
        <v>16.767199999999999</v>
      </c>
      <c r="H1009" s="27">
        <f>34.5888 * CHOOSE(CONTROL!$C$32, $C$9, 100%, $E$9)</f>
        <v>34.588799999999999</v>
      </c>
      <c r="I1009" s="27">
        <f>34.5924 * CHOOSE(CONTROL!$C$32, $C$9, 100%, $E$9)</f>
        <v>34.592399999999998</v>
      </c>
      <c r="J1009" s="27">
        <f>34.5888 * CHOOSE(CONTROL!$C$32, $C$9, 100%, $E$9)</f>
        <v>34.588799999999999</v>
      </c>
      <c r="K1009" s="27">
        <f>34.5924 * CHOOSE(CONTROL!$C$32, $C$9, 100%, $E$9)</f>
        <v>34.592399999999998</v>
      </c>
      <c r="L1009" s="27">
        <f>16.7636 * CHOOSE(CONTROL!$C$32, $C$9, 100%, $E$9)</f>
        <v>16.7636</v>
      </c>
      <c r="M1009" s="27">
        <f>16.7672 * CHOOSE(CONTROL!$C$32, $C$9, 100%, $E$9)</f>
        <v>16.767199999999999</v>
      </c>
      <c r="N1009" s="27">
        <f>16.7636 * CHOOSE(CONTROL!$C$32, $C$9, 100%, $E$9)</f>
        <v>16.7636</v>
      </c>
      <c r="O1009" s="27">
        <f>16.7672 * CHOOSE(CONTROL!$C$32, $C$9, 100%, $E$9)</f>
        <v>16.767199999999999</v>
      </c>
    </row>
    <row r="1010" spans="1:15" ht="15" x14ac:dyDescent="0.2">
      <c r="A1010" s="16">
        <v>71590</v>
      </c>
      <c r="B1010" s="26">
        <f>15.0024 * CHOOSE(CONTROL!$C$32, $C$9, 100%, $E$9)</f>
        <v>15.0024</v>
      </c>
      <c r="C1010" s="26">
        <f>15.0024 * CHOOSE(CONTROL!$C$32, $C$9, 100%, $E$9)</f>
        <v>15.0024</v>
      </c>
      <c r="D1010" s="26">
        <f>15.0035 * CHOOSE(CONTROL!$C$32, $C$9, 100%, $E$9)</f>
        <v>15.003500000000001</v>
      </c>
      <c r="E1010" s="27">
        <f>16.8956 * CHOOSE(CONTROL!$C$32, $C$9, 100%, $E$9)</f>
        <v>16.895600000000002</v>
      </c>
      <c r="F1010" s="27">
        <f>16.8956 * CHOOSE(CONTROL!$C$32, $C$9, 100%, $E$9)</f>
        <v>16.895600000000002</v>
      </c>
      <c r="G1010" s="27">
        <f>16.8992 * CHOOSE(CONTROL!$C$32, $C$9, 100%, $E$9)</f>
        <v>16.8992</v>
      </c>
      <c r="H1010" s="27">
        <f>34.2594 * CHOOSE(CONTROL!$C$32, $C$9, 100%, $E$9)</f>
        <v>34.259399999999999</v>
      </c>
      <c r="I1010" s="27">
        <f>34.2631 * CHOOSE(CONTROL!$C$32, $C$9, 100%, $E$9)</f>
        <v>34.263100000000001</v>
      </c>
      <c r="J1010" s="27">
        <f>34.2594 * CHOOSE(CONTROL!$C$32, $C$9, 100%, $E$9)</f>
        <v>34.259399999999999</v>
      </c>
      <c r="K1010" s="27">
        <f>34.2631 * CHOOSE(CONTROL!$C$32, $C$9, 100%, $E$9)</f>
        <v>34.263100000000001</v>
      </c>
      <c r="L1010" s="27">
        <f>16.8956 * CHOOSE(CONTROL!$C$32, $C$9, 100%, $E$9)</f>
        <v>16.895600000000002</v>
      </c>
      <c r="M1010" s="27">
        <f>16.8992 * CHOOSE(CONTROL!$C$32, $C$9, 100%, $E$9)</f>
        <v>16.8992</v>
      </c>
      <c r="N1010" s="27">
        <f>16.8956 * CHOOSE(CONTROL!$C$32, $C$9, 100%, $E$9)</f>
        <v>16.895600000000002</v>
      </c>
      <c r="O1010" s="27">
        <f>16.8992 * CHOOSE(CONTROL!$C$32, $C$9, 100%, $E$9)</f>
        <v>16.8992</v>
      </c>
    </row>
    <row r="1011" spans="1:15" ht="15" x14ac:dyDescent="0.2">
      <c r="A1011" s="16">
        <v>71621</v>
      </c>
      <c r="B1011" s="26">
        <f>14.9993 * CHOOSE(CONTROL!$C$32, $C$9, 100%, $E$9)</f>
        <v>14.9993</v>
      </c>
      <c r="C1011" s="26">
        <f>14.9993 * CHOOSE(CONTROL!$C$32, $C$9, 100%, $E$9)</f>
        <v>14.9993</v>
      </c>
      <c r="D1011" s="26">
        <f>15.0004 * CHOOSE(CONTROL!$C$32, $C$9, 100%, $E$9)</f>
        <v>15.000400000000001</v>
      </c>
      <c r="E1011" s="27">
        <f>16.4204 * CHOOSE(CONTROL!$C$32, $C$9, 100%, $E$9)</f>
        <v>16.420400000000001</v>
      </c>
      <c r="F1011" s="27">
        <f>16.4204 * CHOOSE(CONTROL!$C$32, $C$9, 100%, $E$9)</f>
        <v>16.420400000000001</v>
      </c>
      <c r="G1011" s="27">
        <f>16.424 * CHOOSE(CONTROL!$C$32, $C$9, 100%, $E$9)</f>
        <v>16.423999999999999</v>
      </c>
      <c r="H1011" s="27">
        <f>34.3308 * CHOOSE(CONTROL!$C$32, $C$9, 100%, $E$9)</f>
        <v>34.330800000000004</v>
      </c>
      <c r="I1011" s="27">
        <f>34.3344 * CHOOSE(CONTROL!$C$32, $C$9, 100%, $E$9)</f>
        <v>34.334400000000002</v>
      </c>
      <c r="J1011" s="27">
        <f>34.3308 * CHOOSE(CONTROL!$C$32, $C$9, 100%, $E$9)</f>
        <v>34.330800000000004</v>
      </c>
      <c r="K1011" s="27">
        <f>34.3344 * CHOOSE(CONTROL!$C$32, $C$9, 100%, $E$9)</f>
        <v>34.334400000000002</v>
      </c>
      <c r="L1011" s="27">
        <f>16.4204 * CHOOSE(CONTROL!$C$32, $C$9, 100%, $E$9)</f>
        <v>16.420400000000001</v>
      </c>
      <c r="M1011" s="27">
        <f>16.424 * CHOOSE(CONTROL!$C$32, $C$9, 100%, $E$9)</f>
        <v>16.423999999999999</v>
      </c>
      <c r="N1011" s="27">
        <f>16.4204 * CHOOSE(CONTROL!$C$32, $C$9, 100%, $E$9)</f>
        <v>16.420400000000001</v>
      </c>
      <c r="O1011" s="27">
        <f>16.424 * CHOOSE(CONTROL!$C$32, $C$9, 100%, $E$9)</f>
        <v>16.423999999999999</v>
      </c>
    </row>
    <row r="1012" spans="1:15" ht="15" x14ac:dyDescent="0.2">
      <c r="A1012" s="16">
        <v>71650</v>
      </c>
      <c r="B1012" s="26">
        <f>14.9963 * CHOOSE(CONTROL!$C$32, $C$9, 100%, $E$9)</f>
        <v>14.9963</v>
      </c>
      <c r="C1012" s="26">
        <f>14.9963 * CHOOSE(CONTROL!$C$32, $C$9, 100%, $E$9)</f>
        <v>14.9963</v>
      </c>
      <c r="D1012" s="26">
        <f>14.9974 * CHOOSE(CONTROL!$C$32, $C$9, 100%, $E$9)</f>
        <v>14.997400000000001</v>
      </c>
      <c r="E1012" s="27">
        <f>16.7912 * CHOOSE(CONTROL!$C$32, $C$9, 100%, $E$9)</f>
        <v>16.7912</v>
      </c>
      <c r="F1012" s="27">
        <f>16.7912 * CHOOSE(CONTROL!$C$32, $C$9, 100%, $E$9)</f>
        <v>16.7912</v>
      </c>
      <c r="G1012" s="27">
        <f>16.7949 * CHOOSE(CONTROL!$C$32, $C$9, 100%, $E$9)</f>
        <v>16.794899999999998</v>
      </c>
      <c r="H1012" s="27">
        <f>34.4023 * CHOOSE(CONTROL!$C$32, $C$9, 100%, $E$9)</f>
        <v>34.402299999999997</v>
      </c>
      <c r="I1012" s="27">
        <f>34.406 * CHOOSE(CONTROL!$C$32, $C$9, 100%, $E$9)</f>
        <v>34.405999999999999</v>
      </c>
      <c r="J1012" s="27">
        <f>34.4023 * CHOOSE(CONTROL!$C$32, $C$9, 100%, $E$9)</f>
        <v>34.402299999999997</v>
      </c>
      <c r="K1012" s="27">
        <f>34.406 * CHOOSE(CONTROL!$C$32, $C$9, 100%, $E$9)</f>
        <v>34.405999999999999</v>
      </c>
      <c r="L1012" s="27">
        <f>16.7912 * CHOOSE(CONTROL!$C$32, $C$9, 100%, $E$9)</f>
        <v>16.7912</v>
      </c>
      <c r="M1012" s="27">
        <f>16.7949 * CHOOSE(CONTROL!$C$32, $C$9, 100%, $E$9)</f>
        <v>16.794899999999998</v>
      </c>
      <c r="N1012" s="27">
        <f>16.7912 * CHOOSE(CONTROL!$C$32, $C$9, 100%, $E$9)</f>
        <v>16.7912</v>
      </c>
      <c r="O1012" s="27">
        <f>16.7949 * CHOOSE(CONTROL!$C$32, $C$9, 100%, $E$9)</f>
        <v>16.794899999999998</v>
      </c>
    </row>
    <row r="1013" spans="1:15" ht="15" x14ac:dyDescent="0.2">
      <c r="A1013" s="16">
        <v>71681</v>
      </c>
      <c r="B1013" s="26">
        <f>15.0046 * CHOOSE(CONTROL!$C$32, $C$9, 100%, $E$9)</f>
        <v>15.0046</v>
      </c>
      <c r="C1013" s="26">
        <f>15.0046 * CHOOSE(CONTROL!$C$32, $C$9, 100%, $E$9)</f>
        <v>15.0046</v>
      </c>
      <c r="D1013" s="26">
        <f>15.0057 * CHOOSE(CONTROL!$C$32, $C$9, 100%, $E$9)</f>
        <v>15.005699999999999</v>
      </c>
      <c r="E1013" s="27">
        <f>17.1876 * CHOOSE(CONTROL!$C$32, $C$9, 100%, $E$9)</f>
        <v>17.1876</v>
      </c>
      <c r="F1013" s="27">
        <f>17.1876 * CHOOSE(CONTROL!$C$32, $C$9, 100%, $E$9)</f>
        <v>17.1876</v>
      </c>
      <c r="G1013" s="27">
        <f>17.1912 * CHOOSE(CONTROL!$C$32, $C$9, 100%, $E$9)</f>
        <v>17.191199999999998</v>
      </c>
      <c r="H1013" s="27">
        <f>34.474 * CHOOSE(CONTROL!$C$32, $C$9, 100%, $E$9)</f>
        <v>34.473999999999997</v>
      </c>
      <c r="I1013" s="27">
        <f>34.4776 * CHOOSE(CONTROL!$C$32, $C$9, 100%, $E$9)</f>
        <v>34.477600000000002</v>
      </c>
      <c r="J1013" s="27">
        <f>34.474 * CHOOSE(CONTROL!$C$32, $C$9, 100%, $E$9)</f>
        <v>34.473999999999997</v>
      </c>
      <c r="K1013" s="27">
        <f>34.4776 * CHOOSE(CONTROL!$C$32, $C$9, 100%, $E$9)</f>
        <v>34.477600000000002</v>
      </c>
      <c r="L1013" s="27">
        <f>17.1876 * CHOOSE(CONTROL!$C$32, $C$9, 100%, $E$9)</f>
        <v>17.1876</v>
      </c>
      <c r="M1013" s="27">
        <f>17.1912 * CHOOSE(CONTROL!$C$32, $C$9, 100%, $E$9)</f>
        <v>17.191199999999998</v>
      </c>
      <c r="N1013" s="27">
        <f>17.1876 * CHOOSE(CONTROL!$C$32, $C$9, 100%, $E$9)</f>
        <v>17.1876</v>
      </c>
      <c r="O1013" s="27">
        <f>17.1912 * CHOOSE(CONTROL!$C$32, $C$9, 100%, $E$9)</f>
        <v>17.191199999999998</v>
      </c>
    </row>
    <row r="1014" spans="1:15" ht="15" x14ac:dyDescent="0.2">
      <c r="A1014" s="16">
        <v>71711</v>
      </c>
      <c r="B1014" s="26">
        <f>15.0046 * CHOOSE(CONTROL!$C$32, $C$9, 100%, $E$9)</f>
        <v>15.0046</v>
      </c>
      <c r="C1014" s="26">
        <f>15.0046 * CHOOSE(CONTROL!$C$32, $C$9, 100%, $E$9)</f>
        <v>15.0046</v>
      </c>
      <c r="D1014" s="26">
        <f>15.0062 * CHOOSE(CONTROL!$C$32, $C$9, 100%, $E$9)</f>
        <v>15.0062</v>
      </c>
      <c r="E1014" s="27">
        <f>17.3378 * CHOOSE(CONTROL!$C$32, $C$9, 100%, $E$9)</f>
        <v>17.337800000000001</v>
      </c>
      <c r="F1014" s="27">
        <f>17.3378 * CHOOSE(CONTROL!$C$32, $C$9, 100%, $E$9)</f>
        <v>17.337800000000001</v>
      </c>
      <c r="G1014" s="27">
        <f>17.3431 * CHOOSE(CONTROL!$C$32, $C$9, 100%, $E$9)</f>
        <v>17.3431</v>
      </c>
      <c r="H1014" s="27">
        <f>34.5458 * CHOOSE(CONTROL!$C$32, $C$9, 100%, $E$9)</f>
        <v>34.5458</v>
      </c>
      <c r="I1014" s="27">
        <f>34.5511 * CHOOSE(CONTROL!$C$32, $C$9, 100%, $E$9)</f>
        <v>34.551099999999998</v>
      </c>
      <c r="J1014" s="27">
        <f>34.5458 * CHOOSE(CONTROL!$C$32, $C$9, 100%, $E$9)</f>
        <v>34.5458</v>
      </c>
      <c r="K1014" s="27">
        <f>34.5511 * CHOOSE(CONTROL!$C$32, $C$9, 100%, $E$9)</f>
        <v>34.551099999999998</v>
      </c>
      <c r="L1014" s="27">
        <f>17.3378 * CHOOSE(CONTROL!$C$32, $C$9, 100%, $E$9)</f>
        <v>17.337800000000001</v>
      </c>
      <c r="M1014" s="27">
        <f>17.3431 * CHOOSE(CONTROL!$C$32, $C$9, 100%, $E$9)</f>
        <v>17.3431</v>
      </c>
      <c r="N1014" s="27">
        <f>17.3378 * CHOOSE(CONTROL!$C$32, $C$9, 100%, $E$9)</f>
        <v>17.337800000000001</v>
      </c>
      <c r="O1014" s="27">
        <f>17.3431 * CHOOSE(CONTROL!$C$32, $C$9, 100%, $E$9)</f>
        <v>17.3431</v>
      </c>
    </row>
    <row r="1015" spans="1:15" ht="15" x14ac:dyDescent="0.2">
      <c r="A1015" s="16">
        <v>71742</v>
      </c>
      <c r="B1015" s="26">
        <f>15.0107 * CHOOSE(CONTROL!$C$32, $C$9, 100%, $E$9)</f>
        <v>15.0107</v>
      </c>
      <c r="C1015" s="26">
        <f>15.0107 * CHOOSE(CONTROL!$C$32, $C$9, 100%, $E$9)</f>
        <v>15.0107</v>
      </c>
      <c r="D1015" s="26">
        <f>15.0123 * CHOOSE(CONTROL!$C$32, $C$9, 100%, $E$9)</f>
        <v>15.0123</v>
      </c>
      <c r="E1015" s="27">
        <f>17.1918 * CHOOSE(CONTROL!$C$32, $C$9, 100%, $E$9)</f>
        <v>17.191800000000001</v>
      </c>
      <c r="F1015" s="27">
        <f>17.1918 * CHOOSE(CONTROL!$C$32, $C$9, 100%, $E$9)</f>
        <v>17.191800000000001</v>
      </c>
      <c r="G1015" s="27">
        <f>17.1971 * CHOOSE(CONTROL!$C$32, $C$9, 100%, $E$9)</f>
        <v>17.197099999999999</v>
      </c>
      <c r="H1015" s="27">
        <f>34.6178 * CHOOSE(CONTROL!$C$32, $C$9, 100%, $E$9)</f>
        <v>34.617800000000003</v>
      </c>
      <c r="I1015" s="27">
        <f>34.6231 * CHOOSE(CONTROL!$C$32, $C$9, 100%, $E$9)</f>
        <v>34.623100000000001</v>
      </c>
      <c r="J1015" s="27">
        <f>34.6178 * CHOOSE(CONTROL!$C$32, $C$9, 100%, $E$9)</f>
        <v>34.617800000000003</v>
      </c>
      <c r="K1015" s="27">
        <f>34.6231 * CHOOSE(CONTROL!$C$32, $C$9, 100%, $E$9)</f>
        <v>34.623100000000001</v>
      </c>
      <c r="L1015" s="27">
        <f>17.1918 * CHOOSE(CONTROL!$C$32, $C$9, 100%, $E$9)</f>
        <v>17.191800000000001</v>
      </c>
      <c r="M1015" s="27">
        <f>17.1971 * CHOOSE(CONTROL!$C$32, $C$9, 100%, $E$9)</f>
        <v>17.197099999999999</v>
      </c>
      <c r="N1015" s="27">
        <f>17.1918 * CHOOSE(CONTROL!$C$32, $C$9, 100%, $E$9)</f>
        <v>17.191800000000001</v>
      </c>
      <c r="O1015" s="27">
        <f>17.1971 * CHOOSE(CONTROL!$C$32, $C$9, 100%, $E$9)</f>
        <v>17.197099999999999</v>
      </c>
    </row>
    <row r="1016" spans="1:15" ht="15" x14ac:dyDescent="0.2">
      <c r="A1016" s="16">
        <v>71772</v>
      </c>
      <c r="B1016" s="26">
        <f>15.1901 * CHOOSE(CONTROL!$C$32, $C$9, 100%, $E$9)</f>
        <v>15.190099999999999</v>
      </c>
      <c r="C1016" s="26">
        <f>15.1901 * CHOOSE(CONTROL!$C$32, $C$9, 100%, $E$9)</f>
        <v>15.190099999999999</v>
      </c>
      <c r="D1016" s="26">
        <f>15.1916 * CHOOSE(CONTROL!$C$32, $C$9, 100%, $E$9)</f>
        <v>15.191599999999999</v>
      </c>
      <c r="E1016" s="27">
        <f>17.4364 * CHOOSE(CONTROL!$C$32, $C$9, 100%, $E$9)</f>
        <v>17.436399999999999</v>
      </c>
      <c r="F1016" s="27">
        <f>17.4364 * CHOOSE(CONTROL!$C$32, $C$9, 100%, $E$9)</f>
        <v>17.436399999999999</v>
      </c>
      <c r="G1016" s="27">
        <f>17.4417 * CHOOSE(CONTROL!$C$32, $C$9, 100%, $E$9)</f>
        <v>17.441700000000001</v>
      </c>
      <c r="H1016" s="27">
        <f>34.6899 * CHOOSE(CONTROL!$C$32, $C$9, 100%, $E$9)</f>
        <v>34.689900000000002</v>
      </c>
      <c r="I1016" s="27">
        <f>34.6952 * CHOOSE(CONTROL!$C$32, $C$9, 100%, $E$9)</f>
        <v>34.6952</v>
      </c>
      <c r="J1016" s="27">
        <f>34.6899 * CHOOSE(CONTROL!$C$32, $C$9, 100%, $E$9)</f>
        <v>34.689900000000002</v>
      </c>
      <c r="K1016" s="27">
        <f>34.6952 * CHOOSE(CONTROL!$C$32, $C$9, 100%, $E$9)</f>
        <v>34.6952</v>
      </c>
      <c r="L1016" s="27">
        <f>17.4364 * CHOOSE(CONTROL!$C$32, $C$9, 100%, $E$9)</f>
        <v>17.436399999999999</v>
      </c>
      <c r="M1016" s="27">
        <f>17.4417 * CHOOSE(CONTROL!$C$32, $C$9, 100%, $E$9)</f>
        <v>17.441700000000001</v>
      </c>
      <c r="N1016" s="27">
        <f>17.4364 * CHOOSE(CONTROL!$C$32, $C$9, 100%, $E$9)</f>
        <v>17.436399999999999</v>
      </c>
      <c r="O1016" s="27">
        <f>17.4417 * CHOOSE(CONTROL!$C$32, $C$9, 100%, $E$9)</f>
        <v>17.441700000000001</v>
      </c>
    </row>
    <row r="1017" spans="1:15" ht="15" x14ac:dyDescent="0.2">
      <c r="A1017" s="16">
        <v>71803</v>
      </c>
      <c r="B1017" s="26">
        <f>15.1967 * CHOOSE(CONTROL!$C$32, $C$9, 100%, $E$9)</f>
        <v>15.1967</v>
      </c>
      <c r="C1017" s="26">
        <f>15.1967 * CHOOSE(CONTROL!$C$32, $C$9, 100%, $E$9)</f>
        <v>15.1967</v>
      </c>
      <c r="D1017" s="26">
        <f>15.1983 * CHOOSE(CONTROL!$C$32, $C$9, 100%, $E$9)</f>
        <v>15.1983</v>
      </c>
      <c r="E1017" s="27">
        <f>16.9904 * CHOOSE(CONTROL!$C$32, $C$9, 100%, $E$9)</f>
        <v>16.990400000000001</v>
      </c>
      <c r="F1017" s="27">
        <f>16.9904 * CHOOSE(CONTROL!$C$32, $C$9, 100%, $E$9)</f>
        <v>16.990400000000001</v>
      </c>
      <c r="G1017" s="27">
        <f>16.9957 * CHOOSE(CONTROL!$C$32, $C$9, 100%, $E$9)</f>
        <v>16.995699999999999</v>
      </c>
      <c r="H1017" s="27">
        <f>34.7622 * CHOOSE(CONTROL!$C$32, $C$9, 100%, $E$9)</f>
        <v>34.7622</v>
      </c>
      <c r="I1017" s="27">
        <f>34.7675 * CHOOSE(CONTROL!$C$32, $C$9, 100%, $E$9)</f>
        <v>34.767499999999998</v>
      </c>
      <c r="J1017" s="27">
        <f>34.7622 * CHOOSE(CONTROL!$C$32, $C$9, 100%, $E$9)</f>
        <v>34.7622</v>
      </c>
      <c r="K1017" s="27">
        <f>34.7675 * CHOOSE(CONTROL!$C$32, $C$9, 100%, $E$9)</f>
        <v>34.767499999999998</v>
      </c>
      <c r="L1017" s="27">
        <f>16.9904 * CHOOSE(CONTROL!$C$32, $C$9, 100%, $E$9)</f>
        <v>16.990400000000001</v>
      </c>
      <c r="M1017" s="27">
        <f>16.9957 * CHOOSE(CONTROL!$C$32, $C$9, 100%, $E$9)</f>
        <v>16.995699999999999</v>
      </c>
      <c r="N1017" s="27">
        <f>16.9904 * CHOOSE(CONTROL!$C$32, $C$9, 100%, $E$9)</f>
        <v>16.990400000000001</v>
      </c>
      <c r="O1017" s="27">
        <f>16.9957 * CHOOSE(CONTROL!$C$32, $C$9, 100%, $E$9)</f>
        <v>16.995699999999999</v>
      </c>
    </row>
    <row r="1018" spans="1:15" ht="15" x14ac:dyDescent="0.2">
      <c r="A1018" s="16">
        <v>71834</v>
      </c>
      <c r="B1018" s="26">
        <f>15.1937 * CHOOSE(CONTROL!$C$32, $C$9, 100%, $E$9)</f>
        <v>15.1937</v>
      </c>
      <c r="C1018" s="26">
        <f>15.1937 * CHOOSE(CONTROL!$C$32, $C$9, 100%, $E$9)</f>
        <v>15.1937</v>
      </c>
      <c r="D1018" s="26">
        <f>15.1953 * CHOOSE(CONTROL!$C$32, $C$9, 100%, $E$9)</f>
        <v>15.1953</v>
      </c>
      <c r="E1018" s="27">
        <f>16.9382 * CHOOSE(CONTROL!$C$32, $C$9, 100%, $E$9)</f>
        <v>16.938199999999998</v>
      </c>
      <c r="F1018" s="27">
        <f>16.9382 * CHOOSE(CONTROL!$C$32, $C$9, 100%, $E$9)</f>
        <v>16.938199999999998</v>
      </c>
      <c r="G1018" s="27">
        <f>16.9435 * CHOOSE(CONTROL!$C$32, $C$9, 100%, $E$9)</f>
        <v>16.9435</v>
      </c>
      <c r="H1018" s="27">
        <f>34.8346 * CHOOSE(CONTROL!$C$32, $C$9, 100%, $E$9)</f>
        <v>34.834600000000002</v>
      </c>
      <c r="I1018" s="27">
        <f>34.8399 * CHOOSE(CONTROL!$C$32, $C$9, 100%, $E$9)</f>
        <v>34.8399</v>
      </c>
      <c r="J1018" s="27">
        <f>34.8346 * CHOOSE(CONTROL!$C$32, $C$9, 100%, $E$9)</f>
        <v>34.834600000000002</v>
      </c>
      <c r="K1018" s="27">
        <f>34.8399 * CHOOSE(CONTROL!$C$32, $C$9, 100%, $E$9)</f>
        <v>34.8399</v>
      </c>
      <c r="L1018" s="27">
        <f>16.9382 * CHOOSE(CONTROL!$C$32, $C$9, 100%, $E$9)</f>
        <v>16.938199999999998</v>
      </c>
      <c r="M1018" s="27">
        <f>16.9435 * CHOOSE(CONTROL!$C$32, $C$9, 100%, $E$9)</f>
        <v>16.9435</v>
      </c>
      <c r="N1018" s="27">
        <f>16.9382 * CHOOSE(CONTROL!$C$32, $C$9, 100%, $E$9)</f>
        <v>16.938199999999998</v>
      </c>
      <c r="O1018" s="27">
        <f>16.9435 * CHOOSE(CONTROL!$C$32, $C$9, 100%, $E$9)</f>
        <v>16.9435</v>
      </c>
    </row>
    <row r="1019" spans="1:15" ht="15" x14ac:dyDescent="0.2">
      <c r="A1019" s="16">
        <v>71864</v>
      </c>
      <c r="B1019" s="26">
        <f>15.2306 * CHOOSE(CONTROL!$C$32, $C$9, 100%, $E$9)</f>
        <v>15.230600000000001</v>
      </c>
      <c r="C1019" s="26">
        <f>15.2306 * CHOOSE(CONTROL!$C$32, $C$9, 100%, $E$9)</f>
        <v>15.230600000000001</v>
      </c>
      <c r="D1019" s="26">
        <f>15.2317 * CHOOSE(CONTROL!$C$32, $C$9, 100%, $E$9)</f>
        <v>15.2317</v>
      </c>
      <c r="E1019" s="27">
        <f>17.1251 * CHOOSE(CONTROL!$C$32, $C$9, 100%, $E$9)</f>
        <v>17.1251</v>
      </c>
      <c r="F1019" s="27">
        <f>17.1251 * CHOOSE(CONTROL!$C$32, $C$9, 100%, $E$9)</f>
        <v>17.1251</v>
      </c>
      <c r="G1019" s="27">
        <f>17.1287 * CHOOSE(CONTROL!$C$32, $C$9, 100%, $E$9)</f>
        <v>17.128699999999998</v>
      </c>
      <c r="H1019" s="27">
        <f>34.9072 * CHOOSE(CONTROL!$C$32, $C$9, 100%, $E$9)</f>
        <v>34.907200000000003</v>
      </c>
      <c r="I1019" s="27">
        <f>34.9108 * CHOOSE(CONTROL!$C$32, $C$9, 100%, $E$9)</f>
        <v>34.910800000000002</v>
      </c>
      <c r="J1019" s="27">
        <f>34.9072 * CHOOSE(CONTROL!$C$32, $C$9, 100%, $E$9)</f>
        <v>34.907200000000003</v>
      </c>
      <c r="K1019" s="27">
        <f>34.9108 * CHOOSE(CONTROL!$C$32, $C$9, 100%, $E$9)</f>
        <v>34.910800000000002</v>
      </c>
      <c r="L1019" s="27">
        <f>17.1251 * CHOOSE(CONTROL!$C$32, $C$9, 100%, $E$9)</f>
        <v>17.1251</v>
      </c>
      <c r="M1019" s="27">
        <f>17.1287 * CHOOSE(CONTROL!$C$32, $C$9, 100%, $E$9)</f>
        <v>17.128699999999998</v>
      </c>
      <c r="N1019" s="27">
        <f>17.1251 * CHOOSE(CONTROL!$C$32, $C$9, 100%, $E$9)</f>
        <v>17.1251</v>
      </c>
      <c r="O1019" s="27">
        <f>17.1287 * CHOOSE(CONTROL!$C$32, $C$9, 100%, $E$9)</f>
        <v>17.128699999999998</v>
      </c>
    </row>
    <row r="1020" spans="1:15" ht="15" x14ac:dyDescent="0.2">
      <c r="A1020" s="16">
        <v>71895</v>
      </c>
      <c r="B1020" s="26">
        <f>15.2337 * CHOOSE(CONTROL!$C$32, $C$9, 100%, $E$9)</f>
        <v>15.233700000000001</v>
      </c>
      <c r="C1020" s="26">
        <f>15.2337 * CHOOSE(CONTROL!$C$32, $C$9, 100%, $E$9)</f>
        <v>15.233700000000001</v>
      </c>
      <c r="D1020" s="26">
        <f>15.2347 * CHOOSE(CONTROL!$C$32, $C$9, 100%, $E$9)</f>
        <v>15.2347</v>
      </c>
      <c r="E1020" s="27">
        <f>17.2274 * CHOOSE(CONTROL!$C$32, $C$9, 100%, $E$9)</f>
        <v>17.227399999999999</v>
      </c>
      <c r="F1020" s="27">
        <f>17.2274 * CHOOSE(CONTROL!$C$32, $C$9, 100%, $E$9)</f>
        <v>17.227399999999999</v>
      </c>
      <c r="G1020" s="27">
        <f>17.231 * CHOOSE(CONTROL!$C$32, $C$9, 100%, $E$9)</f>
        <v>17.231000000000002</v>
      </c>
      <c r="H1020" s="27">
        <f>34.9799 * CHOOSE(CONTROL!$C$32, $C$9, 100%, $E$9)</f>
        <v>34.979900000000001</v>
      </c>
      <c r="I1020" s="27">
        <f>34.9835 * CHOOSE(CONTROL!$C$32, $C$9, 100%, $E$9)</f>
        <v>34.983499999999999</v>
      </c>
      <c r="J1020" s="27">
        <f>34.9799 * CHOOSE(CONTROL!$C$32, $C$9, 100%, $E$9)</f>
        <v>34.979900000000001</v>
      </c>
      <c r="K1020" s="27">
        <f>34.9835 * CHOOSE(CONTROL!$C$32, $C$9, 100%, $E$9)</f>
        <v>34.983499999999999</v>
      </c>
      <c r="L1020" s="27">
        <f>17.2274 * CHOOSE(CONTROL!$C$32, $C$9, 100%, $E$9)</f>
        <v>17.227399999999999</v>
      </c>
      <c r="M1020" s="27">
        <f>17.231 * CHOOSE(CONTROL!$C$32, $C$9, 100%, $E$9)</f>
        <v>17.231000000000002</v>
      </c>
      <c r="N1020" s="27">
        <f>17.2274 * CHOOSE(CONTROL!$C$32, $C$9, 100%, $E$9)</f>
        <v>17.227399999999999</v>
      </c>
      <c r="O1020" s="27">
        <f>17.231 * CHOOSE(CONTROL!$C$32, $C$9, 100%, $E$9)</f>
        <v>17.231000000000002</v>
      </c>
    </row>
    <row r="1021" spans="1:15" ht="15" x14ac:dyDescent="0.2">
      <c r="A1021" s="16">
        <v>71925</v>
      </c>
      <c r="B1021" s="26">
        <f>15.2337 * CHOOSE(CONTROL!$C$32, $C$9, 100%, $E$9)</f>
        <v>15.233700000000001</v>
      </c>
      <c r="C1021" s="26">
        <f>15.2337 * CHOOSE(CONTROL!$C$32, $C$9, 100%, $E$9)</f>
        <v>15.233700000000001</v>
      </c>
      <c r="D1021" s="26">
        <f>15.2347 * CHOOSE(CONTROL!$C$32, $C$9, 100%, $E$9)</f>
        <v>15.2347</v>
      </c>
      <c r="E1021" s="27">
        <f>16.977 * CHOOSE(CONTROL!$C$32, $C$9, 100%, $E$9)</f>
        <v>16.977</v>
      </c>
      <c r="F1021" s="27">
        <f>16.977 * CHOOSE(CONTROL!$C$32, $C$9, 100%, $E$9)</f>
        <v>16.977</v>
      </c>
      <c r="G1021" s="27">
        <f>16.9806 * CHOOSE(CONTROL!$C$32, $C$9, 100%, $E$9)</f>
        <v>16.980599999999999</v>
      </c>
      <c r="H1021" s="27">
        <f>35.0528 * CHOOSE(CONTROL!$C$32, $C$9, 100%, $E$9)</f>
        <v>35.052799999999998</v>
      </c>
      <c r="I1021" s="27">
        <f>35.0564 * CHOOSE(CONTROL!$C$32, $C$9, 100%, $E$9)</f>
        <v>35.056399999999996</v>
      </c>
      <c r="J1021" s="27">
        <f>35.0528 * CHOOSE(CONTROL!$C$32, $C$9, 100%, $E$9)</f>
        <v>35.052799999999998</v>
      </c>
      <c r="K1021" s="27">
        <f>35.0564 * CHOOSE(CONTROL!$C$32, $C$9, 100%, $E$9)</f>
        <v>35.056399999999996</v>
      </c>
      <c r="L1021" s="27">
        <f>16.977 * CHOOSE(CONTROL!$C$32, $C$9, 100%, $E$9)</f>
        <v>16.977</v>
      </c>
      <c r="M1021" s="27">
        <f>16.9806 * CHOOSE(CONTROL!$C$32, $C$9, 100%, $E$9)</f>
        <v>16.980599999999999</v>
      </c>
      <c r="N1021" s="27">
        <f>16.977 * CHOOSE(CONTROL!$C$32, $C$9, 100%, $E$9)</f>
        <v>16.977</v>
      </c>
      <c r="O1021" s="27">
        <f>16.9806 * CHOOSE(CONTROL!$C$32, $C$9, 100%, $E$9)</f>
        <v>16.980599999999999</v>
      </c>
    </row>
    <row r="1022" spans="1:15" ht="15" x14ac:dyDescent="0.2">
      <c r="A1022" s="16">
        <v>71956</v>
      </c>
      <c r="B1022" s="26">
        <f>15.1897 * CHOOSE(CONTROL!$C$32, $C$9, 100%, $E$9)</f>
        <v>15.1897</v>
      </c>
      <c r="C1022" s="26">
        <f>15.1897 * CHOOSE(CONTROL!$C$32, $C$9, 100%, $E$9)</f>
        <v>15.1897</v>
      </c>
      <c r="D1022" s="26">
        <f>15.1908 * CHOOSE(CONTROL!$C$32, $C$9, 100%, $E$9)</f>
        <v>15.190799999999999</v>
      </c>
      <c r="E1022" s="27">
        <f>17.1081 * CHOOSE(CONTROL!$C$32, $C$9, 100%, $E$9)</f>
        <v>17.1081</v>
      </c>
      <c r="F1022" s="27">
        <f>17.1081 * CHOOSE(CONTROL!$C$32, $C$9, 100%, $E$9)</f>
        <v>17.1081</v>
      </c>
      <c r="G1022" s="27">
        <f>17.1117 * CHOOSE(CONTROL!$C$32, $C$9, 100%, $E$9)</f>
        <v>17.111699999999999</v>
      </c>
      <c r="H1022" s="27">
        <f>34.713 * CHOOSE(CONTROL!$C$32, $C$9, 100%, $E$9)</f>
        <v>34.713000000000001</v>
      </c>
      <c r="I1022" s="27">
        <f>34.7166 * CHOOSE(CONTROL!$C$32, $C$9, 100%, $E$9)</f>
        <v>34.7166</v>
      </c>
      <c r="J1022" s="27">
        <f>34.713 * CHOOSE(CONTROL!$C$32, $C$9, 100%, $E$9)</f>
        <v>34.713000000000001</v>
      </c>
      <c r="K1022" s="27">
        <f>34.7166 * CHOOSE(CONTROL!$C$32, $C$9, 100%, $E$9)</f>
        <v>34.7166</v>
      </c>
      <c r="L1022" s="27">
        <f>17.1081 * CHOOSE(CONTROL!$C$32, $C$9, 100%, $E$9)</f>
        <v>17.1081</v>
      </c>
      <c r="M1022" s="27">
        <f>17.1117 * CHOOSE(CONTROL!$C$32, $C$9, 100%, $E$9)</f>
        <v>17.111699999999999</v>
      </c>
      <c r="N1022" s="27">
        <f>17.1081 * CHOOSE(CONTROL!$C$32, $C$9, 100%, $E$9)</f>
        <v>17.1081</v>
      </c>
      <c r="O1022" s="27">
        <f>17.1117 * CHOOSE(CONTROL!$C$32, $C$9, 100%, $E$9)</f>
        <v>17.111699999999999</v>
      </c>
    </row>
    <row r="1023" spans="1:15" ht="15" x14ac:dyDescent="0.2">
      <c r="A1023" s="16">
        <v>71987</v>
      </c>
      <c r="B1023" s="26">
        <f>15.1867 * CHOOSE(CONTROL!$C$32, $C$9, 100%, $E$9)</f>
        <v>15.1867</v>
      </c>
      <c r="C1023" s="26">
        <f>15.1867 * CHOOSE(CONTROL!$C$32, $C$9, 100%, $E$9)</f>
        <v>15.1867</v>
      </c>
      <c r="D1023" s="26">
        <f>15.1878 * CHOOSE(CONTROL!$C$32, $C$9, 100%, $E$9)</f>
        <v>15.187799999999999</v>
      </c>
      <c r="E1023" s="27">
        <f>16.6258 * CHOOSE(CONTROL!$C$32, $C$9, 100%, $E$9)</f>
        <v>16.625800000000002</v>
      </c>
      <c r="F1023" s="27">
        <f>16.6258 * CHOOSE(CONTROL!$C$32, $C$9, 100%, $E$9)</f>
        <v>16.625800000000002</v>
      </c>
      <c r="G1023" s="27">
        <f>16.6294 * CHOOSE(CONTROL!$C$32, $C$9, 100%, $E$9)</f>
        <v>16.6294</v>
      </c>
      <c r="H1023" s="27">
        <f>34.7853 * CHOOSE(CONTROL!$C$32, $C$9, 100%, $E$9)</f>
        <v>34.785299999999999</v>
      </c>
      <c r="I1023" s="27">
        <f>34.7889 * CHOOSE(CONTROL!$C$32, $C$9, 100%, $E$9)</f>
        <v>34.788899999999998</v>
      </c>
      <c r="J1023" s="27">
        <f>34.7853 * CHOOSE(CONTROL!$C$32, $C$9, 100%, $E$9)</f>
        <v>34.785299999999999</v>
      </c>
      <c r="K1023" s="27">
        <f>34.7889 * CHOOSE(CONTROL!$C$32, $C$9, 100%, $E$9)</f>
        <v>34.788899999999998</v>
      </c>
      <c r="L1023" s="27">
        <f>16.6258 * CHOOSE(CONTROL!$C$32, $C$9, 100%, $E$9)</f>
        <v>16.625800000000002</v>
      </c>
      <c r="M1023" s="27">
        <f>16.6294 * CHOOSE(CONTROL!$C$32, $C$9, 100%, $E$9)</f>
        <v>16.6294</v>
      </c>
      <c r="N1023" s="27">
        <f>16.6258 * CHOOSE(CONTROL!$C$32, $C$9, 100%, $E$9)</f>
        <v>16.625800000000002</v>
      </c>
      <c r="O1023" s="27">
        <f>16.6294 * CHOOSE(CONTROL!$C$32, $C$9, 100%, $E$9)</f>
        <v>16.6294</v>
      </c>
    </row>
    <row r="1024" spans="1:15" ht="15" x14ac:dyDescent="0.2">
      <c r="A1024" s="16">
        <v>72015</v>
      </c>
      <c r="B1024" s="26">
        <f>15.1837 * CHOOSE(CONTROL!$C$32, $C$9, 100%, $E$9)</f>
        <v>15.1837</v>
      </c>
      <c r="C1024" s="26">
        <f>15.1837 * CHOOSE(CONTROL!$C$32, $C$9, 100%, $E$9)</f>
        <v>15.1837</v>
      </c>
      <c r="D1024" s="26">
        <f>15.1847 * CHOOSE(CONTROL!$C$32, $C$9, 100%, $E$9)</f>
        <v>15.184699999999999</v>
      </c>
      <c r="E1024" s="27">
        <f>17.0022 * CHOOSE(CONTROL!$C$32, $C$9, 100%, $E$9)</f>
        <v>17.002199999999998</v>
      </c>
      <c r="F1024" s="27">
        <f>17.0022 * CHOOSE(CONTROL!$C$32, $C$9, 100%, $E$9)</f>
        <v>17.002199999999998</v>
      </c>
      <c r="G1024" s="27">
        <f>17.0059 * CHOOSE(CONTROL!$C$32, $C$9, 100%, $E$9)</f>
        <v>17.0059</v>
      </c>
      <c r="H1024" s="27">
        <f>34.8577 * CHOOSE(CONTROL!$C$32, $C$9, 100%, $E$9)</f>
        <v>34.857700000000001</v>
      </c>
      <c r="I1024" s="27">
        <f>34.8614 * CHOOSE(CONTROL!$C$32, $C$9, 100%, $E$9)</f>
        <v>34.861400000000003</v>
      </c>
      <c r="J1024" s="27">
        <f>34.8577 * CHOOSE(CONTROL!$C$32, $C$9, 100%, $E$9)</f>
        <v>34.857700000000001</v>
      </c>
      <c r="K1024" s="27">
        <f>34.8614 * CHOOSE(CONTROL!$C$32, $C$9, 100%, $E$9)</f>
        <v>34.861400000000003</v>
      </c>
      <c r="L1024" s="27">
        <f>17.0022 * CHOOSE(CONTROL!$C$32, $C$9, 100%, $E$9)</f>
        <v>17.002199999999998</v>
      </c>
      <c r="M1024" s="27">
        <f>17.0059 * CHOOSE(CONTROL!$C$32, $C$9, 100%, $E$9)</f>
        <v>17.0059</v>
      </c>
      <c r="N1024" s="27">
        <f>17.0022 * CHOOSE(CONTROL!$C$32, $C$9, 100%, $E$9)</f>
        <v>17.002199999999998</v>
      </c>
      <c r="O1024" s="27">
        <f>17.0059 * CHOOSE(CONTROL!$C$32, $C$9, 100%, $E$9)</f>
        <v>17.0059</v>
      </c>
    </row>
    <row r="1025" spans="1:15" ht="15" x14ac:dyDescent="0.2">
      <c r="A1025" s="16">
        <v>72046</v>
      </c>
      <c r="B1025" s="26">
        <f>15.1922 * CHOOSE(CONTROL!$C$32, $C$9, 100%, $E$9)</f>
        <v>15.1922</v>
      </c>
      <c r="C1025" s="26">
        <f>15.1922 * CHOOSE(CONTROL!$C$32, $C$9, 100%, $E$9)</f>
        <v>15.1922</v>
      </c>
      <c r="D1025" s="26">
        <f>15.1932 * CHOOSE(CONTROL!$C$32, $C$9, 100%, $E$9)</f>
        <v>15.193199999999999</v>
      </c>
      <c r="E1025" s="27">
        <f>17.4046 * CHOOSE(CONTROL!$C$32, $C$9, 100%, $E$9)</f>
        <v>17.404599999999999</v>
      </c>
      <c r="F1025" s="27">
        <f>17.4046 * CHOOSE(CONTROL!$C$32, $C$9, 100%, $E$9)</f>
        <v>17.404599999999999</v>
      </c>
      <c r="G1025" s="27">
        <f>17.4082 * CHOOSE(CONTROL!$C$32, $C$9, 100%, $E$9)</f>
        <v>17.408200000000001</v>
      </c>
      <c r="H1025" s="27">
        <f>34.9304 * CHOOSE(CONTROL!$C$32, $C$9, 100%, $E$9)</f>
        <v>34.930399999999999</v>
      </c>
      <c r="I1025" s="27">
        <f>34.934 * CHOOSE(CONTROL!$C$32, $C$9, 100%, $E$9)</f>
        <v>34.933999999999997</v>
      </c>
      <c r="J1025" s="27">
        <f>34.9304 * CHOOSE(CONTROL!$C$32, $C$9, 100%, $E$9)</f>
        <v>34.930399999999999</v>
      </c>
      <c r="K1025" s="27">
        <f>34.934 * CHOOSE(CONTROL!$C$32, $C$9, 100%, $E$9)</f>
        <v>34.933999999999997</v>
      </c>
      <c r="L1025" s="27">
        <f>17.4046 * CHOOSE(CONTROL!$C$32, $C$9, 100%, $E$9)</f>
        <v>17.404599999999999</v>
      </c>
      <c r="M1025" s="27">
        <f>17.4082 * CHOOSE(CONTROL!$C$32, $C$9, 100%, $E$9)</f>
        <v>17.408200000000001</v>
      </c>
      <c r="N1025" s="27">
        <f>17.4046 * CHOOSE(CONTROL!$C$32, $C$9, 100%, $E$9)</f>
        <v>17.404599999999999</v>
      </c>
      <c r="O1025" s="27">
        <f>17.4082 * CHOOSE(CONTROL!$C$32, $C$9, 100%, $E$9)</f>
        <v>17.408200000000001</v>
      </c>
    </row>
    <row r="1026" spans="1:15" ht="15" x14ac:dyDescent="0.2">
      <c r="A1026" s="16">
        <v>72076</v>
      </c>
      <c r="B1026" s="26">
        <f>15.1922 * CHOOSE(CONTROL!$C$32, $C$9, 100%, $E$9)</f>
        <v>15.1922</v>
      </c>
      <c r="C1026" s="26">
        <f>15.1922 * CHOOSE(CONTROL!$C$32, $C$9, 100%, $E$9)</f>
        <v>15.1922</v>
      </c>
      <c r="D1026" s="26">
        <f>15.1938 * CHOOSE(CONTROL!$C$32, $C$9, 100%, $E$9)</f>
        <v>15.1938</v>
      </c>
      <c r="E1026" s="27">
        <f>17.5571 * CHOOSE(CONTROL!$C$32, $C$9, 100%, $E$9)</f>
        <v>17.557099999999998</v>
      </c>
      <c r="F1026" s="27">
        <f>17.5571 * CHOOSE(CONTROL!$C$32, $C$9, 100%, $E$9)</f>
        <v>17.557099999999998</v>
      </c>
      <c r="G1026" s="27">
        <f>17.5623 * CHOOSE(CONTROL!$C$32, $C$9, 100%, $E$9)</f>
        <v>17.5623</v>
      </c>
      <c r="H1026" s="27">
        <f>35.0031 * CHOOSE(CONTROL!$C$32, $C$9, 100%, $E$9)</f>
        <v>35.003100000000003</v>
      </c>
      <c r="I1026" s="27">
        <f>35.0084 * CHOOSE(CONTROL!$C$32, $C$9, 100%, $E$9)</f>
        <v>35.008400000000002</v>
      </c>
      <c r="J1026" s="27">
        <f>35.0031 * CHOOSE(CONTROL!$C$32, $C$9, 100%, $E$9)</f>
        <v>35.003100000000003</v>
      </c>
      <c r="K1026" s="27">
        <f>35.0084 * CHOOSE(CONTROL!$C$32, $C$9, 100%, $E$9)</f>
        <v>35.008400000000002</v>
      </c>
      <c r="L1026" s="27">
        <f>17.5571 * CHOOSE(CONTROL!$C$32, $C$9, 100%, $E$9)</f>
        <v>17.557099999999998</v>
      </c>
      <c r="M1026" s="27">
        <f>17.5623 * CHOOSE(CONTROL!$C$32, $C$9, 100%, $E$9)</f>
        <v>17.5623</v>
      </c>
      <c r="N1026" s="27">
        <f>17.5571 * CHOOSE(CONTROL!$C$32, $C$9, 100%, $E$9)</f>
        <v>17.557099999999998</v>
      </c>
      <c r="O1026" s="27">
        <f>17.5623 * CHOOSE(CONTROL!$C$32, $C$9, 100%, $E$9)</f>
        <v>17.5623</v>
      </c>
    </row>
    <row r="1027" spans="1:15" ht="15" x14ac:dyDescent="0.2">
      <c r="A1027" s="16">
        <v>72107</v>
      </c>
      <c r="B1027" s="26">
        <f>15.1983 * CHOOSE(CONTROL!$C$32, $C$9, 100%, $E$9)</f>
        <v>15.1983</v>
      </c>
      <c r="C1027" s="26">
        <f>15.1983 * CHOOSE(CONTROL!$C$32, $C$9, 100%, $E$9)</f>
        <v>15.1983</v>
      </c>
      <c r="D1027" s="26">
        <f>15.1998 * CHOOSE(CONTROL!$C$32, $C$9, 100%, $E$9)</f>
        <v>15.1998</v>
      </c>
      <c r="E1027" s="27">
        <f>17.4088 * CHOOSE(CONTROL!$C$32, $C$9, 100%, $E$9)</f>
        <v>17.408799999999999</v>
      </c>
      <c r="F1027" s="27">
        <f>17.4088 * CHOOSE(CONTROL!$C$32, $C$9, 100%, $E$9)</f>
        <v>17.408799999999999</v>
      </c>
      <c r="G1027" s="27">
        <f>17.4141 * CHOOSE(CONTROL!$C$32, $C$9, 100%, $E$9)</f>
        <v>17.414100000000001</v>
      </c>
      <c r="H1027" s="27">
        <f>35.0761 * CHOOSE(CONTROL!$C$32, $C$9, 100%, $E$9)</f>
        <v>35.076099999999997</v>
      </c>
      <c r="I1027" s="27">
        <f>35.0813 * CHOOSE(CONTROL!$C$32, $C$9, 100%, $E$9)</f>
        <v>35.081299999999999</v>
      </c>
      <c r="J1027" s="27">
        <f>35.0761 * CHOOSE(CONTROL!$C$32, $C$9, 100%, $E$9)</f>
        <v>35.076099999999997</v>
      </c>
      <c r="K1027" s="27">
        <f>35.0813 * CHOOSE(CONTROL!$C$32, $C$9, 100%, $E$9)</f>
        <v>35.081299999999999</v>
      </c>
      <c r="L1027" s="27">
        <f>17.4088 * CHOOSE(CONTROL!$C$32, $C$9, 100%, $E$9)</f>
        <v>17.408799999999999</v>
      </c>
      <c r="M1027" s="27">
        <f>17.4141 * CHOOSE(CONTROL!$C$32, $C$9, 100%, $E$9)</f>
        <v>17.414100000000001</v>
      </c>
      <c r="N1027" s="27">
        <f>17.4088 * CHOOSE(CONTROL!$C$32, $C$9, 100%, $E$9)</f>
        <v>17.408799999999999</v>
      </c>
      <c r="O1027" s="27">
        <f>17.4141 * CHOOSE(CONTROL!$C$32, $C$9, 100%, $E$9)</f>
        <v>17.414100000000001</v>
      </c>
    </row>
    <row r="1028" spans="1:15" ht="15" x14ac:dyDescent="0.2">
      <c r="A1028" s="16">
        <v>72137</v>
      </c>
      <c r="B1028" s="26">
        <f>15.3797 * CHOOSE(CONTROL!$C$32, $C$9, 100%, $E$9)</f>
        <v>15.3797</v>
      </c>
      <c r="C1028" s="26">
        <f>15.3797 * CHOOSE(CONTROL!$C$32, $C$9, 100%, $E$9)</f>
        <v>15.3797</v>
      </c>
      <c r="D1028" s="26">
        <f>15.3812 * CHOOSE(CONTROL!$C$32, $C$9, 100%, $E$9)</f>
        <v>15.3812</v>
      </c>
      <c r="E1028" s="27">
        <f>17.6566 * CHOOSE(CONTROL!$C$32, $C$9, 100%, $E$9)</f>
        <v>17.656600000000001</v>
      </c>
      <c r="F1028" s="27">
        <f>17.6566 * CHOOSE(CONTROL!$C$32, $C$9, 100%, $E$9)</f>
        <v>17.656600000000001</v>
      </c>
      <c r="G1028" s="27">
        <f>17.6619 * CHOOSE(CONTROL!$C$32, $C$9, 100%, $E$9)</f>
        <v>17.661899999999999</v>
      </c>
      <c r="H1028" s="27">
        <f>35.1491 * CHOOSE(CONTROL!$C$32, $C$9, 100%, $E$9)</f>
        <v>35.149099999999997</v>
      </c>
      <c r="I1028" s="27">
        <f>35.1544 * CHOOSE(CONTROL!$C$32, $C$9, 100%, $E$9)</f>
        <v>35.154400000000003</v>
      </c>
      <c r="J1028" s="27">
        <f>35.1491 * CHOOSE(CONTROL!$C$32, $C$9, 100%, $E$9)</f>
        <v>35.149099999999997</v>
      </c>
      <c r="K1028" s="27">
        <f>35.1544 * CHOOSE(CONTROL!$C$32, $C$9, 100%, $E$9)</f>
        <v>35.154400000000003</v>
      </c>
      <c r="L1028" s="27">
        <f>17.6566 * CHOOSE(CONTROL!$C$32, $C$9, 100%, $E$9)</f>
        <v>17.656600000000001</v>
      </c>
      <c r="M1028" s="27">
        <f>17.6619 * CHOOSE(CONTROL!$C$32, $C$9, 100%, $E$9)</f>
        <v>17.661899999999999</v>
      </c>
      <c r="N1028" s="27">
        <f>17.6566 * CHOOSE(CONTROL!$C$32, $C$9, 100%, $E$9)</f>
        <v>17.656600000000001</v>
      </c>
      <c r="O1028" s="27">
        <f>17.6619 * CHOOSE(CONTROL!$C$32, $C$9, 100%, $E$9)</f>
        <v>17.661899999999999</v>
      </c>
    </row>
    <row r="1029" spans="1:15" ht="15" x14ac:dyDescent="0.2">
      <c r="A1029" s="16">
        <v>72168</v>
      </c>
      <c r="B1029" s="26">
        <f>15.3863 * CHOOSE(CONTROL!$C$32, $C$9, 100%, $E$9)</f>
        <v>15.3863</v>
      </c>
      <c r="C1029" s="26">
        <f>15.3863 * CHOOSE(CONTROL!$C$32, $C$9, 100%, $E$9)</f>
        <v>15.3863</v>
      </c>
      <c r="D1029" s="26">
        <f>15.3879 * CHOOSE(CONTROL!$C$32, $C$9, 100%, $E$9)</f>
        <v>15.3879</v>
      </c>
      <c r="E1029" s="27">
        <f>17.2038 * CHOOSE(CONTROL!$C$32, $C$9, 100%, $E$9)</f>
        <v>17.203800000000001</v>
      </c>
      <c r="F1029" s="27">
        <f>17.2038 * CHOOSE(CONTROL!$C$32, $C$9, 100%, $E$9)</f>
        <v>17.203800000000001</v>
      </c>
      <c r="G1029" s="27">
        <f>17.2091 * CHOOSE(CONTROL!$C$32, $C$9, 100%, $E$9)</f>
        <v>17.209099999999999</v>
      </c>
      <c r="H1029" s="27">
        <f>35.2224 * CHOOSE(CONTROL!$C$32, $C$9, 100%, $E$9)</f>
        <v>35.2224</v>
      </c>
      <c r="I1029" s="27">
        <f>35.2276 * CHOOSE(CONTROL!$C$32, $C$9, 100%, $E$9)</f>
        <v>35.227600000000002</v>
      </c>
      <c r="J1029" s="27">
        <f>35.2224 * CHOOSE(CONTROL!$C$32, $C$9, 100%, $E$9)</f>
        <v>35.2224</v>
      </c>
      <c r="K1029" s="27">
        <f>35.2276 * CHOOSE(CONTROL!$C$32, $C$9, 100%, $E$9)</f>
        <v>35.227600000000002</v>
      </c>
      <c r="L1029" s="27">
        <f>17.2038 * CHOOSE(CONTROL!$C$32, $C$9, 100%, $E$9)</f>
        <v>17.203800000000001</v>
      </c>
      <c r="M1029" s="27">
        <f>17.2091 * CHOOSE(CONTROL!$C$32, $C$9, 100%, $E$9)</f>
        <v>17.209099999999999</v>
      </c>
      <c r="N1029" s="27">
        <f>17.2038 * CHOOSE(CONTROL!$C$32, $C$9, 100%, $E$9)</f>
        <v>17.203800000000001</v>
      </c>
      <c r="O1029" s="27">
        <f>17.2091 * CHOOSE(CONTROL!$C$32, $C$9, 100%, $E$9)</f>
        <v>17.209099999999999</v>
      </c>
    </row>
    <row r="1030" spans="1:15" ht="15" x14ac:dyDescent="0.2">
      <c r="A1030" s="16">
        <v>72199</v>
      </c>
      <c r="B1030" s="26">
        <f>15.3833 * CHOOSE(CONTROL!$C$32, $C$9, 100%, $E$9)</f>
        <v>15.3833</v>
      </c>
      <c r="C1030" s="26">
        <f>15.3833 * CHOOSE(CONTROL!$C$32, $C$9, 100%, $E$9)</f>
        <v>15.3833</v>
      </c>
      <c r="D1030" s="26">
        <f>15.3849 * CHOOSE(CONTROL!$C$32, $C$9, 100%, $E$9)</f>
        <v>15.3849</v>
      </c>
      <c r="E1030" s="27">
        <f>17.1509 * CHOOSE(CONTROL!$C$32, $C$9, 100%, $E$9)</f>
        <v>17.1509</v>
      </c>
      <c r="F1030" s="27">
        <f>17.1509 * CHOOSE(CONTROL!$C$32, $C$9, 100%, $E$9)</f>
        <v>17.1509</v>
      </c>
      <c r="G1030" s="27">
        <f>17.1562 * CHOOSE(CONTROL!$C$32, $C$9, 100%, $E$9)</f>
        <v>17.156199999999998</v>
      </c>
      <c r="H1030" s="27">
        <f>35.2957 * CHOOSE(CONTROL!$C$32, $C$9, 100%, $E$9)</f>
        <v>35.295699999999997</v>
      </c>
      <c r="I1030" s="27">
        <f>35.301 * CHOOSE(CONTROL!$C$32, $C$9, 100%, $E$9)</f>
        <v>35.301000000000002</v>
      </c>
      <c r="J1030" s="27">
        <f>35.2957 * CHOOSE(CONTROL!$C$32, $C$9, 100%, $E$9)</f>
        <v>35.295699999999997</v>
      </c>
      <c r="K1030" s="27">
        <f>35.301 * CHOOSE(CONTROL!$C$32, $C$9, 100%, $E$9)</f>
        <v>35.301000000000002</v>
      </c>
      <c r="L1030" s="27">
        <f>17.1509 * CHOOSE(CONTROL!$C$32, $C$9, 100%, $E$9)</f>
        <v>17.1509</v>
      </c>
      <c r="M1030" s="27">
        <f>17.1562 * CHOOSE(CONTROL!$C$32, $C$9, 100%, $E$9)</f>
        <v>17.156199999999998</v>
      </c>
      <c r="N1030" s="27">
        <f>17.1509 * CHOOSE(CONTROL!$C$32, $C$9, 100%, $E$9)</f>
        <v>17.1509</v>
      </c>
      <c r="O1030" s="27">
        <f>17.1562 * CHOOSE(CONTROL!$C$32, $C$9, 100%, $E$9)</f>
        <v>17.156199999999998</v>
      </c>
    </row>
    <row r="1031" spans="1:15" ht="15" x14ac:dyDescent="0.2">
      <c r="A1031" s="16">
        <v>72229</v>
      </c>
      <c r="B1031" s="26">
        <f>15.4209 * CHOOSE(CONTROL!$C$32, $C$9, 100%, $E$9)</f>
        <v>15.4209</v>
      </c>
      <c r="C1031" s="26">
        <f>15.4209 * CHOOSE(CONTROL!$C$32, $C$9, 100%, $E$9)</f>
        <v>15.4209</v>
      </c>
      <c r="D1031" s="26">
        <f>15.422 * CHOOSE(CONTROL!$C$32, $C$9, 100%, $E$9)</f>
        <v>15.422000000000001</v>
      </c>
      <c r="E1031" s="27">
        <f>17.3408 * CHOOSE(CONTROL!$C$32, $C$9, 100%, $E$9)</f>
        <v>17.340800000000002</v>
      </c>
      <c r="F1031" s="27">
        <f>17.3408 * CHOOSE(CONTROL!$C$32, $C$9, 100%, $E$9)</f>
        <v>17.340800000000002</v>
      </c>
      <c r="G1031" s="27">
        <f>17.3444 * CHOOSE(CONTROL!$C$32, $C$9, 100%, $E$9)</f>
        <v>17.3444</v>
      </c>
      <c r="H1031" s="27">
        <f>35.3693 * CHOOSE(CONTROL!$C$32, $C$9, 100%, $E$9)</f>
        <v>35.369300000000003</v>
      </c>
      <c r="I1031" s="27">
        <f>35.3729 * CHOOSE(CONTROL!$C$32, $C$9, 100%, $E$9)</f>
        <v>35.372900000000001</v>
      </c>
      <c r="J1031" s="27">
        <f>35.3693 * CHOOSE(CONTROL!$C$32, $C$9, 100%, $E$9)</f>
        <v>35.369300000000003</v>
      </c>
      <c r="K1031" s="27">
        <f>35.3729 * CHOOSE(CONTROL!$C$32, $C$9, 100%, $E$9)</f>
        <v>35.372900000000001</v>
      </c>
      <c r="L1031" s="27">
        <f>17.3408 * CHOOSE(CONTROL!$C$32, $C$9, 100%, $E$9)</f>
        <v>17.340800000000002</v>
      </c>
      <c r="M1031" s="27">
        <f>17.3444 * CHOOSE(CONTROL!$C$32, $C$9, 100%, $E$9)</f>
        <v>17.3444</v>
      </c>
      <c r="N1031" s="27">
        <f>17.3408 * CHOOSE(CONTROL!$C$32, $C$9, 100%, $E$9)</f>
        <v>17.340800000000002</v>
      </c>
      <c r="O1031" s="27">
        <f>17.3444 * CHOOSE(CONTROL!$C$32, $C$9, 100%, $E$9)</f>
        <v>17.3444</v>
      </c>
    </row>
    <row r="1032" spans="1:15" ht="15" x14ac:dyDescent="0.2">
      <c r="A1032" s="16">
        <v>72260</v>
      </c>
      <c r="B1032" s="26">
        <f>15.424 * CHOOSE(CONTROL!$C$32, $C$9, 100%, $E$9)</f>
        <v>15.423999999999999</v>
      </c>
      <c r="C1032" s="26">
        <f>15.424 * CHOOSE(CONTROL!$C$32, $C$9, 100%, $E$9)</f>
        <v>15.423999999999999</v>
      </c>
      <c r="D1032" s="26">
        <f>15.425 * CHOOSE(CONTROL!$C$32, $C$9, 100%, $E$9)</f>
        <v>15.425000000000001</v>
      </c>
      <c r="E1032" s="27">
        <f>17.4445 * CHOOSE(CONTROL!$C$32, $C$9, 100%, $E$9)</f>
        <v>17.444500000000001</v>
      </c>
      <c r="F1032" s="27">
        <f>17.4445 * CHOOSE(CONTROL!$C$32, $C$9, 100%, $E$9)</f>
        <v>17.444500000000001</v>
      </c>
      <c r="G1032" s="27">
        <f>17.4482 * CHOOSE(CONTROL!$C$32, $C$9, 100%, $E$9)</f>
        <v>17.4482</v>
      </c>
      <c r="H1032" s="27">
        <f>35.443 * CHOOSE(CONTROL!$C$32, $C$9, 100%, $E$9)</f>
        <v>35.442999999999998</v>
      </c>
      <c r="I1032" s="27">
        <f>35.4466 * CHOOSE(CONTROL!$C$32, $C$9, 100%, $E$9)</f>
        <v>35.446599999999997</v>
      </c>
      <c r="J1032" s="27">
        <f>35.443 * CHOOSE(CONTROL!$C$32, $C$9, 100%, $E$9)</f>
        <v>35.442999999999998</v>
      </c>
      <c r="K1032" s="27">
        <f>35.4466 * CHOOSE(CONTROL!$C$32, $C$9, 100%, $E$9)</f>
        <v>35.446599999999997</v>
      </c>
      <c r="L1032" s="27">
        <f>17.4445 * CHOOSE(CONTROL!$C$32, $C$9, 100%, $E$9)</f>
        <v>17.444500000000001</v>
      </c>
      <c r="M1032" s="27">
        <f>17.4482 * CHOOSE(CONTROL!$C$32, $C$9, 100%, $E$9)</f>
        <v>17.4482</v>
      </c>
      <c r="N1032" s="27">
        <f>17.4445 * CHOOSE(CONTROL!$C$32, $C$9, 100%, $E$9)</f>
        <v>17.444500000000001</v>
      </c>
      <c r="O1032" s="27">
        <f>17.4482 * CHOOSE(CONTROL!$C$32, $C$9, 100%, $E$9)</f>
        <v>17.4482</v>
      </c>
    </row>
    <row r="1033" spans="1:15" ht="15" x14ac:dyDescent="0.2">
      <c r="A1033" s="16">
        <v>72290</v>
      </c>
      <c r="B1033" s="26">
        <f>15.424 * CHOOSE(CONTROL!$C$32, $C$9, 100%, $E$9)</f>
        <v>15.423999999999999</v>
      </c>
      <c r="C1033" s="26">
        <f>15.424 * CHOOSE(CONTROL!$C$32, $C$9, 100%, $E$9)</f>
        <v>15.423999999999999</v>
      </c>
      <c r="D1033" s="26">
        <f>15.425 * CHOOSE(CONTROL!$C$32, $C$9, 100%, $E$9)</f>
        <v>15.425000000000001</v>
      </c>
      <c r="E1033" s="27">
        <f>17.1904 * CHOOSE(CONTROL!$C$32, $C$9, 100%, $E$9)</f>
        <v>17.1904</v>
      </c>
      <c r="F1033" s="27">
        <f>17.1904 * CHOOSE(CONTROL!$C$32, $C$9, 100%, $E$9)</f>
        <v>17.1904</v>
      </c>
      <c r="G1033" s="27">
        <f>17.194 * CHOOSE(CONTROL!$C$32, $C$9, 100%, $E$9)</f>
        <v>17.193999999999999</v>
      </c>
      <c r="H1033" s="27">
        <f>35.5168 * CHOOSE(CONTROL!$C$32, $C$9, 100%, $E$9)</f>
        <v>35.516800000000003</v>
      </c>
      <c r="I1033" s="27">
        <f>35.5204 * CHOOSE(CONTROL!$C$32, $C$9, 100%, $E$9)</f>
        <v>35.520400000000002</v>
      </c>
      <c r="J1033" s="27">
        <f>35.5168 * CHOOSE(CONTROL!$C$32, $C$9, 100%, $E$9)</f>
        <v>35.516800000000003</v>
      </c>
      <c r="K1033" s="27">
        <f>35.5204 * CHOOSE(CONTROL!$C$32, $C$9, 100%, $E$9)</f>
        <v>35.520400000000002</v>
      </c>
      <c r="L1033" s="27">
        <f>17.1904 * CHOOSE(CONTROL!$C$32, $C$9, 100%, $E$9)</f>
        <v>17.1904</v>
      </c>
      <c r="M1033" s="27">
        <f>17.194 * CHOOSE(CONTROL!$C$32, $C$9, 100%, $E$9)</f>
        <v>17.193999999999999</v>
      </c>
      <c r="N1033" s="27">
        <f>17.1904 * CHOOSE(CONTROL!$C$32, $C$9, 100%, $E$9)</f>
        <v>17.1904</v>
      </c>
      <c r="O1033" s="27">
        <f>17.194 * CHOOSE(CONTROL!$C$32, $C$9, 100%, $E$9)</f>
        <v>17.193999999999999</v>
      </c>
    </row>
    <row r="1034" spans="1:15" ht="15" x14ac:dyDescent="0.2">
      <c r="A1034" s="16">
        <v>72321</v>
      </c>
      <c r="B1034" s="26">
        <f>15.3771 * CHOOSE(CONTROL!$C$32, $C$9, 100%, $E$9)</f>
        <v>15.3771</v>
      </c>
      <c r="C1034" s="26">
        <f>15.3771 * CHOOSE(CONTROL!$C$32, $C$9, 100%, $E$9)</f>
        <v>15.3771</v>
      </c>
      <c r="D1034" s="26">
        <f>15.3782 * CHOOSE(CONTROL!$C$32, $C$9, 100%, $E$9)</f>
        <v>15.3782</v>
      </c>
      <c r="E1034" s="27">
        <f>17.3206 * CHOOSE(CONTROL!$C$32, $C$9, 100%, $E$9)</f>
        <v>17.320599999999999</v>
      </c>
      <c r="F1034" s="27">
        <f>17.3206 * CHOOSE(CONTROL!$C$32, $C$9, 100%, $E$9)</f>
        <v>17.320599999999999</v>
      </c>
      <c r="G1034" s="27">
        <f>17.3243 * CHOOSE(CONTROL!$C$32, $C$9, 100%, $E$9)</f>
        <v>17.324300000000001</v>
      </c>
      <c r="H1034" s="27">
        <f>35.1665 * CHOOSE(CONTROL!$C$32, $C$9, 100%, $E$9)</f>
        <v>35.166499999999999</v>
      </c>
      <c r="I1034" s="27">
        <f>35.1701 * CHOOSE(CONTROL!$C$32, $C$9, 100%, $E$9)</f>
        <v>35.170099999999998</v>
      </c>
      <c r="J1034" s="27">
        <f>35.1665 * CHOOSE(CONTROL!$C$32, $C$9, 100%, $E$9)</f>
        <v>35.166499999999999</v>
      </c>
      <c r="K1034" s="27">
        <f>35.1701 * CHOOSE(CONTROL!$C$32, $C$9, 100%, $E$9)</f>
        <v>35.170099999999998</v>
      </c>
      <c r="L1034" s="27">
        <f>17.3206 * CHOOSE(CONTROL!$C$32, $C$9, 100%, $E$9)</f>
        <v>17.320599999999999</v>
      </c>
      <c r="M1034" s="27">
        <f>17.3243 * CHOOSE(CONTROL!$C$32, $C$9, 100%, $E$9)</f>
        <v>17.324300000000001</v>
      </c>
      <c r="N1034" s="27">
        <f>17.3206 * CHOOSE(CONTROL!$C$32, $C$9, 100%, $E$9)</f>
        <v>17.320599999999999</v>
      </c>
      <c r="O1034" s="27">
        <f>17.3243 * CHOOSE(CONTROL!$C$32, $C$9, 100%, $E$9)</f>
        <v>17.324300000000001</v>
      </c>
    </row>
    <row r="1035" spans="1:15" ht="15" x14ac:dyDescent="0.2">
      <c r="A1035" s="16">
        <v>72352</v>
      </c>
      <c r="B1035" s="26">
        <f>15.3741 * CHOOSE(CONTROL!$C$32, $C$9, 100%, $E$9)</f>
        <v>15.3741</v>
      </c>
      <c r="C1035" s="26">
        <f>15.3741 * CHOOSE(CONTROL!$C$32, $C$9, 100%, $E$9)</f>
        <v>15.3741</v>
      </c>
      <c r="D1035" s="26">
        <f>15.3751 * CHOOSE(CONTROL!$C$32, $C$9, 100%, $E$9)</f>
        <v>15.3751</v>
      </c>
      <c r="E1035" s="27">
        <f>16.8312 * CHOOSE(CONTROL!$C$32, $C$9, 100%, $E$9)</f>
        <v>16.831199999999999</v>
      </c>
      <c r="F1035" s="27">
        <f>16.8312 * CHOOSE(CONTROL!$C$32, $C$9, 100%, $E$9)</f>
        <v>16.831199999999999</v>
      </c>
      <c r="G1035" s="27">
        <f>16.8348 * CHOOSE(CONTROL!$C$32, $C$9, 100%, $E$9)</f>
        <v>16.834800000000001</v>
      </c>
      <c r="H1035" s="27">
        <f>35.2397 * CHOOSE(CONTROL!$C$32, $C$9, 100%, $E$9)</f>
        <v>35.239699999999999</v>
      </c>
      <c r="I1035" s="27">
        <f>35.2433 * CHOOSE(CONTROL!$C$32, $C$9, 100%, $E$9)</f>
        <v>35.243299999999998</v>
      </c>
      <c r="J1035" s="27">
        <f>35.2397 * CHOOSE(CONTROL!$C$32, $C$9, 100%, $E$9)</f>
        <v>35.239699999999999</v>
      </c>
      <c r="K1035" s="27">
        <f>35.2433 * CHOOSE(CONTROL!$C$32, $C$9, 100%, $E$9)</f>
        <v>35.243299999999998</v>
      </c>
      <c r="L1035" s="27">
        <f>16.8312 * CHOOSE(CONTROL!$C$32, $C$9, 100%, $E$9)</f>
        <v>16.831199999999999</v>
      </c>
      <c r="M1035" s="27">
        <f>16.8348 * CHOOSE(CONTROL!$C$32, $C$9, 100%, $E$9)</f>
        <v>16.834800000000001</v>
      </c>
      <c r="N1035" s="27">
        <f>16.8312 * CHOOSE(CONTROL!$C$32, $C$9, 100%, $E$9)</f>
        <v>16.831199999999999</v>
      </c>
      <c r="O1035" s="27">
        <f>16.8348 * CHOOSE(CONTROL!$C$32, $C$9, 100%, $E$9)</f>
        <v>16.834800000000001</v>
      </c>
    </row>
    <row r="1036" spans="1:15" ht="15" x14ac:dyDescent="0.2">
      <c r="A1036" s="16">
        <v>72380</v>
      </c>
      <c r="B1036" s="26">
        <f>15.371 * CHOOSE(CONTROL!$C$32, $C$9, 100%, $E$9)</f>
        <v>15.371</v>
      </c>
      <c r="C1036" s="26">
        <f>15.371 * CHOOSE(CONTROL!$C$32, $C$9, 100%, $E$9)</f>
        <v>15.371</v>
      </c>
      <c r="D1036" s="26">
        <f>15.3721 * CHOOSE(CONTROL!$C$32, $C$9, 100%, $E$9)</f>
        <v>15.3721</v>
      </c>
      <c r="E1036" s="27">
        <f>17.2133 * CHOOSE(CONTROL!$C$32, $C$9, 100%, $E$9)</f>
        <v>17.2133</v>
      </c>
      <c r="F1036" s="27">
        <f>17.2133 * CHOOSE(CONTROL!$C$32, $C$9, 100%, $E$9)</f>
        <v>17.2133</v>
      </c>
      <c r="G1036" s="27">
        <f>17.2169 * CHOOSE(CONTROL!$C$32, $C$9, 100%, $E$9)</f>
        <v>17.216899999999999</v>
      </c>
      <c r="H1036" s="27">
        <f>35.3131 * CHOOSE(CONTROL!$C$32, $C$9, 100%, $E$9)</f>
        <v>35.313099999999999</v>
      </c>
      <c r="I1036" s="27">
        <f>35.3168 * CHOOSE(CONTROL!$C$32, $C$9, 100%, $E$9)</f>
        <v>35.316800000000001</v>
      </c>
      <c r="J1036" s="27">
        <f>35.3131 * CHOOSE(CONTROL!$C$32, $C$9, 100%, $E$9)</f>
        <v>35.313099999999999</v>
      </c>
      <c r="K1036" s="27">
        <f>35.3168 * CHOOSE(CONTROL!$C$32, $C$9, 100%, $E$9)</f>
        <v>35.316800000000001</v>
      </c>
      <c r="L1036" s="27">
        <f>17.2133 * CHOOSE(CONTROL!$C$32, $C$9, 100%, $E$9)</f>
        <v>17.2133</v>
      </c>
      <c r="M1036" s="27">
        <f>17.2169 * CHOOSE(CONTROL!$C$32, $C$9, 100%, $E$9)</f>
        <v>17.216899999999999</v>
      </c>
      <c r="N1036" s="27">
        <f>17.2133 * CHOOSE(CONTROL!$C$32, $C$9, 100%, $E$9)</f>
        <v>17.2133</v>
      </c>
      <c r="O1036" s="27">
        <f>17.2169 * CHOOSE(CONTROL!$C$32, $C$9, 100%, $E$9)</f>
        <v>17.216899999999999</v>
      </c>
    </row>
    <row r="1037" spans="1:15" ht="15" x14ac:dyDescent="0.2">
      <c r="A1037" s="16">
        <v>72411</v>
      </c>
      <c r="B1037" s="26">
        <f>15.3797 * CHOOSE(CONTROL!$C$32, $C$9, 100%, $E$9)</f>
        <v>15.3797</v>
      </c>
      <c r="C1037" s="26">
        <f>15.3797 * CHOOSE(CONTROL!$C$32, $C$9, 100%, $E$9)</f>
        <v>15.3797</v>
      </c>
      <c r="D1037" s="26">
        <f>15.3808 * CHOOSE(CONTROL!$C$32, $C$9, 100%, $E$9)</f>
        <v>15.380800000000001</v>
      </c>
      <c r="E1037" s="27">
        <f>17.6216 * CHOOSE(CONTROL!$C$32, $C$9, 100%, $E$9)</f>
        <v>17.621600000000001</v>
      </c>
      <c r="F1037" s="27">
        <f>17.6216 * CHOOSE(CONTROL!$C$32, $C$9, 100%, $E$9)</f>
        <v>17.621600000000001</v>
      </c>
      <c r="G1037" s="27">
        <f>17.6252 * CHOOSE(CONTROL!$C$32, $C$9, 100%, $E$9)</f>
        <v>17.6252</v>
      </c>
      <c r="H1037" s="27">
        <f>35.3867 * CHOOSE(CONTROL!$C$32, $C$9, 100%, $E$9)</f>
        <v>35.386699999999998</v>
      </c>
      <c r="I1037" s="27">
        <f>35.3903 * CHOOSE(CONTROL!$C$32, $C$9, 100%, $E$9)</f>
        <v>35.390300000000003</v>
      </c>
      <c r="J1037" s="27">
        <f>35.3867 * CHOOSE(CONTROL!$C$32, $C$9, 100%, $E$9)</f>
        <v>35.386699999999998</v>
      </c>
      <c r="K1037" s="27">
        <f>35.3903 * CHOOSE(CONTROL!$C$32, $C$9, 100%, $E$9)</f>
        <v>35.390300000000003</v>
      </c>
      <c r="L1037" s="27">
        <f>17.6216 * CHOOSE(CONTROL!$C$32, $C$9, 100%, $E$9)</f>
        <v>17.621600000000001</v>
      </c>
      <c r="M1037" s="27">
        <f>17.6252 * CHOOSE(CONTROL!$C$32, $C$9, 100%, $E$9)</f>
        <v>17.6252</v>
      </c>
      <c r="N1037" s="27">
        <f>17.6216 * CHOOSE(CONTROL!$C$32, $C$9, 100%, $E$9)</f>
        <v>17.621600000000001</v>
      </c>
      <c r="O1037" s="27">
        <f>17.6252 * CHOOSE(CONTROL!$C$32, $C$9, 100%, $E$9)</f>
        <v>17.6252</v>
      </c>
    </row>
    <row r="1038" spans="1:15" ht="15" x14ac:dyDescent="0.2">
      <c r="A1038" s="16">
        <v>72441</v>
      </c>
      <c r="B1038" s="26">
        <f>15.3797 * CHOOSE(CONTROL!$C$32, $C$9, 100%, $E$9)</f>
        <v>15.3797</v>
      </c>
      <c r="C1038" s="26">
        <f>15.3797 * CHOOSE(CONTROL!$C$32, $C$9, 100%, $E$9)</f>
        <v>15.3797</v>
      </c>
      <c r="D1038" s="26">
        <f>15.3813 * CHOOSE(CONTROL!$C$32, $C$9, 100%, $E$9)</f>
        <v>15.3813</v>
      </c>
      <c r="E1038" s="27">
        <f>17.7763 * CHOOSE(CONTROL!$C$32, $C$9, 100%, $E$9)</f>
        <v>17.776299999999999</v>
      </c>
      <c r="F1038" s="27">
        <f>17.7763 * CHOOSE(CONTROL!$C$32, $C$9, 100%, $E$9)</f>
        <v>17.776299999999999</v>
      </c>
      <c r="G1038" s="27">
        <f>17.7816 * CHOOSE(CONTROL!$C$32, $C$9, 100%, $E$9)</f>
        <v>17.781600000000001</v>
      </c>
      <c r="H1038" s="27">
        <f>35.4604 * CHOOSE(CONTROL!$C$32, $C$9, 100%, $E$9)</f>
        <v>35.4604</v>
      </c>
      <c r="I1038" s="27">
        <f>35.4657 * CHOOSE(CONTROL!$C$32, $C$9, 100%, $E$9)</f>
        <v>35.465699999999998</v>
      </c>
      <c r="J1038" s="27">
        <f>35.4604 * CHOOSE(CONTROL!$C$32, $C$9, 100%, $E$9)</f>
        <v>35.4604</v>
      </c>
      <c r="K1038" s="27">
        <f>35.4657 * CHOOSE(CONTROL!$C$32, $C$9, 100%, $E$9)</f>
        <v>35.465699999999998</v>
      </c>
      <c r="L1038" s="27">
        <f>17.7763 * CHOOSE(CONTROL!$C$32, $C$9, 100%, $E$9)</f>
        <v>17.776299999999999</v>
      </c>
      <c r="M1038" s="27">
        <f>17.7816 * CHOOSE(CONTROL!$C$32, $C$9, 100%, $E$9)</f>
        <v>17.781600000000001</v>
      </c>
      <c r="N1038" s="27">
        <f>17.7763 * CHOOSE(CONTROL!$C$32, $C$9, 100%, $E$9)</f>
        <v>17.776299999999999</v>
      </c>
      <c r="O1038" s="27">
        <f>17.7816 * CHOOSE(CONTROL!$C$32, $C$9, 100%, $E$9)</f>
        <v>17.781600000000001</v>
      </c>
    </row>
    <row r="1039" spans="1:15" ht="15" x14ac:dyDescent="0.2">
      <c r="A1039" s="16">
        <v>72472</v>
      </c>
      <c r="B1039" s="26">
        <f>15.3858 * CHOOSE(CONTROL!$C$32, $C$9, 100%, $E$9)</f>
        <v>15.3858</v>
      </c>
      <c r="C1039" s="26">
        <f>15.3858 * CHOOSE(CONTROL!$C$32, $C$9, 100%, $E$9)</f>
        <v>15.3858</v>
      </c>
      <c r="D1039" s="26">
        <f>15.3874 * CHOOSE(CONTROL!$C$32, $C$9, 100%, $E$9)</f>
        <v>15.3874</v>
      </c>
      <c r="E1039" s="27">
        <f>17.6258 * CHOOSE(CONTROL!$C$32, $C$9, 100%, $E$9)</f>
        <v>17.625800000000002</v>
      </c>
      <c r="F1039" s="27">
        <f>17.6258 * CHOOSE(CONTROL!$C$32, $C$9, 100%, $E$9)</f>
        <v>17.625800000000002</v>
      </c>
      <c r="G1039" s="27">
        <f>17.6311 * CHOOSE(CONTROL!$C$32, $C$9, 100%, $E$9)</f>
        <v>17.6311</v>
      </c>
      <c r="H1039" s="27">
        <f>35.5343 * CHOOSE(CONTROL!$C$32, $C$9, 100%, $E$9)</f>
        <v>35.534300000000002</v>
      </c>
      <c r="I1039" s="27">
        <f>35.5396 * CHOOSE(CONTROL!$C$32, $C$9, 100%, $E$9)</f>
        <v>35.5396</v>
      </c>
      <c r="J1039" s="27">
        <f>35.5343 * CHOOSE(CONTROL!$C$32, $C$9, 100%, $E$9)</f>
        <v>35.534300000000002</v>
      </c>
      <c r="K1039" s="27">
        <f>35.5396 * CHOOSE(CONTROL!$C$32, $C$9, 100%, $E$9)</f>
        <v>35.5396</v>
      </c>
      <c r="L1039" s="27">
        <f>17.6258 * CHOOSE(CONTROL!$C$32, $C$9, 100%, $E$9)</f>
        <v>17.625800000000002</v>
      </c>
      <c r="M1039" s="27">
        <f>17.6311 * CHOOSE(CONTROL!$C$32, $C$9, 100%, $E$9)</f>
        <v>17.6311</v>
      </c>
      <c r="N1039" s="27">
        <f>17.6258 * CHOOSE(CONTROL!$C$32, $C$9, 100%, $E$9)</f>
        <v>17.625800000000002</v>
      </c>
      <c r="O1039" s="27">
        <f>17.6311 * CHOOSE(CONTROL!$C$32, $C$9, 100%, $E$9)</f>
        <v>17.6311</v>
      </c>
    </row>
    <row r="1040" spans="1:15" ht="15" x14ac:dyDescent="0.2">
      <c r="A1040" s="16">
        <v>72502</v>
      </c>
      <c r="B1040" s="26">
        <f>15.5692 * CHOOSE(CONTROL!$C$32, $C$9, 100%, $E$9)</f>
        <v>15.5692</v>
      </c>
      <c r="C1040" s="26">
        <f>15.5692 * CHOOSE(CONTROL!$C$32, $C$9, 100%, $E$9)</f>
        <v>15.5692</v>
      </c>
      <c r="D1040" s="26">
        <f>15.5708 * CHOOSE(CONTROL!$C$32, $C$9, 100%, $E$9)</f>
        <v>15.5708</v>
      </c>
      <c r="E1040" s="27">
        <f>17.8768 * CHOOSE(CONTROL!$C$32, $C$9, 100%, $E$9)</f>
        <v>17.876799999999999</v>
      </c>
      <c r="F1040" s="27">
        <f>17.8768 * CHOOSE(CONTROL!$C$32, $C$9, 100%, $E$9)</f>
        <v>17.876799999999999</v>
      </c>
      <c r="G1040" s="27">
        <f>17.8821 * CHOOSE(CONTROL!$C$32, $C$9, 100%, $E$9)</f>
        <v>17.882100000000001</v>
      </c>
      <c r="H1040" s="27">
        <f>35.6083 * CHOOSE(CONTROL!$C$32, $C$9, 100%, $E$9)</f>
        <v>35.6083</v>
      </c>
      <c r="I1040" s="27">
        <f>35.6136 * CHOOSE(CONTROL!$C$32, $C$9, 100%, $E$9)</f>
        <v>35.613599999999998</v>
      </c>
      <c r="J1040" s="27">
        <f>35.6083 * CHOOSE(CONTROL!$C$32, $C$9, 100%, $E$9)</f>
        <v>35.6083</v>
      </c>
      <c r="K1040" s="27">
        <f>35.6136 * CHOOSE(CONTROL!$C$32, $C$9, 100%, $E$9)</f>
        <v>35.613599999999998</v>
      </c>
      <c r="L1040" s="27">
        <f>17.8768 * CHOOSE(CONTROL!$C$32, $C$9, 100%, $E$9)</f>
        <v>17.876799999999999</v>
      </c>
      <c r="M1040" s="27">
        <f>17.8821 * CHOOSE(CONTROL!$C$32, $C$9, 100%, $E$9)</f>
        <v>17.882100000000001</v>
      </c>
      <c r="N1040" s="27">
        <f>17.8768 * CHOOSE(CONTROL!$C$32, $C$9, 100%, $E$9)</f>
        <v>17.876799999999999</v>
      </c>
      <c r="O1040" s="27">
        <f>17.8821 * CHOOSE(CONTROL!$C$32, $C$9, 100%, $E$9)</f>
        <v>17.882100000000001</v>
      </c>
    </row>
    <row r="1041" spans="1:15" ht="15" x14ac:dyDescent="0.2">
      <c r="A1041" s="16">
        <v>72533</v>
      </c>
      <c r="B1041" s="26">
        <f>15.5759 * CHOOSE(CONTROL!$C$32, $C$9, 100%, $E$9)</f>
        <v>15.575900000000001</v>
      </c>
      <c r="C1041" s="26">
        <f>15.5759 * CHOOSE(CONTROL!$C$32, $C$9, 100%, $E$9)</f>
        <v>15.575900000000001</v>
      </c>
      <c r="D1041" s="26">
        <f>15.5775 * CHOOSE(CONTROL!$C$32, $C$9, 100%, $E$9)</f>
        <v>15.577500000000001</v>
      </c>
      <c r="E1041" s="27">
        <f>17.4173 * CHOOSE(CONTROL!$C$32, $C$9, 100%, $E$9)</f>
        <v>17.417300000000001</v>
      </c>
      <c r="F1041" s="27">
        <f>17.4173 * CHOOSE(CONTROL!$C$32, $C$9, 100%, $E$9)</f>
        <v>17.417300000000001</v>
      </c>
      <c r="G1041" s="27">
        <f>17.4226 * CHOOSE(CONTROL!$C$32, $C$9, 100%, $E$9)</f>
        <v>17.422599999999999</v>
      </c>
      <c r="H1041" s="27">
        <f>35.6825 * CHOOSE(CONTROL!$C$32, $C$9, 100%, $E$9)</f>
        <v>35.682499999999997</v>
      </c>
      <c r="I1041" s="27">
        <f>35.6878 * CHOOSE(CONTROL!$C$32, $C$9, 100%, $E$9)</f>
        <v>35.687800000000003</v>
      </c>
      <c r="J1041" s="27">
        <f>35.6825 * CHOOSE(CONTROL!$C$32, $C$9, 100%, $E$9)</f>
        <v>35.682499999999997</v>
      </c>
      <c r="K1041" s="27">
        <f>35.6878 * CHOOSE(CONTROL!$C$32, $C$9, 100%, $E$9)</f>
        <v>35.687800000000003</v>
      </c>
      <c r="L1041" s="27">
        <f>17.4173 * CHOOSE(CONTROL!$C$32, $C$9, 100%, $E$9)</f>
        <v>17.417300000000001</v>
      </c>
      <c r="M1041" s="27">
        <f>17.4226 * CHOOSE(CONTROL!$C$32, $C$9, 100%, $E$9)</f>
        <v>17.422599999999999</v>
      </c>
      <c r="N1041" s="27">
        <f>17.4173 * CHOOSE(CONTROL!$C$32, $C$9, 100%, $E$9)</f>
        <v>17.417300000000001</v>
      </c>
      <c r="O1041" s="27">
        <f>17.4226 * CHOOSE(CONTROL!$C$32, $C$9, 100%, $E$9)</f>
        <v>17.422599999999999</v>
      </c>
    </row>
    <row r="1042" spans="1:15" ht="15" x14ac:dyDescent="0.2">
      <c r="A1042" s="16">
        <v>72564</v>
      </c>
      <c r="B1042" s="26">
        <f>15.5729 * CHOOSE(CONTROL!$C$32, $C$9, 100%, $E$9)</f>
        <v>15.572900000000001</v>
      </c>
      <c r="C1042" s="26">
        <f>15.5729 * CHOOSE(CONTROL!$C$32, $C$9, 100%, $E$9)</f>
        <v>15.572900000000001</v>
      </c>
      <c r="D1042" s="26">
        <f>15.5745 * CHOOSE(CONTROL!$C$32, $C$9, 100%, $E$9)</f>
        <v>15.5745</v>
      </c>
      <c r="E1042" s="27">
        <f>17.3636 * CHOOSE(CONTROL!$C$32, $C$9, 100%, $E$9)</f>
        <v>17.363600000000002</v>
      </c>
      <c r="F1042" s="27">
        <f>17.3636 * CHOOSE(CONTROL!$C$32, $C$9, 100%, $E$9)</f>
        <v>17.363600000000002</v>
      </c>
      <c r="G1042" s="27">
        <f>17.3689 * CHOOSE(CONTROL!$C$32, $C$9, 100%, $E$9)</f>
        <v>17.3689</v>
      </c>
      <c r="H1042" s="27">
        <f>35.7569 * CHOOSE(CONTROL!$C$32, $C$9, 100%, $E$9)</f>
        <v>35.756900000000002</v>
      </c>
      <c r="I1042" s="27">
        <f>35.7621 * CHOOSE(CONTROL!$C$32, $C$9, 100%, $E$9)</f>
        <v>35.762099999999997</v>
      </c>
      <c r="J1042" s="27">
        <f>35.7569 * CHOOSE(CONTROL!$C$32, $C$9, 100%, $E$9)</f>
        <v>35.756900000000002</v>
      </c>
      <c r="K1042" s="27">
        <f>35.7621 * CHOOSE(CONTROL!$C$32, $C$9, 100%, $E$9)</f>
        <v>35.762099999999997</v>
      </c>
      <c r="L1042" s="27">
        <f>17.3636 * CHOOSE(CONTROL!$C$32, $C$9, 100%, $E$9)</f>
        <v>17.363600000000002</v>
      </c>
      <c r="M1042" s="27">
        <f>17.3689 * CHOOSE(CONTROL!$C$32, $C$9, 100%, $E$9)</f>
        <v>17.3689</v>
      </c>
      <c r="N1042" s="27">
        <f>17.3636 * CHOOSE(CONTROL!$C$32, $C$9, 100%, $E$9)</f>
        <v>17.363600000000002</v>
      </c>
      <c r="O1042" s="27">
        <f>17.3689 * CHOOSE(CONTROL!$C$32, $C$9, 100%, $E$9)</f>
        <v>17.3689</v>
      </c>
    </row>
    <row r="1043" spans="1:15" ht="15" x14ac:dyDescent="0.2">
      <c r="A1043" s="16">
        <v>72594</v>
      </c>
      <c r="B1043" s="26">
        <f>15.6112 * CHOOSE(CONTROL!$C$32, $C$9, 100%, $E$9)</f>
        <v>15.6112</v>
      </c>
      <c r="C1043" s="26">
        <f>15.6112 * CHOOSE(CONTROL!$C$32, $C$9, 100%, $E$9)</f>
        <v>15.6112</v>
      </c>
      <c r="D1043" s="26">
        <f>15.6123 * CHOOSE(CONTROL!$C$32, $C$9, 100%, $E$9)</f>
        <v>15.612299999999999</v>
      </c>
      <c r="E1043" s="27">
        <f>17.5565 * CHOOSE(CONTROL!$C$32, $C$9, 100%, $E$9)</f>
        <v>17.5565</v>
      </c>
      <c r="F1043" s="27">
        <f>17.5565 * CHOOSE(CONTROL!$C$32, $C$9, 100%, $E$9)</f>
        <v>17.5565</v>
      </c>
      <c r="G1043" s="27">
        <f>17.5601 * CHOOSE(CONTROL!$C$32, $C$9, 100%, $E$9)</f>
        <v>17.560099999999998</v>
      </c>
      <c r="H1043" s="27">
        <f>35.8313 * CHOOSE(CONTROL!$C$32, $C$9, 100%, $E$9)</f>
        <v>35.831299999999999</v>
      </c>
      <c r="I1043" s="27">
        <f>35.835 * CHOOSE(CONTROL!$C$32, $C$9, 100%, $E$9)</f>
        <v>35.835000000000001</v>
      </c>
      <c r="J1043" s="27">
        <f>35.8313 * CHOOSE(CONTROL!$C$32, $C$9, 100%, $E$9)</f>
        <v>35.831299999999999</v>
      </c>
      <c r="K1043" s="27">
        <f>35.835 * CHOOSE(CONTROL!$C$32, $C$9, 100%, $E$9)</f>
        <v>35.835000000000001</v>
      </c>
      <c r="L1043" s="27">
        <f>17.5565 * CHOOSE(CONTROL!$C$32, $C$9, 100%, $E$9)</f>
        <v>17.5565</v>
      </c>
      <c r="M1043" s="27">
        <f>17.5601 * CHOOSE(CONTROL!$C$32, $C$9, 100%, $E$9)</f>
        <v>17.560099999999998</v>
      </c>
      <c r="N1043" s="27">
        <f>17.5565 * CHOOSE(CONTROL!$C$32, $C$9, 100%, $E$9)</f>
        <v>17.5565</v>
      </c>
      <c r="O1043" s="27">
        <f>17.5601 * CHOOSE(CONTROL!$C$32, $C$9, 100%, $E$9)</f>
        <v>17.560099999999998</v>
      </c>
    </row>
    <row r="1044" spans="1:15" ht="15" x14ac:dyDescent="0.2">
      <c r="A1044" s="16">
        <v>72625</v>
      </c>
      <c r="B1044" s="26">
        <f>15.6143 * CHOOSE(CONTROL!$C$32, $C$9, 100%, $E$9)</f>
        <v>15.6143</v>
      </c>
      <c r="C1044" s="26">
        <f>15.6143 * CHOOSE(CONTROL!$C$32, $C$9, 100%, $E$9)</f>
        <v>15.6143</v>
      </c>
      <c r="D1044" s="26">
        <f>15.6154 * CHOOSE(CONTROL!$C$32, $C$9, 100%, $E$9)</f>
        <v>15.615399999999999</v>
      </c>
      <c r="E1044" s="27">
        <f>17.6617 * CHOOSE(CONTROL!$C$32, $C$9, 100%, $E$9)</f>
        <v>17.6617</v>
      </c>
      <c r="F1044" s="27">
        <f>17.6617 * CHOOSE(CONTROL!$C$32, $C$9, 100%, $E$9)</f>
        <v>17.6617</v>
      </c>
      <c r="G1044" s="27">
        <f>17.6653 * CHOOSE(CONTROL!$C$32, $C$9, 100%, $E$9)</f>
        <v>17.665299999999998</v>
      </c>
      <c r="H1044" s="27">
        <f>35.906 * CHOOSE(CONTROL!$C$32, $C$9, 100%, $E$9)</f>
        <v>35.905999999999999</v>
      </c>
      <c r="I1044" s="27">
        <f>35.9096 * CHOOSE(CONTROL!$C$32, $C$9, 100%, $E$9)</f>
        <v>35.909599999999998</v>
      </c>
      <c r="J1044" s="27">
        <f>35.906 * CHOOSE(CONTROL!$C$32, $C$9, 100%, $E$9)</f>
        <v>35.905999999999999</v>
      </c>
      <c r="K1044" s="27">
        <f>35.9096 * CHOOSE(CONTROL!$C$32, $C$9, 100%, $E$9)</f>
        <v>35.909599999999998</v>
      </c>
      <c r="L1044" s="27">
        <f>17.6617 * CHOOSE(CONTROL!$C$32, $C$9, 100%, $E$9)</f>
        <v>17.6617</v>
      </c>
      <c r="M1044" s="27">
        <f>17.6653 * CHOOSE(CONTROL!$C$32, $C$9, 100%, $E$9)</f>
        <v>17.665299999999998</v>
      </c>
      <c r="N1044" s="27">
        <f>17.6617 * CHOOSE(CONTROL!$C$32, $C$9, 100%, $E$9)</f>
        <v>17.6617</v>
      </c>
      <c r="O1044" s="27">
        <f>17.6653 * CHOOSE(CONTROL!$C$32, $C$9, 100%, $E$9)</f>
        <v>17.665299999999998</v>
      </c>
    </row>
    <row r="1045" spans="1:15" ht="15" x14ac:dyDescent="0.2">
      <c r="A1045" s="16">
        <v>72655</v>
      </c>
      <c r="B1045" s="26">
        <f>15.6143 * CHOOSE(CONTROL!$C$32, $C$9, 100%, $E$9)</f>
        <v>15.6143</v>
      </c>
      <c r="C1045" s="26">
        <f>15.6143 * CHOOSE(CONTROL!$C$32, $C$9, 100%, $E$9)</f>
        <v>15.6143</v>
      </c>
      <c r="D1045" s="26">
        <f>15.6154 * CHOOSE(CONTROL!$C$32, $C$9, 100%, $E$9)</f>
        <v>15.615399999999999</v>
      </c>
      <c r="E1045" s="27">
        <f>17.4039 * CHOOSE(CONTROL!$C$32, $C$9, 100%, $E$9)</f>
        <v>17.4039</v>
      </c>
      <c r="F1045" s="27">
        <f>17.4039 * CHOOSE(CONTROL!$C$32, $C$9, 100%, $E$9)</f>
        <v>17.4039</v>
      </c>
      <c r="G1045" s="27">
        <f>17.4075 * CHOOSE(CONTROL!$C$32, $C$9, 100%, $E$9)</f>
        <v>17.407499999999999</v>
      </c>
      <c r="H1045" s="27">
        <f>35.9808 * CHOOSE(CONTROL!$C$32, $C$9, 100%, $E$9)</f>
        <v>35.980800000000002</v>
      </c>
      <c r="I1045" s="27">
        <f>35.9844 * CHOOSE(CONTROL!$C$32, $C$9, 100%, $E$9)</f>
        <v>35.984400000000001</v>
      </c>
      <c r="J1045" s="27">
        <f>35.9808 * CHOOSE(CONTROL!$C$32, $C$9, 100%, $E$9)</f>
        <v>35.980800000000002</v>
      </c>
      <c r="K1045" s="27">
        <f>35.9844 * CHOOSE(CONTROL!$C$32, $C$9, 100%, $E$9)</f>
        <v>35.984400000000001</v>
      </c>
      <c r="L1045" s="27">
        <f>17.4039 * CHOOSE(CONTROL!$C$32, $C$9, 100%, $E$9)</f>
        <v>17.4039</v>
      </c>
      <c r="M1045" s="27">
        <f>17.4075 * CHOOSE(CONTROL!$C$32, $C$9, 100%, $E$9)</f>
        <v>17.407499999999999</v>
      </c>
      <c r="N1045" s="27">
        <f>17.4039 * CHOOSE(CONTROL!$C$32, $C$9, 100%, $E$9)</f>
        <v>17.4039</v>
      </c>
      <c r="O1045" s="27">
        <f>17.4075 * CHOOSE(CONTROL!$C$32, $C$9, 100%, $E$9)</f>
        <v>17.407499999999999</v>
      </c>
    </row>
    <row r="1046" spans="1:15" ht="15" x14ac:dyDescent="0.2">
      <c r="A1046" s="16">
        <v>72686</v>
      </c>
      <c r="B1046" s="26">
        <f>15.5645 * CHOOSE(CONTROL!$C$32, $C$9, 100%, $E$9)</f>
        <v>15.564500000000001</v>
      </c>
      <c r="C1046" s="26">
        <f>15.5645 * CHOOSE(CONTROL!$C$32, $C$9, 100%, $E$9)</f>
        <v>15.564500000000001</v>
      </c>
      <c r="D1046" s="26">
        <f>15.5655 * CHOOSE(CONTROL!$C$32, $C$9, 100%, $E$9)</f>
        <v>15.5655</v>
      </c>
      <c r="E1046" s="27">
        <f>17.5331 * CHOOSE(CONTROL!$C$32, $C$9, 100%, $E$9)</f>
        <v>17.533100000000001</v>
      </c>
      <c r="F1046" s="27">
        <f>17.5331 * CHOOSE(CONTROL!$C$32, $C$9, 100%, $E$9)</f>
        <v>17.533100000000001</v>
      </c>
      <c r="G1046" s="27">
        <f>17.5368 * CHOOSE(CONTROL!$C$32, $C$9, 100%, $E$9)</f>
        <v>17.536799999999999</v>
      </c>
      <c r="H1046" s="27">
        <f>35.62 * CHOOSE(CONTROL!$C$32, $C$9, 100%, $E$9)</f>
        <v>35.619999999999997</v>
      </c>
      <c r="I1046" s="27">
        <f>35.6236 * CHOOSE(CONTROL!$C$32, $C$9, 100%, $E$9)</f>
        <v>35.623600000000003</v>
      </c>
      <c r="J1046" s="27">
        <f>35.62 * CHOOSE(CONTROL!$C$32, $C$9, 100%, $E$9)</f>
        <v>35.619999999999997</v>
      </c>
      <c r="K1046" s="27">
        <f>35.6236 * CHOOSE(CONTROL!$C$32, $C$9, 100%, $E$9)</f>
        <v>35.623600000000003</v>
      </c>
      <c r="L1046" s="27">
        <f>17.5331 * CHOOSE(CONTROL!$C$32, $C$9, 100%, $E$9)</f>
        <v>17.533100000000001</v>
      </c>
      <c r="M1046" s="27">
        <f>17.5368 * CHOOSE(CONTROL!$C$32, $C$9, 100%, $E$9)</f>
        <v>17.536799999999999</v>
      </c>
      <c r="N1046" s="27">
        <f>17.5331 * CHOOSE(CONTROL!$C$32, $C$9, 100%, $E$9)</f>
        <v>17.533100000000001</v>
      </c>
      <c r="O1046" s="27">
        <f>17.5368 * CHOOSE(CONTROL!$C$32, $C$9, 100%, $E$9)</f>
        <v>17.536799999999999</v>
      </c>
    </row>
    <row r="1047" spans="1:15" ht="15" x14ac:dyDescent="0.2">
      <c r="A1047" s="16">
        <v>72717</v>
      </c>
      <c r="B1047" s="26">
        <f>15.5614 * CHOOSE(CONTROL!$C$32, $C$9, 100%, $E$9)</f>
        <v>15.561400000000001</v>
      </c>
      <c r="C1047" s="26">
        <f>15.5614 * CHOOSE(CONTROL!$C$32, $C$9, 100%, $E$9)</f>
        <v>15.561400000000001</v>
      </c>
      <c r="D1047" s="26">
        <f>15.5625 * CHOOSE(CONTROL!$C$32, $C$9, 100%, $E$9)</f>
        <v>15.5625</v>
      </c>
      <c r="E1047" s="27">
        <f>17.0366 * CHOOSE(CONTROL!$C$32, $C$9, 100%, $E$9)</f>
        <v>17.0366</v>
      </c>
      <c r="F1047" s="27">
        <f>17.0366 * CHOOSE(CONTROL!$C$32, $C$9, 100%, $E$9)</f>
        <v>17.0366</v>
      </c>
      <c r="G1047" s="27">
        <f>17.0402 * CHOOSE(CONTROL!$C$32, $C$9, 100%, $E$9)</f>
        <v>17.040199999999999</v>
      </c>
      <c r="H1047" s="27">
        <f>35.6942 * CHOOSE(CONTROL!$C$32, $C$9, 100%, $E$9)</f>
        <v>35.694200000000002</v>
      </c>
      <c r="I1047" s="27">
        <f>35.6978 * CHOOSE(CONTROL!$C$32, $C$9, 100%, $E$9)</f>
        <v>35.697800000000001</v>
      </c>
      <c r="J1047" s="27">
        <f>35.6942 * CHOOSE(CONTROL!$C$32, $C$9, 100%, $E$9)</f>
        <v>35.694200000000002</v>
      </c>
      <c r="K1047" s="27">
        <f>35.6978 * CHOOSE(CONTROL!$C$32, $C$9, 100%, $E$9)</f>
        <v>35.697800000000001</v>
      </c>
      <c r="L1047" s="27">
        <f>17.0366 * CHOOSE(CONTROL!$C$32, $C$9, 100%, $E$9)</f>
        <v>17.0366</v>
      </c>
      <c r="M1047" s="27">
        <f>17.0402 * CHOOSE(CONTROL!$C$32, $C$9, 100%, $E$9)</f>
        <v>17.040199999999999</v>
      </c>
      <c r="N1047" s="27">
        <f>17.0366 * CHOOSE(CONTROL!$C$32, $C$9, 100%, $E$9)</f>
        <v>17.0366</v>
      </c>
      <c r="O1047" s="27">
        <f>17.0402 * CHOOSE(CONTROL!$C$32, $C$9, 100%, $E$9)</f>
        <v>17.040199999999999</v>
      </c>
    </row>
    <row r="1048" spans="1:15" ht="15" x14ac:dyDescent="0.2">
      <c r="A1048" s="16">
        <v>72745</v>
      </c>
      <c r="B1048" s="26">
        <f>15.5584 * CHOOSE(CONTROL!$C$32, $C$9, 100%, $E$9)</f>
        <v>15.558400000000001</v>
      </c>
      <c r="C1048" s="26">
        <f>15.5584 * CHOOSE(CONTROL!$C$32, $C$9, 100%, $E$9)</f>
        <v>15.558400000000001</v>
      </c>
      <c r="D1048" s="26">
        <f>15.5595 * CHOOSE(CONTROL!$C$32, $C$9, 100%, $E$9)</f>
        <v>15.5595</v>
      </c>
      <c r="E1048" s="27">
        <f>17.4243 * CHOOSE(CONTROL!$C$32, $C$9, 100%, $E$9)</f>
        <v>17.424299999999999</v>
      </c>
      <c r="F1048" s="27">
        <f>17.4243 * CHOOSE(CONTROL!$C$32, $C$9, 100%, $E$9)</f>
        <v>17.424299999999999</v>
      </c>
      <c r="G1048" s="27">
        <f>17.4279 * CHOOSE(CONTROL!$C$32, $C$9, 100%, $E$9)</f>
        <v>17.427900000000001</v>
      </c>
      <c r="H1048" s="27">
        <f>35.7685 * CHOOSE(CONTROL!$C$32, $C$9, 100%, $E$9)</f>
        <v>35.768500000000003</v>
      </c>
      <c r="I1048" s="27">
        <f>35.7721 * CHOOSE(CONTROL!$C$32, $C$9, 100%, $E$9)</f>
        <v>35.772100000000002</v>
      </c>
      <c r="J1048" s="27">
        <f>35.7685 * CHOOSE(CONTROL!$C$32, $C$9, 100%, $E$9)</f>
        <v>35.768500000000003</v>
      </c>
      <c r="K1048" s="27">
        <f>35.7721 * CHOOSE(CONTROL!$C$32, $C$9, 100%, $E$9)</f>
        <v>35.772100000000002</v>
      </c>
      <c r="L1048" s="27">
        <f>17.4243 * CHOOSE(CONTROL!$C$32, $C$9, 100%, $E$9)</f>
        <v>17.424299999999999</v>
      </c>
      <c r="M1048" s="27">
        <f>17.4279 * CHOOSE(CONTROL!$C$32, $C$9, 100%, $E$9)</f>
        <v>17.427900000000001</v>
      </c>
      <c r="N1048" s="27">
        <f>17.4243 * CHOOSE(CONTROL!$C$32, $C$9, 100%, $E$9)</f>
        <v>17.424299999999999</v>
      </c>
      <c r="O1048" s="27">
        <f>17.4279 * CHOOSE(CONTROL!$C$32, $C$9, 100%, $E$9)</f>
        <v>17.427900000000001</v>
      </c>
    </row>
    <row r="1049" spans="1:15" ht="15" x14ac:dyDescent="0.2">
      <c r="A1049" s="16">
        <v>72776</v>
      </c>
      <c r="B1049" s="26">
        <f>15.5673 * CHOOSE(CONTROL!$C$32, $C$9, 100%, $E$9)</f>
        <v>15.567299999999999</v>
      </c>
      <c r="C1049" s="26">
        <f>15.5673 * CHOOSE(CONTROL!$C$32, $C$9, 100%, $E$9)</f>
        <v>15.567299999999999</v>
      </c>
      <c r="D1049" s="26">
        <f>15.5683 * CHOOSE(CONTROL!$C$32, $C$9, 100%, $E$9)</f>
        <v>15.568300000000001</v>
      </c>
      <c r="E1049" s="27">
        <f>17.8386 * CHOOSE(CONTROL!$C$32, $C$9, 100%, $E$9)</f>
        <v>17.8386</v>
      </c>
      <c r="F1049" s="27">
        <f>17.8386 * CHOOSE(CONTROL!$C$32, $C$9, 100%, $E$9)</f>
        <v>17.8386</v>
      </c>
      <c r="G1049" s="27">
        <f>17.8422 * CHOOSE(CONTROL!$C$32, $C$9, 100%, $E$9)</f>
        <v>17.842199999999998</v>
      </c>
      <c r="H1049" s="27">
        <f>35.843 * CHOOSE(CONTROL!$C$32, $C$9, 100%, $E$9)</f>
        <v>35.843000000000004</v>
      </c>
      <c r="I1049" s="27">
        <f>35.8467 * CHOOSE(CONTROL!$C$32, $C$9, 100%, $E$9)</f>
        <v>35.846699999999998</v>
      </c>
      <c r="J1049" s="27">
        <f>35.843 * CHOOSE(CONTROL!$C$32, $C$9, 100%, $E$9)</f>
        <v>35.843000000000004</v>
      </c>
      <c r="K1049" s="27">
        <f>35.8467 * CHOOSE(CONTROL!$C$32, $C$9, 100%, $E$9)</f>
        <v>35.846699999999998</v>
      </c>
      <c r="L1049" s="27">
        <f>17.8386 * CHOOSE(CONTROL!$C$32, $C$9, 100%, $E$9)</f>
        <v>17.8386</v>
      </c>
      <c r="M1049" s="27">
        <f>17.8422 * CHOOSE(CONTROL!$C$32, $C$9, 100%, $E$9)</f>
        <v>17.842199999999998</v>
      </c>
      <c r="N1049" s="27">
        <f>17.8386 * CHOOSE(CONTROL!$C$32, $C$9, 100%, $E$9)</f>
        <v>17.8386</v>
      </c>
      <c r="O1049" s="27">
        <f>17.8422 * CHOOSE(CONTROL!$C$32, $C$9, 100%, $E$9)</f>
        <v>17.842199999999998</v>
      </c>
    </row>
    <row r="1050" spans="1:15" ht="15" x14ac:dyDescent="0.2">
      <c r="A1050" s="16">
        <v>72806</v>
      </c>
      <c r="B1050" s="26">
        <f>15.5673 * CHOOSE(CONTROL!$C$32, $C$9, 100%, $E$9)</f>
        <v>15.567299999999999</v>
      </c>
      <c r="C1050" s="26">
        <f>15.5673 * CHOOSE(CONTROL!$C$32, $C$9, 100%, $E$9)</f>
        <v>15.567299999999999</v>
      </c>
      <c r="D1050" s="26">
        <f>15.5688 * CHOOSE(CONTROL!$C$32, $C$9, 100%, $E$9)</f>
        <v>15.5688</v>
      </c>
      <c r="E1050" s="27">
        <f>17.9956 * CHOOSE(CONTROL!$C$32, $C$9, 100%, $E$9)</f>
        <v>17.9956</v>
      </c>
      <c r="F1050" s="27">
        <f>17.9956 * CHOOSE(CONTROL!$C$32, $C$9, 100%, $E$9)</f>
        <v>17.9956</v>
      </c>
      <c r="G1050" s="27">
        <f>18.0009 * CHOOSE(CONTROL!$C$32, $C$9, 100%, $E$9)</f>
        <v>18.000900000000001</v>
      </c>
      <c r="H1050" s="27">
        <f>35.9177 * CHOOSE(CONTROL!$C$32, $C$9, 100%, $E$9)</f>
        <v>35.917700000000004</v>
      </c>
      <c r="I1050" s="27">
        <f>35.923 * CHOOSE(CONTROL!$C$32, $C$9, 100%, $E$9)</f>
        <v>35.923000000000002</v>
      </c>
      <c r="J1050" s="27">
        <f>35.9177 * CHOOSE(CONTROL!$C$32, $C$9, 100%, $E$9)</f>
        <v>35.917700000000004</v>
      </c>
      <c r="K1050" s="27">
        <f>35.923 * CHOOSE(CONTROL!$C$32, $C$9, 100%, $E$9)</f>
        <v>35.923000000000002</v>
      </c>
      <c r="L1050" s="27">
        <f>17.9956 * CHOOSE(CONTROL!$C$32, $C$9, 100%, $E$9)</f>
        <v>17.9956</v>
      </c>
      <c r="M1050" s="27">
        <f>18.0009 * CHOOSE(CONTROL!$C$32, $C$9, 100%, $E$9)</f>
        <v>18.000900000000001</v>
      </c>
      <c r="N1050" s="27">
        <f>17.9956 * CHOOSE(CONTROL!$C$32, $C$9, 100%, $E$9)</f>
        <v>17.9956</v>
      </c>
      <c r="O1050" s="27">
        <f>18.0009 * CHOOSE(CONTROL!$C$32, $C$9, 100%, $E$9)</f>
        <v>18.000900000000001</v>
      </c>
    </row>
    <row r="1051" spans="1:15" ht="15" x14ac:dyDescent="0.2">
      <c r="A1051" s="16">
        <v>72837</v>
      </c>
      <c r="B1051" s="26">
        <f>15.5733 * CHOOSE(CONTROL!$C$32, $C$9, 100%, $E$9)</f>
        <v>15.5733</v>
      </c>
      <c r="C1051" s="26">
        <f>15.5733 * CHOOSE(CONTROL!$C$32, $C$9, 100%, $E$9)</f>
        <v>15.5733</v>
      </c>
      <c r="D1051" s="26">
        <f>15.5749 * CHOOSE(CONTROL!$C$32, $C$9, 100%, $E$9)</f>
        <v>15.5749</v>
      </c>
      <c r="E1051" s="27">
        <f>17.8428 * CHOOSE(CONTROL!$C$32, $C$9, 100%, $E$9)</f>
        <v>17.8428</v>
      </c>
      <c r="F1051" s="27">
        <f>17.8428 * CHOOSE(CONTROL!$C$32, $C$9, 100%, $E$9)</f>
        <v>17.8428</v>
      </c>
      <c r="G1051" s="27">
        <f>17.8481 * CHOOSE(CONTROL!$C$32, $C$9, 100%, $E$9)</f>
        <v>17.848099999999999</v>
      </c>
      <c r="H1051" s="27">
        <f>35.9926 * CHOOSE(CONTROL!$C$32, $C$9, 100%, $E$9)</f>
        <v>35.992600000000003</v>
      </c>
      <c r="I1051" s="27">
        <f>35.9978 * CHOOSE(CONTROL!$C$32, $C$9, 100%, $E$9)</f>
        <v>35.997799999999998</v>
      </c>
      <c r="J1051" s="27">
        <f>35.9926 * CHOOSE(CONTROL!$C$32, $C$9, 100%, $E$9)</f>
        <v>35.992600000000003</v>
      </c>
      <c r="K1051" s="27">
        <f>35.9978 * CHOOSE(CONTROL!$C$32, $C$9, 100%, $E$9)</f>
        <v>35.997799999999998</v>
      </c>
      <c r="L1051" s="27">
        <f>17.8428 * CHOOSE(CONTROL!$C$32, $C$9, 100%, $E$9)</f>
        <v>17.8428</v>
      </c>
      <c r="M1051" s="27">
        <f>17.8481 * CHOOSE(CONTROL!$C$32, $C$9, 100%, $E$9)</f>
        <v>17.848099999999999</v>
      </c>
      <c r="N1051" s="27">
        <f>17.8428 * CHOOSE(CONTROL!$C$32, $C$9, 100%, $E$9)</f>
        <v>17.8428</v>
      </c>
      <c r="O1051" s="27">
        <f>17.8481 * CHOOSE(CONTROL!$C$32, $C$9, 100%, $E$9)</f>
        <v>17.848099999999999</v>
      </c>
    </row>
    <row r="1052" spans="1:15" ht="15" x14ac:dyDescent="0.2">
      <c r="A1052" s="16">
        <v>72867</v>
      </c>
      <c r="B1052" s="26">
        <f>15.7588 * CHOOSE(CONTROL!$C$32, $C$9, 100%, $E$9)</f>
        <v>15.758800000000001</v>
      </c>
      <c r="C1052" s="26">
        <f>15.7588 * CHOOSE(CONTROL!$C$32, $C$9, 100%, $E$9)</f>
        <v>15.758800000000001</v>
      </c>
      <c r="D1052" s="26">
        <f>15.7604 * CHOOSE(CONTROL!$C$32, $C$9, 100%, $E$9)</f>
        <v>15.760400000000001</v>
      </c>
      <c r="E1052" s="27">
        <f>18.0969 * CHOOSE(CONTROL!$C$32, $C$9, 100%, $E$9)</f>
        <v>18.096900000000002</v>
      </c>
      <c r="F1052" s="27">
        <f>18.0969 * CHOOSE(CONTROL!$C$32, $C$9, 100%, $E$9)</f>
        <v>18.096900000000002</v>
      </c>
      <c r="G1052" s="27">
        <f>18.1022 * CHOOSE(CONTROL!$C$32, $C$9, 100%, $E$9)</f>
        <v>18.1022</v>
      </c>
      <c r="H1052" s="27">
        <f>36.0675 * CHOOSE(CONTROL!$C$32, $C$9, 100%, $E$9)</f>
        <v>36.067500000000003</v>
      </c>
      <c r="I1052" s="27">
        <f>36.0728 * CHOOSE(CONTROL!$C$32, $C$9, 100%, $E$9)</f>
        <v>36.072800000000001</v>
      </c>
      <c r="J1052" s="27">
        <f>36.0675 * CHOOSE(CONTROL!$C$32, $C$9, 100%, $E$9)</f>
        <v>36.067500000000003</v>
      </c>
      <c r="K1052" s="27">
        <f>36.0728 * CHOOSE(CONTROL!$C$32, $C$9, 100%, $E$9)</f>
        <v>36.072800000000001</v>
      </c>
      <c r="L1052" s="27">
        <f>18.0969 * CHOOSE(CONTROL!$C$32, $C$9, 100%, $E$9)</f>
        <v>18.096900000000002</v>
      </c>
      <c r="M1052" s="27">
        <f>18.1022 * CHOOSE(CONTROL!$C$32, $C$9, 100%, $E$9)</f>
        <v>18.1022</v>
      </c>
      <c r="N1052" s="27">
        <f>18.0969 * CHOOSE(CONTROL!$C$32, $C$9, 100%, $E$9)</f>
        <v>18.096900000000002</v>
      </c>
      <c r="O1052" s="27">
        <f>18.1022 * CHOOSE(CONTROL!$C$32, $C$9, 100%, $E$9)</f>
        <v>18.1022</v>
      </c>
    </row>
    <row r="1053" spans="1:15" ht="15" x14ac:dyDescent="0.2">
      <c r="A1053" s="16">
        <v>72898</v>
      </c>
      <c r="B1053" s="26">
        <f>15.7655 * CHOOSE(CONTROL!$C$32, $C$9, 100%, $E$9)</f>
        <v>15.765499999999999</v>
      </c>
      <c r="C1053" s="26">
        <f>15.7655 * CHOOSE(CONTROL!$C$32, $C$9, 100%, $E$9)</f>
        <v>15.765499999999999</v>
      </c>
      <c r="D1053" s="26">
        <f>15.7671 * CHOOSE(CONTROL!$C$32, $C$9, 100%, $E$9)</f>
        <v>15.767099999999999</v>
      </c>
      <c r="E1053" s="27">
        <f>17.6307 * CHOOSE(CONTROL!$C$32, $C$9, 100%, $E$9)</f>
        <v>17.630700000000001</v>
      </c>
      <c r="F1053" s="27">
        <f>17.6307 * CHOOSE(CONTROL!$C$32, $C$9, 100%, $E$9)</f>
        <v>17.630700000000001</v>
      </c>
      <c r="G1053" s="27">
        <f>17.636 * CHOOSE(CONTROL!$C$32, $C$9, 100%, $E$9)</f>
        <v>17.635999999999999</v>
      </c>
      <c r="H1053" s="27">
        <f>36.1427 * CHOOSE(CONTROL!$C$32, $C$9, 100%, $E$9)</f>
        <v>36.142699999999998</v>
      </c>
      <c r="I1053" s="27">
        <f>36.148 * CHOOSE(CONTROL!$C$32, $C$9, 100%, $E$9)</f>
        <v>36.148000000000003</v>
      </c>
      <c r="J1053" s="27">
        <f>36.1427 * CHOOSE(CONTROL!$C$32, $C$9, 100%, $E$9)</f>
        <v>36.142699999999998</v>
      </c>
      <c r="K1053" s="27">
        <f>36.148 * CHOOSE(CONTROL!$C$32, $C$9, 100%, $E$9)</f>
        <v>36.148000000000003</v>
      </c>
      <c r="L1053" s="27">
        <f>17.6307 * CHOOSE(CONTROL!$C$32, $C$9, 100%, $E$9)</f>
        <v>17.630700000000001</v>
      </c>
      <c r="M1053" s="27">
        <f>17.636 * CHOOSE(CONTROL!$C$32, $C$9, 100%, $E$9)</f>
        <v>17.635999999999999</v>
      </c>
      <c r="N1053" s="27">
        <f>17.6307 * CHOOSE(CONTROL!$C$32, $C$9, 100%, $E$9)</f>
        <v>17.630700000000001</v>
      </c>
      <c r="O1053" s="27">
        <f>17.636 * CHOOSE(CONTROL!$C$32, $C$9, 100%, $E$9)</f>
        <v>17.635999999999999</v>
      </c>
    </row>
    <row r="1054" spans="1:15" ht="15" x14ac:dyDescent="0.2">
      <c r="A1054" s="16">
        <v>72929</v>
      </c>
      <c r="B1054" s="26">
        <f>15.7625 * CHOOSE(CONTROL!$C$32, $C$9, 100%, $E$9)</f>
        <v>15.762499999999999</v>
      </c>
      <c r="C1054" s="26">
        <f>15.7625 * CHOOSE(CONTROL!$C$32, $C$9, 100%, $E$9)</f>
        <v>15.762499999999999</v>
      </c>
      <c r="D1054" s="26">
        <f>15.7641 * CHOOSE(CONTROL!$C$32, $C$9, 100%, $E$9)</f>
        <v>15.764099999999999</v>
      </c>
      <c r="E1054" s="27">
        <f>17.5763 * CHOOSE(CONTROL!$C$32, $C$9, 100%, $E$9)</f>
        <v>17.5763</v>
      </c>
      <c r="F1054" s="27">
        <f>17.5763 * CHOOSE(CONTROL!$C$32, $C$9, 100%, $E$9)</f>
        <v>17.5763</v>
      </c>
      <c r="G1054" s="27">
        <f>17.5816 * CHOOSE(CONTROL!$C$32, $C$9, 100%, $E$9)</f>
        <v>17.581600000000002</v>
      </c>
      <c r="H1054" s="27">
        <f>36.218 * CHOOSE(CONTROL!$C$32, $C$9, 100%, $E$9)</f>
        <v>36.218000000000004</v>
      </c>
      <c r="I1054" s="27">
        <f>36.2233 * CHOOSE(CONTROL!$C$32, $C$9, 100%, $E$9)</f>
        <v>36.223300000000002</v>
      </c>
      <c r="J1054" s="27">
        <f>36.218 * CHOOSE(CONTROL!$C$32, $C$9, 100%, $E$9)</f>
        <v>36.218000000000004</v>
      </c>
      <c r="K1054" s="27">
        <f>36.2233 * CHOOSE(CONTROL!$C$32, $C$9, 100%, $E$9)</f>
        <v>36.223300000000002</v>
      </c>
      <c r="L1054" s="27">
        <f>17.5763 * CHOOSE(CONTROL!$C$32, $C$9, 100%, $E$9)</f>
        <v>17.5763</v>
      </c>
      <c r="M1054" s="27">
        <f>17.5816 * CHOOSE(CONTROL!$C$32, $C$9, 100%, $E$9)</f>
        <v>17.581600000000002</v>
      </c>
      <c r="N1054" s="27">
        <f>17.5763 * CHOOSE(CONTROL!$C$32, $C$9, 100%, $E$9)</f>
        <v>17.5763</v>
      </c>
      <c r="O1054" s="27">
        <f>17.5816 * CHOOSE(CONTROL!$C$32, $C$9, 100%, $E$9)</f>
        <v>17.581600000000002</v>
      </c>
    </row>
    <row r="1055" spans="1:15" ht="15" x14ac:dyDescent="0.2">
      <c r="A1055" s="16">
        <v>72959</v>
      </c>
      <c r="B1055" s="26">
        <f>15.8016 * CHOOSE(CONTROL!$C$32, $C$9, 100%, $E$9)</f>
        <v>15.801600000000001</v>
      </c>
      <c r="C1055" s="26">
        <f>15.8016 * CHOOSE(CONTROL!$C$32, $C$9, 100%, $E$9)</f>
        <v>15.801600000000001</v>
      </c>
      <c r="D1055" s="26">
        <f>15.8026 * CHOOSE(CONTROL!$C$32, $C$9, 100%, $E$9)</f>
        <v>15.8026</v>
      </c>
      <c r="E1055" s="27">
        <f>17.7721 * CHOOSE(CONTROL!$C$32, $C$9, 100%, $E$9)</f>
        <v>17.772099999999998</v>
      </c>
      <c r="F1055" s="27">
        <f>17.7721 * CHOOSE(CONTROL!$C$32, $C$9, 100%, $E$9)</f>
        <v>17.772099999999998</v>
      </c>
      <c r="G1055" s="27">
        <f>17.7758 * CHOOSE(CONTROL!$C$32, $C$9, 100%, $E$9)</f>
        <v>17.7758</v>
      </c>
      <c r="H1055" s="27">
        <f>36.2934 * CHOOSE(CONTROL!$C$32, $C$9, 100%, $E$9)</f>
        <v>36.293399999999998</v>
      </c>
      <c r="I1055" s="27">
        <f>36.297 * CHOOSE(CONTROL!$C$32, $C$9, 100%, $E$9)</f>
        <v>36.296999999999997</v>
      </c>
      <c r="J1055" s="27">
        <f>36.2934 * CHOOSE(CONTROL!$C$32, $C$9, 100%, $E$9)</f>
        <v>36.293399999999998</v>
      </c>
      <c r="K1055" s="27">
        <f>36.297 * CHOOSE(CONTROL!$C$32, $C$9, 100%, $E$9)</f>
        <v>36.296999999999997</v>
      </c>
      <c r="L1055" s="27">
        <f>17.7721 * CHOOSE(CONTROL!$C$32, $C$9, 100%, $E$9)</f>
        <v>17.772099999999998</v>
      </c>
      <c r="M1055" s="27">
        <f>17.7758 * CHOOSE(CONTROL!$C$32, $C$9, 100%, $E$9)</f>
        <v>17.7758</v>
      </c>
      <c r="N1055" s="27">
        <f>17.7721 * CHOOSE(CONTROL!$C$32, $C$9, 100%, $E$9)</f>
        <v>17.772099999999998</v>
      </c>
      <c r="O1055" s="27">
        <f>17.7758 * CHOOSE(CONTROL!$C$32, $C$9, 100%, $E$9)</f>
        <v>17.7758</v>
      </c>
    </row>
    <row r="1056" spans="1:15" ht="15" x14ac:dyDescent="0.2">
      <c r="A1056" s="16">
        <v>72990</v>
      </c>
      <c r="B1056" s="26">
        <f>15.8046 * CHOOSE(CONTROL!$C$32, $C$9, 100%, $E$9)</f>
        <v>15.804600000000001</v>
      </c>
      <c r="C1056" s="26">
        <f>15.8046 * CHOOSE(CONTROL!$C$32, $C$9, 100%, $E$9)</f>
        <v>15.804600000000001</v>
      </c>
      <c r="D1056" s="26">
        <f>15.8057 * CHOOSE(CONTROL!$C$32, $C$9, 100%, $E$9)</f>
        <v>15.8057</v>
      </c>
      <c r="E1056" s="27">
        <f>17.8789 * CHOOSE(CONTROL!$C$32, $C$9, 100%, $E$9)</f>
        <v>17.878900000000002</v>
      </c>
      <c r="F1056" s="27">
        <f>17.8789 * CHOOSE(CONTROL!$C$32, $C$9, 100%, $E$9)</f>
        <v>17.878900000000002</v>
      </c>
      <c r="G1056" s="27">
        <f>17.8825 * CHOOSE(CONTROL!$C$32, $C$9, 100%, $E$9)</f>
        <v>17.8825</v>
      </c>
      <c r="H1056" s="27">
        <f>36.369 * CHOOSE(CONTROL!$C$32, $C$9, 100%, $E$9)</f>
        <v>36.369</v>
      </c>
      <c r="I1056" s="27">
        <f>36.3727 * CHOOSE(CONTROL!$C$32, $C$9, 100%, $E$9)</f>
        <v>36.372700000000002</v>
      </c>
      <c r="J1056" s="27">
        <f>36.369 * CHOOSE(CONTROL!$C$32, $C$9, 100%, $E$9)</f>
        <v>36.369</v>
      </c>
      <c r="K1056" s="27">
        <f>36.3727 * CHOOSE(CONTROL!$C$32, $C$9, 100%, $E$9)</f>
        <v>36.372700000000002</v>
      </c>
      <c r="L1056" s="27">
        <f>17.8789 * CHOOSE(CONTROL!$C$32, $C$9, 100%, $E$9)</f>
        <v>17.878900000000002</v>
      </c>
      <c r="M1056" s="27">
        <f>17.8825 * CHOOSE(CONTROL!$C$32, $C$9, 100%, $E$9)</f>
        <v>17.8825</v>
      </c>
      <c r="N1056" s="27">
        <f>17.8789 * CHOOSE(CONTROL!$C$32, $C$9, 100%, $E$9)</f>
        <v>17.878900000000002</v>
      </c>
      <c r="O1056" s="27">
        <f>17.8825 * CHOOSE(CONTROL!$C$32, $C$9, 100%, $E$9)</f>
        <v>17.8825</v>
      </c>
    </row>
    <row r="1057" spans="1:15" ht="15" x14ac:dyDescent="0.2">
      <c r="A1057" s="16">
        <v>73020</v>
      </c>
      <c r="B1057" s="26">
        <f>15.8046 * CHOOSE(CONTROL!$C$32, $C$9, 100%, $E$9)</f>
        <v>15.804600000000001</v>
      </c>
      <c r="C1057" s="26">
        <f>15.8046 * CHOOSE(CONTROL!$C$32, $C$9, 100%, $E$9)</f>
        <v>15.804600000000001</v>
      </c>
      <c r="D1057" s="26">
        <f>15.8057 * CHOOSE(CONTROL!$C$32, $C$9, 100%, $E$9)</f>
        <v>15.8057</v>
      </c>
      <c r="E1057" s="27">
        <f>17.6173 * CHOOSE(CONTROL!$C$32, $C$9, 100%, $E$9)</f>
        <v>17.6173</v>
      </c>
      <c r="F1057" s="27">
        <f>17.6173 * CHOOSE(CONTROL!$C$32, $C$9, 100%, $E$9)</f>
        <v>17.6173</v>
      </c>
      <c r="G1057" s="27">
        <f>17.6209 * CHOOSE(CONTROL!$C$32, $C$9, 100%, $E$9)</f>
        <v>17.620899999999999</v>
      </c>
      <c r="H1057" s="27">
        <f>36.4448 * CHOOSE(CONTROL!$C$32, $C$9, 100%, $E$9)</f>
        <v>36.444800000000001</v>
      </c>
      <c r="I1057" s="27">
        <f>36.4484 * CHOOSE(CONTROL!$C$32, $C$9, 100%, $E$9)</f>
        <v>36.448399999999999</v>
      </c>
      <c r="J1057" s="27">
        <f>36.4448 * CHOOSE(CONTROL!$C$32, $C$9, 100%, $E$9)</f>
        <v>36.444800000000001</v>
      </c>
      <c r="K1057" s="27">
        <f>36.4484 * CHOOSE(CONTROL!$C$32, $C$9, 100%, $E$9)</f>
        <v>36.448399999999999</v>
      </c>
      <c r="L1057" s="27">
        <f>17.6173 * CHOOSE(CONTROL!$C$32, $C$9, 100%, $E$9)</f>
        <v>17.6173</v>
      </c>
      <c r="M1057" s="27">
        <f>17.6209 * CHOOSE(CONTROL!$C$32, $C$9, 100%, $E$9)</f>
        <v>17.620899999999999</v>
      </c>
      <c r="N1057" s="27">
        <f>17.6173 * CHOOSE(CONTROL!$C$32, $C$9, 100%, $E$9)</f>
        <v>17.6173</v>
      </c>
      <c r="O1057" s="27">
        <f>17.6209 * CHOOSE(CONTROL!$C$32, $C$9, 100%, $E$9)</f>
        <v>17.620899999999999</v>
      </c>
    </row>
    <row r="1058" spans="1:15" ht="15" x14ac:dyDescent="0.2">
      <c r="A1058" s="16">
        <v>73051</v>
      </c>
      <c r="B1058" s="26">
        <f>15.7518 * CHOOSE(CONTROL!$C$32, $C$9, 100%, $E$9)</f>
        <v>15.751799999999999</v>
      </c>
      <c r="C1058" s="26">
        <f>15.7518 * CHOOSE(CONTROL!$C$32, $C$9, 100%, $E$9)</f>
        <v>15.751799999999999</v>
      </c>
      <c r="D1058" s="26">
        <f>15.7529 * CHOOSE(CONTROL!$C$32, $C$9, 100%, $E$9)</f>
        <v>15.7529</v>
      </c>
      <c r="E1058" s="27">
        <f>17.7456 * CHOOSE(CONTROL!$C$32, $C$9, 100%, $E$9)</f>
        <v>17.7456</v>
      </c>
      <c r="F1058" s="27">
        <f>17.7456 * CHOOSE(CONTROL!$C$32, $C$9, 100%, $E$9)</f>
        <v>17.7456</v>
      </c>
      <c r="G1058" s="27">
        <f>17.7493 * CHOOSE(CONTROL!$C$32, $C$9, 100%, $E$9)</f>
        <v>17.749300000000002</v>
      </c>
      <c r="H1058" s="27">
        <f>36.0735 * CHOOSE(CONTROL!$C$32, $C$9, 100%, $E$9)</f>
        <v>36.073500000000003</v>
      </c>
      <c r="I1058" s="27">
        <f>36.0771 * CHOOSE(CONTROL!$C$32, $C$9, 100%, $E$9)</f>
        <v>36.077100000000002</v>
      </c>
      <c r="J1058" s="27">
        <f>36.0735 * CHOOSE(CONTROL!$C$32, $C$9, 100%, $E$9)</f>
        <v>36.073500000000003</v>
      </c>
      <c r="K1058" s="27">
        <f>36.0771 * CHOOSE(CONTROL!$C$32, $C$9, 100%, $E$9)</f>
        <v>36.077100000000002</v>
      </c>
      <c r="L1058" s="27">
        <f>17.7456 * CHOOSE(CONTROL!$C$32, $C$9, 100%, $E$9)</f>
        <v>17.7456</v>
      </c>
      <c r="M1058" s="27">
        <f>17.7493 * CHOOSE(CONTROL!$C$32, $C$9, 100%, $E$9)</f>
        <v>17.749300000000002</v>
      </c>
      <c r="N1058" s="27">
        <f>17.7456 * CHOOSE(CONTROL!$C$32, $C$9, 100%, $E$9)</f>
        <v>17.7456</v>
      </c>
      <c r="O1058" s="27">
        <f>17.7493 * CHOOSE(CONTROL!$C$32, $C$9, 100%, $E$9)</f>
        <v>17.749300000000002</v>
      </c>
    </row>
    <row r="1059" spans="1:15" ht="15" x14ac:dyDescent="0.2">
      <c r="A1059" s="16">
        <v>73082</v>
      </c>
      <c r="B1059" s="26">
        <f>15.7488 * CHOOSE(CONTROL!$C$32, $C$9, 100%, $E$9)</f>
        <v>15.748799999999999</v>
      </c>
      <c r="C1059" s="26">
        <f>15.7488 * CHOOSE(CONTROL!$C$32, $C$9, 100%, $E$9)</f>
        <v>15.748799999999999</v>
      </c>
      <c r="D1059" s="26">
        <f>15.7498 * CHOOSE(CONTROL!$C$32, $C$9, 100%, $E$9)</f>
        <v>15.7498</v>
      </c>
      <c r="E1059" s="27">
        <f>17.242 * CHOOSE(CONTROL!$C$32, $C$9, 100%, $E$9)</f>
        <v>17.242000000000001</v>
      </c>
      <c r="F1059" s="27">
        <f>17.242 * CHOOSE(CONTROL!$C$32, $C$9, 100%, $E$9)</f>
        <v>17.242000000000001</v>
      </c>
      <c r="G1059" s="27">
        <f>17.2457 * CHOOSE(CONTROL!$C$32, $C$9, 100%, $E$9)</f>
        <v>17.245699999999999</v>
      </c>
      <c r="H1059" s="27">
        <f>36.1486 * CHOOSE(CONTROL!$C$32, $C$9, 100%, $E$9)</f>
        <v>36.148600000000002</v>
      </c>
      <c r="I1059" s="27">
        <f>36.1522 * CHOOSE(CONTROL!$C$32, $C$9, 100%, $E$9)</f>
        <v>36.152200000000001</v>
      </c>
      <c r="J1059" s="27">
        <f>36.1486 * CHOOSE(CONTROL!$C$32, $C$9, 100%, $E$9)</f>
        <v>36.148600000000002</v>
      </c>
      <c r="K1059" s="27">
        <f>36.1522 * CHOOSE(CONTROL!$C$32, $C$9, 100%, $E$9)</f>
        <v>36.152200000000001</v>
      </c>
      <c r="L1059" s="27">
        <f>17.242 * CHOOSE(CONTROL!$C$32, $C$9, 100%, $E$9)</f>
        <v>17.242000000000001</v>
      </c>
      <c r="M1059" s="27">
        <f>17.2457 * CHOOSE(CONTROL!$C$32, $C$9, 100%, $E$9)</f>
        <v>17.245699999999999</v>
      </c>
      <c r="N1059" s="27">
        <f>17.242 * CHOOSE(CONTROL!$C$32, $C$9, 100%, $E$9)</f>
        <v>17.242000000000001</v>
      </c>
      <c r="O1059" s="27">
        <f>17.2457 * CHOOSE(CONTROL!$C$32, $C$9, 100%, $E$9)</f>
        <v>17.245699999999999</v>
      </c>
    </row>
    <row r="1060" spans="1:15" ht="15" x14ac:dyDescent="0.2">
      <c r="A1060" s="16">
        <v>73110</v>
      </c>
      <c r="B1060" s="26">
        <f>15.7457 * CHOOSE(CONTROL!$C$32, $C$9, 100%, $E$9)</f>
        <v>15.745699999999999</v>
      </c>
      <c r="C1060" s="26">
        <f>15.7457 * CHOOSE(CONTROL!$C$32, $C$9, 100%, $E$9)</f>
        <v>15.745699999999999</v>
      </c>
      <c r="D1060" s="26">
        <f>15.7468 * CHOOSE(CONTROL!$C$32, $C$9, 100%, $E$9)</f>
        <v>15.7468</v>
      </c>
      <c r="E1060" s="27">
        <f>17.6353 * CHOOSE(CONTROL!$C$32, $C$9, 100%, $E$9)</f>
        <v>17.635300000000001</v>
      </c>
      <c r="F1060" s="27">
        <f>17.6353 * CHOOSE(CONTROL!$C$32, $C$9, 100%, $E$9)</f>
        <v>17.635300000000001</v>
      </c>
      <c r="G1060" s="27">
        <f>17.6389 * CHOOSE(CONTROL!$C$32, $C$9, 100%, $E$9)</f>
        <v>17.6389</v>
      </c>
      <c r="H1060" s="27">
        <f>36.2239 * CHOOSE(CONTROL!$C$32, $C$9, 100%, $E$9)</f>
        <v>36.2239</v>
      </c>
      <c r="I1060" s="27">
        <f>36.2275 * CHOOSE(CONTROL!$C$32, $C$9, 100%, $E$9)</f>
        <v>36.227499999999999</v>
      </c>
      <c r="J1060" s="27">
        <f>36.2239 * CHOOSE(CONTROL!$C$32, $C$9, 100%, $E$9)</f>
        <v>36.2239</v>
      </c>
      <c r="K1060" s="27">
        <f>36.2275 * CHOOSE(CONTROL!$C$32, $C$9, 100%, $E$9)</f>
        <v>36.227499999999999</v>
      </c>
      <c r="L1060" s="27">
        <f>17.6353 * CHOOSE(CONTROL!$C$32, $C$9, 100%, $E$9)</f>
        <v>17.635300000000001</v>
      </c>
      <c r="M1060" s="27">
        <f>17.6389 * CHOOSE(CONTROL!$C$32, $C$9, 100%, $E$9)</f>
        <v>17.6389</v>
      </c>
      <c r="N1060" s="27">
        <f>17.6353 * CHOOSE(CONTROL!$C$32, $C$9, 100%, $E$9)</f>
        <v>17.635300000000001</v>
      </c>
      <c r="O1060" s="27">
        <f>17.6389 * CHOOSE(CONTROL!$C$32, $C$9, 100%, $E$9)</f>
        <v>17.6389</v>
      </c>
    </row>
    <row r="1061" spans="1:15" ht="15" x14ac:dyDescent="0.2">
      <c r="A1061" s="16">
        <v>73141</v>
      </c>
      <c r="B1061" s="26">
        <f>15.7548 * CHOOSE(CONTROL!$C$32, $C$9, 100%, $E$9)</f>
        <v>15.754799999999999</v>
      </c>
      <c r="C1061" s="26">
        <f>15.7548 * CHOOSE(CONTROL!$C$32, $C$9, 100%, $E$9)</f>
        <v>15.754799999999999</v>
      </c>
      <c r="D1061" s="26">
        <f>15.7559 * CHOOSE(CONTROL!$C$32, $C$9, 100%, $E$9)</f>
        <v>15.7559</v>
      </c>
      <c r="E1061" s="27">
        <f>18.0556 * CHOOSE(CONTROL!$C$32, $C$9, 100%, $E$9)</f>
        <v>18.055599999999998</v>
      </c>
      <c r="F1061" s="27">
        <f>18.0556 * CHOOSE(CONTROL!$C$32, $C$9, 100%, $E$9)</f>
        <v>18.055599999999998</v>
      </c>
      <c r="G1061" s="27">
        <f>18.0592 * CHOOSE(CONTROL!$C$32, $C$9, 100%, $E$9)</f>
        <v>18.059200000000001</v>
      </c>
      <c r="H1061" s="27">
        <f>36.2994 * CHOOSE(CONTROL!$C$32, $C$9, 100%, $E$9)</f>
        <v>36.299399999999999</v>
      </c>
      <c r="I1061" s="27">
        <f>36.303 * CHOOSE(CONTROL!$C$32, $C$9, 100%, $E$9)</f>
        <v>36.302999999999997</v>
      </c>
      <c r="J1061" s="27">
        <f>36.2994 * CHOOSE(CONTROL!$C$32, $C$9, 100%, $E$9)</f>
        <v>36.299399999999999</v>
      </c>
      <c r="K1061" s="27">
        <f>36.303 * CHOOSE(CONTROL!$C$32, $C$9, 100%, $E$9)</f>
        <v>36.302999999999997</v>
      </c>
      <c r="L1061" s="27">
        <f>18.0556 * CHOOSE(CONTROL!$C$32, $C$9, 100%, $E$9)</f>
        <v>18.055599999999998</v>
      </c>
      <c r="M1061" s="27">
        <f>18.0592 * CHOOSE(CONTROL!$C$32, $C$9, 100%, $E$9)</f>
        <v>18.059200000000001</v>
      </c>
      <c r="N1061" s="27">
        <f>18.0556 * CHOOSE(CONTROL!$C$32, $C$9, 100%, $E$9)</f>
        <v>18.055599999999998</v>
      </c>
      <c r="O1061" s="27">
        <f>18.0592 * CHOOSE(CONTROL!$C$32, $C$9, 100%, $E$9)</f>
        <v>18.059200000000001</v>
      </c>
    </row>
    <row r="1062" spans="1:15" ht="15" x14ac:dyDescent="0.2">
      <c r="A1062" s="16">
        <v>73171</v>
      </c>
      <c r="B1062" s="26">
        <f>15.7548 * CHOOSE(CONTROL!$C$32, $C$9, 100%, $E$9)</f>
        <v>15.754799999999999</v>
      </c>
      <c r="C1062" s="26">
        <f>15.7548 * CHOOSE(CONTROL!$C$32, $C$9, 100%, $E$9)</f>
        <v>15.754799999999999</v>
      </c>
      <c r="D1062" s="26">
        <f>15.7564 * CHOOSE(CONTROL!$C$32, $C$9, 100%, $E$9)</f>
        <v>15.756399999999999</v>
      </c>
      <c r="E1062" s="27">
        <f>18.2148 * CHOOSE(CONTROL!$C$32, $C$9, 100%, $E$9)</f>
        <v>18.2148</v>
      </c>
      <c r="F1062" s="27">
        <f>18.2148 * CHOOSE(CONTROL!$C$32, $C$9, 100%, $E$9)</f>
        <v>18.2148</v>
      </c>
      <c r="G1062" s="27">
        <f>18.2201 * CHOOSE(CONTROL!$C$32, $C$9, 100%, $E$9)</f>
        <v>18.220099999999999</v>
      </c>
      <c r="H1062" s="27">
        <f>36.375 * CHOOSE(CONTROL!$C$32, $C$9, 100%, $E$9)</f>
        <v>36.375</v>
      </c>
      <c r="I1062" s="27">
        <f>36.3803 * CHOOSE(CONTROL!$C$32, $C$9, 100%, $E$9)</f>
        <v>36.380299999999998</v>
      </c>
      <c r="J1062" s="27">
        <f>36.375 * CHOOSE(CONTROL!$C$32, $C$9, 100%, $E$9)</f>
        <v>36.375</v>
      </c>
      <c r="K1062" s="27">
        <f>36.3803 * CHOOSE(CONTROL!$C$32, $C$9, 100%, $E$9)</f>
        <v>36.380299999999998</v>
      </c>
      <c r="L1062" s="27">
        <f>18.2148 * CHOOSE(CONTROL!$C$32, $C$9, 100%, $E$9)</f>
        <v>18.2148</v>
      </c>
      <c r="M1062" s="27">
        <f>18.2201 * CHOOSE(CONTROL!$C$32, $C$9, 100%, $E$9)</f>
        <v>18.220099999999999</v>
      </c>
      <c r="N1062" s="27">
        <f>18.2148 * CHOOSE(CONTROL!$C$32, $C$9, 100%, $E$9)</f>
        <v>18.2148</v>
      </c>
      <c r="O1062" s="27">
        <f>18.2201 * CHOOSE(CONTROL!$C$32, $C$9, 100%, $E$9)</f>
        <v>18.220099999999999</v>
      </c>
    </row>
    <row r="1063" spans="1:15" ht="15" x14ac:dyDescent="0.2">
      <c r="A1063" s="16">
        <v>73202</v>
      </c>
      <c r="B1063" s="26">
        <f>15.7609 * CHOOSE(CONTROL!$C$32, $C$9, 100%, $E$9)</f>
        <v>15.760899999999999</v>
      </c>
      <c r="C1063" s="26">
        <f>15.7609 * CHOOSE(CONTROL!$C$32, $C$9, 100%, $E$9)</f>
        <v>15.760899999999999</v>
      </c>
      <c r="D1063" s="26">
        <f>15.7625 * CHOOSE(CONTROL!$C$32, $C$9, 100%, $E$9)</f>
        <v>15.762499999999999</v>
      </c>
      <c r="E1063" s="27">
        <f>18.0598 * CHOOSE(CONTROL!$C$32, $C$9, 100%, $E$9)</f>
        <v>18.059799999999999</v>
      </c>
      <c r="F1063" s="27">
        <f>18.0598 * CHOOSE(CONTROL!$C$32, $C$9, 100%, $E$9)</f>
        <v>18.059799999999999</v>
      </c>
      <c r="G1063" s="27">
        <f>18.0651 * CHOOSE(CONTROL!$C$32, $C$9, 100%, $E$9)</f>
        <v>18.065100000000001</v>
      </c>
      <c r="H1063" s="27">
        <f>36.4508 * CHOOSE(CONTROL!$C$32, $C$9, 100%, $E$9)</f>
        <v>36.450800000000001</v>
      </c>
      <c r="I1063" s="27">
        <f>36.4561 * CHOOSE(CONTROL!$C$32, $C$9, 100%, $E$9)</f>
        <v>36.456099999999999</v>
      </c>
      <c r="J1063" s="27">
        <f>36.4508 * CHOOSE(CONTROL!$C$32, $C$9, 100%, $E$9)</f>
        <v>36.450800000000001</v>
      </c>
      <c r="K1063" s="27">
        <f>36.4561 * CHOOSE(CONTROL!$C$32, $C$9, 100%, $E$9)</f>
        <v>36.456099999999999</v>
      </c>
      <c r="L1063" s="27">
        <f>18.0598 * CHOOSE(CONTROL!$C$32, $C$9, 100%, $E$9)</f>
        <v>18.059799999999999</v>
      </c>
      <c r="M1063" s="27">
        <f>18.0651 * CHOOSE(CONTROL!$C$32, $C$9, 100%, $E$9)</f>
        <v>18.065100000000001</v>
      </c>
      <c r="N1063" s="27">
        <f>18.0598 * CHOOSE(CONTROL!$C$32, $C$9, 100%, $E$9)</f>
        <v>18.059799999999999</v>
      </c>
      <c r="O1063" s="27">
        <f>18.0651 * CHOOSE(CONTROL!$C$32, $C$9, 100%, $E$9)</f>
        <v>18.065100000000001</v>
      </c>
    </row>
    <row r="1064" spans="1:15" ht="15" x14ac:dyDescent="0.2">
      <c r="A1064" s="16">
        <v>73232</v>
      </c>
      <c r="B1064" s="26">
        <f>15.9484 * CHOOSE(CONTROL!$C$32, $C$9, 100%, $E$9)</f>
        <v>15.948399999999999</v>
      </c>
      <c r="C1064" s="26">
        <f>15.9484 * CHOOSE(CONTROL!$C$32, $C$9, 100%, $E$9)</f>
        <v>15.948399999999999</v>
      </c>
      <c r="D1064" s="26">
        <f>15.95 * CHOOSE(CONTROL!$C$32, $C$9, 100%, $E$9)</f>
        <v>15.95</v>
      </c>
      <c r="E1064" s="27">
        <f>18.3171 * CHOOSE(CONTROL!$C$32, $C$9, 100%, $E$9)</f>
        <v>18.3171</v>
      </c>
      <c r="F1064" s="27">
        <f>18.3171 * CHOOSE(CONTROL!$C$32, $C$9, 100%, $E$9)</f>
        <v>18.3171</v>
      </c>
      <c r="G1064" s="27">
        <f>18.3224 * CHOOSE(CONTROL!$C$32, $C$9, 100%, $E$9)</f>
        <v>18.322399999999998</v>
      </c>
      <c r="H1064" s="27">
        <f>36.5267 * CHOOSE(CONTROL!$C$32, $C$9, 100%, $E$9)</f>
        <v>36.526699999999998</v>
      </c>
      <c r="I1064" s="27">
        <f>36.532 * CHOOSE(CONTROL!$C$32, $C$9, 100%, $E$9)</f>
        <v>36.531999999999996</v>
      </c>
      <c r="J1064" s="27">
        <f>36.5267 * CHOOSE(CONTROL!$C$32, $C$9, 100%, $E$9)</f>
        <v>36.526699999999998</v>
      </c>
      <c r="K1064" s="27">
        <f>36.532 * CHOOSE(CONTROL!$C$32, $C$9, 100%, $E$9)</f>
        <v>36.531999999999996</v>
      </c>
      <c r="L1064" s="27">
        <f>18.3171 * CHOOSE(CONTROL!$C$32, $C$9, 100%, $E$9)</f>
        <v>18.3171</v>
      </c>
      <c r="M1064" s="27">
        <f>18.3224 * CHOOSE(CONTROL!$C$32, $C$9, 100%, $E$9)</f>
        <v>18.322399999999998</v>
      </c>
      <c r="N1064" s="27">
        <f>18.3171 * CHOOSE(CONTROL!$C$32, $C$9, 100%, $E$9)</f>
        <v>18.3171</v>
      </c>
      <c r="O1064" s="27">
        <f>18.3224 * CHOOSE(CONTROL!$C$32, $C$9, 100%, $E$9)</f>
        <v>18.322399999999998</v>
      </c>
    </row>
    <row r="1065" spans="1:15" ht="15" x14ac:dyDescent="0.2">
      <c r="A1065" s="16">
        <v>73263</v>
      </c>
      <c r="B1065" s="26">
        <f>15.9551 * CHOOSE(CONTROL!$C$32, $C$9, 100%, $E$9)</f>
        <v>15.9551</v>
      </c>
      <c r="C1065" s="26">
        <f>15.9551 * CHOOSE(CONTROL!$C$32, $C$9, 100%, $E$9)</f>
        <v>15.9551</v>
      </c>
      <c r="D1065" s="26">
        <f>15.9567 * CHOOSE(CONTROL!$C$32, $C$9, 100%, $E$9)</f>
        <v>15.9567</v>
      </c>
      <c r="E1065" s="27">
        <f>17.8441 * CHOOSE(CONTROL!$C$32, $C$9, 100%, $E$9)</f>
        <v>17.844100000000001</v>
      </c>
      <c r="F1065" s="27">
        <f>17.8441 * CHOOSE(CONTROL!$C$32, $C$9, 100%, $E$9)</f>
        <v>17.844100000000001</v>
      </c>
      <c r="G1065" s="27">
        <f>17.8494 * CHOOSE(CONTROL!$C$32, $C$9, 100%, $E$9)</f>
        <v>17.849399999999999</v>
      </c>
      <c r="H1065" s="27">
        <f>36.6028 * CHOOSE(CONTROL!$C$32, $C$9, 100%, $E$9)</f>
        <v>36.602800000000002</v>
      </c>
      <c r="I1065" s="27">
        <f>36.6081 * CHOOSE(CONTROL!$C$32, $C$9, 100%, $E$9)</f>
        <v>36.6081</v>
      </c>
      <c r="J1065" s="27">
        <f>36.6028 * CHOOSE(CONTROL!$C$32, $C$9, 100%, $E$9)</f>
        <v>36.602800000000002</v>
      </c>
      <c r="K1065" s="27">
        <f>36.6081 * CHOOSE(CONTROL!$C$32, $C$9, 100%, $E$9)</f>
        <v>36.6081</v>
      </c>
      <c r="L1065" s="27">
        <f>17.8441 * CHOOSE(CONTROL!$C$32, $C$9, 100%, $E$9)</f>
        <v>17.844100000000001</v>
      </c>
      <c r="M1065" s="27">
        <f>17.8494 * CHOOSE(CONTROL!$C$32, $C$9, 100%, $E$9)</f>
        <v>17.849399999999999</v>
      </c>
      <c r="N1065" s="27">
        <f>17.8441 * CHOOSE(CONTROL!$C$32, $C$9, 100%, $E$9)</f>
        <v>17.844100000000001</v>
      </c>
      <c r="O1065" s="27">
        <f>17.8494 * CHOOSE(CONTROL!$C$32, $C$9, 100%, $E$9)</f>
        <v>17.849399999999999</v>
      </c>
    </row>
    <row r="1066" spans="1:15" ht="15" x14ac:dyDescent="0.2">
      <c r="A1066" s="16">
        <v>73294</v>
      </c>
      <c r="B1066" s="26">
        <f>15.9521 * CHOOSE(CONTROL!$C$32, $C$9, 100%, $E$9)</f>
        <v>15.9521</v>
      </c>
      <c r="C1066" s="26">
        <f>15.9521 * CHOOSE(CONTROL!$C$32, $C$9, 100%, $E$9)</f>
        <v>15.9521</v>
      </c>
      <c r="D1066" s="26">
        <f>15.9537 * CHOOSE(CONTROL!$C$32, $C$9, 100%, $E$9)</f>
        <v>15.9537</v>
      </c>
      <c r="E1066" s="27">
        <f>17.789 * CHOOSE(CONTROL!$C$32, $C$9, 100%, $E$9)</f>
        <v>17.789000000000001</v>
      </c>
      <c r="F1066" s="27">
        <f>17.789 * CHOOSE(CONTROL!$C$32, $C$9, 100%, $E$9)</f>
        <v>17.789000000000001</v>
      </c>
      <c r="G1066" s="27">
        <f>17.7942 * CHOOSE(CONTROL!$C$32, $C$9, 100%, $E$9)</f>
        <v>17.7942</v>
      </c>
      <c r="H1066" s="27">
        <f>36.6791 * CHOOSE(CONTROL!$C$32, $C$9, 100%, $E$9)</f>
        <v>36.679099999999998</v>
      </c>
      <c r="I1066" s="27">
        <f>36.6844 * CHOOSE(CONTROL!$C$32, $C$9, 100%, $E$9)</f>
        <v>36.684399999999997</v>
      </c>
      <c r="J1066" s="27">
        <f>36.6791 * CHOOSE(CONTROL!$C$32, $C$9, 100%, $E$9)</f>
        <v>36.679099999999998</v>
      </c>
      <c r="K1066" s="27">
        <f>36.6844 * CHOOSE(CONTROL!$C$32, $C$9, 100%, $E$9)</f>
        <v>36.684399999999997</v>
      </c>
      <c r="L1066" s="27">
        <f>17.789 * CHOOSE(CONTROL!$C$32, $C$9, 100%, $E$9)</f>
        <v>17.789000000000001</v>
      </c>
      <c r="M1066" s="27">
        <f>17.7942 * CHOOSE(CONTROL!$C$32, $C$9, 100%, $E$9)</f>
        <v>17.7942</v>
      </c>
      <c r="N1066" s="27">
        <f>17.789 * CHOOSE(CONTROL!$C$32, $C$9, 100%, $E$9)</f>
        <v>17.789000000000001</v>
      </c>
      <c r="O1066" s="27">
        <f>17.7942 * CHOOSE(CONTROL!$C$32, $C$9, 100%, $E$9)</f>
        <v>17.7942</v>
      </c>
    </row>
    <row r="1067" spans="1:15" ht="15" x14ac:dyDescent="0.2">
      <c r="A1067" s="16">
        <v>73324</v>
      </c>
      <c r="B1067" s="26">
        <f>15.9919 * CHOOSE(CONTROL!$C$32, $C$9, 100%, $E$9)</f>
        <v>15.991899999999999</v>
      </c>
      <c r="C1067" s="26">
        <f>15.9919 * CHOOSE(CONTROL!$C$32, $C$9, 100%, $E$9)</f>
        <v>15.991899999999999</v>
      </c>
      <c r="D1067" s="26">
        <f>15.9929 * CHOOSE(CONTROL!$C$32, $C$9, 100%, $E$9)</f>
        <v>15.992900000000001</v>
      </c>
      <c r="E1067" s="27">
        <f>17.9878 * CHOOSE(CONTROL!$C$32, $C$9, 100%, $E$9)</f>
        <v>17.9878</v>
      </c>
      <c r="F1067" s="27">
        <f>17.9878 * CHOOSE(CONTROL!$C$32, $C$9, 100%, $E$9)</f>
        <v>17.9878</v>
      </c>
      <c r="G1067" s="27">
        <f>17.9914 * CHOOSE(CONTROL!$C$32, $C$9, 100%, $E$9)</f>
        <v>17.991399999999999</v>
      </c>
      <c r="H1067" s="27">
        <f>36.7555 * CHOOSE(CONTROL!$C$32, $C$9, 100%, $E$9)</f>
        <v>36.755499999999998</v>
      </c>
      <c r="I1067" s="27">
        <f>36.7591 * CHOOSE(CONTROL!$C$32, $C$9, 100%, $E$9)</f>
        <v>36.759099999999997</v>
      </c>
      <c r="J1067" s="27">
        <f>36.7555 * CHOOSE(CONTROL!$C$32, $C$9, 100%, $E$9)</f>
        <v>36.755499999999998</v>
      </c>
      <c r="K1067" s="27">
        <f>36.7591 * CHOOSE(CONTROL!$C$32, $C$9, 100%, $E$9)</f>
        <v>36.759099999999997</v>
      </c>
      <c r="L1067" s="27">
        <f>17.9878 * CHOOSE(CONTROL!$C$32, $C$9, 100%, $E$9)</f>
        <v>17.9878</v>
      </c>
      <c r="M1067" s="27">
        <f>17.9914 * CHOOSE(CONTROL!$C$32, $C$9, 100%, $E$9)</f>
        <v>17.991399999999999</v>
      </c>
      <c r="N1067" s="27">
        <f>17.9878 * CHOOSE(CONTROL!$C$32, $C$9, 100%, $E$9)</f>
        <v>17.9878</v>
      </c>
      <c r="O1067" s="27">
        <f>17.9914 * CHOOSE(CONTROL!$C$32, $C$9, 100%, $E$9)</f>
        <v>17.991399999999999</v>
      </c>
    </row>
    <row r="1068" spans="1:15" ht="15" x14ac:dyDescent="0.2">
      <c r="A1068" s="16">
        <v>73355</v>
      </c>
      <c r="B1068" s="26">
        <f>15.9949 * CHOOSE(CONTROL!$C$32, $C$9, 100%, $E$9)</f>
        <v>15.994899999999999</v>
      </c>
      <c r="C1068" s="26">
        <f>15.9949 * CHOOSE(CONTROL!$C$32, $C$9, 100%, $E$9)</f>
        <v>15.994899999999999</v>
      </c>
      <c r="D1068" s="26">
        <f>15.996 * CHOOSE(CONTROL!$C$32, $C$9, 100%, $E$9)</f>
        <v>15.996</v>
      </c>
      <c r="E1068" s="27">
        <f>18.0961 * CHOOSE(CONTROL!$C$32, $C$9, 100%, $E$9)</f>
        <v>18.0961</v>
      </c>
      <c r="F1068" s="27">
        <f>18.0961 * CHOOSE(CONTROL!$C$32, $C$9, 100%, $E$9)</f>
        <v>18.0961</v>
      </c>
      <c r="G1068" s="27">
        <f>18.0997 * CHOOSE(CONTROL!$C$32, $C$9, 100%, $E$9)</f>
        <v>18.099699999999999</v>
      </c>
      <c r="H1068" s="27">
        <f>36.8321 * CHOOSE(CONTROL!$C$32, $C$9, 100%, $E$9)</f>
        <v>36.832099999999997</v>
      </c>
      <c r="I1068" s="27">
        <f>36.8357 * CHOOSE(CONTROL!$C$32, $C$9, 100%, $E$9)</f>
        <v>36.835700000000003</v>
      </c>
      <c r="J1068" s="27">
        <f>36.8321 * CHOOSE(CONTROL!$C$32, $C$9, 100%, $E$9)</f>
        <v>36.832099999999997</v>
      </c>
      <c r="K1068" s="27">
        <f>36.8357 * CHOOSE(CONTROL!$C$32, $C$9, 100%, $E$9)</f>
        <v>36.835700000000003</v>
      </c>
      <c r="L1068" s="27">
        <f>18.0961 * CHOOSE(CONTROL!$C$32, $C$9, 100%, $E$9)</f>
        <v>18.0961</v>
      </c>
      <c r="M1068" s="27">
        <f>18.0997 * CHOOSE(CONTROL!$C$32, $C$9, 100%, $E$9)</f>
        <v>18.099699999999999</v>
      </c>
      <c r="N1068" s="27">
        <f>18.0961 * CHOOSE(CONTROL!$C$32, $C$9, 100%, $E$9)</f>
        <v>18.0961</v>
      </c>
      <c r="O1068" s="27">
        <f>18.0997 * CHOOSE(CONTROL!$C$32, $C$9, 100%, $E$9)</f>
        <v>18.099699999999999</v>
      </c>
    </row>
    <row r="1069" spans="1:15" ht="15" x14ac:dyDescent="0.2">
      <c r="A1069" s="16">
        <v>73385</v>
      </c>
      <c r="B1069" s="26">
        <f>15.9949 * CHOOSE(CONTROL!$C$32, $C$9, 100%, $E$9)</f>
        <v>15.994899999999999</v>
      </c>
      <c r="C1069" s="26">
        <f>15.9949 * CHOOSE(CONTROL!$C$32, $C$9, 100%, $E$9)</f>
        <v>15.994899999999999</v>
      </c>
      <c r="D1069" s="26">
        <f>15.996 * CHOOSE(CONTROL!$C$32, $C$9, 100%, $E$9)</f>
        <v>15.996</v>
      </c>
      <c r="E1069" s="27">
        <f>17.8307 * CHOOSE(CONTROL!$C$32, $C$9, 100%, $E$9)</f>
        <v>17.8307</v>
      </c>
      <c r="F1069" s="27">
        <f>17.8307 * CHOOSE(CONTROL!$C$32, $C$9, 100%, $E$9)</f>
        <v>17.8307</v>
      </c>
      <c r="G1069" s="27">
        <f>17.8343 * CHOOSE(CONTROL!$C$32, $C$9, 100%, $E$9)</f>
        <v>17.834299999999999</v>
      </c>
      <c r="H1069" s="27">
        <f>36.9088 * CHOOSE(CONTROL!$C$32, $C$9, 100%, $E$9)</f>
        <v>36.908799999999999</v>
      </c>
      <c r="I1069" s="27">
        <f>36.9124 * CHOOSE(CONTROL!$C$32, $C$9, 100%, $E$9)</f>
        <v>36.912399999999998</v>
      </c>
      <c r="J1069" s="27">
        <f>36.9088 * CHOOSE(CONTROL!$C$32, $C$9, 100%, $E$9)</f>
        <v>36.908799999999999</v>
      </c>
      <c r="K1069" s="27">
        <f>36.9124 * CHOOSE(CONTROL!$C$32, $C$9, 100%, $E$9)</f>
        <v>36.912399999999998</v>
      </c>
      <c r="L1069" s="27">
        <f>17.8307 * CHOOSE(CONTROL!$C$32, $C$9, 100%, $E$9)</f>
        <v>17.8307</v>
      </c>
      <c r="M1069" s="27">
        <f>17.8343 * CHOOSE(CONTROL!$C$32, $C$9, 100%, $E$9)</f>
        <v>17.834299999999999</v>
      </c>
      <c r="N1069" s="27">
        <f>17.8307 * CHOOSE(CONTROL!$C$32, $C$9, 100%, $E$9)</f>
        <v>17.8307</v>
      </c>
      <c r="O1069" s="27">
        <f>17.8343 * CHOOSE(CONTROL!$C$32, $C$9, 100%, $E$9)</f>
        <v>17.834299999999999</v>
      </c>
    </row>
    <row r="1070" spans="1:15" ht="15" x14ac:dyDescent="0.2">
      <c r="A1070" s="12"/>
      <c r="B1070" s="26"/>
      <c r="C1070" s="26"/>
      <c r="D1070" s="26"/>
      <c r="E1070" s="27"/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</row>
    <row r="1071" spans="1:15" ht="15" x14ac:dyDescent="0.2">
      <c r="A1071" s="11">
        <v>2013</v>
      </c>
      <c r="B1071" s="26">
        <f t="shared" ref="B1071:O1071" si="0">AVERAGE(B14:B25)</f>
        <v>2.2966500000000001</v>
      </c>
      <c r="C1071" s="26">
        <f t="shared" si="0"/>
        <v>2.2232833333333333</v>
      </c>
      <c r="D1071" s="26">
        <f t="shared" si="0"/>
        <v>2.2699416666666665</v>
      </c>
      <c r="E1071" s="26">
        <f t="shared" si="0"/>
        <v>3.4876333333333331</v>
      </c>
      <c r="F1071" s="26">
        <f t="shared" si="0"/>
        <v>3.1494</v>
      </c>
      <c r="G1071" s="26">
        <f t="shared" si="0"/>
        <v>3.164908333333333</v>
      </c>
      <c r="H1071" s="26">
        <f t="shared" si="0"/>
        <v>5.7296249999999995</v>
      </c>
      <c r="I1071" s="26">
        <f t="shared" si="0"/>
        <v>5.7451333333333325</v>
      </c>
      <c r="J1071" s="26">
        <f t="shared" si="0"/>
        <v>5.7296249999999995</v>
      </c>
      <c r="K1071" s="26">
        <f t="shared" si="0"/>
        <v>5.7451333333333325</v>
      </c>
      <c r="L1071" s="26">
        <f t="shared" si="0"/>
        <v>3.4876333333333331</v>
      </c>
      <c r="M1071" s="26">
        <f t="shared" si="0"/>
        <v>3.5031166666666671</v>
      </c>
      <c r="N1071" s="26">
        <f t="shared" si="0"/>
        <v>3.4876333333333331</v>
      </c>
      <c r="O1071" s="26">
        <f t="shared" si="0"/>
        <v>3.5031166666666671</v>
      </c>
    </row>
    <row r="1072" spans="1:15" ht="15" x14ac:dyDescent="0.2">
      <c r="A1072" s="11">
        <v>2014</v>
      </c>
      <c r="B1072" s="26">
        <f t="shared" ref="B1072:O1072" si="1">AVERAGE(B26:B37)</f>
        <v>2.3654999999999995</v>
      </c>
      <c r="C1072" s="26">
        <f t="shared" si="1"/>
        <v>2.3576916666666663</v>
      </c>
      <c r="D1072" s="26">
        <f t="shared" si="1"/>
        <v>2.40435</v>
      </c>
      <c r="E1072" s="26">
        <f t="shared" si="1"/>
        <v>3.460575</v>
      </c>
      <c r="F1072" s="26">
        <f t="shared" si="1"/>
        <v>3.3780666666666668</v>
      </c>
      <c r="G1072" s="26">
        <f t="shared" si="1"/>
        <v>3.3935666666666671</v>
      </c>
      <c r="H1072" s="26">
        <f t="shared" si="1"/>
        <v>5.7507333333333337</v>
      </c>
      <c r="I1072" s="26">
        <f t="shared" si="1"/>
        <v>5.7662083333333323</v>
      </c>
      <c r="J1072" s="26">
        <f t="shared" si="1"/>
        <v>5.7507333333333337</v>
      </c>
      <c r="K1072" s="26">
        <f t="shared" si="1"/>
        <v>5.7662083333333323</v>
      </c>
      <c r="L1072" s="26">
        <f t="shared" si="1"/>
        <v>3.460575</v>
      </c>
      <c r="M1072" s="26">
        <f t="shared" si="1"/>
        <v>3.4760500000000003</v>
      </c>
      <c r="N1072" s="26">
        <f t="shared" si="1"/>
        <v>3.460575</v>
      </c>
      <c r="O1072" s="26">
        <f t="shared" si="1"/>
        <v>3.4760500000000003</v>
      </c>
    </row>
    <row r="1073" spans="1:15" ht="15" x14ac:dyDescent="0.2">
      <c r="A1073" s="11">
        <v>2015</v>
      </c>
      <c r="B1073" s="26">
        <f t="shared" ref="B1073:O1073" si="2">AVERAGE(B38:B49)</f>
        <v>2.483975</v>
      </c>
      <c r="C1073" s="26">
        <f t="shared" si="2"/>
        <v>2.483975</v>
      </c>
      <c r="D1073" s="26">
        <f t="shared" si="2"/>
        <v>2.485233333333333</v>
      </c>
      <c r="E1073" s="26">
        <f t="shared" si="2"/>
        <v>3.8020250000000004</v>
      </c>
      <c r="F1073" s="26">
        <f t="shared" si="2"/>
        <v>3.5835999999999992</v>
      </c>
      <c r="G1073" s="26">
        <f t="shared" si="2"/>
        <v>3.5879083333333335</v>
      </c>
      <c r="H1073" s="26">
        <f t="shared" si="2"/>
        <v>5.8961499999999987</v>
      </c>
      <c r="I1073" s="26">
        <f t="shared" si="2"/>
        <v>5.9004666666666665</v>
      </c>
      <c r="J1073" s="26">
        <f t="shared" si="2"/>
        <v>5.8961499999999987</v>
      </c>
      <c r="K1073" s="26">
        <f t="shared" si="2"/>
        <v>5.9004666666666665</v>
      </c>
      <c r="L1073" s="26">
        <f t="shared" si="2"/>
        <v>3.8020250000000004</v>
      </c>
      <c r="M1073" s="26">
        <f t="shared" si="2"/>
        <v>3.8063333333333329</v>
      </c>
      <c r="N1073" s="26">
        <f t="shared" si="2"/>
        <v>3.8020250000000004</v>
      </c>
      <c r="O1073" s="26">
        <f t="shared" si="2"/>
        <v>3.8063333333333329</v>
      </c>
    </row>
    <row r="1074" spans="1:15" ht="15" x14ac:dyDescent="0.2">
      <c r="A1074" s="11">
        <v>2016</v>
      </c>
      <c r="B1074" s="26">
        <f t="shared" ref="B1074:O1074" si="3">AVERAGE(B50:B61)</f>
        <v>3.2759166666666668</v>
      </c>
      <c r="C1074" s="26">
        <f t="shared" si="3"/>
        <v>3.2759166666666668</v>
      </c>
      <c r="D1074" s="26">
        <f t="shared" si="3"/>
        <v>3.2771833333333338</v>
      </c>
      <c r="E1074" s="26">
        <f t="shared" si="3"/>
        <v>3.9337</v>
      </c>
      <c r="F1074" s="26">
        <f t="shared" si="3"/>
        <v>3.6856000000000004</v>
      </c>
      <c r="G1074" s="26">
        <f t="shared" si="3"/>
        <v>3.6899083333333333</v>
      </c>
      <c r="H1074" s="26">
        <f t="shared" si="3"/>
        <v>6.045258333333333</v>
      </c>
      <c r="I1074" s="26">
        <f t="shared" si="3"/>
        <v>6.0495666666666663</v>
      </c>
      <c r="J1074" s="26">
        <f t="shared" si="3"/>
        <v>6.045258333333333</v>
      </c>
      <c r="K1074" s="26">
        <f t="shared" si="3"/>
        <v>6.0495666666666663</v>
      </c>
      <c r="L1074" s="26">
        <f t="shared" si="3"/>
        <v>3.9337</v>
      </c>
      <c r="M1074" s="26">
        <f t="shared" si="3"/>
        <v>3.9380083333333329</v>
      </c>
      <c r="N1074" s="26">
        <f t="shared" si="3"/>
        <v>3.9337</v>
      </c>
      <c r="O1074" s="26">
        <f t="shared" si="3"/>
        <v>3.9380083333333329</v>
      </c>
    </row>
    <row r="1075" spans="1:15" ht="15" x14ac:dyDescent="0.2">
      <c r="A1075" s="11">
        <v>2017</v>
      </c>
      <c r="B1075" s="26">
        <f t="shared" ref="B1075:O1075" si="4">AVERAGE(B62:B73)</f>
        <v>3.3130666666666659</v>
      </c>
      <c r="C1075" s="26">
        <f t="shared" si="4"/>
        <v>3.3130666666666659</v>
      </c>
      <c r="D1075" s="26">
        <f t="shared" si="4"/>
        <v>3.3143583333333329</v>
      </c>
      <c r="E1075" s="26">
        <f t="shared" si="4"/>
        <v>3.8792333333333331</v>
      </c>
      <c r="F1075" s="26">
        <f t="shared" si="4"/>
        <v>3.8792333333333331</v>
      </c>
      <c r="G1075" s="26">
        <f t="shared" si="4"/>
        <v>3.8835499999999996</v>
      </c>
      <c r="H1075" s="26">
        <f t="shared" si="4"/>
        <v>6.1981333333333337</v>
      </c>
      <c r="I1075" s="26">
        <f t="shared" si="4"/>
        <v>6.2024333333333344</v>
      </c>
      <c r="J1075" s="26">
        <f t="shared" si="4"/>
        <v>6.1981333333333337</v>
      </c>
      <c r="K1075" s="26">
        <f t="shared" si="4"/>
        <v>6.2024333333333344</v>
      </c>
      <c r="L1075" s="26">
        <f t="shared" si="4"/>
        <v>3.8792333333333331</v>
      </c>
      <c r="M1075" s="26">
        <f t="shared" si="4"/>
        <v>3.8835499999999996</v>
      </c>
      <c r="N1075" s="26">
        <f t="shared" si="4"/>
        <v>3.8792333333333331</v>
      </c>
      <c r="O1075" s="26">
        <f t="shared" si="4"/>
        <v>3.8835499999999996</v>
      </c>
    </row>
    <row r="1076" spans="1:15" ht="15" x14ac:dyDescent="0.2">
      <c r="A1076" s="11">
        <v>2018</v>
      </c>
      <c r="B1076" s="26">
        <f t="shared" ref="B1076:O1076" si="5">AVERAGE(B74:B85)</f>
        <v>3.4019250000000003</v>
      </c>
      <c r="C1076" s="26">
        <f t="shared" si="5"/>
        <v>3.4019250000000003</v>
      </c>
      <c r="D1076" s="26">
        <f t="shared" si="5"/>
        <v>3.4032166666666659</v>
      </c>
      <c r="E1076" s="26">
        <f t="shared" si="5"/>
        <v>3.9989833333333333</v>
      </c>
      <c r="F1076" s="26">
        <f t="shared" si="5"/>
        <v>3.9989833333333333</v>
      </c>
      <c r="G1076" s="26">
        <f t="shared" si="5"/>
        <v>4.0033166666666666</v>
      </c>
      <c r="H1076" s="26">
        <f t="shared" si="5"/>
        <v>6.3548833333333334</v>
      </c>
      <c r="I1076" s="26">
        <f t="shared" si="5"/>
        <v>6.3592000000000004</v>
      </c>
      <c r="J1076" s="26">
        <f t="shared" si="5"/>
        <v>6.3548833333333334</v>
      </c>
      <c r="K1076" s="26">
        <f t="shared" si="5"/>
        <v>6.3592000000000004</v>
      </c>
      <c r="L1076" s="26">
        <f t="shared" si="5"/>
        <v>3.9989833333333333</v>
      </c>
      <c r="M1076" s="26">
        <f t="shared" si="5"/>
        <v>4.0033166666666666</v>
      </c>
      <c r="N1076" s="26">
        <f t="shared" si="5"/>
        <v>3.9989833333333333</v>
      </c>
      <c r="O1076" s="26">
        <f t="shared" si="5"/>
        <v>4.0033166666666666</v>
      </c>
    </row>
    <row r="1077" spans="1:15" ht="15" x14ac:dyDescent="0.2">
      <c r="A1077" s="11">
        <v>2019</v>
      </c>
      <c r="B1077" s="26">
        <f t="shared" ref="B1077:O1077" si="6">AVERAGE(B86:B97)</f>
        <v>3.2222999999999993</v>
      </c>
      <c r="C1077" s="26">
        <f t="shared" si="6"/>
        <v>3.2222999999999993</v>
      </c>
      <c r="D1077" s="26">
        <f t="shared" si="6"/>
        <v>3.2235916666666671</v>
      </c>
      <c r="E1077" s="26">
        <f t="shared" si="6"/>
        <v>4.0889833333333341</v>
      </c>
      <c r="F1077" s="26">
        <f t="shared" si="6"/>
        <v>4.0889833333333341</v>
      </c>
      <c r="G1077" s="26">
        <f t="shared" si="6"/>
        <v>4.0932916666666666</v>
      </c>
      <c r="H1077" s="26">
        <f t="shared" si="6"/>
        <v>6.515575000000001</v>
      </c>
      <c r="I1077" s="26">
        <f t="shared" si="6"/>
        <v>6.5198916666666653</v>
      </c>
      <c r="J1077" s="26">
        <f t="shared" si="6"/>
        <v>6.515575000000001</v>
      </c>
      <c r="K1077" s="26">
        <f t="shared" si="6"/>
        <v>6.5198916666666653</v>
      </c>
      <c r="L1077" s="26">
        <f t="shared" si="6"/>
        <v>4.0889833333333341</v>
      </c>
      <c r="M1077" s="26">
        <f t="shared" si="6"/>
        <v>4.0932916666666666</v>
      </c>
      <c r="N1077" s="26">
        <f t="shared" si="6"/>
        <v>4.0889833333333341</v>
      </c>
      <c r="O1077" s="26">
        <f t="shared" si="6"/>
        <v>4.0932916666666666</v>
      </c>
    </row>
    <row r="1078" spans="1:15" ht="15" x14ac:dyDescent="0.2">
      <c r="A1078" s="11">
        <v>2020</v>
      </c>
      <c r="B1078" s="26">
        <f t="shared" ref="B1078:O1078" si="7">AVERAGE(B98:B109)</f>
        <v>3.286566666666666</v>
      </c>
      <c r="C1078" s="26">
        <f t="shared" si="7"/>
        <v>3.286566666666666</v>
      </c>
      <c r="D1078" s="26">
        <f t="shared" si="7"/>
        <v>3.2878583333333329</v>
      </c>
      <c r="E1078" s="26">
        <f t="shared" si="7"/>
        <v>4.1808833333333331</v>
      </c>
      <c r="F1078" s="26">
        <f t="shared" si="7"/>
        <v>4.1808833333333331</v>
      </c>
      <c r="G1078" s="26">
        <f t="shared" si="7"/>
        <v>4.1851916666666664</v>
      </c>
      <c r="H1078" s="26">
        <f t="shared" si="7"/>
        <v>6.6803416666666662</v>
      </c>
      <c r="I1078" s="26">
        <f t="shared" si="7"/>
        <v>6.6846500000000004</v>
      </c>
      <c r="J1078" s="26">
        <f t="shared" si="7"/>
        <v>6.6803416666666662</v>
      </c>
      <c r="K1078" s="26">
        <f t="shared" si="7"/>
        <v>6.6846500000000004</v>
      </c>
      <c r="L1078" s="26">
        <f t="shared" si="7"/>
        <v>4.1808833333333331</v>
      </c>
      <c r="M1078" s="26">
        <f t="shared" si="7"/>
        <v>4.1851916666666664</v>
      </c>
      <c r="N1078" s="26">
        <f t="shared" si="7"/>
        <v>4.1808833333333331</v>
      </c>
      <c r="O1078" s="26">
        <f t="shared" si="7"/>
        <v>4.1851916666666664</v>
      </c>
    </row>
    <row r="1079" spans="1:15" ht="15" x14ac:dyDescent="0.2">
      <c r="A1079" s="11">
        <v>2021</v>
      </c>
      <c r="B1079" s="26">
        <f t="shared" ref="B1079:O1079" si="8">AVERAGE(B110:B121)</f>
        <v>3.3671249999999993</v>
      </c>
      <c r="C1079" s="26">
        <f t="shared" si="8"/>
        <v>3.3671249999999993</v>
      </c>
      <c r="D1079" s="26">
        <f t="shared" si="8"/>
        <v>3.3684250000000002</v>
      </c>
      <c r="E1079" s="26">
        <f t="shared" si="8"/>
        <v>4.2754583333333338</v>
      </c>
      <c r="F1079" s="26">
        <f t="shared" si="8"/>
        <v>4.2754583333333338</v>
      </c>
      <c r="G1079" s="26">
        <f t="shared" si="8"/>
        <v>4.2797916666666671</v>
      </c>
      <c r="H1079" s="26">
        <f t="shared" si="8"/>
        <v>6.8492999999999995</v>
      </c>
      <c r="I1079" s="26">
        <f t="shared" si="8"/>
        <v>6.8536083333333329</v>
      </c>
      <c r="J1079" s="26">
        <f t="shared" si="8"/>
        <v>6.8492999999999995</v>
      </c>
      <c r="K1079" s="26">
        <f t="shared" si="8"/>
        <v>6.8536083333333329</v>
      </c>
      <c r="L1079" s="26">
        <f t="shared" si="8"/>
        <v>4.2754583333333338</v>
      </c>
      <c r="M1079" s="26">
        <f t="shared" si="8"/>
        <v>4.2797916666666671</v>
      </c>
      <c r="N1079" s="26">
        <f t="shared" si="8"/>
        <v>4.2754583333333338</v>
      </c>
      <c r="O1079" s="26">
        <f t="shared" si="8"/>
        <v>4.2797916666666671</v>
      </c>
    </row>
    <row r="1080" spans="1:15" ht="15" x14ac:dyDescent="0.2">
      <c r="A1080" s="11">
        <v>2022</v>
      </c>
      <c r="B1080" s="26">
        <f t="shared" ref="B1080:O1080" si="9">AVERAGE(B122:B133)</f>
        <v>3.4470750000000003</v>
      </c>
      <c r="C1080" s="26">
        <f t="shared" si="9"/>
        <v>3.4470750000000003</v>
      </c>
      <c r="D1080" s="26">
        <f t="shared" si="9"/>
        <v>3.4483666666666668</v>
      </c>
      <c r="E1080" s="26">
        <f t="shared" si="9"/>
        <v>4.3818083333333337</v>
      </c>
      <c r="F1080" s="26">
        <f t="shared" si="9"/>
        <v>4.3818083333333337</v>
      </c>
      <c r="G1080" s="26">
        <f t="shared" si="9"/>
        <v>4.3861166666666671</v>
      </c>
      <c r="H1080" s="26">
        <f t="shared" si="9"/>
        <v>7.0224916666666681</v>
      </c>
      <c r="I1080" s="26">
        <f t="shared" si="9"/>
        <v>7.026816666666666</v>
      </c>
      <c r="J1080" s="26">
        <f t="shared" si="9"/>
        <v>7.0224916666666681</v>
      </c>
      <c r="K1080" s="26">
        <f t="shared" si="9"/>
        <v>7.026816666666666</v>
      </c>
      <c r="L1080" s="26">
        <f t="shared" si="9"/>
        <v>4.3818083333333337</v>
      </c>
      <c r="M1080" s="26">
        <f t="shared" si="9"/>
        <v>4.3861166666666671</v>
      </c>
      <c r="N1080" s="26">
        <f t="shared" si="9"/>
        <v>4.3818083333333337</v>
      </c>
      <c r="O1080" s="26">
        <f t="shared" si="9"/>
        <v>4.3861166666666671</v>
      </c>
    </row>
    <row r="1081" spans="1:15" ht="15" x14ac:dyDescent="0.2">
      <c r="A1081" s="11">
        <v>2023</v>
      </c>
      <c r="B1081" s="26">
        <f t="shared" ref="B1081:O1081" si="10">AVERAGE(B134:B145)</f>
        <v>3.5408249999999994</v>
      </c>
      <c r="C1081" s="26">
        <f t="shared" si="10"/>
        <v>3.5408249999999994</v>
      </c>
      <c r="D1081" s="26">
        <f t="shared" si="10"/>
        <v>3.5421166666666668</v>
      </c>
      <c r="E1081" s="26">
        <f t="shared" si="10"/>
        <v>4.490308333333334</v>
      </c>
      <c r="F1081" s="26">
        <f t="shared" si="10"/>
        <v>4.490308333333334</v>
      </c>
      <c r="G1081" s="26">
        <f t="shared" si="10"/>
        <v>4.4946166666666665</v>
      </c>
      <c r="H1081" s="26">
        <f t="shared" si="10"/>
        <v>7.2000833333333327</v>
      </c>
      <c r="I1081" s="26">
        <f t="shared" si="10"/>
        <v>7.2043916666666661</v>
      </c>
      <c r="J1081" s="26">
        <f t="shared" si="10"/>
        <v>7.2000833333333327</v>
      </c>
      <c r="K1081" s="26">
        <f t="shared" si="10"/>
        <v>7.2043916666666661</v>
      </c>
      <c r="L1081" s="26">
        <f t="shared" si="10"/>
        <v>4.490308333333334</v>
      </c>
      <c r="M1081" s="26">
        <f t="shared" si="10"/>
        <v>4.4946166666666665</v>
      </c>
      <c r="N1081" s="26">
        <f t="shared" si="10"/>
        <v>4.490308333333334</v>
      </c>
      <c r="O1081" s="26">
        <f t="shared" si="10"/>
        <v>4.4946166666666665</v>
      </c>
    </row>
    <row r="1082" spans="1:15" ht="15" x14ac:dyDescent="0.2">
      <c r="A1082" s="11">
        <v>2024</v>
      </c>
      <c r="B1082" s="26">
        <f t="shared" ref="B1082:O1082" si="11">AVERAGE(B146:B157)</f>
        <v>3.6291499999999997</v>
      </c>
      <c r="C1082" s="26">
        <f t="shared" si="11"/>
        <v>3.6291499999999997</v>
      </c>
      <c r="D1082" s="26">
        <f t="shared" si="11"/>
        <v>3.6304500000000002</v>
      </c>
      <c r="E1082" s="26">
        <f t="shared" si="11"/>
        <v>4.6075583333333325</v>
      </c>
      <c r="F1082" s="26">
        <f t="shared" si="11"/>
        <v>4.6075583333333325</v>
      </c>
      <c r="G1082" s="26">
        <f t="shared" si="11"/>
        <v>4.6118500000000004</v>
      </c>
      <c r="H1082" s="26">
        <f t="shared" si="11"/>
        <v>7.3821750000000002</v>
      </c>
      <c r="I1082" s="26">
        <f t="shared" si="11"/>
        <v>7.3864833333333335</v>
      </c>
      <c r="J1082" s="26">
        <f t="shared" si="11"/>
        <v>7.3821750000000002</v>
      </c>
      <c r="K1082" s="26">
        <f t="shared" si="11"/>
        <v>7.3864833333333335</v>
      </c>
      <c r="L1082" s="26">
        <f t="shared" si="11"/>
        <v>4.6075583333333325</v>
      </c>
      <c r="M1082" s="26">
        <f t="shared" si="11"/>
        <v>4.6118500000000004</v>
      </c>
      <c r="N1082" s="26">
        <f t="shared" si="11"/>
        <v>4.6075583333333325</v>
      </c>
      <c r="O1082" s="26">
        <f t="shared" si="11"/>
        <v>4.6118500000000004</v>
      </c>
    </row>
    <row r="1083" spans="1:15" ht="15" x14ac:dyDescent="0.2">
      <c r="A1083" s="11">
        <v>2025</v>
      </c>
      <c r="B1083" s="26">
        <f t="shared" ref="B1083:O1083" si="12">AVERAGE(B158:B169)</f>
        <v>3.7209500000000002</v>
      </c>
      <c r="C1083" s="26">
        <f t="shared" si="12"/>
        <v>3.7209500000000002</v>
      </c>
      <c r="D1083" s="26">
        <f t="shared" si="12"/>
        <v>3.7222416666666676</v>
      </c>
      <c r="E1083" s="26">
        <f t="shared" si="12"/>
        <v>4.7325583333333325</v>
      </c>
      <c r="F1083" s="26">
        <f t="shared" si="12"/>
        <v>4.7325583333333325</v>
      </c>
      <c r="G1083" s="26">
        <f t="shared" si="12"/>
        <v>4.7368916666666667</v>
      </c>
      <c r="H1083" s="26">
        <f t="shared" si="12"/>
        <v>7.5688499999999985</v>
      </c>
      <c r="I1083" s="26">
        <f t="shared" si="12"/>
        <v>7.5731583333333345</v>
      </c>
      <c r="J1083" s="26">
        <f t="shared" si="12"/>
        <v>7.5688499999999985</v>
      </c>
      <c r="K1083" s="26">
        <f t="shared" si="12"/>
        <v>7.5731583333333345</v>
      </c>
      <c r="L1083" s="26">
        <f t="shared" si="12"/>
        <v>4.7325583333333325</v>
      </c>
      <c r="M1083" s="26">
        <f t="shared" si="12"/>
        <v>4.7368916666666667</v>
      </c>
      <c r="N1083" s="26">
        <f t="shared" si="12"/>
        <v>4.7325583333333325</v>
      </c>
      <c r="O1083" s="26">
        <f t="shared" si="12"/>
        <v>4.7368916666666667</v>
      </c>
    </row>
    <row r="1084" spans="1:15" ht="15" x14ac:dyDescent="0.2">
      <c r="A1084" s="11">
        <v>2026</v>
      </c>
      <c r="B1084" s="26">
        <f t="shared" ref="B1084:O1084" si="13">AVERAGE(B170:B181)</f>
        <v>3.8184083333333336</v>
      </c>
      <c r="C1084" s="26">
        <f t="shared" si="13"/>
        <v>3.8184083333333336</v>
      </c>
      <c r="D1084" s="26">
        <f t="shared" si="13"/>
        <v>3.8196916666666669</v>
      </c>
      <c r="E1084" s="26">
        <f t="shared" si="13"/>
        <v>4.8625583333333324</v>
      </c>
      <c r="F1084" s="26">
        <f t="shared" si="13"/>
        <v>4.8625583333333324</v>
      </c>
      <c r="G1084" s="26">
        <f t="shared" si="13"/>
        <v>4.8668749999999994</v>
      </c>
      <c r="H1084" s="26">
        <f t="shared" si="13"/>
        <v>7.7602500000000001</v>
      </c>
      <c r="I1084" s="26">
        <f t="shared" si="13"/>
        <v>7.7645583333333343</v>
      </c>
      <c r="J1084" s="26">
        <f t="shared" si="13"/>
        <v>7.7602500000000001</v>
      </c>
      <c r="K1084" s="26">
        <f t="shared" si="13"/>
        <v>7.7645583333333343</v>
      </c>
      <c r="L1084" s="26">
        <f t="shared" si="13"/>
        <v>4.8625583333333324</v>
      </c>
      <c r="M1084" s="26">
        <f t="shared" si="13"/>
        <v>4.8668749999999994</v>
      </c>
      <c r="N1084" s="26">
        <f t="shared" si="13"/>
        <v>4.8625583333333324</v>
      </c>
      <c r="O1084" s="26">
        <f t="shared" si="13"/>
        <v>4.8668749999999994</v>
      </c>
    </row>
    <row r="1085" spans="1:15" ht="15" x14ac:dyDescent="0.2">
      <c r="A1085" s="11">
        <v>2027</v>
      </c>
      <c r="B1085" s="26">
        <f t="shared" ref="B1085:O1085" si="14">AVERAGE(B182:B193)</f>
        <v>3.9176666666666669</v>
      </c>
      <c r="C1085" s="26">
        <f t="shared" si="14"/>
        <v>3.9176666666666669</v>
      </c>
      <c r="D1085" s="26">
        <f t="shared" si="14"/>
        <v>3.9189416666666665</v>
      </c>
      <c r="E1085" s="26">
        <f t="shared" si="14"/>
        <v>4.9883083333333325</v>
      </c>
      <c r="F1085" s="26">
        <f t="shared" si="14"/>
        <v>4.9883083333333325</v>
      </c>
      <c r="G1085" s="26">
        <f t="shared" si="14"/>
        <v>4.9926166666666658</v>
      </c>
      <c r="H1085" s="26">
        <f t="shared" si="14"/>
        <v>7.9564916666666656</v>
      </c>
      <c r="I1085" s="26">
        <f t="shared" si="14"/>
        <v>7.9608250000000007</v>
      </c>
      <c r="J1085" s="26">
        <f t="shared" si="14"/>
        <v>7.9564916666666656</v>
      </c>
      <c r="K1085" s="26">
        <f t="shared" si="14"/>
        <v>7.9608250000000007</v>
      </c>
      <c r="L1085" s="26">
        <f t="shared" si="14"/>
        <v>4.9883083333333325</v>
      </c>
      <c r="M1085" s="26">
        <f t="shared" si="14"/>
        <v>4.9926166666666658</v>
      </c>
      <c r="N1085" s="26">
        <f t="shared" si="14"/>
        <v>4.9883083333333325</v>
      </c>
      <c r="O1085" s="26">
        <f t="shared" si="14"/>
        <v>4.9926166666666658</v>
      </c>
    </row>
    <row r="1086" spans="1:15" ht="15" x14ac:dyDescent="0.2">
      <c r="A1086" s="11">
        <v>2028</v>
      </c>
      <c r="B1086" s="26">
        <f t="shared" ref="B1086:O1086" si="15">AVERAGE(B194:B205)</f>
        <v>4.0231749999999984</v>
      </c>
      <c r="C1086" s="26">
        <f t="shared" si="15"/>
        <v>4.0231749999999984</v>
      </c>
      <c r="D1086" s="26">
        <f t="shared" si="15"/>
        <v>4.0244666666666662</v>
      </c>
      <c r="E1086" s="26">
        <f t="shared" si="15"/>
        <v>5.121858333333333</v>
      </c>
      <c r="F1086" s="26">
        <f t="shared" si="15"/>
        <v>5.121858333333333</v>
      </c>
      <c r="G1086" s="26">
        <f t="shared" si="15"/>
        <v>5.1261666666666663</v>
      </c>
      <c r="H1086" s="26">
        <f t="shared" si="15"/>
        <v>8.1576916666666666</v>
      </c>
      <c r="I1086" s="26">
        <f t="shared" si="15"/>
        <v>8.1620249999999999</v>
      </c>
      <c r="J1086" s="26">
        <f t="shared" si="15"/>
        <v>8.1576916666666666</v>
      </c>
      <c r="K1086" s="26">
        <f t="shared" si="15"/>
        <v>8.1620249999999999</v>
      </c>
      <c r="L1086" s="26">
        <f t="shared" si="15"/>
        <v>5.121858333333333</v>
      </c>
      <c r="M1086" s="26">
        <f t="shared" si="15"/>
        <v>5.1261666666666663</v>
      </c>
      <c r="N1086" s="26">
        <f t="shared" si="15"/>
        <v>5.121858333333333</v>
      </c>
      <c r="O1086" s="26">
        <f t="shared" si="15"/>
        <v>5.1261666666666663</v>
      </c>
    </row>
    <row r="1087" spans="1:15" ht="15" x14ac:dyDescent="0.2">
      <c r="A1087" s="11">
        <v>2029</v>
      </c>
      <c r="B1087" s="26">
        <f t="shared" ref="B1087:O1087" si="16">AVERAGE(B206:B217)</f>
        <v>4.1202916666666676</v>
      </c>
      <c r="C1087" s="26">
        <f t="shared" si="16"/>
        <v>4.1202916666666676</v>
      </c>
      <c r="D1087" s="26">
        <f t="shared" si="16"/>
        <v>4.1215583333333337</v>
      </c>
      <c r="E1087" s="26">
        <f t="shared" si="16"/>
        <v>5.2511833333333335</v>
      </c>
      <c r="F1087" s="26">
        <f t="shared" si="16"/>
        <v>5.2511833333333335</v>
      </c>
      <c r="G1087" s="26">
        <f t="shared" si="16"/>
        <v>5.2554916666666669</v>
      </c>
      <c r="H1087" s="26">
        <f t="shared" si="16"/>
        <v>8.363999999999999</v>
      </c>
      <c r="I1087" s="26">
        <f t="shared" si="16"/>
        <v>8.3683083333333332</v>
      </c>
      <c r="J1087" s="26">
        <f t="shared" si="16"/>
        <v>8.363999999999999</v>
      </c>
      <c r="K1087" s="26">
        <f t="shared" si="16"/>
        <v>8.3683083333333332</v>
      </c>
      <c r="L1087" s="26">
        <f t="shared" si="16"/>
        <v>5.2511833333333335</v>
      </c>
      <c r="M1087" s="26">
        <f t="shared" si="16"/>
        <v>5.2554916666666669</v>
      </c>
      <c r="N1087" s="26">
        <f t="shared" si="16"/>
        <v>5.2511833333333335</v>
      </c>
      <c r="O1087" s="26">
        <f t="shared" si="16"/>
        <v>5.2554916666666669</v>
      </c>
    </row>
    <row r="1088" spans="1:15" ht="15" x14ac:dyDescent="0.2">
      <c r="A1088" s="11">
        <v>2030</v>
      </c>
      <c r="B1088" s="26">
        <f t="shared" ref="B1088:O1088" si="17">AVERAGE(B218:B229)</f>
        <v>4.2197500000000003</v>
      </c>
      <c r="C1088" s="26">
        <f t="shared" si="17"/>
        <v>4.2197500000000003</v>
      </c>
      <c r="D1088" s="26">
        <f t="shared" si="17"/>
        <v>4.2210416666666664</v>
      </c>
      <c r="E1088" s="26">
        <f t="shared" si="17"/>
        <v>5.3853833333333334</v>
      </c>
      <c r="F1088" s="26">
        <f t="shared" si="17"/>
        <v>5.3853833333333334</v>
      </c>
      <c r="G1088" s="26">
        <f t="shared" si="17"/>
        <v>5.3897166666666676</v>
      </c>
      <c r="H1088" s="26">
        <f t="shared" si="17"/>
        <v>8.5755250000000007</v>
      </c>
      <c r="I1088" s="26">
        <f t="shared" si="17"/>
        <v>8.5798333333333314</v>
      </c>
      <c r="J1088" s="26">
        <f t="shared" si="17"/>
        <v>8.5755250000000007</v>
      </c>
      <c r="K1088" s="26">
        <f t="shared" si="17"/>
        <v>8.5798333333333314</v>
      </c>
      <c r="L1088" s="26">
        <f t="shared" si="17"/>
        <v>5.3853833333333334</v>
      </c>
      <c r="M1088" s="26">
        <f t="shared" si="17"/>
        <v>5.3897166666666676</v>
      </c>
      <c r="N1088" s="26">
        <f t="shared" si="17"/>
        <v>5.3853833333333334</v>
      </c>
      <c r="O1088" s="26">
        <f t="shared" si="17"/>
        <v>5.3897166666666676</v>
      </c>
    </row>
    <row r="1089" spans="1:15" ht="15" x14ac:dyDescent="0.2">
      <c r="A1089" s="11">
        <v>2031</v>
      </c>
      <c r="B1089" s="26">
        <f t="shared" ref="B1089:O1089" si="18">AVERAGE(B230:B241)</f>
        <v>4.319983333333334</v>
      </c>
      <c r="C1089" s="26">
        <f t="shared" si="18"/>
        <v>4.319983333333334</v>
      </c>
      <c r="D1089" s="26">
        <f t="shared" si="18"/>
        <v>4.321275</v>
      </c>
      <c r="E1089" s="26">
        <f t="shared" si="18"/>
        <v>5.5212583333333329</v>
      </c>
      <c r="F1089" s="26">
        <f t="shared" si="18"/>
        <v>5.5212583333333329</v>
      </c>
      <c r="G1089" s="26">
        <f t="shared" si="18"/>
        <v>5.5255916666666671</v>
      </c>
      <c r="H1089" s="26">
        <f t="shared" si="18"/>
        <v>8.7923666666666644</v>
      </c>
      <c r="I1089" s="26">
        <f t="shared" si="18"/>
        <v>8.7966750000000005</v>
      </c>
      <c r="J1089" s="26">
        <f t="shared" si="18"/>
        <v>8.7923666666666644</v>
      </c>
      <c r="K1089" s="26">
        <f t="shared" si="18"/>
        <v>8.7966750000000005</v>
      </c>
      <c r="L1089" s="26">
        <f t="shared" si="18"/>
        <v>5.5212583333333329</v>
      </c>
      <c r="M1089" s="26">
        <f t="shared" si="18"/>
        <v>5.5255916666666671</v>
      </c>
      <c r="N1089" s="26">
        <f t="shared" si="18"/>
        <v>5.5212583333333329</v>
      </c>
      <c r="O1089" s="26">
        <f t="shared" si="18"/>
        <v>5.5255916666666671</v>
      </c>
    </row>
    <row r="1090" spans="1:15" ht="15" x14ac:dyDescent="0.2">
      <c r="A1090" s="11">
        <v>2032</v>
      </c>
      <c r="B1090" s="26">
        <f t="shared" ref="B1090:O1090" si="19">AVERAGE(B242:B253)</f>
        <v>4.4233666666666664</v>
      </c>
      <c r="C1090" s="26">
        <f t="shared" si="19"/>
        <v>4.4233666666666664</v>
      </c>
      <c r="D1090" s="26">
        <f t="shared" si="19"/>
        <v>4.4246499999999997</v>
      </c>
      <c r="E1090" s="26">
        <f t="shared" si="19"/>
        <v>5.6636583333333341</v>
      </c>
      <c r="F1090" s="26">
        <f t="shared" si="19"/>
        <v>5.6636583333333341</v>
      </c>
      <c r="G1090" s="26">
        <f t="shared" si="19"/>
        <v>5.6679666666666675</v>
      </c>
      <c r="H1090" s="26">
        <f t="shared" si="19"/>
        <v>9.0147333333333322</v>
      </c>
      <c r="I1090" s="26">
        <f t="shared" si="19"/>
        <v>9.0190416666666682</v>
      </c>
      <c r="J1090" s="26">
        <f t="shared" si="19"/>
        <v>9.0147333333333322</v>
      </c>
      <c r="K1090" s="26">
        <f t="shared" si="19"/>
        <v>9.0190416666666682</v>
      </c>
      <c r="L1090" s="26">
        <f t="shared" si="19"/>
        <v>5.6636583333333341</v>
      </c>
      <c r="M1090" s="26">
        <f t="shared" si="19"/>
        <v>5.6679666666666675</v>
      </c>
      <c r="N1090" s="26">
        <f t="shared" si="19"/>
        <v>5.6636583333333341</v>
      </c>
      <c r="O1090" s="26">
        <f t="shared" si="19"/>
        <v>5.6679666666666675</v>
      </c>
    </row>
    <row r="1091" spans="1:15" ht="15" x14ac:dyDescent="0.2">
      <c r="A1091" s="11">
        <v>2033</v>
      </c>
      <c r="B1091" s="26">
        <f t="shared" ref="B1091:O1091" si="20">AVERAGE(B254:B265)</f>
        <v>4.5277250000000011</v>
      </c>
      <c r="C1091" s="26">
        <f t="shared" si="20"/>
        <v>4.5277250000000011</v>
      </c>
      <c r="D1091" s="26">
        <f t="shared" si="20"/>
        <v>4.5290083333333335</v>
      </c>
      <c r="E1091" s="26">
        <f t="shared" si="20"/>
        <v>5.8086833333333336</v>
      </c>
      <c r="F1091" s="26">
        <f t="shared" si="20"/>
        <v>5.8086833333333336</v>
      </c>
      <c r="G1091" s="26">
        <f t="shared" si="20"/>
        <v>5.8129750000000016</v>
      </c>
      <c r="H1091" s="26">
        <f t="shared" si="20"/>
        <v>9.2426833333333338</v>
      </c>
      <c r="I1091" s="26">
        <f t="shared" si="20"/>
        <v>9.2469999999999999</v>
      </c>
      <c r="J1091" s="26">
        <f t="shared" si="20"/>
        <v>9.2426833333333338</v>
      </c>
      <c r="K1091" s="26">
        <f t="shared" si="20"/>
        <v>9.2469999999999999</v>
      </c>
      <c r="L1091" s="26">
        <f t="shared" si="20"/>
        <v>5.8086833333333336</v>
      </c>
      <c r="M1091" s="26">
        <f t="shared" si="20"/>
        <v>5.8129750000000016</v>
      </c>
      <c r="N1091" s="26">
        <f t="shared" si="20"/>
        <v>5.8086833333333336</v>
      </c>
      <c r="O1091" s="26">
        <f t="shared" si="20"/>
        <v>5.8129750000000016</v>
      </c>
    </row>
    <row r="1092" spans="1:15" ht="15" x14ac:dyDescent="0.2">
      <c r="A1092" s="11">
        <v>2034</v>
      </c>
      <c r="B1092" s="26">
        <f t="shared" ref="B1092:O1092" si="21">AVERAGE(B266:B277)</f>
        <v>4.6365749999999997</v>
      </c>
      <c r="C1092" s="26">
        <f t="shared" si="21"/>
        <v>4.6365749999999997</v>
      </c>
      <c r="D1092" s="26">
        <f t="shared" si="21"/>
        <v>4.6378583333333339</v>
      </c>
      <c r="E1092" s="26">
        <f t="shared" si="21"/>
        <v>5.9626083333333346</v>
      </c>
      <c r="F1092" s="26">
        <f t="shared" si="21"/>
        <v>5.9626083333333346</v>
      </c>
      <c r="G1092" s="26">
        <f t="shared" si="21"/>
        <v>5.966941666666667</v>
      </c>
      <c r="H1092" s="26">
        <f t="shared" si="21"/>
        <v>9.4764000000000017</v>
      </c>
      <c r="I1092" s="26">
        <f t="shared" si="21"/>
        <v>9.4807333333333332</v>
      </c>
      <c r="J1092" s="26">
        <f t="shared" si="21"/>
        <v>9.4764000000000017</v>
      </c>
      <c r="K1092" s="26">
        <f t="shared" si="21"/>
        <v>9.4807333333333332</v>
      </c>
      <c r="L1092" s="26">
        <f t="shared" si="21"/>
        <v>5.9626083333333346</v>
      </c>
      <c r="M1092" s="26">
        <f t="shared" si="21"/>
        <v>5.966941666666667</v>
      </c>
      <c r="N1092" s="26">
        <f t="shared" si="21"/>
        <v>5.9626083333333346</v>
      </c>
      <c r="O1092" s="26">
        <f t="shared" si="21"/>
        <v>5.966941666666667</v>
      </c>
    </row>
    <row r="1093" spans="1:15" ht="15" x14ac:dyDescent="0.2">
      <c r="A1093" s="11">
        <v>2035</v>
      </c>
      <c r="B1093" s="26">
        <f t="shared" ref="B1093:O1093" si="22">AVERAGE(B278:B289)</f>
        <v>4.7452499999999995</v>
      </c>
      <c r="C1093" s="26">
        <f t="shared" si="22"/>
        <v>4.7452499999999995</v>
      </c>
      <c r="D1093" s="26">
        <f t="shared" si="22"/>
        <v>4.7465333333333337</v>
      </c>
      <c r="E1093" s="26">
        <f t="shared" si="22"/>
        <v>6.2283083333333344</v>
      </c>
      <c r="F1093" s="26">
        <f t="shared" si="22"/>
        <v>6.2283083333333344</v>
      </c>
      <c r="G1093" s="26">
        <f t="shared" si="22"/>
        <v>6.2326249999999996</v>
      </c>
      <c r="H1093" s="26">
        <f t="shared" si="22"/>
        <v>9.7160499999999974</v>
      </c>
      <c r="I1093" s="26">
        <f t="shared" si="22"/>
        <v>9.7203749999999989</v>
      </c>
      <c r="J1093" s="26">
        <f t="shared" si="22"/>
        <v>9.7160499999999974</v>
      </c>
      <c r="K1093" s="26">
        <f t="shared" si="22"/>
        <v>9.7203749999999989</v>
      </c>
      <c r="L1093" s="26">
        <f t="shared" si="22"/>
        <v>6.2283083333333344</v>
      </c>
      <c r="M1093" s="26">
        <f t="shared" si="22"/>
        <v>6.2326249999999996</v>
      </c>
      <c r="N1093" s="26">
        <f t="shared" si="22"/>
        <v>6.2283083333333344</v>
      </c>
      <c r="O1093" s="26">
        <f t="shared" si="22"/>
        <v>6.2326249999999996</v>
      </c>
    </row>
    <row r="1094" spans="1:15" ht="15" x14ac:dyDescent="0.2">
      <c r="A1094" s="11">
        <v>2036</v>
      </c>
      <c r="B1094" s="26">
        <f t="shared" ref="B1094:O1094" si="23">AVERAGE(B290:B301)</f>
        <v>4.8552916666666661</v>
      </c>
      <c r="C1094" s="26">
        <f t="shared" si="23"/>
        <v>4.8552916666666661</v>
      </c>
      <c r="D1094" s="26">
        <f t="shared" si="23"/>
        <v>4.8565666666666667</v>
      </c>
      <c r="E1094" s="26">
        <f t="shared" si="23"/>
        <v>6.4622250000000001</v>
      </c>
      <c r="F1094" s="26">
        <f t="shared" si="23"/>
        <v>6.4622250000000001</v>
      </c>
      <c r="G1094" s="26">
        <f t="shared" si="23"/>
        <v>6.4665333333333317</v>
      </c>
      <c r="H1094" s="26">
        <f t="shared" si="23"/>
        <v>9.9617666666666675</v>
      </c>
      <c r="I1094" s="26">
        <f t="shared" si="23"/>
        <v>9.9660833333333319</v>
      </c>
      <c r="J1094" s="26">
        <f t="shared" si="23"/>
        <v>9.9617666666666675</v>
      </c>
      <c r="K1094" s="26">
        <f t="shared" si="23"/>
        <v>9.9660833333333319</v>
      </c>
      <c r="L1094" s="26">
        <f t="shared" si="23"/>
        <v>6.4622250000000001</v>
      </c>
      <c r="M1094" s="26">
        <f t="shared" si="23"/>
        <v>6.4665333333333317</v>
      </c>
      <c r="N1094" s="26">
        <f t="shared" si="23"/>
        <v>6.4622250000000001</v>
      </c>
      <c r="O1094" s="26">
        <f t="shared" si="23"/>
        <v>6.4665333333333317</v>
      </c>
    </row>
    <row r="1095" spans="1:15" ht="15" x14ac:dyDescent="0.2">
      <c r="A1095" s="11">
        <v>2037</v>
      </c>
      <c r="B1095" s="26">
        <f t="shared" ref="B1095:O1095" si="24">AVERAGE(B302:B313)</f>
        <v>4.964783333333334</v>
      </c>
      <c r="C1095" s="26">
        <f t="shared" si="24"/>
        <v>4.964783333333334</v>
      </c>
      <c r="D1095" s="26">
        <f t="shared" si="24"/>
        <v>4.9660833333333327</v>
      </c>
      <c r="E1095" s="26">
        <f t="shared" si="24"/>
        <v>6.5224749999999991</v>
      </c>
      <c r="F1095" s="26">
        <f t="shared" si="24"/>
        <v>6.5224749999999991</v>
      </c>
      <c r="G1095" s="26">
        <f t="shared" si="24"/>
        <v>6.5267833333333343</v>
      </c>
      <c r="H1095" s="26">
        <f t="shared" si="24"/>
        <v>10.213691666666668</v>
      </c>
      <c r="I1095" s="26">
        <f t="shared" si="24"/>
        <v>10.217983333333335</v>
      </c>
      <c r="J1095" s="26">
        <f t="shared" si="24"/>
        <v>10.213691666666668</v>
      </c>
      <c r="K1095" s="26">
        <f t="shared" si="24"/>
        <v>10.217983333333335</v>
      </c>
      <c r="L1095" s="26">
        <f t="shared" si="24"/>
        <v>6.5224749999999991</v>
      </c>
      <c r="M1095" s="26">
        <f t="shared" si="24"/>
        <v>6.5267833333333343</v>
      </c>
      <c r="N1095" s="26">
        <f t="shared" si="24"/>
        <v>6.5224749999999991</v>
      </c>
      <c r="O1095" s="26">
        <f t="shared" si="24"/>
        <v>6.5267833333333343</v>
      </c>
    </row>
    <row r="1096" spans="1:15" ht="15" x14ac:dyDescent="0.2">
      <c r="A1096" s="11">
        <v>2038</v>
      </c>
      <c r="B1096" s="26">
        <f t="shared" ref="B1096:O1096" si="25">AVERAGE(B314:B325)</f>
        <v>5.078008333333333</v>
      </c>
      <c r="C1096" s="26">
        <f t="shared" si="25"/>
        <v>5.078008333333333</v>
      </c>
      <c r="D1096" s="26">
        <f t="shared" si="25"/>
        <v>5.0792916666666663</v>
      </c>
      <c r="E1096" s="26">
        <f t="shared" si="25"/>
        <v>6.5534166666666671</v>
      </c>
      <c r="F1096" s="26">
        <f t="shared" si="25"/>
        <v>6.5534166666666671</v>
      </c>
      <c r="G1096" s="26">
        <f t="shared" si="25"/>
        <v>6.5577499999999995</v>
      </c>
      <c r="H1096" s="26">
        <f t="shared" si="25"/>
        <v>10.471974999999999</v>
      </c>
      <c r="I1096" s="26">
        <f t="shared" si="25"/>
        <v>10.476283333333333</v>
      </c>
      <c r="J1096" s="26">
        <f t="shared" si="25"/>
        <v>10.471974999999999</v>
      </c>
      <c r="K1096" s="26">
        <f t="shared" si="25"/>
        <v>10.476283333333333</v>
      </c>
      <c r="L1096" s="26">
        <f t="shared" si="25"/>
        <v>6.5534166666666671</v>
      </c>
      <c r="M1096" s="26">
        <f t="shared" si="25"/>
        <v>6.5577499999999995</v>
      </c>
      <c r="N1096" s="26">
        <f t="shared" si="25"/>
        <v>6.5534166666666671</v>
      </c>
      <c r="O1096" s="26">
        <f t="shared" si="25"/>
        <v>6.5577499999999995</v>
      </c>
    </row>
    <row r="1097" spans="1:15" ht="15" x14ac:dyDescent="0.2">
      <c r="A1097" s="11">
        <v>2039</v>
      </c>
      <c r="B1097" s="26">
        <f t="shared" ref="B1097:O1097" si="26">AVERAGE(B326:B337)</f>
        <v>5.1910833333333333</v>
      </c>
      <c r="C1097" s="26">
        <f t="shared" si="26"/>
        <v>5.1910833333333333</v>
      </c>
      <c r="D1097" s="26">
        <f t="shared" si="26"/>
        <v>5.1923583333333339</v>
      </c>
      <c r="E1097" s="26">
        <f t="shared" si="26"/>
        <v>6.5795250000000003</v>
      </c>
      <c r="F1097" s="26">
        <f t="shared" si="26"/>
        <v>6.5795250000000003</v>
      </c>
      <c r="G1097" s="26">
        <f t="shared" si="26"/>
        <v>6.5838416666666655</v>
      </c>
      <c r="H1097" s="26">
        <f t="shared" si="26"/>
        <v>10.736775</v>
      </c>
      <c r="I1097" s="26">
        <f t="shared" si="26"/>
        <v>10.741091666666668</v>
      </c>
      <c r="J1097" s="26">
        <f t="shared" si="26"/>
        <v>10.736775</v>
      </c>
      <c r="K1097" s="26">
        <f t="shared" si="26"/>
        <v>10.741091666666668</v>
      </c>
      <c r="L1097" s="26">
        <f t="shared" si="26"/>
        <v>6.5795250000000003</v>
      </c>
      <c r="M1097" s="26">
        <f t="shared" si="26"/>
        <v>6.5838416666666655</v>
      </c>
      <c r="N1097" s="26">
        <f t="shared" si="26"/>
        <v>6.5795250000000003</v>
      </c>
      <c r="O1097" s="26">
        <f t="shared" si="26"/>
        <v>6.5838416666666655</v>
      </c>
    </row>
    <row r="1098" spans="1:15" ht="15" x14ac:dyDescent="0.2">
      <c r="A1098" s="11">
        <v>2040</v>
      </c>
      <c r="B1098" s="26">
        <f t="shared" ref="B1098:O1098" si="27">AVERAGE(B338:B349)</f>
        <v>5.3088083333333334</v>
      </c>
      <c r="C1098" s="26">
        <f t="shared" si="27"/>
        <v>5.3088083333333334</v>
      </c>
      <c r="D1098" s="26">
        <f t="shared" si="27"/>
        <v>5.3100916666666675</v>
      </c>
      <c r="E1098" s="26">
        <f t="shared" si="27"/>
        <v>6.6098166666666671</v>
      </c>
      <c r="F1098" s="26">
        <f t="shared" si="27"/>
        <v>6.6098166666666671</v>
      </c>
      <c r="G1098" s="26">
        <f t="shared" si="27"/>
        <v>6.6141166666666669</v>
      </c>
      <c r="H1098" s="26">
        <f t="shared" si="27"/>
        <v>11.008291666666667</v>
      </c>
      <c r="I1098" s="26">
        <f t="shared" si="27"/>
        <v>11.012616666666666</v>
      </c>
      <c r="J1098" s="26">
        <f t="shared" si="27"/>
        <v>11.008291666666667</v>
      </c>
      <c r="K1098" s="26">
        <f t="shared" si="27"/>
        <v>11.012616666666666</v>
      </c>
      <c r="L1098" s="26">
        <f t="shared" si="27"/>
        <v>6.6098166666666671</v>
      </c>
      <c r="M1098" s="26">
        <f t="shared" si="27"/>
        <v>6.6141166666666669</v>
      </c>
      <c r="N1098" s="26">
        <f t="shared" si="27"/>
        <v>6.6098166666666671</v>
      </c>
      <c r="O1098" s="26">
        <f t="shared" si="27"/>
        <v>6.6141166666666669</v>
      </c>
    </row>
    <row r="1099" spans="1:15" ht="15" x14ac:dyDescent="0.2">
      <c r="A1099" s="11">
        <v>2041</v>
      </c>
      <c r="B1099" s="26">
        <f t="shared" ref="B1099:O1099" si="28">AVERAGE(B350:B361)</f>
        <v>5.4292249999999989</v>
      </c>
      <c r="C1099" s="26">
        <f t="shared" si="28"/>
        <v>5.4292249999999989</v>
      </c>
      <c r="D1099" s="26">
        <f t="shared" si="28"/>
        <v>5.430483333333334</v>
      </c>
      <c r="E1099" s="26">
        <f t="shared" si="28"/>
        <v>6.6440333333333328</v>
      </c>
      <c r="F1099" s="26">
        <f t="shared" si="28"/>
        <v>6.6440333333333328</v>
      </c>
      <c r="G1099" s="26">
        <f t="shared" si="28"/>
        <v>6.6483583333333343</v>
      </c>
      <c r="H1099" s="26">
        <f t="shared" si="28"/>
        <v>11.286683333333334</v>
      </c>
      <c r="I1099" s="26">
        <f t="shared" si="28"/>
        <v>11.291000000000002</v>
      </c>
      <c r="J1099" s="26">
        <f t="shared" si="28"/>
        <v>11.286683333333334</v>
      </c>
      <c r="K1099" s="26">
        <f t="shared" si="28"/>
        <v>11.291000000000002</v>
      </c>
      <c r="L1099" s="26">
        <f t="shared" si="28"/>
        <v>6.6440333333333328</v>
      </c>
      <c r="M1099" s="26">
        <f t="shared" si="28"/>
        <v>6.6483583333333343</v>
      </c>
      <c r="N1099" s="26">
        <f t="shared" si="28"/>
        <v>6.6440333333333328</v>
      </c>
      <c r="O1099" s="26">
        <f t="shared" si="28"/>
        <v>6.6483583333333343</v>
      </c>
    </row>
    <row r="1100" spans="1:15" ht="15" x14ac:dyDescent="0.2">
      <c r="A1100" s="11">
        <v>2042</v>
      </c>
      <c r="B1100" s="26">
        <f t="shared" ref="B1100:O1100" si="29">AVERAGE(B362:B373)</f>
        <v>5.5523500000000006</v>
      </c>
      <c r="C1100" s="26">
        <f t="shared" si="29"/>
        <v>5.5523500000000006</v>
      </c>
      <c r="D1100" s="26">
        <f t="shared" si="29"/>
        <v>5.5536416666666675</v>
      </c>
      <c r="E1100" s="26">
        <f t="shared" si="29"/>
        <v>6.6822333333333335</v>
      </c>
      <c r="F1100" s="26">
        <f t="shared" si="29"/>
        <v>6.6822333333333335</v>
      </c>
      <c r="G1100" s="26">
        <f t="shared" si="29"/>
        <v>6.6865499999999995</v>
      </c>
      <c r="H1100" s="26">
        <f t="shared" si="29"/>
        <v>11.572108333333334</v>
      </c>
      <c r="I1100" s="26">
        <f t="shared" si="29"/>
        <v>11.576424999999999</v>
      </c>
      <c r="J1100" s="26">
        <f t="shared" si="29"/>
        <v>11.572108333333334</v>
      </c>
      <c r="K1100" s="26">
        <f t="shared" si="29"/>
        <v>11.576424999999999</v>
      </c>
      <c r="L1100" s="26">
        <f t="shared" si="29"/>
        <v>6.6822333333333335</v>
      </c>
      <c r="M1100" s="26">
        <f t="shared" si="29"/>
        <v>6.6865499999999995</v>
      </c>
      <c r="N1100" s="26">
        <f t="shared" si="29"/>
        <v>6.6822333333333335</v>
      </c>
      <c r="O1100" s="26">
        <f t="shared" si="29"/>
        <v>6.6865499999999995</v>
      </c>
    </row>
    <row r="1101" spans="1:15" ht="15" x14ac:dyDescent="0.2">
      <c r="A1101" s="11">
        <v>2043</v>
      </c>
      <c r="B1101" s="26">
        <f t="shared" ref="B1101:O1101" si="30">AVERAGE(B374:B385)</f>
        <v>5.6783000000000001</v>
      </c>
      <c r="C1101" s="26">
        <f t="shared" si="30"/>
        <v>5.6783000000000001</v>
      </c>
      <c r="D1101" s="26">
        <f t="shared" si="30"/>
        <v>5.6795749999999998</v>
      </c>
      <c r="E1101" s="26">
        <f t="shared" si="30"/>
        <v>6.72445</v>
      </c>
      <c r="F1101" s="26">
        <f t="shared" si="30"/>
        <v>6.72445</v>
      </c>
      <c r="G1101" s="26">
        <f t="shared" si="30"/>
        <v>6.7287666666666661</v>
      </c>
      <c r="H1101" s="26">
        <f t="shared" si="30"/>
        <v>11.864750000000001</v>
      </c>
      <c r="I1101" s="26">
        <f t="shared" si="30"/>
        <v>11.869066666666669</v>
      </c>
      <c r="J1101" s="26">
        <f t="shared" si="30"/>
        <v>11.864750000000001</v>
      </c>
      <c r="K1101" s="26">
        <f t="shared" si="30"/>
        <v>11.869066666666669</v>
      </c>
      <c r="L1101" s="26">
        <f t="shared" si="30"/>
        <v>6.72445</v>
      </c>
      <c r="M1101" s="26">
        <f t="shared" si="30"/>
        <v>6.7287666666666661</v>
      </c>
      <c r="N1101" s="26">
        <f t="shared" si="30"/>
        <v>6.72445</v>
      </c>
      <c r="O1101" s="26">
        <f t="shared" si="30"/>
        <v>6.7287666666666661</v>
      </c>
    </row>
    <row r="1102" spans="1:15" ht="15" x14ac:dyDescent="0.2">
      <c r="A1102" s="11">
        <v>2044</v>
      </c>
      <c r="B1102" s="26">
        <f t="shared" ref="B1102:O1102" si="31">AVERAGE(B386:B397)</f>
        <v>5.807083333333332</v>
      </c>
      <c r="C1102" s="26">
        <f t="shared" si="31"/>
        <v>5.807083333333332</v>
      </c>
      <c r="D1102" s="26">
        <f t="shared" si="31"/>
        <v>5.8083583333333335</v>
      </c>
      <c r="E1102" s="26">
        <f t="shared" si="31"/>
        <v>6.774516666666667</v>
      </c>
      <c r="F1102" s="26">
        <f t="shared" si="31"/>
        <v>6.774516666666667</v>
      </c>
      <c r="G1102" s="26">
        <f t="shared" si="31"/>
        <v>6.7788249999999985</v>
      </c>
      <c r="H1102" s="26">
        <f t="shared" si="31"/>
        <v>12.164783333333332</v>
      </c>
      <c r="I1102" s="26">
        <f t="shared" si="31"/>
        <v>12.169108333333334</v>
      </c>
      <c r="J1102" s="26">
        <f t="shared" si="31"/>
        <v>12.164783333333332</v>
      </c>
      <c r="K1102" s="26">
        <f t="shared" si="31"/>
        <v>12.169108333333334</v>
      </c>
      <c r="L1102" s="26">
        <f t="shared" si="31"/>
        <v>6.774516666666667</v>
      </c>
      <c r="M1102" s="26">
        <f t="shared" si="31"/>
        <v>6.7788249999999985</v>
      </c>
      <c r="N1102" s="26">
        <f t="shared" si="31"/>
        <v>6.774516666666667</v>
      </c>
      <c r="O1102" s="26">
        <f t="shared" si="31"/>
        <v>6.7788249999999985</v>
      </c>
    </row>
    <row r="1103" spans="1:15" ht="15" x14ac:dyDescent="0.2">
      <c r="A1103" s="11">
        <v>2045</v>
      </c>
      <c r="B1103" s="26">
        <f t="shared" ref="B1103:O1103" si="32">AVERAGE(B398:B409)</f>
        <v>5.9387999999999996</v>
      </c>
      <c r="C1103" s="26">
        <f t="shared" si="32"/>
        <v>5.9387999999999996</v>
      </c>
      <c r="D1103" s="26">
        <f t="shared" si="32"/>
        <v>5.9400916666666665</v>
      </c>
      <c r="E1103" s="26">
        <f t="shared" si="32"/>
        <v>6.8389249999999997</v>
      </c>
      <c r="F1103" s="26">
        <f t="shared" si="32"/>
        <v>6.8389249999999997</v>
      </c>
      <c r="G1103" s="26">
        <f t="shared" si="32"/>
        <v>6.8432416666666676</v>
      </c>
      <c r="H1103" s="26">
        <f t="shared" si="32"/>
        <v>12.472433333333333</v>
      </c>
      <c r="I1103" s="26">
        <f t="shared" si="32"/>
        <v>12.476750000000001</v>
      </c>
      <c r="J1103" s="26">
        <f t="shared" si="32"/>
        <v>12.472433333333333</v>
      </c>
      <c r="K1103" s="26">
        <f t="shared" si="32"/>
        <v>12.476750000000001</v>
      </c>
      <c r="L1103" s="26">
        <f t="shared" si="32"/>
        <v>6.8389249999999997</v>
      </c>
      <c r="M1103" s="26">
        <f t="shared" si="32"/>
        <v>6.8432416666666676</v>
      </c>
      <c r="N1103" s="26">
        <f t="shared" si="32"/>
        <v>6.8389249999999997</v>
      </c>
      <c r="O1103" s="26">
        <f t="shared" si="32"/>
        <v>6.8432416666666676</v>
      </c>
    </row>
    <row r="1104" spans="1:15" ht="15" x14ac:dyDescent="0.2">
      <c r="A1104" s="11">
        <v>2046</v>
      </c>
      <c r="B1104" s="26">
        <f t="shared" ref="B1104:O1104" si="33">AVERAGE(B410:B421)</f>
        <v>6.073525000000001</v>
      </c>
      <c r="C1104" s="26">
        <f t="shared" si="33"/>
        <v>6.073525000000001</v>
      </c>
      <c r="D1104" s="26">
        <f t="shared" si="33"/>
        <v>6.0748083333333343</v>
      </c>
      <c r="E1104" s="26">
        <f t="shared" si="33"/>
        <v>6.9243500000000004</v>
      </c>
      <c r="F1104" s="26">
        <f t="shared" si="33"/>
        <v>6.9243500000000004</v>
      </c>
      <c r="G1104" s="26">
        <f t="shared" si="33"/>
        <v>6.9286583333333338</v>
      </c>
      <c r="H1104" s="26">
        <f t="shared" si="33"/>
        <v>12.787824999999998</v>
      </c>
      <c r="I1104" s="26">
        <f t="shared" si="33"/>
        <v>12.792141666666668</v>
      </c>
      <c r="J1104" s="26">
        <f t="shared" si="33"/>
        <v>12.787824999999998</v>
      </c>
      <c r="K1104" s="26">
        <f t="shared" si="33"/>
        <v>12.792141666666668</v>
      </c>
      <c r="L1104" s="26">
        <f t="shared" si="33"/>
        <v>6.9243500000000004</v>
      </c>
      <c r="M1104" s="26">
        <f t="shared" si="33"/>
        <v>6.9286583333333338</v>
      </c>
      <c r="N1104" s="26">
        <f t="shared" si="33"/>
        <v>6.9243500000000004</v>
      </c>
      <c r="O1104" s="26">
        <f t="shared" si="33"/>
        <v>6.9286583333333338</v>
      </c>
    </row>
    <row r="1105" spans="1:15" ht="15" x14ac:dyDescent="0.2">
      <c r="A1105" s="11">
        <v>2047</v>
      </c>
      <c r="B1105" s="26">
        <f t="shared" ref="B1105:O1105" si="34">AVERAGE(B422:B433)</f>
        <v>6.2112833333333333</v>
      </c>
      <c r="C1105" s="26">
        <f t="shared" si="34"/>
        <v>6.2112833333333333</v>
      </c>
      <c r="D1105" s="26">
        <f t="shared" si="34"/>
        <v>6.2125750000000011</v>
      </c>
      <c r="E1105" s="26">
        <f t="shared" si="34"/>
        <v>7.0300916666666664</v>
      </c>
      <c r="F1105" s="26">
        <f t="shared" si="34"/>
        <v>7.0300916666666664</v>
      </c>
      <c r="G1105" s="26">
        <f t="shared" si="34"/>
        <v>7.0343999999999989</v>
      </c>
      <c r="H1105" s="26">
        <f t="shared" si="34"/>
        <v>13.111208333333332</v>
      </c>
      <c r="I1105" s="26">
        <f t="shared" si="34"/>
        <v>13.115533333333333</v>
      </c>
      <c r="J1105" s="26">
        <f t="shared" si="34"/>
        <v>13.111208333333332</v>
      </c>
      <c r="K1105" s="26">
        <f t="shared" si="34"/>
        <v>13.115533333333333</v>
      </c>
      <c r="L1105" s="26">
        <f t="shared" si="34"/>
        <v>7.0300916666666664</v>
      </c>
      <c r="M1105" s="26">
        <f t="shared" si="34"/>
        <v>7.0343999999999989</v>
      </c>
      <c r="N1105" s="26">
        <f t="shared" si="34"/>
        <v>7.0300916666666664</v>
      </c>
      <c r="O1105" s="26">
        <f t="shared" si="34"/>
        <v>7.0343999999999989</v>
      </c>
    </row>
    <row r="1106" spans="1:15" ht="15" x14ac:dyDescent="0.2">
      <c r="A1106" s="11">
        <v>2048</v>
      </c>
      <c r="B1106" s="26">
        <f t="shared" ref="B1106:O1106" si="35">AVERAGE(B434:B445)</f>
        <v>6.3522166666666671</v>
      </c>
      <c r="C1106" s="26">
        <f t="shared" si="35"/>
        <v>6.3522166666666671</v>
      </c>
      <c r="D1106" s="26">
        <f t="shared" si="35"/>
        <v>6.3534666666666668</v>
      </c>
      <c r="E1106" s="26">
        <f t="shared" si="35"/>
        <v>7.1572916666666666</v>
      </c>
      <c r="F1106" s="26">
        <f t="shared" si="35"/>
        <v>7.1572916666666666</v>
      </c>
      <c r="G1106" s="26">
        <f t="shared" si="35"/>
        <v>7.1615916666666672</v>
      </c>
      <c r="H1106" s="26">
        <f t="shared" si="35"/>
        <v>13.442783333333333</v>
      </c>
      <c r="I1106" s="26">
        <f t="shared" si="35"/>
        <v>13.447083333333332</v>
      </c>
      <c r="J1106" s="26">
        <f t="shared" si="35"/>
        <v>13.442783333333333</v>
      </c>
      <c r="K1106" s="26">
        <f t="shared" si="35"/>
        <v>13.447083333333332</v>
      </c>
      <c r="L1106" s="26">
        <f t="shared" si="35"/>
        <v>7.1572916666666666</v>
      </c>
      <c r="M1106" s="26">
        <f t="shared" si="35"/>
        <v>7.1615916666666672</v>
      </c>
      <c r="N1106" s="26">
        <f t="shared" si="35"/>
        <v>7.1572916666666666</v>
      </c>
      <c r="O1106" s="26">
        <f t="shared" si="35"/>
        <v>7.1615916666666672</v>
      </c>
    </row>
    <row r="1107" spans="1:15" ht="15" x14ac:dyDescent="0.2">
      <c r="A1107" s="11">
        <v>2049</v>
      </c>
      <c r="B1107" s="26">
        <f t="shared" ref="B1107:O1107" si="36">AVERAGE(B446:B457)</f>
        <v>6.4963166666666652</v>
      </c>
      <c r="C1107" s="26">
        <f t="shared" si="36"/>
        <v>6.4963166666666652</v>
      </c>
      <c r="D1107" s="26">
        <f t="shared" si="36"/>
        <v>6.4976000000000012</v>
      </c>
      <c r="E1107" s="26">
        <f t="shared" si="36"/>
        <v>7.3044833333333328</v>
      </c>
      <c r="F1107" s="26">
        <f t="shared" si="36"/>
        <v>7.3044833333333328</v>
      </c>
      <c r="G1107" s="26">
        <f t="shared" si="36"/>
        <v>7.3087833333333334</v>
      </c>
      <c r="H1107" s="26">
        <f t="shared" si="36"/>
        <v>13.782716666666667</v>
      </c>
      <c r="I1107" s="26">
        <f t="shared" si="36"/>
        <v>13.787050000000001</v>
      </c>
      <c r="J1107" s="26">
        <f t="shared" si="36"/>
        <v>13.782716666666667</v>
      </c>
      <c r="K1107" s="26">
        <f t="shared" si="36"/>
        <v>13.787050000000001</v>
      </c>
      <c r="L1107" s="26">
        <f t="shared" si="36"/>
        <v>7.3044833333333328</v>
      </c>
      <c r="M1107" s="26">
        <f t="shared" si="36"/>
        <v>7.3087833333333334</v>
      </c>
      <c r="N1107" s="26">
        <f t="shared" si="36"/>
        <v>7.3044833333333328</v>
      </c>
      <c r="O1107" s="26">
        <f t="shared" si="36"/>
        <v>7.3087833333333334</v>
      </c>
    </row>
    <row r="1108" spans="1:15" ht="15" x14ac:dyDescent="0.2">
      <c r="A1108" s="11">
        <v>2050</v>
      </c>
      <c r="B1108" s="26">
        <f t="shared" ref="B1108:O1108" si="37">AVERAGE(B458:B469)</f>
        <v>6.6436749999999982</v>
      </c>
      <c r="C1108" s="26">
        <f t="shared" si="37"/>
        <v>6.6436749999999982</v>
      </c>
      <c r="D1108" s="26">
        <f t="shared" si="37"/>
        <v>6.6449666666666678</v>
      </c>
      <c r="E1108" s="26">
        <f t="shared" si="37"/>
        <v>7.4640833333333338</v>
      </c>
      <c r="F1108" s="26">
        <f t="shared" si="37"/>
        <v>7.4640833333333338</v>
      </c>
      <c r="G1108" s="26">
        <f t="shared" si="37"/>
        <v>7.4683916666666663</v>
      </c>
      <c r="H1108" s="26">
        <f t="shared" si="37"/>
        <v>14.131275</v>
      </c>
      <c r="I1108" s="26">
        <f t="shared" si="37"/>
        <v>14.13559166666667</v>
      </c>
      <c r="J1108" s="26">
        <f t="shared" si="37"/>
        <v>14.131275</v>
      </c>
      <c r="K1108" s="26">
        <f t="shared" si="37"/>
        <v>14.13559166666667</v>
      </c>
      <c r="L1108" s="26">
        <f t="shared" si="37"/>
        <v>7.4640833333333338</v>
      </c>
      <c r="M1108" s="26">
        <f t="shared" si="37"/>
        <v>7.4683916666666663</v>
      </c>
      <c r="N1108" s="26">
        <f t="shared" si="37"/>
        <v>7.4640833333333338</v>
      </c>
      <c r="O1108" s="26">
        <f t="shared" si="37"/>
        <v>7.4683916666666663</v>
      </c>
    </row>
    <row r="1109" spans="1:15" ht="15" x14ac:dyDescent="0.2">
      <c r="A1109" s="11">
        <v>2051</v>
      </c>
      <c r="B1109" s="26">
        <f t="shared" ref="B1109:O1109" si="38">AVERAGE(B470:B481)</f>
        <v>6.7943916666666659</v>
      </c>
      <c r="C1109" s="26">
        <f t="shared" si="38"/>
        <v>6.7943916666666659</v>
      </c>
      <c r="D1109" s="26">
        <f t="shared" si="38"/>
        <v>6.7957000000000001</v>
      </c>
      <c r="E1109" s="26">
        <f t="shared" si="38"/>
        <v>7.627958333333333</v>
      </c>
      <c r="F1109" s="26">
        <f t="shared" si="38"/>
        <v>7.627958333333333</v>
      </c>
      <c r="G1109" s="26">
        <f t="shared" si="38"/>
        <v>7.6322916666666671</v>
      </c>
      <c r="H1109" s="26">
        <f t="shared" si="38"/>
        <v>14.488633333333333</v>
      </c>
      <c r="I1109" s="26">
        <f t="shared" si="38"/>
        <v>14.492941666666667</v>
      </c>
      <c r="J1109" s="26">
        <f t="shared" si="38"/>
        <v>14.488633333333333</v>
      </c>
      <c r="K1109" s="26">
        <f t="shared" si="38"/>
        <v>14.492941666666667</v>
      </c>
      <c r="L1109" s="26">
        <f t="shared" si="38"/>
        <v>7.627958333333333</v>
      </c>
      <c r="M1109" s="26">
        <f t="shared" si="38"/>
        <v>7.6322916666666671</v>
      </c>
      <c r="N1109" s="26">
        <f t="shared" si="38"/>
        <v>7.627958333333333</v>
      </c>
      <c r="O1109" s="26">
        <f t="shared" si="38"/>
        <v>7.6322916666666671</v>
      </c>
    </row>
    <row r="1110" spans="1:15" ht="15" x14ac:dyDescent="0.2">
      <c r="A1110" s="11">
        <v>2052</v>
      </c>
      <c r="B1110" s="26">
        <f t="shared" ref="B1110:O1110" si="39">AVERAGE(B482:B493)</f>
        <v>6.9485583333333336</v>
      </c>
      <c r="C1110" s="26">
        <f t="shared" si="39"/>
        <v>6.9485583333333336</v>
      </c>
      <c r="D1110" s="26">
        <f t="shared" si="39"/>
        <v>6.9498499999999988</v>
      </c>
      <c r="E1110" s="26">
        <f t="shared" si="39"/>
        <v>7.7962999999999996</v>
      </c>
      <c r="F1110" s="26">
        <f t="shared" si="39"/>
        <v>7.7962999999999996</v>
      </c>
      <c r="G1110" s="26">
        <f t="shared" si="39"/>
        <v>7.8006083333333338</v>
      </c>
      <c r="H1110" s="26">
        <f t="shared" si="39"/>
        <v>14.855016666666669</v>
      </c>
      <c r="I1110" s="26">
        <f t="shared" si="39"/>
        <v>14.859341666666667</v>
      </c>
      <c r="J1110" s="26">
        <f t="shared" si="39"/>
        <v>14.855016666666669</v>
      </c>
      <c r="K1110" s="26">
        <f t="shared" si="39"/>
        <v>14.859341666666667</v>
      </c>
      <c r="L1110" s="26">
        <f t="shared" si="39"/>
        <v>7.7962999999999996</v>
      </c>
      <c r="M1110" s="26">
        <f t="shared" si="39"/>
        <v>7.8006083333333338</v>
      </c>
      <c r="N1110" s="26">
        <f t="shared" si="39"/>
        <v>7.7962999999999996</v>
      </c>
      <c r="O1110" s="26">
        <f t="shared" si="39"/>
        <v>7.8006083333333338</v>
      </c>
    </row>
    <row r="1111" spans="1:15" ht="15" x14ac:dyDescent="0.2">
      <c r="A1111" s="11">
        <v>2053</v>
      </c>
      <c r="B1111" s="26">
        <f t="shared" ref="B1111:O1111" si="40">AVERAGE(B494:B505)</f>
        <v>7.1062166666666675</v>
      </c>
      <c r="C1111" s="26">
        <f t="shared" si="40"/>
        <v>7.1062166666666675</v>
      </c>
      <c r="D1111" s="26">
        <f t="shared" si="40"/>
        <v>7.1075000000000008</v>
      </c>
      <c r="E1111" s="26">
        <f t="shared" si="40"/>
        <v>7.9691916666666662</v>
      </c>
      <c r="F1111" s="26">
        <f t="shared" si="40"/>
        <v>7.9691916666666662</v>
      </c>
      <c r="G1111" s="26">
        <f t="shared" si="40"/>
        <v>7.9735166666666659</v>
      </c>
      <c r="H1111" s="26">
        <f t="shared" si="40"/>
        <v>15.230683333333333</v>
      </c>
      <c r="I1111" s="26">
        <f t="shared" si="40"/>
        <v>15.234991666666668</v>
      </c>
      <c r="J1111" s="26">
        <f t="shared" si="40"/>
        <v>15.230683333333333</v>
      </c>
      <c r="K1111" s="26">
        <f t="shared" si="40"/>
        <v>15.234991666666668</v>
      </c>
      <c r="L1111" s="26">
        <f t="shared" si="40"/>
        <v>7.9691916666666662</v>
      </c>
      <c r="M1111" s="26">
        <f t="shared" si="40"/>
        <v>7.9735166666666659</v>
      </c>
      <c r="N1111" s="26">
        <f t="shared" si="40"/>
        <v>7.9691916666666662</v>
      </c>
      <c r="O1111" s="26">
        <f t="shared" si="40"/>
        <v>7.9735166666666659</v>
      </c>
    </row>
    <row r="1112" spans="1:15" ht="15" x14ac:dyDescent="0.2">
      <c r="A1112" s="11">
        <v>2054</v>
      </c>
      <c r="B1112" s="26">
        <f t="shared" ref="B1112:O1112" si="41">AVERAGE(B506:B517)</f>
        <v>7.2674666666666674</v>
      </c>
      <c r="C1112" s="26">
        <f t="shared" si="41"/>
        <v>7.2674666666666674</v>
      </c>
      <c r="D1112" s="26">
        <f t="shared" si="41"/>
        <v>7.2687416666666671</v>
      </c>
      <c r="E1112" s="26">
        <f t="shared" si="41"/>
        <v>8.1467749999999999</v>
      </c>
      <c r="F1112" s="26">
        <f t="shared" si="41"/>
        <v>8.1467749999999999</v>
      </c>
      <c r="G1112" s="26">
        <f t="shared" si="41"/>
        <v>8.151091666666666</v>
      </c>
      <c r="H1112" s="26">
        <f t="shared" si="41"/>
        <v>15.615849999999996</v>
      </c>
      <c r="I1112" s="26">
        <f t="shared" si="41"/>
        <v>15.620158333333334</v>
      </c>
      <c r="J1112" s="26">
        <f t="shared" si="41"/>
        <v>15.615849999999996</v>
      </c>
      <c r="K1112" s="26">
        <f t="shared" si="41"/>
        <v>15.620158333333334</v>
      </c>
      <c r="L1112" s="26">
        <f t="shared" si="41"/>
        <v>8.1467749999999999</v>
      </c>
      <c r="M1112" s="26">
        <f t="shared" si="41"/>
        <v>8.151091666666666</v>
      </c>
      <c r="N1112" s="26">
        <f t="shared" si="41"/>
        <v>8.1467749999999999</v>
      </c>
      <c r="O1112" s="26">
        <f t="shared" si="41"/>
        <v>8.151091666666666</v>
      </c>
    </row>
    <row r="1113" spans="1:15" ht="15" x14ac:dyDescent="0.2">
      <c r="A1113" s="11">
        <v>2055</v>
      </c>
      <c r="B1113" s="26">
        <f t="shared" ref="B1113:O1113" si="42">AVERAGE(B18:B529)</f>
        <v>4.7923289062500007</v>
      </c>
      <c r="C1113" s="26">
        <f t="shared" si="42"/>
        <v>4.7910062500000006</v>
      </c>
      <c r="D1113" s="26">
        <f t="shared" si="42"/>
        <v>4.7941232421875002</v>
      </c>
      <c r="E1113" s="26">
        <f t="shared" si="42"/>
        <v>5.8382347656249998</v>
      </c>
      <c r="F1113" s="26">
        <f t="shared" si="42"/>
        <v>5.8204392578124997</v>
      </c>
      <c r="G1113" s="26">
        <f t="shared" si="42"/>
        <v>5.825210937500005</v>
      </c>
      <c r="H1113" s="26">
        <f t="shared" si="42"/>
        <v>9.9732779296874963</v>
      </c>
      <c r="I1113" s="26">
        <f t="shared" si="42"/>
        <v>9.9780501953125</v>
      </c>
      <c r="J1113" s="26">
        <f t="shared" si="42"/>
        <v>9.9732779296874963</v>
      </c>
      <c r="K1113" s="26">
        <f t="shared" si="42"/>
        <v>9.9780501953125</v>
      </c>
      <c r="L1113" s="26">
        <f t="shared" si="42"/>
        <v>5.8382347656249998</v>
      </c>
      <c r="M1113" s="26">
        <f t="shared" si="42"/>
        <v>5.843004687500005</v>
      </c>
      <c r="N1113" s="26">
        <f t="shared" si="42"/>
        <v>5.8382347656249998</v>
      </c>
      <c r="O1113" s="26">
        <f t="shared" si="42"/>
        <v>5.843004687500005</v>
      </c>
    </row>
    <row r="1114" spans="1:15" ht="15" x14ac:dyDescent="0.2">
      <c r="A1114" s="11">
        <v>2056</v>
      </c>
      <c r="B1114" s="26">
        <f t="shared" ref="B1114:O1114" si="43">AVERAGE(B530:B541)</f>
        <v>7.6010166666666663</v>
      </c>
      <c r="C1114" s="26">
        <f t="shared" si="43"/>
        <v>7.6010166666666663</v>
      </c>
      <c r="D1114" s="26">
        <f t="shared" si="43"/>
        <v>7.6022833333333333</v>
      </c>
      <c r="E1114" s="26">
        <f t="shared" si="43"/>
        <v>8.5165749999999996</v>
      </c>
      <c r="F1114" s="26">
        <f t="shared" si="43"/>
        <v>8.5165749999999996</v>
      </c>
      <c r="G1114" s="26">
        <f t="shared" si="43"/>
        <v>8.5208916666666674</v>
      </c>
      <c r="H1114" s="26">
        <f t="shared" si="43"/>
        <v>16.415625000000002</v>
      </c>
      <c r="I1114" s="26">
        <f t="shared" si="43"/>
        <v>16.419933333333333</v>
      </c>
      <c r="J1114" s="26">
        <f t="shared" si="43"/>
        <v>16.415625000000002</v>
      </c>
      <c r="K1114" s="26">
        <f t="shared" si="43"/>
        <v>16.419933333333333</v>
      </c>
      <c r="L1114" s="26">
        <f t="shared" si="43"/>
        <v>8.5165749999999996</v>
      </c>
      <c r="M1114" s="26">
        <f t="shared" si="43"/>
        <v>8.5208916666666674</v>
      </c>
      <c r="N1114" s="26">
        <f t="shared" si="43"/>
        <v>8.5165749999999996</v>
      </c>
      <c r="O1114" s="26">
        <f t="shared" si="43"/>
        <v>8.5208916666666674</v>
      </c>
    </row>
    <row r="1115" spans="1:15" ht="15" x14ac:dyDescent="0.2">
      <c r="A1115" s="11">
        <v>2057</v>
      </c>
      <c r="B1115" s="26">
        <f t="shared" ref="B1115:O1115" si="44">AVERAGE(B542:B553)</f>
        <v>7.7734750000000012</v>
      </c>
      <c r="C1115" s="26">
        <f t="shared" si="44"/>
        <v>7.7734750000000012</v>
      </c>
      <c r="D1115" s="26">
        <f t="shared" si="44"/>
        <v>7.7747666666666655</v>
      </c>
      <c r="E1115" s="26">
        <f t="shared" si="44"/>
        <v>8.7090916666666676</v>
      </c>
      <c r="F1115" s="26">
        <f t="shared" si="44"/>
        <v>8.7090916666666676</v>
      </c>
      <c r="G1115" s="26">
        <f t="shared" si="44"/>
        <v>8.7134166666666655</v>
      </c>
      <c r="H1115" s="26">
        <f t="shared" si="44"/>
        <v>16.830758333333332</v>
      </c>
      <c r="I1115" s="26">
        <f t="shared" si="44"/>
        <v>16.835075</v>
      </c>
      <c r="J1115" s="26">
        <f t="shared" si="44"/>
        <v>16.830758333333332</v>
      </c>
      <c r="K1115" s="26">
        <f t="shared" si="44"/>
        <v>16.835075</v>
      </c>
      <c r="L1115" s="26">
        <f t="shared" si="44"/>
        <v>8.7090916666666676</v>
      </c>
      <c r="M1115" s="26">
        <f t="shared" si="44"/>
        <v>8.7134166666666655</v>
      </c>
      <c r="N1115" s="26">
        <f t="shared" si="44"/>
        <v>8.7090916666666676</v>
      </c>
      <c r="O1115" s="26">
        <f t="shared" si="44"/>
        <v>8.7134166666666655</v>
      </c>
    </row>
    <row r="1116" spans="1:15" ht="15" x14ac:dyDescent="0.2">
      <c r="A1116" s="11">
        <v>2058</v>
      </c>
      <c r="B1116" s="26">
        <f t="shared" ref="B1116:O1116" si="45">AVERAGE(B554:B565)</f>
        <v>7.9498749999999996</v>
      </c>
      <c r="C1116" s="26">
        <f t="shared" si="45"/>
        <v>7.9498749999999996</v>
      </c>
      <c r="D1116" s="26">
        <f t="shared" si="45"/>
        <v>7.9511750000000019</v>
      </c>
      <c r="E1116" s="26">
        <f t="shared" si="45"/>
        <v>8.9068749999999994</v>
      </c>
      <c r="F1116" s="26">
        <f t="shared" si="45"/>
        <v>8.9068749999999994</v>
      </c>
      <c r="G1116" s="26">
        <f t="shared" si="45"/>
        <v>8.9111916666666673</v>
      </c>
      <c r="H1116" s="26">
        <f t="shared" si="45"/>
        <v>17.256391666666669</v>
      </c>
      <c r="I1116" s="26">
        <f t="shared" si="45"/>
        <v>17.260691666666666</v>
      </c>
      <c r="J1116" s="26">
        <f t="shared" si="45"/>
        <v>17.256391666666669</v>
      </c>
      <c r="K1116" s="26">
        <f t="shared" si="45"/>
        <v>17.260691666666666</v>
      </c>
      <c r="L1116" s="26">
        <f t="shared" si="45"/>
        <v>8.9068749999999994</v>
      </c>
      <c r="M1116" s="26">
        <f t="shared" si="45"/>
        <v>8.9111916666666673</v>
      </c>
      <c r="N1116" s="26">
        <f t="shared" si="45"/>
        <v>8.9068749999999994</v>
      </c>
      <c r="O1116" s="26">
        <f t="shared" si="45"/>
        <v>8.9111916666666673</v>
      </c>
    </row>
    <row r="1117" spans="1:15" ht="15" x14ac:dyDescent="0.2">
      <c r="A1117" s="11">
        <v>2059</v>
      </c>
      <c r="B1117" s="26">
        <f t="shared" ref="B1117:O1117" si="46">AVERAGE(B566:B577)</f>
        <v>8.1302916666666665</v>
      </c>
      <c r="C1117" s="26">
        <f t="shared" si="46"/>
        <v>8.1302916666666665</v>
      </c>
      <c r="D1117" s="26">
        <f t="shared" si="46"/>
        <v>8.1315833333333334</v>
      </c>
      <c r="E1117" s="26">
        <f t="shared" si="46"/>
        <v>9.1100750000000001</v>
      </c>
      <c r="F1117" s="26">
        <f t="shared" si="46"/>
        <v>9.1100750000000001</v>
      </c>
      <c r="G1117" s="26">
        <f t="shared" si="46"/>
        <v>9.1143999999999981</v>
      </c>
      <c r="H1117" s="26">
        <f t="shared" si="46"/>
        <v>17.692775000000001</v>
      </c>
      <c r="I1117" s="26">
        <f t="shared" si="46"/>
        <v>17.697083333333335</v>
      </c>
      <c r="J1117" s="26">
        <f t="shared" si="46"/>
        <v>17.692775000000001</v>
      </c>
      <c r="K1117" s="26">
        <f t="shared" si="46"/>
        <v>17.697083333333335</v>
      </c>
      <c r="L1117" s="26">
        <f t="shared" si="46"/>
        <v>9.1100750000000001</v>
      </c>
      <c r="M1117" s="26">
        <f t="shared" si="46"/>
        <v>9.1143999999999981</v>
      </c>
      <c r="N1117" s="26">
        <f t="shared" si="46"/>
        <v>9.1100750000000001</v>
      </c>
      <c r="O1117" s="26">
        <f t="shared" si="46"/>
        <v>9.1143999999999981</v>
      </c>
    </row>
    <row r="1118" spans="1:15" ht="15" x14ac:dyDescent="0.2">
      <c r="A1118" s="11">
        <v>2060</v>
      </c>
      <c r="B1118" s="26">
        <f t="shared" ref="B1118:O1118" si="47">AVERAGE(B578:B589)</f>
        <v>8.3147999999999982</v>
      </c>
      <c r="C1118" s="26">
        <f t="shared" si="47"/>
        <v>8.3147999999999982</v>
      </c>
      <c r="D1118" s="26">
        <f t="shared" si="47"/>
        <v>8.3160749999999997</v>
      </c>
      <c r="E1118" s="26">
        <f t="shared" si="47"/>
        <v>9.3188999999999993</v>
      </c>
      <c r="F1118" s="26">
        <f t="shared" si="47"/>
        <v>9.3188999999999993</v>
      </c>
      <c r="G1118" s="26">
        <f t="shared" si="47"/>
        <v>9.3232000000000017</v>
      </c>
      <c r="H1118" s="26">
        <f t="shared" si="47"/>
        <v>18.14019166666667</v>
      </c>
      <c r="I1118" s="26">
        <f t="shared" si="47"/>
        <v>18.144516666666664</v>
      </c>
      <c r="J1118" s="26">
        <f t="shared" si="47"/>
        <v>18.14019166666667</v>
      </c>
      <c r="K1118" s="26">
        <f t="shared" si="47"/>
        <v>18.144516666666664</v>
      </c>
      <c r="L1118" s="26">
        <f t="shared" si="47"/>
        <v>9.3188999999999993</v>
      </c>
      <c r="M1118" s="26">
        <f t="shared" si="47"/>
        <v>9.3232000000000017</v>
      </c>
      <c r="N1118" s="26">
        <f t="shared" si="47"/>
        <v>9.3188999999999993</v>
      </c>
      <c r="O1118" s="26">
        <f t="shared" si="47"/>
        <v>9.3232000000000017</v>
      </c>
    </row>
    <row r="1119" spans="1:15" ht="15" x14ac:dyDescent="0.2">
      <c r="A1119" s="11">
        <v>2061</v>
      </c>
      <c r="B1119" s="26">
        <f t="shared" ref="B1119:O1119" si="48">AVERAGE(B590:B601)</f>
        <v>8.5034916666666671</v>
      </c>
      <c r="C1119" s="26">
        <f t="shared" si="48"/>
        <v>8.5034916666666671</v>
      </c>
      <c r="D1119" s="26">
        <f t="shared" si="48"/>
        <v>8.5047749999999986</v>
      </c>
      <c r="E1119" s="26">
        <f t="shared" si="48"/>
        <v>9.5334583333333338</v>
      </c>
      <c r="F1119" s="26">
        <f t="shared" si="48"/>
        <v>9.5334583333333338</v>
      </c>
      <c r="G1119" s="26">
        <f t="shared" si="48"/>
        <v>9.5377750000000017</v>
      </c>
      <c r="H1119" s="26">
        <f t="shared" si="48"/>
        <v>18.598933333333335</v>
      </c>
      <c r="I1119" s="26">
        <f t="shared" si="48"/>
        <v>18.603258333333333</v>
      </c>
      <c r="J1119" s="26">
        <f t="shared" si="48"/>
        <v>18.598933333333335</v>
      </c>
      <c r="K1119" s="26">
        <f t="shared" si="48"/>
        <v>18.603258333333333</v>
      </c>
      <c r="L1119" s="26">
        <f t="shared" si="48"/>
        <v>9.5334583333333338</v>
      </c>
      <c r="M1119" s="26">
        <f t="shared" si="48"/>
        <v>9.5377750000000017</v>
      </c>
      <c r="N1119" s="26">
        <f t="shared" si="48"/>
        <v>9.5334583333333338</v>
      </c>
      <c r="O1119" s="26">
        <f t="shared" si="48"/>
        <v>9.5377750000000017</v>
      </c>
    </row>
    <row r="1120" spans="1:15" ht="15" x14ac:dyDescent="0.2">
      <c r="A1120" s="11">
        <v>2062</v>
      </c>
      <c r="B1120" s="26">
        <f t="shared" ref="B1120:O1129" ca="1" si="49">AVERAGE(OFFSET(B$602,($A1120-$A$1120)*12,0,12,1))</f>
        <v>8.6921999999999979</v>
      </c>
      <c r="C1120" s="26">
        <f t="shared" ca="1" si="49"/>
        <v>8.6921999999999979</v>
      </c>
      <c r="D1120" s="26">
        <f t="shared" ca="1" si="49"/>
        <v>8.6934833333333348</v>
      </c>
      <c r="E1120" s="26">
        <f t="shared" ca="1" si="49"/>
        <v>9.7480333333333338</v>
      </c>
      <c r="F1120" s="26">
        <f t="shared" ca="1" si="49"/>
        <v>9.7480333333333338</v>
      </c>
      <c r="G1120" s="26">
        <f t="shared" ca="1" si="49"/>
        <v>9.7523500000000016</v>
      </c>
      <c r="H1120" s="26">
        <f t="shared" ca="1" si="49"/>
        <v>19.057683333333333</v>
      </c>
      <c r="I1120" s="26">
        <f t="shared" ca="1" si="49"/>
        <v>19.061983333333334</v>
      </c>
      <c r="J1120" s="26">
        <f t="shared" ca="1" si="49"/>
        <v>19.057683333333333</v>
      </c>
      <c r="K1120" s="26">
        <f t="shared" ca="1" si="49"/>
        <v>19.061983333333334</v>
      </c>
      <c r="L1120" s="26">
        <f t="shared" ca="1" si="49"/>
        <v>9.7480333333333338</v>
      </c>
      <c r="M1120" s="26">
        <f t="shared" ca="1" si="49"/>
        <v>9.7523500000000016</v>
      </c>
      <c r="N1120" s="26">
        <f t="shared" ca="1" si="49"/>
        <v>9.7480333333333338</v>
      </c>
      <c r="O1120" s="26">
        <f t="shared" ca="1" si="49"/>
        <v>9.7523500000000016</v>
      </c>
    </row>
    <row r="1121" spans="1:15" ht="15" x14ac:dyDescent="0.2">
      <c r="A1121" s="11">
        <v>2063</v>
      </c>
      <c r="B1121" s="26">
        <f t="shared" ca="1" si="49"/>
        <v>8.8809083333333341</v>
      </c>
      <c r="C1121" s="26">
        <f t="shared" ca="1" si="49"/>
        <v>8.8809083333333341</v>
      </c>
      <c r="D1121" s="26">
        <f t="shared" ca="1" si="49"/>
        <v>8.8821999999999992</v>
      </c>
      <c r="E1121" s="26">
        <f t="shared" ca="1" si="49"/>
        <v>9.9625916666666665</v>
      </c>
      <c r="F1121" s="26">
        <f t="shared" ca="1" si="49"/>
        <v>9.9625916666666665</v>
      </c>
      <c r="G1121" s="26">
        <f t="shared" ca="1" si="49"/>
        <v>9.9669083333333344</v>
      </c>
      <c r="H1121" s="26">
        <f t="shared" ca="1" si="49"/>
        <v>19.516408333333331</v>
      </c>
      <c r="I1121" s="26">
        <f t="shared" ca="1" si="49"/>
        <v>19.520716666666665</v>
      </c>
      <c r="J1121" s="26">
        <f t="shared" ca="1" si="49"/>
        <v>19.516408333333331</v>
      </c>
      <c r="K1121" s="26">
        <f t="shared" ca="1" si="49"/>
        <v>19.520716666666665</v>
      </c>
      <c r="L1121" s="26">
        <f t="shared" ca="1" si="49"/>
        <v>9.9625916666666665</v>
      </c>
      <c r="M1121" s="26">
        <f t="shared" ca="1" si="49"/>
        <v>9.9669083333333344</v>
      </c>
      <c r="N1121" s="26">
        <f t="shared" ca="1" si="49"/>
        <v>9.9625916666666665</v>
      </c>
      <c r="O1121" s="26">
        <f t="shared" ca="1" si="49"/>
        <v>9.9669083333333344</v>
      </c>
    </row>
    <row r="1122" spans="1:15" ht="15" x14ac:dyDescent="0.2">
      <c r="A1122" s="11">
        <v>2064</v>
      </c>
      <c r="B1122" s="26">
        <f t="shared" ca="1" si="49"/>
        <v>9.0695916666666658</v>
      </c>
      <c r="C1122" s="26">
        <f t="shared" ca="1" si="49"/>
        <v>9.0695916666666658</v>
      </c>
      <c r="D1122" s="26">
        <f t="shared" ca="1" si="49"/>
        <v>9.0708916666666664</v>
      </c>
      <c r="E1122" s="26">
        <f t="shared" ca="1" si="49"/>
        <v>10.177166666666666</v>
      </c>
      <c r="F1122" s="26">
        <f t="shared" ca="1" si="49"/>
        <v>10.177166666666666</v>
      </c>
      <c r="G1122" s="26">
        <f t="shared" ca="1" si="49"/>
        <v>10.181483333333334</v>
      </c>
      <c r="H1122" s="26">
        <f t="shared" ca="1" si="49"/>
        <v>19.975158333333333</v>
      </c>
      <c r="I1122" s="26">
        <f t="shared" ca="1" si="49"/>
        <v>19.979458333333337</v>
      </c>
      <c r="J1122" s="26">
        <f t="shared" ca="1" si="49"/>
        <v>19.975158333333333</v>
      </c>
      <c r="K1122" s="26">
        <f t="shared" ca="1" si="49"/>
        <v>19.979458333333337</v>
      </c>
      <c r="L1122" s="26">
        <f t="shared" ca="1" si="49"/>
        <v>10.177166666666666</v>
      </c>
      <c r="M1122" s="26">
        <f t="shared" ca="1" si="49"/>
        <v>10.181483333333334</v>
      </c>
      <c r="N1122" s="26">
        <f t="shared" ca="1" si="49"/>
        <v>10.177166666666666</v>
      </c>
      <c r="O1122" s="26">
        <f t="shared" ca="1" si="49"/>
        <v>10.181483333333334</v>
      </c>
    </row>
    <row r="1123" spans="1:15" ht="15" x14ac:dyDescent="0.2">
      <c r="A1123" s="11">
        <v>2065</v>
      </c>
      <c r="B1123" s="26">
        <f t="shared" ca="1" si="49"/>
        <v>9.2583083333333338</v>
      </c>
      <c r="C1123" s="26">
        <f t="shared" ca="1" si="49"/>
        <v>9.2583083333333338</v>
      </c>
      <c r="D1123" s="26">
        <f t="shared" ca="1" si="49"/>
        <v>9.2596000000000007</v>
      </c>
      <c r="E1123" s="26">
        <f t="shared" ca="1" si="49"/>
        <v>10.391724999999999</v>
      </c>
      <c r="F1123" s="26">
        <f t="shared" ca="1" si="49"/>
        <v>10.391724999999999</v>
      </c>
      <c r="G1123" s="26">
        <f t="shared" ca="1" si="49"/>
        <v>10.396033333333333</v>
      </c>
      <c r="H1123" s="26">
        <f t="shared" ca="1" si="49"/>
        <v>20.433874999999997</v>
      </c>
      <c r="I1123" s="26">
        <f t="shared" ca="1" si="49"/>
        <v>20.438191666666665</v>
      </c>
      <c r="J1123" s="26">
        <f t="shared" ca="1" si="49"/>
        <v>20.433874999999997</v>
      </c>
      <c r="K1123" s="26">
        <f t="shared" ca="1" si="49"/>
        <v>20.438191666666665</v>
      </c>
      <c r="L1123" s="26">
        <f t="shared" ca="1" si="49"/>
        <v>10.391724999999999</v>
      </c>
      <c r="M1123" s="26">
        <f t="shared" ca="1" si="49"/>
        <v>10.396033333333333</v>
      </c>
      <c r="N1123" s="26">
        <f t="shared" ca="1" si="49"/>
        <v>10.391724999999999</v>
      </c>
      <c r="O1123" s="26">
        <f t="shared" ca="1" si="49"/>
        <v>10.396033333333333</v>
      </c>
    </row>
    <row r="1124" spans="1:15" ht="15" x14ac:dyDescent="0.2">
      <c r="A1124" s="11">
        <v>2066</v>
      </c>
      <c r="B1124" s="26">
        <f t="shared" ca="1" si="49"/>
        <v>9.447000000000001</v>
      </c>
      <c r="C1124" s="26">
        <f t="shared" ca="1" si="49"/>
        <v>9.447000000000001</v>
      </c>
      <c r="D1124" s="26">
        <f t="shared" ca="1" si="49"/>
        <v>9.4483000000000015</v>
      </c>
      <c r="E1124" s="26">
        <f t="shared" ca="1" si="49"/>
        <v>10.606275</v>
      </c>
      <c r="F1124" s="26">
        <f t="shared" ca="1" si="49"/>
        <v>10.606275</v>
      </c>
      <c r="G1124" s="26">
        <f t="shared" ca="1" si="49"/>
        <v>10.610583333333336</v>
      </c>
      <c r="H1124" s="26">
        <f t="shared" ca="1" si="49"/>
        <v>20.892624999999999</v>
      </c>
      <c r="I1124" s="26">
        <f t="shared" ca="1" si="49"/>
        <v>20.896933333333337</v>
      </c>
      <c r="J1124" s="26">
        <f t="shared" ca="1" si="49"/>
        <v>20.892624999999999</v>
      </c>
      <c r="K1124" s="26">
        <f t="shared" ca="1" si="49"/>
        <v>20.896933333333337</v>
      </c>
      <c r="L1124" s="26">
        <f t="shared" ca="1" si="49"/>
        <v>10.606275</v>
      </c>
      <c r="M1124" s="26">
        <f t="shared" ca="1" si="49"/>
        <v>10.610583333333336</v>
      </c>
      <c r="N1124" s="26">
        <f t="shared" ca="1" si="49"/>
        <v>10.606275</v>
      </c>
      <c r="O1124" s="26">
        <f t="shared" ca="1" si="49"/>
        <v>10.610583333333336</v>
      </c>
    </row>
    <row r="1125" spans="1:15" ht="15" x14ac:dyDescent="0.2">
      <c r="A1125" s="11">
        <v>2067</v>
      </c>
      <c r="B1125" s="26">
        <f t="shared" ca="1" si="49"/>
        <v>9.6357083333333335</v>
      </c>
      <c r="C1125" s="26">
        <f t="shared" ca="1" si="49"/>
        <v>9.6357083333333335</v>
      </c>
      <c r="D1125" s="26">
        <f t="shared" ca="1" si="49"/>
        <v>9.6369916666666686</v>
      </c>
      <c r="E1125" s="26">
        <f t="shared" ca="1" si="49"/>
        <v>10.82085</v>
      </c>
      <c r="F1125" s="26">
        <f t="shared" ca="1" si="49"/>
        <v>10.82085</v>
      </c>
      <c r="G1125" s="26">
        <f t="shared" ca="1" si="49"/>
        <v>10.825175000000002</v>
      </c>
      <c r="H1125" s="26">
        <f t="shared" ca="1" si="49"/>
        <v>21.351358333333334</v>
      </c>
      <c r="I1125" s="26">
        <f t="shared" ca="1" si="49"/>
        <v>21.355666666666668</v>
      </c>
      <c r="J1125" s="26">
        <f t="shared" ca="1" si="49"/>
        <v>21.351358333333334</v>
      </c>
      <c r="K1125" s="26">
        <f t="shared" ca="1" si="49"/>
        <v>21.355666666666668</v>
      </c>
      <c r="L1125" s="26">
        <f t="shared" ca="1" si="49"/>
        <v>10.82085</v>
      </c>
      <c r="M1125" s="26">
        <f t="shared" ca="1" si="49"/>
        <v>10.825175000000002</v>
      </c>
      <c r="N1125" s="26">
        <f t="shared" ca="1" si="49"/>
        <v>10.82085</v>
      </c>
      <c r="O1125" s="26">
        <f t="shared" ca="1" si="49"/>
        <v>10.825175000000002</v>
      </c>
    </row>
    <row r="1126" spans="1:15" ht="15" x14ac:dyDescent="0.2">
      <c r="A1126" s="11">
        <v>2068</v>
      </c>
      <c r="B1126" s="26">
        <f t="shared" ca="1" si="49"/>
        <v>9.8244083333333343</v>
      </c>
      <c r="C1126" s="26">
        <f t="shared" ca="1" si="49"/>
        <v>9.8244083333333343</v>
      </c>
      <c r="D1126" s="26">
        <f t="shared" ca="1" si="49"/>
        <v>9.8256916666666658</v>
      </c>
      <c r="E1126" s="26">
        <f t="shared" ca="1" si="49"/>
        <v>11.035424999999998</v>
      </c>
      <c r="F1126" s="26">
        <f t="shared" ca="1" si="49"/>
        <v>11.035424999999998</v>
      </c>
      <c r="G1126" s="26">
        <f t="shared" ca="1" si="49"/>
        <v>11.039733333333333</v>
      </c>
      <c r="H1126" s="26">
        <f t="shared" ca="1" si="49"/>
        <v>21.810083333333335</v>
      </c>
      <c r="I1126" s="26">
        <f t="shared" ca="1" si="49"/>
        <v>21.814399999999996</v>
      </c>
      <c r="J1126" s="26">
        <f t="shared" ca="1" si="49"/>
        <v>21.810083333333335</v>
      </c>
      <c r="K1126" s="26">
        <f t="shared" ca="1" si="49"/>
        <v>21.814399999999996</v>
      </c>
      <c r="L1126" s="26">
        <f t="shared" ca="1" si="49"/>
        <v>11.035424999999998</v>
      </c>
      <c r="M1126" s="26">
        <f t="shared" ca="1" si="49"/>
        <v>11.039733333333333</v>
      </c>
      <c r="N1126" s="26">
        <f t="shared" ca="1" si="49"/>
        <v>11.035424999999998</v>
      </c>
      <c r="O1126" s="26">
        <f t="shared" ca="1" si="49"/>
        <v>11.039733333333333</v>
      </c>
    </row>
    <row r="1127" spans="1:15" ht="15" x14ac:dyDescent="0.2">
      <c r="A1127" s="11">
        <v>2069</v>
      </c>
      <c r="B1127" s="26">
        <f t="shared" ca="1" si="49"/>
        <v>10.013091666666666</v>
      </c>
      <c r="C1127" s="26">
        <f t="shared" ca="1" si="49"/>
        <v>10.013091666666666</v>
      </c>
      <c r="D1127" s="26">
        <f t="shared" ca="1" si="49"/>
        <v>10.014383333333335</v>
      </c>
      <c r="E1127" s="26">
        <f t="shared" ca="1" si="49"/>
        <v>11.249983333333333</v>
      </c>
      <c r="F1127" s="26">
        <f t="shared" ca="1" si="49"/>
        <v>11.249983333333333</v>
      </c>
      <c r="G1127" s="26">
        <f t="shared" ca="1" si="49"/>
        <v>11.254300000000001</v>
      </c>
      <c r="H1127" s="26">
        <f t="shared" ca="1" si="49"/>
        <v>22.268825000000003</v>
      </c>
      <c r="I1127" s="26">
        <f t="shared" ca="1" si="49"/>
        <v>22.273141666666664</v>
      </c>
      <c r="J1127" s="26">
        <f t="shared" ca="1" si="49"/>
        <v>22.268825000000003</v>
      </c>
      <c r="K1127" s="26">
        <f t="shared" ca="1" si="49"/>
        <v>22.273141666666664</v>
      </c>
      <c r="L1127" s="26">
        <f t="shared" ca="1" si="49"/>
        <v>11.249983333333333</v>
      </c>
      <c r="M1127" s="26">
        <f t="shared" ca="1" si="49"/>
        <v>11.254300000000001</v>
      </c>
      <c r="N1127" s="26">
        <f t="shared" ca="1" si="49"/>
        <v>11.249983333333333</v>
      </c>
      <c r="O1127" s="26">
        <f t="shared" ca="1" si="49"/>
        <v>11.254300000000001</v>
      </c>
    </row>
    <row r="1128" spans="1:15" ht="15" x14ac:dyDescent="0.2">
      <c r="A1128" s="11">
        <v>2070</v>
      </c>
      <c r="B1128" s="26">
        <f t="shared" ca="1" si="49"/>
        <v>10.201825000000001</v>
      </c>
      <c r="C1128" s="26">
        <f t="shared" ca="1" si="49"/>
        <v>10.201825000000001</v>
      </c>
      <c r="D1128" s="26">
        <f t="shared" ca="1" si="49"/>
        <v>10.203091666666666</v>
      </c>
      <c r="E1128" s="26">
        <f t="shared" ca="1" si="49"/>
        <v>11.464541666666667</v>
      </c>
      <c r="F1128" s="26">
        <f t="shared" ca="1" si="49"/>
        <v>11.464541666666667</v>
      </c>
      <c r="G1128" s="26">
        <f t="shared" ca="1" si="49"/>
        <v>11.468866666666665</v>
      </c>
      <c r="H1128" s="26">
        <f t="shared" ca="1" si="49"/>
        <v>22.72753333333333</v>
      </c>
      <c r="I1128" s="26">
        <f t="shared" ca="1" si="49"/>
        <v>22.731858333333335</v>
      </c>
      <c r="J1128" s="26">
        <f t="shared" ca="1" si="49"/>
        <v>22.72753333333333</v>
      </c>
      <c r="K1128" s="26">
        <f t="shared" ca="1" si="49"/>
        <v>22.731858333333335</v>
      </c>
      <c r="L1128" s="26">
        <f t="shared" ca="1" si="49"/>
        <v>11.464541666666667</v>
      </c>
      <c r="M1128" s="26">
        <f t="shared" ca="1" si="49"/>
        <v>11.468866666666665</v>
      </c>
      <c r="N1128" s="26">
        <f t="shared" ca="1" si="49"/>
        <v>11.464541666666667</v>
      </c>
      <c r="O1128" s="26">
        <f t="shared" ca="1" si="49"/>
        <v>11.468866666666665</v>
      </c>
    </row>
    <row r="1129" spans="1:15" ht="15" x14ac:dyDescent="0.2">
      <c r="A1129" s="11">
        <v>2071</v>
      </c>
      <c r="B1129" s="26">
        <f t="shared" ca="1" si="49"/>
        <v>10.390508333333333</v>
      </c>
      <c r="C1129" s="26">
        <f t="shared" ca="1" si="49"/>
        <v>10.390508333333333</v>
      </c>
      <c r="D1129" s="26">
        <f t="shared" ca="1" si="49"/>
        <v>10.391791666666666</v>
      </c>
      <c r="E1129" s="26">
        <f t="shared" ca="1" si="49"/>
        <v>11.679108333333334</v>
      </c>
      <c r="F1129" s="26">
        <f t="shared" ca="1" si="49"/>
        <v>11.679108333333334</v>
      </c>
      <c r="G1129" s="26">
        <f t="shared" ca="1" si="49"/>
        <v>11.683416666666668</v>
      </c>
      <c r="H1129" s="26">
        <f t="shared" ca="1" si="49"/>
        <v>23.186299999999999</v>
      </c>
      <c r="I1129" s="26">
        <f t="shared" ca="1" si="49"/>
        <v>23.190600000000003</v>
      </c>
      <c r="J1129" s="26">
        <f t="shared" ca="1" si="49"/>
        <v>23.186299999999999</v>
      </c>
      <c r="K1129" s="26">
        <f t="shared" ca="1" si="49"/>
        <v>23.190600000000003</v>
      </c>
      <c r="L1129" s="26">
        <f t="shared" ca="1" si="49"/>
        <v>11.679108333333334</v>
      </c>
      <c r="M1129" s="26">
        <f t="shared" ca="1" si="49"/>
        <v>11.683416666666668</v>
      </c>
      <c r="N1129" s="26">
        <f t="shared" ca="1" si="49"/>
        <v>11.679108333333334</v>
      </c>
      <c r="O1129" s="26">
        <f t="shared" ca="1" si="49"/>
        <v>11.683416666666668</v>
      </c>
    </row>
    <row r="1130" spans="1:15" ht="15" x14ac:dyDescent="0.2">
      <c r="A1130" s="11">
        <v>2072</v>
      </c>
      <c r="B1130" s="26">
        <f t="shared" ref="B1130:O1139" ca="1" si="50">AVERAGE(OFFSET(B$602,($A1130-$A$1120)*12,0,12,1))</f>
        <v>10.579216666666667</v>
      </c>
      <c r="C1130" s="26">
        <f t="shared" ca="1" si="50"/>
        <v>10.579216666666667</v>
      </c>
      <c r="D1130" s="26">
        <f t="shared" ca="1" si="50"/>
        <v>10.580483333333332</v>
      </c>
      <c r="E1130" s="26">
        <f t="shared" ca="1" si="50"/>
        <v>11.893658333333335</v>
      </c>
      <c r="F1130" s="26">
        <f t="shared" ca="1" si="50"/>
        <v>11.893658333333335</v>
      </c>
      <c r="G1130" s="26">
        <f t="shared" ca="1" si="50"/>
        <v>11.897975000000002</v>
      </c>
      <c r="H1130" s="26">
        <f t="shared" ca="1" si="50"/>
        <v>23.645025</v>
      </c>
      <c r="I1130" s="26">
        <f t="shared" ca="1" si="50"/>
        <v>23.649333333333335</v>
      </c>
      <c r="J1130" s="26">
        <f t="shared" ca="1" si="50"/>
        <v>23.645025</v>
      </c>
      <c r="K1130" s="26">
        <f t="shared" ca="1" si="50"/>
        <v>23.649333333333335</v>
      </c>
      <c r="L1130" s="26">
        <f t="shared" ca="1" si="50"/>
        <v>11.893658333333335</v>
      </c>
      <c r="M1130" s="26">
        <f t="shared" ca="1" si="50"/>
        <v>11.897975000000002</v>
      </c>
      <c r="N1130" s="26">
        <f t="shared" ca="1" si="50"/>
        <v>11.893658333333335</v>
      </c>
      <c r="O1130" s="26">
        <f t="shared" ca="1" si="50"/>
        <v>11.897975000000002</v>
      </c>
    </row>
    <row r="1131" spans="1:15" ht="15" x14ac:dyDescent="0.2">
      <c r="A1131" s="11">
        <v>2073</v>
      </c>
      <c r="B1131" s="26">
        <f t="shared" ca="1" si="50"/>
        <v>10.767916666666666</v>
      </c>
      <c r="C1131" s="26">
        <f t="shared" ca="1" si="50"/>
        <v>10.767916666666666</v>
      </c>
      <c r="D1131" s="26">
        <f t="shared" ca="1" si="50"/>
        <v>10.769191666666666</v>
      </c>
      <c r="E1131" s="26">
        <f t="shared" ca="1" si="50"/>
        <v>12.108233333333333</v>
      </c>
      <c r="F1131" s="26">
        <f t="shared" ca="1" si="50"/>
        <v>12.108233333333333</v>
      </c>
      <c r="G1131" s="26">
        <f t="shared" ca="1" si="50"/>
        <v>12.112566666666666</v>
      </c>
      <c r="H1131" s="26">
        <f t="shared" ca="1" si="50"/>
        <v>24.103775000000002</v>
      </c>
      <c r="I1131" s="26">
        <f t="shared" ca="1" si="50"/>
        <v>24.108099999999997</v>
      </c>
      <c r="J1131" s="26">
        <f t="shared" ca="1" si="50"/>
        <v>24.103775000000002</v>
      </c>
      <c r="K1131" s="26">
        <f t="shared" ca="1" si="50"/>
        <v>24.108099999999997</v>
      </c>
      <c r="L1131" s="26">
        <f t="shared" ca="1" si="50"/>
        <v>12.108233333333333</v>
      </c>
      <c r="M1131" s="26">
        <f t="shared" ca="1" si="50"/>
        <v>12.112566666666666</v>
      </c>
      <c r="N1131" s="26">
        <f t="shared" ca="1" si="50"/>
        <v>12.108233333333333</v>
      </c>
      <c r="O1131" s="26">
        <f t="shared" ca="1" si="50"/>
        <v>12.112566666666666</v>
      </c>
    </row>
    <row r="1132" spans="1:15" ht="15" x14ac:dyDescent="0.2">
      <c r="A1132" s="11">
        <v>2074</v>
      </c>
      <c r="B1132" s="26">
        <f t="shared" ca="1" si="50"/>
        <v>10.956608333333334</v>
      </c>
      <c r="C1132" s="26">
        <f t="shared" ca="1" si="50"/>
        <v>10.956608333333334</v>
      </c>
      <c r="D1132" s="26">
        <f t="shared" ca="1" si="50"/>
        <v>10.9579</v>
      </c>
      <c r="E1132" s="26">
        <f t="shared" ca="1" si="50"/>
        <v>12.322799999999999</v>
      </c>
      <c r="F1132" s="26">
        <f t="shared" ca="1" si="50"/>
        <v>12.322799999999999</v>
      </c>
      <c r="G1132" s="26">
        <f t="shared" ca="1" si="50"/>
        <v>12.327133333333334</v>
      </c>
      <c r="H1132" s="26">
        <f t="shared" ca="1" si="50"/>
        <v>24.5625</v>
      </c>
      <c r="I1132" s="26">
        <f t="shared" ca="1" si="50"/>
        <v>24.566825000000005</v>
      </c>
      <c r="J1132" s="26">
        <f t="shared" ca="1" si="50"/>
        <v>24.5625</v>
      </c>
      <c r="K1132" s="26">
        <f t="shared" ca="1" si="50"/>
        <v>24.566825000000005</v>
      </c>
      <c r="L1132" s="26">
        <f t="shared" ca="1" si="50"/>
        <v>12.322799999999999</v>
      </c>
      <c r="M1132" s="26">
        <f t="shared" ca="1" si="50"/>
        <v>12.327133333333334</v>
      </c>
      <c r="N1132" s="26">
        <f t="shared" ca="1" si="50"/>
        <v>12.322799999999999</v>
      </c>
      <c r="O1132" s="26">
        <f t="shared" ca="1" si="50"/>
        <v>12.327133333333334</v>
      </c>
    </row>
    <row r="1133" spans="1:15" ht="15" x14ac:dyDescent="0.2">
      <c r="A1133" s="11">
        <v>2075</v>
      </c>
      <c r="B1133" s="26">
        <f t="shared" ca="1" si="50"/>
        <v>11.145333333333332</v>
      </c>
      <c r="C1133" s="26">
        <f t="shared" ca="1" si="50"/>
        <v>11.145333333333332</v>
      </c>
      <c r="D1133" s="26">
        <f t="shared" ca="1" si="50"/>
        <v>11.146608333333333</v>
      </c>
      <c r="E1133" s="26">
        <f t="shared" ca="1" si="50"/>
        <v>12.537374999999999</v>
      </c>
      <c r="F1133" s="26">
        <f t="shared" ca="1" si="50"/>
        <v>12.537374999999999</v>
      </c>
      <c r="G1133" s="26">
        <f t="shared" ca="1" si="50"/>
        <v>12.541691666666665</v>
      </c>
      <c r="H1133" s="26">
        <f t="shared" ca="1" si="50"/>
        <v>25.021241666666668</v>
      </c>
      <c r="I1133" s="26">
        <f t="shared" ca="1" si="50"/>
        <v>25.025566666666663</v>
      </c>
      <c r="J1133" s="26">
        <f t="shared" ca="1" si="50"/>
        <v>25.021241666666668</v>
      </c>
      <c r="K1133" s="26">
        <f t="shared" ca="1" si="50"/>
        <v>25.025566666666663</v>
      </c>
      <c r="L1133" s="26">
        <f t="shared" ca="1" si="50"/>
        <v>12.537374999999999</v>
      </c>
      <c r="M1133" s="26">
        <f t="shared" ca="1" si="50"/>
        <v>12.541691666666665</v>
      </c>
      <c r="N1133" s="26">
        <f t="shared" ca="1" si="50"/>
        <v>12.537374999999999</v>
      </c>
      <c r="O1133" s="26">
        <f t="shared" ca="1" si="50"/>
        <v>12.541691666666665</v>
      </c>
    </row>
    <row r="1134" spans="1:15" ht="15" x14ac:dyDescent="0.2">
      <c r="A1134" s="11">
        <v>2076</v>
      </c>
      <c r="B1134" s="26">
        <f t="shared" ca="1" si="50"/>
        <v>11.334016666666665</v>
      </c>
      <c r="C1134" s="26">
        <f t="shared" ca="1" si="50"/>
        <v>11.334016666666665</v>
      </c>
      <c r="D1134" s="26">
        <f t="shared" ca="1" si="50"/>
        <v>11.335308333333332</v>
      </c>
      <c r="E1134" s="26">
        <f t="shared" ca="1" si="50"/>
        <v>12.751941666666667</v>
      </c>
      <c r="F1134" s="26">
        <f t="shared" ca="1" si="50"/>
        <v>12.751941666666667</v>
      </c>
      <c r="G1134" s="26">
        <f t="shared" ca="1" si="50"/>
        <v>12.756258333333333</v>
      </c>
      <c r="H1134" s="26">
        <f t="shared" ca="1" si="50"/>
        <v>25.479983333333333</v>
      </c>
      <c r="I1134" s="26">
        <f t="shared" ca="1" si="50"/>
        <v>25.484300000000001</v>
      </c>
      <c r="J1134" s="26">
        <f t="shared" ca="1" si="50"/>
        <v>25.479983333333333</v>
      </c>
      <c r="K1134" s="26">
        <f t="shared" ca="1" si="50"/>
        <v>25.484300000000001</v>
      </c>
      <c r="L1134" s="26">
        <f t="shared" ca="1" si="50"/>
        <v>12.751941666666667</v>
      </c>
      <c r="M1134" s="26">
        <f t="shared" ca="1" si="50"/>
        <v>12.756258333333333</v>
      </c>
      <c r="N1134" s="26">
        <f t="shared" ca="1" si="50"/>
        <v>12.751941666666667</v>
      </c>
      <c r="O1134" s="26">
        <f t="shared" ca="1" si="50"/>
        <v>12.756258333333333</v>
      </c>
    </row>
    <row r="1135" spans="1:15" ht="15" x14ac:dyDescent="0.2">
      <c r="A1135" s="11">
        <v>2077</v>
      </c>
      <c r="B1135" s="26">
        <f t="shared" ca="1" si="50"/>
        <v>11.522716666666668</v>
      </c>
      <c r="C1135" s="26">
        <f t="shared" ca="1" si="50"/>
        <v>11.522716666666668</v>
      </c>
      <c r="D1135" s="26">
        <f t="shared" ca="1" si="50"/>
        <v>11.523991666666666</v>
      </c>
      <c r="E1135" s="26">
        <f t="shared" ca="1" si="50"/>
        <v>12.966499999999998</v>
      </c>
      <c r="F1135" s="26">
        <f t="shared" ca="1" si="50"/>
        <v>12.966499999999998</v>
      </c>
      <c r="G1135" s="26">
        <f t="shared" ca="1" si="50"/>
        <v>12.970808333333332</v>
      </c>
      <c r="H1135" s="26">
        <f t="shared" ca="1" si="50"/>
        <v>25.938749999999999</v>
      </c>
      <c r="I1135" s="26">
        <f t="shared" ca="1" si="50"/>
        <v>25.943058333333337</v>
      </c>
      <c r="J1135" s="26">
        <f t="shared" ca="1" si="50"/>
        <v>25.938749999999999</v>
      </c>
      <c r="K1135" s="26">
        <f t="shared" ca="1" si="50"/>
        <v>25.943058333333337</v>
      </c>
      <c r="L1135" s="26">
        <f t="shared" ca="1" si="50"/>
        <v>12.966499999999998</v>
      </c>
      <c r="M1135" s="26">
        <f t="shared" ca="1" si="50"/>
        <v>12.970808333333332</v>
      </c>
      <c r="N1135" s="26">
        <f t="shared" ca="1" si="50"/>
        <v>12.966499999999998</v>
      </c>
      <c r="O1135" s="26">
        <f t="shared" ca="1" si="50"/>
        <v>12.970808333333332</v>
      </c>
    </row>
    <row r="1136" spans="1:15" ht="15" x14ac:dyDescent="0.2">
      <c r="A1136" s="11">
        <v>2078</v>
      </c>
      <c r="B1136" s="26">
        <f t="shared" ca="1" si="50"/>
        <v>11.711416666666667</v>
      </c>
      <c r="C1136" s="26">
        <f t="shared" ca="1" si="50"/>
        <v>11.711416666666667</v>
      </c>
      <c r="D1136" s="26">
        <f t="shared" ca="1" si="50"/>
        <v>11.712716666666667</v>
      </c>
      <c r="E1136" s="26">
        <f t="shared" ca="1" si="50"/>
        <v>13.181066666666664</v>
      </c>
      <c r="F1136" s="26">
        <f t="shared" ca="1" si="50"/>
        <v>13.181066666666664</v>
      </c>
      <c r="G1136" s="26">
        <f t="shared" ca="1" si="50"/>
        <v>13.185383333333334</v>
      </c>
      <c r="H1136" s="26">
        <f t="shared" ca="1" si="50"/>
        <v>26.397475</v>
      </c>
      <c r="I1136" s="26">
        <f t="shared" ca="1" si="50"/>
        <v>26.401783333333331</v>
      </c>
      <c r="J1136" s="26">
        <f t="shared" ca="1" si="50"/>
        <v>26.397475</v>
      </c>
      <c r="K1136" s="26">
        <f t="shared" ca="1" si="50"/>
        <v>26.401783333333331</v>
      </c>
      <c r="L1136" s="26">
        <f t="shared" ca="1" si="50"/>
        <v>13.181066666666664</v>
      </c>
      <c r="M1136" s="26">
        <f t="shared" ca="1" si="50"/>
        <v>13.185383333333334</v>
      </c>
      <c r="N1136" s="26">
        <f t="shared" ca="1" si="50"/>
        <v>13.181066666666664</v>
      </c>
      <c r="O1136" s="26">
        <f t="shared" ca="1" si="50"/>
        <v>13.185383333333334</v>
      </c>
    </row>
    <row r="1137" spans="1:15" ht="15" x14ac:dyDescent="0.2">
      <c r="A1137" s="11">
        <v>2079</v>
      </c>
      <c r="B1137" s="26">
        <f t="shared" ca="1" si="50"/>
        <v>11.900108333333334</v>
      </c>
      <c r="C1137" s="26">
        <f t="shared" ca="1" si="50"/>
        <v>11.900108333333334</v>
      </c>
      <c r="D1137" s="26">
        <f t="shared" ca="1" si="50"/>
        <v>11.901408333333334</v>
      </c>
      <c r="E1137" s="26">
        <f t="shared" ca="1" si="50"/>
        <v>13.395650000000002</v>
      </c>
      <c r="F1137" s="26">
        <f t="shared" ca="1" si="50"/>
        <v>13.395650000000002</v>
      </c>
      <c r="G1137" s="26">
        <f t="shared" ca="1" si="50"/>
        <v>13.399958333333336</v>
      </c>
      <c r="H1137" s="26">
        <f t="shared" ca="1" si="50"/>
        <v>26.856208333333331</v>
      </c>
      <c r="I1137" s="26">
        <f t="shared" ca="1" si="50"/>
        <v>26.860533333333333</v>
      </c>
      <c r="J1137" s="26">
        <f t="shared" ca="1" si="50"/>
        <v>26.856208333333331</v>
      </c>
      <c r="K1137" s="26">
        <f t="shared" ca="1" si="50"/>
        <v>26.860533333333333</v>
      </c>
      <c r="L1137" s="26">
        <f t="shared" ca="1" si="50"/>
        <v>13.395650000000002</v>
      </c>
      <c r="M1137" s="26">
        <f t="shared" ca="1" si="50"/>
        <v>13.399958333333336</v>
      </c>
      <c r="N1137" s="26">
        <f t="shared" ca="1" si="50"/>
        <v>13.395650000000002</v>
      </c>
      <c r="O1137" s="26">
        <f t="shared" ca="1" si="50"/>
        <v>13.399958333333336</v>
      </c>
    </row>
    <row r="1138" spans="1:15" ht="15" x14ac:dyDescent="0.2">
      <c r="A1138" s="11">
        <v>2080</v>
      </c>
      <c r="B1138" s="26">
        <f t="shared" ca="1" si="50"/>
        <v>12.088825</v>
      </c>
      <c r="C1138" s="26">
        <f t="shared" ca="1" si="50"/>
        <v>12.088825</v>
      </c>
      <c r="D1138" s="26">
        <f t="shared" ca="1" si="50"/>
        <v>12.090108333333333</v>
      </c>
      <c r="E1138" s="26">
        <f t="shared" ca="1" si="50"/>
        <v>13.610216666666666</v>
      </c>
      <c r="F1138" s="26">
        <f t="shared" ca="1" si="50"/>
        <v>13.610216666666666</v>
      </c>
      <c r="G1138" s="26">
        <f t="shared" ca="1" si="50"/>
        <v>13.614524999999999</v>
      </c>
      <c r="H1138" s="26">
        <f t="shared" ca="1" si="50"/>
        <v>27.314933333333329</v>
      </c>
      <c r="I1138" s="26">
        <f t="shared" ca="1" si="50"/>
        <v>27.319249999999997</v>
      </c>
      <c r="J1138" s="26">
        <f t="shared" ca="1" si="50"/>
        <v>27.314933333333329</v>
      </c>
      <c r="K1138" s="26">
        <f t="shared" ca="1" si="50"/>
        <v>27.319249999999997</v>
      </c>
      <c r="L1138" s="26">
        <f t="shared" ca="1" si="50"/>
        <v>13.610216666666666</v>
      </c>
      <c r="M1138" s="26">
        <f t="shared" ca="1" si="50"/>
        <v>13.614524999999999</v>
      </c>
      <c r="N1138" s="26">
        <f t="shared" ca="1" si="50"/>
        <v>13.610216666666666</v>
      </c>
      <c r="O1138" s="26">
        <f t="shared" ca="1" si="50"/>
        <v>13.614524999999999</v>
      </c>
    </row>
    <row r="1139" spans="1:15" ht="15" x14ac:dyDescent="0.2">
      <c r="A1139" s="11">
        <v>2081</v>
      </c>
      <c r="B1139" s="26">
        <f t="shared" ca="1" si="50"/>
        <v>12.277508333333332</v>
      </c>
      <c r="C1139" s="26">
        <f t="shared" ca="1" si="50"/>
        <v>12.277508333333332</v>
      </c>
      <c r="D1139" s="26">
        <f t="shared" ca="1" si="50"/>
        <v>12.278808333333332</v>
      </c>
      <c r="E1139" s="26">
        <f t="shared" ca="1" si="50"/>
        <v>13.824775000000001</v>
      </c>
      <c r="F1139" s="26">
        <f t="shared" ca="1" si="50"/>
        <v>13.824775000000001</v>
      </c>
      <c r="G1139" s="26">
        <f t="shared" ca="1" si="50"/>
        <v>13.829083333333331</v>
      </c>
      <c r="H1139" s="26">
        <f t="shared" ca="1" si="50"/>
        <v>27.773683333333334</v>
      </c>
      <c r="I1139" s="26">
        <f t="shared" ca="1" si="50"/>
        <v>27.777999999999995</v>
      </c>
      <c r="J1139" s="26">
        <f t="shared" ca="1" si="50"/>
        <v>27.773683333333334</v>
      </c>
      <c r="K1139" s="26">
        <f t="shared" ca="1" si="50"/>
        <v>27.777999999999995</v>
      </c>
      <c r="L1139" s="26">
        <f t="shared" ca="1" si="50"/>
        <v>13.824775000000001</v>
      </c>
      <c r="M1139" s="26">
        <f t="shared" ca="1" si="50"/>
        <v>13.829083333333331</v>
      </c>
      <c r="N1139" s="26">
        <f t="shared" ca="1" si="50"/>
        <v>13.824775000000001</v>
      </c>
      <c r="O1139" s="26">
        <f t="shared" ca="1" si="50"/>
        <v>13.829083333333331</v>
      </c>
    </row>
    <row r="1140" spans="1:15" ht="15" x14ac:dyDescent="0.2">
      <c r="A1140" s="11">
        <v>2082</v>
      </c>
      <c r="B1140" s="26">
        <f t="shared" ref="B1140:O1149" ca="1" si="51">AVERAGE(OFFSET(B$602,($A1140-$A$1120)*12,0,12,1))</f>
        <v>12.466233333333333</v>
      </c>
      <c r="C1140" s="26">
        <f t="shared" ca="1" si="51"/>
        <v>12.466233333333333</v>
      </c>
      <c r="D1140" s="26">
        <f t="shared" ca="1" si="51"/>
        <v>12.467500000000001</v>
      </c>
      <c r="E1140" s="26">
        <f t="shared" ca="1" si="51"/>
        <v>14.039341666666667</v>
      </c>
      <c r="F1140" s="26">
        <f t="shared" ca="1" si="51"/>
        <v>14.039341666666667</v>
      </c>
      <c r="G1140" s="26">
        <f t="shared" ca="1" si="51"/>
        <v>14.043658333333333</v>
      </c>
      <c r="H1140" s="26">
        <f t="shared" ca="1" si="51"/>
        <v>28.232424999999996</v>
      </c>
      <c r="I1140" s="26">
        <f t="shared" ca="1" si="51"/>
        <v>28.236733333333333</v>
      </c>
      <c r="J1140" s="26">
        <f t="shared" ca="1" si="51"/>
        <v>28.232424999999996</v>
      </c>
      <c r="K1140" s="26">
        <f t="shared" ca="1" si="51"/>
        <v>28.236733333333333</v>
      </c>
      <c r="L1140" s="26">
        <f t="shared" ca="1" si="51"/>
        <v>14.039341666666667</v>
      </c>
      <c r="M1140" s="26">
        <f t="shared" ca="1" si="51"/>
        <v>14.043658333333333</v>
      </c>
      <c r="N1140" s="26">
        <f t="shared" ca="1" si="51"/>
        <v>14.039341666666667</v>
      </c>
      <c r="O1140" s="26">
        <f t="shared" ca="1" si="51"/>
        <v>14.043658333333333</v>
      </c>
    </row>
    <row r="1141" spans="1:15" ht="15" x14ac:dyDescent="0.2">
      <c r="A1141" s="11">
        <v>2083</v>
      </c>
      <c r="B1141" s="26">
        <f t="shared" ca="1" si="51"/>
        <v>12.654925</v>
      </c>
      <c r="C1141" s="26">
        <f t="shared" ca="1" si="51"/>
        <v>12.654925</v>
      </c>
      <c r="D1141" s="26">
        <f t="shared" ca="1" si="51"/>
        <v>12.656216666666666</v>
      </c>
      <c r="E1141" s="26">
        <f t="shared" ca="1" si="51"/>
        <v>14.253891666666668</v>
      </c>
      <c r="F1141" s="26">
        <f t="shared" ca="1" si="51"/>
        <v>14.253891666666668</v>
      </c>
      <c r="G1141" s="26">
        <f t="shared" ca="1" si="51"/>
        <v>14.258208333333334</v>
      </c>
      <c r="H1141" s="26">
        <f t="shared" ca="1" si="51"/>
        <v>28.691166666666664</v>
      </c>
      <c r="I1141" s="26">
        <f t="shared" ca="1" si="51"/>
        <v>28.695474999999998</v>
      </c>
      <c r="J1141" s="26">
        <f t="shared" ca="1" si="51"/>
        <v>28.691166666666664</v>
      </c>
      <c r="K1141" s="26">
        <f t="shared" ca="1" si="51"/>
        <v>28.695474999999998</v>
      </c>
      <c r="L1141" s="26">
        <f t="shared" ca="1" si="51"/>
        <v>14.253891666666668</v>
      </c>
      <c r="M1141" s="26">
        <f t="shared" ca="1" si="51"/>
        <v>14.258208333333334</v>
      </c>
      <c r="N1141" s="26">
        <f t="shared" ca="1" si="51"/>
        <v>14.253891666666668</v>
      </c>
      <c r="O1141" s="26">
        <f t="shared" ca="1" si="51"/>
        <v>14.258208333333334</v>
      </c>
    </row>
    <row r="1142" spans="1:15" ht="15" x14ac:dyDescent="0.2">
      <c r="A1142" s="11">
        <v>2084</v>
      </c>
      <c r="B1142" s="26">
        <f t="shared" ca="1" si="51"/>
        <v>12.843616666666664</v>
      </c>
      <c r="C1142" s="26">
        <f t="shared" ca="1" si="51"/>
        <v>12.843616666666664</v>
      </c>
      <c r="D1142" s="26">
        <f t="shared" ca="1" si="51"/>
        <v>12.844900000000001</v>
      </c>
      <c r="E1142" s="26">
        <f t="shared" ca="1" si="51"/>
        <v>14.468458333333331</v>
      </c>
      <c r="F1142" s="26">
        <f t="shared" ca="1" si="51"/>
        <v>14.468458333333331</v>
      </c>
      <c r="G1142" s="26">
        <f t="shared" ca="1" si="51"/>
        <v>14.47278333333333</v>
      </c>
      <c r="H1142" s="26">
        <f t="shared" ca="1" si="51"/>
        <v>29.149891666666662</v>
      </c>
      <c r="I1142" s="26">
        <f t="shared" ca="1" si="51"/>
        <v>29.154208333333333</v>
      </c>
      <c r="J1142" s="26">
        <f t="shared" ca="1" si="51"/>
        <v>29.149891666666662</v>
      </c>
      <c r="K1142" s="26">
        <f t="shared" ca="1" si="51"/>
        <v>29.154208333333333</v>
      </c>
      <c r="L1142" s="26">
        <f t="shared" ca="1" si="51"/>
        <v>14.468458333333331</v>
      </c>
      <c r="M1142" s="26">
        <f t="shared" ca="1" si="51"/>
        <v>14.47278333333333</v>
      </c>
      <c r="N1142" s="26">
        <f t="shared" ca="1" si="51"/>
        <v>14.468458333333331</v>
      </c>
      <c r="O1142" s="26">
        <f t="shared" ca="1" si="51"/>
        <v>14.47278333333333</v>
      </c>
    </row>
    <row r="1143" spans="1:15" ht="15" x14ac:dyDescent="0.2">
      <c r="A1143" s="11">
        <v>2085</v>
      </c>
      <c r="B1143" s="26">
        <f t="shared" ca="1" si="51"/>
        <v>13.032333333333334</v>
      </c>
      <c r="C1143" s="26">
        <f t="shared" ca="1" si="51"/>
        <v>13.032333333333334</v>
      </c>
      <c r="D1143" s="26">
        <f t="shared" ca="1" si="51"/>
        <v>13.0336</v>
      </c>
      <c r="E1143" s="26">
        <f t="shared" ca="1" si="51"/>
        <v>14.683025000000001</v>
      </c>
      <c r="F1143" s="26">
        <f t="shared" ca="1" si="51"/>
        <v>14.683025000000001</v>
      </c>
      <c r="G1143" s="26">
        <f t="shared" ca="1" si="51"/>
        <v>14.68734166666667</v>
      </c>
      <c r="H1143" s="26">
        <f t="shared" ca="1" si="51"/>
        <v>29.60863333333333</v>
      </c>
      <c r="I1143" s="26">
        <f t="shared" ca="1" si="51"/>
        <v>29.612941666666668</v>
      </c>
      <c r="J1143" s="26">
        <f t="shared" ca="1" si="51"/>
        <v>29.60863333333333</v>
      </c>
      <c r="K1143" s="26">
        <f t="shared" ca="1" si="51"/>
        <v>29.612941666666668</v>
      </c>
      <c r="L1143" s="26">
        <f t="shared" ca="1" si="51"/>
        <v>14.683025000000001</v>
      </c>
      <c r="M1143" s="26">
        <f t="shared" ca="1" si="51"/>
        <v>14.68734166666667</v>
      </c>
      <c r="N1143" s="26">
        <f t="shared" ca="1" si="51"/>
        <v>14.683025000000001</v>
      </c>
      <c r="O1143" s="26">
        <f t="shared" ca="1" si="51"/>
        <v>14.68734166666667</v>
      </c>
    </row>
    <row r="1144" spans="1:15" ht="15" x14ac:dyDescent="0.2">
      <c r="A1144" s="11">
        <v>2086</v>
      </c>
      <c r="B1144" s="26">
        <f t="shared" ca="1" si="51"/>
        <v>13.221025000000003</v>
      </c>
      <c r="C1144" s="26">
        <f t="shared" ca="1" si="51"/>
        <v>13.221025000000003</v>
      </c>
      <c r="D1144" s="26">
        <f t="shared" ca="1" si="51"/>
        <v>13.22231666666667</v>
      </c>
      <c r="E1144" s="26">
        <f t="shared" ca="1" si="51"/>
        <v>14.897599999999999</v>
      </c>
      <c r="F1144" s="26">
        <f t="shared" ca="1" si="51"/>
        <v>14.897599999999999</v>
      </c>
      <c r="G1144" s="26">
        <f t="shared" ca="1" si="51"/>
        <v>14.90191666666667</v>
      </c>
      <c r="H1144" s="26">
        <f t="shared" ca="1" si="51"/>
        <v>30.067366666666668</v>
      </c>
      <c r="I1144" s="26">
        <f t="shared" ca="1" si="51"/>
        <v>30.071674999999995</v>
      </c>
      <c r="J1144" s="26">
        <f t="shared" ca="1" si="51"/>
        <v>30.067366666666668</v>
      </c>
      <c r="K1144" s="26">
        <f t="shared" ca="1" si="51"/>
        <v>30.071674999999995</v>
      </c>
      <c r="L1144" s="26">
        <f t="shared" ca="1" si="51"/>
        <v>14.897599999999999</v>
      </c>
      <c r="M1144" s="26">
        <f t="shared" ca="1" si="51"/>
        <v>14.90191666666667</v>
      </c>
      <c r="N1144" s="26">
        <f t="shared" ca="1" si="51"/>
        <v>14.897599999999999</v>
      </c>
      <c r="O1144" s="26">
        <f t="shared" ca="1" si="51"/>
        <v>14.90191666666667</v>
      </c>
    </row>
    <row r="1145" spans="1:15" ht="15" x14ac:dyDescent="0.2">
      <c r="A1145" s="11">
        <v>2087</v>
      </c>
      <c r="B1145" s="26">
        <f t="shared" ca="1" si="51"/>
        <v>13.409750000000003</v>
      </c>
      <c r="C1145" s="26">
        <f t="shared" ca="1" si="51"/>
        <v>13.409750000000003</v>
      </c>
      <c r="D1145" s="26">
        <f t="shared" ca="1" si="51"/>
        <v>13.41100833333333</v>
      </c>
      <c r="E1145" s="26">
        <f t="shared" ca="1" si="51"/>
        <v>15.112158333333335</v>
      </c>
      <c r="F1145" s="26">
        <f t="shared" ca="1" si="51"/>
        <v>15.112158333333335</v>
      </c>
      <c r="G1145" s="26">
        <f t="shared" ca="1" si="51"/>
        <v>15.116474999999999</v>
      </c>
      <c r="H1145" s="26">
        <f t="shared" ca="1" si="51"/>
        <v>30.526116666666667</v>
      </c>
      <c r="I1145" s="26">
        <f t="shared" ca="1" si="51"/>
        <v>30.530424999999994</v>
      </c>
      <c r="J1145" s="26">
        <f t="shared" ca="1" si="51"/>
        <v>30.526116666666667</v>
      </c>
      <c r="K1145" s="26">
        <f t="shared" ca="1" si="51"/>
        <v>30.530424999999994</v>
      </c>
      <c r="L1145" s="26">
        <f t="shared" ca="1" si="51"/>
        <v>15.112158333333335</v>
      </c>
      <c r="M1145" s="26">
        <f t="shared" ca="1" si="51"/>
        <v>15.116474999999999</v>
      </c>
      <c r="N1145" s="26">
        <f t="shared" ca="1" si="51"/>
        <v>15.112158333333335</v>
      </c>
      <c r="O1145" s="26">
        <f t="shared" ca="1" si="51"/>
        <v>15.116474999999999</v>
      </c>
    </row>
    <row r="1146" spans="1:15" ht="15" x14ac:dyDescent="0.2">
      <c r="A1146" s="11">
        <v>2088</v>
      </c>
      <c r="B1146" s="26">
        <f t="shared" ca="1" si="51"/>
        <v>13.598433333333332</v>
      </c>
      <c r="C1146" s="26">
        <f t="shared" ca="1" si="51"/>
        <v>13.598433333333332</v>
      </c>
      <c r="D1146" s="26">
        <f t="shared" ca="1" si="51"/>
        <v>13.599724999999999</v>
      </c>
      <c r="E1146" s="26">
        <f t="shared" ca="1" si="51"/>
        <v>15.326716666666664</v>
      </c>
      <c r="F1146" s="26">
        <f t="shared" ca="1" si="51"/>
        <v>15.326716666666664</v>
      </c>
      <c r="G1146" s="26">
        <f t="shared" ca="1" si="51"/>
        <v>15.331025000000002</v>
      </c>
      <c r="H1146" s="26">
        <f t="shared" ca="1" si="51"/>
        <v>30.984849999999994</v>
      </c>
      <c r="I1146" s="26">
        <f t="shared" ca="1" si="51"/>
        <v>30.989166666666666</v>
      </c>
      <c r="J1146" s="26">
        <f t="shared" ca="1" si="51"/>
        <v>30.984849999999994</v>
      </c>
      <c r="K1146" s="26">
        <f t="shared" ca="1" si="51"/>
        <v>30.989166666666666</v>
      </c>
      <c r="L1146" s="26">
        <f t="shared" ca="1" si="51"/>
        <v>15.326716666666664</v>
      </c>
      <c r="M1146" s="26">
        <f t="shared" ca="1" si="51"/>
        <v>15.331025000000002</v>
      </c>
      <c r="N1146" s="26">
        <f t="shared" ca="1" si="51"/>
        <v>15.326716666666664</v>
      </c>
      <c r="O1146" s="26">
        <f t="shared" ca="1" si="51"/>
        <v>15.331025000000002</v>
      </c>
    </row>
    <row r="1147" spans="1:15" ht="15" x14ac:dyDescent="0.2">
      <c r="A1147" s="11">
        <v>2089</v>
      </c>
      <c r="B1147" s="26">
        <f t="shared" ca="1" si="51"/>
        <v>13.787141666666669</v>
      </c>
      <c r="C1147" s="26">
        <f t="shared" ca="1" si="51"/>
        <v>13.787141666666669</v>
      </c>
      <c r="D1147" s="26">
        <f t="shared" ca="1" si="51"/>
        <v>13.788400000000001</v>
      </c>
      <c r="E1147" s="26">
        <f t="shared" ca="1" si="51"/>
        <v>15.541283333333332</v>
      </c>
      <c r="F1147" s="26">
        <f t="shared" ca="1" si="51"/>
        <v>15.541283333333332</v>
      </c>
      <c r="G1147" s="26">
        <f t="shared" ca="1" si="51"/>
        <v>15.5456</v>
      </c>
      <c r="H1147" s="26">
        <f t="shared" ca="1" si="51"/>
        <v>31.443583333333336</v>
      </c>
      <c r="I1147" s="26">
        <f t="shared" ca="1" si="51"/>
        <v>31.447908333333341</v>
      </c>
      <c r="J1147" s="26">
        <f t="shared" ca="1" si="51"/>
        <v>31.443583333333336</v>
      </c>
      <c r="K1147" s="26">
        <f t="shared" ca="1" si="51"/>
        <v>31.447908333333341</v>
      </c>
      <c r="L1147" s="26">
        <f t="shared" ca="1" si="51"/>
        <v>15.541283333333332</v>
      </c>
      <c r="M1147" s="26">
        <f t="shared" ca="1" si="51"/>
        <v>15.5456</v>
      </c>
      <c r="N1147" s="26">
        <f t="shared" ca="1" si="51"/>
        <v>15.541283333333332</v>
      </c>
      <c r="O1147" s="26">
        <f t="shared" ca="1" si="51"/>
        <v>15.5456</v>
      </c>
    </row>
    <row r="1148" spans="1:15" ht="15" x14ac:dyDescent="0.2">
      <c r="A1148" s="11">
        <v>2090</v>
      </c>
      <c r="B1148" s="26">
        <f t="shared" ca="1" si="51"/>
        <v>13.975841666666668</v>
      </c>
      <c r="C1148" s="26">
        <f t="shared" ca="1" si="51"/>
        <v>13.975841666666668</v>
      </c>
      <c r="D1148" s="26">
        <f t="shared" ca="1" si="51"/>
        <v>13.977124999999996</v>
      </c>
      <c r="E1148" s="26">
        <f t="shared" ca="1" si="51"/>
        <v>15.755858333333334</v>
      </c>
      <c r="F1148" s="26">
        <f t="shared" ca="1" si="51"/>
        <v>15.755858333333334</v>
      </c>
      <c r="G1148" s="26">
        <f t="shared" ca="1" si="51"/>
        <v>15.760166666666663</v>
      </c>
      <c r="H1148" s="26">
        <f t="shared" ca="1" si="51"/>
        <v>31.902308333333337</v>
      </c>
      <c r="I1148" s="26">
        <f t="shared" ca="1" si="51"/>
        <v>31.906633333333335</v>
      </c>
      <c r="J1148" s="26">
        <f t="shared" ca="1" si="51"/>
        <v>31.902308333333337</v>
      </c>
      <c r="K1148" s="26">
        <f t="shared" ca="1" si="51"/>
        <v>31.906633333333335</v>
      </c>
      <c r="L1148" s="26">
        <f t="shared" ca="1" si="51"/>
        <v>15.755858333333334</v>
      </c>
      <c r="M1148" s="26">
        <f t="shared" ca="1" si="51"/>
        <v>15.760166666666663</v>
      </c>
      <c r="N1148" s="26">
        <f t="shared" ca="1" si="51"/>
        <v>15.755858333333334</v>
      </c>
      <c r="O1148" s="26">
        <f t="shared" ca="1" si="51"/>
        <v>15.760166666666663</v>
      </c>
    </row>
    <row r="1149" spans="1:15" ht="15" x14ac:dyDescent="0.2">
      <c r="A1149" s="11">
        <v>2091</v>
      </c>
      <c r="B1149" s="26">
        <f t="shared" ca="1" si="51"/>
        <v>14.164533333333333</v>
      </c>
      <c r="C1149" s="26">
        <f t="shared" ca="1" si="51"/>
        <v>14.164533333333333</v>
      </c>
      <c r="D1149" s="26">
        <f t="shared" ca="1" si="51"/>
        <v>14.165816666666665</v>
      </c>
      <c r="E1149" s="26">
        <f t="shared" ca="1" si="51"/>
        <v>15.970408333333333</v>
      </c>
      <c r="F1149" s="26">
        <f t="shared" ca="1" si="51"/>
        <v>15.970408333333333</v>
      </c>
      <c r="G1149" s="26">
        <f t="shared" ca="1" si="51"/>
        <v>15.974724999999999</v>
      </c>
      <c r="H1149" s="26">
        <f t="shared" ca="1" si="51"/>
        <v>32.361066666666666</v>
      </c>
      <c r="I1149" s="26">
        <f t="shared" ca="1" si="51"/>
        <v>32.365366666666667</v>
      </c>
      <c r="J1149" s="26">
        <f t="shared" ca="1" si="51"/>
        <v>32.361066666666666</v>
      </c>
      <c r="K1149" s="26">
        <f t="shared" ca="1" si="51"/>
        <v>32.365366666666667</v>
      </c>
      <c r="L1149" s="26">
        <f t="shared" ca="1" si="51"/>
        <v>15.970408333333333</v>
      </c>
      <c r="M1149" s="26">
        <f t="shared" ca="1" si="51"/>
        <v>15.974724999999999</v>
      </c>
      <c r="N1149" s="26">
        <f t="shared" ca="1" si="51"/>
        <v>15.970408333333333</v>
      </c>
      <c r="O1149" s="26">
        <f t="shared" ca="1" si="51"/>
        <v>15.974724999999999</v>
      </c>
    </row>
    <row r="1150" spans="1:15" ht="15" x14ac:dyDescent="0.2">
      <c r="A1150" s="11">
        <v>2092</v>
      </c>
      <c r="B1150" s="26">
        <f t="shared" ref="B1150:O1158" ca="1" si="52">AVERAGE(OFFSET(B$602,($A1150-$A$1120)*12,0,12,1))</f>
        <v>14.353250000000001</v>
      </c>
      <c r="C1150" s="26">
        <f t="shared" ca="1" si="52"/>
        <v>14.353250000000001</v>
      </c>
      <c r="D1150" s="26">
        <f t="shared" ca="1" si="52"/>
        <v>14.354508333333333</v>
      </c>
      <c r="E1150" s="26">
        <f t="shared" ca="1" si="52"/>
        <v>16.184991666666665</v>
      </c>
      <c r="F1150" s="26">
        <f t="shared" ca="1" si="52"/>
        <v>16.184991666666665</v>
      </c>
      <c r="G1150" s="26">
        <f t="shared" ca="1" si="52"/>
        <v>16.189299999999999</v>
      </c>
      <c r="H1150" s="26">
        <f t="shared" ca="1" si="52"/>
        <v>32.819791666666667</v>
      </c>
      <c r="I1150" s="26">
        <f t="shared" ca="1" si="52"/>
        <v>32.824100000000001</v>
      </c>
      <c r="J1150" s="26">
        <f t="shared" ca="1" si="52"/>
        <v>32.819791666666667</v>
      </c>
      <c r="K1150" s="26">
        <f t="shared" ca="1" si="52"/>
        <v>32.824100000000001</v>
      </c>
      <c r="L1150" s="26">
        <f t="shared" ca="1" si="52"/>
        <v>16.184991666666665</v>
      </c>
      <c r="M1150" s="26">
        <f t="shared" ca="1" si="52"/>
        <v>16.189299999999999</v>
      </c>
      <c r="N1150" s="26">
        <f t="shared" ca="1" si="52"/>
        <v>16.184991666666665</v>
      </c>
      <c r="O1150" s="26">
        <f t="shared" ca="1" si="52"/>
        <v>16.189299999999999</v>
      </c>
    </row>
    <row r="1151" spans="1:15" ht="15" x14ac:dyDescent="0.2">
      <c r="A1151" s="11">
        <v>2093</v>
      </c>
      <c r="B1151" s="26">
        <f t="shared" ca="1" si="52"/>
        <v>14.541925000000001</v>
      </c>
      <c r="C1151" s="26">
        <f t="shared" ca="1" si="52"/>
        <v>14.541925000000001</v>
      </c>
      <c r="D1151" s="26">
        <f t="shared" ca="1" si="52"/>
        <v>14.543216666666666</v>
      </c>
      <c r="E1151" s="26">
        <f t="shared" ca="1" si="52"/>
        <v>16.399541666666668</v>
      </c>
      <c r="F1151" s="26">
        <f t="shared" ca="1" si="52"/>
        <v>16.399541666666668</v>
      </c>
      <c r="G1151" s="26">
        <f t="shared" ca="1" si="52"/>
        <v>16.403849999999995</v>
      </c>
      <c r="H1151" s="26">
        <f t="shared" ca="1" si="52"/>
        <v>33.278541666666669</v>
      </c>
      <c r="I1151" s="26">
        <f t="shared" ca="1" si="52"/>
        <v>33.282850000000003</v>
      </c>
      <c r="J1151" s="26">
        <f t="shared" ca="1" si="52"/>
        <v>33.278541666666669</v>
      </c>
      <c r="K1151" s="26">
        <f t="shared" ca="1" si="52"/>
        <v>33.282850000000003</v>
      </c>
      <c r="L1151" s="26">
        <f t="shared" ca="1" si="52"/>
        <v>16.399541666666668</v>
      </c>
      <c r="M1151" s="26">
        <f t="shared" ca="1" si="52"/>
        <v>16.403849999999995</v>
      </c>
      <c r="N1151" s="26">
        <f t="shared" ca="1" si="52"/>
        <v>16.399541666666668</v>
      </c>
      <c r="O1151" s="26">
        <f t="shared" ca="1" si="52"/>
        <v>16.403849999999995</v>
      </c>
    </row>
    <row r="1152" spans="1:15" ht="15" x14ac:dyDescent="0.2">
      <c r="A1152" s="11">
        <v>2094</v>
      </c>
      <c r="B1152" s="26">
        <f t="shared" ca="1" si="52"/>
        <v>14.730650000000002</v>
      </c>
      <c r="C1152" s="26">
        <f t="shared" ca="1" si="52"/>
        <v>14.730650000000002</v>
      </c>
      <c r="D1152" s="26">
        <f t="shared" ca="1" si="52"/>
        <v>14.731908333333331</v>
      </c>
      <c r="E1152" s="26">
        <f t="shared" ca="1" si="52"/>
        <v>16.614100000000004</v>
      </c>
      <c r="F1152" s="26">
        <f t="shared" ca="1" si="52"/>
        <v>16.614100000000004</v>
      </c>
      <c r="G1152" s="26">
        <f t="shared" ca="1" si="52"/>
        <v>16.618416666666665</v>
      </c>
      <c r="H1152" s="26">
        <f t="shared" ca="1" si="52"/>
        <v>33.737250000000003</v>
      </c>
      <c r="I1152" s="26">
        <f t="shared" ca="1" si="52"/>
        <v>33.741575000000005</v>
      </c>
      <c r="J1152" s="26">
        <f t="shared" ca="1" si="52"/>
        <v>33.737250000000003</v>
      </c>
      <c r="K1152" s="26">
        <f t="shared" ca="1" si="52"/>
        <v>33.741575000000005</v>
      </c>
      <c r="L1152" s="26">
        <f t="shared" ca="1" si="52"/>
        <v>16.614100000000004</v>
      </c>
      <c r="M1152" s="26">
        <f t="shared" ca="1" si="52"/>
        <v>16.618416666666665</v>
      </c>
      <c r="N1152" s="26">
        <f t="shared" ca="1" si="52"/>
        <v>16.614100000000004</v>
      </c>
      <c r="O1152" s="26">
        <f t="shared" ca="1" si="52"/>
        <v>16.618416666666665</v>
      </c>
    </row>
    <row r="1153" spans="1:15" ht="15" x14ac:dyDescent="0.2">
      <c r="A1153" s="11">
        <v>2095</v>
      </c>
      <c r="B1153" s="26">
        <f t="shared" ca="1" si="52"/>
        <v>14.919341666666666</v>
      </c>
      <c r="C1153" s="26">
        <f t="shared" ca="1" si="52"/>
        <v>14.919341666666666</v>
      </c>
      <c r="D1153" s="26">
        <f t="shared" ca="1" si="52"/>
        <v>14.920624999999999</v>
      </c>
      <c r="E1153" s="26">
        <f t="shared" ca="1" si="52"/>
        <v>16.828675</v>
      </c>
      <c r="F1153" s="26">
        <f t="shared" ca="1" si="52"/>
        <v>16.828675</v>
      </c>
      <c r="G1153" s="26">
        <f t="shared" ca="1" si="52"/>
        <v>16.832991666666665</v>
      </c>
      <c r="H1153" s="26">
        <f t="shared" ca="1" si="52"/>
        <v>34.196000000000005</v>
      </c>
      <c r="I1153" s="26">
        <f t="shared" ca="1" si="52"/>
        <v>34.200324999999999</v>
      </c>
      <c r="J1153" s="26">
        <f t="shared" ca="1" si="52"/>
        <v>34.196000000000005</v>
      </c>
      <c r="K1153" s="26">
        <f t="shared" ca="1" si="52"/>
        <v>34.200324999999999</v>
      </c>
      <c r="L1153" s="26">
        <f t="shared" ca="1" si="52"/>
        <v>16.828675</v>
      </c>
      <c r="M1153" s="26">
        <f t="shared" ca="1" si="52"/>
        <v>16.832991666666665</v>
      </c>
      <c r="N1153" s="26">
        <f t="shared" ca="1" si="52"/>
        <v>16.828675</v>
      </c>
      <c r="O1153" s="26">
        <f t="shared" ca="1" si="52"/>
        <v>16.832991666666665</v>
      </c>
    </row>
    <row r="1154" spans="1:15" ht="15" x14ac:dyDescent="0.2">
      <c r="A1154" s="11">
        <v>2096</v>
      </c>
      <c r="B1154" s="26">
        <f t="shared" ca="1" si="52"/>
        <v>15.108033333333333</v>
      </c>
      <c r="C1154" s="26">
        <f t="shared" ca="1" si="52"/>
        <v>15.108033333333333</v>
      </c>
      <c r="D1154" s="26">
        <f t="shared" ca="1" si="52"/>
        <v>15.109316666666665</v>
      </c>
      <c r="E1154" s="26">
        <f t="shared" ca="1" si="52"/>
        <v>17.043241666666667</v>
      </c>
      <c r="F1154" s="26">
        <f t="shared" ca="1" si="52"/>
        <v>17.043241666666667</v>
      </c>
      <c r="G1154" s="26">
        <f t="shared" ca="1" si="52"/>
        <v>17.047558333333335</v>
      </c>
      <c r="H1154" s="26">
        <f t="shared" ca="1" si="52"/>
        <v>34.654724999999992</v>
      </c>
      <c r="I1154" s="26">
        <f t="shared" ca="1" si="52"/>
        <v>34.659050000000001</v>
      </c>
      <c r="J1154" s="26">
        <f t="shared" ca="1" si="52"/>
        <v>34.654724999999992</v>
      </c>
      <c r="K1154" s="26">
        <f t="shared" ca="1" si="52"/>
        <v>34.659050000000001</v>
      </c>
      <c r="L1154" s="26">
        <f t="shared" ca="1" si="52"/>
        <v>17.043241666666667</v>
      </c>
      <c r="M1154" s="26">
        <f t="shared" ca="1" si="52"/>
        <v>17.047558333333335</v>
      </c>
      <c r="N1154" s="26">
        <f t="shared" ca="1" si="52"/>
        <v>17.043241666666667</v>
      </c>
      <c r="O1154" s="26">
        <f t="shared" ca="1" si="52"/>
        <v>17.047558333333335</v>
      </c>
    </row>
    <row r="1155" spans="1:15" ht="15" x14ac:dyDescent="0.2">
      <c r="A1155" s="11">
        <v>2097</v>
      </c>
      <c r="B1155" s="26">
        <f t="shared" ca="1" si="52"/>
        <v>15.296750000000001</v>
      </c>
      <c r="C1155" s="26">
        <f t="shared" ca="1" si="52"/>
        <v>15.296750000000001</v>
      </c>
      <c r="D1155" s="26">
        <f t="shared" ca="1" si="52"/>
        <v>15.298008333333334</v>
      </c>
      <c r="E1155" s="26">
        <f t="shared" ca="1" si="52"/>
        <v>17.2578</v>
      </c>
      <c r="F1155" s="26">
        <f t="shared" ca="1" si="52"/>
        <v>17.2578</v>
      </c>
      <c r="G1155" s="26">
        <f t="shared" ca="1" si="52"/>
        <v>17.262116666666664</v>
      </c>
      <c r="H1155" s="26">
        <f t="shared" ca="1" si="52"/>
        <v>35.113491666666668</v>
      </c>
      <c r="I1155" s="26">
        <f t="shared" ca="1" si="52"/>
        <v>35.117791666666669</v>
      </c>
      <c r="J1155" s="26">
        <f t="shared" ca="1" si="52"/>
        <v>35.113491666666668</v>
      </c>
      <c r="K1155" s="26">
        <f t="shared" ca="1" si="52"/>
        <v>35.117791666666669</v>
      </c>
      <c r="L1155" s="26">
        <f t="shared" ca="1" si="52"/>
        <v>17.2578</v>
      </c>
      <c r="M1155" s="26">
        <f t="shared" ca="1" si="52"/>
        <v>17.262116666666664</v>
      </c>
      <c r="N1155" s="26">
        <f t="shared" ca="1" si="52"/>
        <v>17.2578</v>
      </c>
      <c r="O1155" s="26">
        <f t="shared" ca="1" si="52"/>
        <v>17.262116666666664</v>
      </c>
    </row>
    <row r="1156" spans="1:15" ht="15" x14ac:dyDescent="0.2">
      <c r="A1156" s="11">
        <v>2098</v>
      </c>
      <c r="B1156" s="26">
        <f t="shared" ca="1" si="52"/>
        <v>15.485433333333333</v>
      </c>
      <c r="C1156" s="26">
        <f t="shared" ca="1" si="52"/>
        <v>15.485433333333333</v>
      </c>
      <c r="D1156" s="26">
        <f t="shared" ca="1" si="52"/>
        <v>15.486733333333333</v>
      </c>
      <c r="E1156" s="26">
        <f t="shared" ca="1" si="52"/>
        <v>17.472383333333333</v>
      </c>
      <c r="F1156" s="26">
        <f t="shared" ca="1" si="52"/>
        <v>17.472383333333333</v>
      </c>
      <c r="G1156" s="26">
        <f t="shared" ca="1" si="52"/>
        <v>17.476700000000001</v>
      </c>
      <c r="H1156" s="26">
        <f t="shared" ca="1" si="52"/>
        <v>35.572208333333336</v>
      </c>
      <c r="I1156" s="26">
        <f t="shared" ca="1" si="52"/>
        <v>35.576524999999997</v>
      </c>
      <c r="J1156" s="26">
        <f t="shared" ca="1" si="52"/>
        <v>35.572208333333336</v>
      </c>
      <c r="K1156" s="26">
        <f t="shared" ca="1" si="52"/>
        <v>35.576524999999997</v>
      </c>
      <c r="L1156" s="26">
        <f t="shared" ca="1" si="52"/>
        <v>17.472383333333333</v>
      </c>
      <c r="M1156" s="26">
        <f t="shared" ca="1" si="52"/>
        <v>17.476700000000001</v>
      </c>
      <c r="N1156" s="26">
        <f t="shared" ca="1" si="52"/>
        <v>17.472383333333333</v>
      </c>
      <c r="O1156" s="26">
        <f t="shared" ca="1" si="52"/>
        <v>17.476700000000001</v>
      </c>
    </row>
    <row r="1157" spans="1:15" ht="15" x14ac:dyDescent="0.2">
      <c r="A1157" s="11">
        <v>2099</v>
      </c>
      <c r="B1157" s="26">
        <f t="shared" ca="1" si="52"/>
        <v>15.674149999999999</v>
      </c>
      <c r="C1157" s="26">
        <f t="shared" ca="1" si="52"/>
        <v>15.674149999999999</v>
      </c>
      <c r="D1157" s="26">
        <f t="shared" ca="1" si="52"/>
        <v>15.675425000000002</v>
      </c>
      <c r="E1157" s="26">
        <f t="shared" ca="1" si="52"/>
        <v>17.686933333333332</v>
      </c>
      <c r="F1157" s="26">
        <f t="shared" ca="1" si="52"/>
        <v>17.686933333333332</v>
      </c>
      <c r="G1157" s="26">
        <f t="shared" ca="1" si="52"/>
        <v>17.691258333333334</v>
      </c>
      <c r="H1157" s="26">
        <f t="shared" ca="1" si="52"/>
        <v>36.030949999999997</v>
      </c>
      <c r="I1157" s="26">
        <f t="shared" ca="1" si="52"/>
        <v>36.035266666666665</v>
      </c>
      <c r="J1157" s="26">
        <f t="shared" ca="1" si="52"/>
        <v>36.030949999999997</v>
      </c>
      <c r="K1157" s="26">
        <f t="shared" ca="1" si="52"/>
        <v>36.035266666666665</v>
      </c>
      <c r="L1157" s="26">
        <f t="shared" ca="1" si="52"/>
        <v>17.686933333333332</v>
      </c>
      <c r="M1157" s="26">
        <f t="shared" ca="1" si="52"/>
        <v>17.691258333333334</v>
      </c>
      <c r="N1157" s="26">
        <f t="shared" ca="1" si="52"/>
        <v>17.686933333333332</v>
      </c>
      <c r="O1157" s="26">
        <f t="shared" ca="1" si="52"/>
        <v>17.691258333333334</v>
      </c>
    </row>
    <row r="1158" spans="1:15" ht="15" x14ac:dyDescent="0.2">
      <c r="A1158" s="11">
        <v>2100</v>
      </c>
      <c r="B1158" s="26">
        <f t="shared" ca="1" si="52"/>
        <v>15.862841666666663</v>
      </c>
      <c r="C1158" s="26">
        <f t="shared" ca="1" si="52"/>
        <v>15.862841666666663</v>
      </c>
      <c r="D1158" s="26">
        <f t="shared" ca="1" si="52"/>
        <v>15.864133333333335</v>
      </c>
      <c r="E1158" s="26">
        <f t="shared" ca="1" si="52"/>
        <v>17.901491666666669</v>
      </c>
      <c r="F1158" s="26">
        <f t="shared" ca="1" si="52"/>
        <v>17.901491666666669</v>
      </c>
      <c r="G1158" s="26">
        <f t="shared" ca="1" si="52"/>
        <v>17.905808333333329</v>
      </c>
      <c r="H1158" s="26">
        <f t="shared" ca="1" si="52"/>
        <v>36.489683333333332</v>
      </c>
      <c r="I1158" s="26">
        <f t="shared" ca="1" si="52"/>
        <v>36.493991666666666</v>
      </c>
      <c r="J1158" s="26">
        <f t="shared" ca="1" si="52"/>
        <v>36.489683333333332</v>
      </c>
      <c r="K1158" s="26">
        <f t="shared" ca="1" si="52"/>
        <v>36.493991666666666</v>
      </c>
      <c r="L1158" s="26">
        <f t="shared" ca="1" si="52"/>
        <v>17.901491666666669</v>
      </c>
      <c r="M1158" s="26">
        <f t="shared" ca="1" si="52"/>
        <v>17.905808333333329</v>
      </c>
      <c r="N1158" s="26">
        <f t="shared" ca="1" si="52"/>
        <v>17.901491666666669</v>
      </c>
      <c r="O1158" s="26">
        <f t="shared" ca="1" si="52"/>
        <v>17.905808333333329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17" scale="6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38100</xdr:rowOff>
                  </from>
                  <to>
                    <xdr:col>6</xdr:col>
                    <xdr:colOff>381000</xdr:colOff>
                    <xdr:row>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76"/>
  <sheetViews>
    <sheetView zoomScale="70" zoomScaleNormal="70" workbookViewId="0">
      <pane xSplit="1" ySplit="11" topLeftCell="B12" activePane="bottomRight" state="frozen"/>
      <selection activeCell="A6" sqref="A6"/>
      <selection pane="topRight" activeCell="A6" sqref="A6"/>
      <selection pane="bottomLeft" activeCell="A6" sqref="A6"/>
      <selection pane="bottomRight" activeCell="B12" sqref="B12"/>
    </sheetView>
  </sheetViews>
  <sheetFormatPr defaultColWidth="7.109375" defaultRowHeight="12.75" x14ac:dyDescent="0.2"/>
  <cols>
    <col min="1" max="1" width="18.44140625" style="9" customWidth="1"/>
    <col min="2" max="3" width="14.5546875" style="9" customWidth="1"/>
    <col min="4" max="4" width="16.88671875" style="9" customWidth="1"/>
    <col min="5" max="5" width="14.5546875" style="9" customWidth="1"/>
    <col min="6" max="6" width="16.77734375" style="9" customWidth="1"/>
    <col min="7" max="9" width="14.5546875" style="9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 x14ac:dyDescent="0.25">
      <c r="A1" s="107" t="s">
        <v>91</v>
      </c>
    </row>
    <row r="2" spans="1:10" ht="15.75" x14ac:dyDescent="0.25">
      <c r="A2" s="107" t="s">
        <v>92</v>
      </c>
    </row>
    <row r="3" spans="1:10" ht="15.75" x14ac:dyDescent="0.25">
      <c r="A3" s="107" t="s">
        <v>93</v>
      </c>
    </row>
    <row r="4" spans="1:10" ht="15.75" x14ac:dyDescent="0.25">
      <c r="A4" s="107" t="s">
        <v>94</v>
      </c>
    </row>
    <row r="5" spans="1:10" ht="15.75" x14ac:dyDescent="0.25">
      <c r="A5" s="107" t="s">
        <v>96</v>
      </c>
    </row>
    <row r="6" spans="1:10" ht="15.75" x14ac:dyDescent="0.25">
      <c r="A6" s="107" t="s">
        <v>99</v>
      </c>
    </row>
    <row r="8" spans="1:10" ht="15.75" x14ac:dyDescent="0.25">
      <c r="A8" s="47" t="s">
        <v>28</v>
      </c>
      <c r="B8" s="48"/>
      <c r="C8" s="24"/>
    </row>
    <row r="9" spans="1:10" ht="15.75" x14ac:dyDescent="0.25">
      <c r="A9" s="47"/>
      <c r="B9" s="24"/>
      <c r="C9" s="24"/>
      <c r="D9" s="23" t="s">
        <v>27</v>
      </c>
      <c r="E9" s="22">
        <f>1-0.273</f>
        <v>0.72699999999999998</v>
      </c>
      <c r="F9" s="23" t="s">
        <v>26</v>
      </c>
      <c r="G9" s="22">
        <f>1+0.273</f>
        <v>1.2730000000000001</v>
      </c>
    </row>
    <row r="10" spans="1:10" s="18" customFormat="1" ht="34.9" customHeight="1" x14ac:dyDescent="0.25">
      <c r="B10" s="21" t="s">
        <v>47</v>
      </c>
      <c r="C10" s="19" t="s">
        <v>46</v>
      </c>
      <c r="D10" s="21" t="s">
        <v>45</v>
      </c>
      <c r="E10" s="21" t="s">
        <v>44</v>
      </c>
      <c r="F10" s="21" t="s">
        <v>43</v>
      </c>
      <c r="G10" s="19" t="s">
        <v>42</v>
      </c>
      <c r="H10" s="19" t="s">
        <v>41</v>
      </c>
      <c r="I10" s="21" t="s">
        <v>40</v>
      </c>
      <c r="J10" s="19" t="s">
        <v>39</v>
      </c>
    </row>
    <row r="11" spans="1:10" s="18" customFormat="1" ht="21" customHeight="1" x14ac:dyDescent="0.25">
      <c r="A11" s="20" t="s">
        <v>15</v>
      </c>
      <c r="B11" s="20" t="s">
        <v>14</v>
      </c>
      <c r="C11" s="20" t="s">
        <v>14</v>
      </c>
      <c r="D11" s="20" t="s">
        <v>14</v>
      </c>
      <c r="E11" s="20" t="s">
        <v>14</v>
      </c>
      <c r="F11" s="20" t="s">
        <v>14</v>
      </c>
      <c r="G11" s="20" t="s">
        <v>14</v>
      </c>
      <c r="H11" s="20" t="s">
        <v>14</v>
      </c>
      <c r="I11" s="20" t="s">
        <v>14</v>
      </c>
      <c r="J11" s="20" t="s">
        <v>38</v>
      </c>
    </row>
    <row r="12" spans="1:10" ht="15" x14ac:dyDescent="0.2">
      <c r="A12" s="16">
        <v>41275</v>
      </c>
      <c r="B12" s="10">
        <v>17.5608163872467</v>
      </c>
      <c r="C12" s="10">
        <v>16.672788775099502</v>
      </c>
      <c r="D12" s="10">
        <v>16.664976275099502</v>
      </c>
      <c r="E12" s="10">
        <v>16.664976275099502</v>
      </c>
      <c r="F12" s="10">
        <v>16.6118512750995</v>
      </c>
      <c r="G12" s="10">
        <v>16.6712262750995</v>
      </c>
      <c r="H12" s="10">
        <v>16.6712262750995</v>
      </c>
      <c r="I12" s="10">
        <v>16.672788775099502</v>
      </c>
      <c r="J12" s="44">
        <f>89.51</f>
        <v>89.51</v>
      </c>
    </row>
    <row r="13" spans="1:10" ht="15" x14ac:dyDescent="0.2">
      <c r="A13" s="16">
        <v>41306</v>
      </c>
      <c r="B13" s="10">
        <v>18.139507285282502</v>
      </c>
      <c r="C13" s="10">
        <v>17.084489196554799</v>
      </c>
      <c r="D13" s="10">
        <v>17.076676696554799</v>
      </c>
      <c r="E13" s="10">
        <v>17.076676696554799</v>
      </c>
      <c r="F13" s="10">
        <v>17.023551696554801</v>
      </c>
      <c r="G13" s="10">
        <v>17.0829266965548</v>
      </c>
      <c r="H13" s="10">
        <v>17.0829266965548</v>
      </c>
      <c r="I13" s="10">
        <v>17.084489196554799</v>
      </c>
      <c r="J13" s="44">
        <f>96.24</f>
        <v>96.24</v>
      </c>
    </row>
    <row r="14" spans="1:10" ht="15" x14ac:dyDescent="0.2">
      <c r="A14" s="16">
        <v>41334</v>
      </c>
      <c r="B14" s="10">
        <v>16.456719986895401</v>
      </c>
      <c r="C14" s="10">
        <v>15.771603971900401</v>
      </c>
      <c r="D14" s="10">
        <v>15.763791471900401</v>
      </c>
      <c r="E14" s="10">
        <v>15.763791471900401</v>
      </c>
      <c r="F14" s="10">
        <v>16.456719986895401</v>
      </c>
      <c r="G14" s="10">
        <v>15.770041471900401</v>
      </c>
      <c r="H14" s="10">
        <v>15.770041471900401</v>
      </c>
      <c r="I14" s="10">
        <v>15.771603971900401</v>
      </c>
      <c r="J14" s="44">
        <f>94.46</f>
        <v>94.46</v>
      </c>
    </row>
    <row r="15" spans="1:10" ht="15" x14ac:dyDescent="0.2">
      <c r="A15" s="16">
        <v>41365</v>
      </c>
      <c r="B15" s="10">
        <v>16.071251267255601</v>
      </c>
      <c r="C15" s="10">
        <v>15.4136066904326</v>
      </c>
      <c r="D15" s="10">
        <v>15.4057941904326</v>
      </c>
      <c r="E15" s="10">
        <v>15.4057941904326</v>
      </c>
      <c r="F15" s="45">
        <v>15.915001267255599</v>
      </c>
      <c r="G15" s="10">
        <v>15.412044190432599</v>
      </c>
      <c r="H15" s="10">
        <v>15.412044190432599</v>
      </c>
      <c r="I15" s="10">
        <v>15.4136066904326</v>
      </c>
      <c r="J15" s="44">
        <f>92.96</f>
        <v>92.96</v>
      </c>
    </row>
    <row r="16" spans="1:10" ht="15" x14ac:dyDescent="0.2">
      <c r="A16" s="16">
        <v>41395</v>
      </c>
      <c r="B16" s="10">
        <v>16.0652180011265</v>
      </c>
      <c r="C16" s="10">
        <v>15.407153397421901</v>
      </c>
      <c r="D16" s="10">
        <v>15.399340897421901</v>
      </c>
      <c r="E16" s="10">
        <v>15.399340897421901</v>
      </c>
      <c r="F16" s="45">
        <v>15.9089680011265</v>
      </c>
      <c r="G16" s="10">
        <v>15.4055908974219</v>
      </c>
      <c r="H16" s="10">
        <v>15.4055908974219</v>
      </c>
      <c r="I16" s="10">
        <v>15.407153397421901</v>
      </c>
      <c r="J16" s="44">
        <f>88.76</f>
        <v>88.76</v>
      </c>
    </row>
    <row r="17" spans="1:10" ht="15" x14ac:dyDescent="0.2">
      <c r="A17" s="16">
        <v>41426</v>
      </c>
      <c r="B17" s="10">
        <v>15.8182825172556</v>
      </c>
      <c r="C17" s="10">
        <v>15.2292316904326</v>
      </c>
      <c r="D17" s="10">
        <v>15.2214191904326</v>
      </c>
      <c r="E17" s="10">
        <v>15.2214191904326</v>
      </c>
      <c r="F17" s="45">
        <v>15.6620325172556</v>
      </c>
      <c r="G17" s="10">
        <v>15.2276691904326</v>
      </c>
      <c r="H17" s="10">
        <v>15.2276691904326</v>
      </c>
      <c r="I17" s="10">
        <v>15.2292316904326</v>
      </c>
      <c r="J17" s="44">
        <f>96.16</f>
        <v>96.16</v>
      </c>
    </row>
    <row r="18" spans="1:10" ht="15" x14ac:dyDescent="0.2">
      <c r="A18" s="16">
        <v>41456</v>
      </c>
      <c r="B18" s="10">
        <v>15.5105978738396</v>
      </c>
      <c r="C18" s="10">
        <v>15.084690528199401</v>
      </c>
      <c r="D18" s="10">
        <v>15.076878028199401</v>
      </c>
      <c r="E18" s="10">
        <v>15.076878028199401</v>
      </c>
      <c r="F18" s="45">
        <v>15.3543478738396</v>
      </c>
      <c r="G18" s="10">
        <v>15.0831280281994</v>
      </c>
      <c r="H18" s="10">
        <v>15.0831280281994</v>
      </c>
      <c r="I18" s="10">
        <v>15.084690528199401</v>
      </c>
      <c r="J18" s="44">
        <f>95.4</f>
        <v>95.4</v>
      </c>
    </row>
    <row r="19" spans="1:10" ht="15" x14ac:dyDescent="0.2">
      <c r="A19" s="16">
        <v>41487</v>
      </c>
      <c r="B19" s="10">
        <v>16.016999083517</v>
      </c>
      <c r="C19" s="10">
        <v>15.4416965765865</v>
      </c>
      <c r="D19" s="10">
        <v>15.4338840765865</v>
      </c>
      <c r="E19" s="10">
        <v>15.4338840765865</v>
      </c>
      <c r="F19" s="45">
        <v>15.860749083517</v>
      </c>
      <c r="G19" s="10">
        <v>15.440134076586499</v>
      </c>
      <c r="H19" s="10">
        <v>15.440134076586499</v>
      </c>
      <c r="I19" s="10">
        <v>15.4416965765865</v>
      </c>
      <c r="J19" s="44">
        <f>106.91</f>
        <v>106.91</v>
      </c>
    </row>
    <row r="20" spans="1:10" ht="15" x14ac:dyDescent="0.2">
      <c r="A20" s="16">
        <v>41518</v>
      </c>
      <c r="B20" s="10">
        <v>16.238246544738399</v>
      </c>
      <c r="C20" s="10">
        <v>15.679820717915501</v>
      </c>
      <c r="D20" s="10">
        <v>15.672008217915501</v>
      </c>
      <c r="E20" s="10">
        <v>15.672008217915501</v>
      </c>
      <c r="F20" s="45">
        <v>16.081996544738399</v>
      </c>
      <c r="G20" s="10">
        <v>15.6782582179155</v>
      </c>
      <c r="H20" s="10">
        <v>15.6782582179155</v>
      </c>
      <c r="I20" s="10">
        <v>15.679820717915501</v>
      </c>
      <c r="J20" s="44">
        <f>104.96</f>
        <v>104.96</v>
      </c>
    </row>
    <row r="21" spans="1:10" ht="15" x14ac:dyDescent="0.2">
      <c r="A21" s="16">
        <v>41548</v>
      </c>
      <c r="B21" s="10">
        <v>16.233303668394299</v>
      </c>
      <c r="C21" s="10">
        <v>15.497114064689701</v>
      </c>
      <c r="D21" s="10">
        <v>15.489301564689701</v>
      </c>
      <c r="E21" s="10">
        <v>15.489301564689701</v>
      </c>
      <c r="F21" s="45">
        <v>16.077053668394299</v>
      </c>
      <c r="G21" s="10">
        <v>15.4955515646897</v>
      </c>
      <c r="H21" s="10">
        <v>15.4955515646897</v>
      </c>
      <c r="I21" s="10">
        <v>15.497114064689701</v>
      </c>
      <c r="J21" s="44">
        <f>104.67</f>
        <v>104.67</v>
      </c>
    </row>
    <row r="22" spans="1:10" ht="15" x14ac:dyDescent="0.2">
      <c r="A22" s="16">
        <v>41579</v>
      </c>
      <c r="B22" s="10">
        <v>16.1111892530717</v>
      </c>
      <c r="C22" s="10">
        <v>15.2373988429155</v>
      </c>
      <c r="D22" s="10">
        <v>15.2295863429155</v>
      </c>
      <c r="E22" s="10">
        <v>15.2295863429155</v>
      </c>
      <c r="F22" s="45">
        <v>15.9549392530717</v>
      </c>
      <c r="G22" s="10">
        <v>15.235836342915499</v>
      </c>
      <c r="H22" s="10">
        <v>15.235836342915499</v>
      </c>
      <c r="I22" s="10">
        <v>15.2373988429155</v>
      </c>
      <c r="J22" s="44">
        <f>97.8</f>
        <v>97.8</v>
      </c>
    </row>
    <row r="23" spans="1:10" ht="15" x14ac:dyDescent="0.2">
      <c r="A23" s="16">
        <v>41609</v>
      </c>
      <c r="B23" s="10">
        <f>15.6016 * CHOOSE(CONTROL!$C$15, $E$9, 100%, $G$9) + CHOOSE(CONTROL!$C$38, 0.0256, 0)</f>
        <v>15.6272</v>
      </c>
      <c r="C23" s="10">
        <f>14.8203 * CHOOSE(CONTROL!$C$15, $E$9, 100%, $G$9) + CHOOSE(CONTROL!$C$38, 0.0347, 0)</f>
        <v>14.855</v>
      </c>
      <c r="D23" s="10">
        <f>14.8125 * CHOOSE(CONTROL!$C$15, $E$9, 100%, $G$9) + CHOOSE(CONTROL!$C$38, 0.0347, 0)</f>
        <v>14.847200000000001</v>
      </c>
      <c r="E23" s="10">
        <f>14.8125 * CHOOSE(CONTROL!$C$15, $E$9, 100%, $G$9) + CHOOSE(CONTROL!$C$38, 0.0347, 0)</f>
        <v>14.847200000000001</v>
      </c>
      <c r="F23" s="45">
        <f>15.4453 * CHOOSE(CONTROL!$C$15, $E$9, 100%, $G$9) + CHOOSE(CONTROL!$C$38, 0.0256, 0)</f>
        <v>15.4709</v>
      </c>
      <c r="G23" s="10">
        <f>14.8187 * CHOOSE(CONTROL!$C$15, $E$9, 100%, $G$9) + CHOOSE(CONTROL!$C$38, 0.0347, 0)</f>
        <v>14.853400000000001</v>
      </c>
      <c r="H23" s="10">
        <f>14.8187 * CHOOSE(CONTROL!$C$15, $E$9, 100%, $G$9) + CHOOSE(CONTROL!$C$38, 0.0347, 0)</f>
        <v>14.853400000000001</v>
      </c>
      <c r="I23" s="10">
        <f>14.8203 * CHOOSE(CONTROL!$C$15, $E$9, 100%, $G$9) + CHOOSE(CONTROL!$C$38, 0.0347, 0)</f>
        <v>14.855</v>
      </c>
      <c r="J23" s="44">
        <f>94.62</f>
        <v>94.62</v>
      </c>
    </row>
    <row r="24" spans="1:10" ht="15" x14ac:dyDescent="0.2">
      <c r="A24" s="16">
        <v>41640</v>
      </c>
      <c r="B24" s="10">
        <f>15.6562 * CHOOSE(CONTROL!$C$15, $E$9, 100%, $G$9) + CHOOSE(CONTROL!$C$38, 0.0256, 0)</f>
        <v>15.681800000000001</v>
      </c>
      <c r="C24" s="10">
        <f>14.875 * CHOOSE(CONTROL!$C$15, $E$9, 100%, $G$9) + CHOOSE(CONTROL!$C$38, 0.0347, 0)</f>
        <v>14.909700000000001</v>
      </c>
      <c r="D24" s="10">
        <f>14.8672 * CHOOSE(CONTROL!$C$15, $E$9, 100%, $G$9) + CHOOSE(CONTROL!$C$38, 0.0347, 0)</f>
        <v>14.901900000000001</v>
      </c>
      <c r="E24" s="46">
        <f>15.5 * CHOOSE(CONTROL!$C$15, $E$9, 100%, $G$9) + CHOOSE(CONTROL!$C$38, 0.0347, 0)</f>
        <v>15.534700000000001</v>
      </c>
      <c r="F24" s="45">
        <f>15.5 * CHOOSE(CONTROL!$C$15, $E$9, 100%, $G$9) + CHOOSE(CONTROL!$C$38, 0.0256, 0)</f>
        <v>15.525600000000001</v>
      </c>
      <c r="G24" s="10">
        <f>14.8734 * CHOOSE(CONTROL!$C$15, $E$9, 100%, $G$9) + CHOOSE(CONTROL!$C$38, 0.0347, 0)</f>
        <v>14.908100000000001</v>
      </c>
      <c r="H24" s="10">
        <f>14.8734 * CHOOSE(CONTROL!$C$15, $E$9, 100%, $G$9) + CHOOSE(CONTROL!$C$38, 0.0347, 0)</f>
        <v>14.908100000000001</v>
      </c>
      <c r="I24" s="10">
        <f>14.875 * CHOOSE(CONTROL!$C$15, $E$9, 100%, $G$9) + CHOOSE(CONTROL!$C$38, 0.0347, 0)</f>
        <v>14.909700000000001</v>
      </c>
      <c r="J24" s="44">
        <f>94.98</f>
        <v>94.98</v>
      </c>
    </row>
    <row r="25" spans="1:10" ht="15" x14ac:dyDescent="0.2">
      <c r="A25" s="16">
        <v>41671</v>
      </c>
      <c r="B25" s="10">
        <f>15.6406 * CHOOSE(CONTROL!$C$15, $E$9, 100%, $G$9) + CHOOSE(CONTROL!$C$38, 0.0256, 0)</f>
        <v>15.6662</v>
      </c>
      <c r="C25" s="10">
        <f>14.8594 * CHOOSE(CONTROL!$C$15, $E$9, 100%, $G$9) + CHOOSE(CONTROL!$C$38, 0.0347, 0)</f>
        <v>14.894100000000002</v>
      </c>
      <c r="D25" s="10">
        <f>14.8516 * CHOOSE(CONTROL!$C$15, $E$9, 100%, $G$9) + CHOOSE(CONTROL!$C$38, 0.0347, 0)</f>
        <v>14.8863</v>
      </c>
      <c r="E25" s="46">
        <f>15.4844 * CHOOSE(CONTROL!$C$15, $E$9, 100%, $G$9) + CHOOSE(CONTROL!$C$38, 0.0347, 0)</f>
        <v>15.519100000000002</v>
      </c>
      <c r="F25" s="45">
        <f>15.4844 * CHOOSE(CONTROL!$C$15, $E$9, 100%, $G$9) + CHOOSE(CONTROL!$C$38, 0.0256, 0)</f>
        <v>15.510000000000002</v>
      </c>
      <c r="G25" s="10">
        <f>14.8578 * CHOOSE(CONTROL!$C$15, $E$9, 100%, $G$9) + CHOOSE(CONTROL!$C$38, 0.0347, 0)</f>
        <v>14.8925</v>
      </c>
      <c r="H25" s="10">
        <f>14.8578 * CHOOSE(CONTROL!$C$15, $E$9, 100%, $G$9) + CHOOSE(CONTROL!$C$38, 0.0347, 0)</f>
        <v>14.8925</v>
      </c>
      <c r="I25" s="10">
        <f>14.8594 * CHOOSE(CONTROL!$C$15, $E$9, 100%, $G$9) + CHOOSE(CONTROL!$C$38, 0.0347, 0)</f>
        <v>14.894100000000002</v>
      </c>
      <c r="J25" s="44">
        <f>95.13</f>
        <v>95.13</v>
      </c>
    </row>
    <row r="26" spans="1:10" ht="15" x14ac:dyDescent="0.2">
      <c r="A26" s="16">
        <v>41699</v>
      </c>
      <c r="B26" s="10">
        <f>15.625 * CHOOSE(CONTROL!$C$15, $E$9, 100%, $G$9) + CHOOSE(CONTROL!$C$38, 0.0256, 0)</f>
        <v>15.650600000000001</v>
      </c>
      <c r="C26" s="10">
        <f>14.8437 * CHOOSE(CONTROL!$C$15, $E$9, 100%, $G$9) + CHOOSE(CONTROL!$C$38, 0.0347, 0)</f>
        <v>14.878400000000001</v>
      </c>
      <c r="D26" s="10">
        <f>14.8359 * CHOOSE(CONTROL!$C$15, $E$9, 100%, $G$9) + CHOOSE(CONTROL!$C$38, 0.0347, 0)</f>
        <v>14.870600000000001</v>
      </c>
      <c r="E26" s="46">
        <f>15.4687 * CHOOSE(CONTROL!$C$15, $E$9, 100%, $G$9) + CHOOSE(CONTROL!$C$38, 0.0347, 0)</f>
        <v>15.503400000000001</v>
      </c>
      <c r="F26" s="45">
        <f>15.4687 * CHOOSE(CONTROL!$C$15, $E$9, 100%, $G$9) + CHOOSE(CONTROL!$C$38, 0.0256, 0)</f>
        <v>15.494300000000001</v>
      </c>
      <c r="G26" s="10">
        <f>14.8422 * CHOOSE(CONTROL!$C$15, $E$9, 100%, $G$9) + CHOOSE(CONTROL!$C$38, 0.0347, 0)</f>
        <v>14.876900000000001</v>
      </c>
      <c r="H26" s="10">
        <f>14.8422 * CHOOSE(CONTROL!$C$15, $E$9, 100%, $G$9) + CHOOSE(CONTROL!$C$38, 0.0347, 0)</f>
        <v>14.876900000000001</v>
      </c>
      <c r="I26" s="10">
        <f>14.8437 * CHOOSE(CONTROL!$C$15, $E$9, 100%, $G$9) + CHOOSE(CONTROL!$C$38, 0.0347, 0)</f>
        <v>14.878400000000001</v>
      </c>
      <c r="J26" s="44">
        <f>95.11</f>
        <v>95.11</v>
      </c>
    </row>
    <row r="27" spans="1:10" ht="15" x14ac:dyDescent="0.2">
      <c r="A27" s="16">
        <v>41730</v>
      </c>
      <c r="B27" s="10">
        <f>15.5937 * CHOOSE(CONTROL!$C$15, $E$9, 100%, $G$9) + CHOOSE(CONTROL!$C$38, 0.0256, 0)</f>
        <v>15.619300000000001</v>
      </c>
      <c r="C27" s="10">
        <f>14.8125 * CHOOSE(CONTROL!$C$15, $E$9, 100%, $G$9) + CHOOSE(CONTROL!$C$38, 0.0347, 0)</f>
        <v>14.847200000000001</v>
      </c>
      <c r="D27" s="10">
        <f>14.8047 * CHOOSE(CONTROL!$C$15, $E$9, 100%, $G$9) + CHOOSE(CONTROL!$C$38, 0.0347, 0)</f>
        <v>14.839400000000001</v>
      </c>
      <c r="E27" s="46">
        <f>15.4375 * CHOOSE(CONTROL!$C$15, $E$9, 100%, $G$9) + CHOOSE(CONTROL!$C$38, 0.0347, 0)</f>
        <v>15.472200000000001</v>
      </c>
      <c r="F27" s="45">
        <f>15.4375 * CHOOSE(CONTROL!$C$15, $E$9, 100%, $G$9) + CHOOSE(CONTROL!$C$38, 0.0256, 0)</f>
        <v>15.463100000000001</v>
      </c>
      <c r="G27" s="10">
        <f>14.8109 * CHOOSE(CONTROL!$C$15, $E$9, 100%, $G$9) + CHOOSE(CONTROL!$C$38, 0.0347, 0)</f>
        <v>14.845600000000001</v>
      </c>
      <c r="H27" s="10">
        <f>14.8109 * CHOOSE(CONTROL!$C$15, $E$9, 100%, $G$9) + CHOOSE(CONTROL!$C$38, 0.0347, 0)</f>
        <v>14.845600000000001</v>
      </c>
      <c r="I27" s="10">
        <f>14.8125 * CHOOSE(CONTROL!$C$15, $E$9, 100%, $G$9) + CHOOSE(CONTROL!$C$38, 0.0347, 0)</f>
        <v>14.847200000000001</v>
      </c>
      <c r="J27" s="44">
        <f>94.87</f>
        <v>94.87</v>
      </c>
    </row>
    <row r="28" spans="1:10" ht="15" x14ac:dyDescent="0.2">
      <c r="A28" s="16">
        <v>41760</v>
      </c>
      <c r="B28" s="10">
        <f>15.5937 * CHOOSE(CONTROL!$C$15, $E$9, 100%, $G$9) + CHOOSE(CONTROL!$C$38, 0.0278, 0)</f>
        <v>15.621499999999999</v>
      </c>
      <c r="C28" s="10">
        <f>14.8125 * CHOOSE(CONTROL!$C$15, $E$9, 100%, $G$9) + CHOOSE(CONTROL!$C$38, 0.0369, 0)</f>
        <v>14.849399999999999</v>
      </c>
      <c r="D28" s="10">
        <f>14.8047 * CHOOSE(CONTROL!$C$15, $E$9, 100%, $G$9) + CHOOSE(CONTROL!$C$38, 0.0369, 0)</f>
        <v>14.8416</v>
      </c>
      <c r="E28" s="46">
        <f>15.4375 * CHOOSE(CONTROL!$C$15, $E$9, 100%, $G$9) + CHOOSE(CONTROL!$C$38, 0.0369, 0)</f>
        <v>15.474399999999999</v>
      </c>
      <c r="F28" s="45">
        <f>15.4375 * CHOOSE(CONTROL!$C$15, $E$9, 100%, $G$9) + CHOOSE(CONTROL!$C$38, 0.0278, 0)</f>
        <v>15.465299999999999</v>
      </c>
      <c r="G28" s="10">
        <f>14.8109 * CHOOSE(CONTROL!$C$15, $E$9, 100%, $G$9) + CHOOSE(CONTROL!$C$38, 0.0369, 0)</f>
        <v>14.847799999999999</v>
      </c>
      <c r="H28" s="10">
        <f>14.8109 * CHOOSE(CONTROL!$C$15, $E$9, 100%, $G$9) + CHOOSE(CONTROL!$C$38, 0.0369, 0)</f>
        <v>14.847799999999999</v>
      </c>
      <c r="I28" s="10">
        <f>14.8125 * CHOOSE(CONTROL!$C$15, $E$9, 100%, $G$9) + CHOOSE(CONTROL!$C$38, 0.0369, 0)</f>
        <v>14.849399999999999</v>
      </c>
      <c r="J28" s="44">
        <f>94.43</f>
        <v>94.43</v>
      </c>
    </row>
    <row r="29" spans="1:10" ht="15" x14ac:dyDescent="0.2">
      <c r="A29" s="16">
        <v>41791</v>
      </c>
      <c r="B29" s="10">
        <f>15.5937 * CHOOSE(CONTROL!$C$15, $E$9, 100%, $G$9) + CHOOSE(CONTROL!$C$38, 0.0278, 0)</f>
        <v>15.621499999999999</v>
      </c>
      <c r="C29" s="10">
        <f>14.8125 * CHOOSE(CONTROL!$C$15, $E$9, 100%, $G$9) + CHOOSE(CONTROL!$C$38, 0.0369, 0)</f>
        <v>14.849399999999999</v>
      </c>
      <c r="D29" s="10">
        <f>14.8047 * CHOOSE(CONTROL!$C$15, $E$9, 100%, $G$9) + CHOOSE(CONTROL!$C$38, 0.0369, 0)</f>
        <v>14.8416</v>
      </c>
      <c r="E29" s="46">
        <f>15.4375 * CHOOSE(CONTROL!$C$15, $E$9, 100%, $G$9) + CHOOSE(CONTROL!$C$38, 0.0369, 0)</f>
        <v>15.474399999999999</v>
      </c>
      <c r="F29" s="45">
        <f>15.4375 * CHOOSE(CONTROL!$C$15, $E$9, 100%, $G$9) + CHOOSE(CONTROL!$C$38, 0.0278, 0)</f>
        <v>15.465299999999999</v>
      </c>
      <c r="G29" s="10">
        <f>14.8109 * CHOOSE(CONTROL!$C$15, $E$9, 100%, $G$9) + CHOOSE(CONTROL!$C$38, 0.0369, 0)</f>
        <v>14.847799999999999</v>
      </c>
      <c r="H29" s="10">
        <f>14.8109 * CHOOSE(CONTROL!$C$15, $E$9, 100%, $G$9) + CHOOSE(CONTROL!$C$38, 0.0369, 0)</f>
        <v>14.847799999999999</v>
      </c>
      <c r="I29" s="10">
        <f>14.8125 * CHOOSE(CONTROL!$C$15, $E$9, 100%, $G$9) + CHOOSE(CONTROL!$C$38, 0.0369, 0)</f>
        <v>14.849399999999999</v>
      </c>
      <c r="J29" s="44">
        <f>93.92</f>
        <v>93.92</v>
      </c>
    </row>
    <row r="30" spans="1:10" ht="15" x14ac:dyDescent="0.2">
      <c r="A30" s="16">
        <v>41821</v>
      </c>
      <c r="B30" s="10">
        <f>15.5469 * CHOOSE(CONTROL!$C$15, $E$9, 100%, $G$9) + CHOOSE(CONTROL!$C$38, 0.0278, 0)</f>
        <v>15.5747</v>
      </c>
      <c r="C30" s="10">
        <f>14.7656 * CHOOSE(CONTROL!$C$15, $E$9, 100%, $G$9) + CHOOSE(CONTROL!$C$38, 0.0369, 0)</f>
        <v>14.802499999999998</v>
      </c>
      <c r="D30" s="10">
        <f>14.7578 * CHOOSE(CONTROL!$C$15, $E$9, 100%, $G$9) + CHOOSE(CONTROL!$C$38, 0.0369, 0)</f>
        <v>14.794699999999999</v>
      </c>
      <c r="E30" s="46">
        <f>15.3906 * CHOOSE(CONTROL!$C$15, $E$9, 100%, $G$9) + CHOOSE(CONTROL!$C$38, 0.0369, 0)</f>
        <v>15.427499999999998</v>
      </c>
      <c r="F30" s="45">
        <f>15.3906 * CHOOSE(CONTROL!$C$15, $E$9, 100%, $G$9) + CHOOSE(CONTROL!$C$38, 0.0278, 0)</f>
        <v>15.418399999999998</v>
      </c>
      <c r="G30" s="10">
        <f>14.7641 * CHOOSE(CONTROL!$C$15, $E$9, 100%, $G$9) + CHOOSE(CONTROL!$C$38, 0.0369, 0)</f>
        <v>14.800999999999998</v>
      </c>
      <c r="H30" s="10">
        <f>14.7641 * CHOOSE(CONTROL!$C$15, $E$9, 100%, $G$9) + CHOOSE(CONTROL!$C$38, 0.0369, 0)</f>
        <v>14.800999999999998</v>
      </c>
      <c r="I30" s="10">
        <f>14.7656 * CHOOSE(CONTROL!$C$15, $E$9, 100%, $G$9) + CHOOSE(CONTROL!$C$38, 0.0369, 0)</f>
        <v>14.802499999999998</v>
      </c>
      <c r="J30" s="44">
        <f>93.36</f>
        <v>93.36</v>
      </c>
    </row>
    <row r="31" spans="1:10" ht="15" x14ac:dyDescent="0.2">
      <c r="A31" s="16">
        <v>41852</v>
      </c>
      <c r="B31" s="10">
        <f>15.5469 * CHOOSE(CONTROL!$C$15, $E$9, 100%, $G$9) + CHOOSE(CONTROL!$C$38, 0.0278, 0)</f>
        <v>15.5747</v>
      </c>
      <c r="C31" s="10">
        <f>14.7656 * CHOOSE(CONTROL!$C$15, $E$9, 100%, $G$9) + CHOOSE(CONTROL!$C$38, 0.0369, 0)</f>
        <v>14.802499999999998</v>
      </c>
      <c r="D31" s="10">
        <f>14.7578 * CHOOSE(CONTROL!$C$15, $E$9, 100%, $G$9) + CHOOSE(CONTROL!$C$38, 0.0369, 0)</f>
        <v>14.794699999999999</v>
      </c>
      <c r="E31" s="46">
        <f>15.3906 * CHOOSE(CONTROL!$C$15, $E$9, 100%, $G$9) + CHOOSE(CONTROL!$C$38, 0.0369, 0)</f>
        <v>15.427499999999998</v>
      </c>
      <c r="F31" s="45">
        <f>15.3906 * CHOOSE(CONTROL!$C$15, $E$9, 100%, $G$9) + CHOOSE(CONTROL!$C$38, 0.0278, 0)</f>
        <v>15.418399999999998</v>
      </c>
      <c r="G31" s="10">
        <f>14.7641 * CHOOSE(CONTROL!$C$15, $E$9, 100%, $G$9) + CHOOSE(CONTROL!$C$38, 0.0369, 0)</f>
        <v>14.800999999999998</v>
      </c>
      <c r="H31" s="10">
        <f>14.7641 * CHOOSE(CONTROL!$C$15, $E$9, 100%, $G$9) + CHOOSE(CONTROL!$C$38, 0.0369, 0)</f>
        <v>14.800999999999998</v>
      </c>
      <c r="I31" s="10">
        <f>14.7656 * CHOOSE(CONTROL!$C$15, $E$9, 100%, $G$9) + CHOOSE(CONTROL!$C$38, 0.0369, 0)</f>
        <v>14.802499999999998</v>
      </c>
      <c r="J31" s="44">
        <f>92.8</f>
        <v>92.8</v>
      </c>
    </row>
    <row r="32" spans="1:10" ht="15" x14ac:dyDescent="0.2">
      <c r="A32" s="16">
        <v>41883</v>
      </c>
      <c r="B32" s="10">
        <f>15.5469 * CHOOSE(CONTROL!$C$15, $E$9, 100%, $G$9) + CHOOSE(CONTROL!$C$38, 0.0278, 0)</f>
        <v>15.5747</v>
      </c>
      <c r="C32" s="10">
        <f>14.7656 * CHOOSE(CONTROL!$C$15, $E$9, 100%, $G$9) + CHOOSE(CONTROL!$C$38, 0.0369, 0)</f>
        <v>14.802499999999998</v>
      </c>
      <c r="D32" s="10">
        <f>14.7578 * CHOOSE(CONTROL!$C$15, $E$9, 100%, $G$9) + CHOOSE(CONTROL!$C$38, 0.0369, 0)</f>
        <v>14.794699999999999</v>
      </c>
      <c r="E32" s="46">
        <f>15.3906 * CHOOSE(CONTROL!$C$15, $E$9, 100%, $G$9) + CHOOSE(CONTROL!$C$38, 0.0369, 0)</f>
        <v>15.427499999999998</v>
      </c>
      <c r="F32" s="45">
        <f>15.3906 * CHOOSE(CONTROL!$C$15, $E$9, 100%, $G$9) + CHOOSE(CONTROL!$C$38, 0.0278, 0)</f>
        <v>15.418399999999998</v>
      </c>
      <c r="G32" s="10">
        <f>14.7641 * CHOOSE(CONTROL!$C$15, $E$9, 100%, $G$9) + CHOOSE(CONTROL!$C$38, 0.0369, 0)</f>
        <v>14.800999999999998</v>
      </c>
      <c r="H32" s="10">
        <f>14.7641 * CHOOSE(CONTROL!$C$15, $E$9, 100%, $G$9) + CHOOSE(CONTROL!$C$38, 0.0369, 0)</f>
        <v>14.800999999999998</v>
      </c>
      <c r="I32" s="10">
        <f>14.7656 * CHOOSE(CONTROL!$C$15, $E$9, 100%, $G$9) + CHOOSE(CONTROL!$C$38, 0.0369, 0)</f>
        <v>14.802499999999998</v>
      </c>
      <c r="J32" s="44">
        <f>92.25</f>
        <v>92.25</v>
      </c>
    </row>
    <row r="33" spans="1:10" ht="15" x14ac:dyDescent="0.2">
      <c r="A33" s="16">
        <v>41913</v>
      </c>
      <c r="B33" s="10">
        <f>15.4625 * CHOOSE(CONTROL!$C$15, $E$9, 100%, $G$9) + CHOOSE(CONTROL!$C$38, 0.0256, 0)</f>
        <v>15.488100000000001</v>
      </c>
      <c r="C33" s="10">
        <f>14.6813 * CHOOSE(CONTROL!$C$15, $E$9, 100%, $G$9) + CHOOSE(CONTROL!$C$38, 0.0347, 0)</f>
        <v>14.716000000000001</v>
      </c>
      <c r="D33" s="10">
        <f>14.6734 * CHOOSE(CONTROL!$C$15, $E$9, 100%, $G$9) + CHOOSE(CONTROL!$C$38, 0.0347, 0)</f>
        <v>14.708100000000002</v>
      </c>
      <c r="E33" s="46">
        <f>15.3063 * CHOOSE(CONTROL!$C$15, $E$9, 100%, $G$9) + CHOOSE(CONTROL!$C$38, 0.0347, 0)</f>
        <v>15.341000000000001</v>
      </c>
      <c r="F33" s="45">
        <f>15.3063 * CHOOSE(CONTROL!$C$15, $E$9, 100%, $G$9) + CHOOSE(CONTROL!$C$38, 0.0256, 0)</f>
        <v>15.331900000000001</v>
      </c>
      <c r="G33" s="10">
        <f>14.6797 * CHOOSE(CONTROL!$C$15, $E$9, 100%, $G$9) + CHOOSE(CONTROL!$C$38, 0.0347, 0)</f>
        <v>14.714400000000001</v>
      </c>
      <c r="H33" s="10">
        <f>14.6797 * CHOOSE(CONTROL!$C$15, $E$9, 100%, $G$9) + CHOOSE(CONTROL!$C$38, 0.0347, 0)</f>
        <v>14.714400000000001</v>
      </c>
      <c r="I33" s="10">
        <f>14.6813 * CHOOSE(CONTROL!$C$15, $E$9, 100%, $G$9) + CHOOSE(CONTROL!$C$38, 0.0347, 0)</f>
        <v>14.716000000000001</v>
      </c>
      <c r="J33" s="44">
        <f>91.69</f>
        <v>91.69</v>
      </c>
    </row>
    <row r="34" spans="1:10" ht="15" x14ac:dyDescent="0.2">
      <c r="A34" s="16">
        <v>41944</v>
      </c>
      <c r="B34" s="10">
        <f>15.4625 * CHOOSE(CONTROL!$C$15, $E$9, 100%, $G$9) + CHOOSE(CONTROL!$C$38, 0.0256, 0)</f>
        <v>15.488100000000001</v>
      </c>
      <c r="C34" s="10">
        <f>14.6813 * CHOOSE(CONTROL!$C$15, $E$9, 100%, $G$9) + CHOOSE(CONTROL!$C$38, 0.0347, 0)</f>
        <v>14.716000000000001</v>
      </c>
      <c r="D34" s="10">
        <f>14.6734 * CHOOSE(CONTROL!$C$15, $E$9, 100%, $G$9) + CHOOSE(CONTROL!$C$38, 0.0347, 0)</f>
        <v>14.708100000000002</v>
      </c>
      <c r="E34" s="46">
        <f>15.3063 * CHOOSE(CONTROL!$C$15, $E$9, 100%, $G$9) + CHOOSE(CONTROL!$C$38, 0.0347, 0)</f>
        <v>15.341000000000001</v>
      </c>
      <c r="F34" s="45">
        <f>15.3063 * CHOOSE(CONTROL!$C$15, $E$9, 100%, $G$9) + CHOOSE(CONTROL!$C$38, 0.0256, 0)</f>
        <v>15.331900000000001</v>
      </c>
      <c r="G34" s="10">
        <f>14.6797 * CHOOSE(CONTROL!$C$15, $E$9, 100%, $G$9) + CHOOSE(CONTROL!$C$38, 0.0347, 0)</f>
        <v>14.714400000000001</v>
      </c>
      <c r="H34" s="10">
        <f>14.6797 * CHOOSE(CONTROL!$C$15, $E$9, 100%, $G$9) + CHOOSE(CONTROL!$C$38, 0.0347, 0)</f>
        <v>14.714400000000001</v>
      </c>
      <c r="I34" s="10">
        <f>14.6813 * CHOOSE(CONTROL!$C$15, $E$9, 100%, $G$9) + CHOOSE(CONTROL!$C$38, 0.0347, 0)</f>
        <v>14.716000000000001</v>
      </c>
      <c r="J34" s="44">
        <f>91.2</f>
        <v>91.2</v>
      </c>
    </row>
    <row r="35" spans="1:10" ht="15" x14ac:dyDescent="0.2">
      <c r="A35" s="16">
        <v>41974</v>
      </c>
      <c r="B35" s="10">
        <f>15.4625 * CHOOSE(CONTROL!$C$15, $E$9, 100%, $G$9) + CHOOSE(CONTROL!$C$38, 0.0256, 0)</f>
        <v>15.488100000000001</v>
      </c>
      <c r="C35" s="10">
        <f>14.6813 * CHOOSE(CONTROL!$C$15, $E$9, 100%, $G$9) + CHOOSE(CONTROL!$C$38, 0.0347, 0)</f>
        <v>14.716000000000001</v>
      </c>
      <c r="D35" s="10">
        <f>14.6734 * CHOOSE(CONTROL!$C$15, $E$9, 100%, $G$9) + CHOOSE(CONTROL!$C$38, 0.0347, 0)</f>
        <v>14.708100000000002</v>
      </c>
      <c r="E35" s="46">
        <f>15.3063 * CHOOSE(CONTROL!$C$15, $E$9, 100%, $G$9) + CHOOSE(CONTROL!$C$38, 0.0347, 0)</f>
        <v>15.341000000000001</v>
      </c>
      <c r="F35" s="45">
        <f>15.3063 * CHOOSE(CONTROL!$C$15, $E$9, 100%, $G$9) + CHOOSE(CONTROL!$C$38, 0.0256, 0)</f>
        <v>15.331900000000001</v>
      </c>
      <c r="G35" s="10">
        <f>14.6797 * CHOOSE(CONTROL!$C$15, $E$9, 100%, $G$9) + CHOOSE(CONTROL!$C$38, 0.0347, 0)</f>
        <v>14.714400000000001</v>
      </c>
      <c r="H35" s="10">
        <f>14.6797 * CHOOSE(CONTROL!$C$15, $E$9, 100%, $G$9) + CHOOSE(CONTROL!$C$38, 0.0347, 0)</f>
        <v>14.714400000000001</v>
      </c>
      <c r="I35" s="10">
        <f>14.6813 * CHOOSE(CONTROL!$C$15, $E$9, 100%, $G$9) + CHOOSE(CONTROL!$C$38, 0.0347, 0)</f>
        <v>14.716000000000001</v>
      </c>
      <c r="J35" s="44">
        <f>90.78</f>
        <v>90.78</v>
      </c>
    </row>
    <row r="36" spans="1:10" ht="15" x14ac:dyDescent="0.2">
      <c r="A36" s="16">
        <v>42005</v>
      </c>
      <c r="B36" s="10">
        <f>14.7241 * CHOOSE(CONTROL!$C$15, $E$9, 100%, $G$9) + CHOOSE(CONTROL!$C$38, 0.0256, 0)</f>
        <v>14.749700000000001</v>
      </c>
      <c r="C36" s="10">
        <f>14.5437 * CHOOSE(CONTROL!$C$15, $E$9, 100%, $G$9) + CHOOSE(CONTROL!$C$38, 0.0347, 0)</f>
        <v>14.5784</v>
      </c>
      <c r="D36" s="10">
        <f>14.5359 * CHOOSE(CONTROL!$C$15, $E$9, 100%, $G$9) + CHOOSE(CONTROL!$C$38, 0.0347, 0)</f>
        <v>14.570600000000001</v>
      </c>
      <c r="E36" s="46">
        <f>14.5678 * CHOOSE(CONTROL!$C$15, $E$9, 100%, $G$9) + CHOOSE(CONTROL!$C$38, 0.0347, 0)</f>
        <v>14.602500000000001</v>
      </c>
      <c r="F36" s="45">
        <f>14.5678 * CHOOSE(CONTROL!$C$15, $E$9, 100%, $G$9) + CHOOSE(CONTROL!$C$38, 0.0256, 0)</f>
        <v>14.593400000000001</v>
      </c>
      <c r="G36" s="10">
        <f>14.5422 * CHOOSE(CONTROL!$C$15, $E$9, 100%, $G$9) + CHOOSE(CONTROL!$C$38, 0.0347, 0)</f>
        <v>14.5769</v>
      </c>
      <c r="H36" s="10">
        <f>14.5422 * CHOOSE(CONTROL!$C$15, $E$9, 100%, $G$9) + CHOOSE(CONTROL!$C$38, 0.0347, 0)</f>
        <v>14.5769</v>
      </c>
      <c r="I36" s="10">
        <f>14.5437 * CHOOSE(CONTROL!$C$15, $E$9, 100%, $G$9) + CHOOSE(CONTROL!$C$38, 0.0347, 0)</f>
        <v>14.5784</v>
      </c>
      <c r="J36" s="44">
        <f>90.26</f>
        <v>90.26</v>
      </c>
    </row>
    <row r="37" spans="1:10" ht="15" x14ac:dyDescent="0.2">
      <c r="A37" s="16">
        <v>42036</v>
      </c>
      <c r="B37" s="10">
        <f>14.7241 * CHOOSE(CONTROL!$C$15, $E$9, 100%, $G$9) + CHOOSE(CONTROL!$C$38, 0.0256, 0)</f>
        <v>14.749700000000001</v>
      </c>
      <c r="C37" s="10">
        <f>14.5437 * CHOOSE(CONTROL!$C$15, $E$9, 100%, $G$9) + CHOOSE(CONTROL!$C$38, 0.0347, 0)</f>
        <v>14.5784</v>
      </c>
      <c r="D37" s="10">
        <f>14.5359 * CHOOSE(CONTROL!$C$15, $E$9, 100%, $G$9) + CHOOSE(CONTROL!$C$38, 0.0347, 0)</f>
        <v>14.570600000000001</v>
      </c>
      <c r="E37" s="46">
        <f>14.5678 * CHOOSE(CONTROL!$C$15, $E$9, 100%, $G$9) + CHOOSE(CONTROL!$C$38, 0.0347, 0)</f>
        <v>14.602500000000001</v>
      </c>
      <c r="F37" s="45">
        <f>14.5678 * CHOOSE(CONTROL!$C$15, $E$9, 100%, $G$9) + CHOOSE(CONTROL!$C$38, 0.0256, 0)</f>
        <v>14.593400000000001</v>
      </c>
      <c r="G37" s="10">
        <f>14.5422 * CHOOSE(CONTROL!$C$15, $E$9, 100%, $G$9) + CHOOSE(CONTROL!$C$38, 0.0347, 0)</f>
        <v>14.5769</v>
      </c>
      <c r="H37" s="10">
        <f>14.5422 * CHOOSE(CONTROL!$C$15, $E$9, 100%, $G$9) + CHOOSE(CONTROL!$C$38, 0.0347, 0)</f>
        <v>14.5769</v>
      </c>
      <c r="I37" s="10">
        <f>14.5437 * CHOOSE(CONTROL!$C$15, $E$9, 100%, $G$9) + CHOOSE(CONTROL!$C$38, 0.0347, 0)</f>
        <v>14.5784</v>
      </c>
      <c r="J37" s="44">
        <f>89.79</f>
        <v>89.79</v>
      </c>
    </row>
    <row r="38" spans="1:10" ht="15" x14ac:dyDescent="0.2">
      <c r="A38" s="16">
        <v>42064</v>
      </c>
      <c r="B38" s="10">
        <f>14.7241 * CHOOSE(CONTROL!$C$15, $E$9, 100%, $G$9) + CHOOSE(CONTROL!$C$38, 0.0256, 0)</f>
        <v>14.749700000000001</v>
      </c>
      <c r="C38" s="10">
        <f>14.5437 * CHOOSE(CONTROL!$C$15, $E$9, 100%, $G$9) + CHOOSE(CONTROL!$C$38, 0.0347, 0)</f>
        <v>14.5784</v>
      </c>
      <c r="D38" s="10">
        <f>14.5359 * CHOOSE(CONTROL!$C$15, $E$9, 100%, $G$9) + CHOOSE(CONTROL!$C$38, 0.0347, 0)</f>
        <v>14.570600000000001</v>
      </c>
      <c r="E38" s="46">
        <f>14.5678 * CHOOSE(CONTROL!$C$15, $E$9, 100%, $G$9) + CHOOSE(CONTROL!$C$38, 0.0347, 0)</f>
        <v>14.602500000000001</v>
      </c>
      <c r="F38" s="45">
        <f>14.5678 * CHOOSE(CONTROL!$C$15, $E$9, 100%, $G$9) + CHOOSE(CONTROL!$C$38, 0.0256, 0)</f>
        <v>14.593400000000001</v>
      </c>
      <c r="G38" s="10">
        <f>14.5422 * CHOOSE(CONTROL!$C$15, $E$9, 100%, $G$9) + CHOOSE(CONTROL!$C$38, 0.0347, 0)</f>
        <v>14.5769</v>
      </c>
      <c r="H38" s="10">
        <f>14.5422 * CHOOSE(CONTROL!$C$15, $E$9, 100%, $G$9) + CHOOSE(CONTROL!$C$38, 0.0347, 0)</f>
        <v>14.5769</v>
      </c>
      <c r="I38" s="10">
        <f>14.5437 * CHOOSE(CONTROL!$C$15, $E$9, 100%, $G$9) + CHOOSE(CONTROL!$C$38, 0.0347, 0)</f>
        <v>14.5784</v>
      </c>
      <c r="J38" s="44">
        <f>89.32</f>
        <v>89.32</v>
      </c>
    </row>
    <row r="39" spans="1:10" ht="15" x14ac:dyDescent="0.2">
      <c r="A39" s="16">
        <v>42095</v>
      </c>
      <c r="B39" s="10">
        <f>14.7241 * CHOOSE(CONTROL!$C$15, $E$9, 100%, $G$9) + CHOOSE(CONTROL!$C$38, 0.0256, 0)</f>
        <v>14.749700000000001</v>
      </c>
      <c r="C39" s="10">
        <f>14.5437 * CHOOSE(CONTROL!$C$15, $E$9, 100%, $G$9) + CHOOSE(CONTROL!$C$38, 0.0347, 0)</f>
        <v>14.5784</v>
      </c>
      <c r="D39" s="10">
        <f>14.5359 * CHOOSE(CONTROL!$C$15, $E$9, 100%, $G$9) + CHOOSE(CONTROL!$C$38, 0.0347, 0)</f>
        <v>14.570600000000001</v>
      </c>
      <c r="E39" s="46">
        <f>14.5678 * CHOOSE(CONTROL!$C$15, $E$9, 100%, $G$9) + CHOOSE(CONTROL!$C$38, 0.0347, 0)</f>
        <v>14.602500000000001</v>
      </c>
      <c r="F39" s="45">
        <f>14.5678 * CHOOSE(CONTROL!$C$15, $E$9, 100%, $G$9) + CHOOSE(CONTROL!$C$38, 0.0256, 0)</f>
        <v>14.593400000000001</v>
      </c>
      <c r="G39" s="10">
        <f>14.5422 * CHOOSE(CONTROL!$C$15, $E$9, 100%, $G$9) + CHOOSE(CONTROL!$C$38, 0.0347, 0)</f>
        <v>14.5769</v>
      </c>
      <c r="H39" s="10">
        <f>14.5422 * CHOOSE(CONTROL!$C$15, $E$9, 100%, $G$9) + CHOOSE(CONTROL!$C$38, 0.0347, 0)</f>
        <v>14.5769</v>
      </c>
      <c r="I39" s="10">
        <f>14.5437 * CHOOSE(CONTROL!$C$15, $E$9, 100%, $G$9) + CHOOSE(CONTROL!$C$38, 0.0347, 0)</f>
        <v>14.5784</v>
      </c>
      <c r="J39" s="44">
        <f>88.87</f>
        <v>88.87</v>
      </c>
    </row>
    <row r="40" spans="1:10" ht="15" x14ac:dyDescent="0.2">
      <c r="A40" s="16">
        <v>42125</v>
      </c>
      <c r="B40" s="10">
        <f>14.7241 * CHOOSE(CONTROL!$C$15, $E$9, 100%, $G$9) + CHOOSE(CONTROL!$C$38, 0.0278, 0)</f>
        <v>14.751899999999999</v>
      </c>
      <c r="C40" s="10">
        <f>14.5437 * CHOOSE(CONTROL!$C$15, $E$9, 100%, $G$9) + CHOOSE(CONTROL!$C$38, 0.0369, 0)</f>
        <v>14.580599999999999</v>
      </c>
      <c r="D40" s="10">
        <f>14.5359 * CHOOSE(CONTROL!$C$15, $E$9, 100%, $G$9) + CHOOSE(CONTROL!$C$38, 0.0369, 0)</f>
        <v>14.572799999999999</v>
      </c>
      <c r="E40" s="46">
        <f>14.5678 * CHOOSE(CONTROL!$C$15, $E$9, 100%, $G$9) + CHOOSE(CONTROL!$C$38, 0.0369, 0)</f>
        <v>14.604699999999999</v>
      </c>
      <c r="F40" s="45">
        <f>14.5678 * CHOOSE(CONTROL!$C$15, $E$9, 100%, $G$9) + CHOOSE(CONTROL!$C$38, 0.0278, 0)</f>
        <v>14.595599999999999</v>
      </c>
      <c r="G40" s="10">
        <f>14.5422 * CHOOSE(CONTROL!$C$15, $E$9, 100%, $G$9) + CHOOSE(CONTROL!$C$38, 0.0369, 0)</f>
        <v>14.579099999999999</v>
      </c>
      <c r="H40" s="10">
        <f>14.5422 * CHOOSE(CONTROL!$C$15, $E$9, 100%, $G$9) + CHOOSE(CONTROL!$C$38, 0.0369, 0)</f>
        <v>14.579099999999999</v>
      </c>
      <c r="I40" s="10">
        <f>14.5437 * CHOOSE(CONTROL!$C$15, $E$9, 100%, $G$9) + CHOOSE(CONTROL!$C$38, 0.0369, 0)</f>
        <v>14.580599999999999</v>
      </c>
      <c r="J40" s="44">
        <f>88.49</f>
        <v>88.49</v>
      </c>
    </row>
    <row r="41" spans="1:10" ht="15" x14ac:dyDescent="0.2">
      <c r="A41" s="16">
        <v>42156</v>
      </c>
      <c r="B41" s="10">
        <f>14.7241 * CHOOSE(CONTROL!$C$15, $E$9, 100%, $G$9) + CHOOSE(CONTROL!$C$38, 0.0278, 0)</f>
        <v>14.751899999999999</v>
      </c>
      <c r="C41" s="10">
        <f>14.5437 * CHOOSE(CONTROL!$C$15, $E$9, 100%, $G$9) + CHOOSE(CONTROL!$C$38, 0.0369, 0)</f>
        <v>14.580599999999999</v>
      </c>
      <c r="D41" s="10">
        <f>14.5359 * CHOOSE(CONTROL!$C$15, $E$9, 100%, $G$9) + CHOOSE(CONTROL!$C$38, 0.0369, 0)</f>
        <v>14.572799999999999</v>
      </c>
      <c r="E41" s="46">
        <f>14.5678 * CHOOSE(CONTROL!$C$15, $E$9, 100%, $G$9) + CHOOSE(CONTROL!$C$38, 0.0369, 0)</f>
        <v>14.604699999999999</v>
      </c>
      <c r="F41" s="45">
        <f>14.5678 * CHOOSE(CONTROL!$C$15, $E$9, 100%, $G$9) + CHOOSE(CONTROL!$C$38, 0.0278, 0)</f>
        <v>14.595599999999999</v>
      </c>
      <c r="G41" s="10">
        <f>14.5422 * CHOOSE(CONTROL!$C$15, $E$9, 100%, $G$9) + CHOOSE(CONTROL!$C$38, 0.0369, 0)</f>
        <v>14.579099999999999</v>
      </c>
      <c r="H41" s="10">
        <f>14.5422 * CHOOSE(CONTROL!$C$15, $E$9, 100%, $G$9) + CHOOSE(CONTROL!$C$38, 0.0369, 0)</f>
        <v>14.579099999999999</v>
      </c>
      <c r="I41" s="10">
        <f>14.5437 * CHOOSE(CONTROL!$C$15, $E$9, 100%, $G$9) + CHOOSE(CONTROL!$C$38, 0.0369, 0)</f>
        <v>14.580599999999999</v>
      </c>
      <c r="J41" s="44">
        <f>88.14</f>
        <v>88.14</v>
      </c>
    </row>
    <row r="42" spans="1:10" ht="15" x14ac:dyDescent="0.2">
      <c r="A42" s="16">
        <v>42186</v>
      </c>
      <c r="B42" s="10">
        <f>14.7241 * CHOOSE(CONTROL!$C$15, $E$9, 100%, $G$9) + CHOOSE(CONTROL!$C$38, 0.0278, 0)</f>
        <v>14.751899999999999</v>
      </c>
      <c r="C42" s="10">
        <f>14.5437 * CHOOSE(CONTROL!$C$15, $E$9, 100%, $G$9) + CHOOSE(CONTROL!$C$38, 0.0369, 0)</f>
        <v>14.580599999999999</v>
      </c>
      <c r="D42" s="10">
        <f>14.5359 * CHOOSE(CONTROL!$C$15, $E$9, 100%, $G$9) + CHOOSE(CONTROL!$C$38, 0.0369, 0)</f>
        <v>14.572799999999999</v>
      </c>
      <c r="E42" s="46">
        <f>14.5678 * CHOOSE(CONTROL!$C$15, $E$9, 100%, $G$9) + CHOOSE(CONTROL!$C$38, 0.0369, 0)</f>
        <v>14.604699999999999</v>
      </c>
      <c r="F42" s="45">
        <f>14.5678 * CHOOSE(CONTROL!$C$15, $E$9, 100%, $G$9) + CHOOSE(CONTROL!$C$38, 0.0278, 0)</f>
        <v>14.595599999999999</v>
      </c>
      <c r="G42" s="10">
        <f>14.5422 * CHOOSE(CONTROL!$C$15, $E$9, 100%, $G$9) + CHOOSE(CONTROL!$C$38, 0.0369, 0)</f>
        <v>14.579099999999999</v>
      </c>
      <c r="H42" s="10">
        <f>14.5422 * CHOOSE(CONTROL!$C$15, $E$9, 100%, $G$9) + CHOOSE(CONTROL!$C$38, 0.0369, 0)</f>
        <v>14.579099999999999</v>
      </c>
      <c r="I42" s="10">
        <f>14.5437 * CHOOSE(CONTROL!$C$15, $E$9, 100%, $G$9) + CHOOSE(CONTROL!$C$38, 0.0369, 0)</f>
        <v>14.580599999999999</v>
      </c>
      <c r="J42" s="44">
        <f>87.7</f>
        <v>87.7</v>
      </c>
    </row>
    <row r="43" spans="1:10" ht="15" x14ac:dyDescent="0.2">
      <c r="A43" s="16">
        <v>42217</v>
      </c>
      <c r="B43" s="10">
        <f>14.7241 * CHOOSE(CONTROL!$C$15, $E$9, 100%, $G$9) + CHOOSE(CONTROL!$C$38, 0.0278, 0)</f>
        <v>14.751899999999999</v>
      </c>
      <c r="C43" s="10">
        <f>14.5437 * CHOOSE(CONTROL!$C$15, $E$9, 100%, $G$9) + CHOOSE(CONTROL!$C$38, 0.0369, 0)</f>
        <v>14.580599999999999</v>
      </c>
      <c r="D43" s="10">
        <f>14.5359 * CHOOSE(CONTROL!$C$15, $E$9, 100%, $G$9) + CHOOSE(CONTROL!$C$38, 0.0369, 0)</f>
        <v>14.572799999999999</v>
      </c>
      <c r="E43" s="46">
        <f>14.5678 * CHOOSE(CONTROL!$C$15, $E$9, 100%, $G$9) + CHOOSE(CONTROL!$C$38, 0.0369, 0)</f>
        <v>14.604699999999999</v>
      </c>
      <c r="F43" s="45">
        <f>14.5678 * CHOOSE(CONTROL!$C$15, $E$9, 100%, $G$9) + CHOOSE(CONTROL!$C$38, 0.0278, 0)</f>
        <v>14.595599999999999</v>
      </c>
      <c r="G43" s="10">
        <f>14.5422 * CHOOSE(CONTROL!$C$15, $E$9, 100%, $G$9) + CHOOSE(CONTROL!$C$38, 0.0369, 0)</f>
        <v>14.579099999999999</v>
      </c>
      <c r="H43" s="10">
        <f>14.5422 * CHOOSE(CONTROL!$C$15, $E$9, 100%, $G$9) + CHOOSE(CONTROL!$C$38, 0.0369, 0)</f>
        <v>14.579099999999999</v>
      </c>
      <c r="I43" s="10">
        <f>14.5437 * CHOOSE(CONTROL!$C$15, $E$9, 100%, $G$9) + CHOOSE(CONTROL!$C$38, 0.0369, 0)</f>
        <v>14.580599999999999</v>
      </c>
      <c r="J43" s="44">
        <f>87.3</f>
        <v>87.3</v>
      </c>
    </row>
    <row r="44" spans="1:10" ht="15" x14ac:dyDescent="0.2">
      <c r="A44" s="16">
        <v>42248</v>
      </c>
      <c r="B44" s="10">
        <f>14.7241 * CHOOSE(CONTROL!$C$15, $E$9, 100%, $G$9) + CHOOSE(CONTROL!$C$38, 0.0278, 0)</f>
        <v>14.751899999999999</v>
      </c>
      <c r="C44" s="10">
        <f>14.5437 * CHOOSE(CONTROL!$C$15, $E$9, 100%, $G$9) + CHOOSE(CONTROL!$C$38, 0.0369, 0)</f>
        <v>14.580599999999999</v>
      </c>
      <c r="D44" s="10">
        <f>14.5359 * CHOOSE(CONTROL!$C$15, $E$9, 100%, $G$9) + CHOOSE(CONTROL!$C$38, 0.0369, 0)</f>
        <v>14.572799999999999</v>
      </c>
      <c r="E44" s="46">
        <f>14.5678 * CHOOSE(CONTROL!$C$15, $E$9, 100%, $G$9) + CHOOSE(CONTROL!$C$38, 0.0369, 0)</f>
        <v>14.604699999999999</v>
      </c>
      <c r="F44" s="45">
        <f>14.5678 * CHOOSE(CONTROL!$C$15, $E$9, 100%, $G$9) + CHOOSE(CONTROL!$C$38, 0.0278, 0)</f>
        <v>14.595599999999999</v>
      </c>
      <c r="G44" s="10">
        <f>14.5422 * CHOOSE(CONTROL!$C$15, $E$9, 100%, $G$9) + CHOOSE(CONTROL!$C$38, 0.0369, 0)</f>
        <v>14.579099999999999</v>
      </c>
      <c r="H44" s="10">
        <f>14.5422 * CHOOSE(CONTROL!$C$15, $E$9, 100%, $G$9) + CHOOSE(CONTROL!$C$38, 0.0369, 0)</f>
        <v>14.579099999999999</v>
      </c>
      <c r="I44" s="10">
        <f>14.5437 * CHOOSE(CONTROL!$C$15, $E$9, 100%, $G$9) + CHOOSE(CONTROL!$C$38, 0.0369, 0)</f>
        <v>14.580599999999999</v>
      </c>
      <c r="J44" s="44">
        <f>86.98</f>
        <v>86.98</v>
      </c>
    </row>
    <row r="45" spans="1:10" ht="15" x14ac:dyDescent="0.2">
      <c r="A45" s="16">
        <v>42278</v>
      </c>
      <c r="B45" s="10">
        <f>14.7241 * CHOOSE(CONTROL!$C$15, $E$9, 100%, $G$9) + CHOOSE(CONTROL!$C$38, 0.0256, 0)</f>
        <v>14.749700000000001</v>
      </c>
      <c r="C45" s="10">
        <f>14.5437 * CHOOSE(CONTROL!$C$15, $E$9, 100%, $G$9) + CHOOSE(CONTROL!$C$38, 0.0347, 0)</f>
        <v>14.5784</v>
      </c>
      <c r="D45" s="10">
        <f>14.5359 * CHOOSE(CONTROL!$C$15, $E$9, 100%, $G$9) + CHOOSE(CONTROL!$C$38, 0.0347, 0)</f>
        <v>14.570600000000001</v>
      </c>
      <c r="E45" s="46">
        <f>14.5678 * CHOOSE(CONTROL!$C$15, $E$9, 100%, $G$9) + CHOOSE(CONTROL!$C$38, 0.0347, 0)</f>
        <v>14.602500000000001</v>
      </c>
      <c r="F45" s="45">
        <f>14.5678 * CHOOSE(CONTROL!$C$15, $E$9, 100%, $G$9) + CHOOSE(CONTROL!$C$38, 0.0256, 0)</f>
        <v>14.593400000000001</v>
      </c>
      <c r="G45" s="10">
        <f>14.5422 * CHOOSE(CONTROL!$C$15, $E$9, 100%, $G$9) + CHOOSE(CONTROL!$C$38, 0.0347, 0)</f>
        <v>14.5769</v>
      </c>
      <c r="H45" s="10">
        <f>14.5422 * CHOOSE(CONTROL!$C$15, $E$9, 100%, $G$9) + CHOOSE(CONTROL!$C$38, 0.0347, 0)</f>
        <v>14.5769</v>
      </c>
      <c r="I45" s="10">
        <f>14.5437 * CHOOSE(CONTROL!$C$15, $E$9, 100%, $G$9) + CHOOSE(CONTROL!$C$38, 0.0347, 0)</f>
        <v>14.5784</v>
      </c>
      <c r="J45" s="44">
        <f>86.69</f>
        <v>86.69</v>
      </c>
    </row>
    <row r="46" spans="1:10" ht="15" x14ac:dyDescent="0.2">
      <c r="A46" s="16">
        <v>42309</v>
      </c>
      <c r="B46" s="10">
        <f>14.7241 * CHOOSE(CONTROL!$C$15, $E$9, 100%, $G$9) + CHOOSE(CONTROL!$C$38, 0.0256, 0)</f>
        <v>14.749700000000001</v>
      </c>
      <c r="C46" s="10">
        <f>14.5437 * CHOOSE(CONTROL!$C$15, $E$9, 100%, $G$9) + CHOOSE(CONTROL!$C$38, 0.0347, 0)</f>
        <v>14.5784</v>
      </c>
      <c r="D46" s="10">
        <f>14.5359 * CHOOSE(CONTROL!$C$15, $E$9, 100%, $G$9) + CHOOSE(CONTROL!$C$38, 0.0347, 0)</f>
        <v>14.570600000000001</v>
      </c>
      <c r="E46" s="46">
        <f>14.5678 * CHOOSE(CONTROL!$C$15, $E$9, 100%, $G$9) + CHOOSE(CONTROL!$C$38, 0.0347, 0)</f>
        <v>14.602500000000001</v>
      </c>
      <c r="F46" s="45">
        <f>14.5678 * CHOOSE(CONTROL!$C$15, $E$9, 100%, $G$9) + CHOOSE(CONTROL!$C$38, 0.0256, 0)</f>
        <v>14.593400000000001</v>
      </c>
      <c r="G46" s="10">
        <f>14.5422 * CHOOSE(CONTROL!$C$15, $E$9, 100%, $G$9) + CHOOSE(CONTROL!$C$38, 0.0347, 0)</f>
        <v>14.5769</v>
      </c>
      <c r="H46" s="10">
        <f>14.5422 * CHOOSE(CONTROL!$C$15, $E$9, 100%, $G$9) + CHOOSE(CONTROL!$C$38, 0.0347, 0)</f>
        <v>14.5769</v>
      </c>
      <c r="I46" s="10">
        <f>14.5437 * CHOOSE(CONTROL!$C$15, $E$9, 100%, $G$9) + CHOOSE(CONTROL!$C$38, 0.0347, 0)</f>
        <v>14.5784</v>
      </c>
      <c r="J46" s="44">
        <f>86.45</f>
        <v>86.45</v>
      </c>
    </row>
    <row r="47" spans="1:10" ht="15" x14ac:dyDescent="0.2">
      <c r="A47" s="16">
        <v>42339</v>
      </c>
      <c r="B47" s="10">
        <f>14.7241 * CHOOSE(CONTROL!$C$15, $E$9, 100%, $G$9) + CHOOSE(CONTROL!$C$38, 0.0256, 0)</f>
        <v>14.749700000000001</v>
      </c>
      <c r="C47" s="10">
        <f>14.5437 * CHOOSE(CONTROL!$C$15, $E$9, 100%, $G$9) + CHOOSE(CONTROL!$C$38, 0.0347, 0)</f>
        <v>14.5784</v>
      </c>
      <c r="D47" s="10">
        <f>14.5359 * CHOOSE(CONTROL!$C$15, $E$9, 100%, $G$9) + CHOOSE(CONTROL!$C$38, 0.0347, 0)</f>
        <v>14.570600000000001</v>
      </c>
      <c r="E47" s="46">
        <f>14.5678 * CHOOSE(CONTROL!$C$15, $E$9, 100%, $G$9) + CHOOSE(CONTROL!$C$38, 0.0347, 0)</f>
        <v>14.602500000000001</v>
      </c>
      <c r="F47" s="45">
        <f>14.5678 * CHOOSE(CONTROL!$C$15, $E$9, 100%, $G$9) + CHOOSE(CONTROL!$C$38, 0.0256, 0)</f>
        <v>14.593400000000001</v>
      </c>
      <c r="G47" s="10">
        <f>14.5422 * CHOOSE(CONTROL!$C$15, $E$9, 100%, $G$9) + CHOOSE(CONTROL!$C$38, 0.0347, 0)</f>
        <v>14.5769</v>
      </c>
      <c r="H47" s="10">
        <f>14.5422 * CHOOSE(CONTROL!$C$15, $E$9, 100%, $G$9) + CHOOSE(CONTROL!$C$38, 0.0347, 0)</f>
        <v>14.5769</v>
      </c>
      <c r="I47" s="10">
        <f>14.5437 * CHOOSE(CONTROL!$C$15, $E$9, 100%, $G$9) + CHOOSE(CONTROL!$C$38, 0.0347, 0)</f>
        <v>14.5784</v>
      </c>
      <c r="J47" s="44">
        <f>86.26</f>
        <v>86.26</v>
      </c>
    </row>
    <row r="48" spans="1:10" ht="15" x14ac:dyDescent="0.2">
      <c r="A48" s="16">
        <v>42370</v>
      </c>
      <c r="B48" s="10">
        <f>16.3845 * CHOOSE(CONTROL!$C$15, $E$9, 100%, $G$9) + CHOOSE(CONTROL!$C$38, 0.0256, 0)</f>
        <v>16.4101</v>
      </c>
      <c r="C48" s="10">
        <f>15.8645 * CHOOSE(CONTROL!$C$15, $E$9, 100%, $G$9) + CHOOSE(CONTROL!$C$38, 0.0347, 0)</f>
        <v>15.8992</v>
      </c>
      <c r="D48" s="10">
        <f>15.8567 * CHOOSE(CONTROL!$C$15, $E$9, 100%, $G$9) + CHOOSE(CONTROL!$C$38, 0.0347, 0)</f>
        <v>15.891400000000001</v>
      </c>
      <c r="E48" s="46">
        <f>16.2283 * CHOOSE(CONTROL!$C$15, $E$9, 100%, $G$9) + CHOOSE(CONTROL!$C$38, 0.0347, 0)</f>
        <v>16.263000000000002</v>
      </c>
      <c r="F48" s="45">
        <f>16.2283 * CHOOSE(CONTROL!$C$15, $E$9, 100%, $G$9) + CHOOSE(CONTROL!$C$38, 0.0256, 0)</f>
        <v>16.253900000000002</v>
      </c>
      <c r="G48" s="10">
        <f>15.863 * CHOOSE(CONTROL!$C$15, $E$9, 100%, $G$9) + CHOOSE(CONTROL!$C$38, 0.0347, 0)</f>
        <v>15.8977</v>
      </c>
      <c r="H48" s="10">
        <f>15.863 * CHOOSE(CONTROL!$C$15, $E$9, 100%, $G$9) + CHOOSE(CONTROL!$C$38, 0.0347, 0)</f>
        <v>15.8977</v>
      </c>
      <c r="I48" s="10">
        <f>15.8645 * CHOOSE(CONTROL!$C$15, $E$9, 100%, $G$9) + CHOOSE(CONTROL!$C$38, 0.0347, 0)</f>
        <v>15.8992</v>
      </c>
      <c r="J48" s="44">
        <f>86.8092</f>
        <v>86.809200000000004</v>
      </c>
    </row>
    <row r="49" spans="1:10" ht="15" x14ac:dyDescent="0.2">
      <c r="A49" s="16">
        <v>42401</v>
      </c>
      <c r="B49" s="10">
        <f>16.6053 * CHOOSE(CONTROL!$C$15, $E$9, 100%, $G$9) + CHOOSE(CONTROL!$C$38, 0.0256, 0)</f>
        <v>16.6309</v>
      </c>
      <c r="C49" s="10">
        <f>16.0853 * CHOOSE(CONTROL!$C$15, $E$9, 100%, $G$9) + CHOOSE(CONTROL!$C$38, 0.0347, 0)</f>
        <v>16.12</v>
      </c>
      <c r="D49" s="10">
        <f>16.0775 * CHOOSE(CONTROL!$C$15, $E$9, 100%, $G$9) + CHOOSE(CONTROL!$C$38, 0.0347, 0)</f>
        <v>16.112200000000001</v>
      </c>
      <c r="E49" s="46">
        <f>16.4491 * CHOOSE(CONTROL!$C$15, $E$9, 100%, $G$9) + CHOOSE(CONTROL!$C$38, 0.0347, 0)</f>
        <v>16.483800000000002</v>
      </c>
      <c r="F49" s="45">
        <f>16.4491 * CHOOSE(CONTROL!$C$15, $E$9, 100%, $G$9) + CHOOSE(CONTROL!$C$38, 0.0256, 0)</f>
        <v>16.474700000000002</v>
      </c>
      <c r="G49" s="10">
        <f>16.0837 * CHOOSE(CONTROL!$C$15, $E$9, 100%, $G$9) + CHOOSE(CONTROL!$C$38, 0.0347, 0)</f>
        <v>16.118400000000001</v>
      </c>
      <c r="H49" s="10">
        <f>16.0837 * CHOOSE(CONTROL!$C$15, $E$9, 100%, $G$9) + CHOOSE(CONTROL!$C$38, 0.0347, 0)</f>
        <v>16.118400000000001</v>
      </c>
      <c r="I49" s="10">
        <f>16.0853 * CHOOSE(CONTROL!$C$15, $E$9, 100%, $G$9) + CHOOSE(CONTROL!$C$38, 0.0347, 0)</f>
        <v>16.12</v>
      </c>
      <c r="J49" s="44">
        <f>86.5679</f>
        <v>86.567899999999995</v>
      </c>
    </row>
    <row r="50" spans="1:10" ht="15" x14ac:dyDescent="0.2">
      <c r="A50" s="16">
        <v>42430</v>
      </c>
      <c r="B50" s="10">
        <f>16.0943 * CHOOSE(CONTROL!$C$15, $E$9, 100%, $G$9) + CHOOSE(CONTROL!$C$38, 0.0256, 0)</f>
        <v>16.119900000000001</v>
      </c>
      <c r="C50" s="10">
        <f>15.5743 * CHOOSE(CONTROL!$C$15, $E$9, 100%, $G$9) + CHOOSE(CONTROL!$C$38, 0.0347, 0)</f>
        <v>15.609</v>
      </c>
      <c r="D50" s="10">
        <f>15.5665 * CHOOSE(CONTROL!$C$15, $E$9, 100%, $G$9) + CHOOSE(CONTROL!$C$38, 0.0347, 0)</f>
        <v>15.6012</v>
      </c>
      <c r="E50" s="46">
        <f>15.938 * CHOOSE(CONTROL!$C$15, $E$9, 100%, $G$9) + CHOOSE(CONTROL!$C$38, 0.0347, 0)</f>
        <v>15.972700000000001</v>
      </c>
      <c r="F50" s="45">
        <f>15.938 * CHOOSE(CONTROL!$C$15, $E$9, 100%, $G$9) + CHOOSE(CONTROL!$C$38, 0.0256, 0)</f>
        <v>15.963600000000001</v>
      </c>
      <c r="G50" s="10">
        <f>15.5727 * CHOOSE(CONTROL!$C$15, $E$9, 100%, $G$9) + CHOOSE(CONTROL!$C$38, 0.0347, 0)</f>
        <v>15.6074</v>
      </c>
      <c r="H50" s="10">
        <f>15.5727 * CHOOSE(CONTROL!$C$15, $E$9, 100%, $G$9) + CHOOSE(CONTROL!$C$38, 0.0347, 0)</f>
        <v>15.6074</v>
      </c>
      <c r="I50" s="10">
        <f>15.5743 * CHOOSE(CONTROL!$C$15, $E$9, 100%, $G$9) + CHOOSE(CONTROL!$C$38, 0.0347, 0)</f>
        <v>15.609</v>
      </c>
      <c r="J50" s="44">
        <f>91.1305</f>
        <v>91.130499999999998</v>
      </c>
    </row>
    <row r="51" spans="1:10" ht="15" x14ac:dyDescent="0.2">
      <c r="A51" s="16">
        <v>42461</v>
      </c>
      <c r="B51" s="10">
        <f>15.5991 * CHOOSE(CONTROL!$C$15, $E$9, 100%, $G$9) + CHOOSE(CONTROL!$C$38, 0.0256, 0)</f>
        <v>15.624700000000001</v>
      </c>
      <c r="C51" s="10">
        <f>15.0791 * CHOOSE(CONTROL!$C$15, $E$9, 100%, $G$9) + CHOOSE(CONTROL!$C$38, 0.0347, 0)</f>
        <v>15.113800000000001</v>
      </c>
      <c r="D51" s="10">
        <f>15.0713 * CHOOSE(CONTROL!$C$15, $E$9, 100%, $G$9) + CHOOSE(CONTROL!$C$38, 0.0347, 0)</f>
        <v>15.106000000000002</v>
      </c>
      <c r="E51" s="46">
        <f>15.4428 * CHOOSE(CONTROL!$C$15, $E$9, 100%, $G$9) + CHOOSE(CONTROL!$C$38, 0.0347, 0)</f>
        <v>15.477500000000001</v>
      </c>
      <c r="F51" s="45">
        <f>15.4428 * CHOOSE(CONTROL!$C$15, $E$9, 100%, $G$9) + CHOOSE(CONTROL!$C$38, 0.0256, 0)</f>
        <v>15.468400000000001</v>
      </c>
      <c r="G51" s="10">
        <f>15.0775 * CHOOSE(CONTROL!$C$15, $E$9, 100%, $G$9) + CHOOSE(CONTROL!$C$38, 0.0347, 0)</f>
        <v>15.112200000000001</v>
      </c>
      <c r="H51" s="10">
        <f>15.0775 * CHOOSE(CONTROL!$C$15, $E$9, 100%, $G$9) + CHOOSE(CONTROL!$C$38, 0.0347, 0)</f>
        <v>15.112200000000001</v>
      </c>
      <c r="I51" s="10">
        <f>15.0791 * CHOOSE(CONTROL!$C$15, $E$9, 100%, $G$9) + CHOOSE(CONTROL!$C$38, 0.0347, 0)</f>
        <v>15.113800000000001</v>
      </c>
      <c r="J51" s="44">
        <f>97.0472</f>
        <v>97.047200000000004</v>
      </c>
    </row>
    <row r="52" spans="1:10" ht="15" x14ac:dyDescent="0.2">
      <c r="A52" s="16">
        <v>42491</v>
      </c>
      <c r="B52" s="10">
        <f>15.083 * CHOOSE(CONTROL!$C$15, $E$9, 100%, $G$9) + CHOOSE(CONTROL!$C$38, 0.0278, 0)</f>
        <v>15.110799999999999</v>
      </c>
      <c r="C52" s="10">
        <f>14.563 * CHOOSE(CONTROL!$C$15, $E$9, 100%, $G$9) + CHOOSE(CONTROL!$C$38, 0.0369, 0)</f>
        <v>14.5999</v>
      </c>
      <c r="D52" s="10">
        <f>14.5552 * CHOOSE(CONTROL!$C$15, $E$9, 100%, $G$9) + CHOOSE(CONTROL!$C$38, 0.0369, 0)</f>
        <v>14.592099999999999</v>
      </c>
      <c r="E52" s="46">
        <f>14.9267 * CHOOSE(CONTROL!$C$15, $E$9, 100%, $G$9) + CHOOSE(CONTROL!$C$38, 0.0369, 0)</f>
        <v>14.9636</v>
      </c>
      <c r="F52" s="45">
        <f>14.9267 * CHOOSE(CONTROL!$C$15, $E$9, 100%, $G$9) + CHOOSE(CONTROL!$C$38, 0.0278, 0)</f>
        <v>14.954499999999999</v>
      </c>
      <c r="G52" s="10">
        <f>14.5614 * CHOOSE(CONTROL!$C$15, $E$9, 100%, $G$9) + CHOOSE(CONTROL!$C$38, 0.0369, 0)</f>
        <v>14.5983</v>
      </c>
      <c r="H52" s="10">
        <f>14.5614 * CHOOSE(CONTROL!$C$15, $E$9, 100%, $G$9) + CHOOSE(CONTROL!$C$38, 0.0369, 0)</f>
        <v>14.5983</v>
      </c>
      <c r="I52" s="10">
        <f>14.563 * CHOOSE(CONTROL!$C$15, $E$9, 100%, $G$9) + CHOOSE(CONTROL!$C$38, 0.0369, 0)</f>
        <v>14.5999</v>
      </c>
      <c r="J52" s="44">
        <f>100.3039</f>
        <v>100.3039</v>
      </c>
    </row>
    <row r="53" spans="1:10" ht="15" x14ac:dyDescent="0.2">
      <c r="A53" s="16">
        <v>42522</v>
      </c>
      <c r="B53" s="10">
        <f>14.7211 * CHOOSE(CONTROL!$C$15, $E$9, 100%, $G$9) + CHOOSE(CONTROL!$C$38, 0.0278, 0)</f>
        <v>14.748899999999999</v>
      </c>
      <c r="C53" s="10">
        <f>14.2011 * CHOOSE(CONTROL!$C$15, $E$9, 100%, $G$9) + CHOOSE(CONTROL!$C$38, 0.0369, 0)</f>
        <v>14.238</v>
      </c>
      <c r="D53" s="10">
        <f>14.1933 * CHOOSE(CONTROL!$C$15, $E$9, 100%, $G$9) + CHOOSE(CONTROL!$C$38, 0.0369, 0)</f>
        <v>14.2302</v>
      </c>
      <c r="E53" s="46">
        <f>14.5649 * CHOOSE(CONTROL!$C$15, $E$9, 100%, $G$9) + CHOOSE(CONTROL!$C$38, 0.0369, 0)</f>
        <v>14.601799999999999</v>
      </c>
      <c r="F53" s="45">
        <f>14.5649 * CHOOSE(CONTROL!$C$15, $E$9, 100%, $G$9) + CHOOSE(CONTROL!$C$38, 0.0278, 0)</f>
        <v>14.592699999999999</v>
      </c>
      <c r="G53" s="10">
        <f>14.1996 * CHOOSE(CONTROL!$C$15, $E$9, 100%, $G$9) + CHOOSE(CONTROL!$C$38, 0.0369, 0)</f>
        <v>14.236499999999999</v>
      </c>
      <c r="H53" s="10">
        <f>14.1996 * CHOOSE(CONTROL!$C$15, $E$9, 100%, $G$9) + CHOOSE(CONTROL!$C$38, 0.0369, 0)</f>
        <v>14.236499999999999</v>
      </c>
      <c r="I53" s="10">
        <f>14.2011 * CHOOSE(CONTROL!$C$15, $E$9, 100%, $G$9) + CHOOSE(CONTROL!$C$38, 0.0369, 0)</f>
        <v>14.238</v>
      </c>
      <c r="J53" s="44">
        <f>101.7492</f>
        <v>101.7492</v>
      </c>
    </row>
    <row r="54" spans="1:10" ht="15" x14ac:dyDescent="0.2">
      <c r="A54" s="16">
        <v>42552</v>
      </c>
      <c r="B54" s="10">
        <f>14.5147 * CHOOSE(CONTROL!$C$15, $E$9, 100%, $G$9) + CHOOSE(CONTROL!$C$38, 0.0278, 0)</f>
        <v>14.542499999999999</v>
      </c>
      <c r="C54" s="10">
        <f>13.9946 * CHOOSE(CONTROL!$C$15, $E$9, 100%, $G$9) + CHOOSE(CONTROL!$C$38, 0.0369, 0)</f>
        <v>14.031499999999999</v>
      </c>
      <c r="D54" s="10">
        <f>13.9868 * CHOOSE(CONTROL!$C$15, $E$9, 100%, $G$9) + CHOOSE(CONTROL!$C$38, 0.0369, 0)</f>
        <v>14.0237</v>
      </c>
      <c r="E54" s="46">
        <f>14.3584 * CHOOSE(CONTROL!$C$15, $E$9, 100%, $G$9) + CHOOSE(CONTROL!$C$38, 0.0369, 0)</f>
        <v>14.395299999999999</v>
      </c>
      <c r="F54" s="45">
        <f>14.3584 * CHOOSE(CONTROL!$C$15, $E$9, 100%, $G$9) + CHOOSE(CONTROL!$C$38, 0.0278, 0)</f>
        <v>14.386199999999999</v>
      </c>
      <c r="G54" s="10">
        <f>13.9931 * CHOOSE(CONTROL!$C$15, $E$9, 100%, $G$9) + CHOOSE(CONTROL!$C$38, 0.0369, 0)</f>
        <v>14.03</v>
      </c>
      <c r="H54" s="10">
        <f>13.9931 * CHOOSE(CONTROL!$C$15, $E$9, 100%, $G$9) + CHOOSE(CONTROL!$C$38, 0.0369, 0)</f>
        <v>14.03</v>
      </c>
      <c r="I54" s="10">
        <f>13.9946 * CHOOSE(CONTROL!$C$15, $E$9, 100%, $G$9) + CHOOSE(CONTROL!$C$38, 0.0369, 0)</f>
        <v>14.031499999999999</v>
      </c>
      <c r="J54" s="44">
        <f>101.2733</f>
        <v>101.27330000000001</v>
      </c>
    </row>
    <row r="55" spans="1:10" ht="15" x14ac:dyDescent="0.2">
      <c r="A55" s="16">
        <v>42583</v>
      </c>
      <c r="B55" s="10">
        <f>14.6166 * CHOOSE(CONTROL!$C$15, $E$9, 100%, $G$9) + CHOOSE(CONTROL!$C$38, 0.0278, 0)</f>
        <v>14.644399999999999</v>
      </c>
      <c r="C55" s="10">
        <f>14.0966 * CHOOSE(CONTROL!$C$15, $E$9, 100%, $G$9) + CHOOSE(CONTROL!$C$38, 0.0369, 0)</f>
        <v>14.1335</v>
      </c>
      <c r="D55" s="10">
        <f>14.0887 * CHOOSE(CONTROL!$C$15, $E$9, 100%, $G$9) + CHOOSE(CONTROL!$C$38, 0.0369, 0)</f>
        <v>14.125599999999999</v>
      </c>
      <c r="E55" s="46">
        <f>14.4603 * CHOOSE(CONTROL!$C$15, $E$9, 100%, $G$9) + CHOOSE(CONTROL!$C$38, 0.0369, 0)</f>
        <v>14.497199999999999</v>
      </c>
      <c r="F55" s="45">
        <f>14.4603 * CHOOSE(CONTROL!$C$15, $E$9, 100%, $G$9) + CHOOSE(CONTROL!$C$38, 0.0278, 0)</f>
        <v>14.488099999999999</v>
      </c>
      <c r="G55" s="10">
        <f>14.095 * CHOOSE(CONTROL!$C$15, $E$9, 100%, $G$9) + CHOOSE(CONTROL!$C$38, 0.0369, 0)</f>
        <v>14.1319</v>
      </c>
      <c r="H55" s="10">
        <f>14.095 * CHOOSE(CONTROL!$C$15, $E$9, 100%, $G$9) + CHOOSE(CONTROL!$C$38, 0.0369, 0)</f>
        <v>14.1319</v>
      </c>
      <c r="I55" s="10">
        <f>14.0966 * CHOOSE(CONTROL!$C$15, $E$9, 100%, $G$9) + CHOOSE(CONTROL!$C$38, 0.0369, 0)</f>
        <v>14.1335</v>
      </c>
      <c r="J55" s="44">
        <f>98.9157</f>
        <v>98.915700000000001</v>
      </c>
    </row>
    <row r="56" spans="1:10" ht="15" x14ac:dyDescent="0.2">
      <c r="A56" s="16">
        <v>42614</v>
      </c>
      <c r="B56" s="10">
        <f>14.8934 * CHOOSE(CONTROL!$C$15, $E$9, 100%, $G$9) + CHOOSE(CONTROL!$C$38, 0.0278, 0)</f>
        <v>14.921199999999999</v>
      </c>
      <c r="C56" s="10">
        <f>14.3734 * CHOOSE(CONTROL!$C$15, $E$9, 100%, $G$9) + CHOOSE(CONTROL!$C$38, 0.0369, 0)</f>
        <v>14.410299999999999</v>
      </c>
      <c r="D56" s="10">
        <f>14.3655 * CHOOSE(CONTROL!$C$15, $E$9, 100%, $G$9) + CHOOSE(CONTROL!$C$38, 0.0369, 0)</f>
        <v>14.4024</v>
      </c>
      <c r="E56" s="46">
        <f>14.7371 * CHOOSE(CONTROL!$C$15, $E$9, 100%, $G$9) + CHOOSE(CONTROL!$C$38, 0.0369, 0)</f>
        <v>14.773999999999999</v>
      </c>
      <c r="F56" s="45">
        <f>14.7371 * CHOOSE(CONTROL!$C$15, $E$9, 100%, $G$9) + CHOOSE(CONTROL!$C$38, 0.0278, 0)</f>
        <v>14.764899999999999</v>
      </c>
      <c r="G56" s="10">
        <f>14.3718 * CHOOSE(CONTROL!$C$15, $E$9, 100%, $G$9) + CHOOSE(CONTROL!$C$38, 0.0369, 0)</f>
        <v>14.4087</v>
      </c>
      <c r="H56" s="10">
        <f>14.3718 * CHOOSE(CONTROL!$C$15, $E$9, 100%, $G$9) + CHOOSE(CONTROL!$C$38, 0.0369, 0)</f>
        <v>14.4087</v>
      </c>
      <c r="I56" s="10">
        <f>14.3734 * CHOOSE(CONTROL!$C$15, $E$9, 100%, $G$9) + CHOOSE(CONTROL!$C$38, 0.0369, 0)</f>
        <v>14.410299999999999</v>
      </c>
      <c r="J56" s="44">
        <f>95.6279</f>
        <v>95.627899999999997</v>
      </c>
    </row>
    <row r="57" spans="1:10" ht="15" x14ac:dyDescent="0.2">
      <c r="A57" s="16">
        <v>42644</v>
      </c>
      <c r="B57" s="10">
        <f>15.1252 * CHOOSE(CONTROL!$C$15, $E$9, 100%, $G$9) + CHOOSE(CONTROL!$C$38, 0.0256, 0)</f>
        <v>15.1508</v>
      </c>
      <c r="C57" s="10">
        <f>14.6052 * CHOOSE(CONTROL!$C$15, $E$9, 100%, $G$9) + CHOOSE(CONTROL!$C$38, 0.0347, 0)</f>
        <v>14.639900000000001</v>
      </c>
      <c r="D57" s="10">
        <f>14.5974 * CHOOSE(CONTROL!$C$15, $E$9, 100%, $G$9) + CHOOSE(CONTROL!$C$38, 0.0347, 0)</f>
        <v>14.632100000000001</v>
      </c>
      <c r="E57" s="46">
        <f>14.9689 * CHOOSE(CONTROL!$C$15, $E$9, 100%, $G$9) + CHOOSE(CONTROL!$C$38, 0.0347, 0)</f>
        <v>15.0036</v>
      </c>
      <c r="F57" s="45">
        <f>14.9689 * CHOOSE(CONTROL!$C$15, $E$9, 100%, $G$9) + CHOOSE(CONTROL!$C$38, 0.0256, 0)</f>
        <v>14.9945</v>
      </c>
      <c r="G57" s="10">
        <f>14.6036 * CHOOSE(CONTROL!$C$15, $E$9, 100%, $G$9) + CHOOSE(CONTROL!$C$38, 0.0347, 0)</f>
        <v>14.638300000000001</v>
      </c>
      <c r="H57" s="10">
        <f>14.6036 * CHOOSE(CONTROL!$C$15, $E$9, 100%, $G$9) + CHOOSE(CONTROL!$C$38, 0.0347, 0)</f>
        <v>14.638300000000001</v>
      </c>
      <c r="I57" s="10">
        <f>14.6052 * CHOOSE(CONTROL!$C$15, $E$9, 100%, $G$9) + CHOOSE(CONTROL!$C$38, 0.0347, 0)</f>
        <v>14.639900000000001</v>
      </c>
      <c r="J57" s="44">
        <f>92.321</f>
        <v>92.320999999999998</v>
      </c>
    </row>
    <row r="58" spans="1:10" ht="15" x14ac:dyDescent="0.2">
      <c r="A58" s="16">
        <v>42675</v>
      </c>
      <c r="B58" s="10">
        <f>15.3186 * CHOOSE(CONTROL!$C$15, $E$9, 100%, $G$9) + CHOOSE(CONTROL!$C$38, 0.0256, 0)</f>
        <v>15.344200000000001</v>
      </c>
      <c r="C58" s="10">
        <f>14.7986 * CHOOSE(CONTROL!$C$15, $E$9, 100%, $G$9) + CHOOSE(CONTROL!$C$38, 0.0347, 0)</f>
        <v>14.833300000000001</v>
      </c>
      <c r="D58" s="10">
        <f>14.7908 * CHOOSE(CONTROL!$C$15, $E$9, 100%, $G$9) + CHOOSE(CONTROL!$C$38, 0.0347, 0)</f>
        <v>14.825500000000002</v>
      </c>
      <c r="E58" s="46">
        <f>15.1624 * CHOOSE(CONTROL!$C$15, $E$9, 100%, $G$9) + CHOOSE(CONTROL!$C$38, 0.0347, 0)</f>
        <v>15.197100000000001</v>
      </c>
      <c r="F58" s="45">
        <f>15.1624 * CHOOSE(CONTROL!$C$15, $E$9, 100%, $G$9) + CHOOSE(CONTROL!$C$38, 0.0256, 0)</f>
        <v>15.188000000000001</v>
      </c>
      <c r="G58" s="10">
        <f>14.7971 * CHOOSE(CONTROL!$C$15, $E$9, 100%, $G$9) + CHOOSE(CONTROL!$C$38, 0.0347, 0)</f>
        <v>14.831800000000001</v>
      </c>
      <c r="H58" s="10">
        <f>14.7971 * CHOOSE(CONTROL!$C$15, $E$9, 100%, $G$9) + CHOOSE(CONTROL!$C$38, 0.0347, 0)</f>
        <v>14.831800000000001</v>
      </c>
      <c r="I58" s="10">
        <f>14.7986 * CHOOSE(CONTROL!$C$15, $E$9, 100%, $G$9) + CHOOSE(CONTROL!$C$38, 0.0347, 0)</f>
        <v>14.833300000000001</v>
      </c>
      <c r="J58" s="44">
        <f>91.6632</f>
        <v>91.663200000000003</v>
      </c>
    </row>
    <row r="59" spans="1:10" ht="15" x14ac:dyDescent="0.2">
      <c r="A59" s="16">
        <v>42705</v>
      </c>
      <c r="B59" s="10">
        <f>15.9147 * CHOOSE(CONTROL!$C$15, $E$9, 100%, $G$9) + CHOOSE(CONTROL!$C$38, 0.0256, 0)</f>
        <v>15.940300000000001</v>
      </c>
      <c r="C59" s="10">
        <f>15.3947 * CHOOSE(CONTROL!$C$15, $E$9, 100%, $G$9) + CHOOSE(CONTROL!$C$38, 0.0347, 0)</f>
        <v>15.429400000000001</v>
      </c>
      <c r="D59" s="10">
        <f>15.3869 * CHOOSE(CONTROL!$C$15, $E$9, 100%, $G$9) + CHOOSE(CONTROL!$C$38, 0.0347, 0)</f>
        <v>15.421600000000002</v>
      </c>
      <c r="E59" s="46">
        <f>15.7584 * CHOOSE(CONTROL!$C$15, $E$9, 100%, $G$9) + CHOOSE(CONTROL!$C$38, 0.0347, 0)</f>
        <v>15.793100000000001</v>
      </c>
      <c r="F59" s="45">
        <f>15.7584 * CHOOSE(CONTROL!$C$15, $E$9, 100%, $G$9) + CHOOSE(CONTROL!$C$38, 0.0256, 0)</f>
        <v>15.784000000000001</v>
      </c>
      <c r="G59" s="10">
        <f>15.3931 * CHOOSE(CONTROL!$C$15, $E$9, 100%, $G$9) + CHOOSE(CONTROL!$C$38, 0.0347, 0)</f>
        <v>15.427800000000001</v>
      </c>
      <c r="H59" s="10">
        <f>15.3931 * CHOOSE(CONTROL!$C$15, $E$9, 100%, $G$9) + CHOOSE(CONTROL!$C$38, 0.0347, 0)</f>
        <v>15.427800000000001</v>
      </c>
      <c r="I59" s="10">
        <f>15.3947 * CHOOSE(CONTROL!$C$15, $E$9, 100%, $G$9) + CHOOSE(CONTROL!$C$38, 0.0347, 0)</f>
        <v>15.429400000000001</v>
      </c>
      <c r="J59" s="44">
        <f>88.9431</f>
        <v>88.943100000000001</v>
      </c>
    </row>
    <row r="60" spans="1:10" ht="15" x14ac:dyDescent="0.2">
      <c r="A60" s="16">
        <v>42736</v>
      </c>
      <c r="B60" s="10">
        <f>16.3764 * CHOOSE(CONTROL!$C$15, $E$9, 100%, $G$9) + CHOOSE(CONTROL!$C$38, 0.0256, 0)</f>
        <v>16.402000000000001</v>
      </c>
      <c r="C60" s="10">
        <f>15.853 * CHOOSE(CONTROL!$C$15, $E$9, 100%, $G$9) + CHOOSE(CONTROL!$C$38, 0.0347, 0)</f>
        <v>15.887700000000001</v>
      </c>
      <c r="D60" s="10">
        <f>15.8452 * CHOOSE(CONTROL!$C$15, $E$9, 100%, $G$9) + CHOOSE(CONTROL!$C$38, 0.0347, 0)</f>
        <v>15.879900000000001</v>
      </c>
      <c r="E60" s="46">
        <f>16.2201 * CHOOSE(CONTROL!$C$15, $E$9, 100%, $G$9) + CHOOSE(CONTROL!$C$38, 0.0347, 0)</f>
        <v>16.254799999999999</v>
      </c>
      <c r="F60" s="45">
        <f>16.2201 * CHOOSE(CONTROL!$C$15, $E$9, 100%, $G$9) + CHOOSE(CONTROL!$C$38, 0.0256, 0)</f>
        <v>16.245699999999999</v>
      </c>
      <c r="G60" s="10">
        <f>15.8514 * CHOOSE(CONTROL!$C$15, $E$9, 100%, $G$9) + CHOOSE(CONTROL!$C$38, 0.0347, 0)</f>
        <v>15.886100000000001</v>
      </c>
      <c r="H60" s="10">
        <f>15.8514 * CHOOSE(CONTROL!$C$15, $E$9, 100%, $G$9) + CHOOSE(CONTROL!$C$38, 0.0347, 0)</f>
        <v>15.886100000000001</v>
      </c>
      <c r="I60" s="10">
        <f>15.853 * CHOOSE(CONTROL!$C$15, $E$9, 100%, $G$9) + CHOOSE(CONTROL!$C$38, 0.0347, 0)</f>
        <v>15.887700000000001</v>
      </c>
      <c r="J60" s="44">
        <f>86.9406</f>
        <v>86.940600000000003</v>
      </c>
    </row>
    <row r="61" spans="1:10" ht="15" x14ac:dyDescent="0.2">
      <c r="A61" s="16">
        <v>42767</v>
      </c>
      <c r="B61" s="10">
        <f>16.5972 * CHOOSE(CONTROL!$C$15, $E$9, 100%, $G$9) + CHOOSE(CONTROL!$C$38, 0.0256, 0)</f>
        <v>16.622800000000002</v>
      </c>
      <c r="C61" s="10">
        <f>16.0738 * CHOOSE(CONTROL!$C$15, $E$9, 100%, $G$9) + CHOOSE(CONTROL!$C$38, 0.0347, 0)</f>
        <v>16.108499999999999</v>
      </c>
      <c r="D61" s="10">
        <f>16.0659 * CHOOSE(CONTROL!$C$15, $E$9, 100%, $G$9) + CHOOSE(CONTROL!$C$38, 0.0347, 0)</f>
        <v>16.1006</v>
      </c>
      <c r="E61" s="46">
        <f>16.4409 * CHOOSE(CONTROL!$C$15, $E$9, 100%, $G$9) + CHOOSE(CONTROL!$C$38, 0.0347, 0)</f>
        <v>16.4756</v>
      </c>
      <c r="F61" s="45">
        <f>16.4409 * CHOOSE(CONTROL!$C$15, $E$9, 100%, $G$9) + CHOOSE(CONTROL!$C$38, 0.0256, 0)</f>
        <v>16.4665</v>
      </c>
      <c r="G61" s="10">
        <f>16.0722 * CHOOSE(CONTROL!$C$15, $E$9, 100%, $G$9) + CHOOSE(CONTROL!$C$38, 0.0347, 0)</f>
        <v>16.1069</v>
      </c>
      <c r="H61" s="10">
        <f>16.0722 * CHOOSE(CONTROL!$C$15, $E$9, 100%, $G$9) + CHOOSE(CONTROL!$C$38, 0.0347, 0)</f>
        <v>16.1069</v>
      </c>
      <c r="I61" s="10">
        <f>16.0738 * CHOOSE(CONTROL!$C$15, $E$9, 100%, $G$9) + CHOOSE(CONTROL!$C$38, 0.0347, 0)</f>
        <v>16.108499999999999</v>
      </c>
      <c r="J61" s="44">
        <f>86.6989</f>
        <v>86.698899999999995</v>
      </c>
    </row>
    <row r="62" spans="1:10" ht="15" x14ac:dyDescent="0.2">
      <c r="A62" s="16">
        <v>42795</v>
      </c>
      <c r="B62" s="10">
        <f>16.0861 * CHOOSE(CONTROL!$C$15, $E$9, 100%, $G$9) + CHOOSE(CONTROL!$C$38, 0.0256, 0)</f>
        <v>16.111699999999999</v>
      </c>
      <c r="C62" s="10">
        <f>15.5627 * CHOOSE(CONTROL!$C$15, $E$9, 100%, $G$9) + CHOOSE(CONTROL!$C$38, 0.0347, 0)</f>
        <v>15.5974</v>
      </c>
      <c r="D62" s="10">
        <f>15.5549 * CHOOSE(CONTROL!$C$15, $E$9, 100%, $G$9) + CHOOSE(CONTROL!$C$38, 0.0347, 0)</f>
        <v>15.589600000000001</v>
      </c>
      <c r="E62" s="46">
        <f>15.9299 * CHOOSE(CONTROL!$C$15, $E$9, 100%, $G$9) + CHOOSE(CONTROL!$C$38, 0.0347, 0)</f>
        <v>15.964600000000001</v>
      </c>
      <c r="F62" s="45">
        <f>15.9299 * CHOOSE(CONTROL!$C$15, $E$9, 100%, $G$9) + CHOOSE(CONTROL!$C$38, 0.0256, 0)</f>
        <v>15.955500000000001</v>
      </c>
      <c r="G62" s="10">
        <f>15.5612 * CHOOSE(CONTROL!$C$15, $E$9, 100%, $G$9) + CHOOSE(CONTROL!$C$38, 0.0347, 0)</f>
        <v>15.5959</v>
      </c>
      <c r="H62" s="10">
        <f>15.5612 * CHOOSE(CONTROL!$C$15, $E$9, 100%, $G$9) + CHOOSE(CONTROL!$C$38, 0.0347, 0)</f>
        <v>15.5959</v>
      </c>
      <c r="I62" s="10">
        <f>15.5627 * CHOOSE(CONTROL!$C$15, $E$9, 100%, $G$9) + CHOOSE(CONTROL!$C$38, 0.0347, 0)</f>
        <v>15.5974</v>
      </c>
      <c r="J62" s="44">
        <f>91.2684</f>
        <v>91.2684</v>
      </c>
    </row>
    <row r="63" spans="1:10" ht="15" x14ac:dyDescent="0.2">
      <c r="A63" s="16">
        <v>42826</v>
      </c>
      <c r="B63" s="10">
        <f>15.5909 * CHOOSE(CONTROL!$C$15, $E$9, 100%, $G$9) + CHOOSE(CONTROL!$C$38, 0.0256, 0)</f>
        <v>15.6165</v>
      </c>
      <c r="C63" s="10">
        <f>15.0675 * CHOOSE(CONTROL!$C$15, $E$9, 100%, $G$9) + CHOOSE(CONTROL!$C$38, 0.0347, 0)</f>
        <v>15.102200000000002</v>
      </c>
      <c r="D63" s="10">
        <f>15.0597 * CHOOSE(CONTROL!$C$15, $E$9, 100%, $G$9) + CHOOSE(CONTROL!$C$38, 0.0347, 0)</f>
        <v>15.0944</v>
      </c>
      <c r="E63" s="46">
        <f>15.4347 * CHOOSE(CONTROL!$C$15, $E$9, 100%, $G$9) + CHOOSE(CONTROL!$C$38, 0.0347, 0)</f>
        <v>15.4694</v>
      </c>
      <c r="F63" s="45">
        <f>15.4347 * CHOOSE(CONTROL!$C$15, $E$9, 100%, $G$9) + CHOOSE(CONTROL!$C$38, 0.0256, 0)</f>
        <v>15.4603</v>
      </c>
      <c r="G63" s="10">
        <f>15.066 * CHOOSE(CONTROL!$C$15, $E$9, 100%, $G$9) + CHOOSE(CONTROL!$C$38, 0.0347, 0)</f>
        <v>15.100700000000002</v>
      </c>
      <c r="H63" s="10">
        <f>15.066 * CHOOSE(CONTROL!$C$15, $E$9, 100%, $G$9) + CHOOSE(CONTROL!$C$38, 0.0347, 0)</f>
        <v>15.100700000000002</v>
      </c>
      <c r="I63" s="10">
        <f>15.0675 * CHOOSE(CONTROL!$C$15, $E$9, 100%, $G$9) + CHOOSE(CONTROL!$C$38, 0.0347, 0)</f>
        <v>15.102200000000002</v>
      </c>
      <c r="J63" s="44">
        <f>97.194</f>
        <v>97.194000000000003</v>
      </c>
    </row>
    <row r="64" spans="1:10" ht="15" x14ac:dyDescent="0.2">
      <c r="A64" s="16">
        <v>42856</v>
      </c>
      <c r="B64" s="10">
        <f>15.0748 * CHOOSE(CONTROL!$C$15, $E$9, 100%, $G$9) + CHOOSE(CONTROL!$C$38, 0.0278, 0)</f>
        <v>15.102599999999999</v>
      </c>
      <c r="C64" s="10">
        <f>14.5514 * CHOOSE(CONTROL!$C$15, $E$9, 100%, $G$9) + CHOOSE(CONTROL!$C$38, 0.0369, 0)</f>
        <v>14.588299999999998</v>
      </c>
      <c r="D64" s="10">
        <f>14.5436 * CHOOSE(CONTROL!$C$15, $E$9, 100%, $G$9) + CHOOSE(CONTROL!$C$38, 0.0369, 0)</f>
        <v>14.580499999999999</v>
      </c>
      <c r="E64" s="46">
        <f>14.9186 * CHOOSE(CONTROL!$C$15, $E$9, 100%, $G$9) + CHOOSE(CONTROL!$C$38, 0.0369, 0)</f>
        <v>14.955499999999999</v>
      </c>
      <c r="F64" s="45">
        <f>14.9186 * CHOOSE(CONTROL!$C$15, $E$9, 100%, $G$9) + CHOOSE(CONTROL!$C$38, 0.0278, 0)</f>
        <v>14.946399999999999</v>
      </c>
      <c r="G64" s="10">
        <f>14.5499 * CHOOSE(CONTROL!$C$15, $E$9, 100%, $G$9) + CHOOSE(CONTROL!$C$38, 0.0369, 0)</f>
        <v>14.586799999999998</v>
      </c>
      <c r="H64" s="10">
        <f>14.5499 * CHOOSE(CONTROL!$C$15, $E$9, 100%, $G$9) + CHOOSE(CONTROL!$C$38, 0.0369, 0)</f>
        <v>14.586799999999998</v>
      </c>
      <c r="I64" s="10">
        <f>14.5514 * CHOOSE(CONTROL!$C$15, $E$9, 100%, $G$9) + CHOOSE(CONTROL!$C$38, 0.0369, 0)</f>
        <v>14.588299999999998</v>
      </c>
      <c r="J64" s="44">
        <f>100.4557</f>
        <v>100.45569999999999</v>
      </c>
    </row>
    <row r="65" spans="1:10" ht="15" x14ac:dyDescent="0.2">
      <c r="A65" s="16">
        <v>42887</v>
      </c>
      <c r="B65" s="10">
        <f>14.713 * CHOOSE(CONTROL!$C$15, $E$9, 100%, $G$9) + CHOOSE(CONTROL!$C$38, 0.0278, 0)</f>
        <v>14.740799999999998</v>
      </c>
      <c r="C65" s="10">
        <f>14.1896 * CHOOSE(CONTROL!$C$15, $E$9, 100%, $G$9) + CHOOSE(CONTROL!$C$38, 0.0369, 0)</f>
        <v>14.2265</v>
      </c>
      <c r="D65" s="10">
        <f>14.1818 * CHOOSE(CONTROL!$C$15, $E$9, 100%, $G$9) + CHOOSE(CONTROL!$C$38, 0.0369, 0)</f>
        <v>14.2187</v>
      </c>
      <c r="E65" s="46">
        <f>14.5567 * CHOOSE(CONTROL!$C$15, $E$9, 100%, $G$9) + CHOOSE(CONTROL!$C$38, 0.0369, 0)</f>
        <v>14.593599999999999</v>
      </c>
      <c r="F65" s="45">
        <f>14.5567 * CHOOSE(CONTROL!$C$15, $E$9, 100%, $G$9) + CHOOSE(CONTROL!$C$38, 0.0278, 0)</f>
        <v>14.584499999999998</v>
      </c>
      <c r="G65" s="10">
        <f>14.188 * CHOOSE(CONTROL!$C$15, $E$9, 100%, $G$9) + CHOOSE(CONTROL!$C$38, 0.0369, 0)</f>
        <v>14.2249</v>
      </c>
      <c r="H65" s="10">
        <f>14.188 * CHOOSE(CONTROL!$C$15, $E$9, 100%, $G$9) + CHOOSE(CONTROL!$C$38, 0.0369, 0)</f>
        <v>14.2249</v>
      </c>
      <c r="I65" s="10">
        <f>14.1896 * CHOOSE(CONTROL!$C$15, $E$9, 100%, $G$9) + CHOOSE(CONTROL!$C$38, 0.0369, 0)</f>
        <v>14.2265</v>
      </c>
      <c r="J65" s="44">
        <f>101.9031</f>
        <v>101.90309999999999</v>
      </c>
    </row>
    <row r="66" spans="1:10" ht="15" x14ac:dyDescent="0.2">
      <c r="A66" s="16">
        <v>42917</v>
      </c>
      <c r="B66" s="10">
        <f>14.5065 * CHOOSE(CONTROL!$C$15, $E$9, 100%, $G$9) + CHOOSE(CONTROL!$C$38, 0.0278, 0)</f>
        <v>14.5343</v>
      </c>
      <c r="C66" s="10">
        <f>13.9831 * CHOOSE(CONTROL!$C$15, $E$9, 100%, $G$9) + CHOOSE(CONTROL!$C$38, 0.0369, 0)</f>
        <v>14.02</v>
      </c>
      <c r="D66" s="10">
        <f>13.9753 * CHOOSE(CONTROL!$C$15, $E$9, 100%, $G$9) + CHOOSE(CONTROL!$C$38, 0.0369, 0)</f>
        <v>14.0122</v>
      </c>
      <c r="E66" s="46">
        <f>14.3503 * CHOOSE(CONTROL!$C$15, $E$9, 100%, $G$9) + CHOOSE(CONTROL!$C$38, 0.0369, 0)</f>
        <v>14.3872</v>
      </c>
      <c r="F66" s="45">
        <f>14.3503 * CHOOSE(CONTROL!$C$15, $E$9, 100%, $G$9) + CHOOSE(CONTROL!$C$38, 0.0278, 0)</f>
        <v>14.3781</v>
      </c>
      <c r="G66" s="10">
        <f>13.9815 * CHOOSE(CONTROL!$C$15, $E$9, 100%, $G$9) + CHOOSE(CONTROL!$C$38, 0.0369, 0)</f>
        <v>14.0184</v>
      </c>
      <c r="H66" s="10">
        <f>13.9815 * CHOOSE(CONTROL!$C$15, $E$9, 100%, $G$9) + CHOOSE(CONTROL!$C$38, 0.0369, 0)</f>
        <v>14.0184</v>
      </c>
      <c r="I66" s="10">
        <f>13.9831 * CHOOSE(CONTROL!$C$15, $E$9, 100%, $G$9) + CHOOSE(CONTROL!$C$38, 0.0369, 0)</f>
        <v>14.02</v>
      </c>
      <c r="J66" s="44">
        <f>101.4265</f>
        <v>101.4265</v>
      </c>
    </row>
    <row r="67" spans="1:10" ht="15" x14ac:dyDescent="0.2">
      <c r="A67" s="16">
        <v>42948</v>
      </c>
      <c r="B67" s="10">
        <f>14.6084 * CHOOSE(CONTROL!$C$15, $E$9, 100%, $G$9) + CHOOSE(CONTROL!$C$38, 0.0278, 0)</f>
        <v>14.636199999999999</v>
      </c>
      <c r="C67" s="10">
        <f>14.085 * CHOOSE(CONTROL!$C$15, $E$9, 100%, $G$9) + CHOOSE(CONTROL!$C$38, 0.0369, 0)</f>
        <v>14.1219</v>
      </c>
      <c r="D67" s="10">
        <f>14.0772 * CHOOSE(CONTROL!$C$15, $E$9, 100%, $G$9) + CHOOSE(CONTROL!$C$38, 0.0369, 0)</f>
        <v>14.114099999999999</v>
      </c>
      <c r="E67" s="46">
        <f>14.4522 * CHOOSE(CONTROL!$C$15, $E$9, 100%, $G$9) + CHOOSE(CONTROL!$C$38, 0.0369, 0)</f>
        <v>14.489099999999999</v>
      </c>
      <c r="F67" s="45">
        <f>14.4522 * CHOOSE(CONTROL!$C$15, $E$9, 100%, $G$9) + CHOOSE(CONTROL!$C$38, 0.0278, 0)</f>
        <v>14.479999999999999</v>
      </c>
      <c r="G67" s="10">
        <f>14.0834 * CHOOSE(CONTROL!$C$15, $E$9, 100%, $G$9) + CHOOSE(CONTROL!$C$38, 0.0369, 0)</f>
        <v>14.120299999999999</v>
      </c>
      <c r="H67" s="10">
        <f>14.0834 * CHOOSE(CONTROL!$C$15, $E$9, 100%, $G$9) + CHOOSE(CONTROL!$C$38, 0.0369, 0)</f>
        <v>14.120299999999999</v>
      </c>
      <c r="I67" s="10">
        <f>14.085 * CHOOSE(CONTROL!$C$15, $E$9, 100%, $G$9) + CHOOSE(CONTROL!$C$38, 0.0369, 0)</f>
        <v>14.1219</v>
      </c>
      <c r="J67" s="44">
        <f>99.0654</f>
        <v>99.065399999999997</v>
      </c>
    </row>
    <row r="68" spans="1:10" ht="15" x14ac:dyDescent="0.2">
      <c r="A68" s="16">
        <v>42979</v>
      </c>
      <c r="B68" s="10">
        <f>14.8852 * CHOOSE(CONTROL!$C$15, $E$9, 100%, $G$9) + CHOOSE(CONTROL!$C$38, 0.0278, 0)</f>
        <v>14.912999999999998</v>
      </c>
      <c r="C68" s="10">
        <f>14.3618 * CHOOSE(CONTROL!$C$15, $E$9, 100%, $G$9) + CHOOSE(CONTROL!$C$38, 0.0369, 0)</f>
        <v>14.3987</v>
      </c>
      <c r="D68" s="10">
        <f>14.354 * CHOOSE(CONTROL!$C$15, $E$9, 100%, $G$9) + CHOOSE(CONTROL!$C$38, 0.0369, 0)</f>
        <v>14.390899999999998</v>
      </c>
      <c r="E68" s="46">
        <f>14.729 * CHOOSE(CONTROL!$C$15, $E$9, 100%, $G$9) + CHOOSE(CONTROL!$C$38, 0.0369, 0)</f>
        <v>14.765899999999998</v>
      </c>
      <c r="F68" s="45">
        <f>14.729 * CHOOSE(CONTROL!$C$15, $E$9, 100%, $G$9) + CHOOSE(CONTROL!$C$38, 0.0278, 0)</f>
        <v>14.756799999999998</v>
      </c>
      <c r="G68" s="10">
        <f>14.3602 * CHOOSE(CONTROL!$C$15, $E$9, 100%, $G$9) + CHOOSE(CONTROL!$C$38, 0.0369, 0)</f>
        <v>14.3971</v>
      </c>
      <c r="H68" s="10">
        <f>14.3602 * CHOOSE(CONTROL!$C$15, $E$9, 100%, $G$9) + CHOOSE(CONTROL!$C$38, 0.0369, 0)</f>
        <v>14.3971</v>
      </c>
      <c r="I68" s="10">
        <f>14.3618 * CHOOSE(CONTROL!$C$15, $E$9, 100%, $G$9) + CHOOSE(CONTROL!$C$38, 0.0369, 0)</f>
        <v>14.3987</v>
      </c>
      <c r="J68" s="44">
        <f>95.7726</f>
        <v>95.772599999999997</v>
      </c>
    </row>
    <row r="69" spans="1:10" ht="15" x14ac:dyDescent="0.2">
      <c r="A69" s="16">
        <v>43009</v>
      </c>
      <c r="B69" s="10">
        <f>15.117 * CHOOSE(CONTROL!$C$15, $E$9, 100%, $G$9) + CHOOSE(CONTROL!$C$38, 0.0256, 0)</f>
        <v>15.142600000000002</v>
      </c>
      <c r="C69" s="10">
        <f>14.5936 * CHOOSE(CONTROL!$C$15, $E$9, 100%, $G$9) + CHOOSE(CONTROL!$C$38, 0.0347, 0)</f>
        <v>14.628300000000001</v>
      </c>
      <c r="D69" s="10">
        <f>14.5858 * CHOOSE(CONTROL!$C$15, $E$9, 100%, $G$9) + CHOOSE(CONTROL!$C$38, 0.0347, 0)</f>
        <v>14.620500000000002</v>
      </c>
      <c r="E69" s="46">
        <f>14.9608 * CHOOSE(CONTROL!$C$15, $E$9, 100%, $G$9) + CHOOSE(CONTROL!$C$38, 0.0347, 0)</f>
        <v>14.995500000000002</v>
      </c>
      <c r="F69" s="45">
        <f>14.9608 * CHOOSE(CONTROL!$C$15, $E$9, 100%, $G$9) + CHOOSE(CONTROL!$C$38, 0.0256, 0)</f>
        <v>14.986400000000001</v>
      </c>
      <c r="G69" s="10">
        <f>14.5921 * CHOOSE(CONTROL!$C$15, $E$9, 100%, $G$9) + CHOOSE(CONTROL!$C$38, 0.0347, 0)</f>
        <v>14.626800000000001</v>
      </c>
      <c r="H69" s="10">
        <f>14.5921 * CHOOSE(CONTROL!$C$15, $E$9, 100%, $G$9) + CHOOSE(CONTROL!$C$38, 0.0347, 0)</f>
        <v>14.626800000000001</v>
      </c>
      <c r="I69" s="10">
        <f>14.5936 * CHOOSE(CONTROL!$C$15, $E$9, 100%, $G$9) + CHOOSE(CONTROL!$C$38, 0.0347, 0)</f>
        <v>14.628300000000001</v>
      </c>
      <c r="J69" s="44">
        <f>92.4607</f>
        <v>92.460700000000003</v>
      </c>
    </row>
    <row r="70" spans="1:10" ht="15" x14ac:dyDescent="0.2">
      <c r="A70" s="16">
        <v>43040</v>
      </c>
      <c r="B70" s="10">
        <f>15.3105 * CHOOSE(CONTROL!$C$15, $E$9, 100%, $G$9) + CHOOSE(CONTROL!$C$38, 0.0256, 0)</f>
        <v>15.3361</v>
      </c>
      <c r="C70" s="10">
        <f>14.7871 * CHOOSE(CONTROL!$C$15, $E$9, 100%, $G$9) + CHOOSE(CONTROL!$C$38, 0.0347, 0)</f>
        <v>14.821800000000001</v>
      </c>
      <c r="D70" s="10">
        <f>14.7793 * CHOOSE(CONTROL!$C$15, $E$9, 100%, $G$9) + CHOOSE(CONTROL!$C$38, 0.0347, 0)</f>
        <v>14.814</v>
      </c>
      <c r="E70" s="46">
        <f>15.1542 * CHOOSE(CONTROL!$C$15, $E$9, 100%, $G$9) + CHOOSE(CONTROL!$C$38, 0.0347, 0)</f>
        <v>15.1889</v>
      </c>
      <c r="F70" s="45">
        <f>15.1542 * CHOOSE(CONTROL!$C$15, $E$9, 100%, $G$9) + CHOOSE(CONTROL!$C$38, 0.0256, 0)</f>
        <v>15.1798</v>
      </c>
      <c r="G70" s="10">
        <f>14.7855 * CHOOSE(CONTROL!$C$15, $E$9, 100%, $G$9) + CHOOSE(CONTROL!$C$38, 0.0347, 0)</f>
        <v>14.820200000000002</v>
      </c>
      <c r="H70" s="10">
        <f>14.7855 * CHOOSE(CONTROL!$C$15, $E$9, 100%, $G$9) + CHOOSE(CONTROL!$C$38, 0.0347, 0)</f>
        <v>14.820200000000002</v>
      </c>
      <c r="I70" s="10">
        <f>14.7871 * CHOOSE(CONTROL!$C$15, $E$9, 100%, $G$9) + CHOOSE(CONTROL!$C$38, 0.0347, 0)</f>
        <v>14.821800000000001</v>
      </c>
      <c r="J70" s="44">
        <f>91.8019</f>
        <v>91.801900000000003</v>
      </c>
    </row>
    <row r="71" spans="1:10" ht="15" x14ac:dyDescent="0.2">
      <c r="A71" s="16">
        <v>43070</v>
      </c>
      <c r="B71" s="10">
        <f>15.9065 * CHOOSE(CONTROL!$C$15, $E$9, 100%, $G$9) + CHOOSE(CONTROL!$C$38, 0.0256, 0)</f>
        <v>15.9321</v>
      </c>
      <c r="C71" s="10">
        <f>15.3831 * CHOOSE(CONTROL!$C$15, $E$9, 100%, $G$9) + CHOOSE(CONTROL!$C$38, 0.0347, 0)</f>
        <v>15.417800000000002</v>
      </c>
      <c r="D71" s="10">
        <f>15.3753 * CHOOSE(CONTROL!$C$15, $E$9, 100%, $G$9) + CHOOSE(CONTROL!$C$38, 0.0347, 0)</f>
        <v>15.41</v>
      </c>
      <c r="E71" s="46">
        <f>15.7503 * CHOOSE(CONTROL!$C$15, $E$9, 100%, $G$9) + CHOOSE(CONTROL!$C$38, 0.0347, 0)</f>
        <v>15.785</v>
      </c>
      <c r="F71" s="45">
        <f>15.7503 * CHOOSE(CONTROL!$C$15, $E$9, 100%, $G$9) + CHOOSE(CONTROL!$C$38, 0.0256, 0)</f>
        <v>15.7759</v>
      </c>
      <c r="G71" s="10">
        <f>15.3816 * CHOOSE(CONTROL!$C$15, $E$9, 100%, $G$9) + CHOOSE(CONTROL!$C$38, 0.0347, 0)</f>
        <v>15.416300000000001</v>
      </c>
      <c r="H71" s="10">
        <f>15.3816 * CHOOSE(CONTROL!$C$15, $E$9, 100%, $G$9) + CHOOSE(CONTROL!$C$38, 0.0347, 0)</f>
        <v>15.416300000000001</v>
      </c>
      <c r="I71" s="10">
        <f>15.3831 * CHOOSE(CONTROL!$C$15, $E$9, 100%, $G$9) + CHOOSE(CONTROL!$C$38, 0.0347, 0)</f>
        <v>15.417800000000002</v>
      </c>
      <c r="J71" s="44">
        <f>89.0777</f>
        <v>89.077699999999993</v>
      </c>
    </row>
    <row r="72" spans="1:10" ht="15" x14ac:dyDescent="0.2">
      <c r="A72" s="16">
        <v>43101</v>
      </c>
      <c r="B72" s="10">
        <f>18.2112 * CHOOSE(CONTROL!$C$15, $E$9, 100%, $G$9) + CHOOSE(CONTROL!$C$38, 0.0256, 0)</f>
        <v>18.236800000000002</v>
      </c>
      <c r="C72" s="10">
        <f>17.3372 * CHOOSE(CONTROL!$C$15, $E$9, 100%, $G$9) + CHOOSE(CONTROL!$C$38, 0.0347, 0)</f>
        <v>17.3719</v>
      </c>
      <c r="D72" s="10">
        <f>17.3294 * CHOOSE(CONTROL!$C$15, $E$9, 100%, $G$9) + CHOOSE(CONTROL!$C$38, 0.0347, 0)</f>
        <v>17.364100000000001</v>
      </c>
      <c r="E72" s="46">
        <f>18.055 * CHOOSE(CONTROL!$C$15, $E$9, 100%, $G$9) + CHOOSE(CONTROL!$C$38, 0.0347, 0)</f>
        <v>18.089700000000001</v>
      </c>
      <c r="F72" s="45">
        <f>18.055 * CHOOSE(CONTROL!$C$15, $E$9, 100%, $G$9) + CHOOSE(CONTROL!$C$38, 0.0256, 0)</f>
        <v>18.0806</v>
      </c>
      <c r="G72" s="10">
        <f>17.3357 * CHOOSE(CONTROL!$C$15, $E$9, 100%, $G$9) + CHOOSE(CONTROL!$C$38, 0.0347, 0)</f>
        <v>17.3704</v>
      </c>
      <c r="H72" s="10">
        <f>17.3357 * CHOOSE(CONTROL!$C$15, $E$9, 100%, $G$9) + CHOOSE(CONTROL!$C$38, 0.0347, 0)</f>
        <v>17.3704</v>
      </c>
      <c r="I72" s="10">
        <f>17.3372 * CHOOSE(CONTROL!$C$15, $E$9, 100%, $G$9) + CHOOSE(CONTROL!$C$38, 0.0347, 0)</f>
        <v>17.3719</v>
      </c>
      <c r="J72" s="44">
        <f>99.8934</f>
        <v>99.8934</v>
      </c>
    </row>
    <row r="73" spans="1:10" ht="15" x14ac:dyDescent="0.2">
      <c r="A73" s="16">
        <v>43132</v>
      </c>
      <c r="B73" s="10">
        <f>18.432 * CHOOSE(CONTROL!$C$15, $E$9, 100%, $G$9) + CHOOSE(CONTROL!$C$38, 0.0256, 0)</f>
        <v>18.457599999999999</v>
      </c>
      <c r="C73" s="10">
        <f>17.558 * CHOOSE(CONTROL!$C$15, $E$9, 100%, $G$9) + CHOOSE(CONTROL!$C$38, 0.0347, 0)</f>
        <v>17.592700000000001</v>
      </c>
      <c r="D73" s="10">
        <f>17.5502 * CHOOSE(CONTROL!$C$15, $E$9, 100%, $G$9) + CHOOSE(CONTROL!$C$38, 0.0347, 0)</f>
        <v>17.584900000000001</v>
      </c>
      <c r="E73" s="46">
        <f>18.2757 * CHOOSE(CONTROL!$C$15, $E$9, 100%, $G$9) + CHOOSE(CONTROL!$C$38, 0.0347, 0)</f>
        <v>18.310400000000001</v>
      </c>
      <c r="F73" s="45">
        <f>18.2757 * CHOOSE(CONTROL!$C$15, $E$9, 100%, $G$9) + CHOOSE(CONTROL!$C$38, 0.0256, 0)</f>
        <v>18.301300000000001</v>
      </c>
      <c r="G73" s="10">
        <f>17.5564 * CHOOSE(CONTROL!$C$15, $E$9, 100%, $G$9) + CHOOSE(CONTROL!$C$38, 0.0347, 0)</f>
        <v>17.591100000000001</v>
      </c>
      <c r="H73" s="10">
        <f>17.5564 * CHOOSE(CONTROL!$C$15, $E$9, 100%, $G$9) + CHOOSE(CONTROL!$C$38, 0.0347, 0)</f>
        <v>17.591100000000001</v>
      </c>
      <c r="I73" s="10">
        <f>17.558 * CHOOSE(CONTROL!$C$15, $E$9, 100%, $G$9) + CHOOSE(CONTROL!$C$38, 0.0347, 0)</f>
        <v>17.592700000000001</v>
      </c>
      <c r="J73" s="44">
        <f>99.6158</f>
        <v>99.615799999999993</v>
      </c>
    </row>
    <row r="74" spans="1:10" ht="15" x14ac:dyDescent="0.2">
      <c r="A74" s="16">
        <v>43160</v>
      </c>
      <c r="B74" s="10">
        <f>17.921 * CHOOSE(CONTROL!$C$15, $E$9, 100%, $G$9) + CHOOSE(CONTROL!$C$38, 0.0256, 0)</f>
        <v>17.9466</v>
      </c>
      <c r="C74" s="10">
        <f>17.047 * CHOOSE(CONTROL!$C$15, $E$9, 100%, $G$9) + CHOOSE(CONTROL!$C$38, 0.0347, 0)</f>
        <v>17.081700000000001</v>
      </c>
      <c r="D74" s="10">
        <f>17.0391 * CHOOSE(CONTROL!$C$15, $E$9, 100%, $G$9) + CHOOSE(CONTROL!$C$38, 0.0347, 0)</f>
        <v>17.073800000000002</v>
      </c>
      <c r="E74" s="46">
        <f>17.7647 * CHOOSE(CONTROL!$C$15, $E$9, 100%, $G$9) + CHOOSE(CONTROL!$C$38, 0.0347, 0)</f>
        <v>17.799400000000002</v>
      </c>
      <c r="F74" s="45">
        <f>17.7647 * CHOOSE(CONTROL!$C$15, $E$9, 100%, $G$9) + CHOOSE(CONTROL!$C$38, 0.0256, 0)</f>
        <v>17.790300000000002</v>
      </c>
      <c r="G74" s="10">
        <f>17.0454 * CHOOSE(CONTROL!$C$15, $E$9, 100%, $G$9) + CHOOSE(CONTROL!$C$38, 0.0347, 0)</f>
        <v>17.080100000000002</v>
      </c>
      <c r="H74" s="10">
        <f>17.0454 * CHOOSE(CONTROL!$C$15, $E$9, 100%, $G$9) + CHOOSE(CONTROL!$C$38, 0.0347, 0)</f>
        <v>17.080100000000002</v>
      </c>
      <c r="I74" s="10">
        <f>17.047 * CHOOSE(CONTROL!$C$15, $E$9, 100%, $G$9) + CHOOSE(CONTROL!$C$38, 0.0347, 0)</f>
        <v>17.081700000000001</v>
      </c>
      <c r="J74" s="44">
        <f>104.8661</f>
        <v>104.8661</v>
      </c>
    </row>
    <row r="75" spans="1:10" ht="15" x14ac:dyDescent="0.2">
      <c r="A75" s="16">
        <v>43191</v>
      </c>
      <c r="B75" s="10">
        <f>17.4258 * CHOOSE(CONTROL!$C$15, $E$9, 100%, $G$9) + CHOOSE(CONTROL!$C$38, 0.0256, 0)</f>
        <v>17.4514</v>
      </c>
      <c r="C75" s="10">
        <f>16.5518 * CHOOSE(CONTROL!$C$15, $E$9, 100%, $G$9) + CHOOSE(CONTROL!$C$38, 0.0347, 0)</f>
        <v>16.586500000000001</v>
      </c>
      <c r="D75" s="10">
        <f>16.544 * CHOOSE(CONTROL!$C$15, $E$9, 100%, $G$9) + CHOOSE(CONTROL!$C$38, 0.0347, 0)</f>
        <v>16.578700000000001</v>
      </c>
      <c r="E75" s="46">
        <f>17.2695 * CHOOSE(CONTROL!$C$15, $E$9, 100%, $G$9) + CHOOSE(CONTROL!$C$38, 0.0347, 0)</f>
        <v>17.304200000000002</v>
      </c>
      <c r="F75" s="45">
        <f>17.2695 * CHOOSE(CONTROL!$C$15, $E$9, 100%, $G$9) + CHOOSE(CONTROL!$C$38, 0.0256, 0)</f>
        <v>17.295100000000001</v>
      </c>
      <c r="G75" s="10">
        <f>16.5502 * CHOOSE(CONTROL!$C$15, $E$9, 100%, $G$9) + CHOOSE(CONTROL!$C$38, 0.0347, 0)</f>
        <v>16.584900000000001</v>
      </c>
      <c r="H75" s="10">
        <f>16.5502 * CHOOSE(CONTROL!$C$15, $E$9, 100%, $G$9) + CHOOSE(CONTROL!$C$38, 0.0347, 0)</f>
        <v>16.584900000000001</v>
      </c>
      <c r="I75" s="10">
        <f>16.5518 * CHOOSE(CONTROL!$C$15, $E$9, 100%, $G$9) + CHOOSE(CONTROL!$C$38, 0.0347, 0)</f>
        <v>16.586500000000001</v>
      </c>
      <c r="J75" s="44">
        <f>111.6745</f>
        <v>111.67449999999999</v>
      </c>
    </row>
    <row r="76" spans="1:10" ht="15" x14ac:dyDescent="0.2">
      <c r="A76" s="16">
        <v>43221</v>
      </c>
      <c r="B76" s="10">
        <f>16.9097 * CHOOSE(CONTROL!$C$15, $E$9, 100%, $G$9) + CHOOSE(CONTROL!$C$38, 0.0278, 0)</f>
        <v>16.9375</v>
      </c>
      <c r="C76" s="10">
        <f>16.0357 * CHOOSE(CONTROL!$C$15, $E$9, 100%, $G$9) + CHOOSE(CONTROL!$C$38, 0.0369, 0)</f>
        <v>16.072599999999998</v>
      </c>
      <c r="D76" s="10">
        <f>16.0279 * CHOOSE(CONTROL!$C$15, $E$9, 100%, $G$9) + CHOOSE(CONTROL!$C$38, 0.0369, 0)</f>
        <v>16.064799999999998</v>
      </c>
      <c r="E76" s="46">
        <f>16.7534 * CHOOSE(CONTROL!$C$15, $E$9, 100%, $G$9) + CHOOSE(CONTROL!$C$38, 0.0369, 0)</f>
        <v>16.790299999999998</v>
      </c>
      <c r="F76" s="45">
        <f>16.7534 * CHOOSE(CONTROL!$C$15, $E$9, 100%, $G$9) + CHOOSE(CONTROL!$C$38, 0.0278, 0)</f>
        <v>16.781199999999998</v>
      </c>
      <c r="G76" s="10">
        <f>16.0341 * CHOOSE(CONTROL!$C$15, $E$9, 100%, $G$9) + CHOOSE(CONTROL!$C$38, 0.0369, 0)</f>
        <v>16.070999999999998</v>
      </c>
      <c r="H76" s="10">
        <f>16.0341 * CHOOSE(CONTROL!$C$15, $E$9, 100%, $G$9) + CHOOSE(CONTROL!$C$38, 0.0369, 0)</f>
        <v>16.070999999999998</v>
      </c>
      <c r="I76" s="10">
        <f>16.0357 * CHOOSE(CONTROL!$C$15, $E$9, 100%, $G$9) + CHOOSE(CONTROL!$C$38, 0.0369, 0)</f>
        <v>16.072599999999998</v>
      </c>
      <c r="J76" s="44">
        <f>115.4221</f>
        <v>115.4221</v>
      </c>
    </row>
    <row r="77" spans="1:10" ht="15" x14ac:dyDescent="0.2">
      <c r="A77" s="16">
        <v>43252</v>
      </c>
      <c r="B77" s="10">
        <f>16.5478 * CHOOSE(CONTROL!$C$15, $E$9, 100%, $G$9) + CHOOSE(CONTROL!$C$38, 0.0278, 0)</f>
        <v>16.575599999999998</v>
      </c>
      <c r="C77" s="10">
        <f>15.6738 * CHOOSE(CONTROL!$C$15, $E$9, 100%, $G$9) + CHOOSE(CONTROL!$C$38, 0.0369, 0)</f>
        <v>15.710699999999999</v>
      </c>
      <c r="D77" s="10">
        <f>15.666 * CHOOSE(CONTROL!$C$15, $E$9, 100%, $G$9) + CHOOSE(CONTROL!$C$38, 0.0369, 0)</f>
        <v>15.7029</v>
      </c>
      <c r="E77" s="46">
        <f>16.3916 * CHOOSE(CONTROL!$C$15, $E$9, 100%, $G$9) + CHOOSE(CONTROL!$C$38, 0.0369, 0)</f>
        <v>16.4285</v>
      </c>
      <c r="F77" s="45">
        <f>16.3916 * CHOOSE(CONTROL!$C$15, $E$9, 100%, $G$9) + CHOOSE(CONTROL!$C$38, 0.0278, 0)</f>
        <v>16.4194</v>
      </c>
      <c r="G77" s="10">
        <f>15.6723 * CHOOSE(CONTROL!$C$15, $E$9, 100%, $G$9) + CHOOSE(CONTROL!$C$38, 0.0369, 0)</f>
        <v>15.709199999999999</v>
      </c>
      <c r="H77" s="10">
        <f>15.6723 * CHOOSE(CONTROL!$C$15, $E$9, 100%, $G$9) + CHOOSE(CONTROL!$C$38, 0.0369, 0)</f>
        <v>15.709199999999999</v>
      </c>
      <c r="I77" s="10">
        <f>15.6738 * CHOOSE(CONTROL!$C$15, $E$9, 100%, $G$9) + CHOOSE(CONTROL!$C$38, 0.0369, 0)</f>
        <v>15.710699999999999</v>
      </c>
      <c r="J77" s="44">
        <f>117.0852</f>
        <v>117.0852</v>
      </c>
    </row>
    <row r="78" spans="1:10" ht="15" x14ac:dyDescent="0.2">
      <c r="A78" s="16">
        <v>43282</v>
      </c>
      <c r="B78" s="10">
        <f>16.3413 * CHOOSE(CONTROL!$C$15, $E$9, 100%, $G$9) + CHOOSE(CONTROL!$C$38, 0.0278, 0)</f>
        <v>16.3691</v>
      </c>
      <c r="C78" s="10">
        <f>15.4673 * CHOOSE(CONTROL!$C$15, $E$9, 100%, $G$9) + CHOOSE(CONTROL!$C$38, 0.0369, 0)</f>
        <v>15.504199999999999</v>
      </c>
      <c r="D78" s="10">
        <f>15.4595 * CHOOSE(CONTROL!$C$15, $E$9, 100%, $G$9) + CHOOSE(CONTROL!$C$38, 0.0369, 0)</f>
        <v>15.4964</v>
      </c>
      <c r="E78" s="46">
        <f>16.1851 * CHOOSE(CONTROL!$C$15, $E$9, 100%, $G$9) + CHOOSE(CONTROL!$C$38, 0.0369, 0)</f>
        <v>16.221999999999998</v>
      </c>
      <c r="F78" s="45">
        <f>16.1851 * CHOOSE(CONTROL!$C$15, $E$9, 100%, $G$9) + CHOOSE(CONTROL!$C$38, 0.0278, 0)</f>
        <v>16.212899999999998</v>
      </c>
      <c r="G78" s="10">
        <f>15.4658 * CHOOSE(CONTROL!$C$15, $E$9, 100%, $G$9) + CHOOSE(CONTROL!$C$38, 0.0369, 0)</f>
        <v>15.502699999999999</v>
      </c>
      <c r="H78" s="10">
        <f>15.4658 * CHOOSE(CONTROL!$C$15, $E$9, 100%, $G$9) + CHOOSE(CONTROL!$C$38, 0.0369, 0)</f>
        <v>15.502699999999999</v>
      </c>
      <c r="I78" s="10">
        <f>15.4673 * CHOOSE(CONTROL!$C$15, $E$9, 100%, $G$9) + CHOOSE(CONTROL!$C$38, 0.0369, 0)</f>
        <v>15.504199999999999</v>
      </c>
      <c r="J78" s="44">
        <f>116.5376</f>
        <v>116.5376</v>
      </c>
    </row>
    <row r="79" spans="1:10" ht="15" x14ac:dyDescent="0.2">
      <c r="A79" s="16">
        <v>43313</v>
      </c>
      <c r="B79" s="10">
        <f>16.4433 * CHOOSE(CONTROL!$C$15, $E$9, 100%, $G$9) + CHOOSE(CONTROL!$C$38, 0.0278, 0)</f>
        <v>16.4711</v>
      </c>
      <c r="C79" s="10">
        <f>15.5693 * CHOOSE(CONTROL!$C$15, $E$9, 100%, $G$9) + CHOOSE(CONTROL!$C$38, 0.0369, 0)</f>
        <v>15.606199999999999</v>
      </c>
      <c r="D79" s="10">
        <f>15.5614 * CHOOSE(CONTROL!$C$15, $E$9, 100%, $G$9) + CHOOSE(CONTROL!$C$38, 0.0369, 0)</f>
        <v>15.5983</v>
      </c>
      <c r="E79" s="46">
        <f>16.287 * CHOOSE(CONTROL!$C$15, $E$9, 100%, $G$9) + CHOOSE(CONTROL!$C$38, 0.0369, 0)</f>
        <v>16.323899999999998</v>
      </c>
      <c r="F79" s="45">
        <f>16.287 * CHOOSE(CONTROL!$C$15, $E$9, 100%, $G$9) + CHOOSE(CONTROL!$C$38, 0.0278, 0)</f>
        <v>16.314799999999998</v>
      </c>
      <c r="G79" s="10">
        <f>15.5677 * CHOOSE(CONTROL!$C$15, $E$9, 100%, $G$9) + CHOOSE(CONTROL!$C$38, 0.0369, 0)</f>
        <v>15.6046</v>
      </c>
      <c r="H79" s="10">
        <f>15.5677 * CHOOSE(CONTROL!$C$15, $E$9, 100%, $G$9) + CHOOSE(CONTROL!$C$38, 0.0369, 0)</f>
        <v>15.6046</v>
      </c>
      <c r="I79" s="10">
        <f>15.5693 * CHOOSE(CONTROL!$C$15, $E$9, 100%, $G$9) + CHOOSE(CONTROL!$C$38, 0.0369, 0)</f>
        <v>15.606199999999999</v>
      </c>
      <c r="J79" s="44">
        <f>113.8247</f>
        <v>113.82470000000001</v>
      </c>
    </row>
    <row r="80" spans="1:10" ht="15" x14ac:dyDescent="0.2">
      <c r="A80" s="16">
        <v>43344</v>
      </c>
      <c r="B80" s="10">
        <f>16.7201 * CHOOSE(CONTROL!$C$15, $E$9, 100%, $G$9) + CHOOSE(CONTROL!$C$38, 0.0278, 0)</f>
        <v>16.747899999999998</v>
      </c>
      <c r="C80" s="10">
        <f>15.846 * CHOOSE(CONTROL!$C$15, $E$9, 100%, $G$9) + CHOOSE(CONTROL!$C$38, 0.0369, 0)</f>
        <v>15.882899999999999</v>
      </c>
      <c r="D80" s="10">
        <f>15.8382 * CHOOSE(CONTROL!$C$15, $E$9, 100%, $G$9) + CHOOSE(CONTROL!$C$38, 0.0369, 0)</f>
        <v>15.8751</v>
      </c>
      <c r="E80" s="46">
        <f>16.5638 * CHOOSE(CONTROL!$C$15, $E$9, 100%, $G$9) + CHOOSE(CONTROL!$C$38, 0.0369, 0)</f>
        <v>16.6007</v>
      </c>
      <c r="F80" s="45">
        <f>16.5638 * CHOOSE(CONTROL!$C$15, $E$9, 100%, $G$9) + CHOOSE(CONTROL!$C$38, 0.0278, 0)</f>
        <v>16.5916</v>
      </c>
      <c r="G80" s="10">
        <f>15.8445 * CHOOSE(CONTROL!$C$15, $E$9, 100%, $G$9) + CHOOSE(CONTROL!$C$38, 0.0369, 0)</f>
        <v>15.881399999999999</v>
      </c>
      <c r="H80" s="10">
        <f>15.8445 * CHOOSE(CONTROL!$C$15, $E$9, 100%, $G$9) + CHOOSE(CONTROL!$C$38, 0.0369, 0)</f>
        <v>15.881399999999999</v>
      </c>
      <c r="I80" s="10">
        <f>15.846 * CHOOSE(CONTROL!$C$15, $E$9, 100%, $G$9) + CHOOSE(CONTROL!$C$38, 0.0369, 0)</f>
        <v>15.882899999999999</v>
      </c>
      <c r="J80" s="44">
        <f>110.0413</f>
        <v>110.04130000000001</v>
      </c>
    </row>
    <row r="81" spans="1:10" ht="15" x14ac:dyDescent="0.2">
      <c r="A81" s="16">
        <v>43374</v>
      </c>
      <c r="B81" s="10">
        <f>16.9519 * CHOOSE(CONTROL!$C$15, $E$9, 100%, $G$9) + CHOOSE(CONTROL!$C$38, 0.0256, 0)</f>
        <v>16.977499999999999</v>
      </c>
      <c r="C81" s="10">
        <f>16.0779 * CHOOSE(CONTROL!$C$15, $E$9, 100%, $G$9) + CHOOSE(CONTROL!$C$38, 0.0347, 0)</f>
        <v>16.1126</v>
      </c>
      <c r="D81" s="10">
        <f>16.0701 * CHOOSE(CONTROL!$C$15, $E$9, 100%, $G$9) + CHOOSE(CONTROL!$C$38, 0.0347, 0)</f>
        <v>16.104800000000001</v>
      </c>
      <c r="E81" s="46">
        <f>16.7956 * CHOOSE(CONTROL!$C$15, $E$9, 100%, $G$9) + CHOOSE(CONTROL!$C$38, 0.0347, 0)</f>
        <v>16.830300000000001</v>
      </c>
      <c r="F81" s="45">
        <f>16.7956 * CHOOSE(CONTROL!$C$15, $E$9, 100%, $G$9) + CHOOSE(CONTROL!$C$38, 0.0256, 0)</f>
        <v>16.821200000000001</v>
      </c>
      <c r="G81" s="10">
        <f>16.0763 * CHOOSE(CONTROL!$C$15, $E$9, 100%, $G$9) + CHOOSE(CONTROL!$C$38, 0.0347, 0)</f>
        <v>16.111000000000001</v>
      </c>
      <c r="H81" s="10">
        <f>16.0763 * CHOOSE(CONTROL!$C$15, $E$9, 100%, $G$9) + CHOOSE(CONTROL!$C$38, 0.0347, 0)</f>
        <v>16.111000000000001</v>
      </c>
      <c r="I81" s="10">
        <f>16.0779 * CHOOSE(CONTROL!$C$15, $E$9, 100%, $G$9) + CHOOSE(CONTROL!$C$38, 0.0347, 0)</f>
        <v>16.1126</v>
      </c>
      <c r="J81" s="44">
        <f>106.236</f>
        <v>106.236</v>
      </c>
    </row>
    <row r="82" spans="1:10" ht="15" x14ac:dyDescent="0.2">
      <c r="A82" s="16">
        <v>43405</v>
      </c>
      <c r="B82" s="10">
        <f>17.1453 * CHOOSE(CONTROL!$C$15, $E$9, 100%, $G$9) + CHOOSE(CONTROL!$C$38, 0.0256, 0)</f>
        <v>17.1709</v>
      </c>
      <c r="C82" s="10">
        <f>16.2713 * CHOOSE(CONTROL!$C$15, $E$9, 100%, $G$9) + CHOOSE(CONTROL!$C$38, 0.0347, 0)</f>
        <v>16.306000000000001</v>
      </c>
      <c r="D82" s="10">
        <f>16.2635 * CHOOSE(CONTROL!$C$15, $E$9, 100%, $G$9) + CHOOSE(CONTROL!$C$38, 0.0347, 0)</f>
        <v>16.298200000000001</v>
      </c>
      <c r="E82" s="46">
        <f>16.9891 * CHOOSE(CONTROL!$C$15, $E$9, 100%, $G$9) + CHOOSE(CONTROL!$C$38, 0.0347, 0)</f>
        <v>17.023800000000001</v>
      </c>
      <c r="F82" s="45">
        <f>16.9891 * CHOOSE(CONTROL!$C$15, $E$9, 100%, $G$9) + CHOOSE(CONTROL!$C$38, 0.0256, 0)</f>
        <v>17.014700000000001</v>
      </c>
      <c r="G82" s="10">
        <f>16.2698 * CHOOSE(CONTROL!$C$15, $E$9, 100%, $G$9) + CHOOSE(CONTROL!$C$38, 0.0347, 0)</f>
        <v>16.304500000000001</v>
      </c>
      <c r="H82" s="10">
        <f>16.2698 * CHOOSE(CONTROL!$C$15, $E$9, 100%, $G$9) + CHOOSE(CONTROL!$C$38, 0.0347, 0)</f>
        <v>16.304500000000001</v>
      </c>
      <c r="I82" s="10">
        <f>16.2713 * CHOOSE(CONTROL!$C$15, $E$9, 100%, $G$9) + CHOOSE(CONTROL!$C$38, 0.0347, 0)</f>
        <v>16.306000000000001</v>
      </c>
      <c r="J82" s="44">
        <f>105.479</f>
        <v>105.479</v>
      </c>
    </row>
    <row r="83" spans="1:10" ht="15" x14ac:dyDescent="0.2">
      <c r="A83" s="16">
        <v>43435</v>
      </c>
      <c r="B83" s="10">
        <f>17.7414 * CHOOSE(CONTROL!$C$15, $E$9, 100%, $G$9) + CHOOSE(CONTROL!$C$38, 0.0256, 0)</f>
        <v>17.766999999999999</v>
      </c>
      <c r="C83" s="10">
        <f>16.8674 * CHOOSE(CONTROL!$C$15, $E$9, 100%, $G$9) + CHOOSE(CONTROL!$C$38, 0.0347, 0)</f>
        <v>16.902100000000001</v>
      </c>
      <c r="D83" s="10">
        <f>16.8596 * CHOOSE(CONTROL!$C$15, $E$9, 100%, $G$9) + CHOOSE(CONTROL!$C$38, 0.0347, 0)</f>
        <v>16.894300000000001</v>
      </c>
      <c r="E83" s="46">
        <f>17.5851 * CHOOSE(CONTROL!$C$15, $E$9, 100%, $G$9) + CHOOSE(CONTROL!$C$38, 0.0347, 0)</f>
        <v>17.619800000000001</v>
      </c>
      <c r="F83" s="45">
        <f>17.5851 * CHOOSE(CONTROL!$C$15, $E$9, 100%, $G$9) + CHOOSE(CONTROL!$C$38, 0.0256, 0)</f>
        <v>17.610700000000001</v>
      </c>
      <c r="G83" s="10">
        <f>16.8658 * CHOOSE(CONTROL!$C$15, $E$9, 100%, $G$9) + CHOOSE(CONTROL!$C$38, 0.0347, 0)</f>
        <v>16.900500000000001</v>
      </c>
      <c r="H83" s="10">
        <f>16.8658 * CHOOSE(CONTROL!$C$15, $E$9, 100%, $G$9) + CHOOSE(CONTROL!$C$38, 0.0347, 0)</f>
        <v>16.900500000000001</v>
      </c>
      <c r="I83" s="10">
        <f>16.8674 * CHOOSE(CONTROL!$C$15, $E$9, 100%, $G$9) + CHOOSE(CONTROL!$C$38, 0.0347, 0)</f>
        <v>16.902100000000001</v>
      </c>
      <c r="J83" s="44">
        <f>102.3489</f>
        <v>102.3489</v>
      </c>
    </row>
    <row r="84" spans="1:10" ht="15" x14ac:dyDescent="0.2">
      <c r="A84" s="16">
        <v>43466</v>
      </c>
      <c r="B84" s="10">
        <f>18.6283 * CHOOSE(CONTROL!$C$15, $E$9, 100%, $G$9) + CHOOSE(CONTROL!$C$38, 0.0256, 0)</f>
        <v>18.6539</v>
      </c>
      <c r="C84" s="10">
        <f>17.7129 * CHOOSE(CONTROL!$C$15, $E$9, 100%, $G$9) + CHOOSE(CONTROL!$C$38, 0.0347, 0)</f>
        <v>17.747600000000002</v>
      </c>
      <c r="D84" s="10">
        <f>17.7051 * CHOOSE(CONTROL!$C$15, $E$9, 100%, $G$9) + CHOOSE(CONTROL!$C$38, 0.0347, 0)</f>
        <v>17.739800000000002</v>
      </c>
      <c r="E84" s="46">
        <f>18.4721 * CHOOSE(CONTROL!$C$15, $E$9, 100%, $G$9) + CHOOSE(CONTROL!$C$38, 0.0347, 0)</f>
        <v>18.506800000000002</v>
      </c>
      <c r="F84" s="45">
        <f>18.4721 * CHOOSE(CONTROL!$C$15, $E$9, 100%, $G$9) + CHOOSE(CONTROL!$C$38, 0.0256, 0)</f>
        <v>18.497700000000002</v>
      </c>
      <c r="G84" s="10">
        <f>17.7114 * CHOOSE(CONTROL!$C$15, $E$9, 100%, $G$9) + CHOOSE(CONTROL!$C$38, 0.0347, 0)</f>
        <v>17.746100000000002</v>
      </c>
      <c r="H84" s="10">
        <f>17.7114 * CHOOSE(CONTROL!$C$15, $E$9, 100%, $G$9) + CHOOSE(CONTROL!$C$38, 0.0347, 0)</f>
        <v>17.746100000000002</v>
      </c>
      <c r="I84" s="10">
        <f>17.7129 * CHOOSE(CONTROL!$C$15, $E$9, 100%, $G$9) + CHOOSE(CONTROL!$C$38, 0.0347, 0)</f>
        <v>17.747600000000002</v>
      </c>
      <c r="J84" s="44">
        <f>101.9488</f>
        <v>101.94880000000001</v>
      </c>
    </row>
    <row r="85" spans="1:10" ht="15" x14ac:dyDescent="0.2">
      <c r="A85" s="16">
        <v>43497</v>
      </c>
      <c r="B85" s="10">
        <f>18.8491 * CHOOSE(CONTROL!$C$15, $E$9, 100%, $G$9) + CHOOSE(CONTROL!$C$38, 0.0256, 0)</f>
        <v>18.874700000000001</v>
      </c>
      <c r="C85" s="10">
        <f>17.9337 * CHOOSE(CONTROL!$C$15, $E$9, 100%, $G$9) + CHOOSE(CONTROL!$C$38, 0.0347, 0)</f>
        <v>17.968400000000003</v>
      </c>
      <c r="D85" s="10">
        <f>17.9259 * CHOOSE(CONTROL!$C$15, $E$9, 100%, $G$9) + CHOOSE(CONTROL!$C$38, 0.0347, 0)</f>
        <v>17.960599999999999</v>
      </c>
      <c r="E85" s="46">
        <f>18.6929 * CHOOSE(CONTROL!$C$15, $E$9, 100%, $G$9) + CHOOSE(CONTROL!$C$38, 0.0347, 0)</f>
        <v>18.727600000000002</v>
      </c>
      <c r="F85" s="45">
        <f>18.6929 * CHOOSE(CONTROL!$C$15, $E$9, 100%, $G$9) + CHOOSE(CONTROL!$C$38, 0.0256, 0)</f>
        <v>18.718500000000002</v>
      </c>
      <c r="G85" s="10">
        <f>17.9321 * CHOOSE(CONTROL!$C$15, $E$9, 100%, $G$9) + CHOOSE(CONTROL!$C$38, 0.0347, 0)</f>
        <v>17.966799999999999</v>
      </c>
      <c r="H85" s="10">
        <f>17.9321 * CHOOSE(CONTROL!$C$15, $E$9, 100%, $G$9) + CHOOSE(CONTROL!$C$38, 0.0347, 0)</f>
        <v>17.966799999999999</v>
      </c>
      <c r="I85" s="10">
        <f>17.9337 * CHOOSE(CONTROL!$C$15, $E$9, 100%, $G$9) + CHOOSE(CONTROL!$C$38, 0.0347, 0)</f>
        <v>17.968400000000003</v>
      </c>
      <c r="J85" s="44">
        <f>101.6655</f>
        <v>101.66549999999999</v>
      </c>
    </row>
    <row r="86" spans="1:10" ht="15" x14ac:dyDescent="0.2">
      <c r="A86" s="16">
        <v>43525</v>
      </c>
      <c r="B86" s="10">
        <f>18.3381 * CHOOSE(CONTROL!$C$15, $E$9, 100%, $G$9) + CHOOSE(CONTROL!$C$38, 0.0256, 0)</f>
        <v>18.363700000000001</v>
      </c>
      <c r="C86" s="10">
        <f>17.4226 * CHOOSE(CONTROL!$C$15, $E$9, 100%, $G$9) + CHOOSE(CONTROL!$C$38, 0.0347, 0)</f>
        <v>17.4573</v>
      </c>
      <c r="D86" s="10">
        <f>17.4148 * CHOOSE(CONTROL!$C$15, $E$9, 100%, $G$9) + CHOOSE(CONTROL!$C$38, 0.0347, 0)</f>
        <v>17.4495</v>
      </c>
      <c r="E86" s="46">
        <f>18.1818 * CHOOSE(CONTROL!$C$15, $E$9, 100%, $G$9) + CHOOSE(CONTROL!$C$38, 0.0347, 0)</f>
        <v>18.2165</v>
      </c>
      <c r="F86" s="45">
        <f>18.1818 * CHOOSE(CONTROL!$C$15, $E$9, 100%, $G$9) + CHOOSE(CONTROL!$C$38, 0.0256, 0)</f>
        <v>18.2074</v>
      </c>
      <c r="G86" s="10">
        <f>17.4211 * CHOOSE(CONTROL!$C$15, $E$9, 100%, $G$9) + CHOOSE(CONTROL!$C$38, 0.0347, 0)</f>
        <v>17.4558</v>
      </c>
      <c r="H86" s="10">
        <f>17.4211 * CHOOSE(CONTROL!$C$15, $E$9, 100%, $G$9) + CHOOSE(CONTROL!$C$38, 0.0347, 0)</f>
        <v>17.4558</v>
      </c>
      <c r="I86" s="10">
        <f>17.4226 * CHOOSE(CONTROL!$C$15, $E$9, 100%, $G$9) + CHOOSE(CONTROL!$C$38, 0.0347, 0)</f>
        <v>17.4573</v>
      </c>
      <c r="J86" s="44">
        <f>107.0238</f>
        <v>107.02379999999999</v>
      </c>
    </row>
    <row r="87" spans="1:10" ht="15" x14ac:dyDescent="0.2">
      <c r="A87" s="16">
        <v>43556</v>
      </c>
      <c r="B87" s="10">
        <f>17.8429 * CHOOSE(CONTROL!$C$15, $E$9, 100%, $G$9) + CHOOSE(CONTROL!$C$38, 0.0256, 0)</f>
        <v>17.868500000000001</v>
      </c>
      <c r="C87" s="10">
        <f>16.9275 * CHOOSE(CONTROL!$C$15, $E$9, 100%, $G$9) + CHOOSE(CONTROL!$C$38, 0.0347, 0)</f>
        <v>16.962199999999999</v>
      </c>
      <c r="D87" s="10">
        <f>16.9197 * CHOOSE(CONTROL!$C$15, $E$9, 100%, $G$9) + CHOOSE(CONTROL!$C$38, 0.0347, 0)</f>
        <v>16.9544</v>
      </c>
      <c r="E87" s="46">
        <f>17.6866 * CHOOSE(CONTROL!$C$15, $E$9, 100%, $G$9) + CHOOSE(CONTROL!$C$38, 0.0347, 0)</f>
        <v>17.721299999999999</v>
      </c>
      <c r="F87" s="45">
        <f>17.6866 * CHOOSE(CONTROL!$C$15, $E$9, 100%, $G$9) + CHOOSE(CONTROL!$C$38, 0.0256, 0)</f>
        <v>17.712199999999999</v>
      </c>
      <c r="G87" s="10">
        <f>16.9259 * CHOOSE(CONTROL!$C$15, $E$9, 100%, $G$9) + CHOOSE(CONTROL!$C$38, 0.0347, 0)</f>
        <v>16.960599999999999</v>
      </c>
      <c r="H87" s="10">
        <f>16.9259 * CHOOSE(CONTROL!$C$15, $E$9, 100%, $G$9) + CHOOSE(CONTROL!$C$38, 0.0347, 0)</f>
        <v>16.960599999999999</v>
      </c>
      <c r="I87" s="10">
        <f>16.9275 * CHOOSE(CONTROL!$C$15, $E$9, 100%, $G$9) + CHOOSE(CONTROL!$C$38, 0.0347, 0)</f>
        <v>16.962199999999999</v>
      </c>
      <c r="J87" s="44">
        <f>113.9723</f>
        <v>113.9723</v>
      </c>
    </row>
    <row r="88" spans="1:10" ht="15" x14ac:dyDescent="0.2">
      <c r="A88" s="16">
        <v>43586</v>
      </c>
      <c r="B88" s="10">
        <f>17.3268 * CHOOSE(CONTROL!$C$15, $E$9, 100%, $G$9) + CHOOSE(CONTROL!$C$38, 0.0278, 0)</f>
        <v>17.354599999999998</v>
      </c>
      <c r="C88" s="10">
        <f>16.4114 * CHOOSE(CONTROL!$C$15, $E$9, 100%, $G$9) + CHOOSE(CONTROL!$C$38, 0.0369, 0)</f>
        <v>16.4483</v>
      </c>
      <c r="D88" s="10">
        <f>16.4035 * CHOOSE(CONTROL!$C$15, $E$9, 100%, $G$9) + CHOOSE(CONTROL!$C$38, 0.0369, 0)</f>
        <v>16.4404</v>
      </c>
      <c r="E88" s="46">
        <f>17.1705 * CHOOSE(CONTROL!$C$15, $E$9, 100%, $G$9) + CHOOSE(CONTROL!$C$38, 0.0369, 0)</f>
        <v>17.2074</v>
      </c>
      <c r="F88" s="45">
        <f>17.1705 * CHOOSE(CONTROL!$C$15, $E$9, 100%, $G$9) + CHOOSE(CONTROL!$C$38, 0.0278, 0)</f>
        <v>17.1983</v>
      </c>
      <c r="G88" s="10">
        <f>16.4098 * CHOOSE(CONTROL!$C$15, $E$9, 100%, $G$9) + CHOOSE(CONTROL!$C$38, 0.0369, 0)</f>
        <v>16.4467</v>
      </c>
      <c r="H88" s="10">
        <f>16.4098 * CHOOSE(CONTROL!$C$15, $E$9, 100%, $G$9) + CHOOSE(CONTROL!$C$38, 0.0369, 0)</f>
        <v>16.4467</v>
      </c>
      <c r="I88" s="10">
        <f>16.4114 * CHOOSE(CONTROL!$C$15, $E$9, 100%, $G$9) + CHOOSE(CONTROL!$C$38, 0.0369, 0)</f>
        <v>16.4483</v>
      </c>
      <c r="J88" s="44">
        <f>117.797</f>
        <v>117.797</v>
      </c>
    </row>
    <row r="89" spans="1:10" ht="15" x14ac:dyDescent="0.2">
      <c r="A89" s="16">
        <v>43617</v>
      </c>
      <c r="B89" s="10">
        <f>16.9649 * CHOOSE(CONTROL!$C$15, $E$9, 100%, $G$9) + CHOOSE(CONTROL!$C$38, 0.0278, 0)</f>
        <v>16.992699999999999</v>
      </c>
      <c r="C89" s="10">
        <f>16.0495 * CHOOSE(CONTROL!$C$15, $E$9, 100%, $G$9) + CHOOSE(CONTROL!$C$38, 0.0369, 0)</f>
        <v>16.086399999999998</v>
      </c>
      <c r="D89" s="10">
        <f>16.0417 * CHOOSE(CONTROL!$C$15, $E$9, 100%, $G$9) + CHOOSE(CONTROL!$C$38, 0.0369, 0)</f>
        <v>16.078599999999998</v>
      </c>
      <c r="E89" s="46">
        <f>16.8087 * CHOOSE(CONTROL!$C$15, $E$9, 100%, $G$9) + CHOOSE(CONTROL!$C$38, 0.0369, 0)</f>
        <v>16.845600000000001</v>
      </c>
      <c r="F89" s="45">
        <f>16.8087 * CHOOSE(CONTROL!$C$15, $E$9, 100%, $G$9) + CHOOSE(CONTROL!$C$38, 0.0278, 0)</f>
        <v>16.836500000000001</v>
      </c>
      <c r="G89" s="10">
        <f>16.048 * CHOOSE(CONTROL!$C$15, $E$9, 100%, $G$9) + CHOOSE(CONTROL!$C$38, 0.0369, 0)</f>
        <v>16.084899999999998</v>
      </c>
      <c r="H89" s="10">
        <f>16.048 * CHOOSE(CONTROL!$C$15, $E$9, 100%, $G$9) + CHOOSE(CONTROL!$C$38, 0.0369, 0)</f>
        <v>16.084899999999998</v>
      </c>
      <c r="I89" s="10">
        <f>16.0495 * CHOOSE(CONTROL!$C$15, $E$9, 100%, $G$9) + CHOOSE(CONTROL!$C$38, 0.0369, 0)</f>
        <v>16.086399999999998</v>
      </c>
      <c r="J89" s="44">
        <f>119.4943</f>
        <v>119.4943</v>
      </c>
    </row>
    <row r="90" spans="1:10" ht="15" x14ac:dyDescent="0.2">
      <c r="A90" s="16">
        <v>43647</v>
      </c>
      <c r="B90" s="10">
        <f>16.7585 * CHOOSE(CONTROL!$C$15, $E$9, 100%, $G$9) + CHOOSE(CONTROL!$C$38, 0.0278, 0)</f>
        <v>16.786300000000001</v>
      </c>
      <c r="C90" s="10">
        <f>15.843 * CHOOSE(CONTROL!$C$15, $E$9, 100%, $G$9) + CHOOSE(CONTROL!$C$38, 0.0369, 0)</f>
        <v>15.879899999999999</v>
      </c>
      <c r="D90" s="10">
        <f>15.8352 * CHOOSE(CONTROL!$C$15, $E$9, 100%, $G$9) + CHOOSE(CONTROL!$C$38, 0.0369, 0)</f>
        <v>15.8721</v>
      </c>
      <c r="E90" s="46">
        <f>16.6022 * CHOOSE(CONTROL!$C$15, $E$9, 100%, $G$9) + CHOOSE(CONTROL!$C$38, 0.0369, 0)</f>
        <v>16.639099999999999</v>
      </c>
      <c r="F90" s="45">
        <f>16.6022 * CHOOSE(CONTROL!$C$15, $E$9, 100%, $G$9) + CHOOSE(CONTROL!$C$38, 0.0278, 0)</f>
        <v>16.63</v>
      </c>
      <c r="G90" s="10">
        <f>15.8415 * CHOOSE(CONTROL!$C$15, $E$9, 100%, $G$9) + CHOOSE(CONTROL!$C$38, 0.0369, 0)</f>
        <v>15.878399999999999</v>
      </c>
      <c r="H90" s="10">
        <f>15.8415 * CHOOSE(CONTROL!$C$15, $E$9, 100%, $G$9) + CHOOSE(CONTROL!$C$38, 0.0369, 0)</f>
        <v>15.878399999999999</v>
      </c>
      <c r="I90" s="10">
        <f>15.843 * CHOOSE(CONTROL!$C$15, $E$9, 100%, $G$9) + CHOOSE(CONTROL!$C$38, 0.0369, 0)</f>
        <v>15.879899999999999</v>
      </c>
      <c r="J90" s="44">
        <f>118.9355</f>
        <v>118.9355</v>
      </c>
    </row>
    <row r="91" spans="1:10" ht="15" x14ac:dyDescent="0.2">
      <c r="A91" s="16">
        <v>43678</v>
      </c>
      <c r="B91" s="10">
        <f>16.8604 * CHOOSE(CONTROL!$C$15, $E$9, 100%, $G$9) + CHOOSE(CONTROL!$C$38, 0.0278, 0)</f>
        <v>16.888199999999998</v>
      </c>
      <c r="C91" s="10">
        <f>15.9449 * CHOOSE(CONTROL!$C$15, $E$9, 100%, $G$9) + CHOOSE(CONTROL!$C$38, 0.0369, 0)</f>
        <v>15.9818</v>
      </c>
      <c r="D91" s="10">
        <f>15.9371 * CHOOSE(CONTROL!$C$15, $E$9, 100%, $G$9) + CHOOSE(CONTROL!$C$38, 0.0369, 0)</f>
        <v>15.973999999999998</v>
      </c>
      <c r="E91" s="46">
        <f>16.7041 * CHOOSE(CONTROL!$C$15, $E$9, 100%, $G$9) + CHOOSE(CONTROL!$C$38, 0.0369, 0)</f>
        <v>16.741</v>
      </c>
      <c r="F91" s="45">
        <f>16.7041 * CHOOSE(CONTROL!$C$15, $E$9, 100%, $G$9) + CHOOSE(CONTROL!$C$38, 0.0278, 0)</f>
        <v>16.7319</v>
      </c>
      <c r="G91" s="10">
        <f>15.9434 * CHOOSE(CONTROL!$C$15, $E$9, 100%, $G$9) + CHOOSE(CONTROL!$C$38, 0.0369, 0)</f>
        <v>15.9803</v>
      </c>
      <c r="H91" s="10">
        <f>15.9434 * CHOOSE(CONTROL!$C$15, $E$9, 100%, $G$9) + CHOOSE(CONTROL!$C$38, 0.0369, 0)</f>
        <v>15.9803</v>
      </c>
      <c r="I91" s="10">
        <f>15.9449 * CHOOSE(CONTROL!$C$15, $E$9, 100%, $G$9) + CHOOSE(CONTROL!$C$38, 0.0369, 0)</f>
        <v>15.9818</v>
      </c>
      <c r="J91" s="44">
        <f>116.1667</f>
        <v>116.16670000000001</v>
      </c>
    </row>
    <row r="92" spans="1:10" ht="15" x14ac:dyDescent="0.2">
      <c r="A92" s="16">
        <v>43709</v>
      </c>
      <c r="B92" s="10">
        <f>17.1372 * CHOOSE(CONTROL!$C$15, $E$9, 100%, $G$9) + CHOOSE(CONTROL!$C$38, 0.0278, 0)</f>
        <v>17.164999999999999</v>
      </c>
      <c r="C92" s="10">
        <f>16.2217 * CHOOSE(CONTROL!$C$15, $E$9, 100%, $G$9) + CHOOSE(CONTROL!$C$38, 0.0369, 0)</f>
        <v>16.258599999999998</v>
      </c>
      <c r="D92" s="10">
        <f>16.2139 * CHOOSE(CONTROL!$C$15, $E$9, 100%, $G$9) + CHOOSE(CONTROL!$C$38, 0.0369, 0)</f>
        <v>16.250799999999998</v>
      </c>
      <c r="E92" s="46">
        <f>16.9809 * CHOOSE(CONTROL!$C$15, $E$9, 100%, $G$9) + CHOOSE(CONTROL!$C$38, 0.0369, 0)</f>
        <v>17.017799999999998</v>
      </c>
      <c r="F92" s="45">
        <f>16.9809 * CHOOSE(CONTROL!$C$15, $E$9, 100%, $G$9) + CHOOSE(CONTROL!$C$38, 0.0278, 0)</f>
        <v>17.008699999999997</v>
      </c>
      <c r="G92" s="10">
        <f>16.2202 * CHOOSE(CONTROL!$C$15, $E$9, 100%, $G$9) + CHOOSE(CONTROL!$C$38, 0.0369, 0)</f>
        <v>16.257099999999998</v>
      </c>
      <c r="H92" s="10">
        <f>16.2202 * CHOOSE(CONTROL!$C$15, $E$9, 100%, $G$9) + CHOOSE(CONTROL!$C$38, 0.0369, 0)</f>
        <v>16.257099999999998</v>
      </c>
      <c r="I92" s="10">
        <f>16.2217 * CHOOSE(CONTROL!$C$15, $E$9, 100%, $G$9) + CHOOSE(CONTROL!$C$38, 0.0369, 0)</f>
        <v>16.258599999999998</v>
      </c>
      <c r="J92" s="44">
        <f>112.3055</f>
        <v>112.30549999999999</v>
      </c>
    </row>
    <row r="93" spans="1:10" ht="15" x14ac:dyDescent="0.2">
      <c r="A93" s="16">
        <v>43739</v>
      </c>
      <c r="B93" s="10">
        <f>17.369 * CHOOSE(CONTROL!$C$15, $E$9, 100%, $G$9) + CHOOSE(CONTROL!$C$38, 0.0256, 0)</f>
        <v>17.394600000000001</v>
      </c>
      <c r="C93" s="10">
        <f>16.4536 * CHOOSE(CONTROL!$C$15, $E$9, 100%, $G$9) + CHOOSE(CONTROL!$C$38, 0.0347, 0)</f>
        <v>16.488300000000002</v>
      </c>
      <c r="D93" s="10">
        <f>16.4457 * CHOOSE(CONTROL!$C$15, $E$9, 100%, $G$9) + CHOOSE(CONTROL!$C$38, 0.0347, 0)</f>
        <v>16.480399999999999</v>
      </c>
      <c r="E93" s="46">
        <f>17.2127 * CHOOSE(CONTROL!$C$15, $E$9, 100%, $G$9) + CHOOSE(CONTROL!$C$38, 0.0347, 0)</f>
        <v>17.247400000000003</v>
      </c>
      <c r="F93" s="45">
        <f>17.2127 * CHOOSE(CONTROL!$C$15, $E$9, 100%, $G$9) + CHOOSE(CONTROL!$C$38, 0.0256, 0)</f>
        <v>17.238300000000002</v>
      </c>
      <c r="G93" s="10">
        <f>16.452 * CHOOSE(CONTROL!$C$15, $E$9, 100%, $G$9) + CHOOSE(CONTROL!$C$38, 0.0347, 0)</f>
        <v>16.486700000000003</v>
      </c>
      <c r="H93" s="10">
        <f>16.452 * CHOOSE(CONTROL!$C$15, $E$9, 100%, $G$9) + CHOOSE(CONTROL!$C$38, 0.0347, 0)</f>
        <v>16.486700000000003</v>
      </c>
      <c r="I93" s="10">
        <f>16.4536 * CHOOSE(CONTROL!$C$15, $E$9, 100%, $G$9) + CHOOSE(CONTROL!$C$38, 0.0347, 0)</f>
        <v>16.488300000000002</v>
      </c>
      <c r="J93" s="44">
        <f>108.4219</f>
        <v>108.42189999999999</v>
      </c>
    </row>
    <row r="94" spans="1:10" ht="15" x14ac:dyDescent="0.2">
      <c r="A94" s="16">
        <v>43770</v>
      </c>
      <c r="B94" s="10">
        <f>17.5624 * CHOOSE(CONTROL!$C$15, $E$9, 100%, $G$9) + CHOOSE(CONTROL!$C$38, 0.0256, 0)</f>
        <v>17.588000000000001</v>
      </c>
      <c r="C94" s="10">
        <f>16.647 * CHOOSE(CONTROL!$C$15, $E$9, 100%, $G$9) + CHOOSE(CONTROL!$C$38, 0.0347, 0)</f>
        <v>16.681699999999999</v>
      </c>
      <c r="D94" s="10">
        <f>16.6392 * CHOOSE(CONTROL!$C$15, $E$9, 100%, $G$9) + CHOOSE(CONTROL!$C$38, 0.0347, 0)</f>
        <v>16.6739</v>
      </c>
      <c r="E94" s="46">
        <f>17.4062 * CHOOSE(CONTROL!$C$15, $E$9, 100%, $G$9) + CHOOSE(CONTROL!$C$38, 0.0347, 0)</f>
        <v>17.440899999999999</v>
      </c>
      <c r="F94" s="45">
        <f>17.4062 * CHOOSE(CONTROL!$C$15, $E$9, 100%, $G$9) + CHOOSE(CONTROL!$C$38, 0.0256, 0)</f>
        <v>17.431799999999999</v>
      </c>
      <c r="G94" s="10">
        <f>16.6454 * CHOOSE(CONTROL!$C$15, $E$9, 100%, $G$9) + CHOOSE(CONTROL!$C$38, 0.0347, 0)</f>
        <v>16.680099999999999</v>
      </c>
      <c r="H94" s="10">
        <f>16.6454 * CHOOSE(CONTROL!$C$15, $E$9, 100%, $G$9) + CHOOSE(CONTROL!$C$38, 0.0347, 0)</f>
        <v>16.680099999999999</v>
      </c>
      <c r="I94" s="10">
        <f>16.647 * CHOOSE(CONTROL!$C$15, $E$9, 100%, $G$9) + CHOOSE(CONTROL!$C$38, 0.0347, 0)</f>
        <v>16.681699999999999</v>
      </c>
      <c r="J94" s="44">
        <f>107.6494</f>
        <v>107.6494</v>
      </c>
    </row>
    <row r="95" spans="1:10" ht="15" x14ac:dyDescent="0.2">
      <c r="A95" s="16">
        <v>43800</v>
      </c>
      <c r="B95" s="10">
        <f>18.1585 * CHOOSE(CONTROL!$C$15, $E$9, 100%, $G$9) + CHOOSE(CONTROL!$C$38, 0.0256, 0)</f>
        <v>18.184100000000001</v>
      </c>
      <c r="C95" s="10">
        <f>17.2431 * CHOOSE(CONTROL!$C$15, $E$9, 100%, $G$9) + CHOOSE(CONTROL!$C$38, 0.0347, 0)</f>
        <v>17.277799999999999</v>
      </c>
      <c r="D95" s="10">
        <f>17.2353 * CHOOSE(CONTROL!$C$15, $E$9, 100%, $G$9) + CHOOSE(CONTROL!$C$38, 0.0347, 0)</f>
        <v>17.27</v>
      </c>
      <c r="E95" s="46">
        <f>18.0022 * CHOOSE(CONTROL!$C$15, $E$9, 100%, $G$9) + CHOOSE(CONTROL!$C$38, 0.0347, 0)</f>
        <v>18.036899999999999</v>
      </c>
      <c r="F95" s="45">
        <f>18.0022 * CHOOSE(CONTROL!$C$15, $E$9, 100%, $G$9) + CHOOSE(CONTROL!$C$38, 0.0256, 0)</f>
        <v>18.027799999999999</v>
      </c>
      <c r="G95" s="10">
        <f>17.2415 * CHOOSE(CONTROL!$C$15, $E$9, 100%, $G$9) + CHOOSE(CONTROL!$C$38, 0.0347, 0)</f>
        <v>17.276199999999999</v>
      </c>
      <c r="H95" s="10">
        <f>17.2415 * CHOOSE(CONTROL!$C$15, $E$9, 100%, $G$9) + CHOOSE(CONTROL!$C$38, 0.0347, 0)</f>
        <v>17.276199999999999</v>
      </c>
      <c r="I95" s="10">
        <f>17.2431 * CHOOSE(CONTROL!$C$15, $E$9, 100%, $G$9) + CHOOSE(CONTROL!$C$38, 0.0347, 0)</f>
        <v>17.277799999999999</v>
      </c>
      <c r="J95" s="44">
        <f>104.4549</f>
        <v>104.45489999999999</v>
      </c>
    </row>
    <row r="96" spans="1:10" ht="15" x14ac:dyDescent="0.2">
      <c r="A96" s="16">
        <v>43831</v>
      </c>
      <c r="B96" s="10">
        <f>19.1622 * CHOOSE(CONTROL!$C$15, $E$9, 100%, $G$9) + CHOOSE(CONTROL!$C$38, 0.0256, 0)</f>
        <v>19.187799999999999</v>
      </c>
      <c r="C96" s="10">
        <f>18.0853 * CHOOSE(CONTROL!$C$15, $E$9, 100%, $G$9) + CHOOSE(CONTROL!$C$38, 0.0347, 0)</f>
        <v>18.12</v>
      </c>
      <c r="D96" s="10">
        <f>18.0775 * CHOOSE(CONTROL!$C$15, $E$9, 100%, $G$9) + CHOOSE(CONTROL!$C$38, 0.0347, 0)</f>
        <v>18.112200000000001</v>
      </c>
      <c r="E96" s="46">
        <f>19.0059 * CHOOSE(CONTROL!$C$15, $E$9, 100%, $G$9) + CHOOSE(CONTROL!$C$38, 0.0347, 0)</f>
        <v>19.040600000000001</v>
      </c>
      <c r="F96" s="45">
        <f>19.0059 * CHOOSE(CONTROL!$C$15, $E$9, 100%, $G$9) + CHOOSE(CONTROL!$C$38, 0.0256, 0)</f>
        <v>19.031500000000001</v>
      </c>
      <c r="G96" s="10">
        <f>18.0837 * CHOOSE(CONTROL!$C$15, $E$9, 100%, $G$9) + CHOOSE(CONTROL!$C$38, 0.0347, 0)</f>
        <v>18.118400000000001</v>
      </c>
      <c r="H96" s="10">
        <f>18.0837 * CHOOSE(CONTROL!$C$15, $E$9, 100%, $G$9) + CHOOSE(CONTROL!$C$38, 0.0347, 0)</f>
        <v>18.118400000000001</v>
      </c>
      <c r="I96" s="10">
        <f>18.0853 * CHOOSE(CONTROL!$C$15, $E$9, 100%, $G$9) + CHOOSE(CONTROL!$C$38, 0.0347, 0)</f>
        <v>18.12</v>
      </c>
      <c r="J96" s="44">
        <f>104.1224</f>
        <v>104.1224</v>
      </c>
    </row>
    <row r="97" spans="1:10" ht="15" x14ac:dyDescent="0.2">
      <c r="A97" s="16">
        <v>43862</v>
      </c>
      <c r="B97" s="10">
        <f>19.3829 * CHOOSE(CONTROL!$C$15, $E$9, 100%, $G$9) + CHOOSE(CONTROL!$C$38, 0.0256, 0)</f>
        <v>19.4085</v>
      </c>
      <c r="C97" s="10">
        <f>18.3061 * CHOOSE(CONTROL!$C$15, $E$9, 100%, $G$9) + CHOOSE(CONTROL!$C$38, 0.0347, 0)</f>
        <v>18.340800000000002</v>
      </c>
      <c r="D97" s="10">
        <f>18.2982 * CHOOSE(CONTROL!$C$15, $E$9, 100%, $G$9) + CHOOSE(CONTROL!$C$38, 0.0347, 0)</f>
        <v>18.332900000000002</v>
      </c>
      <c r="E97" s="46">
        <f>19.2267 * CHOOSE(CONTROL!$C$15, $E$9, 100%, $G$9) + CHOOSE(CONTROL!$C$38, 0.0347, 0)</f>
        <v>19.261400000000002</v>
      </c>
      <c r="F97" s="45">
        <f>19.2267 * CHOOSE(CONTROL!$C$15, $E$9, 100%, $G$9) + CHOOSE(CONTROL!$C$38, 0.0256, 0)</f>
        <v>19.252300000000002</v>
      </c>
      <c r="G97" s="10">
        <f>18.3045 * CHOOSE(CONTROL!$C$15, $E$9, 100%, $G$9) + CHOOSE(CONTROL!$C$38, 0.0347, 0)</f>
        <v>18.339200000000002</v>
      </c>
      <c r="H97" s="10">
        <f>18.3045 * CHOOSE(CONTROL!$C$15, $E$9, 100%, $G$9) + CHOOSE(CONTROL!$C$38, 0.0347, 0)</f>
        <v>18.339200000000002</v>
      </c>
      <c r="I97" s="10">
        <f>18.3061 * CHOOSE(CONTROL!$C$15, $E$9, 100%, $G$9) + CHOOSE(CONTROL!$C$38, 0.0347, 0)</f>
        <v>18.340800000000002</v>
      </c>
      <c r="J97" s="44">
        <f>103.833</f>
        <v>103.833</v>
      </c>
    </row>
    <row r="98" spans="1:10" ht="15" x14ac:dyDescent="0.2">
      <c r="A98" s="16">
        <v>43891</v>
      </c>
      <c r="B98" s="10">
        <f>18.8719 * CHOOSE(CONTROL!$C$15, $E$9, 100%, $G$9) + CHOOSE(CONTROL!$C$38, 0.0256, 0)</f>
        <v>18.897500000000001</v>
      </c>
      <c r="C98" s="10">
        <f>17.795 * CHOOSE(CONTROL!$C$15, $E$9, 100%, $G$9) + CHOOSE(CONTROL!$C$38, 0.0347, 0)</f>
        <v>17.829700000000003</v>
      </c>
      <c r="D98" s="10">
        <f>17.7872 * CHOOSE(CONTROL!$C$15, $E$9, 100%, $G$9) + CHOOSE(CONTROL!$C$38, 0.0347, 0)</f>
        <v>17.821899999999999</v>
      </c>
      <c r="E98" s="46">
        <f>18.7157 * CHOOSE(CONTROL!$C$15, $E$9, 100%, $G$9) + CHOOSE(CONTROL!$C$38, 0.0347, 0)</f>
        <v>18.750399999999999</v>
      </c>
      <c r="F98" s="45">
        <f>18.7157 * CHOOSE(CONTROL!$C$15, $E$9, 100%, $G$9) + CHOOSE(CONTROL!$C$38, 0.0256, 0)</f>
        <v>18.741299999999999</v>
      </c>
      <c r="G98" s="10">
        <f>17.7935 * CHOOSE(CONTROL!$C$15, $E$9, 100%, $G$9) + CHOOSE(CONTROL!$C$38, 0.0347, 0)</f>
        <v>17.828200000000002</v>
      </c>
      <c r="H98" s="10">
        <f>17.7935 * CHOOSE(CONTROL!$C$15, $E$9, 100%, $G$9) + CHOOSE(CONTROL!$C$38, 0.0347, 0)</f>
        <v>17.828200000000002</v>
      </c>
      <c r="I98" s="10">
        <f>17.795 * CHOOSE(CONTROL!$C$15, $E$9, 100%, $G$9) + CHOOSE(CONTROL!$C$38, 0.0347, 0)</f>
        <v>17.829700000000003</v>
      </c>
      <c r="J98" s="44">
        <f>109.3056</f>
        <v>109.3056</v>
      </c>
    </row>
    <row r="99" spans="1:10" ht="15" x14ac:dyDescent="0.2">
      <c r="A99" s="16">
        <v>43922</v>
      </c>
      <c r="B99" s="10">
        <f>18.3767 * CHOOSE(CONTROL!$C$15, $E$9, 100%, $G$9) + CHOOSE(CONTROL!$C$38, 0.0256, 0)</f>
        <v>18.4023</v>
      </c>
      <c r="C99" s="10">
        <f>17.2998 * CHOOSE(CONTROL!$C$15, $E$9, 100%, $G$9) + CHOOSE(CONTROL!$C$38, 0.0347, 0)</f>
        <v>17.334500000000002</v>
      </c>
      <c r="D99" s="10">
        <f>17.292 * CHOOSE(CONTROL!$C$15, $E$9, 100%, $G$9) + CHOOSE(CONTROL!$C$38, 0.0347, 0)</f>
        <v>17.326700000000002</v>
      </c>
      <c r="E99" s="46">
        <f>18.2205 * CHOOSE(CONTROL!$C$15, $E$9, 100%, $G$9) + CHOOSE(CONTROL!$C$38, 0.0347, 0)</f>
        <v>18.255200000000002</v>
      </c>
      <c r="F99" s="45">
        <f>18.2205 * CHOOSE(CONTROL!$C$15, $E$9, 100%, $G$9) + CHOOSE(CONTROL!$C$38, 0.0256, 0)</f>
        <v>18.246100000000002</v>
      </c>
      <c r="G99" s="10">
        <f>17.2983 * CHOOSE(CONTROL!$C$15, $E$9, 100%, $G$9) + CHOOSE(CONTROL!$C$38, 0.0347, 0)</f>
        <v>17.333000000000002</v>
      </c>
      <c r="H99" s="10">
        <f>17.2983 * CHOOSE(CONTROL!$C$15, $E$9, 100%, $G$9) + CHOOSE(CONTROL!$C$38, 0.0347, 0)</f>
        <v>17.333000000000002</v>
      </c>
      <c r="I99" s="10">
        <f>17.2998 * CHOOSE(CONTROL!$C$15, $E$9, 100%, $G$9) + CHOOSE(CONTROL!$C$38, 0.0347, 0)</f>
        <v>17.334500000000002</v>
      </c>
      <c r="J99" s="44">
        <f>116.4022</f>
        <v>116.40219999999999</v>
      </c>
    </row>
    <row r="100" spans="1:10" ht="15" x14ac:dyDescent="0.2">
      <c r="A100" s="16">
        <v>43952</v>
      </c>
      <c r="B100" s="10">
        <f>17.8606 * CHOOSE(CONTROL!$C$15, $E$9, 100%, $G$9) + CHOOSE(CONTROL!$C$38, 0.0278, 0)</f>
        <v>17.888400000000001</v>
      </c>
      <c r="C100" s="10">
        <f>16.7837 * CHOOSE(CONTROL!$C$15, $E$9, 100%, $G$9) + CHOOSE(CONTROL!$C$38, 0.0369, 0)</f>
        <v>16.820599999999999</v>
      </c>
      <c r="D100" s="10">
        <f>16.7759 * CHOOSE(CONTROL!$C$15, $E$9, 100%, $G$9) + CHOOSE(CONTROL!$C$38, 0.0369, 0)</f>
        <v>16.812799999999999</v>
      </c>
      <c r="E100" s="46">
        <f>17.7044 * CHOOSE(CONTROL!$C$15, $E$9, 100%, $G$9) + CHOOSE(CONTROL!$C$38, 0.0369, 0)</f>
        <v>17.741299999999999</v>
      </c>
      <c r="F100" s="45">
        <f>17.7044 * CHOOSE(CONTROL!$C$15, $E$9, 100%, $G$9) + CHOOSE(CONTROL!$C$38, 0.0278, 0)</f>
        <v>17.732199999999999</v>
      </c>
      <c r="G100" s="10">
        <f>16.7822 * CHOOSE(CONTROL!$C$15, $E$9, 100%, $G$9) + CHOOSE(CONTROL!$C$38, 0.0369, 0)</f>
        <v>16.819099999999999</v>
      </c>
      <c r="H100" s="10">
        <f>16.7822 * CHOOSE(CONTROL!$C$15, $E$9, 100%, $G$9) + CHOOSE(CONTROL!$C$38, 0.0369, 0)</f>
        <v>16.819099999999999</v>
      </c>
      <c r="I100" s="10">
        <f>16.7837 * CHOOSE(CONTROL!$C$15, $E$9, 100%, $G$9) + CHOOSE(CONTROL!$C$38, 0.0369, 0)</f>
        <v>16.820599999999999</v>
      </c>
      <c r="J100" s="44">
        <f>120.3085</f>
        <v>120.3085</v>
      </c>
    </row>
    <row r="101" spans="1:10" ht="15" x14ac:dyDescent="0.2">
      <c r="A101" s="16">
        <v>43983</v>
      </c>
      <c r="B101" s="10">
        <f>17.4988 * CHOOSE(CONTROL!$C$15, $E$9, 100%, $G$9) + CHOOSE(CONTROL!$C$38, 0.0278, 0)</f>
        <v>17.526599999999998</v>
      </c>
      <c r="C101" s="10">
        <f>16.4219 * CHOOSE(CONTROL!$C$15, $E$9, 100%, $G$9) + CHOOSE(CONTROL!$C$38, 0.0369, 0)</f>
        <v>16.4588</v>
      </c>
      <c r="D101" s="10">
        <f>16.4141 * CHOOSE(CONTROL!$C$15, $E$9, 100%, $G$9) + CHOOSE(CONTROL!$C$38, 0.0369, 0)</f>
        <v>16.451000000000001</v>
      </c>
      <c r="E101" s="46">
        <f>17.3425 * CHOOSE(CONTROL!$C$15, $E$9, 100%, $G$9) + CHOOSE(CONTROL!$C$38, 0.0369, 0)</f>
        <v>17.3794</v>
      </c>
      <c r="F101" s="45">
        <f>17.3425 * CHOOSE(CONTROL!$C$15, $E$9, 100%, $G$9) + CHOOSE(CONTROL!$C$38, 0.0278, 0)</f>
        <v>17.3703</v>
      </c>
      <c r="G101" s="10">
        <f>16.4203 * CHOOSE(CONTROL!$C$15, $E$9, 100%, $G$9) + CHOOSE(CONTROL!$C$38, 0.0369, 0)</f>
        <v>16.4572</v>
      </c>
      <c r="H101" s="10">
        <f>16.4203 * CHOOSE(CONTROL!$C$15, $E$9, 100%, $G$9) + CHOOSE(CONTROL!$C$38, 0.0369, 0)</f>
        <v>16.4572</v>
      </c>
      <c r="I101" s="10">
        <f>16.4219 * CHOOSE(CONTROL!$C$15, $E$9, 100%, $G$9) + CHOOSE(CONTROL!$C$38, 0.0369, 0)</f>
        <v>16.4588</v>
      </c>
      <c r="J101" s="44">
        <f>122.042</f>
        <v>122.042</v>
      </c>
    </row>
    <row r="102" spans="1:10" ht="15" x14ac:dyDescent="0.2">
      <c r="A102" s="16">
        <v>44013</v>
      </c>
      <c r="B102" s="10">
        <f>17.2923 * CHOOSE(CONTROL!$C$15, $E$9, 100%, $G$9) + CHOOSE(CONTROL!$C$38, 0.0278, 0)</f>
        <v>17.3201</v>
      </c>
      <c r="C102" s="10">
        <f>16.2154 * CHOOSE(CONTROL!$C$15, $E$9, 100%, $G$9) + CHOOSE(CONTROL!$C$38, 0.0369, 0)</f>
        <v>16.252299999999998</v>
      </c>
      <c r="D102" s="10">
        <f>16.2076 * CHOOSE(CONTROL!$C$15, $E$9, 100%, $G$9) + CHOOSE(CONTROL!$C$38, 0.0369, 0)</f>
        <v>16.244499999999999</v>
      </c>
      <c r="E102" s="46">
        <f>17.136 * CHOOSE(CONTROL!$C$15, $E$9, 100%, $G$9) + CHOOSE(CONTROL!$C$38, 0.0369, 0)</f>
        <v>17.172899999999998</v>
      </c>
      <c r="F102" s="45">
        <f>17.136 * CHOOSE(CONTROL!$C$15, $E$9, 100%, $G$9) + CHOOSE(CONTROL!$C$38, 0.0278, 0)</f>
        <v>17.163799999999998</v>
      </c>
      <c r="G102" s="10">
        <f>16.2138 * CHOOSE(CONTROL!$C$15, $E$9, 100%, $G$9) + CHOOSE(CONTROL!$C$38, 0.0369, 0)</f>
        <v>16.250699999999998</v>
      </c>
      <c r="H102" s="10">
        <f>16.2138 * CHOOSE(CONTROL!$C$15, $E$9, 100%, $G$9) + CHOOSE(CONTROL!$C$38, 0.0369, 0)</f>
        <v>16.250699999999998</v>
      </c>
      <c r="I102" s="10">
        <f>16.2154 * CHOOSE(CONTROL!$C$15, $E$9, 100%, $G$9) + CHOOSE(CONTROL!$C$38, 0.0369, 0)</f>
        <v>16.252299999999998</v>
      </c>
      <c r="J102" s="44">
        <f>121.4712</f>
        <v>121.4712</v>
      </c>
    </row>
    <row r="103" spans="1:10" ht="15" x14ac:dyDescent="0.2">
      <c r="A103" s="16">
        <v>44044</v>
      </c>
      <c r="B103" s="10">
        <f>17.3942 * CHOOSE(CONTROL!$C$15, $E$9, 100%, $G$9) + CHOOSE(CONTROL!$C$38, 0.0278, 0)</f>
        <v>17.422000000000001</v>
      </c>
      <c r="C103" s="10">
        <f>16.3173 * CHOOSE(CONTROL!$C$15, $E$9, 100%, $G$9) + CHOOSE(CONTROL!$C$38, 0.0369, 0)</f>
        <v>16.354199999999999</v>
      </c>
      <c r="D103" s="10">
        <f>16.3095 * CHOOSE(CONTROL!$C$15, $E$9, 100%, $G$9) + CHOOSE(CONTROL!$C$38, 0.0369, 0)</f>
        <v>16.346399999999999</v>
      </c>
      <c r="E103" s="46">
        <f>17.2379 * CHOOSE(CONTROL!$C$15, $E$9, 100%, $G$9) + CHOOSE(CONTROL!$C$38, 0.0369, 0)</f>
        <v>17.274799999999999</v>
      </c>
      <c r="F103" s="45">
        <f>17.2379 * CHOOSE(CONTROL!$C$15, $E$9, 100%, $G$9) + CHOOSE(CONTROL!$C$38, 0.0278, 0)</f>
        <v>17.265699999999999</v>
      </c>
      <c r="G103" s="10">
        <f>16.3157 * CHOOSE(CONTROL!$C$15, $E$9, 100%, $G$9) + CHOOSE(CONTROL!$C$38, 0.0369, 0)</f>
        <v>16.352599999999999</v>
      </c>
      <c r="H103" s="10">
        <f>16.3157 * CHOOSE(CONTROL!$C$15, $E$9, 100%, $G$9) + CHOOSE(CONTROL!$C$38, 0.0369, 0)</f>
        <v>16.352599999999999</v>
      </c>
      <c r="I103" s="10">
        <f>16.3173 * CHOOSE(CONTROL!$C$15, $E$9, 100%, $G$9) + CHOOSE(CONTROL!$C$38, 0.0369, 0)</f>
        <v>16.354199999999999</v>
      </c>
      <c r="J103" s="44">
        <f>118.6434</f>
        <v>118.6434</v>
      </c>
    </row>
    <row r="104" spans="1:10" ht="15" x14ac:dyDescent="0.2">
      <c r="A104" s="16">
        <v>44075</v>
      </c>
      <c r="B104" s="10">
        <f>17.671 * CHOOSE(CONTROL!$C$15, $E$9, 100%, $G$9) + CHOOSE(CONTROL!$C$38, 0.0278, 0)</f>
        <v>17.698799999999999</v>
      </c>
      <c r="C104" s="10">
        <f>16.5941 * CHOOSE(CONTROL!$C$15, $E$9, 100%, $G$9) + CHOOSE(CONTROL!$C$38, 0.0369, 0)</f>
        <v>16.631</v>
      </c>
      <c r="D104" s="10">
        <f>16.5863 * CHOOSE(CONTROL!$C$15, $E$9, 100%, $G$9) + CHOOSE(CONTROL!$C$38, 0.0369, 0)</f>
        <v>16.623200000000001</v>
      </c>
      <c r="E104" s="46">
        <f>17.5147 * CHOOSE(CONTROL!$C$15, $E$9, 100%, $G$9) + CHOOSE(CONTROL!$C$38, 0.0369, 0)</f>
        <v>17.551600000000001</v>
      </c>
      <c r="F104" s="45">
        <f>17.5147 * CHOOSE(CONTROL!$C$15, $E$9, 100%, $G$9) + CHOOSE(CONTROL!$C$38, 0.0278, 0)</f>
        <v>17.5425</v>
      </c>
      <c r="G104" s="10">
        <f>16.5925 * CHOOSE(CONTROL!$C$15, $E$9, 100%, $G$9) + CHOOSE(CONTROL!$C$38, 0.0369, 0)</f>
        <v>16.6294</v>
      </c>
      <c r="H104" s="10">
        <f>16.5925 * CHOOSE(CONTROL!$C$15, $E$9, 100%, $G$9) + CHOOSE(CONTROL!$C$38, 0.0369, 0)</f>
        <v>16.6294</v>
      </c>
      <c r="I104" s="10">
        <f>16.5941 * CHOOSE(CONTROL!$C$15, $E$9, 100%, $G$9) + CHOOSE(CONTROL!$C$38, 0.0369, 0)</f>
        <v>16.631</v>
      </c>
      <c r="J104" s="44">
        <f>114.6999</f>
        <v>114.6999</v>
      </c>
    </row>
    <row r="105" spans="1:10" ht="15" x14ac:dyDescent="0.2">
      <c r="A105" s="16">
        <v>44105</v>
      </c>
      <c r="B105" s="10">
        <f>17.9028 * CHOOSE(CONTROL!$C$15, $E$9, 100%, $G$9) + CHOOSE(CONTROL!$C$38, 0.0256, 0)</f>
        <v>17.9284</v>
      </c>
      <c r="C105" s="10">
        <f>16.8259 * CHOOSE(CONTROL!$C$15, $E$9, 100%, $G$9) + CHOOSE(CONTROL!$C$38, 0.0347, 0)</f>
        <v>16.860600000000002</v>
      </c>
      <c r="D105" s="10">
        <f>16.8181 * CHOOSE(CONTROL!$C$15, $E$9, 100%, $G$9) + CHOOSE(CONTROL!$C$38, 0.0347, 0)</f>
        <v>16.852800000000002</v>
      </c>
      <c r="E105" s="46">
        <f>17.7466 * CHOOSE(CONTROL!$C$15, $E$9, 100%, $G$9) + CHOOSE(CONTROL!$C$38, 0.0347, 0)</f>
        <v>17.781300000000002</v>
      </c>
      <c r="F105" s="45">
        <f>17.7466 * CHOOSE(CONTROL!$C$15, $E$9, 100%, $G$9) + CHOOSE(CONTROL!$C$38, 0.0256, 0)</f>
        <v>17.772200000000002</v>
      </c>
      <c r="G105" s="10">
        <f>16.8244 * CHOOSE(CONTROL!$C$15, $E$9, 100%, $G$9) + CHOOSE(CONTROL!$C$38, 0.0347, 0)</f>
        <v>16.859100000000002</v>
      </c>
      <c r="H105" s="10">
        <f>16.8244 * CHOOSE(CONTROL!$C$15, $E$9, 100%, $G$9) + CHOOSE(CONTROL!$C$38, 0.0347, 0)</f>
        <v>16.859100000000002</v>
      </c>
      <c r="I105" s="10">
        <f>16.8259 * CHOOSE(CONTROL!$C$15, $E$9, 100%, $G$9) + CHOOSE(CONTROL!$C$38, 0.0347, 0)</f>
        <v>16.860600000000002</v>
      </c>
      <c r="J105" s="44">
        <f>110.7335</f>
        <v>110.73350000000001</v>
      </c>
    </row>
    <row r="106" spans="1:10" ht="15" x14ac:dyDescent="0.2">
      <c r="A106" s="16">
        <v>44136</v>
      </c>
      <c r="B106" s="10">
        <f>18.0963 * CHOOSE(CONTROL!$C$15, $E$9, 100%, $G$9) + CHOOSE(CONTROL!$C$38, 0.0256, 0)</f>
        <v>18.1219</v>
      </c>
      <c r="C106" s="10">
        <f>17.0194 * CHOOSE(CONTROL!$C$15, $E$9, 100%, $G$9) + CHOOSE(CONTROL!$C$38, 0.0347, 0)</f>
        <v>17.054100000000002</v>
      </c>
      <c r="D106" s="10">
        <f>17.0116 * CHOOSE(CONTROL!$C$15, $E$9, 100%, $G$9) + CHOOSE(CONTROL!$C$38, 0.0347, 0)</f>
        <v>17.046300000000002</v>
      </c>
      <c r="E106" s="46">
        <f>17.94 * CHOOSE(CONTROL!$C$15, $E$9, 100%, $G$9) + CHOOSE(CONTROL!$C$38, 0.0347, 0)</f>
        <v>17.974700000000002</v>
      </c>
      <c r="F106" s="45">
        <f>17.94 * CHOOSE(CONTROL!$C$15, $E$9, 100%, $G$9) + CHOOSE(CONTROL!$C$38, 0.0256, 0)</f>
        <v>17.965600000000002</v>
      </c>
      <c r="G106" s="10">
        <f>17.0178 * CHOOSE(CONTROL!$C$15, $E$9, 100%, $G$9) + CHOOSE(CONTROL!$C$38, 0.0347, 0)</f>
        <v>17.052500000000002</v>
      </c>
      <c r="H106" s="10">
        <f>17.0178 * CHOOSE(CONTROL!$C$15, $E$9, 100%, $G$9) + CHOOSE(CONTROL!$C$38, 0.0347, 0)</f>
        <v>17.052500000000002</v>
      </c>
      <c r="I106" s="10">
        <f>17.0194 * CHOOSE(CONTROL!$C$15, $E$9, 100%, $G$9) + CHOOSE(CONTROL!$C$38, 0.0347, 0)</f>
        <v>17.054100000000002</v>
      </c>
      <c r="J106" s="44">
        <f>109.9445</f>
        <v>109.94450000000001</v>
      </c>
    </row>
    <row r="107" spans="1:10" ht="15" x14ac:dyDescent="0.2">
      <c r="A107" s="16">
        <v>44166</v>
      </c>
      <c r="B107" s="10">
        <f>18.6923 * CHOOSE(CONTROL!$C$15, $E$9, 100%, $G$9) + CHOOSE(CONTROL!$C$38, 0.0256, 0)</f>
        <v>18.7179</v>
      </c>
      <c r="C107" s="10">
        <f>17.6154 * CHOOSE(CONTROL!$C$15, $E$9, 100%, $G$9) + CHOOSE(CONTROL!$C$38, 0.0347, 0)</f>
        <v>17.650100000000002</v>
      </c>
      <c r="D107" s="10">
        <f>17.6076 * CHOOSE(CONTROL!$C$15, $E$9, 100%, $G$9) + CHOOSE(CONTROL!$C$38, 0.0347, 0)</f>
        <v>17.642300000000002</v>
      </c>
      <c r="E107" s="46">
        <f>18.5361 * CHOOSE(CONTROL!$C$15, $E$9, 100%, $G$9) + CHOOSE(CONTROL!$C$38, 0.0347, 0)</f>
        <v>18.570800000000002</v>
      </c>
      <c r="F107" s="45">
        <f>18.5361 * CHOOSE(CONTROL!$C$15, $E$9, 100%, $G$9) + CHOOSE(CONTROL!$C$38, 0.0256, 0)</f>
        <v>18.561700000000002</v>
      </c>
      <c r="G107" s="10">
        <f>17.6139 * CHOOSE(CONTROL!$C$15, $E$9, 100%, $G$9) + CHOOSE(CONTROL!$C$38, 0.0347, 0)</f>
        <v>17.648600000000002</v>
      </c>
      <c r="H107" s="10">
        <f>17.6139 * CHOOSE(CONTROL!$C$15, $E$9, 100%, $G$9) + CHOOSE(CONTROL!$C$38, 0.0347, 0)</f>
        <v>17.648600000000002</v>
      </c>
      <c r="I107" s="10">
        <f>17.6154 * CHOOSE(CONTROL!$C$15, $E$9, 100%, $G$9) + CHOOSE(CONTROL!$C$38, 0.0347, 0)</f>
        <v>17.650100000000002</v>
      </c>
      <c r="J107" s="44">
        <f>106.6819</f>
        <v>106.6819</v>
      </c>
    </row>
    <row r="108" spans="1:10" ht="15" x14ac:dyDescent="0.2">
      <c r="A108" s="16">
        <v>44197</v>
      </c>
      <c r="B108" s="10">
        <f>20.057 * CHOOSE(CONTROL!$C$15, $E$9, 100%, $G$9) + CHOOSE(CONTROL!$C$38, 0.0256, 0)</f>
        <v>20.082599999999999</v>
      </c>
      <c r="C108" s="10">
        <f>18.7474 * CHOOSE(CONTROL!$C$15, $E$9, 100%, $G$9) + CHOOSE(CONTROL!$C$38, 0.0347, 0)</f>
        <v>18.7821</v>
      </c>
      <c r="D108" s="10">
        <f>18.7396 * CHOOSE(CONTROL!$C$15, $E$9, 100%, $G$9) + CHOOSE(CONTROL!$C$38, 0.0347, 0)</f>
        <v>18.7743</v>
      </c>
      <c r="E108" s="46">
        <f>19.9008 * CHOOSE(CONTROL!$C$15, $E$9, 100%, $G$9) + CHOOSE(CONTROL!$C$38, 0.0347, 0)</f>
        <v>19.935500000000001</v>
      </c>
      <c r="F108" s="45">
        <f>19.9008 * CHOOSE(CONTROL!$C$15, $E$9, 100%, $G$9) + CHOOSE(CONTROL!$C$38, 0.0256, 0)</f>
        <v>19.926400000000001</v>
      </c>
      <c r="G108" s="10">
        <f>18.7458 * CHOOSE(CONTROL!$C$15, $E$9, 100%, $G$9) + CHOOSE(CONTROL!$C$38, 0.0347, 0)</f>
        <v>18.7805</v>
      </c>
      <c r="H108" s="10">
        <f>18.7458 * CHOOSE(CONTROL!$C$15, $E$9, 100%, $G$9) + CHOOSE(CONTROL!$C$38, 0.0347, 0)</f>
        <v>18.7805</v>
      </c>
      <c r="I108" s="10">
        <f>18.7474 * CHOOSE(CONTROL!$C$15, $E$9, 100%, $G$9) + CHOOSE(CONTROL!$C$38, 0.0347, 0)</f>
        <v>18.7821</v>
      </c>
      <c r="J108" s="44">
        <f>108.7765</f>
        <v>108.7765</v>
      </c>
    </row>
    <row r="109" spans="1:10" ht="15" x14ac:dyDescent="0.2">
      <c r="A109" s="16">
        <v>44228</v>
      </c>
      <c r="B109" s="10">
        <f>20.2778 * CHOOSE(CONTROL!$C$15, $E$9, 100%, $G$9) + CHOOSE(CONTROL!$C$38, 0.0256, 0)</f>
        <v>20.3034</v>
      </c>
      <c r="C109" s="10">
        <f>18.9682 * CHOOSE(CONTROL!$C$15, $E$9, 100%, $G$9) + CHOOSE(CONTROL!$C$38, 0.0347, 0)</f>
        <v>19.0029</v>
      </c>
      <c r="D109" s="10">
        <f>18.9603 * CHOOSE(CONTROL!$C$15, $E$9, 100%, $G$9) + CHOOSE(CONTROL!$C$38, 0.0347, 0)</f>
        <v>18.995000000000001</v>
      </c>
      <c r="E109" s="46">
        <f>20.1216 * CHOOSE(CONTROL!$C$15, $E$9, 100%, $G$9) + CHOOSE(CONTROL!$C$38, 0.0347, 0)</f>
        <v>20.156300000000002</v>
      </c>
      <c r="F109" s="45">
        <f>20.1216 * CHOOSE(CONTROL!$C$15, $E$9, 100%, $G$9) + CHOOSE(CONTROL!$C$38, 0.0256, 0)</f>
        <v>20.147200000000002</v>
      </c>
      <c r="G109" s="10">
        <f>18.9666 * CHOOSE(CONTROL!$C$15, $E$9, 100%, $G$9) + CHOOSE(CONTROL!$C$38, 0.0347, 0)</f>
        <v>19.001300000000001</v>
      </c>
      <c r="H109" s="10">
        <f>18.9666 * CHOOSE(CONTROL!$C$15, $E$9, 100%, $G$9) + CHOOSE(CONTROL!$C$38, 0.0347, 0)</f>
        <v>19.001300000000001</v>
      </c>
      <c r="I109" s="10">
        <f>18.9682 * CHOOSE(CONTROL!$C$15, $E$9, 100%, $G$9) + CHOOSE(CONTROL!$C$38, 0.0347, 0)</f>
        <v>19.0029</v>
      </c>
      <c r="J109" s="44">
        <f>108.4741</f>
        <v>108.47410000000001</v>
      </c>
    </row>
    <row r="110" spans="1:10" ht="15" x14ac:dyDescent="0.2">
      <c r="A110" s="16">
        <v>44256</v>
      </c>
      <c r="B110" s="10">
        <f>19.7668 * CHOOSE(CONTROL!$C$15, $E$9, 100%, $G$9) + CHOOSE(CONTROL!$C$38, 0.0256, 0)</f>
        <v>19.792400000000001</v>
      </c>
      <c r="C110" s="10">
        <f>18.4571 * CHOOSE(CONTROL!$C$15, $E$9, 100%, $G$9) + CHOOSE(CONTROL!$C$38, 0.0347, 0)</f>
        <v>18.491800000000001</v>
      </c>
      <c r="D110" s="10">
        <f>18.4493 * CHOOSE(CONTROL!$C$15, $E$9, 100%, $G$9) + CHOOSE(CONTROL!$C$38, 0.0347, 0)</f>
        <v>18.484000000000002</v>
      </c>
      <c r="E110" s="46">
        <f>19.6105 * CHOOSE(CONTROL!$C$15, $E$9, 100%, $G$9) + CHOOSE(CONTROL!$C$38, 0.0347, 0)</f>
        <v>19.645199999999999</v>
      </c>
      <c r="F110" s="45">
        <f>19.6105 * CHOOSE(CONTROL!$C$15, $E$9, 100%, $G$9) + CHOOSE(CONTROL!$C$38, 0.0256, 0)</f>
        <v>19.636099999999999</v>
      </c>
      <c r="G110" s="10">
        <f>18.4556 * CHOOSE(CONTROL!$C$15, $E$9, 100%, $G$9) + CHOOSE(CONTROL!$C$38, 0.0347, 0)</f>
        <v>18.490300000000001</v>
      </c>
      <c r="H110" s="10">
        <f>18.4556 * CHOOSE(CONTROL!$C$15, $E$9, 100%, $G$9) + CHOOSE(CONTROL!$C$38, 0.0347, 0)</f>
        <v>18.490300000000001</v>
      </c>
      <c r="I110" s="10">
        <f>18.4571 * CHOOSE(CONTROL!$C$15, $E$9, 100%, $G$9) + CHOOSE(CONTROL!$C$38, 0.0347, 0)</f>
        <v>18.491800000000001</v>
      </c>
      <c r="J110" s="44">
        <f>114.1913</f>
        <v>114.1913</v>
      </c>
    </row>
    <row r="111" spans="1:10" ht="15" x14ac:dyDescent="0.2">
      <c r="A111" s="16">
        <v>44287</v>
      </c>
      <c r="B111" s="10">
        <f>19.2716 * CHOOSE(CONTROL!$C$15, $E$9, 100%, $G$9) + CHOOSE(CONTROL!$C$38, 0.0256, 0)</f>
        <v>19.2972</v>
      </c>
      <c r="C111" s="10">
        <f>17.9619 * CHOOSE(CONTROL!$C$15, $E$9, 100%, $G$9) + CHOOSE(CONTROL!$C$38, 0.0347, 0)</f>
        <v>17.996600000000001</v>
      </c>
      <c r="D111" s="10">
        <f>17.9541 * CHOOSE(CONTROL!$C$15, $E$9, 100%, $G$9) + CHOOSE(CONTROL!$C$38, 0.0347, 0)</f>
        <v>17.988800000000001</v>
      </c>
      <c r="E111" s="46">
        <f>19.1153 * CHOOSE(CONTROL!$C$15, $E$9, 100%, $G$9) + CHOOSE(CONTROL!$C$38, 0.0347, 0)</f>
        <v>19.150000000000002</v>
      </c>
      <c r="F111" s="45">
        <f>19.1153 * CHOOSE(CONTROL!$C$15, $E$9, 100%, $G$9) + CHOOSE(CONTROL!$C$38, 0.0256, 0)</f>
        <v>19.140900000000002</v>
      </c>
      <c r="G111" s="10">
        <f>17.9604 * CHOOSE(CONTROL!$C$15, $E$9, 100%, $G$9) + CHOOSE(CONTROL!$C$38, 0.0347, 0)</f>
        <v>17.995100000000001</v>
      </c>
      <c r="H111" s="10">
        <f>17.9604 * CHOOSE(CONTROL!$C$15, $E$9, 100%, $G$9) + CHOOSE(CONTROL!$C$38, 0.0347, 0)</f>
        <v>17.995100000000001</v>
      </c>
      <c r="I111" s="10">
        <f>17.9619 * CHOOSE(CONTROL!$C$15, $E$9, 100%, $G$9) + CHOOSE(CONTROL!$C$38, 0.0347, 0)</f>
        <v>17.996600000000001</v>
      </c>
      <c r="J111" s="44">
        <f>121.6052</f>
        <v>121.6052</v>
      </c>
    </row>
    <row r="112" spans="1:10" ht="15" x14ac:dyDescent="0.2">
      <c r="A112" s="16">
        <v>44317</v>
      </c>
      <c r="B112" s="10">
        <f>18.7555 * CHOOSE(CONTROL!$C$15, $E$9, 100%, $G$9) + CHOOSE(CONTROL!$C$38, 0.0278, 0)</f>
        <v>18.783300000000001</v>
      </c>
      <c r="C112" s="10">
        <f>17.4458 * CHOOSE(CONTROL!$C$15, $E$9, 100%, $G$9) + CHOOSE(CONTROL!$C$38, 0.0369, 0)</f>
        <v>17.482699999999998</v>
      </c>
      <c r="D112" s="10">
        <f>17.438 * CHOOSE(CONTROL!$C$15, $E$9, 100%, $G$9) + CHOOSE(CONTROL!$C$38, 0.0369, 0)</f>
        <v>17.474899999999998</v>
      </c>
      <c r="E112" s="46">
        <f>18.5992 * CHOOSE(CONTROL!$C$15, $E$9, 100%, $G$9) + CHOOSE(CONTROL!$C$38, 0.0369, 0)</f>
        <v>18.636099999999999</v>
      </c>
      <c r="F112" s="45">
        <f>18.5992 * CHOOSE(CONTROL!$C$15, $E$9, 100%, $G$9) + CHOOSE(CONTROL!$C$38, 0.0278, 0)</f>
        <v>18.626999999999999</v>
      </c>
      <c r="G112" s="10">
        <f>17.4443 * CHOOSE(CONTROL!$C$15, $E$9, 100%, $G$9) + CHOOSE(CONTROL!$C$38, 0.0369, 0)</f>
        <v>17.481199999999998</v>
      </c>
      <c r="H112" s="10">
        <f>17.4443 * CHOOSE(CONTROL!$C$15, $E$9, 100%, $G$9) + CHOOSE(CONTROL!$C$38, 0.0369, 0)</f>
        <v>17.481199999999998</v>
      </c>
      <c r="I112" s="10">
        <f>17.4458 * CHOOSE(CONTROL!$C$15, $E$9, 100%, $G$9) + CHOOSE(CONTROL!$C$38, 0.0369, 0)</f>
        <v>17.482699999999998</v>
      </c>
      <c r="J112" s="44">
        <f>125.686</f>
        <v>125.68600000000001</v>
      </c>
    </row>
    <row r="113" spans="1:10" ht="15" x14ac:dyDescent="0.2">
      <c r="A113" s="16">
        <v>44348</v>
      </c>
      <c r="B113" s="10">
        <f>18.3936 * CHOOSE(CONTROL!$C$15, $E$9, 100%, $G$9) + CHOOSE(CONTROL!$C$38, 0.0278, 0)</f>
        <v>18.421399999999998</v>
      </c>
      <c r="C113" s="10">
        <f>17.084 * CHOOSE(CONTROL!$C$15, $E$9, 100%, $G$9) + CHOOSE(CONTROL!$C$38, 0.0369, 0)</f>
        <v>17.120899999999999</v>
      </c>
      <c r="D113" s="10">
        <f>17.0762 * CHOOSE(CONTROL!$C$15, $E$9, 100%, $G$9) + CHOOSE(CONTROL!$C$38, 0.0369, 0)</f>
        <v>17.113099999999999</v>
      </c>
      <c r="E113" s="46">
        <f>18.2374 * CHOOSE(CONTROL!$C$15, $E$9, 100%, $G$9) + CHOOSE(CONTROL!$C$38, 0.0369, 0)</f>
        <v>18.2743</v>
      </c>
      <c r="F113" s="45">
        <f>18.2374 * CHOOSE(CONTROL!$C$15, $E$9, 100%, $G$9) + CHOOSE(CONTROL!$C$38, 0.0278, 0)</f>
        <v>18.2652</v>
      </c>
      <c r="G113" s="10">
        <f>17.0824 * CHOOSE(CONTROL!$C$15, $E$9, 100%, $G$9) + CHOOSE(CONTROL!$C$38, 0.0369, 0)</f>
        <v>17.119299999999999</v>
      </c>
      <c r="H113" s="10">
        <f>17.0824 * CHOOSE(CONTROL!$C$15, $E$9, 100%, $G$9) + CHOOSE(CONTROL!$C$38, 0.0369, 0)</f>
        <v>17.119299999999999</v>
      </c>
      <c r="I113" s="10">
        <f>17.084 * CHOOSE(CONTROL!$C$15, $E$9, 100%, $G$9) + CHOOSE(CONTROL!$C$38, 0.0369, 0)</f>
        <v>17.120899999999999</v>
      </c>
      <c r="J113" s="44">
        <f>127.497</f>
        <v>127.497</v>
      </c>
    </row>
    <row r="114" spans="1:10" ht="15" x14ac:dyDescent="0.2">
      <c r="A114" s="16">
        <v>44378</v>
      </c>
      <c r="B114" s="10">
        <f>18.1872 * CHOOSE(CONTROL!$C$15, $E$9, 100%, $G$9) + CHOOSE(CONTROL!$C$38, 0.0278, 0)</f>
        <v>18.215</v>
      </c>
      <c r="C114" s="10">
        <f>16.8775 * CHOOSE(CONTROL!$C$15, $E$9, 100%, $G$9) + CHOOSE(CONTROL!$C$38, 0.0369, 0)</f>
        <v>16.914400000000001</v>
      </c>
      <c r="D114" s="10">
        <f>16.8697 * CHOOSE(CONTROL!$C$15, $E$9, 100%, $G$9) + CHOOSE(CONTROL!$C$38, 0.0369, 0)</f>
        <v>16.906600000000001</v>
      </c>
      <c r="E114" s="46">
        <f>18.0309 * CHOOSE(CONTROL!$C$15, $E$9, 100%, $G$9) + CHOOSE(CONTROL!$C$38, 0.0369, 0)</f>
        <v>18.067799999999998</v>
      </c>
      <c r="F114" s="45">
        <f>18.0309 * CHOOSE(CONTROL!$C$15, $E$9, 100%, $G$9) + CHOOSE(CONTROL!$C$38, 0.0278, 0)</f>
        <v>18.058699999999998</v>
      </c>
      <c r="G114" s="10">
        <f>16.8759 * CHOOSE(CONTROL!$C$15, $E$9, 100%, $G$9) + CHOOSE(CONTROL!$C$38, 0.0369, 0)</f>
        <v>16.912800000000001</v>
      </c>
      <c r="H114" s="10">
        <f>16.8759 * CHOOSE(CONTROL!$C$15, $E$9, 100%, $G$9) + CHOOSE(CONTROL!$C$38, 0.0369, 0)</f>
        <v>16.912800000000001</v>
      </c>
      <c r="I114" s="10">
        <f>16.8775 * CHOOSE(CONTROL!$C$15, $E$9, 100%, $G$9) + CHOOSE(CONTROL!$C$38, 0.0369, 0)</f>
        <v>16.914400000000001</v>
      </c>
      <c r="J114" s="44">
        <f>126.9007</f>
        <v>126.9007</v>
      </c>
    </row>
    <row r="115" spans="1:10" ht="15" x14ac:dyDescent="0.2">
      <c r="A115" s="16">
        <v>44409</v>
      </c>
      <c r="B115" s="10">
        <f>18.2891 * CHOOSE(CONTROL!$C$15, $E$9, 100%, $G$9) + CHOOSE(CONTROL!$C$38, 0.0278, 0)</f>
        <v>18.3169</v>
      </c>
      <c r="C115" s="10">
        <f>16.9794 * CHOOSE(CONTROL!$C$15, $E$9, 100%, $G$9) + CHOOSE(CONTROL!$C$38, 0.0369, 0)</f>
        <v>17.016299999999998</v>
      </c>
      <c r="D115" s="10">
        <f>16.9716 * CHOOSE(CONTROL!$C$15, $E$9, 100%, $G$9) + CHOOSE(CONTROL!$C$38, 0.0369, 0)</f>
        <v>17.008499999999998</v>
      </c>
      <c r="E115" s="46">
        <f>18.1328 * CHOOSE(CONTROL!$C$15, $E$9, 100%, $G$9) + CHOOSE(CONTROL!$C$38, 0.0369, 0)</f>
        <v>18.169699999999999</v>
      </c>
      <c r="F115" s="45">
        <f>18.1328 * CHOOSE(CONTROL!$C$15, $E$9, 100%, $G$9) + CHOOSE(CONTROL!$C$38, 0.0278, 0)</f>
        <v>18.160599999999999</v>
      </c>
      <c r="G115" s="10">
        <f>16.9779 * CHOOSE(CONTROL!$C$15, $E$9, 100%, $G$9) + CHOOSE(CONTROL!$C$38, 0.0369, 0)</f>
        <v>17.014800000000001</v>
      </c>
      <c r="H115" s="10">
        <f>16.9779 * CHOOSE(CONTROL!$C$15, $E$9, 100%, $G$9) + CHOOSE(CONTROL!$C$38, 0.0369, 0)</f>
        <v>17.014800000000001</v>
      </c>
      <c r="I115" s="10">
        <f>16.9794 * CHOOSE(CONTROL!$C$15, $E$9, 100%, $G$9) + CHOOSE(CONTROL!$C$38, 0.0369, 0)</f>
        <v>17.016299999999998</v>
      </c>
      <c r="J115" s="44">
        <f>123.9466</f>
        <v>123.9466</v>
      </c>
    </row>
    <row r="116" spans="1:10" ht="15" x14ac:dyDescent="0.2">
      <c r="A116" s="16">
        <v>44440</v>
      </c>
      <c r="B116" s="10">
        <f>18.5659 * CHOOSE(CONTROL!$C$15, $E$9, 100%, $G$9) + CHOOSE(CONTROL!$C$38, 0.0278, 0)</f>
        <v>18.593699999999998</v>
      </c>
      <c r="C116" s="10">
        <f>17.2562 * CHOOSE(CONTROL!$C$15, $E$9, 100%, $G$9) + CHOOSE(CONTROL!$C$38, 0.0369, 0)</f>
        <v>17.293099999999999</v>
      </c>
      <c r="D116" s="10">
        <f>17.2484 * CHOOSE(CONTROL!$C$15, $E$9, 100%, $G$9) + CHOOSE(CONTROL!$C$38, 0.0369, 0)</f>
        <v>17.285299999999999</v>
      </c>
      <c r="E116" s="46">
        <f>18.4096 * CHOOSE(CONTROL!$C$15, $E$9, 100%, $G$9) + CHOOSE(CONTROL!$C$38, 0.0369, 0)</f>
        <v>18.4465</v>
      </c>
      <c r="F116" s="45">
        <f>18.4096 * CHOOSE(CONTROL!$C$15, $E$9, 100%, $G$9) + CHOOSE(CONTROL!$C$38, 0.0278, 0)</f>
        <v>18.4374</v>
      </c>
      <c r="G116" s="10">
        <f>17.2547 * CHOOSE(CONTROL!$C$15, $E$9, 100%, $G$9) + CHOOSE(CONTROL!$C$38, 0.0369, 0)</f>
        <v>17.291599999999999</v>
      </c>
      <c r="H116" s="10">
        <f>17.2547 * CHOOSE(CONTROL!$C$15, $E$9, 100%, $G$9) + CHOOSE(CONTROL!$C$38, 0.0369, 0)</f>
        <v>17.291599999999999</v>
      </c>
      <c r="I116" s="10">
        <f>17.2562 * CHOOSE(CONTROL!$C$15, $E$9, 100%, $G$9) + CHOOSE(CONTROL!$C$38, 0.0369, 0)</f>
        <v>17.293099999999999</v>
      </c>
      <c r="J116" s="44">
        <f>119.8268</f>
        <v>119.82680000000001</v>
      </c>
    </row>
    <row r="117" spans="1:10" ht="15" x14ac:dyDescent="0.2">
      <c r="A117" s="16">
        <v>44470</v>
      </c>
      <c r="B117" s="10">
        <f>18.7977 * CHOOSE(CONTROL!$C$15, $E$9, 100%, $G$9) + CHOOSE(CONTROL!$C$38, 0.0256, 0)</f>
        <v>18.8233</v>
      </c>
      <c r="C117" s="10">
        <f>17.488 * CHOOSE(CONTROL!$C$15, $E$9, 100%, $G$9) + CHOOSE(CONTROL!$C$38, 0.0347, 0)</f>
        <v>17.5227</v>
      </c>
      <c r="D117" s="10">
        <f>17.4802 * CHOOSE(CONTROL!$C$15, $E$9, 100%, $G$9) + CHOOSE(CONTROL!$C$38, 0.0347, 0)</f>
        <v>17.514900000000001</v>
      </c>
      <c r="E117" s="46">
        <f>18.6414 * CHOOSE(CONTROL!$C$15, $E$9, 100%, $G$9) + CHOOSE(CONTROL!$C$38, 0.0347, 0)</f>
        <v>18.676100000000002</v>
      </c>
      <c r="F117" s="45">
        <f>18.6414 * CHOOSE(CONTROL!$C$15, $E$9, 100%, $G$9) + CHOOSE(CONTROL!$C$38, 0.0256, 0)</f>
        <v>18.667000000000002</v>
      </c>
      <c r="G117" s="10">
        <f>17.4865 * CHOOSE(CONTROL!$C$15, $E$9, 100%, $G$9) + CHOOSE(CONTROL!$C$38, 0.0347, 0)</f>
        <v>17.5212</v>
      </c>
      <c r="H117" s="10">
        <f>17.4865 * CHOOSE(CONTROL!$C$15, $E$9, 100%, $G$9) + CHOOSE(CONTROL!$C$38, 0.0347, 0)</f>
        <v>17.5212</v>
      </c>
      <c r="I117" s="10">
        <f>17.488 * CHOOSE(CONTROL!$C$15, $E$9, 100%, $G$9) + CHOOSE(CONTROL!$C$38, 0.0347, 0)</f>
        <v>17.5227</v>
      </c>
      <c r="J117" s="44">
        <f>115.683</f>
        <v>115.68300000000001</v>
      </c>
    </row>
    <row r="118" spans="1:10" ht="15" x14ac:dyDescent="0.2">
      <c r="A118" s="16">
        <v>44501</v>
      </c>
      <c r="B118" s="10">
        <f>18.9911 * CHOOSE(CONTROL!$C$15, $E$9, 100%, $G$9) + CHOOSE(CONTROL!$C$38, 0.0256, 0)</f>
        <v>19.0167</v>
      </c>
      <c r="C118" s="10">
        <f>17.6815 * CHOOSE(CONTROL!$C$15, $E$9, 100%, $G$9) + CHOOSE(CONTROL!$C$38, 0.0347, 0)</f>
        <v>17.716200000000001</v>
      </c>
      <c r="D118" s="10">
        <f>17.6737 * CHOOSE(CONTROL!$C$15, $E$9, 100%, $G$9) + CHOOSE(CONTROL!$C$38, 0.0347, 0)</f>
        <v>17.708400000000001</v>
      </c>
      <c r="E118" s="46">
        <f>18.8349 * CHOOSE(CONTROL!$C$15, $E$9, 100%, $G$9) + CHOOSE(CONTROL!$C$38, 0.0347, 0)</f>
        <v>18.869600000000002</v>
      </c>
      <c r="F118" s="45">
        <f>18.8349 * CHOOSE(CONTROL!$C$15, $E$9, 100%, $G$9) + CHOOSE(CONTROL!$C$38, 0.0256, 0)</f>
        <v>18.860500000000002</v>
      </c>
      <c r="G118" s="10">
        <f>17.6799 * CHOOSE(CONTROL!$C$15, $E$9, 100%, $G$9) + CHOOSE(CONTROL!$C$38, 0.0347, 0)</f>
        <v>17.714600000000001</v>
      </c>
      <c r="H118" s="10">
        <f>17.6799 * CHOOSE(CONTROL!$C$15, $E$9, 100%, $G$9) + CHOOSE(CONTROL!$C$38, 0.0347, 0)</f>
        <v>17.714600000000001</v>
      </c>
      <c r="I118" s="10">
        <f>17.6815 * CHOOSE(CONTROL!$C$15, $E$9, 100%, $G$9) + CHOOSE(CONTROL!$C$38, 0.0347, 0)</f>
        <v>17.716200000000001</v>
      </c>
      <c r="J118" s="44">
        <f>114.8588</f>
        <v>114.8588</v>
      </c>
    </row>
    <row r="119" spans="1:10" ht="15" x14ac:dyDescent="0.2">
      <c r="A119" s="16">
        <v>44531</v>
      </c>
      <c r="B119" s="10">
        <f>19.5872 * CHOOSE(CONTROL!$C$15, $E$9, 100%, $G$9) + CHOOSE(CONTROL!$C$38, 0.0256, 0)</f>
        <v>19.6128</v>
      </c>
      <c r="C119" s="10">
        <f>18.2775 * CHOOSE(CONTROL!$C$15, $E$9, 100%, $G$9) + CHOOSE(CONTROL!$C$38, 0.0347, 0)</f>
        <v>18.312200000000001</v>
      </c>
      <c r="D119" s="10">
        <f>18.2697 * CHOOSE(CONTROL!$C$15, $E$9, 100%, $G$9) + CHOOSE(CONTROL!$C$38, 0.0347, 0)</f>
        <v>18.304400000000001</v>
      </c>
      <c r="E119" s="46">
        <f>19.4309 * CHOOSE(CONTROL!$C$15, $E$9, 100%, $G$9) + CHOOSE(CONTROL!$C$38, 0.0347, 0)</f>
        <v>19.465600000000002</v>
      </c>
      <c r="F119" s="45">
        <f>19.4309 * CHOOSE(CONTROL!$C$15, $E$9, 100%, $G$9) + CHOOSE(CONTROL!$C$38, 0.0256, 0)</f>
        <v>19.456500000000002</v>
      </c>
      <c r="G119" s="10">
        <f>18.276 * CHOOSE(CONTROL!$C$15, $E$9, 100%, $G$9) + CHOOSE(CONTROL!$C$38, 0.0347, 0)</f>
        <v>18.310700000000001</v>
      </c>
      <c r="H119" s="10">
        <f>18.276 * CHOOSE(CONTROL!$C$15, $E$9, 100%, $G$9) + CHOOSE(CONTROL!$C$38, 0.0347, 0)</f>
        <v>18.310700000000001</v>
      </c>
      <c r="I119" s="10">
        <f>18.2775 * CHOOSE(CONTROL!$C$15, $E$9, 100%, $G$9) + CHOOSE(CONTROL!$C$38, 0.0347, 0)</f>
        <v>18.312200000000001</v>
      </c>
      <c r="J119" s="44">
        <f>111.4503</f>
        <v>111.4503</v>
      </c>
    </row>
    <row r="120" spans="1:10" ht="15" x14ac:dyDescent="0.2">
      <c r="A120" s="16">
        <v>44562</v>
      </c>
      <c r="B120" s="10">
        <f>20.8716 * CHOOSE(CONTROL!$C$15, $E$9, 100%, $G$9) + CHOOSE(CONTROL!$C$38, 0.0256, 0)</f>
        <v>20.897200000000002</v>
      </c>
      <c r="C120" s="10">
        <f>19.464 * CHOOSE(CONTROL!$C$15, $E$9, 100%, $G$9) + CHOOSE(CONTROL!$C$38, 0.0347, 0)</f>
        <v>19.498699999999999</v>
      </c>
      <c r="D120" s="10">
        <f>19.4562 * CHOOSE(CONTROL!$C$15, $E$9, 100%, $G$9) + CHOOSE(CONTROL!$C$38, 0.0347, 0)</f>
        <v>19.4909</v>
      </c>
      <c r="E120" s="46">
        <f>20.7154 * CHOOSE(CONTROL!$C$15, $E$9, 100%, $G$9) + CHOOSE(CONTROL!$C$38, 0.0347, 0)</f>
        <v>20.7501</v>
      </c>
      <c r="F120" s="45">
        <f>20.7154 * CHOOSE(CONTROL!$C$15, $E$9, 100%, $G$9) + CHOOSE(CONTROL!$C$38, 0.0256, 0)</f>
        <v>20.741</v>
      </c>
      <c r="G120" s="10">
        <f>19.4624 * CHOOSE(CONTROL!$C$15, $E$9, 100%, $G$9) + CHOOSE(CONTROL!$C$38, 0.0347, 0)</f>
        <v>19.4971</v>
      </c>
      <c r="H120" s="10">
        <f>19.4624 * CHOOSE(CONTROL!$C$15, $E$9, 100%, $G$9) + CHOOSE(CONTROL!$C$38, 0.0347, 0)</f>
        <v>19.4971</v>
      </c>
      <c r="I120" s="10">
        <f>19.464 * CHOOSE(CONTROL!$C$15, $E$9, 100%, $G$9) + CHOOSE(CONTROL!$C$38, 0.0347, 0)</f>
        <v>19.498699999999999</v>
      </c>
      <c r="J120" s="44">
        <f>113.7753</f>
        <v>113.7753</v>
      </c>
    </row>
    <row r="121" spans="1:10" ht="15" x14ac:dyDescent="0.2">
      <c r="A121" s="16">
        <v>44593</v>
      </c>
      <c r="B121" s="10">
        <f>21.0924 * CHOOSE(CONTROL!$C$15, $E$9, 100%, $G$9) + CHOOSE(CONTROL!$C$38, 0.0256, 0)</f>
        <v>21.118000000000002</v>
      </c>
      <c r="C121" s="10">
        <f>19.6848 * CHOOSE(CONTROL!$C$15, $E$9, 100%, $G$9) + CHOOSE(CONTROL!$C$38, 0.0347, 0)</f>
        <v>19.7195</v>
      </c>
      <c r="D121" s="10">
        <f>19.6769 * CHOOSE(CONTROL!$C$15, $E$9, 100%, $G$9) + CHOOSE(CONTROL!$C$38, 0.0347, 0)</f>
        <v>19.711600000000001</v>
      </c>
      <c r="E121" s="46">
        <f>20.9361 * CHOOSE(CONTROL!$C$15, $E$9, 100%, $G$9) + CHOOSE(CONTROL!$C$38, 0.0347, 0)</f>
        <v>20.970800000000001</v>
      </c>
      <c r="F121" s="45">
        <f>20.9361 * CHOOSE(CONTROL!$C$15, $E$9, 100%, $G$9) + CHOOSE(CONTROL!$C$38, 0.0256, 0)</f>
        <v>20.9617</v>
      </c>
      <c r="G121" s="10">
        <f>19.6832 * CHOOSE(CONTROL!$C$15, $E$9, 100%, $G$9) + CHOOSE(CONTROL!$C$38, 0.0347, 0)</f>
        <v>19.7179</v>
      </c>
      <c r="H121" s="10">
        <f>19.6832 * CHOOSE(CONTROL!$C$15, $E$9, 100%, $G$9) + CHOOSE(CONTROL!$C$38, 0.0347, 0)</f>
        <v>19.7179</v>
      </c>
      <c r="I121" s="10">
        <f>19.6848 * CHOOSE(CONTROL!$C$15, $E$9, 100%, $G$9) + CHOOSE(CONTROL!$C$38, 0.0347, 0)</f>
        <v>19.7195</v>
      </c>
      <c r="J121" s="44">
        <f>113.459</f>
        <v>113.459</v>
      </c>
    </row>
    <row r="122" spans="1:10" ht="15" x14ac:dyDescent="0.2">
      <c r="A122" s="16">
        <v>44621</v>
      </c>
      <c r="B122" s="10">
        <f>20.5814 * CHOOSE(CONTROL!$C$15, $E$9, 100%, $G$9) + CHOOSE(CONTROL!$C$38, 0.0256, 0)</f>
        <v>20.606999999999999</v>
      </c>
      <c r="C122" s="10">
        <f>19.1737 * CHOOSE(CONTROL!$C$15, $E$9, 100%, $G$9) + CHOOSE(CONTROL!$C$38, 0.0347, 0)</f>
        <v>19.208400000000001</v>
      </c>
      <c r="D122" s="10">
        <f>19.1659 * CHOOSE(CONTROL!$C$15, $E$9, 100%, $G$9) + CHOOSE(CONTROL!$C$38, 0.0347, 0)</f>
        <v>19.200600000000001</v>
      </c>
      <c r="E122" s="46">
        <f>20.4251 * CHOOSE(CONTROL!$C$15, $E$9, 100%, $G$9) + CHOOSE(CONTROL!$C$38, 0.0347, 0)</f>
        <v>20.459800000000001</v>
      </c>
      <c r="F122" s="45">
        <f>20.4251 * CHOOSE(CONTROL!$C$15, $E$9, 100%, $G$9) + CHOOSE(CONTROL!$C$38, 0.0256, 0)</f>
        <v>20.450700000000001</v>
      </c>
      <c r="G122" s="10">
        <f>19.1722 * CHOOSE(CONTROL!$C$15, $E$9, 100%, $G$9) + CHOOSE(CONTROL!$C$38, 0.0347, 0)</f>
        <v>19.206900000000001</v>
      </c>
      <c r="H122" s="10">
        <f>19.1722 * CHOOSE(CONTROL!$C$15, $E$9, 100%, $G$9) + CHOOSE(CONTROL!$C$38, 0.0347, 0)</f>
        <v>19.206900000000001</v>
      </c>
      <c r="I122" s="10">
        <f>19.1737 * CHOOSE(CONTROL!$C$15, $E$9, 100%, $G$9) + CHOOSE(CONTROL!$C$38, 0.0347, 0)</f>
        <v>19.208400000000001</v>
      </c>
      <c r="J122" s="44">
        <f>119.439</f>
        <v>119.43899999999999</v>
      </c>
    </row>
    <row r="123" spans="1:10" ht="15" x14ac:dyDescent="0.2">
      <c r="A123" s="16">
        <v>44652</v>
      </c>
      <c r="B123" s="10">
        <f>20.0862 * CHOOSE(CONTROL!$C$15, $E$9, 100%, $G$9) + CHOOSE(CONTROL!$C$38, 0.0256, 0)</f>
        <v>20.111800000000002</v>
      </c>
      <c r="C123" s="10">
        <f>18.6785 * CHOOSE(CONTROL!$C$15, $E$9, 100%, $G$9) + CHOOSE(CONTROL!$C$38, 0.0347, 0)</f>
        <v>18.713200000000001</v>
      </c>
      <c r="D123" s="10">
        <f>18.6707 * CHOOSE(CONTROL!$C$15, $E$9, 100%, $G$9) + CHOOSE(CONTROL!$C$38, 0.0347, 0)</f>
        <v>18.705400000000001</v>
      </c>
      <c r="E123" s="46">
        <f>19.9299 * CHOOSE(CONTROL!$C$15, $E$9, 100%, $G$9) + CHOOSE(CONTROL!$C$38, 0.0347, 0)</f>
        <v>19.964600000000001</v>
      </c>
      <c r="F123" s="45">
        <f>19.9299 * CHOOSE(CONTROL!$C$15, $E$9, 100%, $G$9) + CHOOSE(CONTROL!$C$38, 0.0256, 0)</f>
        <v>19.955500000000001</v>
      </c>
      <c r="G123" s="10">
        <f>18.677 * CHOOSE(CONTROL!$C$15, $E$9, 100%, $G$9) + CHOOSE(CONTROL!$C$38, 0.0347, 0)</f>
        <v>18.7117</v>
      </c>
      <c r="H123" s="10">
        <f>18.677 * CHOOSE(CONTROL!$C$15, $E$9, 100%, $G$9) + CHOOSE(CONTROL!$C$38, 0.0347, 0)</f>
        <v>18.7117</v>
      </c>
      <c r="I123" s="10">
        <f>18.6785 * CHOOSE(CONTROL!$C$15, $E$9, 100%, $G$9) + CHOOSE(CONTROL!$C$38, 0.0347, 0)</f>
        <v>18.713200000000001</v>
      </c>
      <c r="J123" s="44">
        <f>127.1935</f>
        <v>127.1935</v>
      </c>
    </row>
    <row r="124" spans="1:10" ht="15" x14ac:dyDescent="0.2">
      <c r="A124" s="16">
        <v>44682</v>
      </c>
      <c r="B124" s="10">
        <f>19.5701 * CHOOSE(CONTROL!$C$15, $E$9, 100%, $G$9) + CHOOSE(CONTROL!$C$38, 0.0278, 0)</f>
        <v>19.597899999999999</v>
      </c>
      <c r="C124" s="10">
        <f>18.1624 * CHOOSE(CONTROL!$C$15, $E$9, 100%, $G$9) + CHOOSE(CONTROL!$C$38, 0.0369, 0)</f>
        <v>18.199300000000001</v>
      </c>
      <c r="D124" s="10">
        <f>18.1546 * CHOOSE(CONTROL!$C$15, $E$9, 100%, $G$9) + CHOOSE(CONTROL!$C$38, 0.0369, 0)</f>
        <v>18.191499999999998</v>
      </c>
      <c r="E124" s="46">
        <f>19.4138 * CHOOSE(CONTROL!$C$15, $E$9, 100%, $G$9) + CHOOSE(CONTROL!$C$38, 0.0369, 0)</f>
        <v>19.450699999999998</v>
      </c>
      <c r="F124" s="45">
        <f>19.4138 * CHOOSE(CONTROL!$C$15, $E$9, 100%, $G$9) + CHOOSE(CONTROL!$C$38, 0.0278, 0)</f>
        <v>19.441599999999998</v>
      </c>
      <c r="G124" s="10">
        <f>18.1609 * CHOOSE(CONTROL!$C$15, $E$9, 100%, $G$9) + CHOOSE(CONTROL!$C$38, 0.0369, 0)</f>
        <v>18.197800000000001</v>
      </c>
      <c r="H124" s="10">
        <f>18.1609 * CHOOSE(CONTROL!$C$15, $E$9, 100%, $G$9) + CHOOSE(CONTROL!$C$38, 0.0369, 0)</f>
        <v>18.197800000000001</v>
      </c>
      <c r="I124" s="10">
        <f>18.1624 * CHOOSE(CONTROL!$C$15, $E$9, 100%, $G$9) + CHOOSE(CONTROL!$C$38, 0.0369, 0)</f>
        <v>18.199300000000001</v>
      </c>
      <c r="J124" s="44">
        <f>131.4619</f>
        <v>131.46190000000001</v>
      </c>
    </row>
    <row r="125" spans="1:10" ht="15" x14ac:dyDescent="0.2">
      <c r="A125" s="16">
        <v>44713</v>
      </c>
      <c r="B125" s="10">
        <f>19.2082 * CHOOSE(CONTROL!$C$15, $E$9, 100%, $G$9) + CHOOSE(CONTROL!$C$38, 0.0278, 0)</f>
        <v>19.236000000000001</v>
      </c>
      <c r="C125" s="10">
        <f>17.8006 * CHOOSE(CONTROL!$C$15, $E$9, 100%, $G$9) + CHOOSE(CONTROL!$C$38, 0.0369, 0)</f>
        <v>17.837499999999999</v>
      </c>
      <c r="D125" s="10">
        <f>17.7928 * CHOOSE(CONTROL!$C$15, $E$9, 100%, $G$9) + CHOOSE(CONTROL!$C$38, 0.0369, 0)</f>
        <v>17.829699999999999</v>
      </c>
      <c r="E125" s="46">
        <f>19.052 * CHOOSE(CONTROL!$C$15, $E$9, 100%, $G$9) + CHOOSE(CONTROL!$C$38, 0.0369, 0)</f>
        <v>19.088899999999999</v>
      </c>
      <c r="F125" s="45">
        <f>19.052 * CHOOSE(CONTROL!$C$15, $E$9, 100%, $G$9) + CHOOSE(CONTROL!$C$38, 0.0278, 0)</f>
        <v>19.079799999999999</v>
      </c>
      <c r="G125" s="10">
        <f>17.799 * CHOOSE(CONTROL!$C$15, $E$9, 100%, $G$9) + CHOOSE(CONTROL!$C$38, 0.0369, 0)</f>
        <v>17.835899999999999</v>
      </c>
      <c r="H125" s="10">
        <f>17.799 * CHOOSE(CONTROL!$C$15, $E$9, 100%, $G$9) + CHOOSE(CONTROL!$C$38, 0.0369, 0)</f>
        <v>17.835899999999999</v>
      </c>
      <c r="I125" s="10">
        <f>17.8006 * CHOOSE(CONTROL!$C$15, $E$9, 100%, $G$9) + CHOOSE(CONTROL!$C$38, 0.0369, 0)</f>
        <v>17.837499999999999</v>
      </c>
      <c r="J125" s="44">
        <f>133.3561</f>
        <v>133.3561</v>
      </c>
    </row>
    <row r="126" spans="1:10" ht="15" x14ac:dyDescent="0.2">
      <c r="A126" s="16">
        <v>44743</v>
      </c>
      <c r="B126" s="10">
        <f>19.0017 * CHOOSE(CONTROL!$C$15, $E$9, 100%, $G$9) + CHOOSE(CONTROL!$C$38, 0.0278, 0)</f>
        <v>19.029499999999999</v>
      </c>
      <c r="C126" s="10">
        <f>17.5941 * CHOOSE(CONTROL!$C$15, $E$9, 100%, $G$9) + CHOOSE(CONTROL!$C$38, 0.0369, 0)</f>
        <v>17.631</v>
      </c>
      <c r="D126" s="10">
        <f>17.5863 * CHOOSE(CONTROL!$C$15, $E$9, 100%, $G$9) + CHOOSE(CONTROL!$C$38, 0.0369, 0)</f>
        <v>17.623200000000001</v>
      </c>
      <c r="E126" s="46">
        <f>18.8455 * CHOOSE(CONTROL!$C$15, $E$9, 100%, $G$9) + CHOOSE(CONTROL!$C$38, 0.0369, 0)</f>
        <v>18.882400000000001</v>
      </c>
      <c r="F126" s="45">
        <f>18.8455 * CHOOSE(CONTROL!$C$15, $E$9, 100%, $G$9) + CHOOSE(CONTROL!$C$38, 0.0278, 0)</f>
        <v>18.8733</v>
      </c>
      <c r="G126" s="10">
        <f>17.5925 * CHOOSE(CONTROL!$C$15, $E$9, 100%, $G$9) + CHOOSE(CONTROL!$C$38, 0.0369, 0)</f>
        <v>17.6294</v>
      </c>
      <c r="H126" s="10">
        <f>17.5925 * CHOOSE(CONTROL!$C$15, $E$9, 100%, $G$9) + CHOOSE(CONTROL!$C$38, 0.0369, 0)</f>
        <v>17.6294</v>
      </c>
      <c r="I126" s="10">
        <f>17.5941 * CHOOSE(CONTROL!$C$15, $E$9, 100%, $G$9) + CHOOSE(CONTROL!$C$38, 0.0369, 0)</f>
        <v>17.631</v>
      </c>
      <c r="J126" s="44">
        <f>132.7324</f>
        <v>132.73240000000001</v>
      </c>
    </row>
    <row r="127" spans="1:10" ht="15" x14ac:dyDescent="0.2">
      <c r="A127" s="16">
        <v>44774</v>
      </c>
      <c r="B127" s="10">
        <f>19.1037 * CHOOSE(CONTROL!$C$15, $E$9, 100%, $G$9) + CHOOSE(CONTROL!$C$38, 0.0278, 0)</f>
        <v>19.131499999999999</v>
      </c>
      <c r="C127" s="10">
        <f>17.696 * CHOOSE(CONTROL!$C$15, $E$9, 100%, $G$9) + CHOOSE(CONTROL!$C$38, 0.0369, 0)</f>
        <v>17.732900000000001</v>
      </c>
      <c r="D127" s="10">
        <f>17.6882 * CHOOSE(CONTROL!$C$15, $E$9, 100%, $G$9) + CHOOSE(CONTROL!$C$38, 0.0369, 0)</f>
        <v>17.725099999999998</v>
      </c>
      <c r="E127" s="46">
        <f>18.9474 * CHOOSE(CONTROL!$C$15, $E$9, 100%, $G$9) + CHOOSE(CONTROL!$C$38, 0.0369, 0)</f>
        <v>18.984299999999998</v>
      </c>
      <c r="F127" s="45">
        <f>18.9474 * CHOOSE(CONTROL!$C$15, $E$9, 100%, $G$9) + CHOOSE(CONTROL!$C$38, 0.0278, 0)</f>
        <v>18.975199999999997</v>
      </c>
      <c r="G127" s="10">
        <f>17.6944 * CHOOSE(CONTROL!$C$15, $E$9, 100%, $G$9) + CHOOSE(CONTROL!$C$38, 0.0369, 0)</f>
        <v>17.731300000000001</v>
      </c>
      <c r="H127" s="10">
        <f>17.6944 * CHOOSE(CONTROL!$C$15, $E$9, 100%, $G$9) + CHOOSE(CONTROL!$C$38, 0.0369, 0)</f>
        <v>17.731300000000001</v>
      </c>
      <c r="I127" s="10">
        <f>17.696 * CHOOSE(CONTROL!$C$15, $E$9, 100%, $G$9) + CHOOSE(CONTROL!$C$38, 0.0369, 0)</f>
        <v>17.732900000000001</v>
      </c>
      <c r="J127" s="44">
        <f>129.6425</f>
        <v>129.64250000000001</v>
      </c>
    </row>
    <row r="128" spans="1:10" ht="15" x14ac:dyDescent="0.2">
      <c r="A128" s="16">
        <v>44805</v>
      </c>
      <c r="B128" s="10">
        <f>19.3804 * CHOOSE(CONTROL!$C$15, $E$9, 100%, $G$9) + CHOOSE(CONTROL!$C$38, 0.0278, 0)</f>
        <v>19.408200000000001</v>
      </c>
      <c r="C128" s="10">
        <f>17.9728 * CHOOSE(CONTROL!$C$15, $E$9, 100%, $G$9) + CHOOSE(CONTROL!$C$38, 0.0369, 0)</f>
        <v>18.009699999999999</v>
      </c>
      <c r="D128" s="10">
        <f>17.965 * CHOOSE(CONTROL!$C$15, $E$9, 100%, $G$9) + CHOOSE(CONTROL!$C$38, 0.0369, 0)</f>
        <v>18.001899999999999</v>
      </c>
      <c r="E128" s="46">
        <f>19.2242 * CHOOSE(CONTROL!$C$15, $E$9, 100%, $G$9) + CHOOSE(CONTROL!$C$38, 0.0369, 0)</f>
        <v>19.261099999999999</v>
      </c>
      <c r="F128" s="45">
        <f>19.2242 * CHOOSE(CONTROL!$C$15, $E$9, 100%, $G$9) + CHOOSE(CONTROL!$C$38, 0.0278, 0)</f>
        <v>19.251999999999999</v>
      </c>
      <c r="G128" s="10">
        <f>17.9712 * CHOOSE(CONTROL!$C$15, $E$9, 100%, $G$9) + CHOOSE(CONTROL!$C$38, 0.0369, 0)</f>
        <v>18.008099999999999</v>
      </c>
      <c r="H128" s="10">
        <f>17.9712 * CHOOSE(CONTROL!$C$15, $E$9, 100%, $G$9) + CHOOSE(CONTROL!$C$38, 0.0369, 0)</f>
        <v>18.008099999999999</v>
      </c>
      <c r="I128" s="10">
        <f>17.9728 * CHOOSE(CONTROL!$C$15, $E$9, 100%, $G$9) + CHOOSE(CONTROL!$C$38, 0.0369, 0)</f>
        <v>18.009699999999999</v>
      </c>
      <c r="J128" s="44">
        <f>125.3334</f>
        <v>125.3334</v>
      </c>
    </row>
    <row r="129" spans="1:10" ht="15" x14ac:dyDescent="0.2">
      <c r="A129" s="16">
        <v>44835</v>
      </c>
      <c r="B129" s="10">
        <f>19.6123 * CHOOSE(CONTROL!$C$15, $E$9, 100%, $G$9) + CHOOSE(CONTROL!$C$38, 0.0256, 0)</f>
        <v>19.637900000000002</v>
      </c>
      <c r="C129" s="10">
        <f>18.2046 * CHOOSE(CONTROL!$C$15, $E$9, 100%, $G$9) + CHOOSE(CONTROL!$C$38, 0.0347, 0)</f>
        <v>18.2393</v>
      </c>
      <c r="D129" s="10">
        <f>18.1968 * CHOOSE(CONTROL!$C$15, $E$9, 100%, $G$9) + CHOOSE(CONTROL!$C$38, 0.0347, 0)</f>
        <v>18.2315</v>
      </c>
      <c r="E129" s="46">
        <f>19.456 * CHOOSE(CONTROL!$C$15, $E$9, 100%, $G$9) + CHOOSE(CONTROL!$C$38, 0.0347, 0)</f>
        <v>19.4907</v>
      </c>
      <c r="F129" s="45">
        <f>19.456 * CHOOSE(CONTROL!$C$15, $E$9, 100%, $G$9) + CHOOSE(CONTROL!$C$38, 0.0256, 0)</f>
        <v>19.4816</v>
      </c>
      <c r="G129" s="10">
        <f>18.2031 * CHOOSE(CONTROL!$C$15, $E$9, 100%, $G$9) + CHOOSE(CONTROL!$C$38, 0.0347, 0)</f>
        <v>18.2378</v>
      </c>
      <c r="H129" s="10">
        <f>18.2031 * CHOOSE(CONTROL!$C$15, $E$9, 100%, $G$9) + CHOOSE(CONTROL!$C$38, 0.0347, 0)</f>
        <v>18.2378</v>
      </c>
      <c r="I129" s="10">
        <f>18.2046 * CHOOSE(CONTROL!$C$15, $E$9, 100%, $G$9) + CHOOSE(CONTROL!$C$38, 0.0347, 0)</f>
        <v>18.2393</v>
      </c>
      <c r="J129" s="44">
        <f>120.9992</f>
        <v>120.9992</v>
      </c>
    </row>
    <row r="130" spans="1:10" ht="15" x14ac:dyDescent="0.2">
      <c r="A130" s="16">
        <v>44866</v>
      </c>
      <c r="B130" s="10">
        <f>19.8057 * CHOOSE(CONTROL!$C$15, $E$9, 100%, $G$9) + CHOOSE(CONTROL!$C$38, 0.0256, 0)</f>
        <v>19.831300000000002</v>
      </c>
      <c r="C130" s="10">
        <f>18.3981 * CHOOSE(CONTROL!$C$15, $E$9, 100%, $G$9) + CHOOSE(CONTROL!$C$38, 0.0347, 0)</f>
        <v>18.4328</v>
      </c>
      <c r="D130" s="10">
        <f>18.3903 * CHOOSE(CONTROL!$C$15, $E$9, 100%, $G$9) + CHOOSE(CONTROL!$C$38, 0.0347, 0)</f>
        <v>18.425000000000001</v>
      </c>
      <c r="E130" s="46">
        <f>19.6495 * CHOOSE(CONTROL!$C$15, $E$9, 100%, $G$9) + CHOOSE(CONTROL!$C$38, 0.0347, 0)</f>
        <v>19.684200000000001</v>
      </c>
      <c r="F130" s="45">
        <f>19.6495 * CHOOSE(CONTROL!$C$15, $E$9, 100%, $G$9) + CHOOSE(CONTROL!$C$38, 0.0256, 0)</f>
        <v>19.6751</v>
      </c>
      <c r="G130" s="10">
        <f>18.3965 * CHOOSE(CONTROL!$C$15, $E$9, 100%, $G$9) + CHOOSE(CONTROL!$C$38, 0.0347, 0)</f>
        <v>18.4312</v>
      </c>
      <c r="H130" s="10">
        <f>18.3965 * CHOOSE(CONTROL!$C$15, $E$9, 100%, $G$9) + CHOOSE(CONTROL!$C$38, 0.0347, 0)</f>
        <v>18.4312</v>
      </c>
      <c r="I130" s="10">
        <f>18.3981 * CHOOSE(CONTROL!$C$15, $E$9, 100%, $G$9) + CHOOSE(CONTROL!$C$38, 0.0347, 0)</f>
        <v>18.4328</v>
      </c>
      <c r="J130" s="44">
        <f>120.1371</f>
        <v>120.1371</v>
      </c>
    </row>
    <row r="131" spans="1:10" ht="15" x14ac:dyDescent="0.2">
      <c r="A131" s="16">
        <v>44896</v>
      </c>
      <c r="B131" s="10">
        <f>20.4018 * CHOOSE(CONTROL!$C$15, $E$9, 100%, $G$9) + CHOOSE(CONTROL!$C$38, 0.0256, 0)</f>
        <v>20.427400000000002</v>
      </c>
      <c r="C131" s="10">
        <f>18.9941 * CHOOSE(CONTROL!$C$15, $E$9, 100%, $G$9) + CHOOSE(CONTROL!$C$38, 0.0347, 0)</f>
        <v>19.0288</v>
      </c>
      <c r="D131" s="10">
        <f>18.9863 * CHOOSE(CONTROL!$C$15, $E$9, 100%, $G$9) + CHOOSE(CONTROL!$C$38, 0.0347, 0)</f>
        <v>19.021000000000001</v>
      </c>
      <c r="E131" s="46">
        <f>20.2455 * CHOOSE(CONTROL!$C$15, $E$9, 100%, $G$9) + CHOOSE(CONTROL!$C$38, 0.0347, 0)</f>
        <v>20.280200000000001</v>
      </c>
      <c r="F131" s="45">
        <f>20.2455 * CHOOSE(CONTROL!$C$15, $E$9, 100%, $G$9) + CHOOSE(CONTROL!$C$38, 0.0256, 0)</f>
        <v>20.271100000000001</v>
      </c>
      <c r="G131" s="10">
        <f>18.9926 * CHOOSE(CONTROL!$C$15, $E$9, 100%, $G$9) + CHOOSE(CONTROL!$C$38, 0.0347, 0)</f>
        <v>19.0273</v>
      </c>
      <c r="H131" s="10">
        <f>18.9926 * CHOOSE(CONTROL!$C$15, $E$9, 100%, $G$9) + CHOOSE(CONTROL!$C$38, 0.0347, 0)</f>
        <v>19.0273</v>
      </c>
      <c r="I131" s="10">
        <f>18.9941 * CHOOSE(CONTROL!$C$15, $E$9, 100%, $G$9) + CHOOSE(CONTROL!$C$38, 0.0347, 0)</f>
        <v>19.0288</v>
      </c>
      <c r="J131" s="44">
        <f>116.572</f>
        <v>116.572</v>
      </c>
    </row>
    <row r="132" spans="1:10" ht="15" x14ac:dyDescent="0.2">
      <c r="A132" s="16">
        <v>44927</v>
      </c>
      <c r="B132" s="10">
        <f>21.8542 * CHOOSE(CONTROL!$C$15, $E$9, 100%, $G$9) + CHOOSE(CONTROL!$C$38, 0.0256, 0)</f>
        <v>21.879799999999999</v>
      </c>
      <c r="C132" s="10">
        <f>20.2663 * CHOOSE(CONTROL!$C$15, $E$9, 100%, $G$9) + CHOOSE(CONTROL!$C$38, 0.0347, 0)</f>
        <v>20.301000000000002</v>
      </c>
      <c r="D132" s="10">
        <f>20.2585 * CHOOSE(CONTROL!$C$15, $E$9, 100%, $G$9) + CHOOSE(CONTROL!$C$38, 0.0347, 0)</f>
        <v>20.293200000000002</v>
      </c>
      <c r="E132" s="46">
        <f>21.6979 * CHOOSE(CONTROL!$C$15, $E$9, 100%, $G$9) + CHOOSE(CONTROL!$C$38, 0.0347, 0)</f>
        <v>21.732600000000001</v>
      </c>
      <c r="F132" s="45">
        <f>21.6979 * CHOOSE(CONTROL!$C$15, $E$9, 100%, $G$9) + CHOOSE(CONTROL!$C$38, 0.0256, 0)</f>
        <v>21.723500000000001</v>
      </c>
      <c r="G132" s="10">
        <f>20.2647 * CHOOSE(CONTROL!$C$15, $E$9, 100%, $G$9) + CHOOSE(CONTROL!$C$38, 0.0347, 0)</f>
        <v>20.299400000000002</v>
      </c>
      <c r="H132" s="10">
        <f>20.2647 * CHOOSE(CONTROL!$C$15, $E$9, 100%, $G$9) + CHOOSE(CONTROL!$C$38, 0.0347, 0)</f>
        <v>20.299400000000002</v>
      </c>
      <c r="I132" s="10">
        <f>20.2663 * CHOOSE(CONTROL!$C$15, $E$9, 100%, $G$9) + CHOOSE(CONTROL!$C$38, 0.0347, 0)</f>
        <v>20.301000000000002</v>
      </c>
      <c r="J132" s="44">
        <f>118.9976</f>
        <v>118.99760000000001</v>
      </c>
    </row>
    <row r="133" spans="1:10" ht="15" x14ac:dyDescent="0.2">
      <c r="A133" s="16">
        <v>44958</v>
      </c>
      <c r="B133" s="10">
        <f>22.0749 * CHOOSE(CONTROL!$C$15, $E$9, 100%, $G$9) + CHOOSE(CONTROL!$C$38, 0.0256, 0)</f>
        <v>22.1005</v>
      </c>
      <c r="C133" s="10">
        <f>20.4871 * CHOOSE(CONTROL!$C$15, $E$9, 100%, $G$9) + CHOOSE(CONTROL!$C$38, 0.0347, 0)</f>
        <v>20.521800000000002</v>
      </c>
      <c r="D133" s="10">
        <f>20.4793 * CHOOSE(CONTROL!$C$15, $E$9, 100%, $G$9) + CHOOSE(CONTROL!$C$38, 0.0347, 0)</f>
        <v>20.513999999999999</v>
      </c>
      <c r="E133" s="46">
        <f>21.9187 * CHOOSE(CONTROL!$C$15, $E$9, 100%, $G$9) + CHOOSE(CONTROL!$C$38, 0.0347, 0)</f>
        <v>21.953400000000002</v>
      </c>
      <c r="F133" s="45">
        <f>21.9187 * CHOOSE(CONTROL!$C$15, $E$9, 100%, $G$9) + CHOOSE(CONTROL!$C$38, 0.0256, 0)</f>
        <v>21.944300000000002</v>
      </c>
      <c r="G133" s="10">
        <f>20.4855 * CHOOSE(CONTROL!$C$15, $E$9, 100%, $G$9) + CHOOSE(CONTROL!$C$38, 0.0347, 0)</f>
        <v>20.520199999999999</v>
      </c>
      <c r="H133" s="10">
        <f>20.4855 * CHOOSE(CONTROL!$C$15, $E$9, 100%, $G$9) + CHOOSE(CONTROL!$C$38, 0.0347, 0)</f>
        <v>20.520199999999999</v>
      </c>
      <c r="I133" s="10">
        <f>20.4871 * CHOOSE(CONTROL!$C$15, $E$9, 100%, $G$9) + CHOOSE(CONTROL!$C$38, 0.0347, 0)</f>
        <v>20.521800000000002</v>
      </c>
      <c r="J133" s="44">
        <f>118.6669</f>
        <v>118.6669</v>
      </c>
    </row>
    <row r="134" spans="1:10" ht="15" x14ac:dyDescent="0.2">
      <c r="A134" s="16">
        <v>44986</v>
      </c>
      <c r="B134" s="10">
        <f>21.5639 * CHOOSE(CONTROL!$C$15, $E$9, 100%, $G$9) + CHOOSE(CONTROL!$C$38, 0.0256, 0)</f>
        <v>21.589500000000001</v>
      </c>
      <c r="C134" s="10">
        <f>19.976 * CHOOSE(CONTROL!$C$15, $E$9, 100%, $G$9) + CHOOSE(CONTROL!$C$38, 0.0347, 0)</f>
        <v>20.0107</v>
      </c>
      <c r="D134" s="10">
        <f>19.9682 * CHOOSE(CONTROL!$C$15, $E$9, 100%, $G$9) + CHOOSE(CONTROL!$C$38, 0.0347, 0)</f>
        <v>20.0029</v>
      </c>
      <c r="E134" s="46">
        <f>21.4076 * CHOOSE(CONTROL!$C$15, $E$9, 100%, $G$9) + CHOOSE(CONTROL!$C$38, 0.0347, 0)</f>
        <v>21.442299999999999</v>
      </c>
      <c r="F134" s="45">
        <f>21.4076 * CHOOSE(CONTROL!$C$15, $E$9, 100%, $G$9) + CHOOSE(CONTROL!$C$38, 0.0256, 0)</f>
        <v>21.433199999999999</v>
      </c>
      <c r="G134" s="10">
        <f>19.9745 * CHOOSE(CONTROL!$C$15, $E$9, 100%, $G$9) + CHOOSE(CONTROL!$C$38, 0.0347, 0)</f>
        <v>20.0092</v>
      </c>
      <c r="H134" s="10">
        <f>19.9745 * CHOOSE(CONTROL!$C$15, $E$9, 100%, $G$9) + CHOOSE(CONTROL!$C$38, 0.0347, 0)</f>
        <v>20.0092</v>
      </c>
      <c r="I134" s="10">
        <f>19.976 * CHOOSE(CONTROL!$C$15, $E$9, 100%, $G$9) + CHOOSE(CONTROL!$C$38, 0.0347, 0)</f>
        <v>20.0107</v>
      </c>
      <c r="J134" s="44">
        <f>124.9213</f>
        <v>124.9213</v>
      </c>
    </row>
    <row r="135" spans="1:10" ht="15" x14ac:dyDescent="0.2">
      <c r="A135" s="16">
        <v>45017</v>
      </c>
      <c r="B135" s="10">
        <f>21.0687 * CHOOSE(CONTROL!$C$15, $E$9, 100%, $G$9) + CHOOSE(CONTROL!$C$38, 0.0256, 0)</f>
        <v>21.0943</v>
      </c>
      <c r="C135" s="10">
        <f>19.4809 * CHOOSE(CONTROL!$C$15, $E$9, 100%, $G$9) + CHOOSE(CONTROL!$C$38, 0.0347, 0)</f>
        <v>19.515599999999999</v>
      </c>
      <c r="D135" s="10">
        <f>19.473 * CHOOSE(CONTROL!$C$15, $E$9, 100%, $G$9) + CHOOSE(CONTROL!$C$38, 0.0347, 0)</f>
        <v>19.5077</v>
      </c>
      <c r="E135" s="46">
        <f>20.9125 * CHOOSE(CONTROL!$C$15, $E$9, 100%, $G$9) + CHOOSE(CONTROL!$C$38, 0.0347, 0)</f>
        <v>20.947200000000002</v>
      </c>
      <c r="F135" s="45">
        <f>20.9125 * CHOOSE(CONTROL!$C$15, $E$9, 100%, $G$9) + CHOOSE(CONTROL!$C$38, 0.0256, 0)</f>
        <v>20.938100000000002</v>
      </c>
      <c r="G135" s="10">
        <f>19.4793 * CHOOSE(CONTROL!$C$15, $E$9, 100%, $G$9) + CHOOSE(CONTROL!$C$38, 0.0347, 0)</f>
        <v>19.513999999999999</v>
      </c>
      <c r="H135" s="10">
        <f>19.4793 * CHOOSE(CONTROL!$C$15, $E$9, 100%, $G$9) + CHOOSE(CONTROL!$C$38, 0.0347, 0)</f>
        <v>19.513999999999999</v>
      </c>
      <c r="I135" s="10">
        <f>19.4809 * CHOOSE(CONTROL!$C$15, $E$9, 100%, $G$9) + CHOOSE(CONTROL!$C$38, 0.0347, 0)</f>
        <v>19.515599999999999</v>
      </c>
      <c r="J135" s="44">
        <f>133.0318</f>
        <v>133.0318</v>
      </c>
    </row>
    <row r="136" spans="1:10" ht="15" x14ac:dyDescent="0.2">
      <c r="A136" s="16">
        <v>45047</v>
      </c>
      <c r="B136" s="10">
        <f>20.5526 * CHOOSE(CONTROL!$C$15, $E$9, 100%, $G$9) + CHOOSE(CONTROL!$C$38, 0.0278, 0)</f>
        <v>20.580400000000001</v>
      </c>
      <c r="C136" s="10">
        <f>18.9647 * CHOOSE(CONTROL!$C$15, $E$9, 100%, $G$9) + CHOOSE(CONTROL!$C$38, 0.0369, 0)</f>
        <v>19.0016</v>
      </c>
      <c r="D136" s="10">
        <f>18.9569 * CHOOSE(CONTROL!$C$15, $E$9, 100%, $G$9) + CHOOSE(CONTROL!$C$38, 0.0369, 0)</f>
        <v>18.9938</v>
      </c>
      <c r="E136" s="46">
        <f>20.3963 * CHOOSE(CONTROL!$C$15, $E$9, 100%, $G$9) + CHOOSE(CONTROL!$C$38, 0.0369, 0)</f>
        <v>20.433199999999999</v>
      </c>
      <c r="F136" s="45">
        <f>20.3963 * CHOOSE(CONTROL!$C$15, $E$9, 100%, $G$9) + CHOOSE(CONTROL!$C$38, 0.0278, 0)</f>
        <v>20.424099999999999</v>
      </c>
      <c r="G136" s="10">
        <f>18.9632 * CHOOSE(CONTROL!$C$15, $E$9, 100%, $G$9) + CHOOSE(CONTROL!$C$38, 0.0369, 0)</f>
        <v>19.0001</v>
      </c>
      <c r="H136" s="10">
        <f>18.9632 * CHOOSE(CONTROL!$C$15, $E$9, 100%, $G$9) + CHOOSE(CONTROL!$C$38, 0.0369, 0)</f>
        <v>19.0001</v>
      </c>
      <c r="I136" s="10">
        <f>18.9647 * CHOOSE(CONTROL!$C$15, $E$9, 100%, $G$9) + CHOOSE(CONTROL!$C$38, 0.0369, 0)</f>
        <v>19.0016</v>
      </c>
      <c r="J136" s="44">
        <f>137.4961</f>
        <v>137.49610000000001</v>
      </c>
    </row>
    <row r="137" spans="1:10" ht="15" x14ac:dyDescent="0.2">
      <c r="A137" s="16">
        <v>45078</v>
      </c>
      <c r="B137" s="10">
        <f>20.1908 * CHOOSE(CONTROL!$C$15, $E$9, 100%, $G$9) + CHOOSE(CONTROL!$C$38, 0.0278, 0)</f>
        <v>20.218599999999999</v>
      </c>
      <c r="C137" s="10">
        <f>18.6029 * CHOOSE(CONTROL!$C$15, $E$9, 100%, $G$9) + CHOOSE(CONTROL!$C$38, 0.0369, 0)</f>
        <v>18.639800000000001</v>
      </c>
      <c r="D137" s="10">
        <f>18.5951 * CHOOSE(CONTROL!$C$15, $E$9, 100%, $G$9) + CHOOSE(CONTROL!$C$38, 0.0369, 0)</f>
        <v>18.631999999999998</v>
      </c>
      <c r="E137" s="46">
        <f>20.0345 * CHOOSE(CONTROL!$C$15, $E$9, 100%, $G$9) + CHOOSE(CONTROL!$C$38, 0.0369, 0)</f>
        <v>20.071400000000001</v>
      </c>
      <c r="F137" s="45">
        <f>20.0345 * CHOOSE(CONTROL!$C$15, $E$9, 100%, $G$9) + CHOOSE(CONTROL!$C$38, 0.0278, 0)</f>
        <v>20.0623</v>
      </c>
      <c r="G137" s="10">
        <f>18.6013 * CHOOSE(CONTROL!$C$15, $E$9, 100%, $G$9) + CHOOSE(CONTROL!$C$38, 0.0369, 0)</f>
        <v>18.638199999999998</v>
      </c>
      <c r="H137" s="10">
        <f>18.6013 * CHOOSE(CONTROL!$C$15, $E$9, 100%, $G$9) + CHOOSE(CONTROL!$C$38, 0.0369, 0)</f>
        <v>18.638199999999998</v>
      </c>
      <c r="I137" s="10">
        <f>18.6029 * CHOOSE(CONTROL!$C$15, $E$9, 100%, $G$9) + CHOOSE(CONTROL!$C$38, 0.0369, 0)</f>
        <v>18.639800000000001</v>
      </c>
      <c r="J137" s="44">
        <f>139.4773</f>
        <v>139.47730000000001</v>
      </c>
    </row>
    <row r="138" spans="1:10" ht="15" x14ac:dyDescent="0.2">
      <c r="A138" s="16">
        <v>45108</v>
      </c>
      <c r="B138" s="10">
        <f>19.9843 * CHOOSE(CONTROL!$C$15, $E$9, 100%, $G$9) + CHOOSE(CONTROL!$C$38, 0.0278, 0)</f>
        <v>20.0121</v>
      </c>
      <c r="C138" s="10">
        <f>18.3964 * CHOOSE(CONTROL!$C$15, $E$9, 100%, $G$9) + CHOOSE(CONTROL!$C$38, 0.0369, 0)</f>
        <v>18.433299999999999</v>
      </c>
      <c r="D138" s="10">
        <f>18.3886 * CHOOSE(CONTROL!$C$15, $E$9, 100%, $G$9) + CHOOSE(CONTROL!$C$38, 0.0369, 0)</f>
        <v>18.4255</v>
      </c>
      <c r="E138" s="46">
        <f>19.828 * CHOOSE(CONTROL!$C$15, $E$9, 100%, $G$9) + CHOOSE(CONTROL!$C$38, 0.0369, 0)</f>
        <v>19.864899999999999</v>
      </c>
      <c r="F138" s="45">
        <f>19.828 * CHOOSE(CONTROL!$C$15, $E$9, 100%, $G$9) + CHOOSE(CONTROL!$C$38, 0.0278, 0)</f>
        <v>19.855799999999999</v>
      </c>
      <c r="G138" s="10">
        <f>18.3949 * CHOOSE(CONTROL!$C$15, $E$9, 100%, $G$9) + CHOOSE(CONTROL!$C$38, 0.0369, 0)</f>
        <v>18.431799999999999</v>
      </c>
      <c r="H138" s="10">
        <f>18.3949 * CHOOSE(CONTROL!$C$15, $E$9, 100%, $G$9) + CHOOSE(CONTROL!$C$38, 0.0369, 0)</f>
        <v>18.431799999999999</v>
      </c>
      <c r="I138" s="10">
        <f>18.3964 * CHOOSE(CONTROL!$C$15, $E$9, 100%, $G$9) + CHOOSE(CONTROL!$C$38, 0.0369, 0)</f>
        <v>18.433299999999999</v>
      </c>
      <c r="J138" s="44">
        <f>138.825</f>
        <v>138.82499999999999</v>
      </c>
    </row>
    <row r="139" spans="1:10" ht="15" x14ac:dyDescent="0.2">
      <c r="A139" s="16">
        <v>45139</v>
      </c>
      <c r="B139" s="10">
        <f>20.0862 * CHOOSE(CONTROL!$C$15, $E$9, 100%, $G$9) + CHOOSE(CONTROL!$C$38, 0.0278, 0)</f>
        <v>20.114000000000001</v>
      </c>
      <c r="C139" s="10">
        <f>18.4983 * CHOOSE(CONTROL!$C$15, $E$9, 100%, $G$9) + CHOOSE(CONTROL!$C$38, 0.0369, 0)</f>
        <v>18.5352</v>
      </c>
      <c r="D139" s="10">
        <f>18.4905 * CHOOSE(CONTROL!$C$15, $E$9, 100%, $G$9) + CHOOSE(CONTROL!$C$38, 0.0369, 0)</f>
        <v>18.5274</v>
      </c>
      <c r="E139" s="46">
        <f>19.9299 * CHOOSE(CONTROL!$C$15, $E$9, 100%, $G$9) + CHOOSE(CONTROL!$C$38, 0.0369, 0)</f>
        <v>19.966799999999999</v>
      </c>
      <c r="F139" s="45">
        <f>19.9299 * CHOOSE(CONTROL!$C$15, $E$9, 100%, $G$9) + CHOOSE(CONTROL!$C$38, 0.0278, 0)</f>
        <v>19.957699999999999</v>
      </c>
      <c r="G139" s="10">
        <f>18.4968 * CHOOSE(CONTROL!$C$15, $E$9, 100%, $G$9) + CHOOSE(CONTROL!$C$38, 0.0369, 0)</f>
        <v>18.5337</v>
      </c>
      <c r="H139" s="10">
        <f>18.4968 * CHOOSE(CONTROL!$C$15, $E$9, 100%, $G$9) + CHOOSE(CONTROL!$C$38, 0.0369, 0)</f>
        <v>18.5337</v>
      </c>
      <c r="I139" s="10">
        <f>18.4983 * CHOOSE(CONTROL!$C$15, $E$9, 100%, $G$9) + CHOOSE(CONTROL!$C$38, 0.0369, 0)</f>
        <v>18.5352</v>
      </c>
      <c r="J139" s="44">
        <f>135.5932</f>
        <v>135.5932</v>
      </c>
    </row>
    <row r="140" spans="1:10" ht="15" x14ac:dyDescent="0.2">
      <c r="A140" s="16">
        <v>45170</v>
      </c>
      <c r="B140" s="10">
        <f>20.363 * CHOOSE(CONTROL!$C$15, $E$9, 100%, $G$9) + CHOOSE(CONTROL!$C$38, 0.0278, 0)</f>
        <v>20.390799999999999</v>
      </c>
      <c r="C140" s="10">
        <f>18.7751 * CHOOSE(CONTROL!$C$15, $E$9, 100%, $G$9) + CHOOSE(CONTROL!$C$38, 0.0369, 0)</f>
        <v>18.811999999999998</v>
      </c>
      <c r="D140" s="10">
        <f>18.7673 * CHOOSE(CONTROL!$C$15, $E$9, 100%, $G$9) + CHOOSE(CONTROL!$C$38, 0.0369, 0)</f>
        <v>18.804199999999998</v>
      </c>
      <c r="E140" s="46">
        <f>20.2067 * CHOOSE(CONTROL!$C$15, $E$9, 100%, $G$9) + CHOOSE(CONTROL!$C$38, 0.0369, 0)</f>
        <v>20.243600000000001</v>
      </c>
      <c r="F140" s="45">
        <f>20.2067 * CHOOSE(CONTROL!$C$15, $E$9, 100%, $G$9) + CHOOSE(CONTROL!$C$38, 0.0278, 0)</f>
        <v>20.234500000000001</v>
      </c>
      <c r="G140" s="10">
        <f>18.7736 * CHOOSE(CONTROL!$C$15, $E$9, 100%, $G$9) + CHOOSE(CONTROL!$C$38, 0.0369, 0)</f>
        <v>18.810499999999998</v>
      </c>
      <c r="H140" s="10">
        <f>18.7736 * CHOOSE(CONTROL!$C$15, $E$9, 100%, $G$9) + CHOOSE(CONTROL!$C$38, 0.0369, 0)</f>
        <v>18.810499999999998</v>
      </c>
      <c r="I140" s="10">
        <f>18.7751 * CHOOSE(CONTROL!$C$15, $E$9, 100%, $G$9) + CHOOSE(CONTROL!$C$38, 0.0369, 0)</f>
        <v>18.811999999999998</v>
      </c>
      <c r="J140" s="44">
        <f>131.0863</f>
        <v>131.08629999999999</v>
      </c>
    </row>
    <row r="141" spans="1:10" ht="15" x14ac:dyDescent="0.2">
      <c r="A141" s="16">
        <v>45200</v>
      </c>
      <c r="B141" s="10">
        <f>20.5948 * CHOOSE(CONTROL!$C$15, $E$9, 100%, $G$9) + CHOOSE(CONTROL!$C$38, 0.0256, 0)</f>
        <v>20.6204</v>
      </c>
      <c r="C141" s="10">
        <f>19.0069 * CHOOSE(CONTROL!$C$15, $E$9, 100%, $G$9) + CHOOSE(CONTROL!$C$38, 0.0347, 0)</f>
        <v>19.041600000000003</v>
      </c>
      <c r="D141" s="10">
        <f>18.9991 * CHOOSE(CONTROL!$C$15, $E$9, 100%, $G$9) + CHOOSE(CONTROL!$C$38, 0.0347, 0)</f>
        <v>19.033799999999999</v>
      </c>
      <c r="E141" s="46">
        <f>20.4386 * CHOOSE(CONTROL!$C$15, $E$9, 100%, $G$9) + CHOOSE(CONTROL!$C$38, 0.0347, 0)</f>
        <v>20.473300000000002</v>
      </c>
      <c r="F141" s="45">
        <f>20.4386 * CHOOSE(CONTROL!$C$15, $E$9, 100%, $G$9) + CHOOSE(CONTROL!$C$38, 0.0256, 0)</f>
        <v>20.464200000000002</v>
      </c>
      <c r="G141" s="10">
        <f>19.0054 * CHOOSE(CONTROL!$C$15, $E$9, 100%, $G$9) + CHOOSE(CONTROL!$C$38, 0.0347, 0)</f>
        <v>19.040100000000002</v>
      </c>
      <c r="H141" s="10">
        <f>19.0054 * CHOOSE(CONTROL!$C$15, $E$9, 100%, $G$9) + CHOOSE(CONTROL!$C$38, 0.0347, 0)</f>
        <v>19.040100000000002</v>
      </c>
      <c r="I141" s="10">
        <f>19.0069 * CHOOSE(CONTROL!$C$15, $E$9, 100%, $G$9) + CHOOSE(CONTROL!$C$38, 0.0347, 0)</f>
        <v>19.041600000000003</v>
      </c>
      <c r="J141" s="44">
        <f>126.5532</f>
        <v>126.5532</v>
      </c>
    </row>
    <row r="142" spans="1:10" ht="15" x14ac:dyDescent="0.2">
      <c r="A142" s="16">
        <v>45231</v>
      </c>
      <c r="B142" s="10">
        <f>20.7882 * CHOOSE(CONTROL!$C$15, $E$9, 100%, $G$9) + CHOOSE(CONTROL!$C$38, 0.0256, 0)</f>
        <v>20.813800000000001</v>
      </c>
      <c r="C142" s="10">
        <f>19.2004 * CHOOSE(CONTROL!$C$15, $E$9, 100%, $G$9) + CHOOSE(CONTROL!$C$38, 0.0347, 0)</f>
        <v>19.235099999999999</v>
      </c>
      <c r="D142" s="10">
        <f>19.1926 * CHOOSE(CONTROL!$C$15, $E$9, 100%, $G$9) + CHOOSE(CONTROL!$C$38, 0.0347, 0)</f>
        <v>19.2273</v>
      </c>
      <c r="E142" s="46">
        <f>20.632 * CHOOSE(CONTROL!$C$15, $E$9, 100%, $G$9) + CHOOSE(CONTROL!$C$38, 0.0347, 0)</f>
        <v>20.666700000000002</v>
      </c>
      <c r="F142" s="45">
        <f>20.632 * CHOOSE(CONTROL!$C$15, $E$9, 100%, $G$9) + CHOOSE(CONTROL!$C$38, 0.0256, 0)</f>
        <v>20.657600000000002</v>
      </c>
      <c r="G142" s="10">
        <f>19.1988 * CHOOSE(CONTROL!$C$15, $E$9, 100%, $G$9) + CHOOSE(CONTROL!$C$38, 0.0347, 0)</f>
        <v>19.233499999999999</v>
      </c>
      <c r="H142" s="10">
        <f>19.1988 * CHOOSE(CONTROL!$C$15, $E$9, 100%, $G$9) + CHOOSE(CONTROL!$C$38, 0.0347, 0)</f>
        <v>19.233499999999999</v>
      </c>
      <c r="I142" s="10">
        <f>19.2004 * CHOOSE(CONTROL!$C$15, $E$9, 100%, $G$9) + CHOOSE(CONTROL!$C$38, 0.0347, 0)</f>
        <v>19.235099999999999</v>
      </c>
      <c r="J142" s="44">
        <f>125.6515</f>
        <v>125.6515</v>
      </c>
    </row>
    <row r="143" spans="1:10" ht="15" x14ac:dyDescent="0.2">
      <c r="A143" s="16">
        <v>45261</v>
      </c>
      <c r="B143" s="10">
        <f>21.3843 * CHOOSE(CONTROL!$C$15, $E$9, 100%, $G$9) + CHOOSE(CONTROL!$C$38, 0.0256, 0)</f>
        <v>21.4099</v>
      </c>
      <c r="C143" s="10">
        <f>19.7965 * CHOOSE(CONTROL!$C$15, $E$9, 100%, $G$9) + CHOOSE(CONTROL!$C$38, 0.0347, 0)</f>
        <v>19.831200000000003</v>
      </c>
      <c r="D143" s="10">
        <f>19.7886 * CHOOSE(CONTROL!$C$15, $E$9, 100%, $G$9) + CHOOSE(CONTROL!$C$38, 0.0347, 0)</f>
        <v>19.8233</v>
      </c>
      <c r="E143" s="46">
        <f>21.2281 * CHOOSE(CONTROL!$C$15, $E$9, 100%, $G$9) + CHOOSE(CONTROL!$C$38, 0.0347, 0)</f>
        <v>21.262800000000002</v>
      </c>
      <c r="F143" s="45">
        <f>21.2281 * CHOOSE(CONTROL!$C$15, $E$9, 100%, $G$9) + CHOOSE(CONTROL!$C$38, 0.0256, 0)</f>
        <v>21.253700000000002</v>
      </c>
      <c r="G143" s="10">
        <f>19.7949 * CHOOSE(CONTROL!$C$15, $E$9, 100%, $G$9) + CHOOSE(CONTROL!$C$38, 0.0347, 0)</f>
        <v>19.829599999999999</v>
      </c>
      <c r="H143" s="10">
        <f>19.7949 * CHOOSE(CONTROL!$C$15, $E$9, 100%, $G$9) + CHOOSE(CONTROL!$C$38, 0.0347, 0)</f>
        <v>19.829599999999999</v>
      </c>
      <c r="I143" s="10">
        <f>19.7965 * CHOOSE(CONTROL!$C$15, $E$9, 100%, $G$9) + CHOOSE(CONTROL!$C$38, 0.0347, 0)</f>
        <v>19.831200000000003</v>
      </c>
      <c r="J143" s="44">
        <f>121.9227</f>
        <v>121.92270000000001</v>
      </c>
    </row>
    <row r="144" spans="1:10" ht="15" x14ac:dyDescent="0.2">
      <c r="A144" s="16">
        <v>45292</v>
      </c>
      <c r="B144" s="10">
        <f>22.8623 * CHOOSE(CONTROL!$C$15, $E$9, 100%, $G$9) + CHOOSE(CONTROL!$C$38, 0.0256, 0)</f>
        <v>22.887900000000002</v>
      </c>
      <c r="C144" s="10">
        <f>21.0936 * CHOOSE(CONTROL!$C$15, $E$9, 100%, $G$9) + CHOOSE(CONTROL!$C$38, 0.0347, 0)</f>
        <v>21.128299999999999</v>
      </c>
      <c r="D144" s="10">
        <f>21.0858 * CHOOSE(CONTROL!$C$15, $E$9, 100%, $G$9) + CHOOSE(CONTROL!$C$38, 0.0347, 0)</f>
        <v>21.1205</v>
      </c>
      <c r="E144" s="46">
        <f>22.706 * CHOOSE(CONTROL!$C$15, $E$9, 100%, $G$9) + CHOOSE(CONTROL!$C$38, 0.0347, 0)</f>
        <v>22.7407</v>
      </c>
      <c r="F144" s="45">
        <f>22.706 * CHOOSE(CONTROL!$C$15, $E$9, 100%, $G$9) + CHOOSE(CONTROL!$C$38, 0.0256, 0)</f>
        <v>22.7316</v>
      </c>
      <c r="G144" s="10">
        <f>21.092 * CHOOSE(CONTROL!$C$15, $E$9, 100%, $G$9) + CHOOSE(CONTROL!$C$38, 0.0347, 0)</f>
        <v>21.1267</v>
      </c>
      <c r="H144" s="10">
        <f>21.092 * CHOOSE(CONTROL!$C$15, $E$9, 100%, $G$9) + CHOOSE(CONTROL!$C$38, 0.0347, 0)</f>
        <v>21.1267</v>
      </c>
      <c r="I144" s="10">
        <f>21.0936 * CHOOSE(CONTROL!$C$15, $E$9, 100%, $G$9) + CHOOSE(CONTROL!$C$38, 0.0347, 0)</f>
        <v>21.128299999999999</v>
      </c>
      <c r="J144" s="44">
        <f>124.4535</f>
        <v>124.45350000000001</v>
      </c>
    </row>
    <row r="145" spans="1:10" ht="15" x14ac:dyDescent="0.2">
      <c r="A145" s="16">
        <v>45323</v>
      </c>
      <c r="B145" s="10">
        <f>23.083 * CHOOSE(CONTROL!$C$15, $E$9, 100%, $G$9) + CHOOSE(CONTROL!$C$38, 0.0256, 0)</f>
        <v>23.108599999999999</v>
      </c>
      <c r="C145" s="10">
        <f>21.3143 * CHOOSE(CONTROL!$C$15, $E$9, 100%, $G$9) + CHOOSE(CONTROL!$C$38, 0.0347, 0)</f>
        <v>21.349</v>
      </c>
      <c r="D145" s="10">
        <f>21.3065 * CHOOSE(CONTROL!$C$15, $E$9, 100%, $G$9) + CHOOSE(CONTROL!$C$38, 0.0347, 0)</f>
        <v>21.341200000000001</v>
      </c>
      <c r="E145" s="46">
        <f>22.9268 * CHOOSE(CONTROL!$C$15, $E$9, 100%, $G$9) + CHOOSE(CONTROL!$C$38, 0.0347, 0)</f>
        <v>22.961500000000001</v>
      </c>
      <c r="F145" s="45">
        <f>22.9268 * CHOOSE(CONTROL!$C$15, $E$9, 100%, $G$9) + CHOOSE(CONTROL!$C$38, 0.0256, 0)</f>
        <v>22.952400000000001</v>
      </c>
      <c r="G145" s="10">
        <f>21.3128 * CHOOSE(CONTROL!$C$15, $E$9, 100%, $G$9) + CHOOSE(CONTROL!$C$38, 0.0347, 0)</f>
        <v>21.3475</v>
      </c>
      <c r="H145" s="10">
        <f>21.3128 * CHOOSE(CONTROL!$C$15, $E$9, 100%, $G$9) + CHOOSE(CONTROL!$C$38, 0.0347, 0)</f>
        <v>21.3475</v>
      </c>
      <c r="I145" s="10">
        <f>21.3143 * CHOOSE(CONTROL!$C$15, $E$9, 100%, $G$9) + CHOOSE(CONTROL!$C$38, 0.0347, 0)</f>
        <v>21.349</v>
      </c>
      <c r="J145" s="44">
        <f>124.1076</f>
        <v>124.10760000000001</v>
      </c>
    </row>
    <row r="146" spans="1:10" ht="15" x14ac:dyDescent="0.2">
      <c r="A146" s="16">
        <v>45352</v>
      </c>
      <c r="B146" s="10">
        <f>22.572 * CHOOSE(CONTROL!$C$15, $E$9, 100%, $G$9) + CHOOSE(CONTROL!$C$38, 0.0256, 0)</f>
        <v>22.5976</v>
      </c>
      <c r="C146" s="10">
        <f>20.8033 * CHOOSE(CONTROL!$C$15, $E$9, 100%, $G$9) + CHOOSE(CONTROL!$C$38, 0.0347, 0)</f>
        <v>20.838000000000001</v>
      </c>
      <c r="D146" s="10">
        <f>20.7955 * CHOOSE(CONTROL!$C$15, $E$9, 100%, $G$9) + CHOOSE(CONTROL!$C$38, 0.0347, 0)</f>
        <v>20.830200000000001</v>
      </c>
      <c r="E146" s="46">
        <f>22.4158 * CHOOSE(CONTROL!$C$15, $E$9, 100%, $G$9) + CHOOSE(CONTROL!$C$38, 0.0347, 0)</f>
        <v>22.450500000000002</v>
      </c>
      <c r="F146" s="45">
        <f>22.4158 * CHOOSE(CONTROL!$C$15, $E$9, 100%, $G$9) + CHOOSE(CONTROL!$C$38, 0.0256, 0)</f>
        <v>22.441400000000002</v>
      </c>
      <c r="G146" s="10">
        <f>20.8017 * CHOOSE(CONTROL!$C$15, $E$9, 100%, $G$9) + CHOOSE(CONTROL!$C$38, 0.0347, 0)</f>
        <v>20.836400000000001</v>
      </c>
      <c r="H146" s="10">
        <f>20.8017 * CHOOSE(CONTROL!$C$15, $E$9, 100%, $G$9) + CHOOSE(CONTROL!$C$38, 0.0347, 0)</f>
        <v>20.836400000000001</v>
      </c>
      <c r="I146" s="10">
        <f>20.8033 * CHOOSE(CONTROL!$C$15, $E$9, 100%, $G$9) + CHOOSE(CONTROL!$C$38, 0.0347, 0)</f>
        <v>20.838000000000001</v>
      </c>
      <c r="J146" s="44">
        <f>130.6488</f>
        <v>130.64879999999999</v>
      </c>
    </row>
    <row r="147" spans="1:10" ht="15" x14ac:dyDescent="0.2">
      <c r="A147" s="16">
        <v>45383</v>
      </c>
      <c r="B147" s="10">
        <f>22.0768 * CHOOSE(CONTROL!$C$15, $E$9, 100%, $G$9) + CHOOSE(CONTROL!$C$38, 0.0256, 0)</f>
        <v>22.102399999999999</v>
      </c>
      <c r="C147" s="10">
        <f>20.3081 * CHOOSE(CONTROL!$C$15, $E$9, 100%, $G$9) + CHOOSE(CONTROL!$C$38, 0.0347, 0)</f>
        <v>20.3428</v>
      </c>
      <c r="D147" s="10">
        <f>20.3003 * CHOOSE(CONTROL!$C$15, $E$9, 100%, $G$9) + CHOOSE(CONTROL!$C$38, 0.0347, 0)</f>
        <v>20.335000000000001</v>
      </c>
      <c r="E147" s="46">
        <f>21.9206 * CHOOSE(CONTROL!$C$15, $E$9, 100%, $G$9) + CHOOSE(CONTROL!$C$38, 0.0347, 0)</f>
        <v>21.955300000000001</v>
      </c>
      <c r="F147" s="45">
        <f>21.9206 * CHOOSE(CONTROL!$C$15, $E$9, 100%, $G$9) + CHOOSE(CONTROL!$C$38, 0.0256, 0)</f>
        <v>21.946200000000001</v>
      </c>
      <c r="G147" s="10">
        <f>20.3066 * CHOOSE(CONTROL!$C$15, $E$9, 100%, $G$9) + CHOOSE(CONTROL!$C$38, 0.0347, 0)</f>
        <v>20.3413</v>
      </c>
      <c r="H147" s="10">
        <f>20.3066 * CHOOSE(CONTROL!$C$15, $E$9, 100%, $G$9) + CHOOSE(CONTROL!$C$38, 0.0347, 0)</f>
        <v>20.3413</v>
      </c>
      <c r="I147" s="10">
        <f>20.3081 * CHOOSE(CONTROL!$C$15, $E$9, 100%, $G$9) + CHOOSE(CONTROL!$C$38, 0.0347, 0)</f>
        <v>20.3428</v>
      </c>
      <c r="J147" s="44">
        <f>139.1311</f>
        <v>139.1311</v>
      </c>
    </row>
    <row r="148" spans="1:10" ht="15" x14ac:dyDescent="0.2">
      <c r="A148" s="16">
        <v>45413</v>
      </c>
      <c r="B148" s="10">
        <f>21.5607 * CHOOSE(CONTROL!$C$15, $E$9, 100%, $G$9) + CHOOSE(CONTROL!$C$38, 0.0278, 0)</f>
        <v>21.5885</v>
      </c>
      <c r="C148" s="10">
        <f>19.792 * CHOOSE(CONTROL!$C$15, $E$9, 100%, $G$9) + CHOOSE(CONTROL!$C$38, 0.0369, 0)</f>
        <v>19.828900000000001</v>
      </c>
      <c r="D148" s="10">
        <f>19.7842 * CHOOSE(CONTROL!$C$15, $E$9, 100%, $G$9) + CHOOSE(CONTROL!$C$38, 0.0369, 0)</f>
        <v>19.821099999999998</v>
      </c>
      <c r="E148" s="46">
        <f>21.4045 * CHOOSE(CONTROL!$C$15, $E$9, 100%, $G$9) + CHOOSE(CONTROL!$C$38, 0.0369, 0)</f>
        <v>21.441399999999998</v>
      </c>
      <c r="F148" s="45">
        <f>21.4045 * CHOOSE(CONTROL!$C$15, $E$9, 100%, $G$9) + CHOOSE(CONTROL!$C$38, 0.0278, 0)</f>
        <v>21.432299999999998</v>
      </c>
      <c r="G148" s="10">
        <f>19.7905 * CHOOSE(CONTROL!$C$15, $E$9, 100%, $G$9) + CHOOSE(CONTROL!$C$38, 0.0369, 0)</f>
        <v>19.827400000000001</v>
      </c>
      <c r="H148" s="10">
        <f>19.7905 * CHOOSE(CONTROL!$C$15, $E$9, 100%, $G$9) + CHOOSE(CONTROL!$C$38, 0.0369, 0)</f>
        <v>19.827400000000001</v>
      </c>
      <c r="I148" s="10">
        <f>19.792 * CHOOSE(CONTROL!$C$15, $E$9, 100%, $G$9) + CHOOSE(CONTROL!$C$38, 0.0369, 0)</f>
        <v>19.828900000000001</v>
      </c>
      <c r="J148" s="44">
        <f>143.8001</f>
        <v>143.80009999999999</v>
      </c>
    </row>
    <row r="149" spans="1:10" ht="15" x14ac:dyDescent="0.2">
      <c r="A149" s="16">
        <v>45444</v>
      </c>
      <c r="B149" s="10">
        <f>21.1989 * CHOOSE(CONTROL!$C$15, $E$9, 100%, $G$9) + CHOOSE(CONTROL!$C$38, 0.0278, 0)</f>
        <v>21.226699999999997</v>
      </c>
      <c r="C149" s="10">
        <f>19.4302 * CHOOSE(CONTROL!$C$15, $E$9, 100%, $G$9) + CHOOSE(CONTROL!$C$38, 0.0369, 0)</f>
        <v>19.467099999999999</v>
      </c>
      <c r="D149" s="10">
        <f>19.4224 * CHOOSE(CONTROL!$C$15, $E$9, 100%, $G$9) + CHOOSE(CONTROL!$C$38, 0.0369, 0)</f>
        <v>19.459299999999999</v>
      </c>
      <c r="E149" s="46">
        <f>21.0426 * CHOOSE(CONTROL!$C$15, $E$9, 100%, $G$9) + CHOOSE(CONTROL!$C$38, 0.0369, 0)</f>
        <v>21.079499999999999</v>
      </c>
      <c r="F149" s="45">
        <f>21.0426 * CHOOSE(CONTROL!$C$15, $E$9, 100%, $G$9) + CHOOSE(CONTROL!$C$38, 0.0278, 0)</f>
        <v>21.070399999999999</v>
      </c>
      <c r="G149" s="10">
        <f>19.4286 * CHOOSE(CONTROL!$C$15, $E$9, 100%, $G$9) + CHOOSE(CONTROL!$C$38, 0.0369, 0)</f>
        <v>19.465499999999999</v>
      </c>
      <c r="H149" s="10">
        <f>19.4286 * CHOOSE(CONTROL!$C$15, $E$9, 100%, $G$9) + CHOOSE(CONTROL!$C$38, 0.0369, 0)</f>
        <v>19.465499999999999</v>
      </c>
      <c r="I149" s="10">
        <f>19.4302 * CHOOSE(CONTROL!$C$15, $E$9, 100%, $G$9) + CHOOSE(CONTROL!$C$38, 0.0369, 0)</f>
        <v>19.467099999999999</v>
      </c>
      <c r="J149" s="44">
        <f>145.8721</f>
        <v>145.87209999999999</v>
      </c>
    </row>
    <row r="150" spans="1:10" ht="15" x14ac:dyDescent="0.2">
      <c r="A150" s="16">
        <v>45474</v>
      </c>
      <c r="B150" s="10">
        <f>20.9924 * CHOOSE(CONTROL!$C$15, $E$9, 100%, $G$9) + CHOOSE(CONTROL!$C$38, 0.0278, 0)</f>
        <v>21.020199999999999</v>
      </c>
      <c r="C150" s="10">
        <f>19.2237 * CHOOSE(CONTROL!$C$15, $E$9, 100%, $G$9) + CHOOSE(CONTROL!$C$38, 0.0369, 0)</f>
        <v>19.2606</v>
      </c>
      <c r="D150" s="10">
        <f>19.2159 * CHOOSE(CONTROL!$C$15, $E$9, 100%, $G$9) + CHOOSE(CONTROL!$C$38, 0.0369, 0)</f>
        <v>19.252800000000001</v>
      </c>
      <c r="E150" s="46">
        <f>20.8361 * CHOOSE(CONTROL!$C$15, $E$9, 100%, $G$9) + CHOOSE(CONTROL!$C$38, 0.0369, 0)</f>
        <v>20.872999999999998</v>
      </c>
      <c r="F150" s="45">
        <f>20.8361 * CHOOSE(CONTROL!$C$15, $E$9, 100%, $G$9) + CHOOSE(CONTROL!$C$38, 0.0278, 0)</f>
        <v>20.863899999999997</v>
      </c>
      <c r="G150" s="10">
        <f>19.2221 * CHOOSE(CONTROL!$C$15, $E$9, 100%, $G$9) + CHOOSE(CONTROL!$C$38, 0.0369, 0)</f>
        <v>19.259</v>
      </c>
      <c r="H150" s="10">
        <f>19.2221 * CHOOSE(CONTROL!$C$15, $E$9, 100%, $G$9) + CHOOSE(CONTROL!$C$38, 0.0369, 0)</f>
        <v>19.259</v>
      </c>
      <c r="I150" s="10">
        <f>19.2237 * CHOOSE(CONTROL!$C$15, $E$9, 100%, $G$9) + CHOOSE(CONTROL!$C$38, 0.0369, 0)</f>
        <v>19.2606</v>
      </c>
      <c r="J150" s="44">
        <f>145.1899</f>
        <v>145.18989999999999</v>
      </c>
    </row>
    <row r="151" spans="1:10" ht="15" x14ac:dyDescent="0.2">
      <c r="A151" s="16">
        <v>45505</v>
      </c>
      <c r="B151" s="10">
        <f>21.0943 * CHOOSE(CONTROL!$C$15, $E$9, 100%, $G$9) + CHOOSE(CONTROL!$C$38, 0.0278, 0)</f>
        <v>21.1221</v>
      </c>
      <c r="C151" s="10">
        <f>19.3256 * CHOOSE(CONTROL!$C$15, $E$9, 100%, $G$9) + CHOOSE(CONTROL!$C$38, 0.0369, 0)</f>
        <v>19.362500000000001</v>
      </c>
      <c r="D151" s="10">
        <f>19.3178 * CHOOSE(CONTROL!$C$15, $E$9, 100%, $G$9) + CHOOSE(CONTROL!$C$38, 0.0369, 0)</f>
        <v>19.354699999999998</v>
      </c>
      <c r="E151" s="46">
        <f>20.938 * CHOOSE(CONTROL!$C$15, $E$9, 100%, $G$9) + CHOOSE(CONTROL!$C$38, 0.0369, 0)</f>
        <v>20.974899999999998</v>
      </c>
      <c r="F151" s="45">
        <f>20.938 * CHOOSE(CONTROL!$C$15, $E$9, 100%, $G$9) + CHOOSE(CONTROL!$C$38, 0.0278, 0)</f>
        <v>20.965799999999998</v>
      </c>
      <c r="G151" s="10">
        <f>19.324 * CHOOSE(CONTROL!$C$15, $E$9, 100%, $G$9) + CHOOSE(CONTROL!$C$38, 0.0369, 0)</f>
        <v>19.360900000000001</v>
      </c>
      <c r="H151" s="10">
        <f>19.324 * CHOOSE(CONTROL!$C$15, $E$9, 100%, $G$9) + CHOOSE(CONTROL!$C$38, 0.0369, 0)</f>
        <v>19.360900000000001</v>
      </c>
      <c r="I151" s="10">
        <f>19.3256 * CHOOSE(CONTROL!$C$15, $E$9, 100%, $G$9) + CHOOSE(CONTROL!$C$38, 0.0369, 0)</f>
        <v>19.362500000000001</v>
      </c>
      <c r="J151" s="44">
        <f>141.8099</f>
        <v>141.8099</v>
      </c>
    </row>
    <row r="152" spans="1:10" ht="15" x14ac:dyDescent="0.2">
      <c r="A152" s="16">
        <v>45536</v>
      </c>
      <c r="B152" s="10">
        <f>21.3711 * CHOOSE(CONTROL!$C$15, $E$9, 100%, $G$9) + CHOOSE(CONTROL!$C$38, 0.0278, 0)</f>
        <v>21.398899999999998</v>
      </c>
      <c r="C152" s="10">
        <f>19.6024 * CHOOSE(CONTROL!$C$15, $E$9, 100%, $G$9) + CHOOSE(CONTROL!$C$38, 0.0369, 0)</f>
        <v>19.639299999999999</v>
      </c>
      <c r="D152" s="10">
        <f>19.5946 * CHOOSE(CONTROL!$C$15, $E$9, 100%, $G$9) + CHOOSE(CONTROL!$C$38, 0.0369, 0)</f>
        <v>19.631499999999999</v>
      </c>
      <c r="E152" s="46">
        <f>21.2148 * CHOOSE(CONTROL!$C$15, $E$9, 100%, $G$9) + CHOOSE(CONTROL!$C$38, 0.0369, 0)</f>
        <v>21.2517</v>
      </c>
      <c r="F152" s="45">
        <f>21.2148 * CHOOSE(CONTROL!$C$15, $E$9, 100%, $G$9) + CHOOSE(CONTROL!$C$38, 0.0278, 0)</f>
        <v>21.242599999999999</v>
      </c>
      <c r="G152" s="10">
        <f>19.6008 * CHOOSE(CONTROL!$C$15, $E$9, 100%, $G$9) + CHOOSE(CONTROL!$C$38, 0.0369, 0)</f>
        <v>19.637699999999999</v>
      </c>
      <c r="H152" s="10">
        <f>19.6008 * CHOOSE(CONTROL!$C$15, $E$9, 100%, $G$9) + CHOOSE(CONTROL!$C$38, 0.0369, 0)</f>
        <v>19.637699999999999</v>
      </c>
      <c r="I152" s="10">
        <f>19.6024 * CHOOSE(CONTROL!$C$15, $E$9, 100%, $G$9) + CHOOSE(CONTROL!$C$38, 0.0369, 0)</f>
        <v>19.639299999999999</v>
      </c>
      <c r="J152" s="44">
        <f>137.0964</f>
        <v>137.09639999999999</v>
      </c>
    </row>
    <row r="153" spans="1:10" ht="15" x14ac:dyDescent="0.2">
      <c r="A153" s="16">
        <v>45566</v>
      </c>
      <c r="B153" s="10">
        <f>21.6029 * CHOOSE(CONTROL!$C$15, $E$9, 100%, $G$9) + CHOOSE(CONTROL!$C$38, 0.0256, 0)</f>
        <v>21.628500000000003</v>
      </c>
      <c r="C153" s="10">
        <f>19.8342 * CHOOSE(CONTROL!$C$15, $E$9, 100%, $G$9) + CHOOSE(CONTROL!$C$38, 0.0347, 0)</f>
        <v>19.8689</v>
      </c>
      <c r="D153" s="10">
        <f>19.8264 * CHOOSE(CONTROL!$C$15, $E$9, 100%, $G$9) + CHOOSE(CONTROL!$C$38, 0.0347, 0)</f>
        <v>19.8611</v>
      </c>
      <c r="E153" s="46">
        <f>21.4467 * CHOOSE(CONTROL!$C$15, $E$9, 100%, $G$9) + CHOOSE(CONTROL!$C$38, 0.0347, 0)</f>
        <v>21.481400000000001</v>
      </c>
      <c r="F153" s="45">
        <f>21.4467 * CHOOSE(CONTROL!$C$15, $E$9, 100%, $G$9) + CHOOSE(CONTROL!$C$38, 0.0256, 0)</f>
        <v>21.472300000000001</v>
      </c>
      <c r="G153" s="10">
        <f>19.8327 * CHOOSE(CONTROL!$C$15, $E$9, 100%, $G$9) + CHOOSE(CONTROL!$C$38, 0.0347, 0)</f>
        <v>19.8674</v>
      </c>
      <c r="H153" s="10">
        <f>19.8327 * CHOOSE(CONTROL!$C$15, $E$9, 100%, $G$9) + CHOOSE(CONTROL!$C$38, 0.0347, 0)</f>
        <v>19.8674</v>
      </c>
      <c r="I153" s="10">
        <f>19.8342 * CHOOSE(CONTROL!$C$15, $E$9, 100%, $G$9) + CHOOSE(CONTROL!$C$38, 0.0347, 0)</f>
        <v>19.8689</v>
      </c>
      <c r="J153" s="44">
        <f>132.3555</f>
        <v>132.35550000000001</v>
      </c>
    </row>
    <row r="154" spans="1:10" ht="15" x14ac:dyDescent="0.2">
      <c r="A154" s="16">
        <v>45597</v>
      </c>
      <c r="B154" s="10">
        <f>21.7964 * CHOOSE(CONTROL!$C$15, $E$9, 100%, $G$9) + CHOOSE(CONTROL!$C$38, 0.0256, 0)</f>
        <v>21.821999999999999</v>
      </c>
      <c r="C154" s="10">
        <f>20.0277 * CHOOSE(CONTROL!$C$15, $E$9, 100%, $G$9) + CHOOSE(CONTROL!$C$38, 0.0347, 0)</f>
        <v>20.0624</v>
      </c>
      <c r="D154" s="10">
        <f>20.0199 * CHOOSE(CONTROL!$C$15, $E$9, 100%, $G$9) + CHOOSE(CONTROL!$C$38, 0.0347, 0)</f>
        <v>20.054600000000001</v>
      </c>
      <c r="E154" s="46">
        <f>21.6401 * CHOOSE(CONTROL!$C$15, $E$9, 100%, $G$9) + CHOOSE(CONTROL!$C$38, 0.0347, 0)</f>
        <v>21.674800000000001</v>
      </c>
      <c r="F154" s="45">
        <f>21.6401 * CHOOSE(CONTROL!$C$15, $E$9, 100%, $G$9) + CHOOSE(CONTROL!$C$38, 0.0256, 0)</f>
        <v>21.665700000000001</v>
      </c>
      <c r="G154" s="10">
        <f>20.0261 * CHOOSE(CONTROL!$C$15, $E$9, 100%, $G$9) + CHOOSE(CONTROL!$C$38, 0.0347, 0)</f>
        <v>20.0608</v>
      </c>
      <c r="H154" s="10">
        <f>20.0261 * CHOOSE(CONTROL!$C$15, $E$9, 100%, $G$9) + CHOOSE(CONTROL!$C$38, 0.0347, 0)</f>
        <v>20.0608</v>
      </c>
      <c r="I154" s="10">
        <f>20.0277 * CHOOSE(CONTROL!$C$15, $E$9, 100%, $G$9) + CHOOSE(CONTROL!$C$38, 0.0347, 0)</f>
        <v>20.0624</v>
      </c>
      <c r="J154" s="44">
        <f>131.4124</f>
        <v>131.41239999999999</v>
      </c>
    </row>
    <row r="155" spans="1:10" ht="15" x14ac:dyDescent="0.2">
      <c r="A155" s="16">
        <v>45627</v>
      </c>
      <c r="B155" s="10">
        <f>22.3924 * CHOOSE(CONTROL!$C$15, $E$9, 100%, $G$9) + CHOOSE(CONTROL!$C$38, 0.0256, 0)</f>
        <v>22.417999999999999</v>
      </c>
      <c r="C155" s="10">
        <f>20.6237 * CHOOSE(CONTROL!$C$15, $E$9, 100%, $G$9) + CHOOSE(CONTROL!$C$38, 0.0347, 0)</f>
        <v>20.6584</v>
      </c>
      <c r="D155" s="10">
        <f>20.6159 * CHOOSE(CONTROL!$C$15, $E$9, 100%, $G$9) + CHOOSE(CONTROL!$C$38, 0.0347, 0)</f>
        <v>20.650600000000001</v>
      </c>
      <c r="E155" s="46">
        <f>22.2362 * CHOOSE(CONTROL!$C$15, $E$9, 100%, $G$9) + CHOOSE(CONTROL!$C$38, 0.0347, 0)</f>
        <v>22.270900000000001</v>
      </c>
      <c r="F155" s="45">
        <f>22.2362 * CHOOSE(CONTROL!$C$15, $E$9, 100%, $G$9) + CHOOSE(CONTROL!$C$38, 0.0256, 0)</f>
        <v>22.261800000000001</v>
      </c>
      <c r="G155" s="10">
        <f>20.6222 * CHOOSE(CONTROL!$C$15, $E$9, 100%, $G$9) + CHOOSE(CONTROL!$C$38, 0.0347, 0)</f>
        <v>20.6569</v>
      </c>
      <c r="H155" s="10">
        <f>20.6222 * CHOOSE(CONTROL!$C$15, $E$9, 100%, $G$9) + CHOOSE(CONTROL!$C$38, 0.0347, 0)</f>
        <v>20.6569</v>
      </c>
      <c r="I155" s="10">
        <f>20.6237 * CHOOSE(CONTROL!$C$15, $E$9, 100%, $G$9) + CHOOSE(CONTROL!$C$38, 0.0347, 0)</f>
        <v>20.6584</v>
      </c>
      <c r="J155" s="44">
        <f>127.5127</f>
        <v>127.5127</v>
      </c>
    </row>
    <row r="156" spans="1:10" ht="15" x14ac:dyDescent="0.2">
      <c r="A156" s="16">
        <v>45658</v>
      </c>
      <c r="B156" s="10">
        <f>23.8658 * CHOOSE(CONTROL!$C$15, $E$9, 100%, $G$9) + CHOOSE(CONTROL!$C$38, 0.0256, 0)</f>
        <v>23.891400000000001</v>
      </c>
      <c r="C156" s="10">
        <f>21.9164 * CHOOSE(CONTROL!$C$15, $E$9, 100%, $G$9) + CHOOSE(CONTROL!$C$38, 0.0347, 0)</f>
        <v>21.9511</v>
      </c>
      <c r="D156" s="10">
        <f>21.9086 * CHOOSE(CONTROL!$C$15, $E$9, 100%, $G$9) + CHOOSE(CONTROL!$C$38, 0.0347, 0)</f>
        <v>21.943300000000001</v>
      </c>
      <c r="E156" s="46">
        <f>23.7095 * CHOOSE(CONTROL!$C$15, $E$9, 100%, $G$9) + CHOOSE(CONTROL!$C$38, 0.0347, 0)</f>
        <v>23.744199999999999</v>
      </c>
      <c r="F156" s="45">
        <f>23.7095 * CHOOSE(CONTROL!$C$15, $E$9, 100%, $G$9) + CHOOSE(CONTROL!$C$38, 0.0256, 0)</f>
        <v>23.735099999999999</v>
      </c>
      <c r="G156" s="10">
        <f>21.9148 * CHOOSE(CONTROL!$C$15, $E$9, 100%, $G$9) + CHOOSE(CONTROL!$C$38, 0.0347, 0)</f>
        <v>21.9495</v>
      </c>
      <c r="H156" s="10">
        <f>21.9148 * CHOOSE(CONTROL!$C$15, $E$9, 100%, $G$9) + CHOOSE(CONTROL!$C$38, 0.0347, 0)</f>
        <v>21.9495</v>
      </c>
      <c r="I156" s="10">
        <f>21.9164 * CHOOSE(CONTROL!$C$15, $E$9, 100%, $G$9) + CHOOSE(CONTROL!$C$38, 0.0347, 0)</f>
        <v>21.9511</v>
      </c>
      <c r="J156" s="44">
        <f>130.1532</f>
        <v>130.1532</v>
      </c>
    </row>
    <row r="157" spans="1:10" ht="15" x14ac:dyDescent="0.2">
      <c r="A157" s="16">
        <v>45689</v>
      </c>
      <c r="B157" s="10">
        <f>24.0866 * CHOOSE(CONTROL!$C$15, $E$9, 100%, $G$9) + CHOOSE(CONTROL!$C$38, 0.0256, 0)</f>
        <v>24.112200000000001</v>
      </c>
      <c r="C157" s="10">
        <f>22.1371 * CHOOSE(CONTROL!$C$15, $E$9, 100%, $G$9) + CHOOSE(CONTROL!$C$38, 0.0347, 0)</f>
        <v>22.171800000000001</v>
      </c>
      <c r="D157" s="10">
        <f>22.1293 * CHOOSE(CONTROL!$C$15, $E$9, 100%, $G$9) + CHOOSE(CONTROL!$C$38, 0.0347, 0)</f>
        <v>22.164000000000001</v>
      </c>
      <c r="E157" s="46">
        <f>23.9303 * CHOOSE(CONTROL!$C$15, $E$9, 100%, $G$9) + CHOOSE(CONTROL!$C$38, 0.0347, 0)</f>
        <v>23.965</v>
      </c>
      <c r="F157" s="45">
        <f>23.9303 * CHOOSE(CONTROL!$C$15, $E$9, 100%, $G$9) + CHOOSE(CONTROL!$C$38, 0.0256, 0)</f>
        <v>23.9559</v>
      </c>
      <c r="G157" s="10">
        <f>22.1356 * CHOOSE(CONTROL!$C$15, $E$9, 100%, $G$9) + CHOOSE(CONTROL!$C$38, 0.0347, 0)</f>
        <v>22.170300000000001</v>
      </c>
      <c r="H157" s="10">
        <f>22.1356 * CHOOSE(CONTROL!$C$15, $E$9, 100%, $G$9) + CHOOSE(CONTROL!$C$38, 0.0347, 0)</f>
        <v>22.170300000000001</v>
      </c>
      <c r="I157" s="10">
        <f>22.1371 * CHOOSE(CONTROL!$C$15, $E$9, 100%, $G$9) + CHOOSE(CONTROL!$C$38, 0.0347, 0)</f>
        <v>22.171800000000001</v>
      </c>
      <c r="J157" s="44">
        <f>129.7914</f>
        <v>129.79140000000001</v>
      </c>
    </row>
    <row r="158" spans="1:10" ht="15" x14ac:dyDescent="0.2">
      <c r="A158" s="16">
        <v>45717</v>
      </c>
      <c r="B158" s="10">
        <f>23.5755 * CHOOSE(CONTROL!$C$15, $E$9, 100%, $G$9) + CHOOSE(CONTROL!$C$38, 0.0256, 0)</f>
        <v>23.601100000000002</v>
      </c>
      <c r="C158" s="10">
        <f>21.6261 * CHOOSE(CONTROL!$C$15, $E$9, 100%, $G$9) + CHOOSE(CONTROL!$C$38, 0.0347, 0)</f>
        <v>21.660800000000002</v>
      </c>
      <c r="D158" s="10">
        <f>21.6183 * CHOOSE(CONTROL!$C$15, $E$9, 100%, $G$9) + CHOOSE(CONTROL!$C$38, 0.0347, 0)</f>
        <v>21.653000000000002</v>
      </c>
      <c r="E158" s="46">
        <f>23.4193 * CHOOSE(CONTROL!$C$15, $E$9, 100%, $G$9) + CHOOSE(CONTROL!$C$38, 0.0347, 0)</f>
        <v>23.454000000000001</v>
      </c>
      <c r="F158" s="45">
        <f>23.4193 * CHOOSE(CONTROL!$C$15, $E$9, 100%, $G$9) + CHOOSE(CONTROL!$C$38, 0.0256, 0)</f>
        <v>23.444900000000001</v>
      </c>
      <c r="G158" s="10">
        <f>21.6245 * CHOOSE(CONTROL!$C$15, $E$9, 100%, $G$9) + CHOOSE(CONTROL!$C$38, 0.0347, 0)</f>
        <v>21.659200000000002</v>
      </c>
      <c r="H158" s="10">
        <f>21.6245 * CHOOSE(CONTROL!$C$15, $E$9, 100%, $G$9) + CHOOSE(CONTROL!$C$38, 0.0347, 0)</f>
        <v>21.659200000000002</v>
      </c>
      <c r="I158" s="10">
        <f>21.6261 * CHOOSE(CONTROL!$C$15, $E$9, 100%, $G$9) + CHOOSE(CONTROL!$C$38, 0.0347, 0)</f>
        <v>21.660800000000002</v>
      </c>
      <c r="J158" s="44">
        <f>136.6322</f>
        <v>136.63220000000001</v>
      </c>
    </row>
    <row r="159" spans="1:10" ht="15" x14ac:dyDescent="0.2">
      <c r="A159" s="16">
        <v>45748</v>
      </c>
      <c r="B159" s="10">
        <f>23.0803 * CHOOSE(CONTROL!$C$15, $E$9, 100%, $G$9) + CHOOSE(CONTROL!$C$38, 0.0256, 0)</f>
        <v>23.105900000000002</v>
      </c>
      <c r="C159" s="10">
        <f>21.1309 * CHOOSE(CONTROL!$C$15, $E$9, 100%, $G$9) + CHOOSE(CONTROL!$C$38, 0.0347, 0)</f>
        <v>21.165600000000001</v>
      </c>
      <c r="D159" s="10">
        <f>21.1231 * CHOOSE(CONTROL!$C$15, $E$9, 100%, $G$9) + CHOOSE(CONTROL!$C$38, 0.0347, 0)</f>
        <v>21.157800000000002</v>
      </c>
      <c r="E159" s="46">
        <f>22.9241 * CHOOSE(CONTROL!$C$15, $E$9, 100%, $G$9) + CHOOSE(CONTROL!$C$38, 0.0347, 0)</f>
        <v>22.9588</v>
      </c>
      <c r="F159" s="45">
        <f>22.9241 * CHOOSE(CONTROL!$C$15, $E$9, 100%, $G$9) + CHOOSE(CONTROL!$C$38, 0.0256, 0)</f>
        <v>22.9497</v>
      </c>
      <c r="G159" s="10">
        <f>21.1294 * CHOOSE(CONTROL!$C$15, $E$9, 100%, $G$9) + CHOOSE(CONTROL!$C$38, 0.0347, 0)</f>
        <v>21.164100000000001</v>
      </c>
      <c r="H159" s="10">
        <f>21.1294 * CHOOSE(CONTROL!$C$15, $E$9, 100%, $G$9) + CHOOSE(CONTROL!$C$38, 0.0347, 0)</f>
        <v>21.164100000000001</v>
      </c>
      <c r="I159" s="10">
        <f>21.1309 * CHOOSE(CONTROL!$C$15, $E$9, 100%, $G$9) + CHOOSE(CONTROL!$C$38, 0.0347, 0)</f>
        <v>21.165600000000001</v>
      </c>
      <c r="J159" s="44">
        <f>145.503</f>
        <v>145.50299999999999</v>
      </c>
    </row>
    <row r="160" spans="1:10" ht="15" x14ac:dyDescent="0.2">
      <c r="A160" s="16">
        <v>45778</v>
      </c>
      <c r="B160" s="10">
        <f>22.5642 * CHOOSE(CONTROL!$C$15, $E$9, 100%, $G$9) + CHOOSE(CONTROL!$C$38, 0.0278, 0)</f>
        <v>22.591999999999999</v>
      </c>
      <c r="C160" s="10">
        <f>20.6148 * CHOOSE(CONTROL!$C$15, $E$9, 100%, $G$9) + CHOOSE(CONTROL!$C$38, 0.0369, 0)</f>
        <v>20.651699999999998</v>
      </c>
      <c r="D160" s="10">
        <f>20.607 * CHOOSE(CONTROL!$C$15, $E$9, 100%, $G$9) + CHOOSE(CONTROL!$C$38, 0.0369, 0)</f>
        <v>20.643899999999999</v>
      </c>
      <c r="E160" s="46">
        <f>22.408 * CHOOSE(CONTROL!$C$15, $E$9, 100%, $G$9) + CHOOSE(CONTROL!$C$38, 0.0369, 0)</f>
        <v>22.444900000000001</v>
      </c>
      <c r="F160" s="45">
        <f>22.408 * CHOOSE(CONTROL!$C$15, $E$9, 100%, $G$9) + CHOOSE(CONTROL!$C$38, 0.0278, 0)</f>
        <v>22.4358</v>
      </c>
      <c r="G160" s="10">
        <f>20.6132 * CHOOSE(CONTROL!$C$15, $E$9, 100%, $G$9) + CHOOSE(CONTROL!$C$38, 0.0369, 0)</f>
        <v>20.650099999999998</v>
      </c>
      <c r="H160" s="10">
        <f>20.6132 * CHOOSE(CONTROL!$C$15, $E$9, 100%, $G$9) + CHOOSE(CONTROL!$C$38, 0.0369, 0)</f>
        <v>20.650099999999998</v>
      </c>
      <c r="I160" s="10">
        <f>20.6148 * CHOOSE(CONTROL!$C$15, $E$9, 100%, $G$9) + CHOOSE(CONTROL!$C$38, 0.0369, 0)</f>
        <v>20.651699999999998</v>
      </c>
      <c r="J160" s="44">
        <f>150.3858</f>
        <v>150.38579999999999</v>
      </c>
    </row>
    <row r="161" spans="1:10" ht="15" x14ac:dyDescent="0.2">
      <c r="A161" s="16">
        <v>45809</v>
      </c>
      <c r="B161" s="10">
        <f>22.2024 * CHOOSE(CONTROL!$C$15, $E$9, 100%, $G$9) + CHOOSE(CONTROL!$C$38, 0.0278, 0)</f>
        <v>22.2302</v>
      </c>
      <c r="C161" s="10">
        <f>20.253 * CHOOSE(CONTROL!$C$15, $E$9, 100%, $G$9) + CHOOSE(CONTROL!$C$38, 0.0369, 0)</f>
        <v>20.289899999999999</v>
      </c>
      <c r="D161" s="10">
        <f>20.2452 * CHOOSE(CONTROL!$C$15, $E$9, 100%, $G$9) + CHOOSE(CONTROL!$C$38, 0.0369, 0)</f>
        <v>20.2821</v>
      </c>
      <c r="E161" s="46">
        <f>22.0461 * CHOOSE(CONTROL!$C$15, $E$9, 100%, $G$9) + CHOOSE(CONTROL!$C$38, 0.0369, 0)</f>
        <v>22.082999999999998</v>
      </c>
      <c r="F161" s="45">
        <f>22.0461 * CHOOSE(CONTROL!$C$15, $E$9, 100%, $G$9) + CHOOSE(CONTROL!$C$38, 0.0278, 0)</f>
        <v>22.073899999999998</v>
      </c>
      <c r="G161" s="10">
        <f>20.2514 * CHOOSE(CONTROL!$C$15, $E$9, 100%, $G$9) + CHOOSE(CONTROL!$C$38, 0.0369, 0)</f>
        <v>20.2883</v>
      </c>
      <c r="H161" s="10">
        <f>20.2514 * CHOOSE(CONTROL!$C$15, $E$9, 100%, $G$9) + CHOOSE(CONTROL!$C$38, 0.0369, 0)</f>
        <v>20.2883</v>
      </c>
      <c r="I161" s="10">
        <f>20.253 * CHOOSE(CONTROL!$C$15, $E$9, 100%, $G$9) + CHOOSE(CONTROL!$C$38, 0.0369, 0)</f>
        <v>20.289899999999999</v>
      </c>
      <c r="J161" s="44">
        <f>152.5527</f>
        <v>152.55269999999999</v>
      </c>
    </row>
    <row r="162" spans="1:10" ht="15" x14ac:dyDescent="0.2">
      <c r="A162" s="16">
        <v>45839</v>
      </c>
      <c r="B162" s="10">
        <f>21.9959 * CHOOSE(CONTROL!$C$15, $E$9, 100%, $G$9) + CHOOSE(CONTROL!$C$38, 0.0278, 0)</f>
        <v>22.023699999999998</v>
      </c>
      <c r="C162" s="10">
        <f>20.0465 * CHOOSE(CONTROL!$C$15, $E$9, 100%, $G$9) + CHOOSE(CONTROL!$C$38, 0.0369, 0)</f>
        <v>20.083400000000001</v>
      </c>
      <c r="D162" s="10">
        <f>20.0387 * CHOOSE(CONTROL!$C$15, $E$9, 100%, $G$9) + CHOOSE(CONTROL!$C$38, 0.0369, 0)</f>
        <v>20.075599999999998</v>
      </c>
      <c r="E162" s="46">
        <f>21.8397 * CHOOSE(CONTROL!$C$15, $E$9, 100%, $G$9) + CHOOSE(CONTROL!$C$38, 0.0369, 0)</f>
        <v>21.8766</v>
      </c>
      <c r="F162" s="45">
        <f>21.8397 * CHOOSE(CONTROL!$C$15, $E$9, 100%, $G$9) + CHOOSE(CONTROL!$C$38, 0.0278, 0)</f>
        <v>21.8675</v>
      </c>
      <c r="G162" s="10">
        <f>20.0449 * CHOOSE(CONTROL!$C$15, $E$9, 100%, $G$9) + CHOOSE(CONTROL!$C$38, 0.0369, 0)</f>
        <v>20.081799999999998</v>
      </c>
      <c r="H162" s="10">
        <f>20.0449 * CHOOSE(CONTROL!$C$15, $E$9, 100%, $G$9) + CHOOSE(CONTROL!$C$38, 0.0369, 0)</f>
        <v>20.081799999999998</v>
      </c>
      <c r="I162" s="10">
        <f>20.0465 * CHOOSE(CONTROL!$C$15, $E$9, 100%, $G$9) + CHOOSE(CONTROL!$C$38, 0.0369, 0)</f>
        <v>20.083400000000001</v>
      </c>
      <c r="J162" s="44">
        <f>151.8392</f>
        <v>151.83920000000001</v>
      </c>
    </row>
    <row r="163" spans="1:10" ht="15" x14ac:dyDescent="0.2">
      <c r="A163" s="16">
        <v>45870</v>
      </c>
      <c r="B163" s="10">
        <f>22.0978 * CHOOSE(CONTROL!$C$15, $E$9, 100%, $G$9) + CHOOSE(CONTROL!$C$38, 0.0278, 0)</f>
        <v>22.125599999999999</v>
      </c>
      <c r="C163" s="10">
        <f>20.1484 * CHOOSE(CONTROL!$C$15, $E$9, 100%, $G$9) + CHOOSE(CONTROL!$C$38, 0.0369, 0)</f>
        <v>20.185299999999998</v>
      </c>
      <c r="D163" s="10">
        <f>20.1406 * CHOOSE(CONTROL!$C$15, $E$9, 100%, $G$9) + CHOOSE(CONTROL!$C$38, 0.0369, 0)</f>
        <v>20.177499999999998</v>
      </c>
      <c r="E163" s="46">
        <f>21.9416 * CHOOSE(CONTROL!$C$15, $E$9, 100%, $G$9) + CHOOSE(CONTROL!$C$38, 0.0369, 0)</f>
        <v>21.9785</v>
      </c>
      <c r="F163" s="45">
        <f>21.9416 * CHOOSE(CONTROL!$C$15, $E$9, 100%, $G$9) + CHOOSE(CONTROL!$C$38, 0.0278, 0)</f>
        <v>21.9694</v>
      </c>
      <c r="G163" s="10">
        <f>20.1468 * CHOOSE(CONTROL!$C$15, $E$9, 100%, $G$9) + CHOOSE(CONTROL!$C$38, 0.0369, 0)</f>
        <v>20.183699999999998</v>
      </c>
      <c r="H163" s="10">
        <f>20.1468 * CHOOSE(CONTROL!$C$15, $E$9, 100%, $G$9) + CHOOSE(CONTROL!$C$38, 0.0369, 0)</f>
        <v>20.183699999999998</v>
      </c>
      <c r="I163" s="10">
        <f>20.1484 * CHOOSE(CONTROL!$C$15, $E$9, 100%, $G$9) + CHOOSE(CONTROL!$C$38, 0.0369, 0)</f>
        <v>20.185299999999998</v>
      </c>
      <c r="J163" s="44">
        <f>148.3045</f>
        <v>148.30449999999999</v>
      </c>
    </row>
    <row r="164" spans="1:10" ht="15" x14ac:dyDescent="0.2">
      <c r="A164" s="16">
        <v>45901</v>
      </c>
      <c r="B164" s="10">
        <f>22.3746 * CHOOSE(CONTROL!$C$15, $E$9, 100%, $G$9) + CHOOSE(CONTROL!$C$38, 0.0278, 0)</f>
        <v>22.4024</v>
      </c>
      <c r="C164" s="10">
        <f>20.4252 * CHOOSE(CONTROL!$C$15, $E$9, 100%, $G$9) + CHOOSE(CONTROL!$C$38, 0.0369, 0)</f>
        <v>20.4621</v>
      </c>
      <c r="D164" s="10">
        <f>20.4174 * CHOOSE(CONTROL!$C$15, $E$9, 100%, $G$9) + CHOOSE(CONTROL!$C$38, 0.0369, 0)</f>
        <v>20.4543</v>
      </c>
      <c r="E164" s="46">
        <f>22.2184 * CHOOSE(CONTROL!$C$15, $E$9, 100%, $G$9) + CHOOSE(CONTROL!$C$38, 0.0369, 0)</f>
        <v>22.255299999999998</v>
      </c>
      <c r="F164" s="45">
        <f>22.2184 * CHOOSE(CONTROL!$C$15, $E$9, 100%, $G$9) + CHOOSE(CONTROL!$C$38, 0.0278, 0)</f>
        <v>22.246199999999998</v>
      </c>
      <c r="G164" s="10">
        <f>20.4236 * CHOOSE(CONTROL!$C$15, $E$9, 100%, $G$9) + CHOOSE(CONTROL!$C$38, 0.0369, 0)</f>
        <v>20.4605</v>
      </c>
      <c r="H164" s="10">
        <f>20.4236 * CHOOSE(CONTROL!$C$15, $E$9, 100%, $G$9) + CHOOSE(CONTROL!$C$38, 0.0369, 0)</f>
        <v>20.4605</v>
      </c>
      <c r="I164" s="10">
        <f>20.4252 * CHOOSE(CONTROL!$C$15, $E$9, 100%, $G$9) + CHOOSE(CONTROL!$C$38, 0.0369, 0)</f>
        <v>20.4621</v>
      </c>
      <c r="J164" s="44">
        <f>143.3751</f>
        <v>143.3751</v>
      </c>
    </row>
    <row r="165" spans="1:10" ht="15" x14ac:dyDescent="0.2">
      <c r="A165" s="16">
        <v>45931</v>
      </c>
      <c r="B165" s="10">
        <f>22.6064 * CHOOSE(CONTROL!$C$15, $E$9, 100%, $G$9) + CHOOSE(CONTROL!$C$38, 0.0256, 0)</f>
        <v>22.632000000000001</v>
      </c>
      <c r="C165" s="10">
        <f>20.657 * CHOOSE(CONTROL!$C$15, $E$9, 100%, $G$9) + CHOOSE(CONTROL!$C$38, 0.0347, 0)</f>
        <v>20.691700000000001</v>
      </c>
      <c r="D165" s="10">
        <f>20.6492 * CHOOSE(CONTROL!$C$15, $E$9, 100%, $G$9) + CHOOSE(CONTROL!$C$38, 0.0347, 0)</f>
        <v>20.683900000000001</v>
      </c>
      <c r="E165" s="46">
        <f>22.4502 * CHOOSE(CONTROL!$C$15, $E$9, 100%, $G$9) + CHOOSE(CONTROL!$C$38, 0.0347, 0)</f>
        <v>22.4849</v>
      </c>
      <c r="F165" s="45">
        <f>22.4502 * CHOOSE(CONTROL!$C$15, $E$9, 100%, $G$9) + CHOOSE(CONTROL!$C$38, 0.0256, 0)</f>
        <v>22.4758</v>
      </c>
      <c r="G165" s="10">
        <f>20.6555 * CHOOSE(CONTROL!$C$15, $E$9, 100%, $G$9) + CHOOSE(CONTROL!$C$38, 0.0347, 0)</f>
        <v>20.690200000000001</v>
      </c>
      <c r="H165" s="10">
        <f>20.6555 * CHOOSE(CONTROL!$C$15, $E$9, 100%, $G$9) + CHOOSE(CONTROL!$C$38, 0.0347, 0)</f>
        <v>20.690200000000001</v>
      </c>
      <c r="I165" s="10">
        <f>20.657 * CHOOSE(CONTROL!$C$15, $E$9, 100%, $G$9) + CHOOSE(CONTROL!$C$38, 0.0347, 0)</f>
        <v>20.691700000000001</v>
      </c>
      <c r="J165" s="44">
        <f>138.417</f>
        <v>138.417</v>
      </c>
    </row>
    <row r="166" spans="1:10" ht="15" x14ac:dyDescent="0.2">
      <c r="A166" s="16">
        <v>45962</v>
      </c>
      <c r="B166" s="10">
        <f>22.7999 * CHOOSE(CONTROL!$C$15, $E$9, 100%, $G$9) + CHOOSE(CONTROL!$C$38, 0.0256, 0)</f>
        <v>22.825500000000002</v>
      </c>
      <c r="C166" s="10">
        <f>20.8505 * CHOOSE(CONTROL!$C$15, $E$9, 100%, $G$9) + CHOOSE(CONTROL!$C$38, 0.0347, 0)</f>
        <v>20.885200000000001</v>
      </c>
      <c r="D166" s="10">
        <f>20.8426 * CHOOSE(CONTROL!$C$15, $E$9, 100%, $G$9) + CHOOSE(CONTROL!$C$38, 0.0347, 0)</f>
        <v>20.877300000000002</v>
      </c>
      <c r="E166" s="46">
        <f>22.6436 * CHOOSE(CONTROL!$C$15, $E$9, 100%, $G$9) + CHOOSE(CONTROL!$C$38, 0.0347, 0)</f>
        <v>22.6783</v>
      </c>
      <c r="F166" s="45">
        <f>22.6436 * CHOOSE(CONTROL!$C$15, $E$9, 100%, $G$9) + CHOOSE(CONTROL!$C$38, 0.0256, 0)</f>
        <v>22.6692</v>
      </c>
      <c r="G166" s="10">
        <f>20.8489 * CHOOSE(CONTROL!$C$15, $E$9, 100%, $G$9) + CHOOSE(CONTROL!$C$38, 0.0347, 0)</f>
        <v>20.883600000000001</v>
      </c>
      <c r="H166" s="10">
        <f>20.8489 * CHOOSE(CONTROL!$C$15, $E$9, 100%, $G$9) + CHOOSE(CONTROL!$C$38, 0.0347, 0)</f>
        <v>20.883600000000001</v>
      </c>
      <c r="I166" s="10">
        <f>20.8505 * CHOOSE(CONTROL!$C$15, $E$9, 100%, $G$9) + CHOOSE(CONTROL!$C$38, 0.0347, 0)</f>
        <v>20.885200000000001</v>
      </c>
      <c r="J166" s="44">
        <f>137.4308</f>
        <v>137.4308</v>
      </c>
    </row>
    <row r="167" spans="1:10" ht="15" x14ac:dyDescent="0.2">
      <c r="A167" s="16">
        <v>45992</v>
      </c>
      <c r="B167" s="10">
        <f>23.3959 * CHOOSE(CONTROL!$C$15, $E$9, 100%, $G$9) + CHOOSE(CONTROL!$C$38, 0.0256, 0)</f>
        <v>23.421500000000002</v>
      </c>
      <c r="C167" s="10">
        <f>21.4465 * CHOOSE(CONTROL!$C$15, $E$9, 100%, $G$9) + CHOOSE(CONTROL!$C$38, 0.0347, 0)</f>
        <v>21.481200000000001</v>
      </c>
      <c r="D167" s="10">
        <f>21.4387 * CHOOSE(CONTROL!$C$15, $E$9, 100%, $G$9) + CHOOSE(CONTROL!$C$38, 0.0347, 0)</f>
        <v>21.473400000000002</v>
      </c>
      <c r="E167" s="46">
        <f>23.2397 * CHOOSE(CONTROL!$C$15, $E$9, 100%, $G$9) + CHOOSE(CONTROL!$C$38, 0.0347, 0)</f>
        <v>23.2744</v>
      </c>
      <c r="F167" s="45">
        <f>23.2397 * CHOOSE(CONTROL!$C$15, $E$9, 100%, $G$9) + CHOOSE(CONTROL!$C$38, 0.0256, 0)</f>
        <v>23.2653</v>
      </c>
      <c r="G167" s="10">
        <f>21.445 * CHOOSE(CONTROL!$C$15, $E$9, 100%, $G$9) + CHOOSE(CONTROL!$C$38, 0.0347, 0)</f>
        <v>21.479700000000001</v>
      </c>
      <c r="H167" s="10">
        <f>21.445 * CHOOSE(CONTROL!$C$15, $E$9, 100%, $G$9) + CHOOSE(CONTROL!$C$38, 0.0347, 0)</f>
        <v>21.479700000000001</v>
      </c>
      <c r="I167" s="10">
        <f>21.4465 * CHOOSE(CONTROL!$C$15, $E$9, 100%, $G$9) + CHOOSE(CONTROL!$C$38, 0.0347, 0)</f>
        <v>21.481200000000001</v>
      </c>
      <c r="J167" s="44">
        <f>133.3525</f>
        <v>133.35249999999999</v>
      </c>
    </row>
    <row r="168" spans="1:10" ht="15" x14ac:dyDescent="0.2">
      <c r="A168" s="16">
        <v>46023</v>
      </c>
      <c r="B168" s="10">
        <f>24.2765 * CHOOSE(CONTROL!$C$15, $E$9, 100%, $G$9) + CHOOSE(CONTROL!$C$38, 0.0256, 0)</f>
        <v>24.302099999999999</v>
      </c>
      <c r="C168" s="10">
        <f>22.3171 * CHOOSE(CONTROL!$C$15, $E$9, 100%, $G$9) + CHOOSE(CONTROL!$C$38, 0.0347, 0)</f>
        <v>22.351800000000001</v>
      </c>
      <c r="D168" s="10">
        <f>22.3093 * CHOOSE(CONTROL!$C$15, $E$9, 100%, $G$9) + CHOOSE(CONTROL!$C$38, 0.0347, 0)</f>
        <v>22.344000000000001</v>
      </c>
      <c r="E168" s="46">
        <f>24.1203 * CHOOSE(CONTROL!$C$15, $E$9, 100%, $G$9) + CHOOSE(CONTROL!$C$38, 0.0347, 0)</f>
        <v>24.155000000000001</v>
      </c>
      <c r="F168" s="45">
        <f>24.1203 * CHOOSE(CONTROL!$C$15, $E$9, 100%, $G$9) + CHOOSE(CONTROL!$C$38, 0.0256, 0)</f>
        <v>24.145900000000001</v>
      </c>
      <c r="G168" s="10">
        <f>22.3155 * CHOOSE(CONTROL!$C$15, $E$9, 100%, $G$9) + CHOOSE(CONTROL!$C$38, 0.0347, 0)</f>
        <v>22.350200000000001</v>
      </c>
      <c r="H168" s="10">
        <f>22.3155 * CHOOSE(CONTROL!$C$15, $E$9, 100%, $G$9) + CHOOSE(CONTROL!$C$38, 0.0347, 0)</f>
        <v>22.350200000000001</v>
      </c>
      <c r="I168" s="10">
        <f>22.3171 * CHOOSE(CONTROL!$C$15, $E$9, 100%, $G$9) + CHOOSE(CONTROL!$C$38, 0.0347, 0)</f>
        <v>22.351800000000001</v>
      </c>
      <c r="J168" s="44">
        <f>132.7809</f>
        <v>132.7809</v>
      </c>
    </row>
    <row r="169" spans="1:10" ht="15" x14ac:dyDescent="0.2">
      <c r="A169" s="16">
        <v>46054</v>
      </c>
      <c r="B169" s="10">
        <f>24.4973 * CHOOSE(CONTROL!$C$15, $E$9, 100%, $G$9) + CHOOSE(CONTROL!$C$38, 0.0256, 0)</f>
        <v>24.5229</v>
      </c>
      <c r="C169" s="10">
        <f>22.5378 * CHOOSE(CONTROL!$C$15, $E$9, 100%, $G$9) + CHOOSE(CONTROL!$C$38, 0.0347, 0)</f>
        <v>22.572500000000002</v>
      </c>
      <c r="D169" s="10">
        <f>22.53 * CHOOSE(CONTROL!$C$15, $E$9, 100%, $G$9) + CHOOSE(CONTROL!$C$38, 0.0347, 0)</f>
        <v>22.564700000000002</v>
      </c>
      <c r="E169" s="46">
        <f>24.341 * CHOOSE(CONTROL!$C$15, $E$9, 100%, $G$9) + CHOOSE(CONTROL!$C$38, 0.0347, 0)</f>
        <v>24.375700000000002</v>
      </c>
      <c r="F169" s="45">
        <f>24.341 * CHOOSE(CONTROL!$C$15, $E$9, 100%, $G$9) + CHOOSE(CONTROL!$C$38, 0.0256, 0)</f>
        <v>24.366600000000002</v>
      </c>
      <c r="G169" s="10">
        <f>22.5363 * CHOOSE(CONTROL!$C$15, $E$9, 100%, $G$9) + CHOOSE(CONTROL!$C$38, 0.0347, 0)</f>
        <v>22.571000000000002</v>
      </c>
      <c r="H169" s="10">
        <f>22.5363 * CHOOSE(CONTROL!$C$15, $E$9, 100%, $G$9) + CHOOSE(CONTROL!$C$38, 0.0347, 0)</f>
        <v>22.571000000000002</v>
      </c>
      <c r="I169" s="10">
        <f>22.5378 * CHOOSE(CONTROL!$C$15, $E$9, 100%, $G$9) + CHOOSE(CONTROL!$C$38, 0.0347, 0)</f>
        <v>22.572500000000002</v>
      </c>
      <c r="J169" s="44">
        <f>132.4118</f>
        <v>132.4118</v>
      </c>
    </row>
    <row r="170" spans="1:10" ht="15" x14ac:dyDescent="0.2">
      <c r="A170" s="16">
        <v>46082</v>
      </c>
      <c r="B170" s="10">
        <f>23.9862 * CHOOSE(CONTROL!$C$15, $E$9, 100%, $G$9) + CHOOSE(CONTROL!$C$38, 0.0256, 0)</f>
        <v>24.011800000000001</v>
      </c>
      <c r="C170" s="10">
        <f>22.0268 * CHOOSE(CONTROL!$C$15, $E$9, 100%, $G$9) + CHOOSE(CONTROL!$C$38, 0.0347, 0)</f>
        <v>22.061500000000002</v>
      </c>
      <c r="D170" s="10">
        <f>22.019 * CHOOSE(CONTROL!$C$15, $E$9, 100%, $G$9) + CHOOSE(CONTROL!$C$38, 0.0347, 0)</f>
        <v>22.053699999999999</v>
      </c>
      <c r="E170" s="46">
        <f>23.83 * CHOOSE(CONTROL!$C$15, $E$9, 100%, $G$9) + CHOOSE(CONTROL!$C$38, 0.0347, 0)</f>
        <v>23.864699999999999</v>
      </c>
      <c r="F170" s="45">
        <f>23.83 * CHOOSE(CONTROL!$C$15, $E$9, 100%, $G$9) + CHOOSE(CONTROL!$C$38, 0.0256, 0)</f>
        <v>23.855599999999999</v>
      </c>
      <c r="G170" s="10">
        <f>22.0252 * CHOOSE(CONTROL!$C$15, $E$9, 100%, $G$9) + CHOOSE(CONTROL!$C$38, 0.0347, 0)</f>
        <v>22.059900000000003</v>
      </c>
      <c r="H170" s="10">
        <f>22.0252 * CHOOSE(CONTROL!$C$15, $E$9, 100%, $G$9) + CHOOSE(CONTROL!$C$38, 0.0347, 0)</f>
        <v>22.059900000000003</v>
      </c>
      <c r="I170" s="10">
        <f>22.0268 * CHOOSE(CONTROL!$C$15, $E$9, 100%, $G$9) + CHOOSE(CONTROL!$C$38, 0.0347, 0)</f>
        <v>22.061500000000002</v>
      </c>
      <c r="J170" s="44">
        <f>139.3907</f>
        <v>139.39070000000001</v>
      </c>
    </row>
    <row r="171" spans="1:10" ht="15" x14ac:dyDescent="0.2">
      <c r="A171" s="16">
        <v>46113</v>
      </c>
      <c r="B171" s="10">
        <f>23.4911 * CHOOSE(CONTROL!$C$15, $E$9, 100%, $G$9) + CHOOSE(CONTROL!$C$38, 0.0256, 0)</f>
        <v>23.5167</v>
      </c>
      <c r="C171" s="10">
        <f>21.5316 * CHOOSE(CONTROL!$C$15, $E$9, 100%, $G$9) + CHOOSE(CONTROL!$C$38, 0.0347, 0)</f>
        <v>21.566300000000002</v>
      </c>
      <c r="D171" s="10">
        <f>21.5238 * CHOOSE(CONTROL!$C$15, $E$9, 100%, $G$9) + CHOOSE(CONTROL!$C$38, 0.0347, 0)</f>
        <v>21.558500000000002</v>
      </c>
      <c r="E171" s="46">
        <f>23.3348 * CHOOSE(CONTROL!$C$15, $E$9, 100%, $G$9) + CHOOSE(CONTROL!$C$38, 0.0347, 0)</f>
        <v>23.369500000000002</v>
      </c>
      <c r="F171" s="45">
        <f>23.3348 * CHOOSE(CONTROL!$C$15, $E$9, 100%, $G$9) + CHOOSE(CONTROL!$C$38, 0.0256, 0)</f>
        <v>23.360400000000002</v>
      </c>
      <c r="G171" s="10">
        <f>21.5301 * CHOOSE(CONTROL!$C$15, $E$9, 100%, $G$9) + CHOOSE(CONTROL!$C$38, 0.0347, 0)</f>
        <v>21.564800000000002</v>
      </c>
      <c r="H171" s="10">
        <f>21.5301 * CHOOSE(CONTROL!$C$15, $E$9, 100%, $G$9) + CHOOSE(CONTROL!$C$38, 0.0347, 0)</f>
        <v>21.564800000000002</v>
      </c>
      <c r="I171" s="10">
        <f>21.5316 * CHOOSE(CONTROL!$C$15, $E$9, 100%, $G$9) + CHOOSE(CONTROL!$C$38, 0.0347, 0)</f>
        <v>21.566300000000002</v>
      </c>
      <c r="J171" s="44">
        <f>148.4406</f>
        <v>148.44059999999999</v>
      </c>
    </row>
    <row r="172" spans="1:10" ht="15" x14ac:dyDescent="0.2">
      <c r="A172" s="16">
        <v>46143</v>
      </c>
      <c r="B172" s="10">
        <f>22.9749 * CHOOSE(CONTROL!$C$15, $E$9, 100%, $G$9) + CHOOSE(CONTROL!$C$38, 0.0278, 0)</f>
        <v>23.002700000000001</v>
      </c>
      <c r="C172" s="10">
        <f>21.0155 * CHOOSE(CONTROL!$C$15, $E$9, 100%, $G$9) + CHOOSE(CONTROL!$C$38, 0.0369, 0)</f>
        <v>21.052399999999999</v>
      </c>
      <c r="D172" s="10">
        <f>21.0077 * CHOOSE(CONTROL!$C$15, $E$9, 100%, $G$9) + CHOOSE(CONTROL!$C$38, 0.0369, 0)</f>
        <v>21.044599999999999</v>
      </c>
      <c r="E172" s="46">
        <f>22.8187 * CHOOSE(CONTROL!$C$15, $E$9, 100%, $G$9) + CHOOSE(CONTROL!$C$38, 0.0369, 0)</f>
        <v>22.855599999999999</v>
      </c>
      <c r="F172" s="45">
        <f>22.8187 * CHOOSE(CONTROL!$C$15, $E$9, 100%, $G$9) + CHOOSE(CONTROL!$C$38, 0.0278, 0)</f>
        <v>22.846499999999999</v>
      </c>
      <c r="G172" s="10">
        <f>21.0139 * CHOOSE(CONTROL!$C$15, $E$9, 100%, $G$9) + CHOOSE(CONTROL!$C$38, 0.0369, 0)</f>
        <v>21.050799999999999</v>
      </c>
      <c r="H172" s="10">
        <f>21.0139 * CHOOSE(CONTROL!$C$15, $E$9, 100%, $G$9) + CHOOSE(CONTROL!$C$38, 0.0369, 0)</f>
        <v>21.050799999999999</v>
      </c>
      <c r="I172" s="10">
        <f>21.0155 * CHOOSE(CONTROL!$C$15, $E$9, 100%, $G$9) + CHOOSE(CONTROL!$C$38, 0.0369, 0)</f>
        <v>21.052399999999999</v>
      </c>
      <c r="J172" s="44">
        <f>153.422</f>
        <v>153.422</v>
      </c>
    </row>
    <row r="173" spans="1:10" ht="15" x14ac:dyDescent="0.2">
      <c r="A173" s="16">
        <v>46174</v>
      </c>
      <c r="B173" s="10">
        <f>22.6131 * CHOOSE(CONTROL!$C$15, $E$9, 100%, $G$9) + CHOOSE(CONTROL!$C$38, 0.0278, 0)</f>
        <v>22.640899999999998</v>
      </c>
      <c r="C173" s="10">
        <f>20.6537 * CHOOSE(CONTROL!$C$15, $E$9, 100%, $G$9) + CHOOSE(CONTROL!$C$38, 0.0369, 0)</f>
        <v>20.6906</v>
      </c>
      <c r="D173" s="10">
        <f>20.6459 * CHOOSE(CONTROL!$C$15, $E$9, 100%, $G$9) + CHOOSE(CONTROL!$C$38, 0.0369, 0)</f>
        <v>20.6828</v>
      </c>
      <c r="E173" s="46">
        <f>22.4569 * CHOOSE(CONTROL!$C$15, $E$9, 100%, $G$9) + CHOOSE(CONTROL!$C$38, 0.0369, 0)</f>
        <v>22.4938</v>
      </c>
      <c r="F173" s="45">
        <f>22.4569 * CHOOSE(CONTROL!$C$15, $E$9, 100%, $G$9) + CHOOSE(CONTROL!$C$38, 0.0278, 0)</f>
        <v>22.4847</v>
      </c>
      <c r="G173" s="10">
        <f>20.6521 * CHOOSE(CONTROL!$C$15, $E$9, 100%, $G$9) + CHOOSE(CONTROL!$C$38, 0.0369, 0)</f>
        <v>20.689</v>
      </c>
      <c r="H173" s="10">
        <f>20.6521 * CHOOSE(CONTROL!$C$15, $E$9, 100%, $G$9) + CHOOSE(CONTROL!$C$38, 0.0369, 0)</f>
        <v>20.689</v>
      </c>
      <c r="I173" s="10">
        <f>20.6537 * CHOOSE(CONTROL!$C$15, $E$9, 100%, $G$9) + CHOOSE(CONTROL!$C$38, 0.0369, 0)</f>
        <v>20.6906</v>
      </c>
      <c r="J173" s="44">
        <f>155.6326</f>
        <v>155.6326</v>
      </c>
    </row>
    <row r="174" spans="1:10" ht="15" x14ac:dyDescent="0.2">
      <c r="A174" s="16">
        <v>46204</v>
      </c>
      <c r="B174" s="10">
        <f>22.4066 * CHOOSE(CONTROL!$C$15, $E$9, 100%, $G$9) + CHOOSE(CONTROL!$C$38, 0.0278, 0)</f>
        <v>22.4344</v>
      </c>
      <c r="C174" s="10">
        <f>20.4472 * CHOOSE(CONTROL!$C$15, $E$9, 100%, $G$9) + CHOOSE(CONTROL!$C$38, 0.0369, 0)</f>
        <v>20.484099999999998</v>
      </c>
      <c r="D174" s="10">
        <f>20.4394 * CHOOSE(CONTROL!$C$15, $E$9, 100%, $G$9) + CHOOSE(CONTROL!$C$38, 0.0369, 0)</f>
        <v>20.476299999999998</v>
      </c>
      <c r="E174" s="46">
        <f>22.2504 * CHOOSE(CONTROL!$C$15, $E$9, 100%, $G$9) + CHOOSE(CONTROL!$C$38, 0.0369, 0)</f>
        <v>22.287299999999998</v>
      </c>
      <c r="F174" s="45">
        <f>22.2504 * CHOOSE(CONTROL!$C$15, $E$9, 100%, $G$9) + CHOOSE(CONTROL!$C$38, 0.0278, 0)</f>
        <v>22.278199999999998</v>
      </c>
      <c r="G174" s="10">
        <f>20.4456 * CHOOSE(CONTROL!$C$15, $E$9, 100%, $G$9) + CHOOSE(CONTROL!$C$38, 0.0369, 0)</f>
        <v>20.482499999999998</v>
      </c>
      <c r="H174" s="10">
        <f>20.4456 * CHOOSE(CONTROL!$C$15, $E$9, 100%, $G$9) + CHOOSE(CONTROL!$C$38, 0.0369, 0)</f>
        <v>20.482499999999998</v>
      </c>
      <c r="I174" s="10">
        <f>20.4472 * CHOOSE(CONTROL!$C$15, $E$9, 100%, $G$9) + CHOOSE(CONTROL!$C$38, 0.0369, 0)</f>
        <v>20.484099999999998</v>
      </c>
      <c r="J174" s="44">
        <f>154.9048</f>
        <v>154.90479999999999</v>
      </c>
    </row>
    <row r="175" spans="1:10" ht="15" x14ac:dyDescent="0.2">
      <c r="A175" s="16">
        <v>46235</v>
      </c>
      <c r="B175" s="10">
        <f>22.5085 * CHOOSE(CONTROL!$C$15, $E$9, 100%, $G$9) + CHOOSE(CONTROL!$C$38, 0.0278, 0)</f>
        <v>22.536300000000001</v>
      </c>
      <c r="C175" s="10">
        <f>20.5491 * CHOOSE(CONTROL!$C$15, $E$9, 100%, $G$9) + CHOOSE(CONTROL!$C$38, 0.0369, 0)</f>
        <v>20.585999999999999</v>
      </c>
      <c r="D175" s="10">
        <f>20.5413 * CHOOSE(CONTROL!$C$15, $E$9, 100%, $G$9) + CHOOSE(CONTROL!$C$38, 0.0369, 0)</f>
        <v>20.578199999999999</v>
      </c>
      <c r="E175" s="46">
        <f>22.3523 * CHOOSE(CONTROL!$C$15, $E$9, 100%, $G$9) + CHOOSE(CONTROL!$C$38, 0.0369, 0)</f>
        <v>22.389199999999999</v>
      </c>
      <c r="F175" s="45">
        <f>22.3523 * CHOOSE(CONTROL!$C$15, $E$9, 100%, $G$9) + CHOOSE(CONTROL!$C$38, 0.0278, 0)</f>
        <v>22.380099999999999</v>
      </c>
      <c r="G175" s="10">
        <f>20.5475 * CHOOSE(CONTROL!$C$15, $E$9, 100%, $G$9) + CHOOSE(CONTROL!$C$38, 0.0369, 0)</f>
        <v>20.584399999999999</v>
      </c>
      <c r="H175" s="10">
        <f>20.5475 * CHOOSE(CONTROL!$C$15, $E$9, 100%, $G$9) + CHOOSE(CONTROL!$C$38, 0.0369, 0)</f>
        <v>20.584399999999999</v>
      </c>
      <c r="I175" s="10">
        <f>20.5491 * CHOOSE(CONTROL!$C$15, $E$9, 100%, $G$9) + CHOOSE(CONTROL!$C$38, 0.0369, 0)</f>
        <v>20.585999999999999</v>
      </c>
      <c r="J175" s="44">
        <f>151.2987</f>
        <v>151.2987</v>
      </c>
    </row>
    <row r="176" spans="1:10" ht="15" x14ac:dyDescent="0.2">
      <c r="A176" s="16">
        <v>46266</v>
      </c>
      <c r="B176" s="10">
        <f>22.7853 * CHOOSE(CONTROL!$C$15, $E$9, 100%, $G$9) + CHOOSE(CONTROL!$C$38, 0.0278, 0)</f>
        <v>22.813099999999999</v>
      </c>
      <c r="C176" s="10">
        <f>20.8259 * CHOOSE(CONTROL!$C$15, $E$9, 100%, $G$9) + CHOOSE(CONTROL!$C$38, 0.0369, 0)</f>
        <v>20.8628</v>
      </c>
      <c r="D176" s="10">
        <f>20.8181 * CHOOSE(CONTROL!$C$15, $E$9, 100%, $G$9) + CHOOSE(CONTROL!$C$38, 0.0369, 0)</f>
        <v>20.855</v>
      </c>
      <c r="E176" s="46">
        <f>22.6291 * CHOOSE(CONTROL!$C$15, $E$9, 100%, $G$9) + CHOOSE(CONTROL!$C$38, 0.0369, 0)</f>
        <v>22.666</v>
      </c>
      <c r="F176" s="45">
        <f>22.6291 * CHOOSE(CONTROL!$C$15, $E$9, 100%, $G$9) + CHOOSE(CONTROL!$C$38, 0.0278, 0)</f>
        <v>22.6569</v>
      </c>
      <c r="G176" s="10">
        <f>20.8243 * CHOOSE(CONTROL!$C$15, $E$9, 100%, $G$9) + CHOOSE(CONTROL!$C$38, 0.0369, 0)</f>
        <v>20.8612</v>
      </c>
      <c r="H176" s="10">
        <f>20.8243 * CHOOSE(CONTROL!$C$15, $E$9, 100%, $G$9) + CHOOSE(CONTROL!$C$38, 0.0369, 0)</f>
        <v>20.8612</v>
      </c>
      <c r="I176" s="10">
        <f>20.8259 * CHOOSE(CONTROL!$C$15, $E$9, 100%, $G$9) + CHOOSE(CONTROL!$C$38, 0.0369, 0)</f>
        <v>20.8628</v>
      </c>
      <c r="J176" s="44">
        <f>146.2698</f>
        <v>146.2698</v>
      </c>
    </row>
    <row r="177" spans="1:10" ht="15" x14ac:dyDescent="0.2">
      <c r="A177" s="16">
        <v>46296</v>
      </c>
      <c r="B177" s="10">
        <f>23.0171 * CHOOSE(CONTROL!$C$15, $E$9, 100%, $G$9) + CHOOSE(CONTROL!$C$38, 0.0256, 0)</f>
        <v>23.0427</v>
      </c>
      <c r="C177" s="10">
        <f>21.0577 * CHOOSE(CONTROL!$C$15, $E$9, 100%, $G$9) + CHOOSE(CONTROL!$C$38, 0.0347, 0)</f>
        <v>21.092400000000001</v>
      </c>
      <c r="D177" s="10">
        <f>21.0499 * CHOOSE(CONTROL!$C$15, $E$9, 100%, $G$9) + CHOOSE(CONTROL!$C$38, 0.0347, 0)</f>
        <v>21.084600000000002</v>
      </c>
      <c r="E177" s="46">
        <f>22.8609 * CHOOSE(CONTROL!$C$15, $E$9, 100%, $G$9) + CHOOSE(CONTROL!$C$38, 0.0347, 0)</f>
        <v>22.895600000000002</v>
      </c>
      <c r="F177" s="45">
        <f>22.8609 * CHOOSE(CONTROL!$C$15, $E$9, 100%, $G$9) + CHOOSE(CONTROL!$C$38, 0.0256, 0)</f>
        <v>22.886500000000002</v>
      </c>
      <c r="G177" s="10">
        <f>21.0561 * CHOOSE(CONTROL!$C$15, $E$9, 100%, $G$9) + CHOOSE(CONTROL!$C$38, 0.0347, 0)</f>
        <v>21.090800000000002</v>
      </c>
      <c r="H177" s="10">
        <f>21.0561 * CHOOSE(CONTROL!$C$15, $E$9, 100%, $G$9) + CHOOSE(CONTROL!$C$38, 0.0347, 0)</f>
        <v>21.090800000000002</v>
      </c>
      <c r="I177" s="10">
        <f>21.0577 * CHOOSE(CONTROL!$C$15, $E$9, 100%, $G$9) + CHOOSE(CONTROL!$C$38, 0.0347, 0)</f>
        <v>21.092400000000001</v>
      </c>
      <c r="J177" s="44">
        <f>141.2116</f>
        <v>141.2116</v>
      </c>
    </row>
    <row r="178" spans="1:10" ht="15" x14ac:dyDescent="0.2">
      <c r="A178" s="16">
        <v>46327</v>
      </c>
      <c r="B178" s="10">
        <f>23.2106 * CHOOSE(CONTROL!$C$15, $E$9, 100%, $G$9) + CHOOSE(CONTROL!$C$38, 0.0256, 0)</f>
        <v>23.2362</v>
      </c>
      <c r="C178" s="10">
        <f>21.2512 * CHOOSE(CONTROL!$C$15, $E$9, 100%, $G$9) + CHOOSE(CONTROL!$C$38, 0.0347, 0)</f>
        <v>21.285900000000002</v>
      </c>
      <c r="D178" s="10">
        <f>21.2433 * CHOOSE(CONTROL!$C$15, $E$9, 100%, $G$9) + CHOOSE(CONTROL!$C$38, 0.0347, 0)</f>
        <v>21.278000000000002</v>
      </c>
      <c r="E178" s="46">
        <f>23.0543 * CHOOSE(CONTROL!$C$15, $E$9, 100%, $G$9) + CHOOSE(CONTROL!$C$38, 0.0347, 0)</f>
        <v>23.089000000000002</v>
      </c>
      <c r="F178" s="45">
        <f>23.0543 * CHOOSE(CONTROL!$C$15, $E$9, 100%, $G$9) + CHOOSE(CONTROL!$C$38, 0.0256, 0)</f>
        <v>23.079900000000002</v>
      </c>
      <c r="G178" s="10">
        <f>21.2496 * CHOOSE(CONTROL!$C$15, $E$9, 100%, $G$9) + CHOOSE(CONTROL!$C$38, 0.0347, 0)</f>
        <v>21.284300000000002</v>
      </c>
      <c r="H178" s="10">
        <f>21.2496 * CHOOSE(CONTROL!$C$15, $E$9, 100%, $G$9) + CHOOSE(CONTROL!$C$38, 0.0347, 0)</f>
        <v>21.284300000000002</v>
      </c>
      <c r="I178" s="10">
        <f>21.2512 * CHOOSE(CONTROL!$C$15, $E$9, 100%, $G$9) + CHOOSE(CONTROL!$C$38, 0.0347, 0)</f>
        <v>21.285900000000002</v>
      </c>
      <c r="J178" s="44">
        <f>140.2054</f>
        <v>140.2054</v>
      </c>
    </row>
    <row r="179" spans="1:10" ht="15" x14ac:dyDescent="0.2">
      <c r="A179" s="16">
        <v>46357</v>
      </c>
      <c r="B179" s="10">
        <f>23.8067 * CHOOSE(CONTROL!$C$15, $E$9, 100%, $G$9) + CHOOSE(CONTROL!$C$38, 0.0256, 0)</f>
        <v>23.8323</v>
      </c>
      <c r="C179" s="10">
        <f>21.8472 * CHOOSE(CONTROL!$C$15, $E$9, 100%, $G$9) + CHOOSE(CONTROL!$C$38, 0.0347, 0)</f>
        <v>21.881900000000002</v>
      </c>
      <c r="D179" s="10">
        <f>21.8394 * CHOOSE(CONTROL!$C$15, $E$9, 100%, $G$9) + CHOOSE(CONTROL!$C$38, 0.0347, 0)</f>
        <v>21.874100000000002</v>
      </c>
      <c r="E179" s="46">
        <f>23.6504 * CHOOSE(CONTROL!$C$15, $E$9, 100%, $G$9) + CHOOSE(CONTROL!$C$38, 0.0347, 0)</f>
        <v>23.685100000000002</v>
      </c>
      <c r="F179" s="45">
        <f>23.6504 * CHOOSE(CONTROL!$C$15, $E$9, 100%, $G$9) + CHOOSE(CONTROL!$C$38, 0.0256, 0)</f>
        <v>23.676000000000002</v>
      </c>
      <c r="G179" s="10">
        <f>21.8457 * CHOOSE(CONTROL!$C$15, $E$9, 100%, $G$9) + CHOOSE(CONTROL!$C$38, 0.0347, 0)</f>
        <v>21.880400000000002</v>
      </c>
      <c r="H179" s="10">
        <f>21.8457 * CHOOSE(CONTROL!$C$15, $E$9, 100%, $G$9) + CHOOSE(CONTROL!$C$38, 0.0347, 0)</f>
        <v>21.880400000000002</v>
      </c>
      <c r="I179" s="10">
        <f>21.8472 * CHOOSE(CONTROL!$C$15, $E$9, 100%, $G$9) + CHOOSE(CONTROL!$C$38, 0.0347, 0)</f>
        <v>21.881900000000002</v>
      </c>
      <c r="J179" s="44">
        <f>136.0448</f>
        <v>136.04480000000001</v>
      </c>
    </row>
    <row r="180" spans="1:10" ht="15" x14ac:dyDescent="0.2">
      <c r="A180" s="16">
        <v>46388</v>
      </c>
      <c r="B180" s="10">
        <f>24.7372 * CHOOSE(CONTROL!$C$15, $E$9, 100%, $G$9) + CHOOSE(CONTROL!$C$38, 0.0256, 0)</f>
        <v>24.762800000000002</v>
      </c>
      <c r="C180" s="10">
        <f>22.7665 * CHOOSE(CONTROL!$C$15, $E$9, 100%, $G$9) + CHOOSE(CONTROL!$C$38, 0.0347, 0)</f>
        <v>22.801200000000001</v>
      </c>
      <c r="D180" s="10">
        <f>22.7587 * CHOOSE(CONTROL!$C$15, $E$9, 100%, $G$9) + CHOOSE(CONTROL!$C$38, 0.0347, 0)</f>
        <v>22.793400000000002</v>
      </c>
      <c r="E180" s="46">
        <f>24.5809 * CHOOSE(CONTROL!$C$15, $E$9, 100%, $G$9) + CHOOSE(CONTROL!$C$38, 0.0347, 0)</f>
        <v>24.615600000000001</v>
      </c>
      <c r="F180" s="45">
        <f>24.5809 * CHOOSE(CONTROL!$C$15, $E$9, 100%, $G$9) + CHOOSE(CONTROL!$C$38, 0.0256, 0)</f>
        <v>24.6065</v>
      </c>
      <c r="G180" s="10">
        <f>22.765 * CHOOSE(CONTROL!$C$15, $E$9, 100%, $G$9) + CHOOSE(CONTROL!$C$38, 0.0347, 0)</f>
        <v>22.799700000000001</v>
      </c>
      <c r="H180" s="10">
        <f>22.765 * CHOOSE(CONTROL!$C$15, $E$9, 100%, $G$9) + CHOOSE(CONTROL!$C$38, 0.0347, 0)</f>
        <v>22.799700000000001</v>
      </c>
      <c r="I180" s="10">
        <f>22.7665 * CHOOSE(CONTROL!$C$15, $E$9, 100%, $G$9) + CHOOSE(CONTROL!$C$38, 0.0347, 0)</f>
        <v>22.801200000000001</v>
      </c>
      <c r="J180" s="44">
        <f>135.4616</f>
        <v>135.4616</v>
      </c>
    </row>
    <row r="181" spans="1:10" ht="15" x14ac:dyDescent="0.2">
      <c r="A181" s="16">
        <v>46419</v>
      </c>
      <c r="B181" s="10">
        <f>24.958 * CHOOSE(CONTROL!$C$15, $E$9, 100%, $G$9) + CHOOSE(CONTROL!$C$38, 0.0256, 0)</f>
        <v>24.983599999999999</v>
      </c>
      <c r="C181" s="10">
        <f>22.9873 * CHOOSE(CONTROL!$C$15, $E$9, 100%, $G$9) + CHOOSE(CONTROL!$C$38, 0.0347, 0)</f>
        <v>23.022000000000002</v>
      </c>
      <c r="D181" s="10">
        <f>22.9795 * CHOOSE(CONTROL!$C$15, $E$9, 100%, $G$9) + CHOOSE(CONTROL!$C$38, 0.0347, 0)</f>
        <v>23.014200000000002</v>
      </c>
      <c r="E181" s="46">
        <f>24.8017 * CHOOSE(CONTROL!$C$15, $E$9, 100%, $G$9) + CHOOSE(CONTROL!$C$38, 0.0347, 0)</f>
        <v>24.836400000000001</v>
      </c>
      <c r="F181" s="45">
        <f>24.8017 * CHOOSE(CONTROL!$C$15, $E$9, 100%, $G$9) + CHOOSE(CONTROL!$C$38, 0.0256, 0)</f>
        <v>24.827300000000001</v>
      </c>
      <c r="G181" s="10">
        <f>22.9857 * CHOOSE(CONTROL!$C$15, $E$9, 100%, $G$9) + CHOOSE(CONTROL!$C$38, 0.0347, 0)</f>
        <v>23.020400000000002</v>
      </c>
      <c r="H181" s="10">
        <f>22.9857 * CHOOSE(CONTROL!$C$15, $E$9, 100%, $G$9) + CHOOSE(CONTROL!$C$38, 0.0347, 0)</f>
        <v>23.020400000000002</v>
      </c>
      <c r="I181" s="10">
        <f>22.9873 * CHOOSE(CONTROL!$C$15, $E$9, 100%, $G$9) + CHOOSE(CONTROL!$C$38, 0.0347, 0)</f>
        <v>23.022000000000002</v>
      </c>
      <c r="J181" s="44">
        <f>135.0851</f>
        <v>135.08510000000001</v>
      </c>
    </row>
    <row r="182" spans="1:10" ht="15" x14ac:dyDescent="0.2">
      <c r="A182" s="16">
        <v>46447</v>
      </c>
      <c r="B182" s="10">
        <f>24.4469 * CHOOSE(CONTROL!$C$15, $E$9, 100%, $G$9) + CHOOSE(CONTROL!$C$38, 0.0256, 0)</f>
        <v>24.4725</v>
      </c>
      <c r="C182" s="10">
        <f>22.4762 * CHOOSE(CONTROL!$C$15, $E$9, 100%, $G$9) + CHOOSE(CONTROL!$C$38, 0.0347, 0)</f>
        <v>22.510899999999999</v>
      </c>
      <c r="D182" s="10">
        <f>22.4684 * CHOOSE(CONTROL!$C$15, $E$9, 100%, $G$9) + CHOOSE(CONTROL!$C$38, 0.0347, 0)</f>
        <v>22.5031</v>
      </c>
      <c r="E182" s="46">
        <f>24.2907 * CHOOSE(CONTROL!$C$15, $E$9, 100%, $G$9) + CHOOSE(CONTROL!$C$38, 0.0347, 0)</f>
        <v>24.325400000000002</v>
      </c>
      <c r="F182" s="45">
        <f>24.2907 * CHOOSE(CONTROL!$C$15, $E$9, 100%, $G$9) + CHOOSE(CONTROL!$C$38, 0.0256, 0)</f>
        <v>24.316300000000002</v>
      </c>
      <c r="G182" s="10">
        <f>22.4747 * CHOOSE(CONTROL!$C$15, $E$9, 100%, $G$9) + CHOOSE(CONTROL!$C$38, 0.0347, 0)</f>
        <v>22.509399999999999</v>
      </c>
      <c r="H182" s="10">
        <f>22.4747 * CHOOSE(CONTROL!$C$15, $E$9, 100%, $G$9) + CHOOSE(CONTROL!$C$38, 0.0347, 0)</f>
        <v>22.509399999999999</v>
      </c>
      <c r="I182" s="10">
        <f>22.4762 * CHOOSE(CONTROL!$C$15, $E$9, 100%, $G$9) + CHOOSE(CONTROL!$C$38, 0.0347, 0)</f>
        <v>22.510899999999999</v>
      </c>
      <c r="J182" s="44">
        <f>142.2049</f>
        <v>142.20490000000001</v>
      </c>
    </row>
    <row r="183" spans="1:10" ht="15" x14ac:dyDescent="0.2">
      <c r="A183" s="16">
        <v>46478</v>
      </c>
      <c r="B183" s="10">
        <f>23.9517 * CHOOSE(CONTROL!$C$15, $E$9, 100%, $G$9) + CHOOSE(CONTROL!$C$38, 0.0256, 0)</f>
        <v>23.9773</v>
      </c>
      <c r="C183" s="10">
        <f>21.9811 * CHOOSE(CONTROL!$C$15, $E$9, 100%, $G$9) + CHOOSE(CONTROL!$C$38, 0.0347, 0)</f>
        <v>22.015800000000002</v>
      </c>
      <c r="D183" s="10">
        <f>21.9733 * CHOOSE(CONTROL!$C$15, $E$9, 100%, $G$9) + CHOOSE(CONTROL!$C$38, 0.0347, 0)</f>
        <v>22.007999999999999</v>
      </c>
      <c r="E183" s="46">
        <f>23.7955 * CHOOSE(CONTROL!$C$15, $E$9, 100%, $G$9) + CHOOSE(CONTROL!$C$38, 0.0347, 0)</f>
        <v>23.830200000000001</v>
      </c>
      <c r="F183" s="45">
        <f>23.7955 * CHOOSE(CONTROL!$C$15, $E$9, 100%, $G$9) + CHOOSE(CONTROL!$C$38, 0.0256, 0)</f>
        <v>23.821100000000001</v>
      </c>
      <c r="G183" s="10">
        <f>21.9795 * CHOOSE(CONTROL!$C$15, $E$9, 100%, $G$9) + CHOOSE(CONTROL!$C$38, 0.0347, 0)</f>
        <v>22.014200000000002</v>
      </c>
      <c r="H183" s="10">
        <f>21.9795 * CHOOSE(CONTROL!$C$15, $E$9, 100%, $G$9) + CHOOSE(CONTROL!$C$38, 0.0347, 0)</f>
        <v>22.014200000000002</v>
      </c>
      <c r="I183" s="10">
        <f>21.9811 * CHOOSE(CONTROL!$C$15, $E$9, 100%, $G$9) + CHOOSE(CONTROL!$C$38, 0.0347, 0)</f>
        <v>22.015800000000002</v>
      </c>
      <c r="J183" s="44">
        <f>151.4375</f>
        <v>151.4375</v>
      </c>
    </row>
    <row r="184" spans="1:10" ht="15" x14ac:dyDescent="0.2">
      <c r="A184" s="16">
        <v>46508</v>
      </c>
      <c r="B184" s="10">
        <f>23.4356 * CHOOSE(CONTROL!$C$15, $E$9, 100%, $G$9) + CHOOSE(CONTROL!$C$38, 0.0278, 0)</f>
        <v>23.4634</v>
      </c>
      <c r="C184" s="10">
        <f>21.465 * CHOOSE(CONTROL!$C$15, $E$9, 100%, $G$9) + CHOOSE(CONTROL!$C$38, 0.0369, 0)</f>
        <v>21.501899999999999</v>
      </c>
      <c r="D184" s="10">
        <f>21.4571 * CHOOSE(CONTROL!$C$15, $E$9, 100%, $G$9) + CHOOSE(CONTROL!$C$38, 0.0369, 0)</f>
        <v>21.494</v>
      </c>
      <c r="E184" s="46">
        <f>23.2794 * CHOOSE(CONTROL!$C$15, $E$9, 100%, $G$9) + CHOOSE(CONTROL!$C$38, 0.0369, 0)</f>
        <v>23.316299999999998</v>
      </c>
      <c r="F184" s="45">
        <f>23.2794 * CHOOSE(CONTROL!$C$15, $E$9, 100%, $G$9) + CHOOSE(CONTROL!$C$38, 0.0278, 0)</f>
        <v>23.307199999999998</v>
      </c>
      <c r="G184" s="10">
        <f>21.4634 * CHOOSE(CONTROL!$C$15, $E$9, 100%, $G$9) + CHOOSE(CONTROL!$C$38, 0.0369, 0)</f>
        <v>21.500299999999999</v>
      </c>
      <c r="H184" s="10">
        <f>21.4634 * CHOOSE(CONTROL!$C$15, $E$9, 100%, $G$9) + CHOOSE(CONTROL!$C$38, 0.0369, 0)</f>
        <v>21.500299999999999</v>
      </c>
      <c r="I184" s="10">
        <f>21.465 * CHOOSE(CONTROL!$C$15, $E$9, 100%, $G$9) + CHOOSE(CONTROL!$C$38, 0.0369, 0)</f>
        <v>21.501899999999999</v>
      </c>
      <c r="J184" s="44">
        <f>156.5194</f>
        <v>156.51939999999999</v>
      </c>
    </row>
    <row r="185" spans="1:10" ht="15" x14ac:dyDescent="0.2">
      <c r="A185" s="16">
        <v>46539</v>
      </c>
      <c r="B185" s="10">
        <f>23.0738 * CHOOSE(CONTROL!$C$15, $E$9, 100%, $G$9) + CHOOSE(CONTROL!$C$38, 0.0278, 0)</f>
        <v>23.101599999999998</v>
      </c>
      <c r="C185" s="10">
        <f>21.1031 * CHOOSE(CONTROL!$C$15, $E$9, 100%, $G$9) + CHOOSE(CONTROL!$C$38, 0.0369, 0)</f>
        <v>21.14</v>
      </c>
      <c r="D185" s="10">
        <f>21.0953 * CHOOSE(CONTROL!$C$15, $E$9, 100%, $G$9) + CHOOSE(CONTROL!$C$38, 0.0369, 0)</f>
        <v>21.132200000000001</v>
      </c>
      <c r="E185" s="46">
        <f>22.9175 * CHOOSE(CONTROL!$C$15, $E$9, 100%, $G$9) + CHOOSE(CONTROL!$C$38, 0.0369, 0)</f>
        <v>22.9544</v>
      </c>
      <c r="F185" s="45">
        <f>22.9175 * CHOOSE(CONTROL!$C$15, $E$9, 100%, $G$9) + CHOOSE(CONTROL!$C$38, 0.0278, 0)</f>
        <v>22.9453</v>
      </c>
      <c r="G185" s="10">
        <f>21.1016 * CHOOSE(CONTROL!$C$15, $E$9, 100%, $G$9) + CHOOSE(CONTROL!$C$38, 0.0369, 0)</f>
        <v>21.138500000000001</v>
      </c>
      <c r="H185" s="10">
        <f>21.1016 * CHOOSE(CONTROL!$C$15, $E$9, 100%, $G$9) + CHOOSE(CONTROL!$C$38, 0.0369, 0)</f>
        <v>21.138500000000001</v>
      </c>
      <c r="I185" s="10">
        <f>21.1031 * CHOOSE(CONTROL!$C$15, $E$9, 100%, $G$9) + CHOOSE(CONTROL!$C$38, 0.0369, 0)</f>
        <v>21.14</v>
      </c>
      <c r="J185" s="44">
        <f>158.7747</f>
        <v>158.7747</v>
      </c>
    </row>
    <row r="186" spans="1:10" ht="15" x14ac:dyDescent="0.2">
      <c r="A186" s="16">
        <v>46569</v>
      </c>
      <c r="B186" s="10">
        <f>22.8673 * CHOOSE(CONTROL!$C$15, $E$9, 100%, $G$9) + CHOOSE(CONTROL!$C$38, 0.0278, 0)</f>
        <v>22.895099999999999</v>
      </c>
      <c r="C186" s="10">
        <f>20.8966 * CHOOSE(CONTROL!$C$15, $E$9, 100%, $G$9) + CHOOSE(CONTROL!$C$38, 0.0369, 0)</f>
        <v>20.933499999999999</v>
      </c>
      <c r="D186" s="10">
        <f>20.8888 * CHOOSE(CONTROL!$C$15, $E$9, 100%, $G$9) + CHOOSE(CONTROL!$C$38, 0.0369, 0)</f>
        <v>20.925699999999999</v>
      </c>
      <c r="E186" s="46">
        <f>22.7111 * CHOOSE(CONTROL!$C$15, $E$9, 100%, $G$9) + CHOOSE(CONTROL!$C$38, 0.0369, 0)</f>
        <v>22.747999999999998</v>
      </c>
      <c r="F186" s="45">
        <f>22.7111 * CHOOSE(CONTROL!$C$15, $E$9, 100%, $G$9) + CHOOSE(CONTROL!$C$38, 0.0278, 0)</f>
        <v>22.738899999999997</v>
      </c>
      <c r="G186" s="10">
        <f>20.8951 * CHOOSE(CONTROL!$C$15, $E$9, 100%, $G$9) + CHOOSE(CONTROL!$C$38, 0.0369, 0)</f>
        <v>20.931999999999999</v>
      </c>
      <c r="H186" s="10">
        <f>20.8951 * CHOOSE(CONTROL!$C$15, $E$9, 100%, $G$9) + CHOOSE(CONTROL!$C$38, 0.0369, 0)</f>
        <v>20.931999999999999</v>
      </c>
      <c r="I186" s="10">
        <f>20.8966 * CHOOSE(CONTROL!$C$15, $E$9, 100%, $G$9) + CHOOSE(CONTROL!$C$38, 0.0369, 0)</f>
        <v>20.933499999999999</v>
      </c>
      <c r="J186" s="44">
        <f>158.0322</f>
        <v>158.03219999999999</v>
      </c>
    </row>
    <row r="187" spans="1:10" ht="15" x14ac:dyDescent="0.2">
      <c r="A187" s="16">
        <v>46600</v>
      </c>
      <c r="B187" s="10">
        <f>22.9692 * CHOOSE(CONTROL!$C$15, $E$9, 100%, $G$9) + CHOOSE(CONTROL!$C$38, 0.0278, 0)</f>
        <v>22.997</v>
      </c>
      <c r="C187" s="10">
        <f>20.9985 * CHOOSE(CONTROL!$C$15, $E$9, 100%, $G$9) + CHOOSE(CONTROL!$C$38, 0.0369, 0)</f>
        <v>21.035399999999999</v>
      </c>
      <c r="D187" s="10">
        <f>20.9907 * CHOOSE(CONTROL!$C$15, $E$9, 100%, $G$9) + CHOOSE(CONTROL!$C$38, 0.0369, 0)</f>
        <v>21.0276</v>
      </c>
      <c r="E187" s="46">
        <f>22.813 * CHOOSE(CONTROL!$C$15, $E$9, 100%, $G$9) + CHOOSE(CONTROL!$C$38, 0.0369, 0)</f>
        <v>22.849899999999998</v>
      </c>
      <c r="F187" s="45">
        <f>22.813 * CHOOSE(CONTROL!$C$15, $E$9, 100%, $G$9) + CHOOSE(CONTROL!$C$38, 0.0278, 0)</f>
        <v>22.840799999999998</v>
      </c>
      <c r="G187" s="10">
        <f>20.997 * CHOOSE(CONTROL!$C$15, $E$9, 100%, $G$9) + CHOOSE(CONTROL!$C$38, 0.0369, 0)</f>
        <v>21.033899999999999</v>
      </c>
      <c r="H187" s="10">
        <f>20.997 * CHOOSE(CONTROL!$C$15, $E$9, 100%, $G$9) + CHOOSE(CONTROL!$C$38, 0.0369, 0)</f>
        <v>21.033899999999999</v>
      </c>
      <c r="I187" s="10">
        <f>20.9985 * CHOOSE(CONTROL!$C$15, $E$9, 100%, $G$9) + CHOOSE(CONTROL!$C$38, 0.0369, 0)</f>
        <v>21.035399999999999</v>
      </c>
      <c r="J187" s="44">
        <f>154.3532</f>
        <v>154.35319999999999</v>
      </c>
    </row>
    <row r="188" spans="1:10" ht="15" x14ac:dyDescent="0.2">
      <c r="A188" s="16">
        <v>46631</v>
      </c>
      <c r="B188" s="10">
        <f>23.246 * CHOOSE(CONTROL!$C$15, $E$9, 100%, $G$9) + CHOOSE(CONTROL!$C$38, 0.0278, 0)</f>
        <v>23.273799999999998</v>
      </c>
      <c r="C188" s="10">
        <f>21.2753 * CHOOSE(CONTROL!$C$15, $E$9, 100%, $G$9) + CHOOSE(CONTROL!$C$38, 0.0369, 0)</f>
        <v>21.312200000000001</v>
      </c>
      <c r="D188" s="10">
        <f>21.2675 * CHOOSE(CONTROL!$C$15, $E$9, 100%, $G$9) + CHOOSE(CONTROL!$C$38, 0.0369, 0)</f>
        <v>21.304399999999998</v>
      </c>
      <c r="E188" s="46">
        <f>23.0898 * CHOOSE(CONTROL!$C$15, $E$9, 100%, $G$9) + CHOOSE(CONTROL!$C$38, 0.0369, 0)</f>
        <v>23.1267</v>
      </c>
      <c r="F188" s="45">
        <f>23.0898 * CHOOSE(CONTROL!$C$15, $E$9, 100%, $G$9) + CHOOSE(CONTROL!$C$38, 0.0278, 0)</f>
        <v>23.117599999999999</v>
      </c>
      <c r="G188" s="10">
        <f>21.2738 * CHOOSE(CONTROL!$C$15, $E$9, 100%, $G$9) + CHOOSE(CONTROL!$C$38, 0.0369, 0)</f>
        <v>21.310700000000001</v>
      </c>
      <c r="H188" s="10">
        <f>21.2738 * CHOOSE(CONTROL!$C$15, $E$9, 100%, $G$9) + CHOOSE(CONTROL!$C$38, 0.0369, 0)</f>
        <v>21.310700000000001</v>
      </c>
      <c r="I188" s="10">
        <f>21.2753 * CHOOSE(CONTROL!$C$15, $E$9, 100%, $G$9) + CHOOSE(CONTROL!$C$38, 0.0369, 0)</f>
        <v>21.312200000000001</v>
      </c>
      <c r="J188" s="44">
        <f>149.2228</f>
        <v>149.22280000000001</v>
      </c>
    </row>
    <row r="189" spans="1:10" ht="15" x14ac:dyDescent="0.2">
      <c r="A189" s="16">
        <v>46661</v>
      </c>
      <c r="B189" s="10">
        <f>23.4778 * CHOOSE(CONTROL!$C$15, $E$9, 100%, $G$9) + CHOOSE(CONTROL!$C$38, 0.0256, 0)</f>
        <v>23.503399999999999</v>
      </c>
      <c r="C189" s="10">
        <f>21.5072 * CHOOSE(CONTROL!$C$15, $E$9, 100%, $G$9) + CHOOSE(CONTROL!$C$38, 0.0347, 0)</f>
        <v>21.541900000000002</v>
      </c>
      <c r="D189" s="10">
        <f>21.4993 * CHOOSE(CONTROL!$C$15, $E$9, 100%, $G$9) + CHOOSE(CONTROL!$C$38, 0.0347, 0)</f>
        <v>21.534000000000002</v>
      </c>
      <c r="E189" s="46">
        <f>23.3216 * CHOOSE(CONTROL!$C$15, $E$9, 100%, $G$9) + CHOOSE(CONTROL!$C$38, 0.0347, 0)</f>
        <v>23.356300000000001</v>
      </c>
      <c r="F189" s="45">
        <f>23.3216 * CHOOSE(CONTROL!$C$15, $E$9, 100%, $G$9) + CHOOSE(CONTROL!$C$38, 0.0256, 0)</f>
        <v>23.347200000000001</v>
      </c>
      <c r="G189" s="10">
        <f>21.5056 * CHOOSE(CONTROL!$C$15, $E$9, 100%, $G$9) + CHOOSE(CONTROL!$C$38, 0.0347, 0)</f>
        <v>21.540300000000002</v>
      </c>
      <c r="H189" s="10">
        <f>21.5056 * CHOOSE(CONTROL!$C$15, $E$9, 100%, $G$9) + CHOOSE(CONTROL!$C$38, 0.0347, 0)</f>
        <v>21.540300000000002</v>
      </c>
      <c r="I189" s="10">
        <f>21.5072 * CHOOSE(CONTROL!$C$15, $E$9, 100%, $G$9) + CHOOSE(CONTROL!$C$38, 0.0347, 0)</f>
        <v>21.541900000000002</v>
      </c>
      <c r="J189" s="44">
        <f>144.0625</f>
        <v>144.0625</v>
      </c>
    </row>
    <row r="190" spans="1:10" ht="15" x14ac:dyDescent="0.2">
      <c r="A190" s="16">
        <v>46692</v>
      </c>
      <c r="B190" s="10">
        <f>23.6713 * CHOOSE(CONTROL!$C$15, $E$9, 100%, $G$9) + CHOOSE(CONTROL!$C$38, 0.0256, 0)</f>
        <v>23.696899999999999</v>
      </c>
      <c r="C190" s="10">
        <f>21.7006 * CHOOSE(CONTROL!$C$15, $E$9, 100%, $G$9) + CHOOSE(CONTROL!$C$38, 0.0347, 0)</f>
        <v>21.735300000000002</v>
      </c>
      <c r="D190" s="10">
        <f>21.6928 * CHOOSE(CONTROL!$C$15, $E$9, 100%, $G$9) + CHOOSE(CONTROL!$C$38, 0.0347, 0)</f>
        <v>21.727499999999999</v>
      </c>
      <c r="E190" s="46">
        <f>23.515 * CHOOSE(CONTROL!$C$15, $E$9, 100%, $G$9) + CHOOSE(CONTROL!$C$38, 0.0347, 0)</f>
        <v>23.549700000000001</v>
      </c>
      <c r="F190" s="45">
        <f>23.515 * CHOOSE(CONTROL!$C$15, $E$9, 100%, $G$9) + CHOOSE(CONTROL!$C$38, 0.0256, 0)</f>
        <v>23.540600000000001</v>
      </c>
      <c r="G190" s="10">
        <f>21.699 * CHOOSE(CONTROL!$C$15, $E$9, 100%, $G$9) + CHOOSE(CONTROL!$C$38, 0.0347, 0)</f>
        <v>21.733700000000002</v>
      </c>
      <c r="H190" s="10">
        <f>21.699 * CHOOSE(CONTROL!$C$15, $E$9, 100%, $G$9) + CHOOSE(CONTROL!$C$38, 0.0347, 0)</f>
        <v>21.733700000000002</v>
      </c>
      <c r="I190" s="10">
        <f>21.7006 * CHOOSE(CONTROL!$C$15, $E$9, 100%, $G$9) + CHOOSE(CONTROL!$C$38, 0.0347, 0)</f>
        <v>21.735300000000002</v>
      </c>
      <c r="J190" s="44">
        <f>143.0361</f>
        <v>143.0361</v>
      </c>
    </row>
    <row r="191" spans="1:10" ht="15" x14ac:dyDescent="0.2">
      <c r="A191" s="16">
        <v>46722</v>
      </c>
      <c r="B191" s="10">
        <f>24.2673 * CHOOSE(CONTROL!$C$15, $E$9, 100%, $G$9) + CHOOSE(CONTROL!$C$38, 0.0256, 0)</f>
        <v>24.292899999999999</v>
      </c>
      <c r="C191" s="10">
        <f>22.2967 * CHOOSE(CONTROL!$C$15, $E$9, 100%, $G$9) + CHOOSE(CONTROL!$C$38, 0.0347, 0)</f>
        <v>22.331400000000002</v>
      </c>
      <c r="D191" s="10">
        <f>22.2889 * CHOOSE(CONTROL!$C$15, $E$9, 100%, $G$9) + CHOOSE(CONTROL!$C$38, 0.0347, 0)</f>
        <v>22.323600000000003</v>
      </c>
      <c r="E191" s="46">
        <f>24.1111 * CHOOSE(CONTROL!$C$15, $E$9, 100%, $G$9) + CHOOSE(CONTROL!$C$38, 0.0347, 0)</f>
        <v>24.145800000000001</v>
      </c>
      <c r="F191" s="45">
        <f>24.1111 * CHOOSE(CONTROL!$C$15, $E$9, 100%, $G$9) + CHOOSE(CONTROL!$C$38, 0.0256, 0)</f>
        <v>24.136700000000001</v>
      </c>
      <c r="G191" s="10">
        <f>22.2951 * CHOOSE(CONTROL!$C$15, $E$9, 100%, $G$9) + CHOOSE(CONTROL!$C$38, 0.0347, 0)</f>
        <v>22.329800000000002</v>
      </c>
      <c r="H191" s="10">
        <f>22.2951 * CHOOSE(CONTROL!$C$15, $E$9, 100%, $G$9) + CHOOSE(CONTROL!$C$38, 0.0347, 0)</f>
        <v>22.329800000000002</v>
      </c>
      <c r="I191" s="10">
        <f>22.2967 * CHOOSE(CONTROL!$C$15, $E$9, 100%, $G$9) + CHOOSE(CONTROL!$C$38, 0.0347, 0)</f>
        <v>22.331400000000002</v>
      </c>
      <c r="J191" s="44">
        <f>138.7914</f>
        <v>138.79140000000001</v>
      </c>
    </row>
    <row r="192" spans="1:10" ht="15" x14ac:dyDescent="0.2">
      <c r="A192" s="16">
        <v>46753</v>
      </c>
      <c r="B192" s="10">
        <f>25.144 * CHOOSE(CONTROL!$C$15, $E$9, 100%, $G$9) + CHOOSE(CONTROL!$C$38, 0.0256, 0)</f>
        <v>25.169599999999999</v>
      </c>
      <c r="C192" s="10">
        <f>23.1634 * CHOOSE(CONTROL!$C$15, $E$9, 100%, $G$9) + CHOOSE(CONTROL!$C$38, 0.0347, 0)</f>
        <v>23.1981</v>
      </c>
      <c r="D192" s="10">
        <f>23.1556 * CHOOSE(CONTROL!$C$15, $E$9, 100%, $G$9) + CHOOSE(CONTROL!$C$38, 0.0347, 0)</f>
        <v>23.190300000000001</v>
      </c>
      <c r="E192" s="46">
        <f>24.9877 * CHOOSE(CONTROL!$C$15, $E$9, 100%, $G$9) + CHOOSE(CONTROL!$C$38, 0.0347, 0)</f>
        <v>25.022400000000001</v>
      </c>
      <c r="F192" s="45">
        <f>24.9877 * CHOOSE(CONTROL!$C$15, $E$9, 100%, $G$9) + CHOOSE(CONTROL!$C$38, 0.0256, 0)</f>
        <v>25.013300000000001</v>
      </c>
      <c r="G192" s="10">
        <f>23.1618 * CHOOSE(CONTROL!$C$15, $E$9, 100%, $G$9) + CHOOSE(CONTROL!$C$38, 0.0347, 0)</f>
        <v>23.1965</v>
      </c>
      <c r="H192" s="10">
        <f>23.1618 * CHOOSE(CONTROL!$C$15, $E$9, 100%, $G$9) + CHOOSE(CONTROL!$C$38, 0.0347, 0)</f>
        <v>23.1965</v>
      </c>
      <c r="I192" s="10">
        <f>23.1634 * CHOOSE(CONTROL!$C$15, $E$9, 100%, $G$9) + CHOOSE(CONTROL!$C$38, 0.0347, 0)</f>
        <v>23.1981</v>
      </c>
      <c r="J192" s="44">
        <f>138.1964</f>
        <v>138.19640000000001</v>
      </c>
    </row>
    <row r="193" spans="1:10" ht="15" x14ac:dyDescent="0.2">
      <c r="A193" s="16">
        <v>46784</v>
      </c>
      <c r="B193" s="10">
        <f>25.3647 * CHOOSE(CONTROL!$C$15, $E$9, 100%, $G$9) + CHOOSE(CONTROL!$C$38, 0.0256, 0)</f>
        <v>25.3903</v>
      </c>
      <c r="C193" s="10">
        <f>23.3841 * CHOOSE(CONTROL!$C$15, $E$9, 100%, $G$9) + CHOOSE(CONTROL!$C$38, 0.0347, 0)</f>
        <v>23.418800000000001</v>
      </c>
      <c r="D193" s="10">
        <f>23.3763 * CHOOSE(CONTROL!$C$15, $E$9, 100%, $G$9) + CHOOSE(CONTROL!$C$38, 0.0347, 0)</f>
        <v>23.411000000000001</v>
      </c>
      <c r="E193" s="46">
        <f>25.2085 * CHOOSE(CONTROL!$C$15, $E$9, 100%, $G$9) + CHOOSE(CONTROL!$C$38, 0.0347, 0)</f>
        <v>25.243200000000002</v>
      </c>
      <c r="F193" s="45">
        <f>25.2085 * CHOOSE(CONTROL!$C$15, $E$9, 100%, $G$9) + CHOOSE(CONTROL!$C$38, 0.0256, 0)</f>
        <v>25.234100000000002</v>
      </c>
      <c r="G193" s="10">
        <f>23.3826 * CHOOSE(CONTROL!$C$15, $E$9, 100%, $G$9) + CHOOSE(CONTROL!$C$38, 0.0347, 0)</f>
        <v>23.417300000000001</v>
      </c>
      <c r="H193" s="10">
        <f>23.3826 * CHOOSE(CONTROL!$C$15, $E$9, 100%, $G$9) + CHOOSE(CONTROL!$C$38, 0.0347, 0)</f>
        <v>23.417300000000001</v>
      </c>
      <c r="I193" s="10">
        <f>23.3841 * CHOOSE(CONTROL!$C$15, $E$9, 100%, $G$9) + CHOOSE(CONTROL!$C$38, 0.0347, 0)</f>
        <v>23.418800000000001</v>
      </c>
      <c r="J193" s="44">
        <f>137.8122</f>
        <v>137.81219999999999</v>
      </c>
    </row>
    <row r="194" spans="1:10" ht="15" x14ac:dyDescent="0.2">
      <c r="A194" s="16">
        <v>46813</v>
      </c>
      <c r="B194" s="10">
        <f>24.8537 * CHOOSE(CONTROL!$C$15, $E$9, 100%, $G$9) + CHOOSE(CONTROL!$C$38, 0.0256, 0)</f>
        <v>24.879300000000001</v>
      </c>
      <c r="C194" s="10">
        <f>22.8731 * CHOOSE(CONTROL!$C$15, $E$9, 100%, $G$9) + CHOOSE(CONTROL!$C$38, 0.0347, 0)</f>
        <v>22.907800000000002</v>
      </c>
      <c r="D194" s="10">
        <f>22.8653 * CHOOSE(CONTROL!$C$15, $E$9, 100%, $G$9) + CHOOSE(CONTROL!$C$38, 0.0347, 0)</f>
        <v>22.900000000000002</v>
      </c>
      <c r="E194" s="46">
        <f>24.6974 * CHOOSE(CONTROL!$C$15, $E$9, 100%, $G$9) + CHOOSE(CONTROL!$C$38, 0.0347, 0)</f>
        <v>24.732099999999999</v>
      </c>
      <c r="F194" s="45">
        <f>24.6974 * CHOOSE(CONTROL!$C$15, $E$9, 100%, $G$9) + CHOOSE(CONTROL!$C$38, 0.0256, 0)</f>
        <v>24.722999999999999</v>
      </c>
      <c r="G194" s="10">
        <f>22.8715 * CHOOSE(CONTROL!$C$15, $E$9, 100%, $G$9) + CHOOSE(CONTROL!$C$38, 0.0347, 0)</f>
        <v>22.906200000000002</v>
      </c>
      <c r="H194" s="10">
        <f>22.8715 * CHOOSE(CONTROL!$C$15, $E$9, 100%, $G$9) + CHOOSE(CONTROL!$C$38, 0.0347, 0)</f>
        <v>22.906200000000002</v>
      </c>
      <c r="I194" s="10">
        <f>22.8731 * CHOOSE(CONTROL!$C$15, $E$9, 100%, $G$9) + CHOOSE(CONTROL!$C$38, 0.0347, 0)</f>
        <v>22.907800000000002</v>
      </c>
      <c r="J194" s="44">
        <f>145.0757</f>
        <v>145.07570000000001</v>
      </c>
    </row>
    <row r="195" spans="1:10" ht="15" x14ac:dyDescent="0.2">
      <c r="A195" s="16">
        <v>46844</v>
      </c>
      <c r="B195" s="10">
        <f>24.3585 * CHOOSE(CONTROL!$C$15, $E$9, 100%, $G$9) + CHOOSE(CONTROL!$C$38, 0.0256, 0)</f>
        <v>24.3841</v>
      </c>
      <c r="C195" s="10">
        <f>22.3779 * CHOOSE(CONTROL!$C$15, $E$9, 100%, $G$9) + CHOOSE(CONTROL!$C$38, 0.0347, 0)</f>
        <v>22.412600000000001</v>
      </c>
      <c r="D195" s="10">
        <f>22.3701 * CHOOSE(CONTROL!$C$15, $E$9, 100%, $G$9) + CHOOSE(CONTROL!$C$38, 0.0347, 0)</f>
        <v>22.404800000000002</v>
      </c>
      <c r="E195" s="46">
        <f>24.2023 * CHOOSE(CONTROL!$C$15, $E$9, 100%, $G$9) + CHOOSE(CONTROL!$C$38, 0.0347, 0)</f>
        <v>24.237000000000002</v>
      </c>
      <c r="F195" s="45">
        <f>24.2023 * CHOOSE(CONTROL!$C$15, $E$9, 100%, $G$9) + CHOOSE(CONTROL!$C$38, 0.0256, 0)</f>
        <v>24.227900000000002</v>
      </c>
      <c r="G195" s="10">
        <f>22.3764 * CHOOSE(CONTROL!$C$15, $E$9, 100%, $G$9) + CHOOSE(CONTROL!$C$38, 0.0347, 0)</f>
        <v>22.411100000000001</v>
      </c>
      <c r="H195" s="10">
        <f>22.3764 * CHOOSE(CONTROL!$C$15, $E$9, 100%, $G$9) + CHOOSE(CONTROL!$C$38, 0.0347, 0)</f>
        <v>22.411100000000001</v>
      </c>
      <c r="I195" s="10">
        <f>22.3779 * CHOOSE(CONTROL!$C$15, $E$9, 100%, $G$9) + CHOOSE(CONTROL!$C$38, 0.0347, 0)</f>
        <v>22.412600000000001</v>
      </c>
      <c r="J195" s="44">
        <f>154.4948</f>
        <v>154.4948</v>
      </c>
    </row>
    <row r="196" spans="1:10" ht="15" x14ac:dyDescent="0.2">
      <c r="A196" s="16">
        <v>46874</v>
      </c>
      <c r="B196" s="10">
        <f>23.8424 * CHOOSE(CONTROL!$C$15, $E$9, 100%, $G$9) + CHOOSE(CONTROL!$C$38, 0.0278, 0)</f>
        <v>23.870200000000001</v>
      </c>
      <c r="C196" s="10">
        <f>21.8618 * CHOOSE(CONTROL!$C$15, $E$9, 100%, $G$9) + CHOOSE(CONTROL!$C$38, 0.0369, 0)</f>
        <v>21.898699999999998</v>
      </c>
      <c r="D196" s="10">
        <f>21.854 * CHOOSE(CONTROL!$C$15, $E$9, 100%, $G$9) + CHOOSE(CONTROL!$C$38, 0.0369, 0)</f>
        <v>21.890899999999998</v>
      </c>
      <c r="E196" s="46">
        <f>23.6861 * CHOOSE(CONTROL!$C$15, $E$9, 100%, $G$9) + CHOOSE(CONTROL!$C$38, 0.0369, 0)</f>
        <v>23.722999999999999</v>
      </c>
      <c r="F196" s="45">
        <f>23.6861 * CHOOSE(CONTROL!$C$15, $E$9, 100%, $G$9) + CHOOSE(CONTROL!$C$38, 0.0278, 0)</f>
        <v>23.713899999999999</v>
      </c>
      <c r="G196" s="10">
        <f>21.8602 * CHOOSE(CONTROL!$C$15, $E$9, 100%, $G$9) + CHOOSE(CONTROL!$C$38, 0.0369, 0)</f>
        <v>21.897099999999998</v>
      </c>
      <c r="H196" s="10">
        <f>21.8602 * CHOOSE(CONTROL!$C$15, $E$9, 100%, $G$9) + CHOOSE(CONTROL!$C$38, 0.0369, 0)</f>
        <v>21.897099999999998</v>
      </c>
      <c r="I196" s="10">
        <f>21.8618 * CHOOSE(CONTROL!$C$15, $E$9, 100%, $G$9) + CHOOSE(CONTROL!$C$38, 0.0369, 0)</f>
        <v>21.898699999999998</v>
      </c>
      <c r="J196" s="44">
        <f>159.6793</f>
        <v>159.67930000000001</v>
      </c>
    </row>
    <row r="197" spans="1:10" ht="15" x14ac:dyDescent="0.2">
      <c r="A197" s="16">
        <v>46905</v>
      </c>
      <c r="B197" s="10">
        <f>23.4806 * CHOOSE(CONTROL!$C$15, $E$9, 100%, $G$9) + CHOOSE(CONTROL!$C$38, 0.0278, 0)</f>
        <v>23.508399999999998</v>
      </c>
      <c r="C197" s="10">
        <f>21.5 * CHOOSE(CONTROL!$C$15, $E$9, 100%, $G$9) + CHOOSE(CONTROL!$C$38, 0.0369, 0)</f>
        <v>21.536899999999999</v>
      </c>
      <c r="D197" s="10">
        <f>21.4922 * CHOOSE(CONTROL!$C$15, $E$9, 100%, $G$9) + CHOOSE(CONTROL!$C$38, 0.0369, 0)</f>
        <v>21.5291</v>
      </c>
      <c r="E197" s="46">
        <f>23.3243 * CHOOSE(CONTROL!$C$15, $E$9, 100%, $G$9) + CHOOSE(CONTROL!$C$38, 0.0369, 0)</f>
        <v>23.3612</v>
      </c>
      <c r="F197" s="45">
        <f>23.3243 * CHOOSE(CONTROL!$C$15, $E$9, 100%, $G$9) + CHOOSE(CONTROL!$C$38, 0.0278, 0)</f>
        <v>23.3521</v>
      </c>
      <c r="G197" s="10">
        <f>21.4984 * CHOOSE(CONTROL!$C$15, $E$9, 100%, $G$9) + CHOOSE(CONTROL!$C$38, 0.0369, 0)</f>
        <v>21.535299999999999</v>
      </c>
      <c r="H197" s="10">
        <f>21.4984 * CHOOSE(CONTROL!$C$15, $E$9, 100%, $G$9) + CHOOSE(CONTROL!$C$38, 0.0369, 0)</f>
        <v>21.535299999999999</v>
      </c>
      <c r="I197" s="10">
        <f>21.5 * CHOOSE(CONTROL!$C$15, $E$9, 100%, $G$9) + CHOOSE(CONTROL!$C$38, 0.0369, 0)</f>
        <v>21.536899999999999</v>
      </c>
      <c r="J197" s="44">
        <f>161.9801</f>
        <v>161.98009999999999</v>
      </c>
    </row>
    <row r="198" spans="1:10" ht="15" x14ac:dyDescent="0.2">
      <c r="A198" s="16">
        <v>46935</v>
      </c>
      <c r="B198" s="10">
        <f>23.2741 * CHOOSE(CONTROL!$C$15, $E$9, 100%, $G$9) + CHOOSE(CONTROL!$C$38, 0.0278, 0)</f>
        <v>23.3019</v>
      </c>
      <c r="C198" s="10">
        <f>21.2935 * CHOOSE(CONTROL!$C$15, $E$9, 100%, $G$9) + CHOOSE(CONTROL!$C$38, 0.0369, 0)</f>
        <v>21.330400000000001</v>
      </c>
      <c r="D198" s="10">
        <f>21.2857 * CHOOSE(CONTROL!$C$15, $E$9, 100%, $G$9) + CHOOSE(CONTROL!$C$38, 0.0369, 0)</f>
        <v>21.322599999999998</v>
      </c>
      <c r="E198" s="46">
        <f>23.1178 * CHOOSE(CONTROL!$C$15, $E$9, 100%, $G$9) + CHOOSE(CONTROL!$C$38, 0.0369, 0)</f>
        <v>23.154699999999998</v>
      </c>
      <c r="F198" s="45">
        <f>23.1178 * CHOOSE(CONTROL!$C$15, $E$9, 100%, $G$9) + CHOOSE(CONTROL!$C$38, 0.0278, 0)</f>
        <v>23.145599999999998</v>
      </c>
      <c r="G198" s="10">
        <f>21.2919 * CHOOSE(CONTROL!$C$15, $E$9, 100%, $G$9) + CHOOSE(CONTROL!$C$38, 0.0369, 0)</f>
        <v>21.328799999999998</v>
      </c>
      <c r="H198" s="10">
        <f>21.2919 * CHOOSE(CONTROL!$C$15, $E$9, 100%, $G$9) + CHOOSE(CONTROL!$C$38, 0.0369, 0)</f>
        <v>21.328799999999998</v>
      </c>
      <c r="I198" s="10">
        <f>21.2935 * CHOOSE(CONTROL!$C$15, $E$9, 100%, $G$9) + CHOOSE(CONTROL!$C$38, 0.0369, 0)</f>
        <v>21.330400000000001</v>
      </c>
      <c r="J198" s="44">
        <f>161.2226</f>
        <v>161.2226</v>
      </c>
    </row>
    <row r="199" spans="1:10" ht="15" x14ac:dyDescent="0.2">
      <c r="A199" s="16">
        <v>46966</v>
      </c>
      <c r="B199" s="10">
        <f>23.376 * CHOOSE(CONTROL!$C$15, $E$9, 100%, $G$9) + CHOOSE(CONTROL!$C$38, 0.0278, 0)</f>
        <v>23.4038</v>
      </c>
      <c r="C199" s="10">
        <f>21.3954 * CHOOSE(CONTROL!$C$15, $E$9, 100%, $G$9) + CHOOSE(CONTROL!$C$38, 0.0369, 0)</f>
        <v>21.432299999999998</v>
      </c>
      <c r="D199" s="10">
        <f>21.3876 * CHOOSE(CONTROL!$C$15, $E$9, 100%, $G$9) + CHOOSE(CONTROL!$C$38, 0.0369, 0)</f>
        <v>21.424499999999998</v>
      </c>
      <c r="E199" s="46">
        <f>23.2197 * CHOOSE(CONTROL!$C$15, $E$9, 100%, $G$9) + CHOOSE(CONTROL!$C$38, 0.0369, 0)</f>
        <v>23.256599999999999</v>
      </c>
      <c r="F199" s="45">
        <f>23.2197 * CHOOSE(CONTROL!$C$15, $E$9, 100%, $G$9) + CHOOSE(CONTROL!$C$38, 0.0278, 0)</f>
        <v>23.247499999999999</v>
      </c>
      <c r="G199" s="10">
        <f>21.3938 * CHOOSE(CONTROL!$C$15, $E$9, 100%, $G$9) + CHOOSE(CONTROL!$C$38, 0.0369, 0)</f>
        <v>21.430699999999998</v>
      </c>
      <c r="H199" s="10">
        <f>21.3938 * CHOOSE(CONTROL!$C$15, $E$9, 100%, $G$9) + CHOOSE(CONTROL!$C$38, 0.0369, 0)</f>
        <v>21.430699999999998</v>
      </c>
      <c r="I199" s="10">
        <f>21.3954 * CHOOSE(CONTROL!$C$15, $E$9, 100%, $G$9) + CHOOSE(CONTROL!$C$38, 0.0369, 0)</f>
        <v>21.432299999999998</v>
      </c>
      <c r="J199" s="44">
        <f>157.4694</f>
        <v>157.46940000000001</v>
      </c>
    </row>
    <row r="200" spans="1:10" ht="15" x14ac:dyDescent="0.2">
      <c r="A200" s="16">
        <v>46997</v>
      </c>
      <c r="B200" s="10">
        <f>23.6528 * CHOOSE(CONTROL!$C$15, $E$9, 100%, $G$9) + CHOOSE(CONTROL!$C$38, 0.0278, 0)</f>
        <v>23.680599999999998</v>
      </c>
      <c r="C200" s="10">
        <f>21.6722 * CHOOSE(CONTROL!$C$15, $E$9, 100%, $G$9) + CHOOSE(CONTROL!$C$38, 0.0369, 0)</f>
        <v>21.709099999999999</v>
      </c>
      <c r="D200" s="10">
        <f>21.6644 * CHOOSE(CONTROL!$C$15, $E$9, 100%, $G$9) + CHOOSE(CONTROL!$C$38, 0.0369, 0)</f>
        <v>21.7013</v>
      </c>
      <c r="E200" s="46">
        <f>23.4965 * CHOOSE(CONTROL!$C$15, $E$9, 100%, $G$9) + CHOOSE(CONTROL!$C$38, 0.0369, 0)</f>
        <v>23.5334</v>
      </c>
      <c r="F200" s="45">
        <f>23.4965 * CHOOSE(CONTROL!$C$15, $E$9, 100%, $G$9) + CHOOSE(CONTROL!$C$38, 0.0278, 0)</f>
        <v>23.5243</v>
      </c>
      <c r="G200" s="10">
        <f>21.6706 * CHOOSE(CONTROL!$C$15, $E$9, 100%, $G$9) + CHOOSE(CONTROL!$C$38, 0.0369, 0)</f>
        <v>21.7075</v>
      </c>
      <c r="H200" s="10">
        <f>21.6706 * CHOOSE(CONTROL!$C$15, $E$9, 100%, $G$9) + CHOOSE(CONTROL!$C$38, 0.0369, 0)</f>
        <v>21.7075</v>
      </c>
      <c r="I200" s="10">
        <f>21.6722 * CHOOSE(CONTROL!$C$15, $E$9, 100%, $G$9) + CHOOSE(CONTROL!$C$38, 0.0369, 0)</f>
        <v>21.709099999999999</v>
      </c>
      <c r="J200" s="44">
        <f>152.2354</f>
        <v>152.2354</v>
      </c>
    </row>
    <row r="201" spans="1:10" ht="15" x14ac:dyDescent="0.2">
      <c r="A201" s="16">
        <v>47027</v>
      </c>
      <c r="B201" s="10">
        <f>23.8846 * CHOOSE(CONTROL!$C$15, $E$9, 100%, $G$9) + CHOOSE(CONTROL!$C$38, 0.0256, 0)</f>
        <v>23.9102</v>
      </c>
      <c r="C201" s="10">
        <f>21.904 * CHOOSE(CONTROL!$C$15, $E$9, 100%, $G$9) + CHOOSE(CONTROL!$C$38, 0.0347, 0)</f>
        <v>21.938700000000001</v>
      </c>
      <c r="D201" s="10">
        <f>21.8962 * CHOOSE(CONTROL!$C$15, $E$9, 100%, $G$9) + CHOOSE(CONTROL!$C$38, 0.0347, 0)</f>
        <v>21.930900000000001</v>
      </c>
      <c r="E201" s="46">
        <f>23.7284 * CHOOSE(CONTROL!$C$15, $E$9, 100%, $G$9) + CHOOSE(CONTROL!$C$38, 0.0347, 0)</f>
        <v>23.763100000000001</v>
      </c>
      <c r="F201" s="45">
        <f>23.7284 * CHOOSE(CONTROL!$C$15, $E$9, 100%, $G$9) + CHOOSE(CONTROL!$C$38, 0.0256, 0)</f>
        <v>23.754000000000001</v>
      </c>
      <c r="G201" s="10">
        <f>21.9024 * CHOOSE(CONTROL!$C$15, $E$9, 100%, $G$9) + CHOOSE(CONTROL!$C$38, 0.0347, 0)</f>
        <v>21.937100000000001</v>
      </c>
      <c r="H201" s="10">
        <f>21.9024 * CHOOSE(CONTROL!$C$15, $E$9, 100%, $G$9) + CHOOSE(CONTROL!$C$38, 0.0347, 0)</f>
        <v>21.937100000000001</v>
      </c>
      <c r="I201" s="10">
        <f>21.904 * CHOOSE(CONTROL!$C$15, $E$9, 100%, $G$9) + CHOOSE(CONTROL!$C$38, 0.0347, 0)</f>
        <v>21.938700000000001</v>
      </c>
      <c r="J201" s="44">
        <f>146.9709</f>
        <v>146.9709</v>
      </c>
    </row>
    <row r="202" spans="1:10" ht="15" x14ac:dyDescent="0.2">
      <c r="A202" s="16">
        <v>47058</v>
      </c>
      <c r="B202" s="10">
        <f>24.078 * CHOOSE(CONTROL!$C$15, $E$9, 100%, $G$9) + CHOOSE(CONTROL!$C$38, 0.0256, 0)</f>
        <v>24.1036</v>
      </c>
      <c r="C202" s="10">
        <f>22.0975 * CHOOSE(CONTROL!$C$15, $E$9, 100%, $G$9) + CHOOSE(CONTROL!$C$38, 0.0347, 0)</f>
        <v>22.132200000000001</v>
      </c>
      <c r="D202" s="10">
        <f>22.0896 * CHOOSE(CONTROL!$C$15, $E$9, 100%, $G$9) + CHOOSE(CONTROL!$C$38, 0.0347, 0)</f>
        <v>22.124300000000002</v>
      </c>
      <c r="E202" s="46">
        <f>23.9218 * CHOOSE(CONTROL!$C$15, $E$9, 100%, $G$9) + CHOOSE(CONTROL!$C$38, 0.0347, 0)</f>
        <v>23.956500000000002</v>
      </c>
      <c r="F202" s="45">
        <f>23.9218 * CHOOSE(CONTROL!$C$15, $E$9, 100%, $G$9) + CHOOSE(CONTROL!$C$38, 0.0256, 0)</f>
        <v>23.947400000000002</v>
      </c>
      <c r="G202" s="10">
        <f>22.0959 * CHOOSE(CONTROL!$C$15, $E$9, 100%, $G$9) + CHOOSE(CONTROL!$C$38, 0.0347, 0)</f>
        <v>22.130600000000001</v>
      </c>
      <c r="H202" s="10">
        <f>22.0959 * CHOOSE(CONTROL!$C$15, $E$9, 100%, $G$9) + CHOOSE(CONTROL!$C$38, 0.0347, 0)</f>
        <v>22.130600000000001</v>
      </c>
      <c r="I202" s="10">
        <f>22.0975 * CHOOSE(CONTROL!$C$15, $E$9, 100%, $G$9) + CHOOSE(CONTROL!$C$38, 0.0347, 0)</f>
        <v>22.132200000000001</v>
      </c>
      <c r="J202" s="44">
        <f>145.9237</f>
        <v>145.9237</v>
      </c>
    </row>
    <row r="203" spans="1:10" ht="15" x14ac:dyDescent="0.2">
      <c r="A203" s="16">
        <v>47088</v>
      </c>
      <c r="B203" s="10">
        <f>24.6741 * CHOOSE(CONTROL!$C$15, $E$9, 100%, $G$9) + CHOOSE(CONTROL!$C$38, 0.0256, 0)</f>
        <v>24.6997</v>
      </c>
      <c r="C203" s="10">
        <f>22.6935 * CHOOSE(CONTROL!$C$15, $E$9, 100%, $G$9) + CHOOSE(CONTROL!$C$38, 0.0347, 0)</f>
        <v>22.728200000000001</v>
      </c>
      <c r="D203" s="10">
        <f>22.6857 * CHOOSE(CONTROL!$C$15, $E$9, 100%, $G$9) + CHOOSE(CONTROL!$C$38, 0.0347, 0)</f>
        <v>22.720400000000001</v>
      </c>
      <c r="E203" s="46">
        <f>24.5179 * CHOOSE(CONTROL!$C$15, $E$9, 100%, $G$9) + CHOOSE(CONTROL!$C$38, 0.0347, 0)</f>
        <v>24.552600000000002</v>
      </c>
      <c r="F203" s="45">
        <f>24.5179 * CHOOSE(CONTROL!$C$15, $E$9, 100%, $G$9) + CHOOSE(CONTROL!$C$38, 0.0256, 0)</f>
        <v>24.543500000000002</v>
      </c>
      <c r="G203" s="10">
        <f>22.692 * CHOOSE(CONTROL!$C$15, $E$9, 100%, $G$9) + CHOOSE(CONTROL!$C$38, 0.0347, 0)</f>
        <v>22.726700000000001</v>
      </c>
      <c r="H203" s="10">
        <f>22.692 * CHOOSE(CONTROL!$C$15, $E$9, 100%, $G$9) + CHOOSE(CONTROL!$C$38, 0.0347, 0)</f>
        <v>22.726700000000001</v>
      </c>
      <c r="I203" s="10">
        <f>22.6935 * CHOOSE(CONTROL!$C$15, $E$9, 100%, $G$9) + CHOOSE(CONTROL!$C$38, 0.0347, 0)</f>
        <v>22.728200000000001</v>
      </c>
      <c r="J203" s="44">
        <f>141.5934</f>
        <v>141.5934</v>
      </c>
    </row>
    <row r="204" spans="1:10" ht="15" x14ac:dyDescent="0.2">
      <c r="A204" s="16">
        <v>47119</v>
      </c>
      <c r="B204" s="10">
        <f>25.6252 * CHOOSE(CONTROL!$C$15, $E$9, 100%, $G$9) + CHOOSE(CONTROL!$C$38, 0.0256, 0)</f>
        <v>25.6508</v>
      </c>
      <c r="C204" s="10">
        <f>23.6328 * CHOOSE(CONTROL!$C$15, $E$9, 100%, $G$9) + CHOOSE(CONTROL!$C$38, 0.0347, 0)</f>
        <v>23.6675</v>
      </c>
      <c r="D204" s="10">
        <f>23.625 * CHOOSE(CONTROL!$C$15, $E$9, 100%, $G$9) + CHOOSE(CONTROL!$C$38, 0.0347, 0)</f>
        <v>23.659700000000001</v>
      </c>
      <c r="E204" s="46">
        <f>25.4689 * CHOOSE(CONTROL!$C$15, $E$9, 100%, $G$9) + CHOOSE(CONTROL!$C$38, 0.0347, 0)</f>
        <v>25.503600000000002</v>
      </c>
      <c r="F204" s="45">
        <f>25.4689 * CHOOSE(CONTROL!$C$15, $E$9, 100%, $G$9) + CHOOSE(CONTROL!$C$38, 0.0256, 0)</f>
        <v>25.494500000000002</v>
      </c>
      <c r="G204" s="10">
        <f>23.6313 * CHOOSE(CONTROL!$C$15, $E$9, 100%, $G$9) + CHOOSE(CONTROL!$C$38, 0.0347, 0)</f>
        <v>23.666</v>
      </c>
      <c r="H204" s="10">
        <f>23.6313 * CHOOSE(CONTROL!$C$15, $E$9, 100%, $G$9) + CHOOSE(CONTROL!$C$38, 0.0347, 0)</f>
        <v>23.666</v>
      </c>
      <c r="I204" s="10">
        <f>23.6328 * CHOOSE(CONTROL!$C$15, $E$9, 100%, $G$9) + CHOOSE(CONTROL!$C$38, 0.0347, 0)</f>
        <v>23.6675</v>
      </c>
      <c r="J204" s="44">
        <f>140.9863</f>
        <v>140.9863</v>
      </c>
    </row>
    <row r="205" spans="1:10" ht="15" x14ac:dyDescent="0.2">
      <c r="A205" s="16">
        <v>47150</v>
      </c>
      <c r="B205" s="10">
        <f>25.8459 * CHOOSE(CONTROL!$C$15, $E$9, 100%, $G$9) + CHOOSE(CONTROL!$C$38, 0.0256, 0)</f>
        <v>25.871500000000001</v>
      </c>
      <c r="C205" s="10">
        <f>23.8536 * CHOOSE(CONTROL!$C$15, $E$9, 100%, $G$9) + CHOOSE(CONTROL!$C$38, 0.0347, 0)</f>
        <v>23.888300000000001</v>
      </c>
      <c r="D205" s="10">
        <f>23.8458 * CHOOSE(CONTROL!$C$15, $E$9, 100%, $G$9) + CHOOSE(CONTROL!$C$38, 0.0347, 0)</f>
        <v>23.880500000000001</v>
      </c>
      <c r="E205" s="46">
        <f>25.6897 * CHOOSE(CONTROL!$C$15, $E$9, 100%, $G$9) + CHOOSE(CONTROL!$C$38, 0.0347, 0)</f>
        <v>25.724399999999999</v>
      </c>
      <c r="F205" s="45">
        <f>25.6897 * CHOOSE(CONTROL!$C$15, $E$9, 100%, $G$9) + CHOOSE(CONTROL!$C$38, 0.0256, 0)</f>
        <v>25.715299999999999</v>
      </c>
      <c r="G205" s="10">
        <f>23.852 * CHOOSE(CONTROL!$C$15, $E$9, 100%, $G$9) + CHOOSE(CONTROL!$C$38, 0.0347, 0)</f>
        <v>23.886700000000001</v>
      </c>
      <c r="H205" s="10">
        <f>23.852 * CHOOSE(CONTROL!$C$15, $E$9, 100%, $G$9) + CHOOSE(CONTROL!$C$38, 0.0347, 0)</f>
        <v>23.886700000000001</v>
      </c>
      <c r="I205" s="10">
        <f>23.8536 * CHOOSE(CONTROL!$C$15, $E$9, 100%, $G$9) + CHOOSE(CONTROL!$C$38, 0.0347, 0)</f>
        <v>23.888300000000001</v>
      </c>
      <c r="J205" s="44">
        <f>140.5944</f>
        <v>140.59440000000001</v>
      </c>
    </row>
    <row r="206" spans="1:10" ht="15" x14ac:dyDescent="0.2">
      <c r="A206" s="16">
        <v>47178</v>
      </c>
      <c r="B206" s="10">
        <f>25.3349 * CHOOSE(CONTROL!$C$15, $E$9, 100%, $G$9) + CHOOSE(CONTROL!$C$38, 0.0256, 0)</f>
        <v>25.360500000000002</v>
      </c>
      <c r="C206" s="10">
        <f>23.3426 * CHOOSE(CONTROL!$C$15, $E$9, 100%, $G$9) + CHOOSE(CONTROL!$C$38, 0.0347, 0)</f>
        <v>23.377300000000002</v>
      </c>
      <c r="D206" s="10">
        <f>23.3348 * CHOOSE(CONTROL!$C$15, $E$9, 100%, $G$9) + CHOOSE(CONTROL!$C$38, 0.0347, 0)</f>
        <v>23.369500000000002</v>
      </c>
      <c r="E206" s="46">
        <f>25.1786 * CHOOSE(CONTROL!$C$15, $E$9, 100%, $G$9) + CHOOSE(CONTROL!$C$38, 0.0347, 0)</f>
        <v>25.2133</v>
      </c>
      <c r="F206" s="45">
        <f>25.1786 * CHOOSE(CONTROL!$C$15, $E$9, 100%, $G$9) + CHOOSE(CONTROL!$C$38, 0.0256, 0)</f>
        <v>25.2042</v>
      </c>
      <c r="G206" s="10">
        <f>23.341 * CHOOSE(CONTROL!$C$15, $E$9, 100%, $G$9) + CHOOSE(CONTROL!$C$38, 0.0347, 0)</f>
        <v>23.375700000000002</v>
      </c>
      <c r="H206" s="10">
        <f>23.341 * CHOOSE(CONTROL!$C$15, $E$9, 100%, $G$9) + CHOOSE(CONTROL!$C$38, 0.0347, 0)</f>
        <v>23.375700000000002</v>
      </c>
      <c r="I206" s="10">
        <f>23.3426 * CHOOSE(CONTROL!$C$15, $E$9, 100%, $G$9) + CHOOSE(CONTROL!$C$38, 0.0347, 0)</f>
        <v>23.377300000000002</v>
      </c>
      <c r="J206" s="44">
        <f>148.0045</f>
        <v>148.00450000000001</v>
      </c>
    </row>
    <row r="207" spans="1:10" ht="15" x14ac:dyDescent="0.2">
      <c r="A207" s="16">
        <v>47209</v>
      </c>
      <c r="B207" s="10">
        <f>24.8397 * CHOOSE(CONTROL!$C$15, $E$9, 100%, $G$9) + CHOOSE(CONTROL!$C$38, 0.0256, 0)</f>
        <v>24.865300000000001</v>
      </c>
      <c r="C207" s="10">
        <f>22.8474 * CHOOSE(CONTROL!$C$15, $E$9, 100%, $G$9) + CHOOSE(CONTROL!$C$38, 0.0347, 0)</f>
        <v>22.882100000000001</v>
      </c>
      <c r="D207" s="10">
        <f>22.8396 * CHOOSE(CONTROL!$C$15, $E$9, 100%, $G$9) + CHOOSE(CONTROL!$C$38, 0.0347, 0)</f>
        <v>22.874300000000002</v>
      </c>
      <c r="E207" s="46">
        <f>24.6835 * CHOOSE(CONTROL!$C$15, $E$9, 100%, $G$9) + CHOOSE(CONTROL!$C$38, 0.0347, 0)</f>
        <v>24.7182</v>
      </c>
      <c r="F207" s="45">
        <f>24.6835 * CHOOSE(CONTROL!$C$15, $E$9, 100%, $G$9) + CHOOSE(CONTROL!$C$38, 0.0256, 0)</f>
        <v>24.709099999999999</v>
      </c>
      <c r="G207" s="10">
        <f>22.8458 * CHOOSE(CONTROL!$C$15, $E$9, 100%, $G$9) + CHOOSE(CONTROL!$C$38, 0.0347, 0)</f>
        <v>22.880500000000001</v>
      </c>
      <c r="H207" s="10">
        <f>22.8458 * CHOOSE(CONTROL!$C$15, $E$9, 100%, $G$9) + CHOOSE(CONTROL!$C$38, 0.0347, 0)</f>
        <v>22.880500000000001</v>
      </c>
      <c r="I207" s="10">
        <f>22.8474 * CHOOSE(CONTROL!$C$15, $E$9, 100%, $G$9) + CHOOSE(CONTROL!$C$38, 0.0347, 0)</f>
        <v>22.882100000000001</v>
      </c>
      <c r="J207" s="44">
        <f>157.6137</f>
        <v>157.61369999999999</v>
      </c>
    </row>
    <row r="208" spans="1:10" ht="15" x14ac:dyDescent="0.2">
      <c r="A208" s="16">
        <v>47239</v>
      </c>
      <c r="B208" s="10">
        <f>24.3236 * CHOOSE(CONTROL!$C$15, $E$9, 100%, $G$9) + CHOOSE(CONTROL!$C$38, 0.0278, 0)</f>
        <v>24.351399999999998</v>
      </c>
      <c r="C208" s="10">
        <f>22.3313 * CHOOSE(CONTROL!$C$15, $E$9, 100%, $G$9) + CHOOSE(CONTROL!$C$38, 0.0369, 0)</f>
        <v>22.368199999999998</v>
      </c>
      <c r="D208" s="10">
        <f>22.3235 * CHOOSE(CONTROL!$C$15, $E$9, 100%, $G$9) + CHOOSE(CONTROL!$C$38, 0.0369, 0)</f>
        <v>22.360399999999998</v>
      </c>
      <c r="E208" s="46">
        <f>24.1674 * CHOOSE(CONTROL!$C$15, $E$9, 100%, $G$9) + CHOOSE(CONTROL!$C$38, 0.0369, 0)</f>
        <v>24.2043</v>
      </c>
      <c r="F208" s="45">
        <f>24.1674 * CHOOSE(CONTROL!$C$15, $E$9, 100%, $G$9) + CHOOSE(CONTROL!$C$38, 0.0278, 0)</f>
        <v>24.1952</v>
      </c>
      <c r="G208" s="10">
        <f>22.3297 * CHOOSE(CONTROL!$C$15, $E$9, 100%, $G$9) + CHOOSE(CONTROL!$C$38, 0.0369, 0)</f>
        <v>22.366599999999998</v>
      </c>
      <c r="H208" s="10">
        <f>22.3297 * CHOOSE(CONTROL!$C$15, $E$9, 100%, $G$9) + CHOOSE(CONTROL!$C$38, 0.0369, 0)</f>
        <v>22.366599999999998</v>
      </c>
      <c r="I208" s="10">
        <f>22.3313 * CHOOSE(CONTROL!$C$15, $E$9, 100%, $G$9) + CHOOSE(CONTROL!$C$38, 0.0369, 0)</f>
        <v>22.368199999999998</v>
      </c>
      <c r="J208" s="44">
        <f>162.9029</f>
        <v>162.90289999999999</v>
      </c>
    </row>
    <row r="209" spans="1:10" ht="15" x14ac:dyDescent="0.2">
      <c r="A209" s="16">
        <v>47270</v>
      </c>
      <c r="B209" s="10">
        <f>23.9618 * CHOOSE(CONTROL!$C$15, $E$9, 100%, $G$9) + CHOOSE(CONTROL!$C$38, 0.0278, 0)</f>
        <v>23.989599999999999</v>
      </c>
      <c r="C209" s="10">
        <f>21.9694 * CHOOSE(CONTROL!$C$15, $E$9, 100%, $G$9) + CHOOSE(CONTROL!$C$38, 0.0369, 0)</f>
        <v>22.0063</v>
      </c>
      <c r="D209" s="10">
        <f>21.9616 * CHOOSE(CONTROL!$C$15, $E$9, 100%, $G$9) + CHOOSE(CONTROL!$C$38, 0.0369, 0)</f>
        <v>21.9985</v>
      </c>
      <c r="E209" s="46">
        <f>23.8055 * CHOOSE(CONTROL!$C$15, $E$9, 100%, $G$9) + CHOOSE(CONTROL!$C$38, 0.0369, 0)</f>
        <v>23.842399999999998</v>
      </c>
      <c r="F209" s="45">
        <f>23.8055 * CHOOSE(CONTROL!$C$15, $E$9, 100%, $G$9) + CHOOSE(CONTROL!$C$38, 0.0278, 0)</f>
        <v>23.833299999999998</v>
      </c>
      <c r="G209" s="10">
        <f>21.9679 * CHOOSE(CONTROL!$C$15, $E$9, 100%, $G$9) + CHOOSE(CONTROL!$C$38, 0.0369, 0)</f>
        <v>22.004799999999999</v>
      </c>
      <c r="H209" s="10">
        <f>21.9679 * CHOOSE(CONTROL!$C$15, $E$9, 100%, $G$9) + CHOOSE(CONTROL!$C$38, 0.0369, 0)</f>
        <v>22.004799999999999</v>
      </c>
      <c r="I209" s="10">
        <f>21.9694 * CHOOSE(CONTROL!$C$15, $E$9, 100%, $G$9) + CHOOSE(CONTROL!$C$38, 0.0369, 0)</f>
        <v>22.0063</v>
      </c>
      <c r="J209" s="44">
        <f>165.2502</f>
        <v>165.25020000000001</v>
      </c>
    </row>
    <row r="210" spans="1:10" ht="15" x14ac:dyDescent="0.2">
      <c r="A210" s="16">
        <v>47300</v>
      </c>
      <c r="B210" s="10">
        <f>23.7553 * CHOOSE(CONTROL!$C$15, $E$9, 100%, $G$9) + CHOOSE(CONTROL!$C$38, 0.0278, 0)</f>
        <v>23.783099999999997</v>
      </c>
      <c r="C210" s="10">
        <f>21.7629 * CHOOSE(CONTROL!$C$15, $E$9, 100%, $G$9) + CHOOSE(CONTROL!$C$38, 0.0369, 0)</f>
        <v>21.799799999999998</v>
      </c>
      <c r="D210" s="10">
        <f>21.7551 * CHOOSE(CONTROL!$C$15, $E$9, 100%, $G$9) + CHOOSE(CONTROL!$C$38, 0.0369, 0)</f>
        <v>21.791999999999998</v>
      </c>
      <c r="E210" s="46">
        <f>23.599 * CHOOSE(CONTROL!$C$15, $E$9, 100%, $G$9) + CHOOSE(CONTROL!$C$38, 0.0369, 0)</f>
        <v>23.635899999999999</v>
      </c>
      <c r="F210" s="45">
        <f>23.599 * CHOOSE(CONTROL!$C$15, $E$9, 100%, $G$9) + CHOOSE(CONTROL!$C$38, 0.0278, 0)</f>
        <v>23.626799999999999</v>
      </c>
      <c r="G210" s="10">
        <f>21.7614 * CHOOSE(CONTROL!$C$15, $E$9, 100%, $G$9) + CHOOSE(CONTROL!$C$38, 0.0369, 0)</f>
        <v>21.798299999999998</v>
      </c>
      <c r="H210" s="10">
        <f>21.7614 * CHOOSE(CONTROL!$C$15, $E$9, 100%, $G$9) + CHOOSE(CONTROL!$C$38, 0.0369, 0)</f>
        <v>21.798299999999998</v>
      </c>
      <c r="I210" s="10">
        <f>21.7629 * CHOOSE(CONTROL!$C$15, $E$9, 100%, $G$9) + CHOOSE(CONTROL!$C$38, 0.0369, 0)</f>
        <v>21.799799999999998</v>
      </c>
      <c r="J210" s="44">
        <f>164.4773</f>
        <v>164.47730000000001</v>
      </c>
    </row>
    <row r="211" spans="1:10" ht="15" x14ac:dyDescent="0.2">
      <c r="A211" s="16">
        <v>47331</v>
      </c>
      <c r="B211" s="10">
        <f>23.8572 * CHOOSE(CONTROL!$C$15, $E$9, 100%, $G$9) + CHOOSE(CONTROL!$C$38, 0.0278, 0)</f>
        <v>23.884999999999998</v>
      </c>
      <c r="C211" s="10">
        <f>21.8649 * CHOOSE(CONTROL!$C$15, $E$9, 100%, $G$9) + CHOOSE(CONTROL!$C$38, 0.0369, 0)</f>
        <v>21.901799999999998</v>
      </c>
      <c r="D211" s="10">
        <f>21.857 * CHOOSE(CONTROL!$C$15, $E$9, 100%, $G$9) + CHOOSE(CONTROL!$C$38, 0.0369, 0)</f>
        <v>21.893899999999999</v>
      </c>
      <c r="E211" s="46">
        <f>23.7009 * CHOOSE(CONTROL!$C$15, $E$9, 100%, $G$9) + CHOOSE(CONTROL!$C$38, 0.0369, 0)</f>
        <v>23.7378</v>
      </c>
      <c r="F211" s="45">
        <f>23.7009 * CHOOSE(CONTROL!$C$15, $E$9, 100%, $G$9) + CHOOSE(CONTROL!$C$38, 0.0278, 0)</f>
        <v>23.7287</v>
      </c>
      <c r="G211" s="10">
        <f>21.8633 * CHOOSE(CONTROL!$C$15, $E$9, 100%, $G$9) + CHOOSE(CONTROL!$C$38, 0.0369, 0)</f>
        <v>21.900199999999998</v>
      </c>
      <c r="H211" s="10">
        <f>21.8633 * CHOOSE(CONTROL!$C$15, $E$9, 100%, $G$9) + CHOOSE(CONTROL!$C$38, 0.0369, 0)</f>
        <v>21.900199999999998</v>
      </c>
      <c r="I211" s="10">
        <f>21.8649 * CHOOSE(CONTROL!$C$15, $E$9, 100%, $G$9) + CHOOSE(CONTROL!$C$38, 0.0369, 0)</f>
        <v>21.901799999999998</v>
      </c>
      <c r="J211" s="44">
        <f>160.6484</f>
        <v>160.64840000000001</v>
      </c>
    </row>
    <row r="212" spans="1:10" ht="15" x14ac:dyDescent="0.2">
      <c r="A212" s="16">
        <v>47362</v>
      </c>
      <c r="B212" s="10">
        <f>24.134 * CHOOSE(CONTROL!$C$15, $E$9, 100%, $G$9) + CHOOSE(CONTROL!$C$38, 0.0278, 0)</f>
        <v>24.161799999999999</v>
      </c>
      <c r="C212" s="10">
        <f>22.1417 * CHOOSE(CONTROL!$C$15, $E$9, 100%, $G$9) + CHOOSE(CONTROL!$C$38, 0.0369, 0)</f>
        <v>22.178599999999999</v>
      </c>
      <c r="D212" s="10">
        <f>22.1338 * CHOOSE(CONTROL!$C$15, $E$9, 100%, $G$9) + CHOOSE(CONTROL!$C$38, 0.0369, 0)</f>
        <v>22.1707</v>
      </c>
      <c r="E212" s="46">
        <f>23.9777 * CHOOSE(CONTROL!$C$15, $E$9, 100%, $G$9) + CHOOSE(CONTROL!$C$38, 0.0369, 0)</f>
        <v>24.014599999999998</v>
      </c>
      <c r="F212" s="45">
        <f>23.9777 * CHOOSE(CONTROL!$C$15, $E$9, 100%, $G$9) + CHOOSE(CONTROL!$C$38, 0.0278, 0)</f>
        <v>24.005499999999998</v>
      </c>
      <c r="G212" s="10">
        <f>22.1401 * CHOOSE(CONTROL!$C$15, $E$9, 100%, $G$9) + CHOOSE(CONTROL!$C$38, 0.0369, 0)</f>
        <v>22.177</v>
      </c>
      <c r="H212" s="10">
        <f>22.1401 * CHOOSE(CONTROL!$C$15, $E$9, 100%, $G$9) + CHOOSE(CONTROL!$C$38, 0.0369, 0)</f>
        <v>22.177</v>
      </c>
      <c r="I212" s="10">
        <f>22.1417 * CHOOSE(CONTROL!$C$15, $E$9, 100%, $G$9) + CHOOSE(CONTROL!$C$38, 0.0369, 0)</f>
        <v>22.178599999999999</v>
      </c>
      <c r="J212" s="44">
        <f>155.3087</f>
        <v>155.30869999999999</v>
      </c>
    </row>
    <row r="213" spans="1:10" ht="15" x14ac:dyDescent="0.2">
      <c r="A213" s="16">
        <v>47392</v>
      </c>
      <c r="B213" s="10">
        <f>24.3658 * CHOOSE(CONTROL!$C$15, $E$9, 100%, $G$9) + CHOOSE(CONTROL!$C$38, 0.0256, 0)</f>
        <v>24.391400000000001</v>
      </c>
      <c r="C213" s="10">
        <f>22.3735 * CHOOSE(CONTROL!$C$15, $E$9, 100%, $G$9) + CHOOSE(CONTROL!$C$38, 0.0347, 0)</f>
        <v>22.408200000000001</v>
      </c>
      <c r="D213" s="10">
        <f>22.3657 * CHOOSE(CONTROL!$C$15, $E$9, 100%, $G$9) + CHOOSE(CONTROL!$C$38, 0.0347, 0)</f>
        <v>22.400400000000001</v>
      </c>
      <c r="E213" s="46">
        <f>24.2096 * CHOOSE(CONTROL!$C$15, $E$9, 100%, $G$9) + CHOOSE(CONTROL!$C$38, 0.0347, 0)</f>
        <v>24.244299999999999</v>
      </c>
      <c r="F213" s="45">
        <f>24.2096 * CHOOSE(CONTROL!$C$15, $E$9, 100%, $G$9) + CHOOSE(CONTROL!$C$38, 0.0256, 0)</f>
        <v>24.235199999999999</v>
      </c>
      <c r="G213" s="10">
        <f>22.3719 * CHOOSE(CONTROL!$C$15, $E$9, 100%, $G$9) + CHOOSE(CONTROL!$C$38, 0.0347, 0)</f>
        <v>22.406600000000001</v>
      </c>
      <c r="H213" s="10">
        <f>22.3719 * CHOOSE(CONTROL!$C$15, $E$9, 100%, $G$9) + CHOOSE(CONTROL!$C$38, 0.0347, 0)</f>
        <v>22.406600000000001</v>
      </c>
      <c r="I213" s="10">
        <f>22.3735 * CHOOSE(CONTROL!$C$15, $E$9, 100%, $G$9) + CHOOSE(CONTROL!$C$38, 0.0347, 0)</f>
        <v>22.408200000000001</v>
      </c>
      <c r="J213" s="44">
        <f>149.938</f>
        <v>149.93799999999999</v>
      </c>
    </row>
    <row r="214" spans="1:10" ht="15" x14ac:dyDescent="0.2">
      <c r="A214" s="16">
        <v>47423</v>
      </c>
      <c r="B214" s="10">
        <f>24.5592 * CHOOSE(CONTROL!$C$15, $E$9, 100%, $G$9) + CHOOSE(CONTROL!$C$38, 0.0256, 0)</f>
        <v>24.584800000000001</v>
      </c>
      <c r="C214" s="10">
        <f>22.5669 * CHOOSE(CONTROL!$C$15, $E$9, 100%, $G$9) + CHOOSE(CONTROL!$C$38, 0.0347, 0)</f>
        <v>22.601600000000001</v>
      </c>
      <c r="D214" s="10">
        <f>22.5591 * CHOOSE(CONTROL!$C$15, $E$9, 100%, $G$9) + CHOOSE(CONTROL!$C$38, 0.0347, 0)</f>
        <v>22.593800000000002</v>
      </c>
      <c r="E214" s="46">
        <f>24.403 * CHOOSE(CONTROL!$C$15, $E$9, 100%, $G$9) + CHOOSE(CONTROL!$C$38, 0.0347, 0)</f>
        <v>24.4377</v>
      </c>
      <c r="F214" s="45">
        <f>24.403 * CHOOSE(CONTROL!$C$15, $E$9, 100%, $G$9) + CHOOSE(CONTROL!$C$38, 0.0256, 0)</f>
        <v>24.428599999999999</v>
      </c>
      <c r="G214" s="10">
        <f>22.5654 * CHOOSE(CONTROL!$C$15, $E$9, 100%, $G$9) + CHOOSE(CONTROL!$C$38, 0.0347, 0)</f>
        <v>22.600100000000001</v>
      </c>
      <c r="H214" s="10">
        <f>22.5654 * CHOOSE(CONTROL!$C$15, $E$9, 100%, $G$9) + CHOOSE(CONTROL!$C$38, 0.0347, 0)</f>
        <v>22.600100000000001</v>
      </c>
      <c r="I214" s="10">
        <f>22.5669 * CHOOSE(CONTROL!$C$15, $E$9, 100%, $G$9) + CHOOSE(CONTROL!$C$38, 0.0347, 0)</f>
        <v>22.601600000000001</v>
      </c>
      <c r="J214" s="44">
        <f>148.8696</f>
        <v>148.86959999999999</v>
      </c>
    </row>
    <row r="215" spans="1:10" ht="15" x14ac:dyDescent="0.2">
      <c r="A215" s="16">
        <v>47453</v>
      </c>
      <c r="B215" s="10">
        <f>25.1553 * CHOOSE(CONTROL!$C$15, $E$9, 100%, $G$9) + CHOOSE(CONTROL!$C$38, 0.0256, 0)</f>
        <v>25.180900000000001</v>
      </c>
      <c r="C215" s="10">
        <f>23.163 * CHOOSE(CONTROL!$C$15, $E$9, 100%, $G$9) + CHOOSE(CONTROL!$C$38, 0.0347, 0)</f>
        <v>23.197700000000001</v>
      </c>
      <c r="D215" s="10">
        <f>23.1552 * CHOOSE(CONTROL!$C$15, $E$9, 100%, $G$9) + CHOOSE(CONTROL!$C$38, 0.0347, 0)</f>
        <v>23.189900000000002</v>
      </c>
      <c r="E215" s="46">
        <f>24.9991 * CHOOSE(CONTROL!$C$15, $E$9, 100%, $G$9) + CHOOSE(CONTROL!$C$38, 0.0347, 0)</f>
        <v>25.033799999999999</v>
      </c>
      <c r="F215" s="45">
        <f>24.9991 * CHOOSE(CONTROL!$C$15, $E$9, 100%, $G$9) + CHOOSE(CONTROL!$C$38, 0.0256, 0)</f>
        <v>25.024699999999999</v>
      </c>
      <c r="G215" s="10">
        <f>23.1614 * CHOOSE(CONTROL!$C$15, $E$9, 100%, $G$9) + CHOOSE(CONTROL!$C$38, 0.0347, 0)</f>
        <v>23.196100000000001</v>
      </c>
      <c r="H215" s="10">
        <f>23.1614 * CHOOSE(CONTROL!$C$15, $E$9, 100%, $G$9) + CHOOSE(CONTROL!$C$38, 0.0347, 0)</f>
        <v>23.196100000000001</v>
      </c>
      <c r="I215" s="10">
        <f>23.163 * CHOOSE(CONTROL!$C$15, $E$9, 100%, $G$9) + CHOOSE(CONTROL!$C$38, 0.0347, 0)</f>
        <v>23.197700000000001</v>
      </c>
      <c r="J215" s="44">
        <f>144.4519</f>
        <v>144.45189999999999</v>
      </c>
    </row>
    <row r="216" spans="1:10" ht="15" x14ac:dyDescent="0.2">
      <c r="A216" s="16">
        <v>47484</v>
      </c>
      <c r="B216" s="10">
        <f>26.0689 * CHOOSE(CONTROL!$C$15, $E$9, 100%, $G$9) + CHOOSE(CONTROL!$C$38, 0.0256, 0)</f>
        <v>26.0945</v>
      </c>
      <c r="C216" s="10">
        <f>24.0658 * CHOOSE(CONTROL!$C$15, $E$9, 100%, $G$9) + CHOOSE(CONTROL!$C$38, 0.0347, 0)</f>
        <v>24.1005</v>
      </c>
      <c r="D216" s="10">
        <f>24.058 * CHOOSE(CONTROL!$C$15, $E$9, 100%, $G$9) + CHOOSE(CONTROL!$C$38, 0.0347, 0)</f>
        <v>24.092700000000001</v>
      </c>
      <c r="E216" s="46">
        <f>25.9127 * CHOOSE(CONTROL!$C$15, $E$9, 100%, $G$9) + CHOOSE(CONTROL!$C$38, 0.0347, 0)</f>
        <v>25.947400000000002</v>
      </c>
      <c r="F216" s="45">
        <f>25.9127 * CHOOSE(CONTROL!$C$15, $E$9, 100%, $G$9) + CHOOSE(CONTROL!$C$38, 0.0256, 0)</f>
        <v>25.938300000000002</v>
      </c>
      <c r="G216" s="10">
        <f>24.0642 * CHOOSE(CONTROL!$C$15, $E$9, 100%, $G$9) + CHOOSE(CONTROL!$C$38, 0.0347, 0)</f>
        <v>24.0989</v>
      </c>
      <c r="H216" s="10">
        <f>24.0642 * CHOOSE(CONTROL!$C$15, $E$9, 100%, $G$9) + CHOOSE(CONTROL!$C$38, 0.0347, 0)</f>
        <v>24.0989</v>
      </c>
      <c r="I216" s="10">
        <f>24.0658 * CHOOSE(CONTROL!$C$15, $E$9, 100%, $G$9) + CHOOSE(CONTROL!$C$38, 0.0347, 0)</f>
        <v>24.1005</v>
      </c>
      <c r="J216" s="44">
        <f>143.8324</f>
        <v>143.83240000000001</v>
      </c>
    </row>
    <row r="217" spans="1:10" ht="15" x14ac:dyDescent="0.2">
      <c r="A217" s="16">
        <v>47515</v>
      </c>
      <c r="B217" s="10">
        <f>26.2897 * CHOOSE(CONTROL!$C$15, $E$9, 100%, $G$9) + CHOOSE(CONTROL!$C$38, 0.0256, 0)</f>
        <v>26.315300000000001</v>
      </c>
      <c r="C217" s="10">
        <f>24.2865 * CHOOSE(CONTROL!$C$15, $E$9, 100%, $G$9) + CHOOSE(CONTROL!$C$38, 0.0347, 0)</f>
        <v>24.321200000000001</v>
      </c>
      <c r="D217" s="10">
        <f>24.2787 * CHOOSE(CONTROL!$C$15, $E$9, 100%, $G$9) + CHOOSE(CONTROL!$C$38, 0.0347, 0)</f>
        <v>24.313400000000001</v>
      </c>
      <c r="E217" s="46">
        <f>26.1334 * CHOOSE(CONTROL!$C$15, $E$9, 100%, $G$9) + CHOOSE(CONTROL!$C$38, 0.0347, 0)</f>
        <v>26.168100000000003</v>
      </c>
      <c r="F217" s="45">
        <f>26.1334 * CHOOSE(CONTROL!$C$15, $E$9, 100%, $G$9) + CHOOSE(CONTROL!$C$38, 0.0256, 0)</f>
        <v>26.159000000000002</v>
      </c>
      <c r="G217" s="10">
        <f>24.285 * CHOOSE(CONTROL!$C$15, $E$9, 100%, $G$9) + CHOOSE(CONTROL!$C$38, 0.0347, 0)</f>
        <v>24.319700000000001</v>
      </c>
      <c r="H217" s="10">
        <f>24.285 * CHOOSE(CONTROL!$C$15, $E$9, 100%, $G$9) + CHOOSE(CONTROL!$C$38, 0.0347, 0)</f>
        <v>24.319700000000001</v>
      </c>
      <c r="I217" s="10">
        <f>24.2865 * CHOOSE(CONTROL!$C$15, $E$9, 100%, $G$9) + CHOOSE(CONTROL!$C$38, 0.0347, 0)</f>
        <v>24.321200000000001</v>
      </c>
      <c r="J217" s="44">
        <f>143.4326</f>
        <v>143.43260000000001</v>
      </c>
    </row>
    <row r="218" spans="1:10" ht="15" x14ac:dyDescent="0.2">
      <c r="A218" s="16">
        <v>47543</v>
      </c>
      <c r="B218" s="10">
        <f>25.7787 * CHOOSE(CONTROL!$C$15, $E$9, 100%, $G$9) + CHOOSE(CONTROL!$C$38, 0.0256, 0)</f>
        <v>25.804300000000001</v>
      </c>
      <c r="C218" s="10">
        <f>23.7755 * CHOOSE(CONTROL!$C$15, $E$9, 100%, $G$9) + CHOOSE(CONTROL!$C$38, 0.0347, 0)</f>
        <v>23.810200000000002</v>
      </c>
      <c r="D218" s="10">
        <f>23.7677 * CHOOSE(CONTROL!$C$15, $E$9, 100%, $G$9) + CHOOSE(CONTROL!$C$38, 0.0347, 0)</f>
        <v>23.802400000000002</v>
      </c>
      <c r="E218" s="46">
        <f>25.6224 * CHOOSE(CONTROL!$C$15, $E$9, 100%, $G$9) + CHOOSE(CONTROL!$C$38, 0.0347, 0)</f>
        <v>25.6571</v>
      </c>
      <c r="F218" s="45">
        <f>25.6224 * CHOOSE(CONTROL!$C$15, $E$9, 100%, $G$9) + CHOOSE(CONTROL!$C$38, 0.0256, 0)</f>
        <v>25.648</v>
      </c>
      <c r="G218" s="10">
        <f>23.7739 * CHOOSE(CONTROL!$C$15, $E$9, 100%, $G$9) + CHOOSE(CONTROL!$C$38, 0.0347, 0)</f>
        <v>23.808600000000002</v>
      </c>
      <c r="H218" s="10">
        <f>23.7739 * CHOOSE(CONTROL!$C$15, $E$9, 100%, $G$9) + CHOOSE(CONTROL!$C$38, 0.0347, 0)</f>
        <v>23.808600000000002</v>
      </c>
      <c r="I218" s="10">
        <f>23.7755 * CHOOSE(CONTROL!$C$15, $E$9, 100%, $G$9) + CHOOSE(CONTROL!$C$38, 0.0347, 0)</f>
        <v>23.810200000000002</v>
      </c>
      <c r="J218" s="44">
        <f>150.9923</f>
        <v>150.9923</v>
      </c>
    </row>
    <row r="219" spans="1:10" ht="15" x14ac:dyDescent="0.2">
      <c r="A219" s="16">
        <v>47574</v>
      </c>
      <c r="B219" s="10">
        <f>25.2835 * CHOOSE(CONTROL!$C$15, $E$9, 100%, $G$9) + CHOOSE(CONTROL!$C$38, 0.0256, 0)</f>
        <v>25.309100000000001</v>
      </c>
      <c r="C219" s="10">
        <f>23.2803 * CHOOSE(CONTROL!$C$15, $E$9, 100%, $G$9) + CHOOSE(CONTROL!$C$38, 0.0347, 0)</f>
        <v>23.315000000000001</v>
      </c>
      <c r="D219" s="10">
        <f>23.2725 * CHOOSE(CONTROL!$C$15, $E$9, 100%, $G$9) + CHOOSE(CONTROL!$C$38, 0.0347, 0)</f>
        <v>23.307200000000002</v>
      </c>
      <c r="E219" s="46">
        <f>25.1272 * CHOOSE(CONTROL!$C$15, $E$9, 100%, $G$9) + CHOOSE(CONTROL!$C$38, 0.0347, 0)</f>
        <v>25.161899999999999</v>
      </c>
      <c r="F219" s="45">
        <f>25.1272 * CHOOSE(CONTROL!$C$15, $E$9, 100%, $G$9) + CHOOSE(CONTROL!$C$38, 0.0256, 0)</f>
        <v>25.152799999999999</v>
      </c>
      <c r="G219" s="10">
        <f>23.2788 * CHOOSE(CONTROL!$C$15, $E$9, 100%, $G$9) + CHOOSE(CONTROL!$C$38, 0.0347, 0)</f>
        <v>23.313500000000001</v>
      </c>
      <c r="H219" s="10">
        <f>23.2788 * CHOOSE(CONTROL!$C$15, $E$9, 100%, $G$9) + CHOOSE(CONTROL!$C$38, 0.0347, 0)</f>
        <v>23.313500000000001</v>
      </c>
      <c r="I219" s="10">
        <f>23.2803 * CHOOSE(CONTROL!$C$15, $E$9, 100%, $G$9) + CHOOSE(CONTROL!$C$38, 0.0347, 0)</f>
        <v>23.315000000000001</v>
      </c>
      <c r="J219" s="44">
        <f>160.7955</f>
        <v>160.7955</v>
      </c>
    </row>
    <row r="220" spans="1:10" ht="15" x14ac:dyDescent="0.2">
      <c r="A220" s="16">
        <v>47604</v>
      </c>
      <c r="B220" s="10">
        <f>24.7674 * CHOOSE(CONTROL!$C$15, $E$9, 100%, $G$9) + CHOOSE(CONTROL!$C$38, 0.0278, 0)</f>
        <v>24.795199999999998</v>
      </c>
      <c r="C220" s="10">
        <f>22.7642 * CHOOSE(CONTROL!$C$15, $E$9, 100%, $G$9) + CHOOSE(CONTROL!$C$38, 0.0369, 0)</f>
        <v>22.801099999999998</v>
      </c>
      <c r="D220" s="10">
        <f>22.7564 * CHOOSE(CONTROL!$C$15, $E$9, 100%, $G$9) + CHOOSE(CONTROL!$C$38, 0.0369, 0)</f>
        <v>22.793299999999999</v>
      </c>
      <c r="E220" s="46">
        <f>24.6111 * CHOOSE(CONTROL!$C$15, $E$9, 100%, $G$9) + CHOOSE(CONTROL!$C$38, 0.0369, 0)</f>
        <v>24.648</v>
      </c>
      <c r="F220" s="45">
        <f>24.6111 * CHOOSE(CONTROL!$C$15, $E$9, 100%, $G$9) + CHOOSE(CONTROL!$C$38, 0.0278, 0)</f>
        <v>24.6389</v>
      </c>
      <c r="G220" s="10">
        <f>22.7626 * CHOOSE(CONTROL!$C$15, $E$9, 100%, $G$9) + CHOOSE(CONTROL!$C$38, 0.0369, 0)</f>
        <v>22.799499999999998</v>
      </c>
      <c r="H220" s="10">
        <f>22.7626 * CHOOSE(CONTROL!$C$15, $E$9, 100%, $G$9) + CHOOSE(CONTROL!$C$38, 0.0369, 0)</f>
        <v>22.799499999999998</v>
      </c>
      <c r="I220" s="10">
        <f>22.7642 * CHOOSE(CONTROL!$C$15, $E$9, 100%, $G$9) + CHOOSE(CONTROL!$C$38, 0.0369, 0)</f>
        <v>22.801099999999998</v>
      </c>
      <c r="J220" s="44">
        <f>166.1915</f>
        <v>166.19149999999999</v>
      </c>
    </row>
    <row r="221" spans="1:10" ht="15" x14ac:dyDescent="0.2">
      <c r="A221" s="16">
        <v>47635</v>
      </c>
      <c r="B221" s="10">
        <f>24.4055 * CHOOSE(CONTROL!$C$15, $E$9, 100%, $G$9) + CHOOSE(CONTROL!$C$38, 0.0278, 0)</f>
        <v>24.433299999999999</v>
      </c>
      <c r="C221" s="10">
        <f>22.4024 * CHOOSE(CONTROL!$C$15, $E$9, 100%, $G$9) + CHOOSE(CONTROL!$C$38, 0.0369, 0)</f>
        <v>22.439299999999999</v>
      </c>
      <c r="D221" s="10">
        <f>22.3946 * CHOOSE(CONTROL!$C$15, $E$9, 100%, $G$9) + CHOOSE(CONTROL!$C$38, 0.0369, 0)</f>
        <v>22.4315</v>
      </c>
      <c r="E221" s="46">
        <f>24.2493 * CHOOSE(CONTROL!$C$15, $E$9, 100%, $G$9) + CHOOSE(CONTROL!$C$38, 0.0369, 0)</f>
        <v>24.286200000000001</v>
      </c>
      <c r="F221" s="45">
        <f>24.2493 * CHOOSE(CONTROL!$C$15, $E$9, 100%, $G$9) + CHOOSE(CONTROL!$C$38, 0.0278, 0)</f>
        <v>24.277100000000001</v>
      </c>
      <c r="G221" s="10">
        <f>22.4008 * CHOOSE(CONTROL!$C$15, $E$9, 100%, $G$9) + CHOOSE(CONTROL!$C$38, 0.0369, 0)</f>
        <v>22.4377</v>
      </c>
      <c r="H221" s="10">
        <f>22.4008 * CHOOSE(CONTROL!$C$15, $E$9, 100%, $G$9) + CHOOSE(CONTROL!$C$38, 0.0369, 0)</f>
        <v>22.4377</v>
      </c>
      <c r="I221" s="10">
        <f>22.4024 * CHOOSE(CONTROL!$C$15, $E$9, 100%, $G$9) + CHOOSE(CONTROL!$C$38, 0.0369, 0)</f>
        <v>22.439299999999999</v>
      </c>
      <c r="J221" s="44">
        <f>168.5861</f>
        <v>168.58609999999999</v>
      </c>
    </row>
    <row r="222" spans="1:10" ht="15" x14ac:dyDescent="0.2">
      <c r="A222" s="16">
        <v>47665</v>
      </c>
      <c r="B222" s="10">
        <f>24.199 * CHOOSE(CONTROL!$C$15, $E$9, 100%, $G$9) + CHOOSE(CONTROL!$C$38, 0.0278, 0)</f>
        <v>24.226800000000001</v>
      </c>
      <c r="C222" s="10">
        <f>22.1959 * CHOOSE(CONTROL!$C$15, $E$9, 100%, $G$9) + CHOOSE(CONTROL!$C$38, 0.0369, 0)</f>
        <v>22.232800000000001</v>
      </c>
      <c r="D222" s="10">
        <f>22.1881 * CHOOSE(CONTROL!$C$15, $E$9, 100%, $G$9) + CHOOSE(CONTROL!$C$38, 0.0369, 0)</f>
        <v>22.224999999999998</v>
      </c>
      <c r="E222" s="46">
        <f>24.0428 * CHOOSE(CONTROL!$C$15, $E$9, 100%, $G$9) + CHOOSE(CONTROL!$C$38, 0.0369, 0)</f>
        <v>24.079699999999999</v>
      </c>
      <c r="F222" s="45">
        <f>24.0428 * CHOOSE(CONTROL!$C$15, $E$9, 100%, $G$9) + CHOOSE(CONTROL!$C$38, 0.0278, 0)</f>
        <v>24.070599999999999</v>
      </c>
      <c r="G222" s="10">
        <f>22.1943 * CHOOSE(CONTROL!$C$15, $E$9, 100%, $G$9) + CHOOSE(CONTROL!$C$38, 0.0369, 0)</f>
        <v>22.231199999999998</v>
      </c>
      <c r="H222" s="10">
        <f>22.1943 * CHOOSE(CONTROL!$C$15, $E$9, 100%, $G$9) + CHOOSE(CONTROL!$C$38, 0.0369, 0)</f>
        <v>22.231199999999998</v>
      </c>
      <c r="I222" s="10">
        <f>22.1959 * CHOOSE(CONTROL!$C$15, $E$9, 100%, $G$9) + CHOOSE(CONTROL!$C$38, 0.0369, 0)</f>
        <v>22.232800000000001</v>
      </c>
      <c r="J222" s="44">
        <f>167.7977</f>
        <v>167.79769999999999</v>
      </c>
    </row>
    <row r="223" spans="1:10" ht="15" x14ac:dyDescent="0.2">
      <c r="A223" s="16">
        <v>47696</v>
      </c>
      <c r="B223" s="10">
        <f>24.3009 * CHOOSE(CONTROL!$C$15, $E$9, 100%, $G$9) + CHOOSE(CONTROL!$C$38, 0.0278, 0)</f>
        <v>24.328699999999998</v>
      </c>
      <c r="C223" s="10">
        <f>22.2978 * CHOOSE(CONTROL!$C$15, $E$9, 100%, $G$9) + CHOOSE(CONTROL!$C$38, 0.0369, 0)</f>
        <v>22.334699999999998</v>
      </c>
      <c r="D223" s="10">
        <f>22.29 * CHOOSE(CONTROL!$C$15, $E$9, 100%, $G$9) + CHOOSE(CONTROL!$C$38, 0.0369, 0)</f>
        <v>22.326899999999998</v>
      </c>
      <c r="E223" s="46">
        <f>24.1447 * CHOOSE(CONTROL!$C$15, $E$9, 100%, $G$9) + CHOOSE(CONTROL!$C$38, 0.0369, 0)</f>
        <v>24.1816</v>
      </c>
      <c r="F223" s="45">
        <f>24.1447 * CHOOSE(CONTROL!$C$15, $E$9, 100%, $G$9) + CHOOSE(CONTROL!$C$38, 0.0278, 0)</f>
        <v>24.172499999999999</v>
      </c>
      <c r="G223" s="10">
        <f>22.2962 * CHOOSE(CONTROL!$C$15, $E$9, 100%, $G$9) + CHOOSE(CONTROL!$C$38, 0.0369, 0)</f>
        <v>22.333099999999998</v>
      </c>
      <c r="H223" s="10">
        <f>22.2962 * CHOOSE(CONTROL!$C$15, $E$9, 100%, $G$9) + CHOOSE(CONTROL!$C$38, 0.0369, 0)</f>
        <v>22.333099999999998</v>
      </c>
      <c r="I223" s="10">
        <f>22.2978 * CHOOSE(CONTROL!$C$15, $E$9, 100%, $G$9) + CHOOSE(CONTROL!$C$38, 0.0369, 0)</f>
        <v>22.334699999999998</v>
      </c>
      <c r="J223" s="44">
        <f>163.8914</f>
        <v>163.8914</v>
      </c>
    </row>
    <row r="224" spans="1:10" ht="15" x14ac:dyDescent="0.2">
      <c r="A224" s="16">
        <v>47727</v>
      </c>
      <c r="B224" s="10">
        <f>24.5777 * CHOOSE(CONTROL!$C$15, $E$9, 100%, $G$9) + CHOOSE(CONTROL!$C$38, 0.0278, 0)</f>
        <v>24.605499999999999</v>
      </c>
      <c r="C224" s="10">
        <f>22.5746 * CHOOSE(CONTROL!$C$15, $E$9, 100%, $G$9) + CHOOSE(CONTROL!$C$38, 0.0369, 0)</f>
        <v>22.611499999999999</v>
      </c>
      <c r="D224" s="10">
        <f>22.5668 * CHOOSE(CONTROL!$C$15, $E$9, 100%, $G$9) + CHOOSE(CONTROL!$C$38, 0.0369, 0)</f>
        <v>22.6037</v>
      </c>
      <c r="E224" s="46">
        <f>24.4215 * CHOOSE(CONTROL!$C$15, $E$9, 100%, $G$9) + CHOOSE(CONTROL!$C$38, 0.0369, 0)</f>
        <v>24.458400000000001</v>
      </c>
      <c r="F224" s="45">
        <f>24.4215 * CHOOSE(CONTROL!$C$15, $E$9, 100%, $G$9) + CHOOSE(CONTROL!$C$38, 0.0278, 0)</f>
        <v>24.449300000000001</v>
      </c>
      <c r="G224" s="10">
        <f>22.573 * CHOOSE(CONTROL!$C$15, $E$9, 100%, $G$9) + CHOOSE(CONTROL!$C$38, 0.0369, 0)</f>
        <v>22.6099</v>
      </c>
      <c r="H224" s="10">
        <f>22.573 * CHOOSE(CONTROL!$C$15, $E$9, 100%, $G$9) + CHOOSE(CONTROL!$C$38, 0.0369, 0)</f>
        <v>22.6099</v>
      </c>
      <c r="I224" s="10">
        <f>22.5746 * CHOOSE(CONTROL!$C$15, $E$9, 100%, $G$9) + CHOOSE(CONTROL!$C$38, 0.0369, 0)</f>
        <v>22.611499999999999</v>
      </c>
      <c r="J224" s="44">
        <f>158.444</f>
        <v>158.44399999999999</v>
      </c>
    </row>
    <row r="225" spans="1:10" ht="15" x14ac:dyDescent="0.2">
      <c r="A225" s="16">
        <v>47757</v>
      </c>
      <c r="B225" s="10">
        <f>24.8096 * CHOOSE(CONTROL!$C$15, $E$9, 100%, $G$9) + CHOOSE(CONTROL!$C$38, 0.0256, 0)</f>
        <v>24.8352</v>
      </c>
      <c r="C225" s="10">
        <f>22.8064 * CHOOSE(CONTROL!$C$15, $E$9, 100%, $G$9) + CHOOSE(CONTROL!$C$38, 0.0347, 0)</f>
        <v>22.841100000000001</v>
      </c>
      <c r="D225" s="10">
        <f>22.7986 * CHOOSE(CONTROL!$C$15, $E$9, 100%, $G$9) + CHOOSE(CONTROL!$C$38, 0.0347, 0)</f>
        <v>22.833300000000001</v>
      </c>
      <c r="E225" s="46">
        <f>24.6533 * CHOOSE(CONTROL!$C$15, $E$9, 100%, $G$9) + CHOOSE(CONTROL!$C$38, 0.0347, 0)</f>
        <v>24.688000000000002</v>
      </c>
      <c r="F225" s="45">
        <f>24.6533 * CHOOSE(CONTROL!$C$15, $E$9, 100%, $G$9) + CHOOSE(CONTROL!$C$38, 0.0256, 0)</f>
        <v>24.678900000000002</v>
      </c>
      <c r="G225" s="10">
        <f>22.8048 * CHOOSE(CONTROL!$C$15, $E$9, 100%, $G$9) + CHOOSE(CONTROL!$C$38, 0.0347, 0)</f>
        <v>22.839500000000001</v>
      </c>
      <c r="H225" s="10">
        <f>22.8048 * CHOOSE(CONTROL!$C$15, $E$9, 100%, $G$9) + CHOOSE(CONTROL!$C$38, 0.0347, 0)</f>
        <v>22.839500000000001</v>
      </c>
      <c r="I225" s="10">
        <f>22.8064 * CHOOSE(CONTROL!$C$15, $E$9, 100%, $G$9) + CHOOSE(CONTROL!$C$38, 0.0347, 0)</f>
        <v>22.841100000000001</v>
      </c>
      <c r="J225" s="44">
        <f>152.9648</f>
        <v>152.9648</v>
      </c>
    </row>
    <row r="226" spans="1:10" ht="15" x14ac:dyDescent="0.2">
      <c r="A226" s="16">
        <v>47788</v>
      </c>
      <c r="B226" s="10">
        <f>25.003 * CHOOSE(CONTROL!$C$15, $E$9, 100%, $G$9) + CHOOSE(CONTROL!$C$38, 0.0256, 0)</f>
        <v>25.028600000000001</v>
      </c>
      <c r="C226" s="10">
        <f>22.9999 * CHOOSE(CONTROL!$C$15, $E$9, 100%, $G$9) + CHOOSE(CONTROL!$C$38, 0.0347, 0)</f>
        <v>23.034600000000001</v>
      </c>
      <c r="D226" s="10">
        <f>22.992 * CHOOSE(CONTROL!$C$15, $E$9, 100%, $G$9) + CHOOSE(CONTROL!$C$38, 0.0347, 0)</f>
        <v>23.026700000000002</v>
      </c>
      <c r="E226" s="46">
        <f>24.8468 * CHOOSE(CONTROL!$C$15, $E$9, 100%, $G$9) + CHOOSE(CONTROL!$C$38, 0.0347, 0)</f>
        <v>24.881500000000003</v>
      </c>
      <c r="F226" s="45">
        <f>24.8468 * CHOOSE(CONTROL!$C$15, $E$9, 100%, $G$9) + CHOOSE(CONTROL!$C$38, 0.0256, 0)</f>
        <v>24.872400000000003</v>
      </c>
      <c r="G226" s="10">
        <f>22.9983 * CHOOSE(CONTROL!$C$15, $E$9, 100%, $G$9) + CHOOSE(CONTROL!$C$38, 0.0347, 0)</f>
        <v>23.033000000000001</v>
      </c>
      <c r="H226" s="10">
        <f>22.9983 * CHOOSE(CONTROL!$C$15, $E$9, 100%, $G$9) + CHOOSE(CONTROL!$C$38, 0.0347, 0)</f>
        <v>23.033000000000001</v>
      </c>
      <c r="I226" s="10">
        <f>22.9999 * CHOOSE(CONTROL!$C$15, $E$9, 100%, $G$9) + CHOOSE(CONTROL!$C$38, 0.0347, 0)</f>
        <v>23.034600000000001</v>
      </c>
      <c r="J226" s="44">
        <f>151.8749</f>
        <v>151.8749</v>
      </c>
    </row>
    <row r="227" spans="1:10" ht="15" x14ac:dyDescent="0.2">
      <c r="A227" s="16">
        <v>47818</v>
      </c>
      <c r="B227" s="10">
        <f>25.5991 * CHOOSE(CONTROL!$C$15, $E$9, 100%, $G$9) + CHOOSE(CONTROL!$C$38, 0.0256, 0)</f>
        <v>25.624700000000001</v>
      </c>
      <c r="C227" s="10">
        <f>23.5959 * CHOOSE(CONTROL!$C$15, $E$9, 100%, $G$9) + CHOOSE(CONTROL!$C$38, 0.0347, 0)</f>
        <v>23.630600000000001</v>
      </c>
      <c r="D227" s="10">
        <f>23.5881 * CHOOSE(CONTROL!$C$15, $E$9, 100%, $G$9) + CHOOSE(CONTROL!$C$38, 0.0347, 0)</f>
        <v>23.622800000000002</v>
      </c>
      <c r="E227" s="46">
        <f>25.4428 * CHOOSE(CONTROL!$C$15, $E$9, 100%, $G$9) + CHOOSE(CONTROL!$C$38, 0.0347, 0)</f>
        <v>25.477499999999999</v>
      </c>
      <c r="F227" s="45">
        <f>25.4428 * CHOOSE(CONTROL!$C$15, $E$9, 100%, $G$9) + CHOOSE(CONTROL!$C$38, 0.0256, 0)</f>
        <v>25.468399999999999</v>
      </c>
      <c r="G227" s="10">
        <f>23.5944 * CHOOSE(CONTROL!$C$15, $E$9, 100%, $G$9) + CHOOSE(CONTROL!$C$38, 0.0347, 0)</f>
        <v>23.629100000000001</v>
      </c>
      <c r="H227" s="10">
        <f>23.5944 * CHOOSE(CONTROL!$C$15, $E$9, 100%, $G$9) + CHOOSE(CONTROL!$C$38, 0.0347, 0)</f>
        <v>23.629100000000001</v>
      </c>
      <c r="I227" s="10">
        <f>23.5959 * CHOOSE(CONTROL!$C$15, $E$9, 100%, $G$9) + CHOOSE(CONTROL!$C$38, 0.0347, 0)</f>
        <v>23.630600000000001</v>
      </c>
      <c r="J227" s="44">
        <f>147.368</f>
        <v>147.36799999999999</v>
      </c>
    </row>
    <row r="228" spans="1:10" ht="15" x14ac:dyDescent="0.2">
      <c r="A228" s="16">
        <v>47849</v>
      </c>
      <c r="B228" s="10">
        <f>26.4702 * CHOOSE(CONTROL!$C$15, $E$9, 100%, $G$9) + CHOOSE(CONTROL!$C$38, 0.0256, 0)</f>
        <v>26.495799999999999</v>
      </c>
      <c r="C228" s="10">
        <f>24.4367 * CHOOSE(CONTROL!$C$15, $E$9, 100%, $G$9) + CHOOSE(CONTROL!$C$38, 0.0347, 0)</f>
        <v>24.471399999999999</v>
      </c>
      <c r="D228" s="10">
        <f>24.4289 * CHOOSE(CONTROL!$C$15, $E$9, 100%, $G$9) + CHOOSE(CONTROL!$C$38, 0.0347, 0)</f>
        <v>24.4636</v>
      </c>
      <c r="E228" s="46">
        <f>26.3139 * CHOOSE(CONTROL!$C$15, $E$9, 100%, $G$9) + CHOOSE(CONTROL!$C$38, 0.0347, 0)</f>
        <v>26.348600000000001</v>
      </c>
      <c r="F228" s="45">
        <f>26.3139 * CHOOSE(CONTROL!$C$15, $E$9, 100%, $G$9) + CHOOSE(CONTROL!$C$38, 0.0256, 0)</f>
        <v>26.339500000000001</v>
      </c>
      <c r="G228" s="10">
        <f>24.4352 * CHOOSE(CONTROL!$C$15, $E$9, 100%, $G$9) + CHOOSE(CONTROL!$C$38, 0.0347, 0)</f>
        <v>24.469899999999999</v>
      </c>
      <c r="H228" s="10">
        <f>24.4352 * CHOOSE(CONTROL!$C$15, $E$9, 100%, $G$9) + CHOOSE(CONTROL!$C$38, 0.0347, 0)</f>
        <v>24.469899999999999</v>
      </c>
      <c r="I228" s="10">
        <f>24.4367 * CHOOSE(CONTROL!$C$15, $E$9, 100%, $G$9) + CHOOSE(CONTROL!$C$38, 0.0347, 0)</f>
        <v>24.471399999999999</v>
      </c>
      <c r="J228" s="44">
        <f>147.0865</f>
        <v>147.0865</v>
      </c>
    </row>
    <row r="229" spans="1:10" ht="15" x14ac:dyDescent="0.2">
      <c r="A229" s="16">
        <v>47880</v>
      </c>
      <c r="B229" s="10">
        <f>26.6909 * CHOOSE(CONTROL!$C$15, $E$9, 100%, $G$9) + CHOOSE(CONTROL!$C$38, 0.0256, 0)</f>
        <v>26.7165</v>
      </c>
      <c r="C229" s="10">
        <f>24.6575 * CHOOSE(CONTROL!$C$15, $E$9, 100%, $G$9) + CHOOSE(CONTROL!$C$38, 0.0347, 0)</f>
        <v>24.6922</v>
      </c>
      <c r="D229" s="10">
        <f>24.6497 * CHOOSE(CONTROL!$C$15, $E$9, 100%, $G$9) + CHOOSE(CONTROL!$C$38, 0.0347, 0)</f>
        <v>24.6844</v>
      </c>
      <c r="E229" s="46">
        <f>26.5347 * CHOOSE(CONTROL!$C$15, $E$9, 100%, $G$9) + CHOOSE(CONTROL!$C$38, 0.0347, 0)</f>
        <v>26.569400000000002</v>
      </c>
      <c r="F229" s="45">
        <f>26.5347 * CHOOSE(CONTROL!$C$15, $E$9, 100%, $G$9) + CHOOSE(CONTROL!$C$38, 0.0256, 0)</f>
        <v>26.560300000000002</v>
      </c>
      <c r="G229" s="10">
        <f>24.6559 * CHOOSE(CONTROL!$C$15, $E$9, 100%, $G$9) + CHOOSE(CONTROL!$C$38, 0.0347, 0)</f>
        <v>24.6906</v>
      </c>
      <c r="H229" s="10">
        <f>24.6559 * CHOOSE(CONTROL!$C$15, $E$9, 100%, $G$9) + CHOOSE(CONTROL!$C$38, 0.0347, 0)</f>
        <v>24.6906</v>
      </c>
      <c r="I229" s="10">
        <f>24.6575 * CHOOSE(CONTROL!$C$15, $E$9, 100%, $G$9) + CHOOSE(CONTROL!$C$38, 0.0347, 0)</f>
        <v>24.6922</v>
      </c>
      <c r="J229" s="44">
        <f>146.6777</f>
        <v>146.67769999999999</v>
      </c>
    </row>
    <row r="230" spans="1:10" ht="15" x14ac:dyDescent="0.2">
      <c r="A230" s="16">
        <v>47908</v>
      </c>
      <c r="B230" s="10">
        <f>26.1799 * CHOOSE(CONTROL!$C$15, $E$9, 100%, $G$9) + CHOOSE(CONTROL!$C$38, 0.0256, 0)</f>
        <v>26.205500000000001</v>
      </c>
      <c r="C230" s="10">
        <f>24.1465 * CHOOSE(CONTROL!$C$15, $E$9, 100%, $G$9) + CHOOSE(CONTROL!$C$38, 0.0347, 0)</f>
        <v>24.1812</v>
      </c>
      <c r="D230" s="10">
        <f>24.1386 * CHOOSE(CONTROL!$C$15, $E$9, 100%, $G$9) + CHOOSE(CONTROL!$C$38, 0.0347, 0)</f>
        <v>24.173300000000001</v>
      </c>
      <c r="E230" s="46">
        <f>26.0236 * CHOOSE(CONTROL!$C$15, $E$9, 100%, $G$9) + CHOOSE(CONTROL!$C$38, 0.0347, 0)</f>
        <v>26.058299999999999</v>
      </c>
      <c r="F230" s="45">
        <f>26.0236 * CHOOSE(CONTROL!$C$15, $E$9, 100%, $G$9) + CHOOSE(CONTROL!$C$38, 0.0256, 0)</f>
        <v>26.049199999999999</v>
      </c>
      <c r="G230" s="10">
        <f>24.1449 * CHOOSE(CONTROL!$C$15, $E$9, 100%, $G$9) + CHOOSE(CONTROL!$C$38, 0.0347, 0)</f>
        <v>24.179600000000001</v>
      </c>
      <c r="H230" s="10">
        <f>24.1449 * CHOOSE(CONTROL!$C$15, $E$9, 100%, $G$9) + CHOOSE(CONTROL!$C$38, 0.0347, 0)</f>
        <v>24.179600000000001</v>
      </c>
      <c r="I230" s="10">
        <f>24.1465 * CHOOSE(CONTROL!$C$15, $E$9, 100%, $G$9) + CHOOSE(CONTROL!$C$38, 0.0347, 0)</f>
        <v>24.1812</v>
      </c>
      <c r="J230" s="44">
        <f>154.4085</f>
        <v>154.4085</v>
      </c>
    </row>
    <row r="231" spans="1:10" ht="15" x14ac:dyDescent="0.2">
      <c r="A231" s="16">
        <v>47939</v>
      </c>
      <c r="B231" s="10">
        <f>25.6847 * CHOOSE(CONTROL!$C$15, $E$9, 100%, $G$9) + CHOOSE(CONTROL!$C$38, 0.0256, 0)</f>
        <v>25.7103</v>
      </c>
      <c r="C231" s="10">
        <f>23.6513 * CHOOSE(CONTROL!$C$15, $E$9, 100%, $G$9) + CHOOSE(CONTROL!$C$38, 0.0347, 0)</f>
        <v>23.686</v>
      </c>
      <c r="D231" s="10">
        <f>23.6435 * CHOOSE(CONTROL!$C$15, $E$9, 100%, $G$9) + CHOOSE(CONTROL!$C$38, 0.0347, 0)</f>
        <v>23.6782</v>
      </c>
      <c r="E231" s="46">
        <f>25.5285 * CHOOSE(CONTROL!$C$15, $E$9, 100%, $G$9) + CHOOSE(CONTROL!$C$38, 0.0347, 0)</f>
        <v>25.563200000000002</v>
      </c>
      <c r="F231" s="45">
        <f>25.5285 * CHOOSE(CONTROL!$C$15, $E$9, 100%, $G$9) + CHOOSE(CONTROL!$C$38, 0.0256, 0)</f>
        <v>25.554100000000002</v>
      </c>
      <c r="G231" s="10">
        <f>23.6497 * CHOOSE(CONTROL!$C$15, $E$9, 100%, $G$9) + CHOOSE(CONTROL!$C$38, 0.0347, 0)</f>
        <v>23.6844</v>
      </c>
      <c r="H231" s="10">
        <f>23.6497 * CHOOSE(CONTROL!$C$15, $E$9, 100%, $G$9) + CHOOSE(CONTROL!$C$38, 0.0347, 0)</f>
        <v>23.6844</v>
      </c>
      <c r="I231" s="10">
        <f>23.6513 * CHOOSE(CONTROL!$C$15, $E$9, 100%, $G$9) + CHOOSE(CONTROL!$C$38, 0.0347, 0)</f>
        <v>23.686</v>
      </c>
      <c r="J231" s="44">
        <f>164.4334</f>
        <v>164.43340000000001</v>
      </c>
    </row>
    <row r="232" spans="1:10" ht="15" x14ac:dyDescent="0.2">
      <c r="A232" s="16">
        <v>47969</v>
      </c>
      <c r="B232" s="10">
        <f>25.1686 * CHOOSE(CONTROL!$C$15, $E$9, 100%, $G$9) + CHOOSE(CONTROL!$C$38, 0.0278, 0)</f>
        <v>25.196400000000001</v>
      </c>
      <c r="C232" s="10">
        <f>23.1352 * CHOOSE(CONTROL!$C$15, $E$9, 100%, $G$9) + CHOOSE(CONTROL!$C$38, 0.0369, 0)</f>
        <v>23.1721</v>
      </c>
      <c r="D232" s="10">
        <f>23.1274 * CHOOSE(CONTROL!$C$15, $E$9, 100%, $G$9) + CHOOSE(CONTROL!$C$38, 0.0369, 0)</f>
        <v>23.164300000000001</v>
      </c>
      <c r="E232" s="46">
        <f>25.0123 * CHOOSE(CONTROL!$C$15, $E$9, 100%, $G$9) + CHOOSE(CONTROL!$C$38, 0.0369, 0)</f>
        <v>25.049199999999999</v>
      </c>
      <c r="F232" s="45">
        <f>25.0123 * CHOOSE(CONTROL!$C$15, $E$9, 100%, $G$9) + CHOOSE(CONTROL!$C$38, 0.0278, 0)</f>
        <v>25.040099999999999</v>
      </c>
      <c r="G232" s="10">
        <f>23.1336 * CHOOSE(CONTROL!$C$15, $E$9, 100%, $G$9) + CHOOSE(CONTROL!$C$38, 0.0369, 0)</f>
        <v>23.170500000000001</v>
      </c>
      <c r="H232" s="10">
        <f>23.1336 * CHOOSE(CONTROL!$C$15, $E$9, 100%, $G$9) + CHOOSE(CONTROL!$C$38, 0.0369, 0)</f>
        <v>23.170500000000001</v>
      </c>
      <c r="I232" s="10">
        <f>23.1352 * CHOOSE(CONTROL!$C$15, $E$9, 100%, $G$9) + CHOOSE(CONTROL!$C$38, 0.0369, 0)</f>
        <v>23.1721</v>
      </c>
      <c r="J232" s="44">
        <f>169.9515</f>
        <v>169.95150000000001</v>
      </c>
    </row>
    <row r="233" spans="1:10" ht="15" x14ac:dyDescent="0.2">
      <c r="A233" s="16">
        <v>48000</v>
      </c>
      <c r="B233" s="10">
        <f>24.8068 * CHOOSE(CONTROL!$C$15, $E$9, 100%, $G$9) + CHOOSE(CONTROL!$C$38, 0.0278, 0)</f>
        <v>24.834599999999998</v>
      </c>
      <c r="C233" s="10">
        <f>22.7733 * CHOOSE(CONTROL!$C$15, $E$9, 100%, $G$9) + CHOOSE(CONTROL!$C$38, 0.0369, 0)</f>
        <v>22.810199999999998</v>
      </c>
      <c r="D233" s="10">
        <f>22.7655 * CHOOSE(CONTROL!$C$15, $E$9, 100%, $G$9) + CHOOSE(CONTROL!$C$38, 0.0369, 0)</f>
        <v>22.802399999999999</v>
      </c>
      <c r="E233" s="46">
        <f>24.6505 * CHOOSE(CONTROL!$C$15, $E$9, 100%, $G$9) + CHOOSE(CONTROL!$C$38, 0.0369, 0)</f>
        <v>24.6874</v>
      </c>
      <c r="F233" s="45">
        <f>24.6505 * CHOOSE(CONTROL!$C$15, $E$9, 100%, $G$9) + CHOOSE(CONTROL!$C$38, 0.0278, 0)</f>
        <v>24.6783</v>
      </c>
      <c r="G233" s="10">
        <f>22.7718 * CHOOSE(CONTROL!$C$15, $E$9, 100%, $G$9) + CHOOSE(CONTROL!$C$38, 0.0369, 0)</f>
        <v>22.808699999999998</v>
      </c>
      <c r="H233" s="10">
        <f>22.7718 * CHOOSE(CONTROL!$C$15, $E$9, 100%, $G$9) + CHOOSE(CONTROL!$C$38, 0.0369, 0)</f>
        <v>22.808699999999998</v>
      </c>
      <c r="I233" s="10">
        <f>22.7733 * CHOOSE(CONTROL!$C$15, $E$9, 100%, $G$9) + CHOOSE(CONTROL!$C$38, 0.0369, 0)</f>
        <v>22.810199999999998</v>
      </c>
      <c r="J233" s="44">
        <f>172.4003</f>
        <v>172.40029999999999</v>
      </c>
    </row>
    <row r="234" spans="1:10" ht="15" x14ac:dyDescent="0.2">
      <c r="A234" s="16">
        <v>48030</v>
      </c>
      <c r="B234" s="10">
        <f>24.6003 * CHOOSE(CONTROL!$C$15, $E$9, 100%, $G$9) + CHOOSE(CONTROL!$C$38, 0.0278, 0)</f>
        <v>24.6281</v>
      </c>
      <c r="C234" s="10">
        <f>22.5668 * CHOOSE(CONTROL!$C$15, $E$9, 100%, $G$9) + CHOOSE(CONTROL!$C$38, 0.0369, 0)</f>
        <v>22.6037</v>
      </c>
      <c r="D234" s="10">
        <f>22.559 * CHOOSE(CONTROL!$C$15, $E$9, 100%, $G$9) + CHOOSE(CONTROL!$C$38, 0.0369, 0)</f>
        <v>22.5959</v>
      </c>
      <c r="E234" s="46">
        <f>24.444 * CHOOSE(CONTROL!$C$15, $E$9, 100%, $G$9) + CHOOSE(CONTROL!$C$38, 0.0369, 0)</f>
        <v>24.480899999999998</v>
      </c>
      <c r="F234" s="45">
        <f>24.444 * CHOOSE(CONTROL!$C$15, $E$9, 100%, $G$9) + CHOOSE(CONTROL!$C$38, 0.0278, 0)</f>
        <v>24.471799999999998</v>
      </c>
      <c r="G234" s="10">
        <f>22.5653 * CHOOSE(CONTROL!$C$15, $E$9, 100%, $G$9) + CHOOSE(CONTROL!$C$38, 0.0369, 0)</f>
        <v>22.6022</v>
      </c>
      <c r="H234" s="10">
        <f>22.5653 * CHOOSE(CONTROL!$C$15, $E$9, 100%, $G$9) + CHOOSE(CONTROL!$C$38, 0.0369, 0)</f>
        <v>22.6022</v>
      </c>
      <c r="I234" s="10">
        <f>22.5668 * CHOOSE(CONTROL!$C$15, $E$9, 100%, $G$9) + CHOOSE(CONTROL!$C$38, 0.0369, 0)</f>
        <v>22.6037</v>
      </c>
      <c r="J234" s="44">
        <f>171.594</f>
        <v>171.59399999999999</v>
      </c>
    </row>
    <row r="235" spans="1:10" ht="15" x14ac:dyDescent="0.2">
      <c r="A235" s="16">
        <v>48061</v>
      </c>
      <c r="B235" s="10">
        <f>24.7022 * CHOOSE(CONTROL!$C$15, $E$9, 100%, $G$9) + CHOOSE(CONTROL!$C$38, 0.0278, 0)</f>
        <v>24.73</v>
      </c>
      <c r="C235" s="10">
        <f>22.6688 * CHOOSE(CONTROL!$C$15, $E$9, 100%, $G$9) + CHOOSE(CONTROL!$C$38, 0.0369, 0)</f>
        <v>22.7057</v>
      </c>
      <c r="D235" s="10">
        <f>22.6609 * CHOOSE(CONTROL!$C$15, $E$9, 100%, $G$9) + CHOOSE(CONTROL!$C$38, 0.0369, 0)</f>
        <v>22.697800000000001</v>
      </c>
      <c r="E235" s="46">
        <f>24.5459 * CHOOSE(CONTROL!$C$15, $E$9, 100%, $G$9) + CHOOSE(CONTROL!$C$38, 0.0369, 0)</f>
        <v>24.582799999999999</v>
      </c>
      <c r="F235" s="45">
        <f>24.5459 * CHOOSE(CONTROL!$C$15, $E$9, 100%, $G$9) + CHOOSE(CONTROL!$C$38, 0.0278, 0)</f>
        <v>24.573699999999999</v>
      </c>
      <c r="G235" s="10">
        <f>22.6672 * CHOOSE(CONTROL!$C$15, $E$9, 100%, $G$9) + CHOOSE(CONTROL!$C$38, 0.0369, 0)</f>
        <v>22.7041</v>
      </c>
      <c r="H235" s="10">
        <f>22.6672 * CHOOSE(CONTROL!$C$15, $E$9, 100%, $G$9) + CHOOSE(CONTROL!$C$38, 0.0369, 0)</f>
        <v>22.7041</v>
      </c>
      <c r="I235" s="10">
        <f>22.6688 * CHOOSE(CONTROL!$C$15, $E$9, 100%, $G$9) + CHOOSE(CONTROL!$C$38, 0.0369, 0)</f>
        <v>22.7057</v>
      </c>
      <c r="J235" s="44">
        <f>167.5994</f>
        <v>167.5994</v>
      </c>
    </row>
    <row r="236" spans="1:10" ht="15" x14ac:dyDescent="0.2">
      <c r="A236" s="16">
        <v>48092</v>
      </c>
      <c r="B236" s="10">
        <f>24.979 * CHOOSE(CONTROL!$C$15, $E$9, 100%, $G$9) + CHOOSE(CONTROL!$C$38, 0.0278, 0)</f>
        <v>25.006799999999998</v>
      </c>
      <c r="C236" s="10">
        <f>22.9455 * CHOOSE(CONTROL!$C$15, $E$9, 100%, $G$9) + CHOOSE(CONTROL!$C$38, 0.0369, 0)</f>
        <v>22.982399999999998</v>
      </c>
      <c r="D236" s="10">
        <f>22.9377 * CHOOSE(CONTROL!$C$15, $E$9, 100%, $G$9) + CHOOSE(CONTROL!$C$38, 0.0369, 0)</f>
        <v>22.974599999999999</v>
      </c>
      <c r="E236" s="46">
        <f>24.8227 * CHOOSE(CONTROL!$C$15, $E$9, 100%, $G$9) + CHOOSE(CONTROL!$C$38, 0.0369, 0)</f>
        <v>24.8596</v>
      </c>
      <c r="F236" s="45">
        <f>24.8227 * CHOOSE(CONTROL!$C$15, $E$9, 100%, $G$9) + CHOOSE(CONTROL!$C$38, 0.0278, 0)</f>
        <v>24.8505</v>
      </c>
      <c r="G236" s="10">
        <f>22.944 * CHOOSE(CONTROL!$C$15, $E$9, 100%, $G$9) + CHOOSE(CONTROL!$C$38, 0.0369, 0)</f>
        <v>22.980899999999998</v>
      </c>
      <c r="H236" s="10">
        <f>22.944 * CHOOSE(CONTROL!$C$15, $E$9, 100%, $G$9) + CHOOSE(CONTROL!$C$38, 0.0369, 0)</f>
        <v>22.980899999999998</v>
      </c>
      <c r="I236" s="10">
        <f>22.9455 * CHOOSE(CONTROL!$C$15, $E$9, 100%, $G$9) + CHOOSE(CONTROL!$C$38, 0.0369, 0)</f>
        <v>22.982399999999998</v>
      </c>
      <c r="J236" s="44">
        <f>162.0287</f>
        <v>162.02869999999999</v>
      </c>
    </row>
    <row r="237" spans="1:10" ht="15" x14ac:dyDescent="0.2">
      <c r="A237" s="16">
        <v>48122</v>
      </c>
      <c r="B237" s="10">
        <f>25.2108 * CHOOSE(CONTROL!$C$15, $E$9, 100%, $G$9) + CHOOSE(CONTROL!$C$38, 0.0256, 0)</f>
        <v>25.2364</v>
      </c>
      <c r="C237" s="10">
        <f>23.1774 * CHOOSE(CONTROL!$C$15, $E$9, 100%, $G$9) + CHOOSE(CONTROL!$C$38, 0.0347, 0)</f>
        <v>23.2121</v>
      </c>
      <c r="D237" s="10">
        <f>23.1696 * CHOOSE(CONTROL!$C$15, $E$9, 100%, $G$9) + CHOOSE(CONTROL!$C$38, 0.0347, 0)</f>
        <v>23.2043</v>
      </c>
      <c r="E237" s="46">
        <f>25.0546 * CHOOSE(CONTROL!$C$15, $E$9, 100%, $G$9) + CHOOSE(CONTROL!$C$38, 0.0347, 0)</f>
        <v>25.089300000000001</v>
      </c>
      <c r="F237" s="45">
        <f>25.0546 * CHOOSE(CONTROL!$C$15, $E$9, 100%, $G$9) + CHOOSE(CONTROL!$C$38, 0.0256, 0)</f>
        <v>25.080200000000001</v>
      </c>
      <c r="G237" s="10">
        <f>23.1758 * CHOOSE(CONTROL!$C$15, $E$9, 100%, $G$9) + CHOOSE(CONTROL!$C$38, 0.0347, 0)</f>
        <v>23.2105</v>
      </c>
      <c r="H237" s="10">
        <f>23.1758 * CHOOSE(CONTROL!$C$15, $E$9, 100%, $G$9) + CHOOSE(CONTROL!$C$38, 0.0347, 0)</f>
        <v>23.2105</v>
      </c>
      <c r="I237" s="10">
        <f>23.1774 * CHOOSE(CONTROL!$C$15, $E$9, 100%, $G$9) + CHOOSE(CONTROL!$C$38, 0.0347, 0)</f>
        <v>23.2121</v>
      </c>
      <c r="J237" s="44">
        <f>156.4256</f>
        <v>156.4256</v>
      </c>
    </row>
    <row r="238" spans="1:10" ht="15" x14ac:dyDescent="0.2">
      <c r="A238" s="16">
        <v>48153</v>
      </c>
      <c r="B238" s="10">
        <f>25.4042 * CHOOSE(CONTROL!$C$15, $E$9, 100%, $G$9) + CHOOSE(CONTROL!$C$38, 0.0256, 0)</f>
        <v>25.4298</v>
      </c>
      <c r="C238" s="10">
        <f>23.3708 * CHOOSE(CONTROL!$C$15, $E$9, 100%, $G$9) + CHOOSE(CONTROL!$C$38, 0.0347, 0)</f>
        <v>23.4055</v>
      </c>
      <c r="D238" s="10">
        <f>23.363 * CHOOSE(CONTROL!$C$15, $E$9, 100%, $G$9) + CHOOSE(CONTROL!$C$38, 0.0347, 0)</f>
        <v>23.3977</v>
      </c>
      <c r="E238" s="46">
        <f>25.248 * CHOOSE(CONTROL!$C$15, $E$9, 100%, $G$9) + CHOOSE(CONTROL!$C$38, 0.0347, 0)</f>
        <v>25.282700000000002</v>
      </c>
      <c r="F238" s="45">
        <f>25.248 * CHOOSE(CONTROL!$C$15, $E$9, 100%, $G$9) + CHOOSE(CONTROL!$C$38, 0.0256, 0)</f>
        <v>25.273600000000002</v>
      </c>
      <c r="G238" s="10">
        <f>23.3692 * CHOOSE(CONTROL!$C$15, $E$9, 100%, $G$9) + CHOOSE(CONTROL!$C$38, 0.0347, 0)</f>
        <v>23.4039</v>
      </c>
      <c r="H238" s="10">
        <f>23.3692 * CHOOSE(CONTROL!$C$15, $E$9, 100%, $G$9) + CHOOSE(CONTROL!$C$38, 0.0347, 0)</f>
        <v>23.4039</v>
      </c>
      <c r="I238" s="10">
        <f>23.3708 * CHOOSE(CONTROL!$C$15, $E$9, 100%, $G$9) + CHOOSE(CONTROL!$C$38, 0.0347, 0)</f>
        <v>23.4055</v>
      </c>
      <c r="J238" s="44">
        <f>155.311</f>
        <v>155.31100000000001</v>
      </c>
    </row>
    <row r="239" spans="1:10" ht="15" x14ac:dyDescent="0.2">
      <c r="A239" s="16">
        <v>48183</v>
      </c>
      <c r="B239" s="10">
        <f>26.0003 * CHOOSE(CONTROL!$C$15, $E$9, 100%, $G$9) + CHOOSE(CONTROL!$C$38, 0.0256, 0)</f>
        <v>26.0259</v>
      </c>
      <c r="C239" s="10">
        <f>23.9669 * CHOOSE(CONTROL!$C$15, $E$9, 100%, $G$9) + CHOOSE(CONTROL!$C$38, 0.0347, 0)</f>
        <v>24.0016</v>
      </c>
      <c r="D239" s="10">
        <f>23.9591 * CHOOSE(CONTROL!$C$15, $E$9, 100%, $G$9) + CHOOSE(CONTROL!$C$38, 0.0347, 0)</f>
        <v>23.9938</v>
      </c>
      <c r="E239" s="46">
        <f>25.8441 * CHOOSE(CONTROL!$C$15, $E$9, 100%, $G$9) + CHOOSE(CONTROL!$C$38, 0.0347, 0)</f>
        <v>25.878800000000002</v>
      </c>
      <c r="F239" s="45">
        <f>25.8441 * CHOOSE(CONTROL!$C$15, $E$9, 100%, $G$9) + CHOOSE(CONTROL!$C$38, 0.0256, 0)</f>
        <v>25.869700000000002</v>
      </c>
      <c r="G239" s="10">
        <f>23.9653 * CHOOSE(CONTROL!$C$15, $E$9, 100%, $G$9) + CHOOSE(CONTROL!$C$38, 0.0347, 0)</f>
        <v>24</v>
      </c>
      <c r="H239" s="10">
        <f>23.9653 * CHOOSE(CONTROL!$C$15, $E$9, 100%, $G$9) + CHOOSE(CONTROL!$C$38, 0.0347, 0)</f>
        <v>24</v>
      </c>
      <c r="I239" s="10">
        <f>23.9669 * CHOOSE(CONTROL!$C$15, $E$9, 100%, $G$9) + CHOOSE(CONTROL!$C$38, 0.0347, 0)</f>
        <v>24.0016</v>
      </c>
      <c r="J239" s="44">
        <f>150.7021</f>
        <v>150.7021</v>
      </c>
    </row>
    <row r="240" spans="1:10" ht="15" x14ac:dyDescent="0.2">
      <c r="A240" s="16">
        <v>48214</v>
      </c>
      <c r="B240" s="10">
        <f>26.878 * CHOOSE(CONTROL!$C$15, $E$9, 100%, $G$9) + CHOOSE(CONTROL!$C$38, 0.0256, 0)</f>
        <v>26.903600000000001</v>
      </c>
      <c r="C240" s="10">
        <f>24.8138 * CHOOSE(CONTROL!$C$15, $E$9, 100%, $G$9) + CHOOSE(CONTROL!$C$38, 0.0347, 0)</f>
        <v>24.848500000000001</v>
      </c>
      <c r="D240" s="10">
        <f>24.806 * CHOOSE(CONTROL!$C$15, $E$9, 100%, $G$9) + CHOOSE(CONTROL!$C$38, 0.0347, 0)</f>
        <v>24.840700000000002</v>
      </c>
      <c r="E240" s="46">
        <f>26.7217 * CHOOSE(CONTROL!$C$15, $E$9, 100%, $G$9) + CHOOSE(CONTROL!$C$38, 0.0347, 0)</f>
        <v>26.756399999999999</v>
      </c>
      <c r="F240" s="45">
        <f>26.7217 * CHOOSE(CONTROL!$C$15, $E$9, 100%, $G$9) + CHOOSE(CONTROL!$C$38, 0.0256, 0)</f>
        <v>26.747299999999999</v>
      </c>
      <c r="G240" s="10">
        <f>24.8122 * CHOOSE(CONTROL!$C$15, $E$9, 100%, $G$9) + CHOOSE(CONTROL!$C$38, 0.0347, 0)</f>
        <v>24.846900000000002</v>
      </c>
      <c r="H240" s="10">
        <f>24.8122 * CHOOSE(CONTROL!$C$15, $E$9, 100%, $G$9) + CHOOSE(CONTROL!$C$38, 0.0347, 0)</f>
        <v>24.846900000000002</v>
      </c>
      <c r="I240" s="10">
        <f>24.8138 * CHOOSE(CONTROL!$C$15, $E$9, 100%, $G$9) + CHOOSE(CONTROL!$C$38, 0.0347, 0)</f>
        <v>24.848500000000001</v>
      </c>
      <c r="J240" s="44">
        <f>150.4143</f>
        <v>150.4143</v>
      </c>
    </row>
    <row r="241" spans="1:10" ht="15" x14ac:dyDescent="0.2">
      <c r="A241" s="16">
        <v>48245</v>
      </c>
      <c r="B241" s="10">
        <f>27.0987 * CHOOSE(CONTROL!$C$15, $E$9, 100%, $G$9) + CHOOSE(CONTROL!$C$38, 0.0256, 0)</f>
        <v>27.124300000000002</v>
      </c>
      <c r="C241" s="10">
        <f>25.0345 * CHOOSE(CONTROL!$C$15, $E$9, 100%, $G$9) + CHOOSE(CONTROL!$C$38, 0.0347, 0)</f>
        <v>25.069200000000002</v>
      </c>
      <c r="D241" s="10">
        <f>25.0267 * CHOOSE(CONTROL!$C$15, $E$9, 100%, $G$9) + CHOOSE(CONTROL!$C$38, 0.0347, 0)</f>
        <v>25.061400000000003</v>
      </c>
      <c r="E241" s="46">
        <f>26.9425 * CHOOSE(CONTROL!$C$15, $E$9, 100%, $G$9) + CHOOSE(CONTROL!$C$38, 0.0347, 0)</f>
        <v>26.9772</v>
      </c>
      <c r="F241" s="45">
        <f>26.9425 * CHOOSE(CONTROL!$C$15, $E$9, 100%, $G$9) + CHOOSE(CONTROL!$C$38, 0.0256, 0)</f>
        <v>26.9681</v>
      </c>
      <c r="G241" s="10">
        <f>25.033 * CHOOSE(CONTROL!$C$15, $E$9, 100%, $G$9) + CHOOSE(CONTROL!$C$38, 0.0347, 0)</f>
        <v>25.067700000000002</v>
      </c>
      <c r="H241" s="10">
        <f>25.033 * CHOOSE(CONTROL!$C$15, $E$9, 100%, $G$9) + CHOOSE(CONTROL!$C$38, 0.0347, 0)</f>
        <v>25.067700000000002</v>
      </c>
      <c r="I241" s="10">
        <f>25.0345 * CHOOSE(CONTROL!$C$15, $E$9, 100%, $G$9) + CHOOSE(CONTROL!$C$38, 0.0347, 0)</f>
        <v>25.069200000000002</v>
      </c>
      <c r="J241" s="44">
        <f>149.9962</f>
        <v>149.99619999999999</v>
      </c>
    </row>
    <row r="242" spans="1:10" ht="15" x14ac:dyDescent="0.2">
      <c r="A242" s="16">
        <v>48274</v>
      </c>
      <c r="B242" s="10">
        <f>26.5877 * CHOOSE(CONTROL!$C$15, $E$9, 100%, $G$9) + CHOOSE(CONTROL!$C$38, 0.0256, 0)</f>
        <v>26.613300000000002</v>
      </c>
      <c r="C242" s="10">
        <f>24.5235 * CHOOSE(CONTROL!$C$15, $E$9, 100%, $G$9) + CHOOSE(CONTROL!$C$38, 0.0347, 0)</f>
        <v>24.558199999999999</v>
      </c>
      <c r="D242" s="10">
        <f>24.5157 * CHOOSE(CONTROL!$C$15, $E$9, 100%, $G$9) + CHOOSE(CONTROL!$C$38, 0.0347, 0)</f>
        <v>24.5504</v>
      </c>
      <c r="E242" s="46">
        <f>26.4315 * CHOOSE(CONTROL!$C$15, $E$9, 100%, $G$9) + CHOOSE(CONTROL!$C$38, 0.0347, 0)</f>
        <v>26.466200000000001</v>
      </c>
      <c r="F242" s="45">
        <f>26.4315 * CHOOSE(CONTROL!$C$15, $E$9, 100%, $G$9) + CHOOSE(CONTROL!$C$38, 0.0256, 0)</f>
        <v>26.457100000000001</v>
      </c>
      <c r="G242" s="10">
        <f>24.5219 * CHOOSE(CONTROL!$C$15, $E$9, 100%, $G$9) + CHOOSE(CONTROL!$C$38, 0.0347, 0)</f>
        <v>24.5566</v>
      </c>
      <c r="H242" s="10">
        <f>24.5219 * CHOOSE(CONTROL!$C$15, $E$9, 100%, $G$9) + CHOOSE(CONTROL!$C$38, 0.0347, 0)</f>
        <v>24.5566</v>
      </c>
      <c r="I242" s="10">
        <f>24.5235 * CHOOSE(CONTROL!$C$15, $E$9, 100%, $G$9) + CHOOSE(CONTROL!$C$38, 0.0347, 0)</f>
        <v>24.558199999999999</v>
      </c>
      <c r="J242" s="44">
        <f>157.9019</f>
        <v>157.90190000000001</v>
      </c>
    </row>
    <row r="243" spans="1:10" ht="15" x14ac:dyDescent="0.2">
      <c r="A243" s="16">
        <v>48305</v>
      </c>
      <c r="B243" s="10">
        <f>26.0925 * CHOOSE(CONTROL!$C$15, $E$9, 100%, $G$9) + CHOOSE(CONTROL!$C$38, 0.0256, 0)</f>
        <v>26.118100000000002</v>
      </c>
      <c r="C243" s="10">
        <f>24.0283 * CHOOSE(CONTROL!$C$15, $E$9, 100%, $G$9) + CHOOSE(CONTROL!$C$38, 0.0347, 0)</f>
        <v>24.063000000000002</v>
      </c>
      <c r="D243" s="10">
        <f>24.0205 * CHOOSE(CONTROL!$C$15, $E$9, 100%, $G$9) + CHOOSE(CONTROL!$C$38, 0.0347, 0)</f>
        <v>24.055199999999999</v>
      </c>
      <c r="E243" s="46">
        <f>25.9363 * CHOOSE(CONTROL!$C$15, $E$9, 100%, $G$9) + CHOOSE(CONTROL!$C$38, 0.0347, 0)</f>
        <v>25.971</v>
      </c>
      <c r="F243" s="45">
        <f>25.9363 * CHOOSE(CONTROL!$C$15, $E$9, 100%, $G$9) + CHOOSE(CONTROL!$C$38, 0.0256, 0)</f>
        <v>25.9619</v>
      </c>
      <c r="G243" s="10">
        <f>24.0268 * CHOOSE(CONTROL!$C$15, $E$9, 100%, $G$9) + CHOOSE(CONTROL!$C$38, 0.0347, 0)</f>
        <v>24.061500000000002</v>
      </c>
      <c r="H243" s="10">
        <f>24.0268 * CHOOSE(CONTROL!$C$15, $E$9, 100%, $G$9) + CHOOSE(CONTROL!$C$38, 0.0347, 0)</f>
        <v>24.061500000000002</v>
      </c>
      <c r="I243" s="10">
        <f>24.0283 * CHOOSE(CONTROL!$C$15, $E$9, 100%, $G$9) + CHOOSE(CONTROL!$C$38, 0.0347, 0)</f>
        <v>24.063000000000002</v>
      </c>
      <c r="J243" s="44">
        <f>168.1536</f>
        <v>168.15360000000001</v>
      </c>
    </row>
    <row r="244" spans="1:10" ht="15" x14ac:dyDescent="0.2">
      <c r="A244" s="16">
        <v>48335</v>
      </c>
      <c r="B244" s="10">
        <f>25.5764 * CHOOSE(CONTROL!$C$15, $E$9, 100%, $G$9) + CHOOSE(CONTROL!$C$38, 0.0278, 0)</f>
        <v>25.604199999999999</v>
      </c>
      <c r="C244" s="10">
        <f>23.5122 * CHOOSE(CONTROL!$C$15, $E$9, 100%, $G$9) + CHOOSE(CONTROL!$C$38, 0.0369, 0)</f>
        <v>23.549099999999999</v>
      </c>
      <c r="D244" s="10">
        <f>23.5044 * CHOOSE(CONTROL!$C$15, $E$9, 100%, $G$9) + CHOOSE(CONTROL!$C$38, 0.0369, 0)</f>
        <v>23.5413</v>
      </c>
      <c r="E244" s="46">
        <f>25.4202 * CHOOSE(CONTROL!$C$15, $E$9, 100%, $G$9) + CHOOSE(CONTROL!$C$38, 0.0369, 0)</f>
        <v>25.457100000000001</v>
      </c>
      <c r="F244" s="45">
        <f>25.4202 * CHOOSE(CONTROL!$C$15, $E$9, 100%, $G$9) + CHOOSE(CONTROL!$C$38, 0.0278, 0)</f>
        <v>25.448</v>
      </c>
      <c r="G244" s="10">
        <f>23.5106 * CHOOSE(CONTROL!$C$15, $E$9, 100%, $G$9) + CHOOSE(CONTROL!$C$38, 0.0369, 0)</f>
        <v>23.547499999999999</v>
      </c>
      <c r="H244" s="10">
        <f>23.5106 * CHOOSE(CONTROL!$C$15, $E$9, 100%, $G$9) + CHOOSE(CONTROL!$C$38, 0.0369, 0)</f>
        <v>23.547499999999999</v>
      </c>
      <c r="I244" s="10">
        <f>23.5122 * CHOOSE(CONTROL!$C$15, $E$9, 100%, $G$9) + CHOOSE(CONTROL!$C$38, 0.0369, 0)</f>
        <v>23.549099999999999</v>
      </c>
      <c r="J244" s="44">
        <f>173.7965</f>
        <v>173.79650000000001</v>
      </c>
    </row>
    <row r="245" spans="1:10" ht="15" x14ac:dyDescent="0.2">
      <c r="A245" s="16">
        <v>48366</v>
      </c>
      <c r="B245" s="10">
        <f>25.2146 * CHOOSE(CONTROL!$C$15, $E$9, 100%, $G$9) + CHOOSE(CONTROL!$C$38, 0.0278, 0)</f>
        <v>25.2424</v>
      </c>
      <c r="C245" s="10">
        <f>23.1504 * CHOOSE(CONTROL!$C$15, $E$9, 100%, $G$9) + CHOOSE(CONTROL!$C$38, 0.0369, 0)</f>
        <v>23.1873</v>
      </c>
      <c r="D245" s="10">
        <f>23.1426 * CHOOSE(CONTROL!$C$15, $E$9, 100%, $G$9) + CHOOSE(CONTROL!$C$38, 0.0369, 0)</f>
        <v>23.179500000000001</v>
      </c>
      <c r="E245" s="46">
        <f>25.0583 * CHOOSE(CONTROL!$C$15, $E$9, 100%, $G$9) + CHOOSE(CONTROL!$C$38, 0.0369, 0)</f>
        <v>25.095199999999998</v>
      </c>
      <c r="F245" s="45">
        <f>25.0583 * CHOOSE(CONTROL!$C$15, $E$9, 100%, $G$9) + CHOOSE(CONTROL!$C$38, 0.0278, 0)</f>
        <v>25.086099999999998</v>
      </c>
      <c r="G245" s="10">
        <f>23.1488 * CHOOSE(CONTROL!$C$15, $E$9, 100%, $G$9) + CHOOSE(CONTROL!$C$38, 0.0369, 0)</f>
        <v>23.185700000000001</v>
      </c>
      <c r="H245" s="10">
        <f>23.1488 * CHOOSE(CONTROL!$C$15, $E$9, 100%, $G$9) + CHOOSE(CONTROL!$C$38, 0.0369, 0)</f>
        <v>23.185700000000001</v>
      </c>
      <c r="I245" s="10">
        <f>23.1504 * CHOOSE(CONTROL!$C$15, $E$9, 100%, $G$9) + CHOOSE(CONTROL!$C$38, 0.0369, 0)</f>
        <v>23.1873</v>
      </c>
      <c r="J245" s="44">
        <f>176.3008</f>
        <v>176.30080000000001</v>
      </c>
    </row>
    <row r="246" spans="1:10" ht="15" x14ac:dyDescent="0.2">
      <c r="A246" s="16">
        <v>48396</v>
      </c>
      <c r="B246" s="10">
        <f>25.0081 * CHOOSE(CONTROL!$C$15, $E$9, 100%, $G$9) + CHOOSE(CONTROL!$C$38, 0.0278, 0)</f>
        <v>25.035899999999998</v>
      </c>
      <c r="C246" s="10">
        <f>22.9439 * CHOOSE(CONTROL!$C$15, $E$9, 100%, $G$9) + CHOOSE(CONTROL!$C$38, 0.0369, 0)</f>
        <v>22.980799999999999</v>
      </c>
      <c r="D246" s="10">
        <f>22.9361 * CHOOSE(CONTROL!$C$15, $E$9, 100%, $G$9) + CHOOSE(CONTROL!$C$38, 0.0369, 0)</f>
        <v>22.972999999999999</v>
      </c>
      <c r="E246" s="46">
        <f>24.8518 * CHOOSE(CONTROL!$C$15, $E$9, 100%, $G$9) + CHOOSE(CONTROL!$C$38, 0.0369, 0)</f>
        <v>24.8887</v>
      </c>
      <c r="F246" s="45">
        <f>24.8518 * CHOOSE(CONTROL!$C$15, $E$9, 100%, $G$9) + CHOOSE(CONTROL!$C$38, 0.0278, 0)</f>
        <v>24.8796</v>
      </c>
      <c r="G246" s="10">
        <f>22.9423 * CHOOSE(CONTROL!$C$15, $E$9, 100%, $G$9) + CHOOSE(CONTROL!$C$38, 0.0369, 0)</f>
        <v>22.979199999999999</v>
      </c>
      <c r="H246" s="10">
        <f>22.9423 * CHOOSE(CONTROL!$C$15, $E$9, 100%, $G$9) + CHOOSE(CONTROL!$C$38, 0.0369, 0)</f>
        <v>22.979199999999999</v>
      </c>
      <c r="I246" s="10">
        <f>22.9439 * CHOOSE(CONTROL!$C$15, $E$9, 100%, $G$9) + CHOOSE(CONTROL!$C$38, 0.0369, 0)</f>
        <v>22.980799999999999</v>
      </c>
      <c r="J246" s="44">
        <f>175.4762</f>
        <v>175.47620000000001</v>
      </c>
    </row>
    <row r="247" spans="1:10" ht="15" x14ac:dyDescent="0.2">
      <c r="A247" s="16">
        <v>48427</v>
      </c>
      <c r="B247" s="10">
        <f>25.11 * CHOOSE(CONTROL!$C$15, $E$9, 100%, $G$9) + CHOOSE(CONTROL!$C$38, 0.0278, 0)</f>
        <v>25.137799999999999</v>
      </c>
      <c r="C247" s="10">
        <f>23.0458 * CHOOSE(CONTROL!$C$15, $E$9, 100%, $G$9) + CHOOSE(CONTROL!$C$38, 0.0369, 0)</f>
        <v>23.082699999999999</v>
      </c>
      <c r="D247" s="10">
        <f>23.038 * CHOOSE(CONTROL!$C$15, $E$9, 100%, $G$9) + CHOOSE(CONTROL!$C$38, 0.0369, 0)</f>
        <v>23.0749</v>
      </c>
      <c r="E247" s="46">
        <f>24.9538 * CHOOSE(CONTROL!$C$15, $E$9, 100%, $G$9) + CHOOSE(CONTROL!$C$38, 0.0369, 0)</f>
        <v>24.9907</v>
      </c>
      <c r="F247" s="45">
        <f>24.9538 * CHOOSE(CONTROL!$C$15, $E$9, 100%, $G$9) + CHOOSE(CONTROL!$C$38, 0.0278, 0)</f>
        <v>24.9816</v>
      </c>
      <c r="G247" s="10">
        <f>23.0442 * CHOOSE(CONTROL!$C$15, $E$9, 100%, $G$9) + CHOOSE(CONTROL!$C$38, 0.0369, 0)</f>
        <v>23.081099999999999</v>
      </c>
      <c r="H247" s="10">
        <f>23.0442 * CHOOSE(CONTROL!$C$15, $E$9, 100%, $G$9) + CHOOSE(CONTROL!$C$38, 0.0369, 0)</f>
        <v>23.081099999999999</v>
      </c>
      <c r="I247" s="10">
        <f>23.0458 * CHOOSE(CONTROL!$C$15, $E$9, 100%, $G$9) + CHOOSE(CONTROL!$C$38, 0.0369, 0)</f>
        <v>23.082699999999999</v>
      </c>
      <c r="J247" s="44">
        <f>171.3912</f>
        <v>171.3912</v>
      </c>
    </row>
    <row r="248" spans="1:10" ht="15" x14ac:dyDescent="0.2">
      <c r="A248" s="16">
        <v>48458</v>
      </c>
      <c r="B248" s="10">
        <f>25.3868 * CHOOSE(CONTROL!$C$15, $E$9, 100%, $G$9) + CHOOSE(CONTROL!$C$38, 0.0278, 0)</f>
        <v>25.4146</v>
      </c>
      <c r="C248" s="10">
        <f>23.3226 * CHOOSE(CONTROL!$C$15, $E$9, 100%, $G$9) + CHOOSE(CONTROL!$C$38, 0.0369, 0)</f>
        <v>23.359500000000001</v>
      </c>
      <c r="D248" s="10">
        <f>23.3148 * CHOOSE(CONTROL!$C$15, $E$9, 100%, $G$9) + CHOOSE(CONTROL!$C$38, 0.0369, 0)</f>
        <v>23.351700000000001</v>
      </c>
      <c r="E248" s="46">
        <f>25.2306 * CHOOSE(CONTROL!$C$15, $E$9, 100%, $G$9) + CHOOSE(CONTROL!$C$38, 0.0369, 0)</f>
        <v>25.267499999999998</v>
      </c>
      <c r="F248" s="45">
        <f>25.2306 * CHOOSE(CONTROL!$C$15, $E$9, 100%, $G$9) + CHOOSE(CONTROL!$C$38, 0.0278, 0)</f>
        <v>25.258399999999998</v>
      </c>
      <c r="G248" s="10">
        <f>23.321 * CHOOSE(CONTROL!$C$15, $E$9, 100%, $G$9) + CHOOSE(CONTROL!$C$38, 0.0369, 0)</f>
        <v>23.357900000000001</v>
      </c>
      <c r="H248" s="10">
        <f>23.321 * CHOOSE(CONTROL!$C$15, $E$9, 100%, $G$9) + CHOOSE(CONTROL!$C$38, 0.0369, 0)</f>
        <v>23.357900000000001</v>
      </c>
      <c r="I248" s="10">
        <f>23.3226 * CHOOSE(CONTROL!$C$15, $E$9, 100%, $G$9) + CHOOSE(CONTROL!$C$38, 0.0369, 0)</f>
        <v>23.359500000000001</v>
      </c>
      <c r="J248" s="44">
        <f>165.6945</f>
        <v>165.69450000000001</v>
      </c>
    </row>
    <row r="249" spans="1:10" ht="15" x14ac:dyDescent="0.2">
      <c r="A249" s="16">
        <v>48488</v>
      </c>
      <c r="B249" s="10">
        <f>25.6186 * CHOOSE(CONTROL!$C$15, $E$9, 100%, $G$9) + CHOOSE(CONTROL!$C$38, 0.0256, 0)</f>
        <v>25.644200000000001</v>
      </c>
      <c r="C249" s="10">
        <f>23.5544 * CHOOSE(CONTROL!$C$15, $E$9, 100%, $G$9) + CHOOSE(CONTROL!$C$38, 0.0347, 0)</f>
        <v>23.589100000000002</v>
      </c>
      <c r="D249" s="10">
        <f>23.5466 * CHOOSE(CONTROL!$C$15, $E$9, 100%, $G$9) + CHOOSE(CONTROL!$C$38, 0.0347, 0)</f>
        <v>23.581300000000002</v>
      </c>
      <c r="E249" s="46">
        <f>25.4624 * CHOOSE(CONTROL!$C$15, $E$9, 100%, $G$9) + CHOOSE(CONTROL!$C$38, 0.0347, 0)</f>
        <v>25.4971</v>
      </c>
      <c r="F249" s="45">
        <f>25.4624 * CHOOSE(CONTROL!$C$15, $E$9, 100%, $G$9) + CHOOSE(CONTROL!$C$38, 0.0256, 0)</f>
        <v>25.488</v>
      </c>
      <c r="G249" s="10">
        <f>23.5529 * CHOOSE(CONTROL!$C$15, $E$9, 100%, $G$9) + CHOOSE(CONTROL!$C$38, 0.0347, 0)</f>
        <v>23.587600000000002</v>
      </c>
      <c r="H249" s="10">
        <f>23.5529 * CHOOSE(CONTROL!$C$15, $E$9, 100%, $G$9) + CHOOSE(CONTROL!$C$38, 0.0347, 0)</f>
        <v>23.587600000000002</v>
      </c>
      <c r="I249" s="10">
        <f>23.5544 * CHOOSE(CONTROL!$C$15, $E$9, 100%, $G$9) + CHOOSE(CONTROL!$C$38, 0.0347, 0)</f>
        <v>23.589100000000002</v>
      </c>
      <c r="J249" s="44">
        <f>159.9646</f>
        <v>159.96459999999999</v>
      </c>
    </row>
    <row r="250" spans="1:10" ht="15" x14ac:dyDescent="0.2">
      <c r="A250" s="16">
        <v>48519</v>
      </c>
      <c r="B250" s="10">
        <f>25.8121 * CHOOSE(CONTROL!$C$15, $E$9, 100%, $G$9) + CHOOSE(CONTROL!$C$38, 0.0256, 0)</f>
        <v>25.837700000000002</v>
      </c>
      <c r="C250" s="10">
        <f>23.7479 * CHOOSE(CONTROL!$C$15, $E$9, 100%, $G$9) + CHOOSE(CONTROL!$C$38, 0.0347, 0)</f>
        <v>23.782600000000002</v>
      </c>
      <c r="D250" s="10">
        <f>23.74 * CHOOSE(CONTROL!$C$15, $E$9, 100%, $G$9) + CHOOSE(CONTROL!$C$38, 0.0347, 0)</f>
        <v>23.774699999999999</v>
      </c>
      <c r="E250" s="46">
        <f>25.6558 * CHOOSE(CONTROL!$C$15, $E$9, 100%, $G$9) + CHOOSE(CONTROL!$C$38, 0.0347, 0)</f>
        <v>25.6905</v>
      </c>
      <c r="F250" s="45">
        <f>25.6558 * CHOOSE(CONTROL!$C$15, $E$9, 100%, $G$9) + CHOOSE(CONTROL!$C$38, 0.0256, 0)</f>
        <v>25.6814</v>
      </c>
      <c r="G250" s="10">
        <f>23.7463 * CHOOSE(CONTROL!$C$15, $E$9, 100%, $G$9) + CHOOSE(CONTROL!$C$38, 0.0347, 0)</f>
        <v>23.781000000000002</v>
      </c>
      <c r="H250" s="10">
        <f>23.7463 * CHOOSE(CONTROL!$C$15, $E$9, 100%, $G$9) + CHOOSE(CONTROL!$C$38, 0.0347, 0)</f>
        <v>23.781000000000002</v>
      </c>
      <c r="I250" s="10">
        <f>23.7479 * CHOOSE(CONTROL!$C$15, $E$9, 100%, $G$9) + CHOOSE(CONTROL!$C$38, 0.0347, 0)</f>
        <v>23.782600000000002</v>
      </c>
      <c r="J250" s="44">
        <f>158.8248</f>
        <v>158.82480000000001</v>
      </c>
    </row>
    <row r="251" spans="1:10" ht="15" x14ac:dyDescent="0.2">
      <c r="A251" s="16">
        <v>48549</v>
      </c>
      <c r="B251" s="10">
        <f>26.4081 * CHOOSE(CONTROL!$C$15, $E$9, 100%, $G$9) + CHOOSE(CONTROL!$C$38, 0.0256, 0)</f>
        <v>26.433700000000002</v>
      </c>
      <c r="C251" s="10">
        <f>24.3439 * CHOOSE(CONTROL!$C$15, $E$9, 100%, $G$9) + CHOOSE(CONTROL!$C$38, 0.0347, 0)</f>
        <v>24.378600000000002</v>
      </c>
      <c r="D251" s="10">
        <f>24.3361 * CHOOSE(CONTROL!$C$15, $E$9, 100%, $G$9) + CHOOSE(CONTROL!$C$38, 0.0347, 0)</f>
        <v>24.370799999999999</v>
      </c>
      <c r="E251" s="46">
        <f>26.2519 * CHOOSE(CONTROL!$C$15, $E$9, 100%, $G$9) + CHOOSE(CONTROL!$C$38, 0.0347, 0)</f>
        <v>26.2866</v>
      </c>
      <c r="F251" s="45">
        <f>26.2519 * CHOOSE(CONTROL!$C$15, $E$9, 100%, $G$9) + CHOOSE(CONTROL!$C$38, 0.0256, 0)</f>
        <v>26.2775</v>
      </c>
      <c r="G251" s="10">
        <f>24.3424 * CHOOSE(CONTROL!$C$15, $E$9, 100%, $G$9) + CHOOSE(CONTROL!$C$38, 0.0347, 0)</f>
        <v>24.377100000000002</v>
      </c>
      <c r="H251" s="10">
        <f>24.3424 * CHOOSE(CONTROL!$C$15, $E$9, 100%, $G$9) + CHOOSE(CONTROL!$C$38, 0.0347, 0)</f>
        <v>24.377100000000002</v>
      </c>
      <c r="I251" s="10">
        <f>24.3439 * CHOOSE(CONTROL!$C$15, $E$9, 100%, $G$9) + CHOOSE(CONTROL!$C$38, 0.0347, 0)</f>
        <v>24.378600000000002</v>
      </c>
      <c r="J251" s="44">
        <f>154.1117</f>
        <v>154.11170000000001</v>
      </c>
    </row>
    <row r="252" spans="1:10" ht="15" x14ac:dyDescent="0.2">
      <c r="A252" s="16">
        <v>48580</v>
      </c>
      <c r="B252" s="10">
        <f>27.2925 * CHOOSE(CONTROL!$C$15, $E$9, 100%, $G$9) + CHOOSE(CONTROL!$C$38, 0.0256, 0)</f>
        <v>27.318100000000001</v>
      </c>
      <c r="C252" s="10">
        <f>25.197 * CHOOSE(CONTROL!$C$15, $E$9, 100%, $G$9) + CHOOSE(CONTROL!$C$38, 0.0347, 0)</f>
        <v>25.2317</v>
      </c>
      <c r="D252" s="10">
        <f>25.1892 * CHOOSE(CONTROL!$C$15, $E$9, 100%, $G$9) + CHOOSE(CONTROL!$C$38, 0.0347, 0)</f>
        <v>25.2239</v>
      </c>
      <c r="E252" s="46">
        <f>27.1362 * CHOOSE(CONTROL!$C$15, $E$9, 100%, $G$9) + CHOOSE(CONTROL!$C$38, 0.0347, 0)</f>
        <v>27.1709</v>
      </c>
      <c r="F252" s="45">
        <f>27.1362 * CHOOSE(CONTROL!$C$15, $E$9, 100%, $G$9) + CHOOSE(CONTROL!$C$38, 0.0256, 0)</f>
        <v>27.161799999999999</v>
      </c>
      <c r="G252" s="10">
        <f>25.1954 * CHOOSE(CONTROL!$C$15, $E$9, 100%, $G$9) + CHOOSE(CONTROL!$C$38, 0.0347, 0)</f>
        <v>25.2301</v>
      </c>
      <c r="H252" s="10">
        <f>25.1954 * CHOOSE(CONTROL!$C$15, $E$9, 100%, $G$9) + CHOOSE(CONTROL!$C$38, 0.0347, 0)</f>
        <v>25.2301</v>
      </c>
      <c r="I252" s="10">
        <f>25.197 * CHOOSE(CONTROL!$C$15, $E$9, 100%, $G$9) + CHOOSE(CONTROL!$C$38, 0.0347, 0)</f>
        <v>25.2317</v>
      </c>
      <c r="J252" s="44">
        <f>153.8174</f>
        <v>153.81739999999999</v>
      </c>
    </row>
    <row r="253" spans="1:10" ht="15" x14ac:dyDescent="0.2">
      <c r="A253" s="16">
        <v>48611</v>
      </c>
      <c r="B253" s="10">
        <f>27.5133 * CHOOSE(CONTROL!$C$15, $E$9, 100%, $G$9) + CHOOSE(CONTROL!$C$38, 0.0256, 0)</f>
        <v>27.538900000000002</v>
      </c>
      <c r="C253" s="10">
        <f>25.4178 * CHOOSE(CONTROL!$C$15, $E$9, 100%, $G$9) + CHOOSE(CONTROL!$C$38, 0.0347, 0)</f>
        <v>25.452500000000001</v>
      </c>
      <c r="D253" s="10">
        <f>25.4099 * CHOOSE(CONTROL!$C$15, $E$9, 100%, $G$9) + CHOOSE(CONTROL!$C$38, 0.0347, 0)</f>
        <v>25.444600000000001</v>
      </c>
      <c r="E253" s="46">
        <f>27.357 * CHOOSE(CONTROL!$C$15, $E$9, 100%, $G$9) + CHOOSE(CONTROL!$C$38, 0.0347, 0)</f>
        <v>27.3917</v>
      </c>
      <c r="F253" s="45">
        <f>27.357 * CHOOSE(CONTROL!$C$15, $E$9, 100%, $G$9) + CHOOSE(CONTROL!$C$38, 0.0256, 0)</f>
        <v>27.3826</v>
      </c>
      <c r="G253" s="10">
        <f>25.4162 * CHOOSE(CONTROL!$C$15, $E$9, 100%, $G$9) + CHOOSE(CONTROL!$C$38, 0.0347, 0)</f>
        <v>25.450900000000001</v>
      </c>
      <c r="H253" s="10">
        <f>25.4162 * CHOOSE(CONTROL!$C$15, $E$9, 100%, $G$9) + CHOOSE(CONTROL!$C$38, 0.0347, 0)</f>
        <v>25.450900000000001</v>
      </c>
      <c r="I253" s="10">
        <f>25.4178 * CHOOSE(CONTROL!$C$15, $E$9, 100%, $G$9) + CHOOSE(CONTROL!$C$38, 0.0347, 0)</f>
        <v>25.452500000000001</v>
      </c>
      <c r="J253" s="44">
        <f>153.3898</f>
        <v>153.38980000000001</v>
      </c>
    </row>
    <row r="254" spans="1:10" ht="15" x14ac:dyDescent="0.2">
      <c r="A254" s="16">
        <v>48639</v>
      </c>
      <c r="B254" s="10">
        <f>27.0022 * CHOOSE(CONTROL!$C$15, $E$9, 100%, $G$9) + CHOOSE(CONTROL!$C$38, 0.0256, 0)</f>
        <v>27.027799999999999</v>
      </c>
      <c r="C254" s="10">
        <f>24.9067 * CHOOSE(CONTROL!$C$15, $E$9, 100%, $G$9) + CHOOSE(CONTROL!$C$38, 0.0347, 0)</f>
        <v>24.941400000000002</v>
      </c>
      <c r="D254" s="10">
        <f>24.8989 * CHOOSE(CONTROL!$C$15, $E$9, 100%, $G$9) + CHOOSE(CONTROL!$C$38, 0.0347, 0)</f>
        <v>24.933600000000002</v>
      </c>
      <c r="E254" s="46">
        <f>26.846 * CHOOSE(CONTROL!$C$15, $E$9, 100%, $G$9) + CHOOSE(CONTROL!$C$38, 0.0347, 0)</f>
        <v>26.880700000000001</v>
      </c>
      <c r="F254" s="45">
        <f>26.846 * CHOOSE(CONTROL!$C$15, $E$9, 100%, $G$9) + CHOOSE(CONTROL!$C$38, 0.0256, 0)</f>
        <v>26.871600000000001</v>
      </c>
      <c r="G254" s="10">
        <f>24.9052 * CHOOSE(CONTROL!$C$15, $E$9, 100%, $G$9) + CHOOSE(CONTROL!$C$38, 0.0347, 0)</f>
        <v>24.939900000000002</v>
      </c>
      <c r="H254" s="10">
        <f>24.9052 * CHOOSE(CONTROL!$C$15, $E$9, 100%, $G$9) + CHOOSE(CONTROL!$C$38, 0.0347, 0)</f>
        <v>24.939900000000002</v>
      </c>
      <c r="I254" s="10">
        <f>24.9067 * CHOOSE(CONTROL!$C$15, $E$9, 100%, $G$9) + CHOOSE(CONTROL!$C$38, 0.0347, 0)</f>
        <v>24.941400000000002</v>
      </c>
      <c r="J254" s="44">
        <f>161.4743</f>
        <v>161.4743</v>
      </c>
    </row>
    <row r="255" spans="1:10" ht="15" x14ac:dyDescent="0.2">
      <c r="A255" s="16">
        <v>48670</v>
      </c>
      <c r="B255" s="10">
        <f>26.507 * CHOOSE(CONTROL!$C$15, $E$9, 100%, $G$9) + CHOOSE(CONTROL!$C$38, 0.0256, 0)</f>
        <v>26.532600000000002</v>
      </c>
      <c r="C255" s="10">
        <f>24.4115 * CHOOSE(CONTROL!$C$15, $E$9, 100%, $G$9) + CHOOSE(CONTROL!$C$38, 0.0347, 0)</f>
        <v>24.446200000000001</v>
      </c>
      <c r="D255" s="10">
        <f>24.4037 * CHOOSE(CONTROL!$C$15, $E$9, 100%, $G$9) + CHOOSE(CONTROL!$C$38, 0.0347, 0)</f>
        <v>24.438400000000001</v>
      </c>
      <c r="E255" s="46">
        <f>26.3508 * CHOOSE(CONTROL!$C$15, $E$9, 100%, $G$9) + CHOOSE(CONTROL!$C$38, 0.0347, 0)</f>
        <v>26.3855</v>
      </c>
      <c r="F255" s="45">
        <f>26.3508 * CHOOSE(CONTROL!$C$15, $E$9, 100%, $G$9) + CHOOSE(CONTROL!$C$38, 0.0256, 0)</f>
        <v>26.3764</v>
      </c>
      <c r="G255" s="10">
        <f>24.41 * CHOOSE(CONTROL!$C$15, $E$9, 100%, $G$9) + CHOOSE(CONTROL!$C$38, 0.0347, 0)</f>
        <v>24.444700000000001</v>
      </c>
      <c r="H255" s="10">
        <f>24.41 * CHOOSE(CONTROL!$C$15, $E$9, 100%, $G$9) + CHOOSE(CONTROL!$C$38, 0.0347, 0)</f>
        <v>24.444700000000001</v>
      </c>
      <c r="I255" s="10">
        <f>24.4115 * CHOOSE(CONTROL!$C$15, $E$9, 100%, $G$9) + CHOOSE(CONTROL!$C$38, 0.0347, 0)</f>
        <v>24.446200000000001</v>
      </c>
      <c r="J255" s="44">
        <f>171.958</f>
        <v>171.958</v>
      </c>
    </row>
    <row r="256" spans="1:10" ht="15" x14ac:dyDescent="0.2">
      <c r="A256" s="16">
        <v>48700</v>
      </c>
      <c r="B256" s="10">
        <f>25.9909 * CHOOSE(CONTROL!$C$15, $E$9, 100%, $G$9) + CHOOSE(CONTROL!$C$38, 0.0278, 0)</f>
        <v>26.018699999999999</v>
      </c>
      <c r="C256" s="10">
        <f>23.8954 * CHOOSE(CONTROL!$C$15, $E$9, 100%, $G$9) + CHOOSE(CONTROL!$C$38, 0.0369, 0)</f>
        <v>23.932299999999998</v>
      </c>
      <c r="D256" s="10">
        <f>23.8876 * CHOOSE(CONTROL!$C$15, $E$9, 100%, $G$9) + CHOOSE(CONTROL!$C$38, 0.0369, 0)</f>
        <v>23.924499999999998</v>
      </c>
      <c r="E256" s="46">
        <f>25.8347 * CHOOSE(CONTROL!$C$15, $E$9, 100%, $G$9) + CHOOSE(CONTROL!$C$38, 0.0369, 0)</f>
        <v>25.871600000000001</v>
      </c>
      <c r="F256" s="45">
        <f>25.8347 * CHOOSE(CONTROL!$C$15, $E$9, 100%, $G$9) + CHOOSE(CONTROL!$C$38, 0.0278, 0)</f>
        <v>25.862500000000001</v>
      </c>
      <c r="G256" s="10">
        <f>23.8939 * CHOOSE(CONTROL!$C$15, $E$9, 100%, $G$9) + CHOOSE(CONTROL!$C$38, 0.0369, 0)</f>
        <v>23.930799999999998</v>
      </c>
      <c r="H256" s="10">
        <f>23.8939 * CHOOSE(CONTROL!$C$15, $E$9, 100%, $G$9) + CHOOSE(CONTROL!$C$38, 0.0369, 0)</f>
        <v>23.930799999999998</v>
      </c>
      <c r="I256" s="10">
        <f>23.8954 * CHOOSE(CONTROL!$C$15, $E$9, 100%, $G$9) + CHOOSE(CONTROL!$C$38, 0.0369, 0)</f>
        <v>23.932299999999998</v>
      </c>
      <c r="J256" s="44">
        <f>177.7286</f>
        <v>177.7286</v>
      </c>
    </row>
    <row r="257" spans="1:10" ht="15" x14ac:dyDescent="0.2">
      <c r="A257" s="16">
        <v>48731</v>
      </c>
      <c r="B257" s="10">
        <f>25.6291 * CHOOSE(CONTROL!$C$15, $E$9, 100%, $G$9) + CHOOSE(CONTROL!$C$38, 0.0278, 0)</f>
        <v>25.6569</v>
      </c>
      <c r="C257" s="10">
        <f>23.5336 * CHOOSE(CONTROL!$C$15, $E$9, 100%, $G$9) + CHOOSE(CONTROL!$C$38, 0.0369, 0)</f>
        <v>23.570499999999999</v>
      </c>
      <c r="D257" s="10">
        <f>23.5258 * CHOOSE(CONTROL!$C$15, $E$9, 100%, $G$9) + CHOOSE(CONTROL!$C$38, 0.0369, 0)</f>
        <v>23.5627</v>
      </c>
      <c r="E257" s="46">
        <f>25.4728 * CHOOSE(CONTROL!$C$15, $E$9, 100%, $G$9) + CHOOSE(CONTROL!$C$38, 0.0369, 0)</f>
        <v>25.509699999999999</v>
      </c>
      <c r="F257" s="45">
        <f>25.4728 * CHOOSE(CONTROL!$C$15, $E$9, 100%, $G$9) + CHOOSE(CONTROL!$C$38, 0.0278, 0)</f>
        <v>25.500599999999999</v>
      </c>
      <c r="G257" s="10">
        <f>23.532 * CHOOSE(CONTROL!$C$15, $E$9, 100%, $G$9) + CHOOSE(CONTROL!$C$38, 0.0369, 0)</f>
        <v>23.568899999999999</v>
      </c>
      <c r="H257" s="10">
        <f>23.532 * CHOOSE(CONTROL!$C$15, $E$9, 100%, $G$9) + CHOOSE(CONTROL!$C$38, 0.0369, 0)</f>
        <v>23.568899999999999</v>
      </c>
      <c r="I257" s="10">
        <f>23.5336 * CHOOSE(CONTROL!$C$15, $E$9, 100%, $G$9) + CHOOSE(CONTROL!$C$38, 0.0369, 0)</f>
        <v>23.570499999999999</v>
      </c>
      <c r="J257" s="44">
        <f>180.2895</f>
        <v>180.2895</v>
      </c>
    </row>
    <row r="258" spans="1:10" ht="15" x14ac:dyDescent="0.2">
      <c r="A258" s="16">
        <v>48761</v>
      </c>
      <c r="B258" s="10">
        <f>25.4226 * CHOOSE(CONTROL!$C$15, $E$9, 100%, $G$9) + CHOOSE(CONTROL!$C$38, 0.0278, 0)</f>
        <v>25.450399999999998</v>
      </c>
      <c r="C258" s="10">
        <f>23.3271 * CHOOSE(CONTROL!$C$15, $E$9, 100%, $G$9) + CHOOSE(CONTROL!$C$38, 0.0369, 0)</f>
        <v>23.364000000000001</v>
      </c>
      <c r="D258" s="10">
        <f>23.3193 * CHOOSE(CONTROL!$C$15, $E$9, 100%, $G$9) + CHOOSE(CONTROL!$C$38, 0.0369, 0)</f>
        <v>23.356199999999998</v>
      </c>
      <c r="E258" s="46">
        <f>25.2664 * CHOOSE(CONTROL!$C$15, $E$9, 100%, $G$9) + CHOOSE(CONTROL!$C$38, 0.0369, 0)</f>
        <v>25.3033</v>
      </c>
      <c r="F258" s="45">
        <f>25.2664 * CHOOSE(CONTROL!$C$15, $E$9, 100%, $G$9) + CHOOSE(CONTROL!$C$38, 0.0278, 0)</f>
        <v>25.2942</v>
      </c>
      <c r="G258" s="10">
        <f>23.3255 * CHOOSE(CONTROL!$C$15, $E$9, 100%, $G$9) + CHOOSE(CONTROL!$C$38, 0.0369, 0)</f>
        <v>23.362400000000001</v>
      </c>
      <c r="H258" s="10">
        <f>23.3255 * CHOOSE(CONTROL!$C$15, $E$9, 100%, $G$9) + CHOOSE(CONTROL!$C$38, 0.0369, 0)</f>
        <v>23.362400000000001</v>
      </c>
      <c r="I258" s="10">
        <f>23.3271 * CHOOSE(CONTROL!$C$15, $E$9, 100%, $G$9) + CHOOSE(CONTROL!$C$38, 0.0369, 0)</f>
        <v>23.364000000000001</v>
      </c>
      <c r="J258" s="44">
        <f>179.4463</f>
        <v>179.44630000000001</v>
      </c>
    </row>
    <row r="259" spans="1:10" ht="15" x14ac:dyDescent="0.2">
      <c r="A259" s="16">
        <v>48792</v>
      </c>
      <c r="B259" s="10">
        <f>25.5245 * CHOOSE(CONTROL!$C$15, $E$9, 100%, $G$9) + CHOOSE(CONTROL!$C$38, 0.0278, 0)</f>
        <v>25.552299999999999</v>
      </c>
      <c r="C259" s="10">
        <f>23.429 * CHOOSE(CONTROL!$C$15, $E$9, 100%, $G$9) + CHOOSE(CONTROL!$C$38, 0.0369, 0)</f>
        <v>23.465899999999998</v>
      </c>
      <c r="D259" s="10">
        <f>23.4212 * CHOOSE(CONTROL!$C$15, $E$9, 100%, $G$9) + CHOOSE(CONTROL!$C$38, 0.0369, 0)</f>
        <v>23.458099999999998</v>
      </c>
      <c r="E259" s="46">
        <f>25.3683 * CHOOSE(CONTROL!$C$15, $E$9, 100%, $G$9) + CHOOSE(CONTROL!$C$38, 0.0369, 0)</f>
        <v>25.405200000000001</v>
      </c>
      <c r="F259" s="45">
        <f>25.3683 * CHOOSE(CONTROL!$C$15, $E$9, 100%, $G$9) + CHOOSE(CONTROL!$C$38, 0.0278, 0)</f>
        <v>25.396100000000001</v>
      </c>
      <c r="G259" s="10">
        <f>23.4275 * CHOOSE(CONTROL!$C$15, $E$9, 100%, $G$9) + CHOOSE(CONTROL!$C$38, 0.0369, 0)</f>
        <v>23.464399999999998</v>
      </c>
      <c r="H259" s="10">
        <f>23.4275 * CHOOSE(CONTROL!$C$15, $E$9, 100%, $G$9) + CHOOSE(CONTROL!$C$38, 0.0369, 0)</f>
        <v>23.464399999999998</v>
      </c>
      <c r="I259" s="10">
        <f>23.429 * CHOOSE(CONTROL!$C$15, $E$9, 100%, $G$9) + CHOOSE(CONTROL!$C$38, 0.0369, 0)</f>
        <v>23.465899999999998</v>
      </c>
      <c r="J259" s="44">
        <f>175.2689</f>
        <v>175.2689</v>
      </c>
    </row>
    <row r="260" spans="1:10" ht="15" x14ac:dyDescent="0.2">
      <c r="A260" s="16">
        <v>48823</v>
      </c>
      <c r="B260" s="10">
        <f>25.8013 * CHOOSE(CONTROL!$C$15, $E$9, 100%, $G$9) + CHOOSE(CONTROL!$C$38, 0.0278, 0)</f>
        <v>25.8291</v>
      </c>
      <c r="C260" s="10">
        <f>23.7058 * CHOOSE(CONTROL!$C$15, $E$9, 100%, $G$9) + CHOOSE(CONTROL!$C$38, 0.0369, 0)</f>
        <v>23.742699999999999</v>
      </c>
      <c r="D260" s="10">
        <f>23.698 * CHOOSE(CONTROL!$C$15, $E$9, 100%, $G$9) + CHOOSE(CONTROL!$C$38, 0.0369, 0)</f>
        <v>23.7349</v>
      </c>
      <c r="E260" s="46">
        <f>25.6451 * CHOOSE(CONTROL!$C$15, $E$9, 100%, $G$9) + CHOOSE(CONTROL!$C$38, 0.0369, 0)</f>
        <v>25.681999999999999</v>
      </c>
      <c r="F260" s="45">
        <f>25.6451 * CHOOSE(CONTROL!$C$15, $E$9, 100%, $G$9) + CHOOSE(CONTROL!$C$38, 0.0278, 0)</f>
        <v>25.672899999999998</v>
      </c>
      <c r="G260" s="10">
        <f>23.7043 * CHOOSE(CONTROL!$C$15, $E$9, 100%, $G$9) + CHOOSE(CONTROL!$C$38, 0.0369, 0)</f>
        <v>23.741199999999999</v>
      </c>
      <c r="H260" s="10">
        <f>23.7043 * CHOOSE(CONTROL!$C$15, $E$9, 100%, $G$9) + CHOOSE(CONTROL!$C$38, 0.0369, 0)</f>
        <v>23.741199999999999</v>
      </c>
      <c r="I260" s="10">
        <f>23.7058 * CHOOSE(CONTROL!$C$15, $E$9, 100%, $G$9) + CHOOSE(CONTROL!$C$38, 0.0369, 0)</f>
        <v>23.742699999999999</v>
      </c>
      <c r="J260" s="44">
        <f>169.4432</f>
        <v>169.44319999999999</v>
      </c>
    </row>
    <row r="261" spans="1:10" ht="15" x14ac:dyDescent="0.2">
      <c r="A261" s="16">
        <v>48853</v>
      </c>
      <c r="B261" s="10">
        <f>26.0331 * CHOOSE(CONTROL!$C$15, $E$9, 100%, $G$9) + CHOOSE(CONTROL!$C$38, 0.0256, 0)</f>
        <v>26.058700000000002</v>
      </c>
      <c r="C261" s="10">
        <f>23.9376 * CHOOSE(CONTROL!$C$15, $E$9, 100%, $G$9) + CHOOSE(CONTROL!$C$38, 0.0347, 0)</f>
        <v>23.972300000000001</v>
      </c>
      <c r="D261" s="10">
        <f>23.9298 * CHOOSE(CONTROL!$C$15, $E$9, 100%, $G$9) + CHOOSE(CONTROL!$C$38, 0.0347, 0)</f>
        <v>23.964500000000001</v>
      </c>
      <c r="E261" s="46">
        <f>25.8769 * CHOOSE(CONTROL!$C$15, $E$9, 100%, $G$9) + CHOOSE(CONTROL!$C$38, 0.0347, 0)</f>
        <v>25.9116</v>
      </c>
      <c r="F261" s="45">
        <f>25.8769 * CHOOSE(CONTROL!$C$15, $E$9, 100%, $G$9) + CHOOSE(CONTROL!$C$38, 0.0256, 0)</f>
        <v>25.9025</v>
      </c>
      <c r="G261" s="10">
        <f>23.9361 * CHOOSE(CONTROL!$C$15, $E$9, 100%, $G$9) + CHOOSE(CONTROL!$C$38, 0.0347, 0)</f>
        <v>23.970800000000001</v>
      </c>
      <c r="H261" s="10">
        <f>23.9361 * CHOOSE(CONTROL!$C$15, $E$9, 100%, $G$9) + CHOOSE(CONTROL!$C$38, 0.0347, 0)</f>
        <v>23.970800000000001</v>
      </c>
      <c r="I261" s="10">
        <f>23.9376 * CHOOSE(CONTROL!$C$15, $E$9, 100%, $G$9) + CHOOSE(CONTROL!$C$38, 0.0347, 0)</f>
        <v>23.972300000000001</v>
      </c>
      <c r="J261" s="44">
        <f>163.5837</f>
        <v>163.58369999999999</v>
      </c>
    </row>
    <row r="262" spans="1:10" ht="15" x14ac:dyDescent="0.2">
      <c r="A262" s="16">
        <v>48884</v>
      </c>
      <c r="B262" s="10">
        <f>26.2266 * CHOOSE(CONTROL!$C$15, $E$9, 100%, $G$9) + CHOOSE(CONTROL!$C$38, 0.0256, 0)</f>
        <v>26.252200000000002</v>
      </c>
      <c r="C262" s="10">
        <f>24.1311 * CHOOSE(CONTROL!$C$15, $E$9, 100%, $G$9) + CHOOSE(CONTROL!$C$38, 0.0347, 0)</f>
        <v>24.165800000000001</v>
      </c>
      <c r="D262" s="10">
        <f>24.1233 * CHOOSE(CONTROL!$C$15, $E$9, 100%, $G$9) + CHOOSE(CONTROL!$C$38, 0.0347, 0)</f>
        <v>24.158000000000001</v>
      </c>
      <c r="E262" s="46">
        <f>26.0703 * CHOOSE(CONTROL!$C$15, $E$9, 100%, $G$9) + CHOOSE(CONTROL!$C$38, 0.0347, 0)</f>
        <v>26.105</v>
      </c>
      <c r="F262" s="45">
        <f>26.0703 * CHOOSE(CONTROL!$C$15, $E$9, 100%, $G$9) + CHOOSE(CONTROL!$C$38, 0.0256, 0)</f>
        <v>26.0959</v>
      </c>
      <c r="G262" s="10">
        <f>24.1295 * CHOOSE(CONTROL!$C$15, $E$9, 100%, $G$9) + CHOOSE(CONTROL!$C$38, 0.0347, 0)</f>
        <v>24.164200000000001</v>
      </c>
      <c r="H262" s="10">
        <f>24.1295 * CHOOSE(CONTROL!$C$15, $E$9, 100%, $G$9) + CHOOSE(CONTROL!$C$38, 0.0347, 0)</f>
        <v>24.164200000000001</v>
      </c>
      <c r="I262" s="10">
        <f>24.1311 * CHOOSE(CONTROL!$C$15, $E$9, 100%, $G$9) + CHOOSE(CONTROL!$C$38, 0.0347, 0)</f>
        <v>24.165800000000001</v>
      </c>
      <c r="J262" s="44">
        <f>162.4181</f>
        <v>162.41810000000001</v>
      </c>
    </row>
    <row r="263" spans="1:10" ht="15" x14ac:dyDescent="0.2">
      <c r="A263" s="16">
        <v>48914</v>
      </c>
      <c r="B263" s="10">
        <f>26.8226 * CHOOSE(CONTROL!$C$15, $E$9, 100%, $G$9) + CHOOSE(CONTROL!$C$38, 0.0256, 0)</f>
        <v>26.848200000000002</v>
      </c>
      <c r="C263" s="10">
        <f>24.7271 * CHOOSE(CONTROL!$C$15, $E$9, 100%, $G$9) + CHOOSE(CONTROL!$C$38, 0.0347, 0)</f>
        <v>24.761800000000001</v>
      </c>
      <c r="D263" s="10">
        <f>24.7193 * CHOOSE(CONTROL!$C$15, $E$9, 100%, $G$9) + CHOOSE(CONTROL!$C$38, 0.0347, 0)</f>
        <v>24.754000000000001</v>
      </c>
      <c r="E263" s="46">
        <f>26.6664 * CHOOSE(CONTROL!$C$15, $E$9, 100%, $G$9) + CHOOSE(CONTROL!$C$38, 0.0347, 0)</f>
        <v>26.7011</v>
      </c>
      <c r="F263" s="45">
        <f>26.6664 * CHOOSE(CONTROL!$C$15, $E$9, 100%, $G$9) + CHOOSE(CONTROL!$C$38, 0.0256, 0)</f>
        <v>26.692</v>
      </c>
      <c r="G263" s="10">
        <f>24.7256 * CHOOSE(CONTROL!$C$15, $E$9, 100%, $G$9) + CHOOSE(CONTROL!$C$38, 0.0347, 0)</f>
        <v>24.760300000000001</v>
      </c>
      <c r="H263" s="10">
        <f>24.7256 * CHOOSE(CONTROL!$C$15, $E$9, 100%, $G$9) + CHOOSE(CONTROL!$C$38, 0.0347, 0)</f>
        <v>24.760300000000001</v>
      </c>
      <c r="I263" s="10">
        <f>24.7271 * CHOOSE(CONTROL!$C$15, $E$9, 100%, $G$9) + CHOOSE(CONTROL!$C$38, 0.0347, 0)</f>
        <v>24.761800000000001</v>
      </c>
      <c r="J263" s="44">
        <f>157.5984</f>
        <v>157.5984</v>
      </c>
    </row>
    <row r="264" spans="1:10" ht="15" x14ac:dyDescent="0.2">
      <c r="A264" s="16">
        <v>48945</v>
      </c>
      <c r="B264" s="10">
        <f>27.7138 * CHOOSE(CONTROL!$C$15, $E$9, 100%, $G$9) + CHOOSE(CONTROL!$C$38, 0.0256, 0)</f>
        <v>27.7394</v>
      </c>
      <c r="C264" s="10">
        <f>25.5865 * CHOOSE(CONTROL!$C$15, $E$9, 100%, $G$9) + CHOOSE(CONTROL!$C$38, 0.0347, 0)</f>
        <v>25.621200000000002</v>
      </c>
      <c r="D264" s="10">
        <f>25.5787 * CHOOSE(CONTROL!$C$15, $E$9, 100%, $G$9) + CHOOSE(CONTROL!$C$38, 0.0347, 0)</f>
        <v>25.613400000000002</v>
      </c>
      <c r="E264" s="46">
        <f>27.5575 * CHOOSE(CONTROL!$C$15, $E$9, 100%, $G$9) + CHOOSE(CONTROL!$C$38, 0.0347, 0)</f>
        <v>27.592200000000002</v>
      </c>
      <c r="F264" s="45">
        <f>27.5575 * CHOOSE(CONTROL!$C$15, $E$9, 100%, $G$9) + CHOOSE(CONTROL!$C$38, 0.0256, 0)</f>
        <v>27.583100000000002</v>
      </c>
      <c r="G264" s="10">
        <f>25.5849 * CHOOSE(CONTROL!$C$15, $E$9, 100%, $G$9) + CHOOSE(CONTROL!$C$38, 0.0347, 0)</f>
        <v>25.619600000000002</v>
      </c>
      <c r="H264" s="10">
        <f>25.5849 * CHOOSE(CONTROL!$C$15, $E$9, 100%, $G$9) + CHOOSE(CONTROL!$C$38, 0.0347, 0)</f>
        <v>25.619600000000002</v>
      </c>
      <c r="I264" s="10">
        <f>25.5865 * CHOOSE(CONTROL!$C$15, $E$9, 100%, $G$9) + CHOOSE(CONTROL!$C$38, 0.0347, 0)</f>
        <v>25.621200000000002</v>
      </c>
      <c r="J264" s="44">
        <f>157.2974</f>
        <v>157.29740000000001</v>
      </c>
    </row>
    <row r="265" spans="1:10" ht="15" x14ac:dyDescent="0.2">
      <c r="A265" s="16">
        <v>48976</v>
      </c>
      <c r="B265" s="10">
        <f>27.9346 * CHOOSE(CONTROL!$C$15, $E$9, 100%, $G$9) + CHOOSE(CONTROL!$C$38, 0.0256, 0)</f>
        <v>27.9602</v>
      </c>
      <c r="C265" s="10">
        <f>25.8073 * CHOOSE(CONTROL!$C$15, $E$9, 100%, $G$9) + CHOOSE(CONTROL!$C$38, 0.0347, 0)</f>
        <v>25.842000000000002</v>
      </c>
      <c r="D265" s="10">
        <f>25.7995 * CHOOSE(CONTROL!$C$15, $E$9, 100%, $G$9) + CHOOSE(CONTROL!$C$38, 0.0347, 0)</f>
        <v>25.834199999999999</v>
      </c>
      <c r="E265" s="46">
        <f>27.7783 * CHOOSE(CONTROL!$C$15, $E$9, 100%, $G$9) + CHOOSE(CONTROL!$C$38, 0.0347, 0)</f>
        <v>27.813000000000002</v>
      </c>
      <c r="F265" s="45">
        <f>27.7783 * CHOOSE(CONTROL!$C$15, $E$9, 100%, $G$9) + CHOOSE(CONTROL!$C$38, 0.0256, 0)</f>
        <v>27.803900000000002</v>
      </c>
      <c r="G265" s="10">
        <f>25.8057 * CHOOSE(CONTROL!$C$15, $E$9, 100%, $G$9) + CHOOSE(CONTROL!$C$38, 0.0347, 0)</f>
        <v>25.840400000000002</v>
      </c>
      <c r="H265" s="10">
        <f>25.8057 * CHOOSE(CONTROL!$C$15, $E$9, 100%, $G$9) + CHOOSE(CONTROL!$C$38, 0.0347, 0)</f>
        <v>25.840400000000002</v>
      </c>
      <c r="I265" s="10">
        <f>25.8073 * CHOOSE(CONTROL!$C$15, $E$9, 100%, $G$9) + CHOOSE(CONTROL!$C$38, 0.0347, 0)</f>
        <v>25.842000000000002</v>
      </c>
      <c r="J265" s="44">
        <f>156.8602</f>
        <v>156.86019999999999</v>
      </c>
    </row>
    <row r="266" spans="1:10" ht="15" x14ac:dyDescent="0.2">
      <c r="A266" s="16">
        <v>49004</v>
      </c>
      <c r="B266" s="10">
        <f>27.4235 * CHOOSE(CONTROL!$C$15, $E$9, 100%, $G$9) + CHOOSE(CONTROL!$C$38, 0.0256, 0)</f>
        <v>27.449100000000001</v>
      </c>
      <c r="C266" s="10">
        <f>25.2962 * CHOOSE(CONTROL!$C$15, $E$9, 100%, $G$9) + CHOOSE(CONTROL!$C$38, 0.0347, 0)</f>
        <v>25.3309</v>
      </c>
      <c r="D266" s="10">
        <f>25.2884 * CHOOSE(CONTROL!$C$15, $E$9, 100%, $G$9) + CHOOSE(CONTROL!$C$38, 0.0347, 0)</f>
        <v>25.3231</v>
      </c>
      <c r="E266" s="46">
        <f>27.2673 * CHOOSE(CONTROL!$C$15, $E$9, 100%, $G$9) + CHOOSE(CONTROL!$C$38, 0.0347, 0)</f>
        <v>27.302</v>
      </c>
      <c r="F266" s="45">
        <f>27.2673 * CHOOSE(CONTROL!$C$15, $E$9, 100%, $G$9) + CHOOSE(CONTROL!$C$38, 0.0256, 0)</f>
        <v>27.292899999999999</v>
      </c>
      <c r="G266" s="10">
        <f>25.2947 * CHOOSE(CONTROL!$C$15, $E$9, 100%, $G$9) + CHOOSE(CONTROL!$C$38, 0.0347, 0)</f>
        <v>25.3294</v>
      </c>
      <c r="H266" s="10">
        <f>25.2947 * CHOOSE(CONTROL!$C$15, $E$9, 100%, $G$9) + CHOOSE(CONTROL!$C$38, 0.0347, 0)</f>
        <v>25.3294</v>
      </c>
      <c r="I266" s="10">
        <f>25.2962 * CHOOSE(CONTROL!$C$15, $E$9, 100%, $G$9) + CHOOSE(CONTROL!$C$38, 0.0347, 0)</f>
        <v>25.3309</v>
      </c>
      <c r="J266" s="44">
        <f>165.1276</f>
        <v>165.1276</v>
      </c>
    </row>
    <row r="267" spans="1:10" ht="15" x14ac:dyDescent="0.2">
      <c r="A267" s="16">
        <v>49035</v>
      </c>
      <c r="B267" s="10">
        <f>26.9283 * CHOOSE(CONTROL!$C$15, $E$9, 100%, $G$9) + CHOOSE(CONTROL!$C$38, 0.0256, 0)</f>
        <v>26.953900000000001</v>
      </c>
      <c r="C267" s="10">
        <f>24.8011 * CHOOSE(CONTROL!$C$15, $E$9, 100%, $G$9) + CHOOSE(CONTROL!$C$38, 0.0347, 0)</f>
        <v>24.835800000000003</v>
      </c>
      <c r="D267" s="10">
        <f>24.7932 * CHOOSE(CONTROL!$C$15, $E$9, 100%, $G$9) + CHOOSE(CONTROL!$C$38, 0.0347, 0)</f>
        <v>24.8279</v>
      </c>
      <c r="E267" s="46">
        <f>26.7721 * CHOOSE(CONTROL!$C$15, $E$9, 100%, $G$9) + CHOOSE(CONTROL!$C$38, 0.0347, 0)</f>
        <v>26.806799999999999</v>
      </c>
      <c r="F267" s="45">
        <f>26.7721 * CHOOSE(CONTROL!$C$15, $E$9, 100%, $G$9) + CHOOSE(CONTROL!$C$38, 0.0256, 0)</f>
        <v>26.797699999999999</v>
      </c>
      <c r="G267" s="10">
        <f>24.7995 * CHOOSE(CONTROL!$C$15, $E$9, 100%, $G$9) + CHOOSE(CONTROL!$C$38, 0.0347, 0)</f>
        <v>24.834199999999999</v>
      </c>
      <c r="H267" s="10">
        <f>24.7995 * CHOOSE(CONTROL!$C$15, $E$9, 100%, $G$9) + CHOOSE(CONTROL!$C$38, 0.0347, 0)</f>
        <v>24.834199999999999</v>
      </c>
      <c r="I267" s="10">
        <f>24.8011 * CHOOSE(CONTROL!$C$15, $E$9, 100%, $G$9) + CHOOSE(CONTROL!$C$38, 0.0347, 0)</f>
        <v>24.835800000000003</v>
      </c>
      <c r="J267" s="44">
        <f>175.8485</f>
        <v>175.8485</v>
      </c>
    </row>
    <row r="268" spans="1:10" ht="15" x14ac:dyDescent="0.2">
      <c r="A268" s="16">
        <v>49065</v>
      </c>
      <c r="B268" s="10">
        <f>26.4122 * CHOOSE(CONTROL!$C$15, $E$9, 100%, $G$9) + CHOOSE(CONTROL!$C$38, 0.0278, 0)</f>
        <v>26.439999999999998</v>
      </c>
      <c r="C268" s="10">
        <f>24.2849 * CHOOSE(CONTROL!$C$15, $E$9, 100%, $G$9) + CHOOSE(CONTROL!$C$38, 0.0369, 0)</f>
        <v>24.3218</v>
      </c>
      <c r="D268" s="10">
        <f>24.2771 * CHOOSE(CONTROL!$C$15, $E$9, 100%, $G$9) + CHOOSE(CONTROL!$C$38, 0.0369, 0)</f>
        <v>24.314</v>
      </c>
      <c r="E268" s="46">
        <f>26.256 * CHOOSE(CONTROL!$C$15, $E$9, 100%, $G$9) + CHOOSE(CONTROL!$C$38, 0.0369, 0)</f>
        <v>26.292899999999999</v>
      </c>
      <c r="F268" s="45">
        <f>26.256 * CHOOSE(CONTROL!$C$15, $E$9, 100%, $G$9) + CHOOSE(CONTROL!$C$38, 0.0278, 0)</f>
        <v>26.283799999999999</v>
      </c>
      <c r="G268" s="10">
        <f>24.2834 * CHOOSE(CONTROL!$C$15, $E$9, 100%, $G$9) + CHOOSE(CONTROL!$C$38, 0.0369, 0)</f>
        <v>24.3203</v>
      </c>
      <c r="H268" s="10">
        <f>24.2834 * CHOOSE(CONTROL!$C$15, $E$9, 100%, $G$9) + CHOOSE(CONTROL!$C$38, 0.0369, 0)</f>
        <v>24.3203</v>
      </c>
      <c r="I268" s="10">
        <f>24.2849 * CHOOSE(CONTROL!$C$15, $E$9, 100%, $G$9) + CHOOSE(CONTROL!$C$38, 0.0369, 0)</f>
        <v>24.3218</v>
      </c>
      <c r="J268" s="44">
        <f>181.7496</f>
        <v>181.74959999999999</v>
      </c>
    </row>
    <row r="269" spans="1:10" ht="15" x14ac:dyDescent="0.2">
      <c r="A269" s="16">
        <v>49096</v>
      </c>
      <c r="B269" s="10">
        <f>26.0504 * CHOOSE(CONTROL!$C$15, $E$9, 100%, $G$9) + CHOOSE(CONTROL!$C$38, 0.0278, 0)</f>
        <v>26.078199999999999</v>
      </c>
      <c r="C269" s="10">
        <f>23.9231 * CHOOSE(CONTROL!$C$15, $E$9, 100%, $G$9) + CHOOSE(CONTROL!$C$38, 0.0369, 0)</f>
        <v>23.96</v>
      </c>
      <c r="D269" s="10">
        <f>23.9153 * CHOOSE(CONTROL!$C$15, $E$9, 100%, $G$9) + CHOOSE(CONTROL!$C$38, 0.0369, 0)</f>
        <v>23.952199999999998</v>
      </c>
      <c r="E269" s="46">
        <f>25.8941 * CHOOSE(CONTROL!$C$15, $E$9, 100%, $G$9) + CHOOSE(CONTROL!$C$38, 0.0369, 0)</f>
        <v>25.931000000000001</v>
      </c>
      <c r="F269" s="45">
        <f>25.8941 * CHOOSE(CONTROL!$C$15, $E$9, 100%, $G$9) + CHOOSE(CONTROL!$C$38, 0.0278, 0)</f>
        <v>25.921900000000001</v>
      </c>
      <c r="G269" s="10">
        <f>23.9215 * CHOOSE(CONTROL!$C$15, $E$9, 100%, $G$9) + CHOOSE(CONTROL!$C$38, 0.0369, 0)</f>
        <v>23.958400000000001</v>
      </c>
      <c r="H269" s="10">
        <f>23.9215 * CHOOSE(CONTROL!$C$15, $E$9, 100%, $G$9) + CHOOSE(CONTROL!$C$38, 0.0369, 0)</f>
        <v>23.958400000000001</v>
      </c>
      <c r="I269" s="10">
        <f>23.9231 * CHOOSE(CONTROL!$C$15, $E$9, 100%, $G$9) + CHOOSE(CONTROL!$C$38, 0.0369, 0)</f>
        <v>23.96</v>
      </c>
      <c r="J269" s="44">
        <f>184.3684</f>
        <v>184.36840000000001</v>
      </c>
    </row>
    <row r="270" spans="1:10" ht="15" x14ac:dyDescent="0.2">
      <c r="A270" s="16">
        <v>49126</v>
      </c>
      <c r="B270" s="10">
        <f>25.8439 * CHOOSE(CONTROL!$C$15, $E$9, 100%, $G$9) + CHOOSE(CONTROL!$C$38, 0.0278, 0)</f>
        <v>25.871700000000001</v>
      </c>
      <c r="C270" s="10">
        <f>23.7166 * CHOOSE(CONTROL!$C$15, $E$9, 100%, $G$9) + CHOOSE(CONTROL!$C$38, 0.0369, 0)</f>
        <v>23.753499999999999</v>
      </c>
      <c r="D270" s="10">
        <f>23.7088 * CHOOSE(CONTROL!$C$15, $E$9, 100%, $G$9) + CHOOSE(CONTROL!$C$38, 0.0369, 0)</f>
        <v>23.745699999999999</v>
      </c>
      <c r="E270" s="46">
        <f>25.6877 * CHOOSE(CONTROL!$C$15, $E$9, 100%, $G$9) + CHOOSE(CONTROL!$C$38, 0.0369, 0)</f>
        <v>25.724599999999999</v>
      </c>
      <c r="F270" s="45">
        <f>25.6877 * CHOOSE(CONTROL!$C$15, $E$9, 100%, $G$9) + CHOOSE(CONTROL!$C$38, 0.0278, 0)</f>
        <v>25.715499999999999</v>
      </c>
      <c r="G270" s="10">
        <f>23.7151 * CHOOSE(CONTROL!$C$15, $E$9, 100%, $G$9) + CHOOSE(CONTROL!$C$38, 0.0369, 0)</f>
        <v>23.751999999999999</v>
      </c>
      <c r="H270" s="10">
        <f>23.7151 * CHOOSE(CONTROL!$C$15, $E$9, 100%, $G$9) + CHOOSE(CONTROL!$C$38, 0.0369, 0)</f>
        <v>23.751999999999999</v>
      </c>
      <c r="I270" s="10">
        <f>23.7166 * CHOOSE(CONTROL!$C$15, $E$9, 100%, $G$9) + CHOOSE(CONTROL!$C$38, 0.0369, 0)</f>
        <v>23.753499999999999</v>
      </c>
      <c r="J270" s="44">
        <f>183.5062</f>
        <v>183.50620000000001</v>
      </c>
    </row>
    <row r="271" spans="1:10" ht="15" x14ac:dyDescent="0.2">
      <c r="A271" s="16">
        <v>49157</v>
      </c>
      <c r="B271" s="10">
        <f>25.9458 * CHOOSE(CONTROL!$C$15, $E$9, 100%, $G$9) + CHOOSE(CONTROL!$C$38, 0.0278, 0)</f>
        <v>25.973599999999998</v>
      </c>
      <c r="C271" s="10">
        <f>23.8185 * CHOOSE(CONTROL!$C$15, $E$9, 100%, $G$9) + CHOOSE(CONTROL!$C$38, 0.0369, 0)</f>
        <v>23.855399999999999</v>
      </c>
      <c r="D271" s="10">
        <f>23.8107 * CHOOSE(CONTROL!$C$15, $E$9, 100%, $G$9) + CHOOSE(CONTROL!$C$38, 0.0369, 0)</f>
        <v>23.8476</v>
      </c>
      <c r="E271" s="46">
        <f>25.7896 * CHOOSE(CONTROL!$C$15, $E$9, 100%, $G$9) + CHOOSE(CONTROL!$C$38, 0.0369, 0)</f>
        <v>25.826499999999999</v>
      </c>
      <c r="F271" s="45">
        <f>25.7896 * CHOOSE(CONTROL!$C$15, $E$9, 100%, $G$9) + CHOOSE(CONTROL!$C$38, 0.0278, 0)</f>
        <v>25.817399999999999</v>
      </c>
      <c r="G271" s="10">
        <f>23.817 * CHOOSE(CONTROL!$C$15, $E$9, 100%, $G$9) + CHOOSE(CONTROL!$C$38, 0.0369, 0)</f>
        <v>23.853899999999999</v>
      </c>
      <c r="H271" s="10">
        <f>23.817 * CHOOSE(CONTROL!$C$15, $E$9, 100%, $G$9) + CHOOSE(CONTROL!$C$38, 0.0369, 0)</f>
        <v>23.853899999999999</v>
      </c>
      <c r="I271" s="10">
        <f>23.8185 * CHOOSE(CONTROL!$C$15, $E$9, 100%, $G$9) + CHOOSE(CONTROL!$C$38, 0.0369, 0)</f>
        <v>23.855399999999999</v>
      </c>
      <c r="J271" s="44">
        <f>179.2342</f>
        <v>179.23419999999999</v>
      </c>
    </row>
    <row r="272" spans="1:10" ht="15" x14ac:dyDescent="0.2">
      <c r="A272" s="16">
        <v>49188</v>
      </c>
      <c r="B272" s="10">
        <f>26.2226 * CHOOSE(CONTROL!$C$15, $E$9, 100%, $G$9) + CHOOSE(CONTROL!$C$38, 0.0278, 0)</f>
        <v>26.250399999999999</v>
      </c>
      <c r="C272" s="10">
        <f>24.0953 * CHOOSE(CONTROL!$C$15, $E$9, 100%, $G$9) + CHOOSE(CONTROL!$C$38, 0.0369, 0)</f>
        <v>24.132200000000001</v>
      </c>
      <c r="D272" s="10">
        <f>24.0875 * CHOOSE(CONTROL!$C$15, $E$9, 100%, $G$9) + CHOOSE(CONTROL!$C$38, 0.0369, 0)</f>
        <v>24.124399999999998</v>
      </c>
      <c r="E272" s="46">
        <f>26.0664 * CHOOSE(CONTROL!$C$15, $E$9, 100%, $G$9) + CHOOSE(CONTROL!$C$38, 0.0369, 0)</f>
        <v>26.103300000000001</v>
      </c>
      <c r="F272" s="45">
        <f>26.0664 * CHOOSE(CONTROL!$C$15, $E$9, 100%, $G$9) + CHOOSE(CONTROL!$C$38, 0.0278, 0)</f>
        <v>26.094200000000001</v>
      </c>
      <c r="G272" s="10">
        <f>24.0938 * CHOOSE(CONTROL!$C$15, $E$9, 100%, $G$9) + CHOOSE(CONTROL!$C$38, 0.0369, 0)</f>
        <v>24.130700000000001</v>
      </c>
      <c r="H272" s="10">
        <f>24.0938 * CHOOSE(CONTROL!$C$15, $E$9, 100%, $G$9) + CHOOSE(CONTROL!$C$38, 0.0369, 0)</f>
        <v>24.130700000000001</v>
      </c>
      <c r="I272" s="10">
        <f>24.0953 * CHOOSE(CONTROL!$C$15, $E$9, 100%, $G$9) + CHOOSE(CONTROL!$C$38, 0.0369, 0)</f>
        <v>24.132200000000001</v>
      </c>
      <c r="J272" s="44">
        <f>173.2768</f>
        <v>173.27680000000001</v>
      </c>
    </row>
    <row r="273" spans="1:10" ht="15" x14ac:dyDescent="0.2">
      <c r="A273" s="16">
        <v>49218</v>
      </c>
      <c r="B273" s="10">
        <f>26.4544 * CHOOSE(CONTROL!$C$15, $E$9, 100%, $G$9) + CHOOSE(CONTROL!$C$38, 0.0256, 0)</f>
        <v>26.48</v>
      </c>
      <c r="C273" s="10">
        <f>24.3271 * CHOOSE(CONTROL!$C$15, $E$9, 100%, $G$9) + CHOOSE(CONTROL!$C$38, 0.0347, 0)</f>
        <v>24.361800000000002</v>
      </c>
      <c r="D273" s="10">
        <f>24.3193 * CHOOSE(CONTROL!$C$15, $E$9, 100%, $G$9) + CHOOSE(CONTROL!$C$38, 0.0347, 0)</f>
        <v>24.353999999999999</v>
      </c>
      <c r="E273" s="46">
        <f>26.2982 * CHOOSE(CONTROL!$C$15, $E$9, 100%, $G$9) + CHOOSE(CONTROL!$C$38, 0.0347, 0)</f>
        <v>26.332900000000002</v>
      </c>
      <c r="F273" s="45">
        <f>26.2982 * CHOOSE(CONTROL!$C$15, $E$9, 100%, $G$9) + CHOOSE(CONTROL!$C$38, 0.0256, 0)</f>
        <v>26.323800000000002</v>
      </c>
      <c r="G273" s="10">
        <f>24.3256 * CHOOSE(CONTROL!$C$15, $E$9, 100%, $G$9) + CHOOSE(CONTROL!$C$38, 0.0347, 0)</f>
        <v>24.360300000000002</v>
      </c>
      <c r="H273" s="10">
        <f>24.3256 * CHOOSE(CONTROL!$C$15, $E$9, 100%, $G$9) + CHOOSE(CONTROL!$C$38, 0.0347, 0)</f>
        <v>24.360300000000002</v>
      </c>
      <c r="I273" s="10">
        <f>24.3271 * CHOOSE(CONTROL!$C$15, $E$9, 100%, $G$9) + CHOOSE(CONTROL!$C$38, 0.0347, 0)</f>
        <v>24.361800000000002</v>
      </c>
      <c r="J273" s="44">
        <f>167.2847</f>
        <v>167.28469999999999</v>
      </c>
    </row>
    <row r="274" spans="1:10" ht="15" x14ac:dyDescent="0.2">
      <c r="A274" s="16">
        <v>49249</v>
      </c>
      <c r="B274" s="10">
        <f>26.6479 * CHOOSE(CONTROL!$C$15, $E$9, 100%, $G$9) + CHOOSE(CONTROL!$C$38, 0.0256, 0)</f>
        <v>26.673500000000001</v>
      </c>
      <c r="C274" s="10">
        <f>24.5206 * CHOOSE(CONTROL!$C$15, $E$9, 100%, $G$9) + CHOOSE(CONTROL!$C$38, 0.0347, 0)</f>
        <v>24.555300000000003</v>
      </c>
      <c r="D274" s="10">
        <f>24.5128 * CHOOSE(CONTROL!$C$15, $E$9, 100%, $G$9) + CHOOSE(CONTROL!$C$38, 0.0347, 0)</f>
        <v>24.547499999999999</v>
      </c>
      <c r="E274" s="46">
        <f>26.4916 * CHOOSE(CONTROL!$C$15, $E$9, 100%, $G$9) + CHOOSE(CONTROL!$C$38, 0.0347, 0)</f>
        <v>26.526299999999999</v>
      </c>
      <c r="F274" s="45">
        <f>26.4916 * CHOOSE(CONTROL!$C$15, $E$9, 100%, $G$9) + CHOOSE(CONTROL!$C$38, 0.0256, 0)</f>
        <v>26.517199999999999</v>
      </c>
      <c r="G274" s="10">
        <f>24.519 * CHOOSE(CONTROL!$C$15, $E$9, 100%, $G$9) + CHOOSE(CONTROL!$C$38, 0.0347, 0)</f>
        <v>24.553699999999999</v>
      </c>
      <c r="H274" s="10">
        <f>24.519 * CHOOSE(CONTROL!$C$15, $E$9, 100%, $G$9) + CHOOSE(CONTROL!$C$38, 0.0347, 0)</f>
        <v>24.553699999999999</v>
      </c>
      <c r="I274" s="10">
        <f>24.5206 * CHOOSE(CONTROL!$C$15, $E$9, 100%, $G$9) + CHOOSE(CONTROL!$C$38, 0.0347, 0)</f>
        <v>24.555300000000003</v>
      </c>
      <c r="J274" s="44">
        <f>166.0928</f>
        <v>166.09280000000001</v>
      </c>
    </row>
    <row r="275" spans="1:10" ht="15" x14ac:dyDescent="0.2">
      <c r="A275" s="16">
        <v>49279</v>
      </c>
      <c r="B275" s="10">
        <f>27.2439 * CHOOSE(CONTROL!$C$15, $E$9, 100%, $G$9) + CHOOSE(CONTROL!$C$38, 0.0256, 0)</f>
        <v>27.269500000000001</v>
      </c>
      <c r="C275" s="10">
        <f>25.1167 * CHOOSE(CONTROL!$C$15, $E$9, 100%, $G$9) + CHOOSE(CONTROL!$C$38, 0.0347, 0)</f>
        <v>25.151400000000002</v>
      </c>
      <c r="D275" s="10">
        <f>25.1088 * CHOOSE(CONTROL!$C$15, $E$9, 100%, $G$9) + CHOOSE(CONTROL!$C$38, 0.0347, 0)</f>
        <v>25.1435</v>
      </c>
      <c r="E275" s="46">
        <f>27.0877 * CHOOSE(CONTROL!$C$15, $E$9, 100%, $G$9) + CHOOSE(CONTROL!$C$38, 0.0347, 0)</f>
        <v>27.122400000000003</v>
      </c>
      <c r="F275" s="45">
        <f>27.0877 * CHOOSE(CONTROL!$C$15, $E$9, 100%, $G$9) + CHOOSE(CONTROL!$C$38, 0.0256, 0)</f>
        <v>27.113300000000002</v>
      </c>
      <c r="G275" s="10">
        <f>25.1151 * CHOOSE(CONTROL!$C$15, $E$9, 100%, $G$9) + CHOOSE(CONTROL!$C$38, 0.0347, 0)</f>
        <v>25.149800000000003</v>
      </c>
      <c r="H275" s="10">
        <f>25.1151 * CHOOSE(CONTROL!$C$15, $E$9, 100%, $G$9) + CHOOSE(CONTROL!$C$38, 0.0347, 0)</f>
        <v>25.149800000000003</v>
      </c>
      <c r="I275" s="10">
        <f>25.1167 * CHOOSE(CONTROL!$C$15, $E$9, 100%, $G$9) + CHOOSE(CONTROL!$C$38, 0.0347, 0)</f>
        <v>25.151400000000002</v>
      </c>
      <c r="J275" s="44">
        <f>161.164</f>
        <v>161.16399999999999</v>
      </c>
    </row>
    <row r="276" spans="1:10" ht="15" x14ac:dyDescent="0.2">
      <c r="A276" s="16">
        <v>49310</v>
      </c>
      <c r="B276" s="10">
        <f>28.142 * CHOOSE(CONTROL!$C$15, $E$9, 100%, $G$9) + CHOOSE(CONTROL!$C$38, 0.0256, 0)</f>
        <v>28.1676</v>
      </c>
      <c r="C276" s="10">
        <f>25.9824 * CHOOSE(CONTROL!$C$15, $E$9, 100%, $G$9) + CHOOSE(CONTROL!$C$38, 0.0347, 0)</f>
        <v>26.017099999999999</v>
      </c>
      <c r="D276" s="10">
        <f>25.9746 * CHOOSE(CONTROL!$C$15, $E$9, 100%, $G$9) + CHOOSE(CONTROL!$C$38, 0.0347, 0)</f>
        <v>26.0093</v>
      </c>
      <c r="E276" s="46">
        <f>27.9857 * CHOOSE(CONTROL!$C$15, $E$9, 100%, $G$9) + CHOOSE(CONTROL!$C$38, 0.0347, 0)</f>
        <v>28.020400000000002</v>
      </c>
      <c r="F276" s="45">
        <f>27.9857 * CHOOSE(CONTROL!$C$15, $E$9, 100%, $G$9) + CHOOSE(CONTROL!$C$38, 0.0256, 0)</f>
        <v>28.011300000000002</v>
      </c>
      <c r="G276" s="10">
        <f>25.9808 * CHOOSE(CONTROL!$C$15, $E$9, 100%, $G$9) + CHOOSE(CONTROL!$C$38, 0.0347, 0)</f>
        <v>26.015499999999999</v>
      </c>
      <c r="H276" s="10">
        <f>25.9808 * CHOOSE(CONTROL!$C$15, $E$9, 100%, $G$9) + CHOOSE(CONTROL!$C$38, 0.0347, 0)</f>
        <v>26.015499999999999</v>
      </c>
      <c r="I276" s="10">
        <f>25.9824 * CHOOSE(CONTROL!$C$15, $E$9, 100%, $G$9) + CHOOSE(CONTROL!$C$38, 0.0347, 0)</f>
        <v>26.017099999999999</v>
      </c>
      <c r="J276" s="44">
        <f>160.8562</f>
        <v>160.8562</v>
      </c>
    </row>
    <row r="277" spans="1:10" ht="15" x14ac:dyDescent="0.2">
      <c r="A277" s="16">
        <v>49341</v>
      </c>
      <c r="B277" s="10">
        <f>28.3628 * CHOOSE(CONTROL!$C$15, $E$9, 100%, $G$9) + CHOOSE(CONTROL!$C$38, 0.0256, 0)</f>
        <v>28.388400000000001</v>
      </c>
      <c r="C277" s="10">
        <f>26.2032 * CHOOSE(CONTROL!$C$15, $E$9, 100%, $G$9) + CHOOSE(CONTROL!$C$38, 0.0347, 0)</f>
        <v>26.2379</v>
      </c>
      <c r="D277" s="10">
        <f>26.1953 * CHOOSE(CONTROL!$C$15, $E$9, 100%, $G$9) + CHOOSE(CONTROL!$C$38, 0.0347, 0)</f>
        <v>26.23</v>
      </c>
      <c r="E277" s="46">
        <f>28.2065 * CHOOSE(CONTROL!$C$15, $E$9, 100%, $G$9) + CHOOSE(CONTROL!$C$38, 0.0347, 0)</f>
        <v>28.241199999999999</v>
      </c>
      <c r="F277" s="45">
        <f>28.2065 * CHOOSE(CONTROL!$C$15, $E$9, 100%, $G$9) + CHOOSE(CONTROL!$C$38, 0.0256, 0)</f>
        <v>28.232099999999999</v>
      </c>
      <c r="G277" s="10">
        <f>26.2016 * CHOOSE(CONTROL!$C$15, $E$9, 100%, $G$9) + CHOOSE(CONTROL!$C$38, 0.0347, 0)</f>
        <v>26.2363</v>
      </c>
      <c r="H277" s="10">
        <f>26.2016 * CHOOSE(CONTROL!$C$15, $E$9, 100%, $G$9) + CHOOSE(CONTROL!$C$38, 0.0347, 0)</f>
        <v>26.2363</v>
      </c>
      <c r="I277" s="10">
        <f>26.2032 * CHOOSE(CONTROL!$C$15, $E$9, 100%, $G$9) + CHOOSE(CONTROL!$C$38, 0.0347, 0)</f>
        <v>26.2379</v>
      </c>
      <c r="J277" s="44">
        <f>160.409</f>
        <v>160.40899999999999</v>
      </c>
    </row>
    <row r="278" spans="1:10" ht="15" x14ac:dyDescent="0.2">
      <c r="A278" s="16">
        <v>49369</v>
      </c>
      <c r="B278" s="10">
        <f>27.8517 * CHOOSE(CONTROL!$C$15, $E$9, 100%, $G$9) + CHOOSE(CONTROL!$C$38, 0.0256, 0)</f>
        <v>27.877300000000002</v>
      </c>
      <c r="C278" s="10">
        <f>25.6921 * CHOOSE(CONTROL!$C$15, $E$9, 100%, $G$9) + CHOOSE(CONTROL!$C$38, 0.0347, 0)</f>
        <v>25.726800000000001</v>
      </c>
      <c r="D278" s="10">
        <f>25.6843 * CHOOSE(CONTROL!$C$15, $E$9, 100%, $G$9) + CHOOSE(CONTROL!$C$38, 0.0347, 0)</f>
        <v>25.719000000000001</v>
      </c>
      <c r="E278" s="46">
        <f>27.6955 * CHOOSE(CONTROL!$C$15, $E$9, 100%, $G$9) + CHOOSE(CONTROL!$C$38, 0.0347, 0)</f>
        <v>27.7302</v>
      </c>
      <c r="F278" s="45">
        <f>27.6955 * CHOOSE(CONTROL!$C$15, $E$9, 100%, $G$9) + CHOOSE(CONTROL!$C$38, 0.0256, 0)</f>
        <v>27.7211</v>
      </c>
      <c r="G278" s="10">
        <f>25.6906 * CHOOSE(CONTROL!$C$15, $E$9, 100%, $G$9) + CHOOSE(CONTROL!$C$38, 0.0347, 0)</f>
        <v>25.725300000000001</v>
      </c>
      <c r="H278" s="10">
        <f>25.6906 * CHOOSE(CONTROL!$C$15, $E$9, 100%, $G$9) + CHOOSE(CONTROL!$C$38, 0.0347, 0)</f>
        <v>25.725300000000001</v>
      </c>
      <c r="I278" s="10">
        <f>25.6921 * CHOOSE(CONTROL!$C$15, $E$9, 100%, $G$9) + CHOOSE(CONTROL!$C$38, 0.0347, 0)</f>
        <v>25.726800000000001</v>
      </c>
      <c r="J278" s="44">
        <f>168.8635</f>
        <v>168.86349999999999</v>
      </c>
    </row>
    <row r="279" spans="1:10" ht="15" x14ac:dyDescent="0.2">
      <c r="A279" s="16">
        <v>49400</v>
      </c>
      <c r="B279" s="10">
        <f>27.3565 * CHOOSE(CONTROL!$C$15, $E$9, 100%, $G$9) + CHOOSE(CONTROL!$C$38, 0.0256, 0)</f>
        <v>27.382100000000001</v>
      </c>
      <c r="C279" s="10">
        <f>25.1969 * CHOOSE(CONTROL!$C$15, $E$9, 100%, $G$9) + CHOOSE(CONTROL!$C$38, 0.0347, 0)</f>
        <v>25.2316</v>
      </c>
      <c r="D279" s="10">
        <f>25.1891 * CHOOSE(CONTROL!$C$15, $E$9, 100%, $G$9) + CHOOSE(CONTROL!$C$38, 0.0347, 0)</f>
        <v>25.223800000000001</v>
      </c>
      <c r="E279" s="46">
        <f>27.2003 * CHOOSE(CONTROL!$C$15, $E$9, 100%, $G$9) + CHOOSE(CONTROL!$C$38, 0.0347, 0)</f>
        <v>27.234999999999999</v>
      </c>
      <c r="F279" s="45">
        <f>27.2003 * CHOOSE(CONTROL!$C$15, $E$9, 100%, $G$9) + CHOOSE(CONTROL!$C$38, 0.0256, 0)</f>
        <v>27.225899999999999</v>
      </c>
      <c r="G279" s="10">
        <f>25.1954 * CHOOSE(CONTROL!$C$15, $E$9, 100%, $G$9) + CHOOSE(CONTROL!$C$38, 0.0347, 0)</f>
        <v>25.2301</v>
      </c>
      <c r="H279" s="10">
        <f>25.1954 * CHOOSE(CONTROL!$C$15, $E$9, 100%, $G$9) + CHOOSE(CONTROL!$C$38, 0.0347, 0)</f>
        <v>25.2301</v>
      </c>
      <c r="I279" s="10">
        <f>25.1969 * CHOOSE(CONTROL!$C$15, $E$9, 100%, $G$9) + CHOOSE(CONTROL!$C$38, 0.0347, 0)</f>
        <v>25.2316</v>
      </c>
      <c r="J279" s="44">
        <f>179.827</f>
        <v>179.827</v>
      </c>
    </row>
    <row r="280" spans="1:10" ht="15" x14ac:dyDescent="0.2">
      <c r="A280" s="16">
        <v>49430</v>
      </c>
      <c r="B280" s="10">
        <f>26.8404 * CHOOSE(CONTROL!$C$15, $E$9, 100%, $G$9) + CHOOSE(CONTROL!$C$38, 0.0278, 0)</f>
        <v>26.868199999999998</v>
      </c>
      <c r="C280" s="10">
        <f>24.6808 * CHOOSE(CONTROL!$C$15, $E$9, 100%, $G$9) + CHOOSE(CONTROL!$C$38, 0.0369, 0)</f>
        <v>24.717700000000001</v>
      </c>
      <c r="D280" s="10">
        <f>24.673 * CHOOSE(CONTROL!$C$15, $E$9, 100%, $G$9) + CHOOSE(CONTROL!$C$38, 0.0369, 0)</f>
        <v>24.709899999999998</v>
      </c>
      <c r="E280" s="46">
        <f>26.6842 * CHOOSE(CONTROL!$C$15, $E$9, 100%, $G$9) + CHOOSE(CONTROL!$C$38, 0.0369, 0)</f>
        <v>26.7211</v>
      </c>
      <c r="F280" s="45">
        <f>26.6842 * CHOOSE(CONTROL!$C$15, $E$9, 100%, $G$9) + CHOOSE(CONTROL!$C$38, 0.0278, 0)</f>
        <v>26.712</v>
      </c>
      <c r="G280" s="10">
        <f>24.6793 * CHOOSE(CONTROL!$C$15, $E$9, 100%, $G$9) + CHOOSE(CONTROL!$C$38, 0.0369, 0)</f>
        <v>24.716200000000001</v>
      </c>
      <c r="H280" s="10">
        <f>24.6793 * CHOOSE(CONTROL!$C$15, $E$9, 100%, $G$9) + CHOOSE(CONTROL!$C$38, 0.0369, 0)</f>
        <v>24.716200000000001</v>
      </c>
      <c r="I280" s="10">
        <f>24.6808 * CHOOSE(CONTROL!$C$15, $E$9, 100%, $G$9) + CHOOSE(CONTROL!$C$38, 0.0369, 0)</f>
        <v>24.717700000000001</v>
      </c>
      <c r="J280" s="44">
        <f>185.8616</f>
        <v>185.86160000000001</v>
      </c>
    </row>
    <row r="281" spans="1:10" ht="15" x14ac:dyDescent="0.2">
      <c r="A281" s="15">
        <v>49461</v>
      </c>
      <c r="B281" s="10">
        <f>26.4786 * CHOOSE(CONTROL!$C$15, $E$9, 100%, $G$9) + CHOOSE(CONTROL!$C$38, 0.0278, 0)</f>
        <v>26.506399999999999</v>
      </c>
      <c r="C281" s="10">
        <f>24.319 * CHOOSE(CONTROL!$C$15, $E$9, 100%, $G$9) + CHOOSE(CONTROL!$C$38, 0.0369, 0)</f>
        <v>24.355899999999998</v>
      </c>
      <c r="D281" s="10">
        <f>24.3112 * CHOOSE(CONTROL!$C$15, $E$9, 100%, $G$9) + CHOOSE(CONTROL!$C$38, 0.0369, 0)</f>
        <v>24.348099999999999</v>
      </c>
      <c r="E281" s="46">
        <f>26.3224 * CHOOSE(CONTROL!$C$15, $E$9, 100%, $G$9) + CHOOSE(CONTROL!$C$38, 0.0369, 0)</f>
        <v>26.359299999999998</v>
      </c>
      <c r="F281" s="45">
        <f>26.3224 * CHOOSE(CONTROL!$C$15, $E$9, 100%, $G$9) + CHOOSE(CONTROL!$C$38, 0.0278, 0)</f>
        <v>26.350199999999997</v>
      </c>
      <c r="G281" s="10">
        <f>24.3174 * CHOOSE(CONTROL!$C$15, $E$9, 100%, $G$9) + CHOOSE(CONTROL!$C$38, 0.0369, 0)</f>
        <v>24.354299999999999</v>
      </c>
      <c r="H281" s="10">
        <f>24.3174 * CHOOSE(CONTROL!$C$15, $E$9, 100%, $G$9) + CHOOSE(CONTROL!$C$38, 0.0369, 0)</f>
        <v>24.354299999999999</v>
      </c>
      <c r="I281" s="10">
        <f>24.319 * CHOOSE(CONTROL!$C$15, $E$9, 100%, $G$9) + CHOOSE(CONTROL!$C$38, 0.0369, 0)</f>
        <v>24.355899999999998</v>
      </c>
      <c r="J281" s="44">
        <f>188.5397</f>
        <v>188.53970000000001</v>
      </c>
    </row>
    <row r="282" spans="1:10" ht="15" x14ac:dyDescent="0.2">
      <c r="A282" s="15">
        <v>49491</v>
      </c>
      <c r="B282" s="10">
        <f>26.2721 * CHOOSE(CONTROL!$C$15, $E$9, 100%, $G$9) + CHOOSE(CONTROL!$C$38, 0.0278, 0)</f>
        <v>26.299899999999997</v>
      </c>
      <c r="C282" s="10">
        <f>24.1125 * CHOOSE(CONTROL!$C$15, $E$9, 100%, $G$9) + CHOOSE(CONTROL!$C$38, 0.0369, 0)</f>
        <v>24.1494</v>
      </c>
      <c r="D282" s="10">
        <f>24.1047 * CHOOSE(CONTROL!$C$15, $E$9, 100%, $G$9) + CHOOSE(CONTROL!$C$38, 0.0369, 0)</f>
        <v>24.1416</v>
      </c>
      <c r="E282" s="46">
        <f>26.1159 * CHOOSE(CONTROL!$C$15, $E$9, 100%, $G$9) + CHOOSE(CONTROL!$C$38, 0.0369, 0)</f>
        <v>26.152799999999999</v>
      </c>
      <c r="F282" s="45">
        <f>26.1159 * CHOOSE(CONTROL!$C$15, $E$9, 100%, $G$9) + CHOOSE(CONTROL!$C$38, 0.0278, 0)</f>
        <v>26.143699999999999</v>
      </c>
      <c r="G282" s="10">
        <f>24.1109 * CHOOSE(CONTROL!$C$15, $E$9, 100%, $G$9) + CHOOSE(CONTROL!$C$38, 0.0369, 0)</f>
        <v>24.1478</v>
      </c>
      <c r="H282" s="10">
        <f>24.1109 * CHOOSE(CONTROL!$C$15, $E$9, 100%, $G$9) + CHOOSE(CONTROL!$C$38, 0.0369, 0)</f>
        <v>24.1478</v>
      </c>
      <c r="I282" s="10">
        <f>24.1125 * CHOOSE(CONTROL!$C$15, $E$9, 100%, $G$9) + CHOOSE(CONTROL!$C$38, 0.0369, 0)</f>
        <v>24.1494</v>
      </c>
      <c r="J282" s="44">
        <f>187.6579</f>
        <v>187.65790000000001</v>
      </c>
    </row>
    <row r="283" spans="1:10" ht="15" x14ac:dyDescent="0.2">
      <c r="A283" s="15">
        <v>49522</v>
      </c>
      <c r="B283" s="10">
        <f>26.374 * CHOOSE(CONTROL!$C$15, $E$9, 100%, $G$9) + CHOOSE(CONTROL!$C$38, 0.0278, 0)</f>
        <v>26.401799999999998</v>
      </c>
      <c r="C283" s="10">
        <f>24.2144 * CHOOSE(CONTROL!$C$15, $E$9, 100%, $G$9) + CHOOSE(CONTROL!$C$38, 0.0369, 0)</f>
        <v>24.251300000000001</v>
      </c>
      <c r="D283" s="10">
        <f>24.2066 * CHOOSE(CONTROL!$C$15, $E$9, 100%, $G$9) + CHOOSE(CONTROL!$C$38, 0.0369, 0)</f>
        <v>24.243500000000001</v>
      </c>
      <c r="E283" s="46">
        <f>26.2178 * CHOOSE(CONTROL!$C$15, $E$9, 100%, $G$9) + CHOOSE(CONTROL!$C$38, 0.0369, 0)</f>
        <v>26.2547</v>
      </c>
      <c r="F283" s="45">
        <f>26.2178 * CHOOSE(CONTROL!$C$15, $E$9, 100%, $G$9) + CHOOSE(CONTROL!$C$38, 0.0278, 0)</f>
        <v>26.2456</v>
      </c>
      <c r="G283" s="10">
        <f>24.2129 * CHOOSE(CONTROL!$C$15, $E$9, 100%, $G$9) + CHOOSE(CONTROL!$C$38, 0.0369, 0)</f>
        <v>24.2498</v>
      </c>
      <c r="H283" s="10">
        <f>24.2129 * CHOOSE(CONTROL!$C$15, $E$9, 100%, $G$9) + CHOOSE(CONTROL!$C$38, 0.0369, 0)</f>
        <v>24.2498</v>
      </c>
      <c r="I283" s="10">
        <f>24.2144 * CHOOSE(CONTROL!$C$15, $E$9, 100%, $G$9) + CHOOSE(CONTROL!$C$38, 0.0369, 0)</f>
        <v>24.251300000000001</v>
      </c>
      <c r="J283" s="44">
        <f>183.2893</f>
        <v>183.2893</v>
      </c>
    </row>
    <row r="284" spans="1:10" ht="15" x14ac:dyDescent="0.2">
      <c r="A284" s="15">
        <v>49553</v>
      </c>
      <c r="B284" s="10">
        <f>26.6508 * CHOOSE(CONTROL!$C$15, $E$9, 100%, $G$9) + CHOOSE(CONTROL!$C$38, 0.0278, 0)</f>
        <v>26.678599999999999</v>
      </c>
      <c r="C284" s="10">
        <f>24.4912 * CHOOSE(CONTROL!$C$15, $E$9, 100%, $G$9) + CHOOSE(CONTROL!$C$38, 0.0369, 0)</f>
        <v>24.528099999999998</v>
      </c>
      <c r="D284" s="10">
        <f>24.4834 * CHOOSE(CONTROL!$C$15, $E$9, 100%, $G$9) + CHOOSE(CONTROL!$C$38, 0.0369, 0)</f>
        <v>24.520299999999999</v>
      </c>
      <c r="E284" s="46">
        <f>26.4946 * CHOOSE(CONTROL!$C$15, $E$9, 100%, $G$9) + CHOOSE(CONTROL!$C$38, 0.0369, 0)</f>
        <v>26.531499999999998</v>
      </c>
      <c r="F284" s="45">
        <f>26.4946 * CHOOSE(CONTROL!$C$15, $E$9, 100%, $G$9) + CHOOSE(CONTROL!$C$38, 0.0278, 0)</f>
        <v>26.522399999999998</v>
      </c>
      <c r="G284" s="10">
        <f>24.4897 * CHOOSE(CONTROL!$C$15, $E$9, 100%, $G$9) + CHOOSE(CONTROL!$C$38, 0.0369, 0)</f>
        <v>24.526599999999998</v>
      </c>
      <c r="H284" s="10">
        <f>24.4897 * CHOOSE(CONTROL!$C$15, $E$9, 100%, $G$9) + CHOOSE(CONTROL!$C$38, 0.0369, 0)</f>
        <v>24.526599999999998</v>
      </c>
      <c r="I284" s="10">
        <f>24.4912 * CHOOSE(CONTROL!$C$15, $E$9, 100%, $G$9) + CHOOSE(CONTROL!$C$38, 0.0369, 0)</f>
        <v>24.528099999999998</v>
      </c>
      <c r="J284" s="44">
        <f>177.1971</f>
        <v>177.19710000000001</v>
      </c>
    </row>
    <row r="285" spans="1:10" ht="15" x14ac:dyDescent="0.2">
      <c r="A285" s="15">
        <v>49583</v>
      </c>
      <c r="B285" s="10">
        <f>26.8826 * CHOOSE(CONTROL!$C$15, $E$9, 100%, $G$9) + CHOOSE(CONTROL!$C$38, 0.0256, 0)</f>
        <v>26.908200000000001</v>
      </c>
      <c r="C285" s="10">
        <f>24.723 * CHOOSE(CONTROL!$C$15, $E$9, 100%, $G$9) + CHOOSE(CONTROL!$C$38, 0.0347, 0)</f>
        <v>24.7577</v>
      </c>
      <c r="D285" s="10">
        <f>24.7152 * CHOOSE(CONTROL!$C$15, $E$9, 100%, $G$9) + CHOOSE(CONTROL!$C$38, 0.0347, 0)</f>
        <v>24.7499</v>
      </c>
      <c r="E285" s="46">
        <f>26.7264 * CHOOSE(CONTROL!$C$15, $E$9, 100%, $G$9) + CHOOSE(CONTROL!$C$38, 0.0347, 0)</f>
        <v>26.761100000000003</v>
      </c>
      <c r="F285" s="45">
        <f>26.7264 * CHOOSE(CONTROL!$C$15, $E$9, 100%, $G$9) + CHOOSE(CONTROL!$C$38, 0.0256, 0)</f>
        <v>26.752000000000002</v>
      </c>
      <c r="G285" s="10">
        <f>24.7215 * CHOOSE(CONTROL!$C$15, $E$9, 100%, $G$9) + CHOOSE(CONTROL!$C$38, 0.0347, 0)</f>
        <v>24.7562</v>
      </c>
      <c r="H285" s="10">
        <f>24.7215 * CHOOSE(CONTROL!$C$15, $E$9, 100%, $G$9) + CHOOSE(CONTROL!$C$38, 0.0347, 0)</f>
        <v>24.7562</v>
      </c>
      <c r="I285" s="10">
        <f>24.723 * CHOOSE(CONTROL!$C$15, $E$9, 100%, $G$9) + CHOOSE(CONTROL!$C$38, 0.0347, 0)</f>
        <v>24.7577</v>
      </c>
      <c r="J285" s="44">
        <f>171.0695</f>
        <v>171.06950000000001</v>
      </c>
    </row>
    <row r="286" spans="1:10" ht="15" x14ac:dyDescent="0.2">
      <c r="A286" s="15">
        <v>49614</v>
      </c>
      <c r="B286" s="10">
        <f>27.0761 * CHOOSE(CONTROL!$C$15, $E$9, 100%, $G$9) + CHOOSE(CONTROL!$C$38, 0.0256, 0)</f>
        <v>27.101700000000001</v>
      </c>
      <c r="C286" s="10">
        <f>24.9165 * CHOOSE(CONTROL!$C$15, $E$9, 100%, $G$9) + CHOOSE(CONTROL!$C$38, 0.0347, 0)</f>
        <v>24.9512</v>
      </c>
      <c r="D286" s="10">
        <f>24.9087 * CHOOSE(CONTROL!$C$15, $E$9, 100%, $G$9) + CHOOSE(CONTROL!$C$38, 0.0347, 0)</f>
        <v>24.9434</v>
      </c>
      <c r="E286" s="46">
        <f>26.9198 * CHOOSE(CONTROL!$C$15, $E$9, 100%, $G$9) + CHOOSE(CONTROL!$C$38, 0.0347, 0)</f>
        <v>26.954499999999999</v>
      </c>
      <c r="F286" s="45">
        <f>26.9198 * CHOOSE(CONTROL!$C$15, $E$9, 100%, $G$9) + CHOOSE(CONTROL!$C$38, 0.0256, 0)</f>
        <v>26.945399999999999</v>
      </c>
      <c r="G286" s="10">
        <f>24.9149 * CHOOSE(CONTROL!$C$15, $E$9, 100%, $G$9) + CHOOSE(CONTROL!$C$38, 0.0347, 0)</f>
        <v>24.9496</v>
      </c>
      <c r="H286" s="10">
        <f>24.9149 * CHOOSE(CONTROL!$C$15, $E$9, 100%, $G$9) + CHOOSE(CONTROL!$C$38, 0.0347, 0)</f>
        <v>24.9496</v>
      </c>
      <c r="I286" s="10">
        <f>24.9165 * CHOOSE(CONTROL!$C$15, $E$9, 100%, $G$9) + CHOOSE(CONTROL!$C$38, 0.0347, 0)</f>
        <v>24.9512</v>
      </c>
      <c r="J286" s="44">
        <f>169.8505</f>
        <v>169.85050000000001</v>
      </c>
    </row>
    <row r="287" spans="1:10" ht="15" x14ac:dyDescent="0.2">
      <c r="A287" s="15">
        <v>49644</v>
      </c>
      <c r="B287" s="10">
        <f>27.6722 * CHOOSE(CONTROL!$C$15, $E$9, 100%, $G$9) + CHOOSE(CONTROL!$C$38, 0.0256, 0)</f>
        <v>27.697800000000001</v>
      </c>
      <c r="C287" s="10">
        <f>25.5125 * CHOOSE(CONTROL!$C$15, $E$9, 100%, $G$9) + CHOOSE(CONTROL!$C$38, 0.0347, 0)</f>
        <v>25.5472</v>
      </c>
      <c r="D287" s="10">
        <f>25.5047 * CHOOSE(CONTROL!$C$15, $E$9, 100%, $G$9) + CHOOSE(CONTROL!$C$38, 0.0347, 0)</f>
        <v>25.539400000000001</v>
      </c>
      <c r="E287" s="46">
        <f>27.5159 * CHOOSE(CONTROL!$C$15, $E$9, 100%, $G$9) + CHOOSE(CONTROL!$C$38, 0.0347, 0)</f>
        <v>27.550599999999999</v>
      </c>
      <c r="F287" s="45">
        <f>27.5159 * CHOOSE(CONTROL!$C$15, $E$9, 100%, $G$9) + CHOOSE(CONTROL!$C$38, 0.0256, 0)</f>
        <v>27.541499999999999</v>
      </c>
      <c r="G287" s="10">
        <f>25.511 * CHOOSE(CONTROL!$C$15, $E$9, 100%, $G$9) + CHOOSE(CONTROL!$C$38, 0.0347, 0)</f>
        <v>25.5457</v>
      </c>
      <c r="H287" s="10">
        <f>25.511 * CHOOSE(CONTROL!$C$15, $E$9, 100%, $G$9) + CHOOSE(CONTROL!$C$38, 0.0347, 0)</f>
        <v>25.5457</v>
      </c>
      <c r="I287" s="10">
        <f>25.5125 * CHOOSE(CONTROL!$C$15, $E$9, 100%, $G$9) + CHOOSE(CONTROL!$C$38, 0.0347, 0)</f>
        <v>25.5472</v>
      </c>
      <c r="J287" s="44">
        <f>164.8102</f>
        <v>164.81020000000001</v>
      </c>
    </row>
    <row r="288" spans="1:10" ht="15" x14ac:dyDescent="0.2">
      <c r="A288" s="15">
        <v>49675</v>
      </c>
      <c r="B288" s="10">
        <f>28.5772 * CHOOSE(CONTROL!$C$15, $E$9, 100%, $G$9) + CHOOSE(CONTROL!$C$38, 0.0256, 0)</f>
        <v>28.602800000000002</v>
      </c>
      <c r="C288" s="10">
        <f>26.3848 * CHOOSE(CONTROL!$C$15, $E$9, 100%, $G$9) + CHOOSE(CONTROL!$C$38, 0.0347, 0)</f>
        <v>26.419499999999999</v>
      </c>
      <c r="D288" s="10">
        <f>26.377 * CHOOSE(CONTROL!$C$15, $E$9, 100%, $G$9) + CHOOSE(CONTROL!$C$38, 0.0347, 0)</f>
        <v>26.4117</v>
      </c>
      <c r="E288" s="46">
        <f>28.421 * CHOOSE(CONTROL!$C$15, $E$9, 100%, $G$9) + CHOOSE(CONTROL!$C$38, 0.0347, 0)</f>
        <v>28.4557</v>
      </c>
      <c r="F288" s="45">
        <f>28.421 * CHOOSE(CONTROL!$C$15, $E$9, 100%, $G$9) + CHOOSE(CONTROL!$C$38, 0.0256, 0)</f>
        <v>28.4466</v>
      </c>
      <c r="G288" s="10">
        <f>26.3832 * CHOOSE(CONTROL!$C$15, $E$9, 100%, $G$9) + CHOOSE(CONTROL!$C$38, 0.0347, 0)</f>
        <v>26.417899999999999</v>
      </c>
      <c r="H288" s="10">
        <f>26.3832 * CHOOSE(CONTROL!$C$15, $E$9, 100%, $G$9) + CHOOSE(CONTROL!$C$38, 0.0347, 0)</f>
        <v>26.417899999999999</v>
      </c>
      <c r="I288" s="10">
        <f>26.3848 * CHOOSE(CONTROL!$C$15, $E$9, 100%, $G$9) + CHOOSE(CONTROL!$C$38, 0.0347, 0)</f>
        <v>26.419499999999999</v>
      </c>
      <c r="J288" s="44">
        <f>164.4955</f>
        <v>164.49549999999999</v>
      </c>
    </row>
    <row r="289" spans="1:10" ht="15" x14ac:dyDescent="0.2">
      <c r="A289" s="15">
        <v>49706</v>
      </c>
      <c r="B289" s="10">
        <f>28.798 * CHOOSE(CONTROL!$C$15, $E$9, 100%, $G$9) + CHOOSE(CONTROL!$C$38, 0.0256, 0)</f>
        <v>28.823599999999999</v>
      </c>
      <c r="C289" s="10">
        <f>26.6055 * CHOOSE(CONTROL!$C$15, $E$9, 100%, $G$9) + CHOOSE(CONTROL!$C$38, 0.0347, 0)</f>
        <v>26.6402</v>
      </c>
      <c r="D289" s="10">
        <f>26.5977 * CHOOSE(CONTROL!$C$15, $E$9, 100%, $G$9) + CHOOSE(CONTROL!$C$38, 0.0347, 0)</f>
        <v>26.632400000000001</v>
      </c>
      <c r="E289" s="46">
        <f>28.6417 * CHOOSE(CONTROL!$C$15, $E$9, 100%, $G$9) + CHOOSE(CONTROL!$C$38, 0.0347, 0)</f>
        <v>28.676400000000001</v>
      </c>
      <c r="F289" s="45">
        <f>28.6417 * CHOOSE(CONTROL!$C$15, $E$9, 100%, $G$9) + CHOOSE(CONTROL!$C$38, 0.0256, 0)</f>
        <v>28.667300000000001</v>
      </c>
      <c r="G289" s="10">
        <f>26.604 * CHOOSE(CONTROL!$C$15, $E$9, 100%, $G$9) + CHOOSE(CONTROL!$C$38, 0.0347, 0)</f>
        <v>26.6387</v>
      </c>
      <c r="H289" s="10">
        <f>26.604 * CHOOSE(CONTROL!$C$15, $E$9, 100%, $G$9) + CHOOSE(CONTROL!$C$38, 0.0347, 0)</f>
        <v>26.6387</v>
      </c>
      <c r="I289" s="10">
        <f>26.6055 * CHOOSE(CONTROL!$C$15, $E$9, 100%, $G$9) + CHOOSE(CONTROL!$C$38, 0.0347, 0)</f>
        <v>26.6402</v>
      </c>
      <c r="J289" s="44">
        <f>164.0382</f>
        <v>164.03819999999999</v>
      </c>
    </row>
    <row r="290" spans="1:10" ht="15" x14ac:dyDescent="0.2">
      <c r="A290" s="15">
        <v>49735</v>
      </c>
      <c r="B290" s="10">
        <f>28.287 * CHOOSE(CONTROL!$C$15, $E$9, 100%, $G$9) + CHOOSE(CONTROL!$C$38, 0.0256, 0)</f>
        <v>28.3126</v>
      </c>
      <c r="C290" s="10">
        <f>26.0945 * CHOOSE(CONTROL!$C$15, $E$9, 100%, $G$9) + CHOOSE(CONTROL!$C$38, 0.0347, 0)</f>
        <v>26.129200000000001</v>
      </c>
      <c r="D290" s="10">
        <f>26.0867 * CHOOSE(CONTROL!$C$15, $E$9, 100%, $G$9) + CHOOSE(CONTROL!$C$38, 0.0347, 0)</f>
        <v>26.121400000000001</v>
      </c>
      <c r="E290" s="46">
        <f>28.1307 * CHOOSE(CONTROL!$C$15, $E$9, 100%, $G$9) + CHOOSE(CONTROL!$C$38, 0.0347, 0)</f>
        <v>28.165400000000002</v>
      </c>
      <c r="F290" s="45">
        <f>28.1307 * CHOOSE(CONTROL!$C$15, $E$9, 100%, $G$9) + CHOOSE(CONTROL!$C$38, 0.0256, 0)</f>
        <v>28.156300000000002</v>
      </c>
      <c r="G290" s="10">
        <f>26.0929 * CHOOSE(CONTROL!$C$15, $E$9, 100%, $G$9) + CHOOSE(CONTROL!$C$38, 0.0347, 0)</f>
        <v>26.127600000000001</v>
      </c>
      <c r="H290" s="10">
        <f>26.0929 * CHOOSE(CONTROL!$C$15, $E$9, 100%, $G$9) + CHOOSE(CONTROL!$C$38, 0.0347, 0)</f>
        <v>26.127600000000001</v>
      </c>
      <c r="I290" s="10">
        <f>26.0945 * CHOOSE(CONTROL!$C$15, $E$9, 100%, $G$9) + CHOOSE(CONTROL!$C$38, 0.0347, 0)</f>
        <v>26.129200000000001</v>
      </c>
      <c r="J290" s="44">
        <f>172.684</f>
        <v>172.684</v>
      </c>
    </row>
    <row r="291" spans="1:10" ht="15" x14ac:dyDescent="0.2">
      <c r="A291" s="15">
        <v>49766</v>
      </c>
      <c r="B291" s="10">
        <f>27.7918 * CHOOSE(CONTROL!$C$15, $E$9, 100%, $G$9) + CHOOSE(CONTROL!$C$38, 0.0256, 0)</f>
        <v>27.817399999999999</v>
      </c>
      <c r="C291" s="10">
        <f>25.5993 * CHOOSE(CONTROL!$C$15, $E$9, 100%, $G$9) + CHOOSE(CONTROL!$C$38, 0.0347, 0)</f>
        <v>25.634</v>
      </c>
      <c r="D291" s="10">
        <f>25.5915 * CHOOSE(CONTROL!$C$15, $E$9, 100%, $G$9) + CHOOSE(CONTROL!$C$38, 0.0347, 0)</f>
        <v>25.626200000000001</v>
      </c>
      <c r="E291" s="46">
        <f>27.6355 * CHOOSE(CONTROL!$C$15, $E$9, 100%, $G$9) + CHOOSE(CONTROL!$C$38, 0.0347, 0)</f>
        <v>27.670200000000001</v>
      </c>
      <c r="F291" s="45">
        <f>27.6355 * CHOOSE(CONTROL!$C$15, $E$9, 100%, $G$9) + CHOOSE(CONTROL!$C$38, 0.0256, 0)</f>
        <v>27.661100000000001</v>
      </c>
      <c r="G291" s="10">
        <f>25.5978 * CHOOSE(CONTROL!$C$15, $E$9, 100%, $G$9) + CHOOSE(CONTROL!$C$38, 0.0347, 0)</f>
        <v>25.6325</v>
      </c>
      <c r="H291" s="10">
        <f>25.5978 * CHOOSE(CONTROL!$C$15, $E$9, 100%, $G$9) + CHOOSE(CONTROL!$C$38, 0.0347, 0)</f>
        <v>25.6325</v>
      </c>
      <c r="I291" s="10">
        <f>25.5993 * CHOOSE(CONTROL!$C$15, $E$9, 100%, $G$9) + CHOOSE(CONTROL!$C$38, 0.0347, 0)</f>
        <v>25.634</v>
      </c>
      <c r="J291" s="44">
        <f>183.8955</f>
        <v>183.8955</v>
      </c>
    </row>
    <row r="292" spans="1:10" ht="15" x14ac:dyDescent="0.2">
      <c r="A292" s="15">
        <v>49796</v>
      </c>
      <c r="B292" s="10">
        <f>27.2757 * CHOOSE(CONTROL!$C$15, $E$9, 100%, $G$9) + CHOOSE(CONTROL!$C$38, 0.0278, 0)</f>
        <v>27.3035</v>
      </c>
      <c r="C292" s="10">
        <f>25.0832 * CHOOSE(CONTROL!$C$15, $E$9, 100%, $G$9) + CHOOSE(CONTROL!$C$38, 0.0369, 0)</f>
        <v>25.120100000000001</v>
      </c>
      <c r="D292" s="10">
        <f>25.0754 * CHOOSE(CONTROL!$C$15, $E$9, 100%, $G$9) + CHOOSE(CONTROL!$C$38, 0.0369, 0)</f>
        <v>25.112299999999998</v>
      </c>
      <c r="E292" s="46">
        <f>27.1194 * CHOOSE(CONTROL!$C$15, $E$9, 100%, $G$9) + CHOOSE(CONTROL!$C$38, 0.0369, 0)</f>
        <v>27.156299999999998</v>
      </c>
      <c r="F292" s="45">
        <f>27.1194 * CHOOSE(CONTROL!$C$15, $E$9, 100%, $G$9) + CHOOSE(CONTROL!$C$38, 0.0278, 0)</f>
        <v>27.147199999999998</v>
      </c>
      <c r="G292" s="10">
        <f>25.0817 * CHOOSE(CONTROL!$C$15, $E$9, 100%, $G$9) + CHOOSE(CONTROL!$C$38, 0.0369, 0)</f>
        <v>25.118600000000001</v>
      </c>
      <c r="H292" s="10">
        <f>25.0817 * CHOOSE(CONTROL!$C$15, $E$9, 100%, $G$9) + CHOOSE(CONTROL!$C$38, 0.0369, 0)</f>
        <v>25.118600000000001</v>
      </c>
      <c r="I292" s="10">
        <f>25.0832 * CHOOSE(CONTROL!$C$15, $E$9, 100%, $G$9) + CHOOSE(CONTROL!$C$38, 0.0369, 0)</f>
        <v>25.120100000000001</v>
      </c>
      <c r="J292" s="44">
        <f>190.0666</f>
        <v>190.06659999999999</v>
      </c>
    </row>
    <row r="293" spans="1:10" ht="15" x14ac:dyDescent="0.2">
      <c r="A293" s="15">
        <v>49827</v>
      </c>
      <c r="B293" s="10">
        <f>26.9138 * CHOOSE(CONTROL!$C$15, $E$9, 100%, $G$9) + CHOOSE(CONTROL!$C$38, 0.0278, 0)</f>
        <v>26.941599999999998</v>
      </c>
      <c r="C293" s="10">
        <f>24.7214 * CHOOSE(CONTROL!$C$15, $E$9, 100%, $G$9) + CHOOSE(CONTROL!$C$38, 0.0369, 0)</f>
        <v>24.758299999999998</v>
      </c>
      <c r="D293" s="10">
        <f>24.7136 * CHOOSE(CONTROL!$C$15, $E$9, 100%, $G$9) + CHOOSE(CONTROL!$C$38, 0.0369, 0)</f>
        <v>24.750499999999999</v>
      </c>
      <c r="E293" s="46">
        <f>26.7576 * CHOOSE(CONTROL!$C$15, $E$9, 100%, $G$9) + CHOOSE(CONTROL!$C$38, 0.0369, 0)</f>
        <v>26.794499999999999</v>
      </c>
      <c r="F293" s="45">
        <f>26.7576 * CHOOSE(CONTROL!$C$15, $E$9, 100%, $G$9) + CHOOSE(CONTROL!$C$38, 0.0278, 0)</f>
        <v>26.785399999999999</v>
      </c>
      <c r="G293" s="10">
        <f>24.7198 * CHOOSE(CONTROL!$C$15, $E$9, 100%, $G$9) + CHOOSE(CONTROL!$C$38, 0.0369, 0)</f>
        <v>24.756699999999999</v>
      </c>
      <c r="H293" s="10">
        <f>24.7198 * CHOOSE(CONTROL!$C$15, $E$9, 100%, $G$9) + CHOOSE(CONTROL!$C$38, 0.0369, 0)</f>
        <v>24.756699999999999</v>
      </c>
      <c r="I293" s="10">
        <f>24.7214 * CHOOSE(CONTROL!$C$15, $E$9, 100%, $G$9) + CHOOSE(CONTROL!$C$38, 0.0369, 0)</f>
        <v>24.758299999999998</v>
      </c>
      <c r="J293" s="44">
        <f>192.8053</f>
        <v>192.80529999999999</v>
      </c>
    </row>
    <row r="294" spans="1:10" ht="15" x14ac:dyDescent="0.2">
      <c r="A294" s="15">
        <v>49857</v>
      </c>
      <c r="B294" s="10">
        <f>26.7073 * CHOOSE(CONTROL!$C$15, $E$9, 100%, $G$9) + CHOOSE(CONTROL!$C$38, 0.0278, 0)</f>
        <v>26.735099999999999</v>
      </c>
      <c r="C294" s="10">
        <f>24.5149 * CHOOSE(CONTROL!$C$15, $E$9, 100%, $G$9) + CHOOSE(CONTROL!$C$38, 0.0369, 0)</f>
        <v>24.5518</v>
      </c>
      <c r="D294" s="10">
        <f>24.5071 * CHOOSE(CONTROL!$C$15, $E$9, 100%, $G$9) + CHOOSE(CONTROL!$C$38, 0.0369, 0)</f>
        <v>24.544</v>
      </c>
      <c r="E294" s="46">
        <f>26.5511 * CHOOSE(CONTROL!$C$15, $E$9, 100%, $G$9) + CHOOSE(CONTROL!$C$38, 0.0369, 0)</f>
        <v>26.588000000000001</v>
      </c>
      <c r="F294" s="45">
        <f>26.5511 * CHOOSE(CONTROL!$C$15, $E$9, 100%, $G$9) + CHOOSE(CONTROL!$C$38, 0.0278, 0)</f>
        <v>26.578900000000001</v>
      </c>
      <c r="G294" s="10">
        <f>24.5133 * CHOOSE(CONTROL!$C$15, $E$9, 100%, $G$9) + CHOOSE(CONTROL!$C$38, 0.0369, 0)</f>
        <v>24.5502</v>
      </c>
      <c r="H294" s="10">
        <f>24.5133 * CHOOSE(CONTROL!$C$15, $E$9, 100%, $G$9) + CHOOSE(CONTROL!$C$38, 0.0369, 0)</f>
        <v>24.5502</v>
      </c>
      <c r="I294" s="10">
        <f>24.5149 * CHOOSE(CONTROL!$C$15, $E$9, 100%, $G$9) + CHOOSE(CONTROL!$C$38, 0.0369, 0)</f>
        <v>24.5518</v>
      </c>
      <c r="J294" s="44">
        <f>191.9036</f>
        <v>191.90360000000001</v>
      </c>
    </row>
    <row r="295" spans="1:10" ht="15" x14ac:dyDescent="0.2">
      <c r="A295" s="15">
        <v>49888</v>
      </c>
      <c r="B295" s="10">
        <f>26.8093 * CHOOSE(CONTROL!$C$15, $E$9, 100%, $G$9) + CHOOSE(CONTROL!$C$38, 0.0278, 0)</f>
        <v>26.8371</v>
      </c>
      <c r="C295" s="10">
        <f>24.6168 * CHOOSE(CONTROL!$C$15, $E$9, 100%, $G$9) + CHOOSE(CONTROL!$C$38, 0.0369, 0)</f>
        <v>24.653700000000001</v>
      </c>
      <c r="D295" s="10">
        <f>24.609 * CHOOSE(CONTROL!$C$15, $E$9, 100%, $G$9) + CHOOSE(CONTROL!$C$38, 0.0369, 0)</f>
        <v>24.645900000000001</v>
      </c>
      <c r="E295" s="46">
        <f>26.653 * CHOOSE(CONTROL!$C$15, $E$9, 100%, $G$9) + CHOOSE(CONTROL!$C$38, 0.0369, 0)</f>
        <v>26.689899999999998</v>
      </c>
      <c r="F295" s="45">
        <f>26.653 * CHOOSE(CONTROL!$C$15, $E$9, 100%, $G$9) + CHOOSE(CONTROL!$C$38, 0.0278, 0)</f>
        <v>26.680799999999998</v>
      </c>
      <c r="G295" s="10">
        <f>24.6152 * CHOOSE(CONTROL!$C$15, $E$9, 100%, $G$9) + CHOOSE(CONTROL!$C$38, 0.0369, 0)</f>
        <v>24.652100000000001</v>
      </c>
      <c r="H295" s="10">
        <f>24.6152 * CHOOSE(CONTROL!$C$15, $E$9, 100%, $G$9) + CHOOSE(CONTROL!$C$38, 0.0369, 0)</f>
        <v>24.652100000000001</v>
      </c>
      <c r="I295" s="10">
        <f>24.6168 * CHOOSE(CONTROL!$C$15, $E$9, 100%, $G$9) + CHOOSE(CONTROL!$C$38, 0.0369, 0)</f>
        <v>24.653700000000001</v>
      </c>
      <c r="J295" s="44">
        <f>187.4362</f>
        <v>187.43620000000001</v>
      </c>
    </row>
    <row r="296" spans="1:10" ht="15" x14ac:dyDescent="0.2">
      <c r="A296" s="15">
        <v>49919</v>
      </c>
      <c r="B296" s="10">
        <f>27.086 * CHOOSE(CONTROL!$C$15, $E$9, 100%, $G$9) + CHOOSE(CONTROL!$C$38, 0.0278, 0)</f>
        <v>27.113799999999998</v>
      </c>
      <c r="C296" s="10">
        <f>24.8936 * CHOOSE(CONTROL!$C$15, $E$9, 100%, $G$9) + CHOOSE(CONTROL!$C$38, 0.0369, 0)</f>
        <v>24.930499999999999</v>
      </c>
      <c r="D296" s="10">
        <f>24.8858 * CHOOSE(CONTROL!$C$15, $E$9, 100%, $G$9) + CHOOSE(CONTROL!$C$38, 0.0369, 0)</f>
        <v>24.922699999999999</v>
      </c>
      <c r="E296" s="46">
        <f>26.9298 * CHOOSE(CONTROL!$C$15, $E$9, 100%, $G$9) + CHOOSE(CONTROL!$C$38, 0.0369, 0)</f>
        <v>26.966699999999999</v>
      </c>
      <c r="F296" s="45">
        <f>26.9298 * CHOOSE(CONTROL!$C$15, $E$9, 100%, $G$9) + CHOOSE(CONTROL!$C$38, 0.0278, 0)</f>
        <v>26.957599999999999</v>
      </c>
      <c r="G296" s="10">
        <f>24.892 * CHOOSE(CONTROL!$C$15, $E$9, 100%, $G$9) + CHOOSE(CONTROL!$C$38, 0.0369, 0)</f>
        <v>24.928899999999999</v>
      </c>
      <c r="H296" s="10">
        <f>24.892 * CHOOSE(CONTROL!$C$15, $E$9, 100%, $G$9) + CHOOSE(CONTROL!$C$38, 0.0369, 0)</f>
        <v>24.928899999999999</v>
      </c>
      <c r="I296" s="10">
        <f>24.8936 * CHOOSE(CONTROL!$C$15, $E$9, 100%, $G$9) + CHOOSE(CONTROL!$C$38, 0.0369, 0)</f>
        <v>24.930499999999999</v>
      </c>
      <c r="J296" s="44">
        <f>181.2061</f>
        <v>181.20609999999999</v>
      </c>
    </row>
    <row r="297" spans="1:10" ht="15" x14ac:dyDescent="0.2">
      <c r="A297" s="15">
        <v>49949</v>
      </c>
      <c r="B297" s="10">
        <f>27.3179 * CHOOSE(CONTROL!$C$15, $E$9, 100%, $G$9) + CHOOSE(CONTROL!$C$38, 0.0256, 0)</f>
        <v>27.343500000000002</v>
      </c>
      <c r="C297" s="10">
        <f>25.1254 * CHOOSE(CONTROL!$C$15, $E$9, 100%, $G$9) + CHOOSE(CONTROL!$C$38, 0.0347, 0)</f>
        <v>25.1601</v>
      </c>
      <c r="D297" s="10">
        <f>25.1176 * CHOOSE(CONTROL!$C$15, $E$9, 100%, $G$9) + CHOOSE(CONTROL!$C$38, 0.0347, 0)</f>
        <v>25.1523</v>
      </c>
      <c r="E297" s="46">
        <f>27.1616 * CHOOSE(CONTROL!$C$15, $E$9, 100%, $G$9) + CHOOSE(CONTROL!$C$38, 0.0347, 0)</f>
        <v>27.196300000000001</v>
      </c>
      <c r="F297" s="45">
        <f>27.1616 * CHOOSE(CONTROL!$C$15, $E$9, 100%, $G$9) + CHOOSE(CONTROL!$C$38, 0.0256, 0)</f>
        <v>27.187200000000001</v>
      </c>
      <c r="G297" s="10">
        <f>25.1239 * CHOOSE(CONTROL!$C$15, $E$9, 100%, $G$9) + CHOOSE(CONTROL!$C$38, 0.0347, 0)</f>
        <v>25.1586</v>
      </c>
      <c r="H297" s="10">
        <f>25.1239 * CHOOSE(CONTROL!$C$15, $E$9, 100%, $G$9) + CHOOSE(CONTROL!$C$38, 0.0347, 0)</f>
        <v>25.1586</v>
      </c>
      <c r="I297" s="10">
        <f>25.1254 * CHOOSE(CONTROL!$C$15, $E$9, 100%, $G$9) + CHOOSE(CONTROL!$C$38, 0.0347, 0)</f>
        <v>25.1601</v>
      </c>
      <c r="J297" s="44">
        <f>174.9398</f>
        <v>174.93979999999999</v>
      </c>
    </row>
    <row r="298" spans="1:10" ht="15" x14ac:dyDescent="0.2">
      <c r="A298" s="15">
        <v>49980</v>
      </c>
      <c r="B298" s="10">
        <f>27.5113 * CHOOSE(CONTROL!$C$15, $E$9, 100%, $G$9) + CHOOSE(CONTROL!$C$38, 0.0256, 0)</f>
        <v>27.536899999999999</v>
      </c>
      <c r="C298" s="10">
        <f>25.3189 * CHOOSE(CONTROL!$C$15, $E$9, 100%, $G$9) + CHOOSE(CONTROL!$C$38, 0.0347, 0)</f>
        <v>25.3536</v>
      </c>
      <c r="D298" s="10">
        <f>25.3111 * CHOOSE(CONTROL!$C$15, $E$9, 100%, $G$9) + CHOOSE(CONTROL!$C$38, 0.0347, 0)</f>
        <v>25.345800000000001</v>
      </c>
      <c r="E298" s="46">
        <f>27.3551 * CHOOSE(CONTROL!$C$15, $E$9, 100%, $G$9) + CHOOSE(CONTROL!$C$38, 0.0347, 0)</f>
        <v>27.389800000000001</v>
      </c>
      <c r="F298" s="45">
        <f>27.3551 * CHOOSE(CONTROL!$C$15, $E$9, 100%, $G$9) + CHOOSE(CONTROL!$C$38, 0.0256, 0)</f>
        <v>27.380700000000001</v>
      </c>
      <c r="G298" s="10">
        <f>25.3173 * CHOOSE(CONTROL!$C$15, $E$9, 100%, $G$9) + CHOOSE(CONTROL!$C$38, 0.0347, 0)</f>
        <v>25.352</v>
      </c>
      <c r="H298" s="10">
        <f>25.3173 * CHOOSE(CONTROL!$C$15, $E$9, 100%, $G$9) + CHOOSE(CONTROL!$C$38, 0.0347, 0)</f>
        <v>25.352</v>
      </c>
      <c r="I298" s="10">
        <f>25.3189 * CHOOSE(CONTROL!$C$15, $E$9, 100%, $G$9) + CHOOSE(CONTROL!$C$38, 0.0347, 0)</f>
        <v>25.3536</v>
      </c>
      <c r="J298" s="44">
        <f>173.6933</f>
        <v>173.69329999999999</v>
      </c>
    </row>
    <row r="299" spans="1:10" ht="15" x14ac:dyDescent="0.2">
      <c r="A299" s="15">
        <v>50010</v>
      </c>
      <c r="B299" s="10">
        <f>28.1074 * CHOOSE(CONTROL!$C$15, $E$9, 100%, $G$9) + CHOOSE(CONTROL!$C$38, 0.0256, 0)</f>
        <v>28.132999999999999</v>
      </c>
      <c r="C299" s="10">
        <f>25.9149 * CHOOSE(CONTROL!$C$15, $E$9, 100%, $G$9) + CHOOSE(CONTROL!$C$38, 0.0347, 0)</f>
        <v>25.9496</v>
      </c>
      <c r="D299" s="10">
        <f>25.9071 * CHOOSE(CONTROL!$C$15, $E$9, 100%, $G$9) + CHOOSE(CONTROL!$C$38, 0.0347, 0)</f>
        <v>25.941800000000001</v>
      </c>
      <c r="E299" s="46">
        <f>27.9511 * CHOOSE(CONTROL!$C$15, $E$9, 100%, $G$9) + CHOOSE(CONTROL!$C$38, 0.0347, 0)</f>
        <v>27.985800000000001</v>
      </c>
      <c r="F299" s="45">
        <f>27.9511 * CHOOSE(CONTROL!$C$15, $E$9, 100%, $G$9) + CHOOSE(CONTROL!$C$38, 0.0256, 0)</f>
        <v>27.976700000000001</v>
      </c>
      <c r="G299" s="10">
        <f>25.9134 * CHOOSE(CONTROL!$C$15, $E$9, 100%, $G$9) + CHOOSE(CONTROL!$C$38, 0.0347, 0)</f>
        <v>25.9481</v>
      </c>
      <c r="H299" s="10">
        <f>25.9134 * CHOOSE(CONTROL!$C$15, $E$9, 100%, $G$9) + CHOOSE(CONTROL!$C$38, 0.0347, 0)</f>
        <v>25.9481</v>
      </c>
      <c r="I299" s="10">
        <f>25.9149 * CHOOSE(CONTROL!$C$15, $E$9, 100%, $G$9) + CHOOSE(CONTROL!$C$38, 0.0347, 0)</f>
        <v>25.9496</v>
      </c>
      <c r="J299" s="44">
        <f>168.539</f>
        <v>168.53899999999999</v>
      </c>
    </row>
    <row r="300" spans="1:10" ht="15" x14ac:dyDescent="0.2">
      <c r="A300" s="15">
        <v>50041</v>
      </c>
      <c r="B300" s="10">
        <f>29.0196 * CHOOSE(CONTROL!$C$15, $E$9, 100%, $G$9) + CHOOSE(CONTROL!$C$38, 0.0256, 0)</f>
        <v>29.045200000000001</v>
      </c>
      <c r="C300" s="10">
        <f>26.7938 * CHOOSE(CONTROL!$C$15, $E$9, 100%, $G$9) + CHOOSE(CONTROL!$C$38, 0.0347, 0)</f>
        <v>26.828500000000002</v>
      </c>
      <c r="D300" s="10">
        <f>26.786 * CHOOSE(CONTROL!$C$15, $E$9, 100%, $G$9) + CHOOSE(CONTROL!$C$38, 0.0347, 0)</f>
        <v>26.820700000000002</v>
      </c>
      <c r="E300" s="46">
        <f>28.8633 * CHOOSE(CONTROL!$C$15, $E$9, 100%, $G$9) + CHOOSE(CONTROL!$C$38, 0.0347, 0)</f>
        <v>28.898</v>
      </c>
      <c r="F300" s="45">
        <f>28.8633 * CHOOSE(CONTROL!$C$15, $E$9, 100%, $G$9) + CHOOSE(CONTROL!$C$38, 0.0256, 0)</f>
        <v>28.8889</v>
      </c>
      <c r="G300" s="10">
        <f>26.7922 * CHOOSE(CONTROL!$C$15, $E$9, 100%, $G$9) + CHOOSE(CONTROL!$C$38, 0.0347, 0)</f>
        <v>26.826900000000002</v>
      </c>
      <c r="H300" s="10">
        <f>26.7922 * CHOOSE(CONTROL!$C$15, $E$9, 100%, $G$9) + CHOOSE(CONTROL!$C$38, 0.0347, 0)</f>
        <v>26.826900000000002</v>
      </c>
      <c r="I300" s="10">
        <f>26.7938 * CHOOSE(CONTROL!$C$15, $E$9, 100%, $G$9) + CHOOSE(CONTROL!$C$38, 0.0347, 0)</f>
        <v>26.828500000000002</v>
      </c>
      <c r="J300" s="44">
        <f>168.2171</f>
        <v>168.21709999999999</v>
      </c>
    </row>
    <row r="301" spans="1:10" ht="15" x14ac:dyDescent="0.2">
      <c r="A301" s="15">
        <v>50072</v>
      </c>
      <c r="B301" s="10">
        <f>29.2404 * CHOOSE(CONTROL!$C$15, $E$9, 100%, $G$9) + CHOOSE(CONTROL!$C$38, 0.0256, 0)</f>
        <v>29.266000000000002</v>
      </c>
      <c r="C301" s="10">
        <f>27.0145 * CHOOSE(CONTROL!$C$15, $E$9, 100%, $G$9) + CHOOSE(CONTROL!$C$38, 0.0347, 0)</f>
        <v>27.049200000000003</v>
      </c>
      <c r="D301" s="10">
        <f>27.0067 * CHOOSE(CONTROL!$C$15, $E$9, 100%, $G$9) + CHOOSE(CONTROL!$C$38, 0.0347, 0)</f>
        <v>27.041399999999999</v>
      </c>
      <c r="E301" s="46">
        <f>29.0841 * CHOOSE(CONTROL!$C$15, $E$9, 100%, $G$9) + CHOOSE(CONTROL!$C$38, 0.0347, 0)</f>
        <v>29.1188</v>
      </c>
      <c r="F301" s="45">
        <f>29.0841 * CHOOSE(CONTROL!$C$15, $E$9, 100%, $G$9) + CHOOSE(CONTROL!$C$38, 0.0256, 0)</f>
        <v>29.1097</v>
      </c>
      <c r="G301" s="10">
        <f>27.013 * CHOOSE(CONTROL!$C$15, $E$9, 100%, $G$9) + CHOOSE(CONTROL!$C$38, 0.0347, 0)</f>
        <v>27.047700000000003</v>
      </c>
      <c r="H301" s="10">
        <f>27.013 * CHOOSE(CONTROL!$C$15, $E$9, 100%, $G$9) + CHOOSE(CONTROL!$C$38, 0.0347, 0)</f>
        <v>27.047700000000003</v>
      </c>
      <c r="I301" s="10">
        <f>27.0145 * CHOOSE(CONTROL!$C$15, $E$9, 100%, $G$9) + CHOOSE(CONTROL!$C$38, 0.0347, 0)</f>
        <v>27.049200000000003</v>
      </c>
      <c r="J301" s="44">
        <f>167.7495</f>
        <v>167.74950000000001</v>
      </c>
    </row>
    <row r="302" spans="1:10" ht="15" x14ac:dyDescent="0.2">
      <c r="A302" s="15">
        <v>50100</v>
      </c>
      <c r="B302" s="10">
        <f>28.7293 * CHOOSE(CONTROL!$C$15, $E$9, 100%, $G$9) + CHOOSE(CONTROL!$C$38, 0.0256, 0)</f>
        <v>28.754899999999999</v>
      </c>
      <c r="C302" s="10">
        <f>26.5035 * CHOOSE(CONTROL!$C$15, $E$9, 100%, $G$9) + CHOOSE(CONTROL!$C$38, 0.0347, 0)</f>
        <v>26.5382</v>
      </c>
      <c r="D302" s="10">
        <f>26.4957 * CHOOSE(CONTROL!$C$15, $E$9, 100%, $G$9) + CHOOSE(CONTROL!$C$38, 0.0347, 0)</f>
        <v>26.5304</v>
      </c>
      <c r="E302" s="46">
        <f>28.5731 * CHOOSE(CONTROL!$C$15, $E$9, 100%, $G$9) + CHOOSE(CONTROL!$C$38, 0.0347, 0)</f>
        <v>28.607800000000001</v>
      </c>
      <c r="F302" s="45">
        <f>28.5731 * CHOOSE(CONTROL!$C$15, $E$9, 100%, $G$9) + CHOOSE(CONTROL!$C$38, 0.0256, 0)</f>
        <v>28.598700000000001</v>
      </c>
      <c r="G302" s="10">
        <f>26.5019 * CHOOSE(CONTROL!$C$15, $E$9, 100%, $G$9) + CHOOSE(CONTROL!$C$38, 0.0347, 0)</f>
        <v>26.5366</v>
      </c>
      <c r="H302" s="10">
        <f>26.5019 * CHOOSE(CONTROL!$C$15, $E$9, 100%, $G$9) + CHOOSE(CONTROL!$C$38, 0.0347, 0)</f>
        <v>26.5366</v>
      </c>
      <c r="I302" s="10">
        <f>26.5035 * CHOOSE(CONTROL!$C$15, $E$9, 100%, $G$9) + CHOOSE(CONTROL!$C$38, 0.0347, 0)</f>
        <v>26.5382</v>
      </c>
      <c r="J302" s="44">
        <f>176.5909</f>
        <v>176.5909</v>
      </c>
    </row>
    <row r="303" spans="1:10" ht="15" x14ac:dyDescent="0.2">
      <c r="A303" s="15">
        <v>50131</v>
      </c>
      <c r="B303" s="10">
        <f>28.2341 * CHOOSE(CONTROL!$C$15, $E$9, 100%, $G$9) + CHOOSE(CONTROL!$C$38, 0.0256, 0)</f>
        <v>28.259700000000002</v>
      </c>
      <c r="C303" s="10">
        <f>26.0083 * CHOOSE(CONTROL!$C$15, $E$9, 100%, $G$9) + CHOOSE(CONTROL!$C$38, 0.0347, 0)</f>
        <v>26.042999999999999</v>
      </c>
      <c r="D303" s="10">
        <f>26.0005 * CHOOSE(CONTROL!$C$15, $E$9, 100%, $G$9) + CHOOSE(CONTROL!$C$38, 0.0347, 0)</f>
        <v>26.0352</v>
      </c>
      <c r="E303" s="46">
        <f>28.0779 * CHOOSE(CONTROL!$C$15, $E$9, 100%, $G$9) + CHOOSE(CONTROL!$C$38, 0.0347, 0)</f>
        <v>28.1126</v>
      </c>
      <c r="F303" s="45">
        <f>28.0779 * CHOOSE(CONTROL!$C$15, $E$9, 100%, $G$9) + CHOOSE(CONTROL!$C$38, 0.0256, 0)</f>
        <v>28.1035</v>
      </c>
      <c r="G303" s="10">
        <f>26.0068 * CHOOSE(CONTROL!$C$15, $E$9, 100%, $G$9) + CHOOSE(CONTROL!$C$38, 0.0347, 0)</f>
        <v>26.041499999999999</v>
      </c>
      <c r="H303" s="10">
        <f>26.0068 * CHOOSE(CONTROL!$C$15, $E$9, 100%, $G$9) + CHOOSE(CONTROL!$C$38, 0.0347, 0)</f>
        <v>26.041499999999999</v>
      </c>
      <c r="I303" s="10">
        <f>26.0083 * CHOOSE(CONTROL!$C$15, $E$9, 100%, $G$9) + CHOOSE(CONTROL!$C$38, 0.0347, 0)</f>
        <v>26.042999999999999</v>
      </c>
      <c r="J303" s="44">
        <f>188.056</f>
        <v>188.05600000000001</v>
      </c>
    </row>
    <row r="304" spans="1:10" ht="15" x14ac:dyDescent="0.2">
      <c r="A304" s="15">
        <v>50161</v>
      </c>
      <c r="B304" s="10">
        <f>27.718 * CHOOSE(CONTROL!$C$15, $E$9, 100%, $G$9) + CHOOSE(CONTROL!$C$38, 0.0278, 0)</f>
        <v>27.745799999999999</v>
      </c>
      <c r="C304" s="10">
        <f>25.4922 * CHOOSE(CONTROL!$C$15, $E$9, 100%, $G$9) + CHOOSE(CONTROL!$C$38, 0.0369, 0)</f>
        <v>25.5291</v>
      </c>
      <c r="D304" s="10">
        <f>25.4844 * CHOOSE(CONTROL!$C$15, $E$9, 100%, $G$9) + CHOOSE(CONTROL!$C$38, 0.0369, 0)</f>
        <v>25.5213</v>
      </c>
      <c r="E304" s="46">
        <f>27.5618 * CHOOSE(CONTROL!$C$15, $E$9, 100%, $G$9) + CHOOSE(CONTROL!$C$38, 0.0369, 0)</f>
        <v>27.598700000000001</v>
      </c>
      <c r="F304" s="45">
        <f>27.5618 * CHOOSE(CONTROL!$C$15, $E$9, 100%, $G$9) + CHOOSE(CONTROL!$C$38, 0.0278, 0)</f>
        <v>27.589600000000001</v>
      </c>
      <c r="G304" s="10">
        <f>25.4906 * CHOOSE(CONTROL!$C$15, $E$9, 100%, $G$9) + CHOOSE(CONTROL!$C$38, 0.0369, 0)</f>
        <v>25.5275</v>
      </c>
      <c r="H304" s="10">
        <f>25.4906 * CHOOSE(CONTROL!$C$15, $E$9, 100%, $G$9) + CHOOSE(CONTROL!$C$38, 0.0369, 0)</f>
        <v>25.5275</v>
      </c>
      <c r="I304" s="10">
        <f>25.4922 * CHOOSE(CONTROL!$C$15, $E$9, 100%, $G$9) + CHOOSE(CONTROL!$C$38, 0.0369, 0)</f>
        <v>25.5291</v>
      </c>
      <c r="J304" s="44">
        <f>194.3668</f>
        <v>194.36680000000001</v>
      </c>
    </row>
    <row r="305" spans="1:10" ht="15" x14ac:dyDescent="0.2">
      <c r="A305" s="15">
        <v>50192</v>
      </c>
      <c r="B305" s="10">
        <f>27.3562 * CHOOSE(CONTROL!$C$15, $E$9, 100%, $G$9) + CHOOSE(CONTROL!$C$38, 0.0278, 0)</f>
        <v>27.384</v>
      </c>
      <c r="C305" s="10">
        <f>25.1304 * CHOOSE(CONTROL!$C$15, $E$9, 100%, $G$9) + CHOOSE(CONTROL!$C$38, 0.0369, 0)</f>
        <v>25.167300000000001</v>
      </c>
      <c r="D305" s="10">
        <f>25.1226 * CHOOSE(CONTROL!$C$15, $E$9, 100%, $G$9) + CHOOSE(CONTROL!$C$38, 0.0369, 0)</f>
        <v>25.159499999999998</v>
      </c>
      <c r="E305" s="46">
        <f>27.1999 * CHOOSE(CONTROL!$C$15, $E$9, 100%, $G$9) + CHOOSE(CONTROL!$C$38, 0.0369, 0)</f>
        <v>27.236799999999999</v>
      </c>
      <c r="F305" s="45">
        <f>27.1999 * CHOOSE(CONTROL!$C$15, $E$9, 100%, $G$9) + CHOOSE(CONTROL!$C$38, 0.0278, 0)</f>
        <v>27.227699999999999</v>
      </c>
      <c r="G305" s="10">
        <f>25.1288 * CHOOSE(CONTROL!$C$15, $E$9, 100%, $G$9) + CHOOSE(CONTROL!$C$38, 0.0369, 0)</f>
        <v>25.165699999999998</v>
      </c>
      <c r="H305" s="10">
        <f>25.1288 * CHOOSE(CONTROL!$C$15, $E$9, 100%, $G$9) + CHOOSE(CONTROL!$C$38, 0.0369, 0)</f>
        <v>25.165699999999998</v>
      </c>
      <c r="I305" s="10">
        <f>25.1304 * CHOOSE(CONTROL!$C$15, $E$9, 100%, $G$9) + CHOOSE(CONTROL!$C$38, 0.0369, 0)</f>
        <v>25.167300000000001</v>
      </c>
      <c r="J305" s="44">
        <f>197.1674</f>
        <v>197.16739999999999</v>
      </c>
    </row>
    <row r="306" spans="1:10" ht="15" x14ac:dyDescent="0.2">
      <c r="A306" s="15">
        <v>50222</v>
      </c>
      <c r="B306" s="10">
        <f>27.1497 * CHOOSE(CONTROL!$C$15, $E$9, 100%, $G$9) + CHOOSE(CONTROL!$C$38, 0.0278, 0)</f>
        <v>27.177499999999998</v>
      </c>
      <c r="C306" s="10">
        <f>24.9239 * CHOOSE(CONTROL!$C$15, $E$9, 100%, $G$9) + CHOOSE(CONTROL!$C$38, 0.0369, 0)</f>
        <v>24.960799999999999</v>
      </c>
      <c r="D306" s="10">
        <f>24.9161 * CHOOSE(CONTROL!$C$15, $E$9, 100%, $G$9) + CHOOSE(CONTROL!$C$38, 0.0369, 0)</f>
        <v>24.952999999999999</v>
      </c>
      <c r="E306" s="46">
        <f>26.9935 * CHOOSE(CONTROL!$C$15, $E$9, 100%, $G$9) + CHOOSE(CONTROL!$C$38, 0.0369, 0)</f>
        <v>27.0304</v>
      </c>
      <c r="F306" s="45">
        <f>26.9935 * CHOOSE(CONTROL!$C$15, $E$9, 100%, $G$9) + CHOOSE(CONTROL!$C$38, 0.0278, 0)</f>
        <v>27.0213</v>
      </c>
      <c r="G306" s="10">
        <f>24.9223 * CHOOSE(CONTROL!$C$15, $E$9, 100%, $G$9) + CHOOSE(CONTROL!$C$38, 0.0369, 0)</f>
        <v>24.959199999999999</v>
      </c>
      <c r="H306" s="10">
        <f>24.9223 * CHOOSE(CONTROL!$C$15, $E$9, 100%, $G$9) + CHOOSE(CONTROL!$C$38, 0.0369, 0)</f>
        <v>24.959199999999999</v>
      </c>
      <c r="I306" s="10">
        <f>24.9239 * CHOOSE(CONTROL!$C$15, $E$9, 100%, $G$9) + CHOOSE(CONTROL!$C$38, 0.0369, 0)</f>
        <v>24.960799999999999</v>
      </c>
      <c r="J306" s="44">
        <f>196.2453</f>
        <v>196.24529999999999</v>
      </c>
    </row>
    <row r="307" spans="1:10" ht="15" x14ac:dyDescent="0.2">
      <c r="A307" s="15">
        <v>50253</v>
      </c>
      <c r="B307" s="10">
        <f>27.2516 * CHOOSE(CONTROL!$C$15, $E$9, 100%, $G$9) + CHOOSE(CONTROL!$C$38, 0.0278, 0)</f>
        <v>27.279399999999999</v>
      </c>
      <c r="C307" s="10">
        <f>25.0258 * CHOOSE(CONTROL!$C$15, $E$9, 100%, $G$9) + CHOOSE(CONTROL!$C$38, 0.0369, 0)</f>
        <v>25.0627</v>
      </c>
      <c r="D307" s="10">
        <f>25.018 * CHOOSE(CONTROL!$C$15, $E$9, 100%, $G$9) + CHOOSE(CONTROL!$C$38, 0.0369, 0)</f>
        <v>25.0549</v>
      </c>
      <c r="E307" s="46">
        <f>27.0954 * CHOOSE(CONTROL!$C$15, $E$9, 100%, $G$9) + CHOOSE(CONTROL!$C$38, 0.0369, 0)</f>
        <v>27.132300000000001</v>
      </c>
      <c r="F307" s="45">
        <f>27.0954 * CHOOSE(CONTROL!$C$15, $E$9, 100%, $G$9) + CHOOSE(CONTROL!$C$38, 0.0278, 0)</f>
        <v>27.123200000000001</v>
      </c>
      <c r="G307" s="10">
        <f>25.0242 * CHOOSE(CONTROL!$C$15, $E$9, 100%, $G$9) + CHOOSE(CONTROL!$C$38, 0.0369, 0)</f>
        <v>25.0611</v>
      </c>
      <c r="H307" s="10">
        <f>25.0242 * CHOOSE(CONTROL!$C$15, $E$9, 100%, $G$9) + CHOOSE(CONTROL!$C$38, 0.0369, 0)</f>
        <v>25.0611</v>
      </c>
      <c r="I307" s="10">
        <f>25.0258 * CHOOSE(CONTROL!$C$15, $E$9, 100%, $G$9) + CHOOSE(CONTROL!$C$38, 0.0369, 0)</f>
        <v>25.0627</v>
      </c>
      <c r="J307" s="44">
        <f>191.6768</f>
        <v>191.67679999999999</v>
      </c>
    </row>
    <row r="308" spans="1:10" ht="15" x14ac:dyDescent="0.2">
      <c r="A308" s="15">
        <v>50284</v>
      </c>
      <c r="B308" s="10">
        <f>27.5284 * CHOOSE(CONTROL!$C$15, $E$9, 100%, $G$9) + CHOOSE(CONTROL!$C$38, 0.0278, 0)</f>
        <v>27.5562</v>
      </c>
      <c r="C308" s="10">
        <f>25.3026 * CHOOSE(CONTROL!$C$15, $E$9, 100%, $G$9) + CHOOSE(CONTROL!$C$38, 0.0369, 0)</f>
        <v>25.339500000000001</v>
      </c>
      <c r="D308" s="10">
        <f>25.2948 * CHOOSE(CONTROL!$C$15, $E$9, 100%, $G$9) + CHOOSE(CONTROL!$C$38, 0.0369, 0)</f>
        <v>25.331699999999998</v>
      </c>
      <c r="E308" s="46">
        <f>27.3722 * CHOOSE(CONTROL!$C$15, $E$9, 100%, $G$9) + CHOOSE(CONTROL!$C$38, 0.0369, 0)</f>
        <v>27.409099999999999</v>
      </c>
      <c r="F308" s="45">
        <f>27.3722 * CHOOSE(CONTROL!$C$15, $E$9, 100%, $G$9) + CHOOSE(CONTROL!$C$38, 0.0278, 0)</f>
        <v>27.4</v>
      </c>
      <c r="G308" s="10">
        <f>25.301 * CHOOSE(CONTROL!$C$15, $E$9, 100%, $G$9) + CHOOSE(CONTROL!$C$38, 0.0369, 0)</f>
        <v>25.337899999999998</v>
      </c>
      <c r="H308" s="10">
        <f>25.301 * CHOOSE(CONTROL!$C$15, $E$9, 100%, $G$9) + CHOOSE(CONTROL!$C$38, 0.0369, 0)</f>
        <v>25.337899999999998</v>
      </c>
      <c r="I308" s="10">
        <f>25.3026 * CHOOSE(CONTROL!$C$15, $E$9, 100%, $G$9) + CHOOSE(CONTROL!$C$38, 0.0369, 0)</f>
        <v>25.339500000000001</v>
      </c>
      <c r="J308" s="44">
        <f>185.3058</f>
        <v>185.3058</v>
      </c>
    </row>
    <row r="309" spans="1:10" ht="15" x14ac:dyDescent="0.2">
      <c r="A309" s="15">
        <v>50314</v>
      </c>
      <c r="B309" s="10">
        <f>27.7602 * CHOOSE(CONTROL!$C$15, $E$9, 100%, $G$9) + CHOOSE(CONTROL!$C$38, 0.0256, 0)</f>
        <v>27.785800000000002</v>
      </c>
      <c r="C309" s="10">
        <f>25.5344 * CHOOSE(CONTROL!$C$15, $E$9, 100%, $G$9) + CHOOSE(CONTROL!$C$38, 0.0347, 0)</f>
        <v>25.569100000000002</v>
      </c>
      <c r="D309" s="10">
        <f>25.5266 * CHOOSE(CONTROL!$C$15, $E$9, 100%, $G$9) + CHOOSE(CONTROL!$C$38, 0.0347, 0)</f>
        <v>25.561299999999999</v>
      </c>
      <c r="E309" s="46">
        <f>27.604 * CHOOSE(CONTROL!$C$15, $E$9, 100%, $G$9) + CHOOSE(CONTROL!$C$38, 0.0347, 0)</f>
        <v>27.6387</v>
      </c>
      <c r="F309" s="45">
        <f>27.604 * CHOOSE(CONTROL!$C$15, $E$9, 100%, $G$9) + CHOOSE(CONTROL!$C$38, 0.0256, 0)</f>
        <v>27.6296</v>
      </c>
      <c r="G309" s="10">
        <f>25.5328 * CHOOSE(CONTROL!$C$15, $E$9, 100%, $G$9) + CHOOSE(CONTROL!$C$38, 0.0347, 0)</f>
        <v>25.567500000000003</v>
      </c>
      <c r="H309" s="10">
        <f>25.5328 * CHOOSE(CONTROL!$C$15, $E$9, 100%, $G$9) + CHOOSE(CONTROL!$C$38, 0.0347, 0)</f>
        <v>25.567500000000003</v>
      </c>
      <c r="I309" s="10">
        <f>25.5344 * CHOOSE(CONTROL!$C$15, $E$9, 100%, $G$9) + CHOOSE(CONTROL!$C$38, 0.0347, 0)</f>
        <v>25.569100000000002</v>
      </c>
      <c r="J309" s="44">
        <f>178.8977</f>
        <v>178.89769999999999</v>
      </c>
    </row>
    <row r="310" spans="1:10" ht="15" x14ac:dyDescent="0.2">
      <c r="A310" s="15">
        <v>50345</v>
      </c>
      <c r="B310" s="10">
        <f>27.9537 * CHOOSE(CONTROL!$C$15, $E$9, 100%, $G$9) + CHOOSE(CONTROL!$C$38, 0.0256, 0)</f>
        <v>27.979300000000002</v>
      </c>
      <c r="C310" s="10">
        <f>25.7278 * CHOOSE(CONTROL!$C$15, $E$9, 100%, $G$9) + CHOOSE(CONTROL!$C$38, 0.0347, 0)</f>
        <v>25.762499999999999</v>
      </c>
      <c r="D310" s="10">
        <f>25.72 * CHOOSE(CONTROL!$C$15, $E$9, 100%, $G$9) + CHOOSE(CONTROL!$C$38, 0.0347, 0)</f>
        <v>25.7547</v>
      </c>
      <c r="E310" s="46">
        <f>27.7974 * CHOOSE(CONTROL!$C$15, $E$9, 100%, $G$9) + CHOOSE(CONTROL!$C$38, 0.0347, 0)</f>
        <v>27.832100000000001</v>
      </c>
      <c r="F310" s="45">
        <f>27.7974 * CHOOSE(CONTROL!$C$15, $E$9, 100%, $G$9) + CHOOSE(CONTROL!$C$38, 0.0256, 0)</f>
        <v>27.823</v>
      </c>
      <c r="G310" s="10">
        <f>25.7263 * CHOOSE(CONTROL!$C$15, $E$9, 100%, $G$9) + CHOOSE(CONTROL!$C$38, 0.0347, 0)</f>
        <v>25.760999999999999</v>
      </c>
      <c r="H310" s="10">
        <f>25.7263 * CHOOSE(CONTROL!$C$15, $E$9, 100%, $G$9) + CHOOSE(CONTROL!$C$38, 0.0347, 0)</f>
        <v>25.760999999999999</v>
      </c>
      <c r="I310" s="10">
        <f>25.7278 * CHOOSE(CONTROL!$C$15, $E$9, 100%, $G$9) + CHOOSE(CONTROL!$C$38, 0.0347, 0)</f>
        <v>25.762499999999999</v>
      </c>
      <c r="J310" s="44">
        <f>177.623</f>
        <v>177.62299999999999</v>
      </c>
    </row>
    <row r="311" spans="1:10" ht="15" x14ac:dyDescent="0.2">
      <c r="A311" s="15">
        <v>50375</v>
      </c>
      <c r="B311" s="10">
        <f>28.5497 * CHOOSE(CONTROL!$C$15, $E$9, 100%, $G$9) + CHOOSE(CONTROL!$C$38, 0.0256, 0)</f>
        <v>28.575300000000002</v>
      </c>
      <c r="C311" s="10">
        <f>26.3239 * CHOOSE(CONTROL!$C$15, $E$9, 100%, $G$9) + CHOOSE(CONTROL!$C$38, 0.0347, 0)</f>
        <v>26.358599999999999</v>
      </c>
      <c r="D311" s="10">
        <f>26.3161 * CHOOSE(CONTROL!$C$15, $E$9, 100%, $G$9) + CHOOSE(CONTROL!$C$38, 0.0347, 0)</f>
        <v>26.3508</v>
      </c>
      <c r="E311" s="46">
        <f>28.3935 * CHOOSE(CONTROL!$C$15, $E$9, 100%, $G$9) + CHOOSE(CONTROL!$C$38, 0.0347, 0)</f>
        <v>28.4282</v>
      </c>
      <c r="F311" s="45">
        <f>28.3935 * CHOOSE(CONTROL!$C$15, $E$9, 100%, $G$9) + CHOOSE(CONTROL!$C$38, 0.0256, 0)</f>
        <v>28.4191</v>
      </c>
      <c r="G311" s="10">
        <f>26.3224 * CHOOSE(CONTROL!$C$15, $E$9, 100%, $G$9) + CHOOSE(CONTROL!$C$38, 0.0347, 0)</f>
        <v>26.357099999999999</v>
      </c>
      <c r="H311" s="10">
        <f>26.3224 * CHOOSE(CONTROL!$C$15, $E$9, 100%, $G$9) + CHOOSE(CONTROL!$C$38, 0.0347, 0)</f>
        <v>26.357099999999999</v>
      </c>
      <c r="I311" s="10">
        <f>26.3239 * CHOOSE(CONTROL!$C$15, $E$9, 100%, $G$9) + CHOOSE(CONTROL!$C$38, 0.0347, 0)</f>
        <v>26.358599999999999</v>
      </c>
      <c r="J311" s="44">
        <f>172.3521</f>
        <v>172.35210000000001</v>
      </c>
    </row>
    <row r="312" spans="1:10" ht="15.75" x14ac:dyDescent="0.25">
      <c r="A312" s="14">
        <v>50436</v>
      </c>
      <c r="B312" s="10">
        <f>29.4692 * CHOOSE(CONTROL!$C$15, $E$9, 100%, $G$9) + CHOOSE(CONTROL!$C$38, 0.0256, 0)</f>
        <v>29.494800000000001</v>
      </c>
      <c r="C312" s="10">
        <f>27.2094 * CHOOSE(CONTROL!$C$15, $E$9, 100%, $G$9) + CHOOSE(CONTROL!$C$38, 0.0347, 0)</f>
        <v>27.2441</v>
      </c>
      <c r="D312" s="10">
        <f>27.2016 * CHOOSE(CONTROL!$C$15, $E$9, 100%, $G$9) + CHOOSE(CONTROL!$C$38, 0.0347, 0)</f>
        <v>27.2363</v>
      </c>
      <c r="E312" s="46">
        <f>29.313 * CHOOSE(CONTROL!$C$15, $E$9, 100%, $G$9) + CHOOSE(CONTROL!$C$38, 0.0347, 0)</f>
        <v>29.3477</v>
      </c>
      <c r="F312" s="45">
        <f>29.313 * CHOOSE(CONTROL!$C$15, $E$9, 100%, $G$9) + CHOOSE(CONTROL!$C$38, 0.0256, 0)</f>
        <v>29.3386</v>
      </c>
      <c r="G312" s="10">
        <f>27.2079 * CHOOSE(CONTROL!$C$15, $E$9, 100%, $G$9) + CHOOSE(CONTROL!$C$38, 0.0347, 0)</f>
        <v>27.242599999999999</v>
      </c>
      <c r="H312" s="10">
        <f>27.2079 * CHOOSE(CONTROL!$C$15, $E$9, 100%, $G$9) + CHOOSE(CONTROL!$C$38, 0.0347, 0)</f>
        <v>27.242599999999999</v>
      </c>
      <c r="I312" s="10">
        <f>27.2094 * CHOOSE(CONTROL!$C$15, $E$9, 100%, $G$9) + CHOOSE(CONTROL!$C$38, 0.0347, 0)</f>
        <v>27.2441</v>
      </c>
      <c r="J312" s="44">
        <f>172.0229</f>
        <v>172.02289999999999</v>
      </c>
    </row>
    <row r="313" spans="1:10" ht="15.75" x14ac:dyDescent="0.25">
      <c r="A313" s="14">
        <v>50464</v>
      </c>
      <c r="B313" s="10">
        <f>29.69 * CHOOSE(CONTROL!$C$15, $E$9, 100%, $G$9) + CHOOSE(CONTROL!$C$38, 0.0256, 0)</f>
        <v>29.715600000000002</v>
      </c>
      <c r="C313" s="10">
        <f>27.4302 * CHOOSE(CONTROL!$C$15, $E$9, 100%, $G$9) + CHOOSE(CONTROL!$C$38, 0.0347, 0)</f>
        <v>27.4649</v>
      </c>
      <c r="D313" s="10">
        <f>27.4224 * CHOOSE(CONTROL!$C$15, $E$9, 100%, $G$9) + CHOOSE(CONTROL!$C$38, 0.0347, 0)</f>
        <v>27.457100000000001</v>
      </c>
      <c r="E313" s="46">
        <f>29.5337 * CHOOSE(CONTROL!$C$15, $E$9, 100%, $G$9) + CHOOSE(CONTROL!$C$38, 0.0347, 0)</f>
        <v>29.5684</v>
      </c>
      <c r="F313" s="45">
        <f>29.5337 * CHOOSE(CONTROL!$C$15, $E$9, 100%, $G$9) + CHOOSE(CONTROL!$C$38, 0.0256, 0)</f>
        <v>29.5593</v>
      </c>
      <c r="G313" s="10">
        <f>27.4286 * CHOOSE(CONTROL!$C$15, $E$9, 100%, $G$9) + CHOOSE(CONTROL!$C$38, 0.0347, 0)</f>
        <v>27.4633</v>
      </c>
      <c r="H313" s="10">
        <f>27.4286 * CHOOSE(CONTROL!$C$15, $E$9, 100%, $G$9) + CHOOSE(CONTROL!$C$38, 0.0347, 0)</f>
        <v>27.4633</v>
      </c>
      <c r="I313" s="10">
        <f>27.4302 * CHOOSE(CONTROL!$C$15, $E$9, 100%, $G$9) + CHOOSE(CONTROL!$C$38, 0.0347, 0)</f>
        <v>27.4649</v>
      </c>
      <c r="J313" s="44">
        <f>171.5447</f>
        <v>171.54470000000001</v>
      </c>
    </row>
    <row r="314" spans="1:10" ht="15.75" x14ac:dyDescent="0.25">
      <c r="A314" s="14">
        <v>50495</v>
      </c>
      <c r="B314" s="10">
        <f>29.1789 * CHOOSE(CONTROL!$C$15, $E$9, 100%, $G$9) + CHOOSE(CONTROL!$C$38, 0.0256, 0)</f>
        <v>29.204499999999999</v>
      </c>
      <c r="C314" s="10">
        <f>26.9192 * CHOOSE(CONTROL!$C$15, $E$9, 100%, $G$9) + CHOOSE(CONTROL!$C$38, 0.0347, 0)</f>
        <v>26.953900000000001</v>
      </c>
      <c r="D314" s="10">
        <f>26.9114 * CHOOSE(CONTROL!$C$15, $E$9, 100%, $G$9) + CHOOSE(CONTROL!$C$38, 0.0347, 0)</f>
        <v>26.946100000000001</v>
      </c>
      <c r="E314" s="46">
        <f>29.0227 * CHOOSE(CONTROL!$C$15, $E$9, 100%, $G$9) + CHOOSE(CONTROL!$C$38, 0.0347, 0)</f>
        <v>29.057400000000001</v>
      </c>
      <c r="F314" s="45">
        <f>29.0227 * CHOOSE(CONTROL!$C$15, $E$9, 100%, $G$9) + CHOOSE(CONTROL!$C$38, 0.0256, 0)</f>
        <v>29.048300000000001</v>
      </c>
      <c r="G314" s="10">
        <f>26.9176 * CHOOSE(CONTROL!$C$15, $E$9, 100%, $G$9) + CHOOSE(CONTROL!$C$38, 0.0347, 0)</f>
        <v>26.952300000000001</v>
      </c>
      <c r="H314" s="10">
        <f>26.9176 * CHOOSE(CONTROL!$C$15, $E$9, 100%, $G$9) + CHOOSE(CONTROL!$C$38, 0.0347, 0)</f>
        <v>26.952300000000001</v>
      </c>
      <c r="I314" s="10">
        <f>26.9192 * CHOOSE(CONTROL!$C$15, $E$9, 100%, $G$9) + CHOOSE(CONTROL!$C$38, 0.0347, 0)</f>
        <v>26.953900000000001</v>
      </c>
      <c r="J314" s="44">
        <f>180.5861</f>
        <v>180.58609999999999</v>
      </c>
    </row>
    <row r="315" spans="1:10" ht="15.75" x14ac:dyDescent="0.25">
      <c r="A315" s="14">
        <v>50525</v>
      </c>
      <c r="B315" s="10">
        <f>28.6838 * CHOOSE(CONTROL!$C$15, $E$9, 100%, $G$9) + CHOOSE(CONTROL!$C$38, 0.0256, 0)</f>
        <v>28.709400000000002</v>
      </c>
      <c r="C315" s="10">
        <f>26.424 * CHOOSE(CONTROL!$C$15, $E$9, 100%, $G$9) + CHOOSE(CONTROL!$C$38, 0.0347, 0)</f>
        <v>26.4587</v>
      </c>
      <c r="D315" s="10">
        <f>26.4162 * CHOOSE(CONTROL!$C$15, $E$9, 100%, $G$9) + CHOOSE(CONTROL!$C$38, 0.0347, 0)</f>
        <v>26.450900000000001</v>
      </c>
      <c r="E315" s="46">
        <f>28.5275 * CHOOSE(CONTROL!$C$15, $E$9, 100%, $G$9) + CHOOSE(CONTROL!$C$38, 0.0347, 0)</f>
        <v>28.562200000000001</v>
      </c>
      <c r="F315" s="45">
        <f>28.5275 * CHOOSE(CONTROL!$C$15, $E$9, 100%, $G$9) + CHOOSE(CONTROL!$C$38, 0.0256, 0)</f>
        <v>28.553100000000001</v>
      </c>
      <c r="G315" s="10">
        <f>26.4224 * CHOOSE(CONTROL!$C$15, $E$9, 100%, $G$9) + CHOOSE(CONTROL!$C$38, 0.0347, 0)</f>
        <v>26.457100000000001</v>
      </c>
      <c r="H315" s="10">
        <f>26.4224 * CHOOSE(CONTROL!$C$15, $E$9, 100%, $G$9) + CHOOSE(CONTROL!$C$38, 0.0347, 0)</f>
        <v>26.457100000000001</v>
      </c>
      <c r="I315" s="10">
        <f>26.424 * CHOOSE(CONTROL!$C$15, $E$9, 100%, $G$9) + CHOOSE(CONTROL!$C$38, 0.0347, 0)</f>
        <v>26.4587</v>
      </c>
      <c r="J315" s="44">
        <f>192.3107</f>
        <v>192.3107</v>
      </c>
    </row>
    <row r="316" spans="1:10" ht="15.75" x14ac:dyDescent="0.25">
      <c r="A316" s="14">
        <v>50556</v>
      </c>
      <c r="B316" s="10">
        <f>28.1676 * CHOOSE(CONTROL!$C$15, $E$9, 100%, $G$9) + CHOOSE(CONTROL!$C$38, 0.0278, 0)</f>
        <v>28.195399999999999</v>
      </c>
      <c r="C316" s="10">
        <f>25.9079 * CHOOSE(CONTROL!$C$15, $E$9, 100%, $G$9) + CHOOSE(CONTROL!$C$38, 0.0369, 0)</f>
        <v>25.944800000000001</v>
      </c>
      <c r="D316" s="10">
        <f>25.9001 * CHOOSE(CONTROL!$C$15, $E$9, 100%, $G$9) + CHOOSE(CONTROL!$C$38, 0.0369, 0)</f>
        <v>25.936999999999998</v>
      </c>
      <c r="E316" s="46">
        <f>28.0114 * CHOOSE(CONTROL!$C$15, $E$9, 100%, $G$9) + CHOOSE(CONTROL!$C$38, 0.0369, 0)</f>
        <v>28.048299999999998</v>
      </c>
      <c r="F316" s="45">
        <f>28.0114 * CHOOSE(CONTROL!$C$15, $E$9, 100%, $G$9) + CHOOSE(CONTROL!$C$38, 0.0278, 0)</f>
        <v>28.039199999999997</v>
      </c>
      <c r="G316" s="10">
        <f>25.9063 * CHOOSE(CONTROL!$C$15, $E$9, 100%, $G$9) + CHOOSE(CONTROL!$C$38, 0.0369, 0)</f>
        <v>25.943200000000001</v>
      </c>
      <c r="H316" s="10">
        <f>25.9063 * CHOOSE(CONTROL!$C$15, $E$9, 100%, $G$9) + CHOOSE(CONTROL!$C$38, 0.0369, 0)</f>
        <v>25.943200000000001</v>
      </c>
      <c r="I316" s="10">
        <f>25.9079 * CHOOSE(CONTROL!$C$15, $E$9, 100%, $G$9) + CHOOSE(CONTROL!$C$38, 0.0369, 0)</f>
        <v>25.944800000000001</v>
      </c>
      <c r="J316" s="44">
        <f>198.7642</f>
        <v>198.76419999999999</v>
      </c>
    </row>
    <row r="317" spans="1:10" ht="15.75" x14ac:dyDescent="0.25">
      <c r="A317" s="14">
        <v>50586</v>
      </c>
      <c r="B317" s="10">
        <f>27.8058 * CHOOSE(CONTROL!$C$15, $E$9, 100%, $G$9) + CHOOSE(CONTROL!$C$38, 0.0278, 0)</f>
        <v>27.833600000000001</v>
      </c>
      <c r="C317" s="10">
        <f>25.5461 * CHOOSE(CONTROL!$C$15, $E$9, 100%, $G$9) + CHOOSE(CONTROL!$C$38, 0.0369, 0)</f>
        <v>25.582999999999998</v>
      </c>
      <c r="D317" s="10">
        <f>25.5382 * CHOOSE(CONTROL!$C$15, $E$9, 100%, $G$9) + CHOOSE(CONTROL!$C$38, 0.0369, 0)</f>
        <v>25.575099999999999</v>
      </c>
      <c r="E317" s="46">
        <f>27.6496 * CHOOSE(CONTROL!$C$15, $E$9, 100%, $G$9) + CHOOSE(CONTROL!$C$38, 0.0369, 0)</f>
        <v>27.686499999999999</v>
      </c>
      <c r="F317" s="45">
        <f>27.6496 * CHOOSE(CONTROL!$C$15, $E$9, 100%, $G$9) + CHOOSE(CONTROL!$C$38, 0.0278, 0)</f>
        <v>27.677399999999999</v>
      </c>
      <c r="G317" s="10">
        <f>25.5445 * CHOOSE(CONTROL!$C$15, $E$9, 100%, $G$9) + CHOOSE(CONTROL!$C$38, 0.0369, 0)</f>
        <v>25.581399999999999</v>
      </c>
      <c r="H317" s="10">
        <f>25.5445 * CHOOSE(CONTROL!$C$15, $E$9, 100%, $G$9) + CHOOSE(CONTROL!$C$38, 0.0369, 0)</f>
        <v>25.581399999999999</v>
      </c>
      <c r="I317" s="10">
        <f>25.5461 * CHOOSE(CONTROL!$C$15, $E$9, 100%, $G$9) + CHOOSE(CONTROL!$C$38, 0.0369, 0)</f>
        <v>25.582999999999998</v>
      </c>
      <c r="J317" s="44">
        <f>201.6282</f>
        <v>201.62819999999999</v>
      </c>
    </row>
    <row r="318" spans="1:10" ht="15.75" x14ac:dyDescent="0.25">
      <c r="A318" s="14">
        <v>50617</v>
      </c>
      <c r="B318" s="10">
        <f>27.5993 * CHOOSE(CONTROL!$C$15, $E$9, 100%, $G$9) + CHOOSE(CONTROL!$C$38, 0.0278, 0)</f>
        <v>27.627099999999999</v>
      </c>
      <c r="C318" s="10">
        <f>25.3396 * CHOOSE(CONTROL!$C$15, $E$9, 100%, $G$9) + CHOOSE(CONTROL!$C$38, 0.0369, 0)</f>
        <v>25.3765</v>
      </c>
      <c r="D318" s="10">
        <f>25.3318 * CHOOSE(CONTROL!$C$15, $E$9, 100%, $G$9) + CHOOSE(CONTROL!$C$38, 0.0369, 0)</f>
        <v>25.3687</v>
      </c>
      <c r="E318" s="46">
        <f>27.4431 * CHOOSE(CONTROL!$C$15, $E$9, 100%, $G$9) + CHOOSE(CONTROL!$C$38, 0.0369, 0)</f>
        <v>27.48</v>
      </c>
      <c r="F318" s="45">
        <f>27.4431 * CHOOSE(CONTROL!$C$15, $E$9, 100%, $G$9) + CHOOSE(CONTROL!$C$38, 0.0278, 0)</f>
        <v>27.4709</v>
      </c>
      <c r="G318" s="10">
        <f>25.338 * CHOOSE(CONTROL!$C$15, $E$9, 100%, $G$9) + CHOOSE(CONTROL!$C$38, 0.0369, 0)</f>
        <v>25.3749</v>
      </c>
      <c r="H318" s="10">
        <f>25.338 * CHOOSE(CONTROL!$C$15, $E$9, 100%, $G$9) + CHOOSE(CONTROL!$C$38, 0.0369, 0)</f>
        <v>25.3749</v>
      </c>
      <c r="I318" s="10">
        <f>25.3396 * CHOOSE(CONTROL!$C$15, $E$9, 100%, $G$9) + CHOOSE(CONTROL!$C$38, 0.0369, 0)</f>
        <v>25.3765</v>
      </c>
      <c r="J318" s="44">
        <f>200.6853</f>
        <v>200.68530000000001</v>
      </c>
    </row>
    <row r="319" spans="1:10" ht="15.75" x14ac:dyDescent="0.25">
      <c r="A319" s="14">
        <v>50648</v>
      </c>
      <c r="B319" s="10">
        <f>27.7012 * CHOOSE(CONTROL!$C$15, $E$9, 100%, $G$9) + CHOOSE(CONTROL!$C$38, 0.0278, 0)</f>
        <v>27.728999999999999</v>
      </c>
      <c r="C319" s="10">
        <f>25.4415 * CHOOSE(CONTROL!$C$15, $E$9, 100%, $G$9) + CHOOSE(CONTROL!$C$38, 0.0369, 0)</f>
        <v>25.478400000000001</v>
      </c>
      <c r="D319" s="10">
        <f>25.4337 * CHOOSE(CONTROL!$C$15, $E$9, 100%, $G$9) + CHOOSE(CONTROL!$C$38, 0.0369, 0)</f>
        <v>25.470600000000001</v>
      </c>
      <c r="E319" s="46">
        <f>27.545 * CHOOSE(CONTROL!$C$15, $E$9, 100%, $G$9) + CHOOSE(CONTROL!$C$38, 0.0369, 0)</f>
        <v>27.581900000000001</v>
      </c>
      <c r="F319" s="45">
        <f>27.545 * CHOOSE(CONTROL!$C$15, $E$9, 100%, $G$9) + CHOOSE(CONTROL!$C$38, 0.0278, 0)</f>
        <v>27.572800000000001</v>
      </c>
      <c r="G319" s="10">
        <f>25.4399 * CHOOSE(CONTROL!$C$15, $E$9, 100%, $G$9) + CHOOSE(CONTROL!$C$38, 0.0369, 0)</f>
        <v>25.476800000000001</v>
      </c>
      <c r="H319" s="10">
        <f>25.4399 * CHOOSE(CONTROL!$C$15, $E$9, 100%, $G$9) + CHOOSE(CONTROL!$C$38, 0.0369, 0)</f>
        <v>25.476800000000001</v>
      </c>
      <c r="I319" s="10">
        <f>25.4415 * CHOOSE(CONTROL!$C$15, $E$9, 100%, $G$9) + CHOOSE(CONTROL!$C$38, 0.0369, 0)</f>
        <v>25.478400000000001</v>
      </c>
      <c r="J319" s="44">
        <f>196.0134</f>
        <v>196.01339999999999</v>
      </c>
    </row>
    <row r="320" spans="1:10" ht="15.75" x14ac:dyDescent="0.25">
      <c r="A320" s="14">
        <v>50678</v>
      </c>
      <c r="B320" s="10">
        <f>27.978 * CHOOSE(CONTROL!$C$15, $E$9, 100%, $G$9) + CHOOSE(CONTROL!$C$38, 0.0278, 0)</f>
        <v>28.005800000000001</v>
      </c>
      <c r="C320" s="10">
        <f>25.7183 * CHOOSE(CONTROL!$C$15, $E$9, 100%, $G$9) + CHOOSE(CONTROL!$C$38, 0.0369, 0)</f>
        <v>25.755199999999999</v>
      </c>
      <c r="D320" s="10">
        <f>25.7105 * CHOOSE(CONTROL!$C$15, $E$9, 100%, $G$9) + CHOOSE(CONTROL!$C$38, 0.0369, 0)</f>
        <v>25.747399999999999</v>
      </c>
      <c r="E320" s="46">
        <f>27.8218 * CHOOSE(CONTROL!$C$15, $E$9, 100%, $G$9) + CHOOSE(CONTROL!$C$38, 0.0369, 0)</f>
        <v>27.858699999999999</v>
      </c>
      <c r="F320" s="45">
        <f>27.8218 * CHOOSE(CONTROL!$C$15, $E$9, 100%, $G$9) + CHOOSE(CONTROL!$C$38, 0.0278, 0)</f>
        <v>27.849599999999999</v>
      </c>
      <c r="G320" s="10">
        <f>25.7167 * CHOOSE(CONTROL!$C$15, $E$9, 100%, $G$9) + CHOOSE(CONTROL!$C$38, 0.0369, 0)</f>
        <v>25.753599999999999</v>
      </c>
      <c r="H320" s="10">
        <f>25.7167 * CHOOSE(CONTROL!$C$15, $E$9, 100%, $G$9) + CHOOSE(CONTROL!$C$38, 0.0369, 0)</f>
        <v>25.753599999999999</v>
      </c>
      <c r="I320" s="10">
        <f>25.7183 * CHOOSE(CONTROL!$C$15, $E$9, 100%, $G$9) + CHOOSE(CONTROL!$C$38, 0.0369, 0)</f>
        <v>25.755199999999999</v>
      </c>
      <c r="J320" s="44">
        <f>189.4983</f>
        <v>189.4983</v>
      </c>
    </row>
    <row r="321" spans="1:10" ht="15.75" x14ac:dyDescent="0.25">
      <c r="A321" s="14">
        <v>50709</v>
      </c>
      <c r="B321" s="10">
        <f>28.2099 * CHOOSE(CONTROL!$C$15, $E$9, 100%, $G$9) + CHOOSE(CONTROL!$C$38, 0.0256, 0)</f>
        <v>28.235500000000002</v>
      </c>
      <c r="C321" s="10">
        <f>25.9501 * CHOOSE(CONTROL!$C$15, $E$9, 100%, $G$9) + CHOOSE(CONTROL!$C$38, 0.0347, 0)</f>
        <v>25.9848</v>
      </c>
      <c r="D321" s="10">
        <f>25.9423 * CHOOSE(CONTROL!$C$15, $E$9, 100%, $G$9) + CHOOSE(CONTROL!$C$38, 0.0347, 0)</f>
        <v>25.977</v>
      </c>
      <c r="E321" s="46">
        <f>28.0536 * CHOOSE(CONTROL!$C$15, $E$9, 100%, $G$9) + CHOOSE(CONTROL!$C$38, 0.0347, 0)</f>
        <v>28.0883</v>
      </c>
      <c r="F321" s="45">
        <f>28.0536 * CHOOSE(CONTROL!$C$15, $E$9, 100%, $G$9) + CHOOSE(CONTROL!$C$38, 0.0256, 0)</f>
        <v>28.0792</v>
      </c>
      <c r="G321" s="10">
        <f>25.9485 * CHOOSE(CONTROL!$C$15, $E$9, 100%, $G$9) + CHOOSE(CONTROL!$C$38, 0.0347, 0)</f>
        <v>25.9832</v>
      </c>
      <c r="H321" s="10">
        <f>25.9485 * CHOOSE(CONTROL!$C$15, $E$9, 100%, $G$9) + CHOOSE(CONTROL!$C$38, 0.0347, 0)</f>
        <v>25.9832</v>
      </c>
      <c r="I321" s="10">
        <f>25.9501 * CHOOSE(CONTROL!$C$15, $E$9, 100%, $G$9) + CHOOSE(CONTROL!$C$38, 0.0347, 0)</f>
        <v>25.9848</v>
      </c>
      <c r="J321" s="44">
        <f>182.9452</f>
        <v>182.9452</v>
      </c>
    </row>
    <row r="322" spans="1:10" ht="15.75" x14ac:dyDescent="0.25">
      <c r="A322" s="14">
        <v>50739</v>
      </c>
      <c r="B322" s="10">
        <f>28.4033 * CHOOSE(CONTROL!$C$15, $E$9, 100%, $G$9) + CHOOSE(CONTROL!$C$38, 0.0256, 0)</f>
        <v>28.428900000000002</v>
      </c>
      <c r="C322" s="10">
        <f>26.1435 * CHOOSE(CONTROL!$C$15, $E$9, 100%, $G$9) + CHOOSE(CONTROL!$C$38, 0.0347, 0)</f>
        <v>26.1782</v>
      </c>
      <c r="D322" s="10">
        <f>26.1357 * CHOOSE(CONTROL!$C$15, $E$9, 100%, $G$9) + CHOOSE(CONTROL!$C$38, 0.0347, 0)</f>
        <v>26.170400000000001</v>
      </c>
      <c r="E322" s="46">
        <f>28.247 * CHOOSE(CONTROL!$C$15, $E$9, 100%, $G$9) + CHOOSE(CONTROL!$C$38, 0.0347, 0)</f>
        <v>28.281700000000001</v>
      </c>
      <c r="F322" s="45">
        <f>28.247 * CHOOSE(CONTROL!$C$15, $E$9, 100%, $G$9) + CHOOSE(CONTROL!$C$38, 0.0256, 0)</f>
        <v>28.272600000000001</v>
      </c>
      <c r="G322" s="10">
        <f>26.142 * CHOOSE(CONTROL!$C$15, $E$9, 100%, $G$9) + CHOOSE(CONTROL!$C$38, 0.0347, 0)</f>
        <v>26.1767</v>
      </c>
      <c r="H322" s="10">
        <f>26.142 * CHOOSE(CONTROL!$C$15, $E$9, 100%, $G$9) + CHOOSE(CONTROL!$C$38, 0.0347, 0)</f>
        <v>26.1767</v>
      </c>
      <c r="I322" s="10">
        <f>26.1435 * CHOOSE(CONTROL!$C$15, $E$9, 100%, $G$9) + CHOOSE(CONTROL!$C$38, 0.0347, 0)</f>
        <v>26.1782</v>
      </c>
      <c r="J322" s="44">
        <f>181.6417</f>
        <v>181.64169999999999</v>
      </c>
    </row>
    <row r="323" spans="1:10" ht="15.75" x14ac:dyDescent="0.25">
      <c r="A323" s="14">
        <v>50770</v>
      </c>
      <c r="B323" s="10">
        <f>28.9994 * CHOOSE(CONTROL!$C$15, $E$9, 100%, $G$9) + CHOOSE(CONTROL!$C$38, 0.0256, 0)</f>
        <v>29.025000000000002</v>
      </c>
      <c r="C323" s="10">
        <f>26.7396 * CHOOSE(CONTROL!$C$15, $E$9, 100%, $G$9) + CHOOSE(CONTROL!$C$38, 0.0347, 0)</f>
        <v>26.7743</v>
      </c>
      <c r="D323" s="10">
        <f>26.7318 * CHOOSE(CONTROL!$C$15, $E$9, 100%, $G$9) + CHOOSE(CONTROL!$C$38, 0.0347, 0)</f>
        <v>26.766500000000001</v>
      </c>
      <c r="E323" s="46">
        <f>28.8431 * CHOOSE(CONTROL!$C$15, $E$9, 100%, $G$9) + CHOOSE(CONTROL!$C$38, 0.0347, 0)</f>
        <v>28.877800000000001</v>
      </c>
      <c r="F323" s="45">
        <f>28.8431 * CHOOSE(CONTROL!$C$15, $E$9, 100%, $G$9) + CHOOSE(CONTROL!$C$38, 0.0256, 0)</f>
        <v>28.8687</v>
      </c>
      <c r="G323" s="10">
        <f>26.738 * CHOOSE(CONTROL!$C$15, $E$9, 100%, $G$9) + CHOOSE(CONTROL!$C$38, 0.0347, 0)</f>
        <v>26.7727</v>
      </c>
      <c r="H323" s="10">
        <f>26.738 * CHOOSE(CONTROL!$C$15, $E$9, 100%, $G$9) + CHOOSE(CONTROL!$C$38, 0.0347, 0)</f>
        <v>26.7727</v>
      </c>
      <c r="I323" s="10">
        <f>26.7396 * CHOOSE(CONTROL!$C$15, $E$9, 100%, $G$9) + CHOOSE(CONTROL!$C$38, 0.0347, 0)</f>
        <v>26.7743</v>
      </c>
      <c r="J323" s="44">
        <f>176.2514</f>
        <v>176.25139999999999</v>
      </c>
    </row>
    <row r="324" spans="1:10" ht="15.75" x14ac:dyDescent="0.25">
      <c r="A324" s="14">
        <v>50801</v>
      </c>
      <c r="B324" s="10">
        <f>29.9262 * CHOOSE(CONTROL!$C$15, $E$9, 100%, $G$9) + CHOOSE(CONTROL!$C$38, 0.0256, 0)</f>
        <v>29.951800000000002</v>
      </c>
      <c r="C324" s="10">
        <f>27.632 * CHOOSE(CONTROL!$C$15, $E$9, 100%, $G$9) + CHOOSE(CONTROL!$C$38, 0.0347, 0)</f>
        <v>27.666700000000002</v>
      </c>
      <c r="D324" s="10">
        <f>27.6241 * CHOOSE(CONTROL!$C$15, $E$9, 100%, $G$9) + CHOOSE(CONTROL!$C$38, 0.0347, 0)</f>
        <v>27.658799999999999</v>
      </c>
      <c r="E324" s="46">
        <f>29.77 * CHOOSE(CONTROL!$C$15, $E$9, 100%, $G$9) + CHOOSE(CONTROL!$C$38, 0.0347, 0)</f>
        <v>29.8047</v>
      </c>
      <c r="F324" s="45">
        <f>29.77 * CHOOSE(CONTROL!$C$15, $E$9, 100%, $G$9) + CHOOSE(CONTROL!$C$38, 0.0256, 0)</f>
        <v>29.7956</v>
      </c>
      <c r="G324" s="10">
        <f>27.6304 * CHOOSE(CONTROL!$C$15, $E$9, 100%, $G$9) + CHOOSE(CONTROL!$C$38, 0.0347, 0)</f>
        <v>27.665100000000002</v>
      </c>
      <c r="H324" s="10">
        <f>27.6304 * CHOOSE(CONTROL!$C$15, $E$9, 100%, $G$9) + CHOOSE(CONTROL!$C$38, 0.0347, 0)</f>
        <v>27.665100000000002</v>
      </c>
      <c r="I324" s="10">
        <f>27.632 * CHOOSE(CONTROL!$C$15, $E$9, 100%, $G$9) + CHOOSE(CONTROL!$C$38, 0.0347, 0)</f>
        <v>27.666700000000002</v>
      </c>
      <c r="J324" s="44">
        <f>175.9148</f>
        <v>175.91480000000001</v>
      </c>
    </row>
    <row r="325" spans="1:10" ht="15.75" x14ac:dyDescent="0.25">
      <c r="A325" s="14">
        <v>50829</v>
      </c>
      <c r="B325" s="10">
        <f>30.147 * CHOOSE(CONTROL!$C$15, $E$9, 100%, $G$9) + CHOOSE(CONTROL!$C$38, 0.0256, 0)</f>
        <v>30.172599999999999</v>
      </c>
      <c r="C325" s="10">
        <f>27.8527 * CHOOSE(CONTROL!$C$15, $E$9, 100%, $G$9) + CHOOSE(CONTROL!$C$38, 0.0347, 0)</f>
        <v>27.8874</v>
      </c>
      <c r="D325" s="10">
        <f>27.8449 * CHOOSE(CONTROL!$C$15, $E$9, 100%, $G$9) + CHOOSE(CONTROL!$C$38, 0.0347, 0)</f>
        <v>27.8796</v>
      </c>
      <c r="E325" s="46">
        <f>29.9907 * CHOOSE(CONTROL!$C$15, $E$9, 100%, $G$9) + CHOOSE(CONTROL!$C$38, 0.0347, 0)</f>
        <v>30.025400000000001</v>
      </c>
      <c r="F325" s="45">
        <f>29.9907 * CHOOSE(CONTROL!$C$15, $E$9, 100%, $G$9) + CHOOSE(CONTROL!$C$38, 0.0256, 0)</f>
        <v>30.016300000000001</v>
      </c>
      <c r="G325" s="10">
        <f>27.8512 * CHOOSE(CONTROL!$C$15, $E$9, 100%, $G$9) + CHOOSE(CONTROL!$C$38, 0.0347, 0)</f>
        <v>27.885899999999999</v>
      </c>
      <c r="H325" s="10">
        <f>27.8512 * CHOOSE(CONTROL!$C$15, $E$9, 100%, $G$9) + CHOOSE(CONTROL!$C$38, 0.0347, 0)</f>
        <v>27.885899999999999</v>
      </c>
      <c r="I325" s="10">
        <f>27.8527 * CHOOSE(CONTROL!$C$15, $E$9, 100%, $G$9) + CHOOSE(CONTROL!$C$38, 0.0347, 0)</f>
        <v>27.8874</v>
      </c>
      <c r="J325" s="44">
        <f>175.4259</f>
        <v>175.42590000000001</v>
      </c>
    </row>
    <row r="326" spans="1:10" ht="15.75" x14ac:dyDescent="0.25">
      <c r="A326" s="14">
        <v>50860</v>
      </c>
      <c r="B326" s="10">
        <f>29.6359 * CHOOSE(CONTROL!$C$15, $E$9, 100%, $G$9) + CHOOSE(CONTROL!$C$38, 0.0256, 0)</f>
        <v>29.6615</v>
      </c>
      <c r="C326" s="10">
        <f>27.3417 * CHOOSE(CONTROL!$C$15, $E$9, 100%, $G$9) + CHOOSE(CONTROL!$C$38, 0.0347, 0)</f>
        <v>27.3764</v>
      </c>
      <c r="D326" s="10">
        <f>27.3339 * CHOOSE(CONTROL!$C$15, $E$9, 100%, $G$9) + CHOOSE(CONTROL!$C$38, 0.0347, 0)</f>
        <v>27.368600000000001</v>
      </c>
      <c r="E326" s="46">
        <f>29.4797 * CHOOSE(CONTROL!$C$15, $E$9, 100%, $G$9) + CHOOSE(CONTROL!$C$38, 0.0347, 0)</f>
        <v>29.514400000000002</v>
      </c>
      <c r="F326" s="45">
        <f>29.4797 * CHOOSE(CONTROL!$C$15, $E$9, 100%, $G$9) + CHOOSE(CONTROL!$C$38, 0.0256, 0)</f>
        <v>29.505300000000002</v>
      </c>
      <c r="G326" s="10">
        <f>27.3401 * CHOOSE(CONTROL!$C$15, $E$9, 100%, $G$9) + CHOOSE(CONTROL!$C$38, 0.0347, 0)</f>
        <v>27.3748</v>
      </c>
      <c r="H326" s="10">
        <f>27.3401 * CHOOSE(CONTROL!$C$15, $E$9, 100%, $G$9) + CHOOSE(CONTROL!$C$38, 0.0347, 0)</f>
        <v>27.3748</v>
      </c>
      <c r="I326" s="10">
        <f>27.3417 * CHOOSE(CONTROL!$C$15, $E$9, 100%, $G$9) + CHOOSE(CONTROL!$C$38, 0.0347, 0)</f>
        <v>27.3764</v>
      </c>
      <c r="J326" s="44">
        <f>184.6718</f>
        <v>184.67179999999999</v>
      </c>
    </row>
    <row r="327" spans="1:10" ht="15.75" x14ac:dyDescent="0.25">
      <c r="A327" s="14">
        <v>50890</v>
      </c>
      <c r="B327" s="10">
        <f>29.1408 * CHOOSE(CONTROL!$C$15, $E$9, 100%, $G$9) + CHOOSE(CONTROL!$C$38, 0.0256, 0)</f>
        <v>29.166399999999999</v>
      </c>
      <c r="C327" s="10">
        <f>26.8465 * CHOOSE(CONTROL!$C$15, $E$9, 100%, $G$9) + CHOOSE(CONTROL!$C$38, 0.0347, 0)</f>
        <v>26.8812</v>
      </c>
      <c r="D327" s="10">
        <f>26.8387 * CHOOSE(CONTROL!$C$15, $E$9, 100%, $G$9) + CHOOSE(CONTROL!$C$38, 0.0347, 0)</f>
        <v>26.8734</v>
      </c>
      <c r="E327" s="46">
        <f>28.9845 * CHOOSE(CONTROL!$C$15, $E$9, 100%, $G$9) + CHOOSE(CONTROL!$C$38, 0.0347, 0)</f>
        <v>29.019200000000001</v>
      </c>
      <c r="F327" s="45">
        <f>28.9845 * CHOOSE(CONTROL!$C$15, $E$9, 100%, $G$9) + CHOOSE(CONTROL!$C$38, 0.0256, 0)</f>
        <v>29.010100000000001</v>
      </c>
      <c r="G327" s="10">
        <f>26.8449 * CHOOSE(CONTROL!$C$15, $E$9, 100%, $G$9) + CHOOSE(CONTROL!$C$38, 0.0347, 0)</f>
        <v>26.8796</v>
      </c>
      <c r="H327" s="10">
        <f>26.8449 * CHOOSE(CONTROL!$C$15, $E$9, 100%, $G$9) + CHOOSE(CONTROL!$C$38, 0.0347, 0)</f>
        <v>26.8796</v>
      </c>
      <c r="I327" s="10">
        <f>26.8465 * CHOOSE(CONTROL!$C$15, $E$9, 100%, $G$9) + CHOOSE(CONTROL!$C$38, 0.0347, 0)</f>
        <v>26.8812</v>
      </c>
      <c r="J327" s="44">
        <f>196.6616</f>
        <v>196.66159999999999</v>
      </c>
    </row>
    <row r="328" spans="1:10" ht="15.75" x14ac:dyDescent="0.25">
      <c r="A328" s="14">
        <v>50921</v>
      </c>
      <c r="B328" s="10">
        <f>28.6246 * CHOOSE(CONTROL!$C$15, $E$9, 100%, $G$9) + CHOOSE(CONTROL!$C$38, 0.0278, 0)</f>
        <v>28.6524</v>
      </c>
      <c r="C328" s="10">
        <f>26.3304 * CHOOSE(CONTROL!$C$15, $E$9, 100%, $G$9) + CHOOSE(CONTROL!$C$38, 0.0369, 0)</f>
        <v>26.3673</v>
      </c>
      <c r="D328" s="10">
        <f>26.3226 * CHOOSE(CONTROL!$C$15, $E$9, 100%, $G$9) + CHOOSE(CONTROL!$C$38, 0.0369, 0)</f>
        <v>26.359500000000001</v>
      </c>
      <c r="E328" s="46">
        <f>28.4684 * CHOOSE(CONTROL!$C$15, $E$9, 100%, $G$9) + CHOOSE(CONTROL!$C$38, 0.0369, 0)</f>
        <v>28.505299999999998</v>
      </c>
      <c r="F328" s="45">
        <f>28.4684 * CHOOSE(CONTROL!$C$15, $E$9, 100%, $G$9) + CHOOSE(CONTROL!$C$38, 0.0278, 0)</f>
        <v>28.496199999999998</v>
      </c>
      <c r="G328" s="10">
        <f>26.3288 * CHOOSE(CONTROL!$C$15, $E$9, 100%, $G$9) + CHOOSE(CONTROL!$C$38, 0.0369, 0)</f>
        <v>26.3657</v>
      </c>
      <c r="H328" s="10">
        <f>26.3288 * CHOOSE(CONTROL!$C$15, $E$9, 100%, $G$9) + CHOOSE(CONTROL!$C$38, 0.0369, 0)</f>
        <v>26.3657</v>
      </c>
      <c r="I328" s="10">
        <f>26.3304 * CHOOSE(CONTROL!$C$15, $E$9, 100%, $G$9) + CHOOSE(CONTROL!$C$38, 0.0369, 0)</f>
        <v>26.3673</v>
      </c>
      <c r="J328" s="44">
        <f>203.2612</f>
        <v>203.2612</v>
      </c>
    </row>
    <row r="329" spans="1:10" ht="15.75" x14ac:dyDescent="0.25">
      <c r="A329" s="14">
        <v>50951</v>
      </c>
      <c r="B329" s="10">
        <f>28.2628 * CHOOSE(CONTROL!$C$15, $E$9, 100%, $G$9) + CHOOSE(CONTROL!$C$38, 0.0278, 0)</f>
        <v>28.290599999999998</v>
      </c>
      <c r="C329" s="10">
        <f>25.9686 * CHOOSE(CONTROL!$C$15, $E$9, 100%, $G$9) + CHOOSE(CONTROL!$C$38, 0.0369, 0)</f>
        <v>26.005499999999998</v>
      </c>
      <c r="D329" s="10">
        <f>25.9607 * CHOOSE(CONTROL!$C$15, $E$9, 100%, $G$9) + CHOOSE(CONTROL!$C$38, 0.0369, 0)</f>
        <v>25.997599999999998</v>
      </c>
      <c r="E329" s="46">
        <f>28.1066 * CHOOSE(CONTROL!$C$15, $E$9, 100%, $G$9) + CHOOSE(CONTROL!$C$38, 0.0369, 0)</f>
        <v>28.1435</v>
      </c>
      <c r="F329" s="45">
        <f>28.1066 * CHOOSE(CONTROL!$C$15, $E$9, 100%, $G$9) + CHOOSE(CONTROL!$C$38, 0.0278, 0)</f>
        <v>28.134399999999999</v>
      </c>
      <c r="G329" s="10">
        <f>25.967 * CHOOSE(CONTROL!$C$15, $E$9, 100%, $G$9) + CHOOSE(CONTROL!$C$38, 0.0369, 0)</f>
        <v>26.003899999999998</v>
      </c>
      <c r="H329" s="10">
        <f>25.967 * CHOOSE(CONTROL!$C$15, $E$9, 100%, $G$9) + CHOOSE(CONTROL!$C$38, 0.0369, 0)</f>
        <v>26.003899999999998</v>
      </c>
      <c r="I329" s="10">
        <f>25.9686 * CHOOSE(CONTROL!$C$15, $E$9, 100%, $G$9) + CHOOSE(CONTROL!$C$38, 0.0369, 0)</f>
        <v>26.005499999999998</v>
      </c>
      <c r="J329" s="44">
        <f>206.19</f>
        <v>206.19</v>
      </c>
    </row>
    <row r="330" spans="1:10" ht="15.75" x14ac:dyDescent="0.25">
      <c r="A330" s="14">
        <v>50982</v>
      </c>
      <c r="B330" s="10">
        <f>28.0563 * CHOOSE(CONTROL!$C$15, $E$9, 100%, $G$9) + CHOOSE(CONTROL!$C$38, 0.0278, 0)</f>
        <v>28.084099999999999</v>
      </c>
      <c r="C330" s="10">
        <f>25.7621 * CHOOSE(CONTROL!$C$15, $E$9, 100%, $G$9) + CHOOSE(CONTROL!$C$38, 0.0369, 0)</f>
        <v>25.798999999999999</v>
      </c>
      <c r="D330" s="10">
        <f>25.7543 * CHOOSE(CONTROL!$C$15, $E$9, 100%, $G$9) + CHOOSE(CONTROL!$C$38, 0.0369, 0)</f>
        <v>25.7912</v>
      </c>
      <c r="E330" s="46">
        <f>27.9001 * CHOOSE(CONTROL!$C$15, $E$9, 100%, $G$9) + CHOOSE(CONTROL!$C$38, 0.0369, 0)</f>
        <v>27.936999999999998</v>
      </c>
      <c r="F330" s="45">
        <f>27.9001 * CHOOSE(CONTROL!$C$15, $E$9, 100%, $G$9) + CHOOSE(CONTROL!$C$38, 0.0278, 0)</f>
        <v>27.927899999999998</v>
      </c>
      <c r="G330" s="10">
        <f>25.7605 * CHOOSE(CONTROL!$C$15, $E$9, 100%, $G$9) + CHOOSE(CONTROL!$C$38, 0.0369, 0)</f>
        <v>25.7974</v>
      </c>
      <c r="H330" s="10">
        <f>25.7605 * CHOOSE(CONTROL!$C$15, $E$9, 100%, $G$9) + CHOOSE(CONTROL!$C$38, 0.0369, 0)</f>
        <v>25.7974</v>
      </c>
      <c r="I330" s="10">
        <f>25.7621 * CHOOSE(CONTROL!$C$15, $E$9, 100%, $G$9) + CHOOSE(CONTROL!$C$38, 0.0369, 0)</f>
        <v>25.798999999999999</v>
      </c>
      <c r="J330" s="44">
        <f>205.2257</f>
        <v>205.22569999999999</v>
      </c>
    </row>
    <row r="331" spans="1:10" ht="15.75" x14ac:dyDescent="0.25">
      <c r="A331" s="14">
        <v>51013</v>
      </c>
      <c r="B331" s="10">
        <f>28.1582 * CHOOSE(CONTROL!$C$15, $E$9, 100%, $G$9) + CHOOSE(CONTROL!$C$38, 0.0278, 0)</f>
        <v>28.186</v>
      </c>
      <c r="C331" s="10">
        <f>25.864 * CHOOSE(CONTROL!$C$15, $E$9, 100%, $G$9) + CHOOSE(CONTROL!$C$38, 0.0369, 0)</f>
        <v>25.9009</v>
      </c>
      <c r="D331" s="10">
        <f>25.8562 * CHOOSE(CONTROL!$C$15, $E$9, 100%, $G$9) + CHOOSE(CONTROL!$C$38, 0.0369, 0)</f>
        <v>25.8931</v>
      </c>
      <c r="E331" s="46">
        <f>28.002 * CHOOSE(CONTROL!$C$15, $E$9, 100%, $G$9) + CHOOSE(CONTROL!$C$38, 0.0369, 0)</f>
        <v>28.038899999999998</v>
      </c>
      <c r="F331" s="45">
        <f>28.002 * CHOOSE(CONTROL!$C$15, $E$9, 100%, $G$9) + CHOOSE(CONTROL!$C$38, 0.0278, 0)</f>
        <v>28.029799999999998</v>
      </c>
      <c r="G331" s="10">
        <f>25.8624 * CHOOSE(CONTROL!$C$15, $E$9, 100%, $G$9) + CHOOSE(CONTROL!$C$38, 0.0369, 0)</f>
        <v>25.8993</v>
      </c>
      <c r="H331" s="10">
        <f>25.8624 * CHOOSE(CONTROL!$C$15, $E$9, 100%, $G$9) + CHOOSE(CONTROL!$C$38, 0.0369, 0)</f>
        <v>25.8993</v>
      </c>
      <c r="I331" s="10">
        <f>25.864 * CHOOSE(CONTROL!$C$15, $E$9, 100%, $G$9) + CHOOSE(CONTROL!$C$38, 0.0369, 0)</f>
        <v>25.9009</v>
      </c>
      <c r="J331" s="44">
        <f>200.4481</f>
        <v>200.44810000000001</v>
      </c>
    </row>
    <row r="332" spans="1:10" ht="15.75" x14ac:dyDescent="0.25">
      <c r="A332" s="14">
        <v>51043</v>
      </c>
      <c r="B332" s="10">
        <f>28.435 * CHOOSE(CONTROL!$C$15, $E$9, 100%, $G$9) + CHOOSE(CONTROL!$C$38, 0.0278, 0)</f>
        <v>28.462799999999998</v>
      </c>
      <c r="C332" s="10">
        <f>26.1408 * CHOOSE(CONTROL!$C$15, $E$9, 100%, $G$9) + CHOOSE(CONTROL!$C$38, 0.0369, 0)</f>
        <v>26.177699999999998</v>
      </c>
      <c r="D332" s="10">
        <f>26.133 * CHOOSE(CONTROL!$C$15, $E$9, 100%, $G$9) + CHOOSE(CONTROL!$C$38, 0.0369, 0)</f>
        <v>26.169899999999998</v>
      </c>
      <c r="E332" s="46">
        <f>28.2788 * CHOOSE(CONTROL!$C$15, $E$9, 100%, $G$9) + CHOOSE(CONTROL!$C$38, 0.0369, 0)</f>
        <v>28.3157</v>
      </c>
      <c r="F332" s="45">
        <f>28.2788 * CHOOSE(CONTROL!$C$15, $E$9, 100%, $G$9) + CHOOSE(CONTROL!$C$38, 0.0278, 0)</f>
        <v>28.3066</v>
      </c>
      <c r="G332" s="10">
        <f>26.1392 * CHOOSE(CONTROL!$C$15, $E$9, 100%, $G$9) + CHOOSE(CONTROL!$C$38, 0.0369, 0)</f>
        <v>26.176099999999998</v>
      </c>
      <c r="H332" s="10">
        <f>26.1392 * CHOOSE(CONTROL!$C$15, $E$9, 100%, $G$9) + CHOOSE(CONTROL!$C$38, 0.0369, 0)</f>
        <v>26.176099999999998</v>
      </c>
      <c r="I332" s="10">
        <f>26.1408 * CHOOSE(CONTROL!$C$15, $E$9, 100%, $G$9) + CHOOSE(CONTROL!$C$38, 0.0369, 0)</f>
        <v>26.177699999999998</v>
      </c>
      <c r="J332" s="44">
        <f>193.7856</f>
        <v>193.78559999999999</v>
      </c>
    </row>
    <row r="333" spans="1:10" ht="15.75" x14ac:dyDescent="0.25">
      <c r="A333" s="14">
        <v>51074</v>
      </c>
      <c r="B333" s="10">
        <f>28.6668 * CHOOSE(CONTROL!$C$15, $E$9, 100%, $G$9) + CHOOSE(CONTROL!$C$38, 0.0256, 0)</f>
        <v>28.692399999999999</v>
      </c>
      <c r="C333" s="10">
        <f>26.3726 * CHOOSE(CONTROL!$C$15, $E$9, 100%, $G$9) + CHOOSE(CONTROL!$C$38, 0.0347, 0)</f>
        <v>26.407299999999999</v>
      </c>
      <c r="D333" s="10">
        <f>26.3648 * CHOOSE(CONTROL!$C$15, $E$9, 100%, $G$9) + CHOOSE(CONTROL!$C$38, 0.0347, 0)</f>
        <v>26.3995</v>
      </c>
      <c r="E333" s="46">
        <f>28.5106 * CHOOSE(CONTROL!$C$15, $E$9, 100%, $G$9) + CHOOSE(CONTROL!$C$38, 0.0347, 0)</f>
        <v>28.545300000000001</v>
      </c>
      <c r="F333" s="45">
        <f>28.5106 * CHOOSE(CONTROL!$C$15, $E$9, 100%, $G$9) + CHOOSE(CONTROL!$C$38, 0.0256, 0)</f>
        <v>28.536200000000001</v>
      </c>
      <c r="G333" s="10">
        <f>26.371 * CHOOSE(CONTROL!$C$15, $E$9, 100%, $G$9) + CHOOSE(CONTROL!$C$38, 0.0347, 0)</f>
        <v>26.4057</v>
      </c>
      <c r="H333" s="10">
        <f>26.371 * CHOOSE(CONTROL!$C$15, $E$9, 100%, $G$9) + CHOOSE(CONTROL!$C$38, 0.0347, 0)</f>
        <v>26.4057</v>
      </c>
      <c r="I333" s="10">
        <f>26.3726 * CHOOSE(CONTROL!$C$15, $E$9, 100%, $G$9) + CHOOSE(CONTROL!$C$38, 0.0347, 0)</f>
        <v>26.407299999999999</v>
      </c>
      <c r="J333" s="44">
        <f>187.0843</f>
        <v>187.08430000000001</v>
      </c>
    </row>
    <row r="334" spans="1:10" ht="15.75" x14ac:dyDescent="0.25">
      <c r="A334" s="14">
        <v>51104</v>
      </c>
      <c r="B334" s="10">
        <f>28.8603 * CHOOSE(CONTROL!$C$15, $E$9, 100%, $G$9) + CHOOSE(CONTROL!$C$38, 0.0256, 0)</f>
        <v>28.885899999999999</v>
      </c>
      <c r="C334" s="10">
        <f>26.566 * CHOOSE(CONTROL!$C$15, $E$9, 100%, $G$9) + CHOOSE(CONTROL!$C$38, 0.0347, 0)</f>
        <v>26.6007</v>
      </c>
      <c r="D334" s="10">
        <f>26.5582 * CHOOSE(CONTROL!$C$15, $E$9, 100%, $G$9) + CHOOSE(CONTROL!$C$38, 0.0347, 0)</f>
        <v>26.5929</v>
      </c>
      <c r="E334" s="46">
        <f>28.704 * CHOOSE(CONTROL!$C$15, $E$9, 100%, $G$9) + CHOOSE(CONTROL!$C$38, 0.0347, 0)</f>
        <v>28.738700000000001</v>
      </c>
      <c r="F334" s="45">
        <f>28.704 * CHOOSE(CONTROL!$C$15, $E$9, 100%, $G$9) + CHOOSE(CONTROL!$C$38, 0.0256, 0)</f>
        <v>28.729600000000001</v>
      </c>
      <c r="G334" s="10">
        <f>26.5645 * CHOOSE(CONTROL!$C$15, $E$9, 100%, $G$9) + CHOOSE(CONTROL!$C$38, 0.0347, 0)</f>
        <v>26.5992</v>
      </c>
      <c r="H334" s="10">
        <f>26.5645 * CHOOSE(CONTROL!$C$15, $E$9, 100%, $G$9) + CHOOSE(CONTROL!$C$38, 0.0347, 0)</f>
        <v>26.5992</v>
      </c>
      <c r="I334" s="10">
        <f>26.566 * CHOOSE(CONTROL!$C$15, $E$9, 100%, $G$9) + CHOOSE(CONTROL!$C$38, 0.0347, 0)</f>
        <v>26.6007</v>
      </c>
      <c r="J334" s="44">
        <f>185.7512</f>
        <v>185.75120000000001</v>
      </c>
    </row>
    <row r="335" spans="1:10" ht="15.75" x14ac:dyDescent="0.25">
      <c r="A335" s="14">
        <v>51135</v>
      </c>
      <c r="B335" s="10">
        <f>29.4564 * CHOOSE(CONTROL!$C$15, $E$9, 100%, $G$9) + CHOOSE(CONTROL!$C$38, 0.0256, 0)</f>
        <v>29.481999999999999</v>
      </c>
      <c r="C335" s="10">
        <f>27.1621 * CHOOSE(CONTROL!$C$15, $E$9, 100%, $G$9) + CHOOSE(CONTROL!$C$38, 0.0347, 0)</f>
        <v>27.1968</v>
      </c>
      <c r="D335" s="10">
        <f>27.1543 * CHOOSE(CONTROL!$C$15, $E$9, 100%, $G$9) + CHOOSE(CONTROL!$C$38, 0.0347, 0)</f>
        <v>27.189</v>
      </c>
      <c r="E335" s="46">
        <f>29.3001 * CHOOSE(CONTROL!$C$15, $E$9, 100%, $G$9) + CHOOSE(CONTROL!$C$38, 0.0347, 0)</f>
        <v>29.334800000000001</v>
      </c>
      <c r="F335" s="45">
        <f>29.3001 * CHOOSE(CONTROL!$C$15, $E$9, 100%, $G$9) + CHOOSE(CONTROL!$C$38, 0.0256, 0)</f>
        <v>29.325700000000001</v>
      </c>
      <c r="G335" s="10">
        <f>27.1605 * CHOOSE(CONTROL!$C$15, $E$9, 100%, $G$9) + CHOOSE(CONTROL!$C$38, 0.0347, 0)</f>
        <v>27.1952</v>
      </c>
      <c r="H335" s="10">
        <f>27.1605 * CHOOSE(CONTROL!$C$15, $E$9, 100%, $G$9) + CHOOSE(CONTROL!$C$38, 0.0347, 0)</f>
        <v>27.1952</v>
      </c>
      <c r="I335" s="10">
        <f>27.1621 * CHOOSE(CONTROL!$C$15, $E$9, 100%, $G$9) + CHOOSE(CONTROL!$C$38, 0.0347, 0)</f>
        <v>27.1968</v>
      </c>
      <c r="J335" s="44">
        <f>180.239</f>
        <v>180.239</v>
      </c>
    </row>
    <row r="336" spans="1:10" ht="15.75" x14ac:dyDescent="0.25">
      <c r="A336" s="14">
        <v>51166</v>
      </c>
      <c r="B336" s="10">
        <f>30.3907 * CHOOSE(CONTROL!$C$15, $E$9, 100%, $G$9) + CHOOSE(CONTROL!$C$38, 0.0256, 0)</f>
        <v>30.4163</v>
      </c>
      <c r="C336" s="10">
        <f>28.0614 * CHOOSE(CONTROL!$C$15, $E$9, 100%, $G$9) + CHOOSE(CONTROL!$C$38, 0.0347, 0)</f>
        <v>28.0961</v>
      </c>
      <c r="D336" s="10">
        <f>28.0536 * CHOOSE(CONTROL!$C$15, $E$9, 100%, $G$9) + CHOOSE(CONTROL!$C$38, 0.0347, 0)</f>
        <v>28.0883</v>
      </c>
      <c r="E336" s="46">
        <f>30.2344 * CHOOSE(CONTROL!$C$15, $E$9, 100%, $G$9) + CHOOSE(CONTROL!$C$38, 0.0347, 0)</f>
        <v>30.269100000000002</v>
      </c>
      <c r="F336" s="45">
        <f>30.2344 * CHOOSE(CONTROL!$C$15, $E$9, 100%, $G$9) + CHOOSE(CONTROL!$C$38, 0.0256, 0)</f>
        <v>30.26</v>
      </c>
      <c r="G336" s="10">
        <f>28.0598 * CHOOSE(CONTROL!$C$15, $E$9, 100%, $G$9) + CHOOSE(CONTROL!$C$38, 0.0347, 0)</f>
        <v>28.0945</v>
      </c>
      <c r="H336" s="10">
        <f>28.0598 * CHOOSE(CONTROL!$C$15, $E$9, 100%, $G$9) + CHOOSE(CONTROL!$C$38, 0.0347, 0)</f>
        <v>28.0945</v>
      </c>
      <c r="I336" s="10">
        <f>28.0614 * CHOOSE(CONTROL!$C$15, $E$9, 100%, $G$9) + CHOOSE(CONTROL!$C$38, 0.0347, 0)</f>
        <v>28.0961</v>
      </c>
      <c r="J336" s="44">
        <f>179.8948</f>
        <v>179.8948</v>
      </c>
    </row>
    <row r="337" spans="1:10" ht="15.75" x14ac:dyDescent="0.25">
      <c r="A337" s="14">
        <v>51194</v>
      </c>
      <c r="B337" s="10">
        <f>30.6114 * CHOOSE(CONTROL!$C$15, $E$9, 100%, $G$9) + CHOOSE(CONTROL!$C$38, 0.0256, 0)</f>
        <v>30.637</v>
      </c>
      <c r="C337" s="10">
        <f>28.2821 * CHOOSE(CONTROL!$C$15, $E$9, 100%, $G$9) + CHOOSE(CONTROL!$C$38, 0.0347, 0)</f>
        <v>28.316800000000001</v>
      </c>
      <c r="D337" s="10">
        <f>28.2743 * CHOOSE(CONTROL!$C$15, $E$9, 100%, $G$9) + CHOOSE(CONTROL!$C$38, 0.0347, 0)</f>
        <v>28.309000000000001</v>
      </c>
      <c r="E337" s="46">
        <f>30.4552 * CHOOSE(CONTROL!$C$15, $E$9, 100%, $G$9) + CHOOSE(CONTROL!$C$38, 0.0347, 0)</f>
        <v>30.489900000000002</v>
      </c>
      <c r="F337" s="45">
        <f>30.4552 * CHOOSE(CONTROL!$C$15, $E$9, 100%, $G$9) + CHOOSE(CONTROL!$C$38, 0.0256, 0)</f>
        <v>30.480800000000002</v>
      </c>
      <c r="G337" s="10">
        <f>28.2806 * CHOOSE(CONTROL!$C$15, $E$9, 100%, $G$9) + CHOOSE(CONTROL!$C$38, 0.0347, 0)</f>
        <v>28.315300000000001</v>
      </c>
      <c r="H337" s="10">
        <f>28.2806 * CHOOSE(CONTROL!$C$15, $E$9, 100%, $G$9) + CHOOSE(CONTROL!$C$38, 0.0347, 0)</f>
        <v>28.315300000000001</v>
      </c>
      <c r="I337" s="10">
        <f>28.2821 * CHOOSE(CONTROL!$C$15, $E$9, 100%, $G$9) + CHOOSE(CONTROL!$C$38, 0.0347, 0)</f>
        <v>28.316800000000001</v>
      </c>
      <c r="J337" s="44">
        <f>179.3948</f>
        <v>179.3948</v>
      </c>
    </row>
    <row r="338" spans="1:10" ht="15.75" x14ac:dyDescent="0.25">
      <c r="A338" s="14">
        <v>51226</v>
      </c>
      <c r="B338" s="10">
        <f>30.1004 * CHOOSE(CONTROL!$C$15, $E$9, 100%, $G$9) + CHOOSE(CONTROL!$C$38, 0.0256, 0)</f>
        <v>30.126000000000001</v>
      </c>
      <c r="C338" s="10">
        <f>27.7711 * CHOOSE(CONTROL!$C$15, $E$9, 100%, $G$9) + CHOOSE(CONTROL!$C$38, 0.0347, 0)</f>
        <v>27.805800000000001</v>
      </c>
      <c r="D338" s="10">
        <f>27.7633 * CHOOSE(CONTROL!$C$15, $E$9, 100%, $G$9) + CHOOSE(CONTROL!$C$38, 0.0347, 0)</f>
        <v>27.798000000000002</v>
      </c>
      <c r="E338" s="46">
        <f>29.9442 * CHOOSE(CONTROL!$C$15, $E$9, 100%, $G$9) + CHOOSE(CONTROL!$C$38, 0.0347, 0)</f>
        <v>29.978899999999999</v>
      </c>
      <c r="F338" s="45">
        <f>29.9442 * CHOOSE(CONTROL!$C$15, $E$9, 100%, $G$9) + CHOOSE(CONTROL!$C$38, 0.0256, 0)</f>
        <v>29.969799999999999</v>
      </c>
      <c r="G338" s="10">
        <f>27.7695 * CHOOSE(CONTROL!$C$15, $E$9, 100%, $G$9) + CHOOSE(CONTROL!$C$38, 0.0347, 0)</f>
        <v>27.804200000000002</v>
      </c>
      <c r="H338" s="10">
        <f>27.7695 * CHOOSE(CONTROL!$C$15, $E$9, 100%, $G$9) + CHOOSE(CONTROL!$C$38, 0.0347, 0)</f>
        <v>27.804200000000002</v>
      </c>
      <c r="I338" s="10">
        <f>27.7711 * CHOOSE(CONTROL!$C$15, $E$9, 100%, $G$9) + CHOOSE(CONTROL!$C$38, 0.0347, 0)</f>
        <v>27.805800000000001</v>
      </c>
      <c r="J338" s="44">
        <f>188.8499</f>
        <v>188.84989999999999</v>
      </c>
    </row>
    <row r="339" spans="1:10" ht="15.75" x14ac:dyDescent="0.25">
      <c r="A339" s="14">
        <v>51256</v>
      </c>
      <c r="B339" s="10">
        <f>29.6052 * CHOOSE(CONTROL!$C$15, $E$9, 100%, $G$9) + CHOOSE(CONTROL!$C$38, 0.0256, 0)</f>
        <v>29.630800000000001</v>
      </c>
      <c r="C339" s="10">
        <f>27.2759 * CHOOSE(CONTROL!$C$15, $E$9, 100%, $G$9) + CHOOSE(CONTROL!$C$38, 0.0347, 0)</f>
        <v>27.310600000000001</v>
      </c>
      <c r="D339" s="10">
        <f>27.2681 * CHOOSE(CONTROL!$C$15, $E$9, 100%, $G$9) + CHOOSE(CONTROL!$C$38, 0.0347, 0)</f>
        <v>27.302800000000001</v>
      </c>
      <c r="E339" s="46">
        <f>29.449 * CHOOSE(CONTROL!$C$15, $E$9, 100%, $G$9) + CHOOSE(CONTROL!$C$38, 0.0347, 0)</f>
        <v>29.483700000000002</v>
      </c>
      <c r="F339" s="45">
        <f>29.449 * CHOOSE(CONTROL!$C$15, $E$9, 100%, $G$9) + CHOOSE(CONTROL!$C$38, 0.0256, 0)</f>
        <v>29.474600000000002</v>
      </c>
      <c r="G339" s="10">
        <f>27.2744 * CHOOSE(CONTROL!$C$15, $E$9, 100%, $G$9) + CHOOSE(CONTROL!$C$38, 0.0347, 0)</f>
        <v>27.309100000000001</v>
      </c>
      <c r="H339" s="10">
        <f>27.2744 * CHOOSE(CONTROL!$C$15, $E$9, 100%, $G$9) + CHOOSE(CONTROL!$C$38, 0.0347, 0)</f>
        <v>27.309100000000001</v>
      </c>
      <c r="I339" s="10">
        <f>27.2759 * CHOOSE(CONTROL!$C$15, $E$9, 100%, $G$9) + CHOOSE(CONTROL!$C$38, 0.0347, 0)</f>
        <v>27.310600000000001</v>
      </c>
      <c r="J339" s="44">
        <f>201.111</f>
        <v>201.11099999999999</v>
      </c>
    </row>
    <row r="340" spans="1:10" ht="15.75" x14ac:dyDescent="0.25">
      <c r="A340" s="14">
        <v>51287</v>
      </c>
      <c r="B340" s="10">
        <f>29.0891 * CHOOSE(CONTROL!$C$15, $E$9, 100%, $G$9) + CHOOSE(CONTROL!$C$38, 0.0278, 0)</f>
        <v>29.116899999999998</v>
      </c>
      <c r="C340" s="10">
        <f>26.7598 * CHOOSE(CONTROL!$C$15, $E$9, 100%, $G$9) + CHOOSE(CONTROL!$C$38, 0.0369, 0)</f>
        <v>26.796699999999998</v>
      </c>
      <c r="D340" s="10">
        <f>26.752 * CHOOSE(CONTROL!$C$15, $E$9, 100%, $G$9) + CHOOSE(CONTROL!$C$38, 0.0369, 0)</f>
        <v>26.788899999999998</v>
      </c>
      <c r="E340" s="46">
        <f>28.9329 * CHOOSE(CONTROL!$C$15, $E$9, 100%, $G$9) + CHOOSE(CONTROL!$C$38, 0.0369, 0)</f>
        <v>28.969799999999999</v>
      </c>
      <c r="F340" s="45">
        <f>28.9329 * CHOOSE(CONTROL!$C$15, $E$9, 100%, $G$9) + CHOOSE(CONTROL!$C$38, 0.0278, 0)</f>
        <v>28.960699999999999</v>
      </c>
      <c r="G340" s="10">
        <f>26.7583 * CHOOSE(CONTROL!$C$15, $E$9, 100%, $G$9) + CHOOSE(CONTROL!$C$38, 0.0369, 0)</f>
        <v>26.795199999999998</v>
      </c>
      <c r="H340" s="10">
        <f>26.7583 * CHOOSE(CONTROL!$C$15, $E$9, 100%, $G$9) + CHOOSE(CONTROL!$C$38, 0.0369, 0)</f>
        <v>26.795199999999998</v>
      </c>
      <c r="I340" s="10">
        <f>26.7598 * CHOOSE(CONTROL!$C$15, $E$9, 100%, $G$9) + CHOOSE(CONTROL!$C$38, 0.0369, 0)</f>
        <v>26.796699999999998</v>
      </c>
      <c r="J340" s="44">
        <f>207.8599</f>
        <v>207.85990000000001</v>
      </c>
    </row>
    <row r="341" spans="1:10" ht="15.75" x14ac:dyDescent="0.25">
      <c r="A341" s="14">
        <v>51317</v>
      </c>
      <c r="B341" s="10">
        <f>28.7273 * CHOOSE(CONTROL!$C$15, $E$9, 100%, $G$9) + CHOOSE(CONTROL!$C$38, 0.0278, 0)</f>
        <v>28.755099999999999</v>
      </c>
      <c r="C341" s="10">
        <f>26.398 * CHOOSE(CONTROL!$C$15, $E$9, 100%, $G$9) + CHOOSE(CONTROL!$C$38, 0.0369, 0)</f>
        <v>26.434899999999999</v>
      </c>
      <c r="D341" s="10">
        <f>26.3902 * CHOOSE(CONTROL!$C$15, $E$9, 100%, $G$9) + CHOOSE(CONTROL!$C$38, 0.0369, 0)</f>
        <v>26.427099999999999</v>
      </c>
      <c r="E341" s="46">
        <f>28.571 * CHOOSE(CONTROL!$C$15, $E$9, 100%, $G$9) + CHOOSE(CONTROL!$C$38, 0.0369, 0)</f>
        <v>28.607900000000001</v>
      </c>
      <c r="F341" s="45">
        <f>28.571 * CHOOSE(CONTROL!$C$15, $E$9, 100%, $G$9) + CHOOSE(CONTROL!$C$38, 0.0278, 0)</f>
        <v>28.598800000000001</v>
      </c>
      <c r="G341" s="10">
        <f>26.3964 * CHOOSE(CONTROL!$C$15, $E$9, 100%, $G$9) + CHOOSE(CONTROL!$C$38, 0.0369, 0)</f>
        <v>26.433299999999999</v>
      </c>
      <c r="H341" s="10">
        <f>26.3964 * CHOOSE(CONTROL!$C$15, $E$9, 100%, $G$9) + CHOOSE(CONTROL!$C$38, 0.0369, 0)</f>
        <v>26.433299999999999</v>
      </c>
      <c r="I341" s="10">
        <f>26.398 * CHOOSE(CONTROL!$C$15, $E$9, 100%, $G$9) + CHOOSE(CONTROL!$C$38, 0.0369, 0)</f>
        <v>26.434899999999999</v>
      </c>
      <c r="J341" s="44">
        <f>210.8549</f>
        <v>210.85489999999999</v>
      </c>
    </row>
    <row r="342" spans="1:10" ht="15.75" x14ac:dyDescent="0.25">
      <c r="A342" s="14">
        <v>51348</v>
      </c>
      <c r="B342" s="10">
        <f>28.5208 * CHOOSE(CONTROL!$C$15, $E$9, 100%, $G$9) + CHOOSE(CONTROL!$C$38, 0.0278, 0)</f>
        <v>28.5486</v>
      </c>
      <c r="C342" s="10">
        <f>26.1915 * CHOOSE(CONTROL!$C$15, $E$9, 100%, $G$9) + CHOOSE(CONTROL!$C$38, 0.0369, 0)</f>
        <v>26.228400000000001</v>
      </c>
      <c r="D342" s="10">
        <f>26.1837 * CHOOSE(CONTROL!$C$15, $E$9, 100%, $G$9) + CHOOSE(CONTROL!$C$38, 0.0369, 0)</f>
        <v>26.220600000000001</v>
      </c>
      <c r="E342" s="46">
        <f>28.3645 * CHOOSE(CONTROL!$C$15, $E$9, 100%, $G$9) + CHOOSE(CONTROL!$C$38, 0.0369, 0)</f>
        <v>28.401399999999999</v>
      </c>
      <c r="F342" s="45">
        <f>28.3645 * CHOOSE(CONTROL!$C$15, $E$9, 100%, $G$9) + CHOOSE(CONTROL!$C$38, 0.0278, 0)</f>
        <v>28.392299999999999</v>
      </c>
      <c r="G342" s="10">
        <f>26.1899 * CHOOSE(CONTROL!$C$15, $E$9, 100%, $G$9) + CHOOSE(CONTROL!$C$38, 0.0369, 0)</f>
        <v>26.226800000000001</v>
      </c>
      <c r="H342" s="10">
        <f>26.1899 * CHOOSE(CONTROL!$C$15, $E$9, 100%, $G$9) + CHOOSE(CONTROL!$C$38, 0.0369, 0)</f>
        <v>26.226800000000001</v>
      </c>
      <c r="I342" s="10">
        <f>26.1915 * CHOOSE(CONTROL!$C$15, $E$9, 100%, $G$9) + CHOOSE(CONTROL!$C$38, 0.0369, 0)</f>
        <v>26.228400000000001</v>
      </c>
      <c r="J342" s="44">
        <f>209.8688</f>
        <v>209.86879999999999</v>
      </c>
    </row>
    <row r="343" spans="1:10" ht="15.75" x14ac:dyDescent="0.25">
      <c r="A343" s="14">
        <v>51379</v>
      </c>
      <c r="B343" s="10">
        <f>28.6227 * CHOOSE(CONTROL!$C$15, $E$9, 100%, $G$9) + CHOOSE(CONTROL!$C$38, 0.0278, 0)</f>
        <v>28.650499999999997</v>
      </c>
      <c r="C343" s="10">
        <f>26.2934 * CHOOSE(CONTROL!$C$15, $E$9, 100%, $G$9) + CHOOSE(CONTROL!$C$38, 0.0369, 0)</f>
        <v>26.330299999999998</v>
      </c>
      <c r="D343" s="10">
        <f>26.2856 * CHOOSE(CONTROL!$C$15, $E$9, 100%, $G$9) + CHOOSE(CONTROL!$C$38, 0.0369, 0)</f>
        <v>26.322499999999998</v>
      </c>
      <c r="E343" s="46">
        <f>28.4665 * CHOOSE(CONTROL!$C$15, $E$9, 100%, $G$9) + CHOOSE(CONTROL!$C$38, 0.0369, 0)</f>
        <v>28.503399999999999</v>
      </c>
      <c r="F343" s="45">
        <f>28.4665 * CHOOSE(CONTROL!$C$15, $E$9, 100%, $G$9) + CHOOSE(CONTROL!$C$38, 0.0278, 0)</f>
        <v>28.494299999999999</v>
      </c>
      <c r="G343" s="10">
        <f>26.2918 * CHOOSE(CONTROL!$C$15, $E$9, 100%, $G$9) + CHOOSE(CONTROL!$C$38, 0.0369, 0)</f>
        <v>26.328699999999998</v>
      </c>
      <c r="H343" s="10">
        <f>26.2918 * CHOOSE(CONTROL!$C$15, $E$9, 100%, $G$9) + CHOOSE(CONTROL!$C$38, 0.0369, 0)</f>
        <v>26.328699999999998</v>
      </c>
      <c r="I343" s="10">
        <f>26.2934 * CHOOSE(CONTROL!$C$15, $E$9, 100%, $G$9) + CHOOSE(CONTROL!$C$38, 0.0369, 0)</f>
        <v>26.330299999999998</v>
      </c>
      <c r="J343" s="44">
        <f>204.9831</f>
        <v>204.98310000000001</v>
      </c>
    </row>
    <row r="344" spans="1:10" ht="15.75" x14ac:dyDescent="0.25">
      <c r="A344" s="14">
        <v>51409</v>
      </c>
      <c r="B344" s="10">
        <f>28.8995 * CHOOSE(CONTROL!$C$15, $E$9, 100%, $G$9) + CHOOSE(CONTROL!$C$38, 0.0278, 0)</f>
        <v>28.927299999999999</v>
      </c>
      <c r="C344" s="10">
        <f>26.5702 * CHOOSE(CONTROL!$C$15, $E$9, 100%, $G$9) + CHOOSE(CONTROL!$C$38, 0.0369, 0)</f>
        <v>26.607099999999999</v>
      </c>
      <c r="D344" s="10">
        <f>26.5624 * CHOOSE(CONTROL!$C$15, $E$9, 100%, $G$9) + CHOOSE(CONTROL!$C$38, 0.0369, 0)</f>
        <v>26.599299999999999</v>
      </c>
      <c r="E344" s="46">
        <f>28.7433 * CHOOSE(CONTROL!$C$15, $E$9, 100%, $G$9) + CHOOSE(CONTROL!$C$38, 0.0369, 0)</f>
        <v>28.780200000000001</v>
      </c>
      <c r="F344" s="45">
        <f>28.7433 * CHOOSE(CONTROL!$C$15, $E$9, 100%, $G$9) + CHOOSE(CONTROL!$C$38, 0.0278, 0)</f>
        <v>28.771100000000001</v>
      </c>
      <c r="G344" s="10">
        <f>26.5686 * CHOOSE(CONTROL!$C$15, $E$9, 100%, $G$9) + CHOOSE(CONTROL!$C$38, 0.0369, 0)</f>
        <v>26.605499999999999</v>
      </c>
      <c r="H344" s="10">
        <f>26.5686 * CHOOSE(CONTROL!$C$15, $E$9, 100%, $G$9) + CHOOSE(CONTROL!$C$38, 0.0369, 0)</f>
        <v>26.605499999999999</v>
      </c>
      <c r="I344" s="10">
        <f>26.5702 * CHOOSE(CONTROL!$C$15, $E$9, 100%, $G$9) + CHOOSE(CONTROL!$C$38, 0.0369, 0)</f>
        <v>26.607099999999999</v>
      </c>
      <c r="J344" s="44">
        <f>198.1699</f>
        <v>198.16990000000001</v>
      </c>
    </row>
    <row r="345" spans="1:10" ht="15.75" x14ac:dyDescent="0.25">
      <c r="A345" s="14">
        <v>51440</v>
      </c>
      <c r="B345" s="10">
        <f>29.1313 * CHOOSE(CONTROL!$C$15, $E$9, 100%, $G$9) + CHOOSE(CONTROL!$C$38, 0.0256, 0)</f>
        <v>29.1569</v>
      </c>
      <c r="C345" s="10">
        <f>26.802 * CHOOSE(CONTROL!$C$15, $E$9, 100%, $G$9) + CHOOSE(CONTROL!$C$38, 0.0347, 0)</f>
        <v>26.8367</v>
      </c>
      <c r="D345" s="10">
        <f>26.7942 * CHOOSE(CONTROL!$C$15, $E$9, 100%, $G$9) + CHOOSE(CONTROL!$C$38, 0.0347, 0)</f>
        <v>26.828900000000001</v>
      </c>
      <c r="E345" s="46">
        <f>28.9751 * CHOOSE(CONTROL!$C$15, $E$9, 100%, $G$9) + CHOOSE(CONTROL!$C$38, 0.0347, 0)</f>
        <v>29.009800000000002</v>
      </c>
      <c r="F345" s="45">
        <f>28.9751 * CHOOSE(CONTROL!$C$15, $E$9, 100%, $G$9) + CHOOSE(CONTROL!$C$38, 0.0256, 0)</f>
        <v>29.000700000000002</v>
      </c>
      <c r="G345" s="10">
        <f>26.8005 * CHOOSE(CONTROL!$C$15, $E$9, 100%, $G$9) + CHOOSE(CONTROL!$C$38, 0.0347, 0)</f>
        <v>26.8352</v>
      </c>
      <c r="H345" s="10">
        <f>26.8005 * CHOOSE(CONTROL!$C$15, $E$9, 100%, $G$9) + CHOOSE(CONTROL!$C$38, 0.0347, 0)</f>
        <v>26.8352</v>
      </c>
      <c r="I345" s="10">
        <f>26.802 * CHOOSE(CONTROL!$C$15, $E$9, 100%, $G$9) + CHOOSE(CONTROL!$C$38, 0.0347, 0)</f>
        <v>26.8367</v>
      </c>
      <c r="J345" s="44">
        <f>191.3169</f>
        <v>191.3169</v>
      </c>
    </row>
    <row r="346" spans="1:10" ht="15.75" x14ac:dyDescent="0.25">
      <c r="A346" s="14">
        <v>51470</v>
      </c>
      <c r="B346" s="10">
        <f>29.3248 * CHOOSE(CONTROL!$C$15, $E$9, 100%, $G$9) + CHOOSE(CONTROL!$C$38, 0.0256, 0)</f>
        <v>29.3504</v>
      </c>
      <c r="C346" s="10">
        <f>26.9955 * CHOOSE(CONTROL!$C$15, $E$9, 100%, $G$9) + CHOOSE(CONTROL!$C$38, 0.0347, 0)</f>
        <v>27.030200000000001</v>
      </c>
      <c r="D346" s="10">
        <f>26.9877 * CHOOSE(CONTROL!$C$15, $E$9, 100%, $G$9) + CHOOSE(CONTROL!$C$38, 0.0347, 0)</f>
        <v>27.022400000000001</v>
      </c>
      <c r="E346" s="46">
        <f>29.1685 * CHOOSE(CONTROL!$C$15, $E$9, 100%, $G$9) + CHOOSE(CONTROL!$C$38, 0.0347, 0)</f>
        <v>29.203200000000002</v>
      </c>
      <c r="F346" s="45">
        <f>29.1685 * CHOOSE(CONTROL!$C$15, $E$9, 100%, $G$9) + CHOOSE(CONTROL!$C$38, 0.0256, 0)</f>
        <v>29.194100000000002</v>
      </c>
      <c r="G346" s="10">
        <f>26.9939 * CHOOSE(CONTROL!$C$15, $E$9, 100%, $G$9) + CHOOSE(CONTROL!$C$38, 0.0347, 0)</f>
        <v>27.028600000000001</v>
      </c>
      <c r="H346" s="10">
        <f>26.9939 * CHOOSE(CONTROL!$C$15, $E$9, 100%, $G$9) + CHOOSE(CONTROL!$C$38, 0.0347, 0)</f>
        <v>27.028600000000001</v>
      </c>
      <c r="I346" s="10">
        <f>26.9955 * CHOOSE(CONTROL!$C$15, $E$9, 100%, $G$9) + CHOOSE(CONTROL!$C$38, 0.0347, 0)</f>
        <v>27.030200000000001</v>
      </c>
      <c r="J346" s="44">
        <f>189.9538</f>
        <v>189.9538</v>
      </c>
    </row>
    <row r="347" spans="1:10" ht="15.75" x14ac:dyDescent="0.25">
      <c r="A347" s="14">
        <v>51501</v>
      </c>
      <c r="B347" s="10">
        <f>29.9208 * CHOOSE(CONTROL!$C$15, $E$9, 100%, $G$9) + CHOOSE(CONTROL!$C$38, 0.0256, 0)</f>
        <v>29.946400000000001</v>
      </c>
      <c r="C347" s="10">
        <f>27.5915 * CHOOSE(CONTROL!$C$15, $E$9, 100%, $G$9) + CHOOSE(CONTROL!$C$38, 0.0347, 0)</f>
        <v>27.626200000000001</v>
      </c>
      <c r="D347" s="10">
        <f>27.5837 * CHOOSE(CONTROL!$C$15, $E$9, 100%, $G$9) + CHOOSE(CONTROL!$C$38, 0.0347, 0)</f>
        <v>27.618400000000001</v>
      </c>
      <c r="E347" s="46">
        <f>29.7646 * CHOOSE(CONTROL!$C$15, $E$9, 100%, $G$9) + CHOOSE(CONTROL!$C$38, 0.0347, 0)</f>
        <v>29.799300000000002</v>
      </c>
      <c r="F347" s="45">
        <f>29.7646 * CHOOSE(CONTROL!$C$15, $E$9, 100%, $G$9) + CHOOSE(CONTROL!$C$38, 0.0256, 0)</f>
        <v>29.790200000000002</v>
      </c>
      <c r="G347" s="10">
        <f>27.59 * CHOOSE(CONTROL!$C$15, $E$9, 100%, $G$9) + CHOOSE(CONTROL!$C$38, 0.0347, 0)</f>
        <v>27.624700000000001</v>
      </c>
      <c r="H347" s="10">
        <f>27.59 * CHOOSE(CONTROL!$C$15, $E$9, 100%, $G$9) + CHOOSE(CONTROL!$C$38, 0.0347, 0)</f>
        <v>27.624700000000001</v>
      </c>
      <c r="I347" s="10">
        <f>27.5915 * CHOOSE(CONTROL!$C$15, $E$9, 100%, $G$9) + CHOOSE(CONTROL!$C$38, 0.0347, 0)</f>
        <v>27.626200000000001</v>
      </c>
      <c r="J347" s="44">
        <f>184.3169</f>
        <v>184.3169</v>
      </c>
    </row>
    <row r="348" spans="1:10" ht="15.75" x14ac:dyDescent="0.25">
      <c r="A348" s="14">
        <v>51532</v>
      </c>
      <c r="B348" s="10">
        <f>30.8628 * CHOOSE(CONTROL!$C$15, $E$9, 100%, $G$9) + CHOOSE(CONTROL!$C$38, 0.0256, 0)</f>
        <v>30.888400000000001</v>
      </c>
      <c r="C348" s="10">
        <f>28.4979 * CHOOSE(CONTROL!$C$15, $E$9, 100%, $G$9) + CHOOSE(CONTROL!$C$38, 0.0347, 0)</f>
        <v>28.532600000000002</v>
      </c>
      <c r="D348" s="10">
        <f>28.49 * CHOOSE(CONTROL!$C$15, $E$9, 100%, $G$9) + CHOOSE(CONTROL!$C$38, 0.0347, 0)</f>
        <v>28.524699999999999</v>
      </c>
      <c r="E348" s="46">
        <f>30.7065 * CHOOSE(CONTROL!$C$15, $E$9, 100%, $G$9) + CHOOSE(CONTROL!$C$38, 0.0347, 0)</f>
        <v>30.741199999999999</v>
      </c>
      <c r="F348" s="45">
        <f>30.7065 * CHOOSE(CONTROL!$C$15, $E$9, 100%, $G$9) + CHOOSE(CONTROL!$C$38, 0.0256, 0)</f>
        <v>30.732099999999999</v>
      </c>
      <c r="G348" s="10">
        <f>28.4963 * CHOOSE(CONTROL!$C$15, $E$9, 100%, $G$9) + CHOOSE(CONTROL!$C$38, 0.0347, 0)</f>
        <v>28.531000000000002</v>
      </c>
      <c r="H348" s="10">
        <f>28.4963 * CHOOSE(CONTROL!$C$15, $E$9, 100%, $G$9) + CHOOSE(CONTROL!$C$38, 0.0347, 0)</f>
        <v>28.531000000000002</v>
      </c>
      <c r="I348" s="10">
        <f>28.4979 * CHOOSE(CONTROL!$C$15, $E$9, 100%, $G$9) + CHOOSE(CONTROL!$C$38, 0.0347, 0)</f>
        <v>28.532600000000002</v>
      </c>
      <c r="J348" s="44">
        <f>183.9649</f>
        <v>183.9649</v>
      </c>
    </row>
    <row r="349" spans="1:10" ht="15.75" x14ac:dyDescent="0.25">
      <c r="A349" s="14">
        <v>51560</v>
      </c>
      <c r="B349" s="10">
        <f>31.0835 * CHOOSE(CONTROL!$C$15, $E$9, 100%, $G$9) + CHOOSE(CONTROL!$C$38, 0.0256, 0)</f>
        <v>31.109100000000002</v>
      </c>
      <c r="C349" s="10">
        <f>28.7186 * CHOOSE(CONTROL!$C$15, $E$9, 100%, $G$9) + CHOOSE(CONTROL!$C$38, 0.0347, 0)</f>
        <v>28.753299999999999</v>
      </c>
      <c r="D349" s="10">
        <f>28.7108 * CHOOSE(CONTROL!$C$15, $E$9, 100%, $G$9) + CHOOSE(CONTROL!$C$38, 0.0347, 0)</f>
        <v>28.7455</v>
      </c>
      <c r="E349" s="46">
        <f>30.9273 * CHOOSE(CONTROL!$C$15, $E$9, 100%, $G$9) + CHOOSE(CONTROL!$C$38, 0.0347, 0)</f>
        <v>30.962</v>
      </c>
      <c r="F349" s="45">
        <f>30.9273 * CHOOSE(CONTROL!$C$15, $E$9, 100%, $G$9) + CHOOSE(CONTROL!$C$38, 0.0256, 0)</f>
        <v>30.9529</v>
      </c>
      <c r="G349" s="10">
        <f>28.7171 * CHOOSE(CONTROL!$C$15, $E$9, 100%, $G$9) + CHOOSE(CONTROL!$C$38, 0.0347, 0)</f>
        <v>28.751799999999999</v>
      </c>
      <c r="H349" s="10">
        <f>28.7171 * CHOOSE(CONTROL!$C$15, $E$9, 100%, $G$9) + CHOOSE(CONTROL!$C$38, 0.0347, 0)</f>
        <v>28.751799999999999</v>
      </c>
      <c r="I349" s="10">
        <f>28.7186 * CHOOSE(CONTROL!$C$15, $E$9, 100%, $G$9) + CHOOSE(CONTROL!$C$38, 0.0347, 0)</f>
        <v>28.753299999999999</v>
      </c>
      <c r="J349" s="44">
        <f>183.4535</f>
        <v>183.45349999999999</v>
      </c>
    </row>
    <row r="350" spans="1:10" ht="15.75" x14ac:dyDescent="0.25">
      <c r="A350" s="14">
        <v>51591</v>
      </c>
      <c r="B350" s="10">
        <f>30.5725 * CHOOSE(CONTROL!$C$15, $E$9, 100%, $G$9) + CHOOSE(CONTROL!$C$38, 0.0256, 0)</f>
        <v>30.598100000000002</v>
      </c>
      <c r="C350" s="10">
        <f>28.2076 * CHOOSE(CONTROL!$C$15, $E$9, 100%, $G$9) + CHOOSE(CONTROL!$C$38, 0.0347, 0)</f>
        <v>28.2423</v>
      </c>
      <c r="D350" s="10">
        <f>28.1998 * CHOOSE(CONTROL!$C$15, $E$9, 100%, $G$9) + CHOOSE(CONTROL!$C$38, 0.0347, 0)</f>
        <v>28.234500000000001</v>
      </c>
      <c r="E350" s="46">
        <f>30.4163 * CHOOSE(CONTROL!$C$15, $E$9, 100%, $G$9) + CHOOSE(CONTROL!$C$38, 0.0347, 0)</f>
        <v>30.451000000000001</v>
      </c>
      <c r="F350" s="45">
        <f>30.4163 * CHOOSE(CONTROL!$C$15, $E$9, 100%, $G$9) + CHOOSE(CONTROL!$C$38, 0.0256, 0)</f>
        <v>30.4419</v>
      </c>
      <c r="G350" s="10">
        <f>28.206 * CHOOSE(CONTROL!$C$15, $E$9, 100%, $G$9) + CHOOSE(CONTROL!$C$38, 0.0347, 0)</f>
        <v>28.2407</v>
      </c>
      <c r="H350" s="10">
        <f>28.206 * CHOOSE(CONTROL!$C$15, $E$9, 100%, $G$9) + CHOOSE(CONTROL!$C$38, 0.0347, 0)</f>
        <v>28.2407</v>
      </c>
      <c r="I350" s="10">
        <f>28.2076 * CHOOSE(CONTROL!$C$15, $E$9, 100%, $G$9) + CHOOSE(CONTROL!$C$38, 0.0347, 0)</f>
        <v>28.2423</v>
      </c>
      <c r="J350" s="44">
        <f>193.1226</f>
        <v>193.12260000000001</v>
      </c>
    </row>
    <row r="351" spans="1:10" ht="15.75" x14ac:dyDescent="0.25">
      <c r="A351" s="14">
        <v>51621</v>
      </c>
      <c r="B351" s="10">
        <f>30.0773 * CHOOSE(CONTROL!$C$15, $E$9, 100%, $G$9) + CHOOSE(CONTROL!$C$38, 0.0256, 0)</f>
        <v>30.102900000000002</v>
      </c>
      <c r="C351" s="10">
        <f>27.7124 * CHOOSE(CONTROL!$C$15, $E$9, 100%, $G$9) + CHOOSE(CONTROL!$C$38, 0.0347, 0)</f>
        <v>27.7471</v>
      </c>
      <c r="D351" s="10">
        <f>27.7046 * CHOOSE(CONTROL!$C$15, $E$9, 100%, $G$9) + CHOOSE(CONTROL!$C$38, 0.0347, 0)</f>
        <v>27.7393</v>
      </c>
      <c r="E351" s="46">
        <f>29.9211 * CHOOSE(CONTROL!$C$15, $E$9, 100%, $G$9) + CHOOSE(CONTROL!$C$38, 0.0347, 0)</f>
        <v>29.9558</v>
      </c>
      <c r="F351" s="45">
        <f>29.9211 * CHOOSE(CONTROL!$C$15, $E$9, 100%, $G$9) + CHOOSE(CONTROL!$C$38, 0.0256, 0)</f>
        <v>29.9467</v>
      </c>
      <c r="G351" s="10">
        <f>27.7108 * CHOOSE(CONTROL!$C$15, $E$9, 100%, $G$9) + CHOOSE(CONTROL!$C$38, 0.0347, 0)</f>
        <v>27.7455</v>
      </c>
      <c r="H351" s="10">
        <f>27.7108 * CHOOSE(CONTROL!$C$15, $E$9, 100%, $G$9) + CHOOSE(CONTROL!$C$38, 0.0347, 0)</f>
        <v>27.7455</v>
      </c>
      <c r="I351" s="10">
        <f>27.7124 * CHOOSE(CONTROL!$C$15, $E$9, 100%, $G$9) + CHOOSE(CONTROL!$C$38, 0.0347, 0)</f>
        <v>27.7471</v>
      </c>
      <c r="J351" s="44">
        <f>205.661</f>
        <v>205.661</v>
      </c>
    </row>
    <row r="352" spans="1:10" ht="15.75" x14ac:dyDescent="0.25">
      <c r="A352" s="14">
        <v>51652</v>
      </c>
      <c r="B352" s="10">
        <f>29.5612 * CHOOSE(CONTROL!$C$15, $E$9, 100%, $G$9) + CHOOSE(CONTROL!$C$38, 0.0278, 0)</f>
        <v>29.588999999999999</v>
      </c>
      <c r="C352" s="10">
        <f>27.1963 * CHOOSE(CONTROL!$C$15, $E$9, 100%, $G$9) + CHOOSE(CONTROL!$C$38, 0.0369, 0)</f>
        <v>27.2332</v>
      </c>
      <c r="D352" s="10">
        <f>27.1885 * CHOOSE(CONTROL!$C$15, $E$9, 100%, $G$9) + CHOOSE(CONTROL!$C$38, 0.0369, 0)</f>
        <v>27.2254</v>
      </c>
      <c r="E352" s="46">
        <f>29.405 * CHOOSE(CONTROL!$C$15, $E$9, 100%, $G$9) + CHOOSE(CONTROL!$C$38, 0.0369, 0)</f>
        <v>29.4419</v>
      </c>
      <c r="F352" s="45">
        <f>29.405 * CHOOSE(CONTROL!$C$15, $E$9, 100%, $G$9) + CHOOSE(CONTROL!$C$38, 0.0278, 0)</f>
        <v>29.4328</v>
      </c>
      <c r="G352" s="10">
        <f>27.1947 * CHOOSE(CONTROL!$C$15, $E$9, 100%, $G$9) + CHOOSE(CONTROL!$C$38, 0.0369, 0)</f>
        <v>27.2316</v>
      </c>
      <c r="H352" s="10">
        <f>27.1947 * CHOOSE(CONTROL!$C$15, $E$9, 100%, $G$9) + CHOOSE(CONTROL!$C$38, 0.0369, 0)</f>
        <v>27.2316</v>
      </c>
      <c r="I352" s="10">
        <f>27.1963 * CHOOSE(CONTROL!$C$15, $E$9, 100%, $G$9) + CHOOSE(CONTROL!$C$38, 0.0369, 0)</f>
        <v>27.2332</v>
      </c>
      <c r="J352" s="44">
        <f>212.5626</f>
        <v>212.5626</v>
      </c>
    </row>
    <row r="353" spans="1:10" ht="15.75" x14ac:dyDescent="0.25">
      <c r="A353" s="14">
        <v>51682</v>
      </c>
      <c r="B353" s="10">
        <f>29.1994 * CHOOSE(CONTROL!$C$15, $E$9, 100%, $G$9) + CHOOSE(CONTROL!$C$38, 0.0278, 0)</f>
        <v>29.2272</v>
      </c>
      <c r="C353" s="10">
        <f>26.8345 * CHOOSE(CONTROL!$C$15, $E$9, 100%, $G$9) + CHOOSE(CONTROL!$C$38, 0.0369, 0)</f>
        <v>26.871399999999998</v>
      </c>
      <c r="D353" s="10">
        <f>26.8266 * CHOOSE(CONTROL!$C$15, $E$9, 100%, $G$9) + CHOOSE(CONTROL!$C$38, 0.0369, 0)</f>
        <v>26.863499999999998</v>
      </c>
      <c r="E353" s="46">
        <f>29.0431 * CHOOSE(CONTROL!$C$15, $E$9, 100%, $G$9) + CHOOSE(CONTROL!$C$38, 0.0369, 0)</f>
        <v>29.08</v>
      </c>
      <c r="F353" s="45">
        <f>29.0431 * CHOOSE(CONTROL!$C$15, $E$9, 100%, $G$9) + CHOOSE(CONTROL!$C$38, 0.0278, 0)</f>
        <v>29.070899999999998</v>
      </c>
      <c r="G353" s="10">
        <f>26.8329 * CHOOSE(CONTROL!$C$15, $E$9, 100%, $G$9) + CHOOSE(CONTROL!$C$38, 0.0369, 0)</f>
        <v>26.869799999999998</v>
      </c>
      <c r="H353" s="10">
        <f>26.8329 * CHOOSE(CONTROL!$C$15, $E$9, 100%, $G$9) + CHOOSE(CONTROL!$C$38, 0.0369, 0)</f>
        <v>26.869799999999998</v>
      </c>
      <c r="I353" s="10">
        <f>26.8345 * CHOOSE(CONTROL!$C$15, $E$9, 100%, $G$9) + CHOOSE(CONTROL!$C$38, 0.0369, 0)</f>
        <v>26.871399999999998</v>
      </c>
      <c r="J353" s="44">
        <f>215.6254</f>
        <v>215.62540000000001</v>
      </c>
    </row>
    <row r="354" spans="1:10" ht="15.75" x14ac:dyDescent="0.25">
      <c r="A354" s="14">
        <v>51713</v>
      </c>
      <c r="B354" s="10">
        <f>28.9929 * CHOOSE(CONTROL!$C$15, $E$9, 100%, $G$9) + CHOOSE(CONTROL!$C$38, 0.0278, 0)</f>
        <v>29.020699999999998</v>
      </c>
      <c r="C354" s="10">
        <f>26.628 * CHOOSE(CONTROL!$C$15, $E$9, 100%, $G$9) + CHOOSE(CONTROL!$C$38, 0.0369, 0)</f>
        <v>26.664899999999999</v>
      </c>
      <c r="D354" s="10">
        <f>26.6202 * CHOOSE(CONTROL!$C$15, $E$9, 100%, $G$9) + CHOOSE(CONTROL!$C$38, 0.0369, 0)</f>
        <v>26.6571</v>
      </c>
      <c r="E354" s="46">
        <f>28.8366 * CHOOSE(CONTROL!$C$15, $E$9, 100%, $G$9) + CHOOSE(CONTROL!$C$38, 0.0369, 0)</f>
        <v>28.8735</v>
      </c>
      <c r="F354" s="45">
        <f>28.8366 * CHOOSE(CONTROL!$C$15, $E$9, 100%, $G$9) + CHOOSE(CONTROL!$C$38, 0.0278, 0)</f>
        <v>28.8644</v>
      </c>
      <c r="G354" s="10">
        <f>26.6264 * CHOOSE(CONTROL!$C$15, $E$9, 100%, $G$9) + CHOOSE(CONTROL!$C$38, 0.0369, 0)</f>
        <v>26.6633</v>
      </c>
      <c r="H354" s="10">
        <f>26.6264 * CHOOSE(CONTROL!$C$15, $E$9, 100%, $G$9) + CHOOSE(CONTROL!$C$38, 0.0369, 0)</f>
        <v>26.6633</v>
      </c>
      <c r="I354" s="10">
        <f>26.628 * CHOOSE(CONTROL!$C$15, $E$9, 100%, $G$9) + CHOOSE(CONTROL!$C$38, 0.0369, 0)</f>
        <v>26.664899999999999</v>
      </c>
      <c r="J354" s="44">
        <f>214.617</f>
        <v>214.61699999999999</v>
      </c>
    </row>
    <row r="355" spans="1:10" ht="15.75" x14ac:dyDescent="0.25">
      <c r="A355" s="14">
        <v>51744</v>
      </c>
      <c r="B355" s="10">
        <f>29.0948 * CHOOSE(CONTROL!$C$15, $E$9, 100%, $G$9) + CHOOSE(CONTROL!$C$38, 0.0278, 0)</f>
        <v>29.122599999999998</v>
      </c>
      <c r="C355" s="10">
        <f>26.7299 * CHOOSE(CONTROL!$C$15, $E$9, 100%, $G$9) + CHOOSE(CONTROL!$C$38, 0.0369, 0)</f>
        <v>26.7668</v>
      </c>
      <c r="D355" s="10">
        <f>26.7221 * CHOOSE(CONTROL!$C$15, $E$9, 100%, $G$9) + CHOOSE(CONTROL!$C$38, 0.0369, 0)</f>
        <v>26.759</v>
      </c>
      <c r="E355" s="46">
        <f>28.9386 * CHOOSE(CONTROL!$C$15, $E$9, 100%, $G$9) + CHOOSE(CONTROL!$C$38, 0.0369, 0)</f>
        <v>28.9755</v>
      </c>
      <c r="F355" s="45">
        <f>28.9386 * CHOOSE(CONTROL!$C$15, $E$9, 100%, $G$9) + CHOOSE(CONTROL!$C$38, 0.0278, 0)</f>
        <v>28.9664</v>
      </c>
      <c r="G355" s="10">
        <f>26.7283 * CHOOSE(CONTROL!$C$15, $E$9, 100%, $G$9) + CHOOSE(CONTROL!$C$38, 0.0369, 0)</f>
        <v>26.7652</v>
      </c>
      <c r="H355" s="10">
        <f>26.7283 * CHOOSE(CONTROL!$C$15, $E$9, 100%, $G$9) + CHOOSE(CONTROL!$C$38, 0.0369, 0)</f>
        <v>26.7652</v>
      </c>
      <c r="I355" s="10">
        <f>26.7299 * CHOOSE(CONTROL!$C$15, $E$9, 100%, $G$9) + CHOOSE(CONTROL!$C$38, 0.0369, 0)</f>
        <v>26.7668</v>
      </c>
      <c r="J355" s="44">
        <f>209.6208</f>
        <v>209.6208</v>
      </c>
    </row>
    <row r="356" spans="1:10" ht="15.75" x14ac:dyDescent="0.25">
      <c r="A356" s="14">
        <v>51774</v>
      </c>
      <c r="B356" s="10">
        <f>29.3716 * CHOOSE(CONTROL!$C$15, $E$9, 100%, $G$9) + CHOOSE(CONTROL!$C$38, 0.0278, 0)</f>
        <v>29.3994</v>
      </c>
      <c r="C356" s="10">
        <f>27.0067 * CHOOSE(CONTROL!$C$15, $E$9, 100%, $G$9) + CHOOSE(CONTROL!$C$38, 0.0369, 0)</f>
        <v>27.043599999999998</v>
      </c>
      <c r="D356" s="10">
        <f>26.9989 * CHOOSE(CONTROL!$C$15, $E$9, 100%, $G$9) + CHOOSE(CONTROL!$C$38, 0.0369, 0)</f>
        <v>27.035799999999998</v>
      </c>
      <c r="E356" s="46">
        <f>29.2154 * CHOOSE(CONTROL!$C$15, $E$9, 100%, $G$9) + CHOOSE(CONTROL!$C$38, 0.0369, 0)</f>
        <v>29.252299999999998</v>
      </c>
      <c r="F356" s="45">
        <f>29.2154 * CHOOSE(CONTROL!$C$15, $E$9, 100%, $G$9) + CHOOSE(CONTROL!$C$38, 0.0278, 0)</f>
        <v>29.243199999999998</v>
      </c>
      <c r="G356" s="10">
        <f>27.0051 * CHOOSE(CONTROL!$C$15, $E$9, 100%, $G$9) + CHOOSE(CONTROL!$C$38, 0.0369, 0)</f>
        <v>27.041999999999998</v>
      </c>
      <c r="H356" s="10">
        <f>27.0051 * CHOOSE(CONTROL!$C$15, $E$9, 100%, $G$9) + CHOOSE(CONTROL!$C$38, 0.0369, 0)</f>
        <v>27.041999999999998</v>
      </c>
      <c r="I356" s="10">
        <f>27.0067 * CHOOSE(CONTROL!$C$15, $E$9, 100%, $G$9) + CHOOSE(CONTROL!$C$38, 0.0369, 0)</f>
        <v>27.043599999999998</v>
      </c>
      <c r="J356" s="44">
        <f>202.6534</f>
        <v>202.6534</v>
      </c>
    </row>
    <row r="357" spans="1:10" ht="15.75" x14ac:dyDescent="0.25">
      <c r="A357" s="14">
        <v>51805</v>
      </c>
      <c r="B357" s="10">
        <f>29.6034 * CHOOSE(CONTROL!$C$15, $E$9, 100%, $G$9) + CHOOSE(CONTROL!$C$38, 0.0256, 0)</f>
        <v>29.629000000000001</v>
      </c>
      <c r="C357" s="10">
        <f>27.2385 * CHOOSE(CONTROL!$C$15, $E$9, 100%, $G$9) + CHOOSE(CONTROL!$C$38, 0.0347, 0)</f>
        <v>27.273199999999999</v>
      </c>
      <c r="D357" s="10">
        <f>27.2307 * CHOOSE(CONTROL!$C$15, $E$9, 100%, $G$9) + CHOOSE(CONTROL!$C$38, 0.0347, 0)</f>
        <v>27.2654</v>
      </c>
      <c r="E357" s="46">
        <f>29.4472 * CHOOSE(CONTROL!$C$15, $E$9, 100%, $G$9) + CHOOSE(CONTROL!$C$38, 0.0347, 0)</f>
        <v>29.4819</v>
      </c>
      <c r="F357" s="45">
        <f>29.4472 * CHOOSE(CONTROL!$C$15, $E$9, 100%, $G$9) + CHOOSE(CONTROL!$C$38, 0.0256, 0)</f>
        <v>29.472799999999999</v>
      </c>
      <c r="G357" s="10">
        <f>27.2369 * CHOOSE(CONTROL!$C$15, $E$9, 100%, $G$9) + CHOOSE(CONTROL!$C$38, 0.0347, 0)</f>
        <v>27.271599999999999</v>
      </c>
      <c r="H357" s="10">
        <f>27.2369 * CHOOSE(CONTROL!$C$15, $E$9, 100%, $G$9) + CHOOSE(CONTROL!$C$38, 0.0347, 0)</f>
        <v>27.271599999999999</v>
      </c>
      <c r="I357" s="10">
        <f>27.2385 * CHOOSE(CONTROL!$C$15, $E$9, 100%, $G$9) + CHOOSE(CONTROL!$C$38, 0.0347, 0)</f>
        <v>27.273199999999999</v>
      </c>
      <c r="J357" s="44">
        <f>195.6454</f>
        <v>195.6454</v>
      </c>
    </row>
    <row r="358" spans="1:10" ht="15.75" x14ac:dyDescent="0.25">
      <c r="A358" s="14">
        <v>51835</v>
      </c>
      <c r="B358" s="10">
        <f>29.7969 * CHOOSE(CONTROL!$C$15, $E$9, 100%, $G$9) + CHOOSE(CONTROL!$C$38, 0.0256, 0)</f>
        <v>29.822500000000002</v>
      </c>
      <c r="C358" s="10">
        <f>27.4319 * CHOOSE(CONTROL!$C$15, $E$9, 100%, $G$9) + CHOOSE(CONTROL!$C$38, 0.0347, 0)</f>
        <v>27.4666</v>
      </c>
      <c r="D358" s="10">
        <f>27.4241 * CHOOSE(CONTROL!$C$15, $E$9, 100%, $G$9) + CHOOSE(CONTROL!$C$38, 0.0347, 0)</f>
        <v>27.4588</v>
      </c>
      <c r="E358" s="46">
        <f>29.6406 * CHOOSE(CONTROL!$C$15, $E$9, 100%, $G$9) + CHOOSE(CONTROL!$C$38, 0.0347, 0)</f>
        <v>29.6753</v>
      </c>
      <c r="F358" s="45">
        <f>29.6406 * CHOOSE(CONTROL!$C$15, $E$9, 100%, $G$9) + CHOOSE(CONTROL!$C$38, 0.0256, 0)</f>
        <v>29.6662</v>
      </c>
      <c r="G358" s="10">
        <f>27.4304 * CHOOSE(CONTROL!$C$15, $E$9, 100%, $G$9) + CHOOSE(CONTROL!$C$38, 0.0347, 0)</f>
        <v>27.4651</v>
      </c>
      <c r="H358" s="10">
        <f>27.4304 * CHOOSE(CONTROL!$C$15, $E$9, 100%, $G$9) + CHOOSE(CONTROL!$C$38, 0.0347, 0)</f>
        <v>27.4651</v>
      </c>
      <c r="I358" s="10">
        <f>27.4319 * CHOOSE(CONTROL!$C$15, $E$9, 100%, $G$9) + CHOOSE(CONTROL!$C$38, 0.0347, 0)</f>
        <v>27.4666</v>
      </c>
      <c r="J358" s="44">
        <f>194.2514</f>
        <v>194.25139999999999</v>
      </c>
    </row>
    <row r="359" spans="1:10" ht="15.75" x14ac:dyDescent="0.25">
      <c r="A359" s="14">
        <v>51866</v>
      </c>
      <c r="B359" s="10">
        <f>30.3929 * CHOOSE(CONTROL!$C$15, $E$9, 100%, $G$9) + CHOOSE(CONTROL!$C$38, 0.0256, 0)</f>
        <v>30.418500000000002</v>
      </c>
      <c r="C359" s="10">
        <f>28.028 * CHOOSE(CONTROL!$C$15, $E$9, 100%, $G$9) + CHOOSE(CONTROL!$C$38, 0.0347, 0)</f>
        <v>28.0627</v>
      </c>
      <c r="D359" s="10">
        <f>28.0202 * CHOOSE(CONTROL!$C$15, $E$9, 100%, $G$9) + CHOOSE(CONTROL!$C$38, 0.0347, 0)</f>
        <v>28.0549</v>
      </c>
      <c r="E359" s="46">
        <f>30.2367 * CHOOSE(CONTROL!$C$15, $E$9, 100%, $G$9) + CHOOSE(CONTROL!$C$38, 0.0347, 0)</f>
        <v>30.2714</v>
      </c>
      <c r="F359" s="45">
        <f>30.2367 * CHOOSE(CONTROL!$C$15, $E$9, 100%, $G$9) + CHOOSE(CONTROL!$C$38, 0.0256, 0)</f>
        <v>30.2623</v>
      </c>
      <c r="G359" s="10">
        <f>28.0264 * CHOOSE(CONTROL!$C$15, $E$9, 100%, $G$9) + CHOOSE(CONTROL!$C$38, 0.0347, 0)</f>
        <v>28.0611</v>
      </c>
      <c r="H359" s="10">
        <f>28.0264 * CHOOSE(CONTROL!$C$15, $E$9, 100%, $G$9) + CHOOSE(CONTROL!$C$38, 0.0347, 0)</f>
        <v>28.0611</v>
      </c>
      <c r="I359" s="10">
        <f>28.028 * CHOOSE(CONTROL!$C$15, $E$9, 100%, $G$9) + CHOOSE(CONTROL!$C$38, 0.0347, 0)</f>
        <v>28.0627</v>
      </c>
      <c r="J359" s="44">
        <f>188.4869</f>
        <v>188.48689999999999</v>
      </c>
    </row>
    <row r="360" spans="1:10" ht="15.75" x14ac:dyDescent="0.25">
      <c r="A360" s="14">
        <v>51897</v>
      </c>
      <c r="B360" s="10">
        <f>31.3426 * CHOOSE(CONTROL!$C$15, $E$9, 100%, $G$9) + CHOOSE(CONTROL!$C$38, 0.0256, 0)</f>
        <v>31.368200000000002</v>
      </c>
      <c r="C360" s="10">
        <f>28.9415 * CHOOSE(CONTROL!$C$15, $E$9, 100%, $G$9) + CHOOSE(CONTROL!$C$38, 0.0347, 0)</f>
        <v>28.976200000000002</v>
      </c>
      <c r="D360" s="10">
        <f>28.9337 * CHOOSE(CONTROL!$C$15, $E$9, 100%, $G$9) + CHOOSE(CONTROL!$C$38, 0.0347, 0)</f>
        <v>28.968400000000003</v>
      </c>
      <c r="E360" s="46">
        <f>31.1864 * CHOOSE(CONTROL!$C$15, $E$9, 100%, $G$9) + CHOOSE(CONTROL!$C$38, 0.0347, 0)</f>
        <v>31.2211</v>
      </c>
      <c r="F360" s="45">
        <f>31.1864 * CHOOSE(CONTROL!$C$15, $E$9, 100%, $G$9) + CHOOSE(CONTROL!$C$38, 0.0256, 0)</f>
        <v>31.212</v>
      </c>
      <c r="G360" s="10">
        <f>28.9399 * CHOOSE(CONTROL!$C$15, $E$9, 100%, $G$9) + CHOOSE(CONTROL!$C$38, 0.0347, 0)</f>
        <v>28.974600000000002</v>
      </c>
      <c r="H360" s="10">
        <f>28.9399 * CHOOSE(CONTROL!$C$15, $E$9, 100%, $G$9) + CHOOSE(CONTROL!$C$38, 0.0347, 0)</f>
        <v>28.974600000000002</v>
      </c>
      <c r="I360" s="10">
        <f>28.9415 * CHOOSE(CONTROL!$C$15, $E$9, 100%, $G$9) + CHOOSE(CONTROL!$C$38, 0.0347, 0)</f>
        <v>28.976200000000002</v>
      </c>
      <c r="J360" s="44">
        <f>188.127</f>
        <v>188.12700000000001</v>
      </c>
    </row>
    <row r="361" spans="1:10" ht="15.75" x14ac:dyDescent="0.25">
      <c r="A361" s="14">
        <v>51925</v>
      </c>
      <c r="B361" s="10">
        <f>31.5634 * CHOOSE(CONTROL!$C$15, $E$9, 100%, $G$9) + CHOOSE(CONTROL!$C$38, 0.0256, 0)</f>
        <v>31.589000000000002</v>
      </c>
      <c r="C361" s="10">
        <f>29.1622 * CHOOSE(CONTROL!$C$15, $E$9, 100%, $G$9) + CHOOSE(CONTROL!$C$38, 0.0347, 0)</f>
        <v>29.196899999999999</v>
      </c>
      <c r="D361" s="10">
        <f>29.1544 * CHOOSE(CONTROL!$C$15, $E$9, 100%, $G$9) + CHOOSE(CONTROL!$C$38, 0.0347, 0)</f>
        <v>29.1891</v>
      </c>
      <c r="E361" s="46">
        <f>31.4071 * CHOOSE(CONTROL!$C$15, $E$9, 100%, $G$9) + CHOOSE(CONTROL!$C$38, 0.0347, 0)</f>
        <v>31.441800000000001</v>
      </c>
      <c r="F361" s="45">
        <f>31.4071 * CHOOSE(CONTROL!$C$15, $E$9, 100%, $G$9) + CHOOSE(CONTROL!$C$38, 0.0256, 0)</f>
        <v>31.432700000000001</v>
      </c>
      <c r="G361" s="10">
        <f>29.1607 * CHOOSE(CONTROL!$C$15, $E$9, 100%, $G$9) + CHOOSE(CONTROL!$C$38, 0.0347, 0)</f>
        <v>29.195399999999999</v>
      </c>
      <c r="H361" s="10">
        <f>29.1607 * CHOOSE(CONTROL!$C$15, $E$9, 100%, $G$9) + CHOOSE(CONTROL!$C$38, 0.0347, 0)</f>
        <v>29.195399999999999</v>
      </c>
      <c r="I361" s="10">
        <f>29.1622 * CHOOSE(CONTROL!$C$15, $E$9, 100%, $G$9) + CHOOSE(CONTROL!$C$38, 0.0347, 0)</f>
        <v>29.196899999999999</v>
      </c>
      <c r="J361" s="44">
        <f>187.604</f>
        <v>187.60400000000001</v>
      </c>
    </row>
    <row r="362" spans="1:10" ht="15.75" x14ac:dyDescent="0.25">
      <c r="A362" s="14">
        <v>51956</v>
      </c>
      <c r="B362" s="10">
        <f>31.0523 * CHOOSE(CONTROL!$C$15, $E$9, 100%, $G$9) + CHOOSE(CONTROL!$C$38, 0.0256, 0)</f>
        <v>31.0779</v>
      </c>
      <c r="C362" s="10">
        <f>28.6512 * CHOOSE(CONTROL!$C$15, $E$9, 100%, $G$9) + CHOOSE(CONTROL!$C$38, 0.0347, 0)</f>
        <v>28.6859</v>
      </c>
      <c r="D362" s="10">
        <f>28.6434 * CHOOSE(CONTROL!$C$15, $E$9, 100%, $G$9) + CHOOSE(CONTROL!$C$38, 0.0347, 0)</f>
        <v>28.678100000000001</v>
      </c>
      <c r="E362" s="46">
        <f>30.8961 * CHOOSE(CONTROL!$C$15, $E$9, 100%, $G$9) + CHOOSE(CONTROL!$C$38, 0.0347, 0)</f>
        <v>30.930800000000001</v>
      </c>
      <c r="F362" s="45">
        <f>30.8961 * CHOOSE(CONTROL!$C$15, $E$9, 100%, $G$9) + CHOOSE(CONTROL!$C$38, 0.0256, 0)</f>
        <v>30.921700000000001</v>
      </c>
      <c r="G362" s="10">
        <f>28.6496 * CHOOSE(CONTROL!$C$15, $E$9, 100%, $G$9) + CHOOSE(CONTROL!$C$38, 0.0347, 0)</f>
        <v>28.6843</v>
      </c>
      <c r="H362" s="10">
        <f>28.6496 * CHOOSE(CONTROL!$C$15, $E$9, 100%, $G$9) + CHOOSE(CONTROL!$C$38, 0.0347, 0)</f>
        <v>28.6843</v>
      </c>
      <c r="I362" s="10">
        <f>28.6512 * CHOOSE(CONTROL!$C$15, $E$9, 100%, $G$9) + CHOOSE(CONTROL!$C$38, 0.0347, 0)</f>
        <v>28.6859</v>
      </c>
      <c r="J362" s="44">
        <f>197.4919</f>
        <v>197.49189999999999</v>
      </c>
    </row>
    <row r="363" spans="1:10" ht="15.75" x14ac:dyDescent="0.25">
      <c r="A363" s="14">
        <v>51986</v>
      </c>
      <c r="B363" s="10">
        <f>30.5572 * CHOOSE(CONTROL!$C$15, $E$9, 100%, $G$9) + CHOOSE(CONTROL!$C$38, 0.0256, 0)</f>
        <v>30.582800000000002</v>
      </c>
      <c r="C363" s="10">
        <f>28.156 * CHOOSE(CONTROL!$C$15, $E$9, 100%, $G$9) + CHOOSE(CONTROL!$C$38, 0.0347, 0)</f>
        <v>28.1907</v>
      </c>
      <c r="D363" s="10">
        <f>28.1482 * CHOOSE(CONTROL!$C$15, $E$9, 100%, $G$9) + CHOOSE(CONTROL!$C$38, 0.0347, 0)</f>
        <v>28.1829</v>
      </c>
      <c r="E363" s="46">
        <f>30.4009 * CHOOSE(CONTROL!$C$15, $E$9, 100%, $G$9) + CHOOSE(CONTROL!$C$38, 0.0347, 0)</f>
        <v>30.435600000000001</v>
      </c>
      <c r="F363" s="45">
        <f>30.4009 * CHOOSE(CONTROL!$C$15, $E$9, 100%, $G$9) + CHOOSE(CONTROL!$C$38, 0.0256, 0)</f>
        <v>30.426500000000001</v>
      </c>
      <c r="G363" s="10">
        <f>28.1545 * CHOOSE(CONTROL!$C$15, $E$9, 100%, $G$9) + CHOOSE(CONTROL!$C$38, 0.0347, 0)</f>
        <v>28.1892</v>
      </c>
      <c r="H363" s="10">
        <f>28.1545 * CHOOSE(CONTROL!$C$15, $E$9, 100%, $G$9) + CHOOSE(CONTROL!$C$38, 0.0347, 0)</f>
        <v>28.1892</v>
      </c>
      <c r="I363" s="10">
        <f>28.156 * CHOOSE(CONTROL!$C$15, $E$9, 100%, $G$9) + CHOOSE(CONTROL!$C$38, 0.0347, 0)</f>
        <v>28.1907</v>
      </c>
      <c r="J363" s="44">
        <f>210.314</f>
        <v>210.31399999999999</v>
      </c>
    </row>
    <row r="364" spans="1:10" ht="15.75" x14ac:dyDescent="0.25">
      <c r="A364" s="14">
        <v>52017</v>
      </c>
      <c r="B364" s="10">
        <f>30.0411 * CHOOSE(CONTROL!$C$15, $E$9, 100%, $G$9) + CHOOSE(CONTROL!$C$38, 0.0278, 0)</f>
        <v>30.068899999999999</v>
      </c>
      <c r="C364" s="10">
        <f>27.6399 * CHOOSE(CONTROL!$C$15, $E$9, 100%, $G$9) + CHOOSE(CONTROL!$C$38, 0.0369, 0)</f>
        <v>27.6768</v>
      </c>
      <c r="D364" s="10">
        <f>27.6321 * CHOOSE(CONTROL!$C$15, $E$9, 100%, $G$9) + CHOOSE(CONTROL!$C$38, 0.0369, 0)</f>
        <v>27.669</v>
      </c>
      <c r="E364" s="46">
        <f>29.8848 * CHOOSE(CONTROL!$C$15, $E$9, 100%, $G$9) + CHOOSE(CONTROL!$C$38, 0.0369, 0)</f>
        <v>29.921699999999998</v>
      </c>
      <c r="F364" s="45">
        <f>29.8848 * CHOOSE(CONTROL!$C$15, $E$9, 100%, $G$9) + CHOOSE(CONTROL!$C$38, 0.0278, 0)</f>
        <v>29.912599999999998</v>
      </c>
      <c r="G364" s="10">
        <f>27.6384 * CHOOSE(CONTROL!$C$15, $E$9, 100%, $G$9) + CHOOSE(CONTROL!$C$38, 0.0369, 0)</f>
        <v>27.6753</v>
      </c>
      <c r="H364" s="10">
        <f>27.6384 * CHOOSE(CONTROL!$C$15, $E$9, 100%, $G$9) + CHOOSE(CONTROL!$C$38, 0.0369, 0)</f>
        <v>27.6753</v>
      </c>
      <c r="I364" s="10">
        <f>27.6399 * CHOOSE(CONTROL!$C$15, $E$9, 100%, $G$9) + CHOOSE(CONTROL!$C$38, 0.0369, 0)</f>
        <v>27.6768</v>
      </c>
      <c r="J364" s="44">
        <f>217.3717</f>
        <v>217.3717</v>
      </c>
    </row>
    <row r="365" spans="1:10" ht="15.75" x14ac:dyDescent="0.25">
      <c r="A365" s="14">
        <v>52047</v>
      </c>
      <c r="B365" s="10">
        <f>29.6792 * CHOOSE(CONTROL!$C$15, $E$9, 100%, $G$9) + CHOOSE(CONTROL!$C$38, 0.0278, 0)</f>
        <v>29.707000000000001</v>
      </c>
      <c r="C365" s="10">
        <f>27.2781 * CHOOSE(CONTROL!$C$15, $E$9, 100%, $G$9) + CHOOSE(CONTROL!$C$38, 0.0369, 0)</f>
        <v>27.314999999999998</v>
      </c>
      <c r="D365" s="10">
        <f>27.2703 * CHOOSE(CONTROL!$C$15, $E$9, 100%, $G$9) + CHOOSE(CONTROL!$C$38, 0.0369, 0)</f>
        <v>27.307199999999998</v>
      </c>
      <c r="E365" s="46">
        <f>29.523 * CHOOSE(CONTROL!$C$15, $E$9, 100%, $G$9) + CHOOSE(CONTROL!$C$38, 0.0369, 0)</f>
        <v>29.559899999999999</v>
      </c>
      <c r="F365" s="45">
        <f>29.523 * CHOOSE(CONTROL!$C$15, $E$9, 100%, $G$9) + CHOOSE(CONTROL!$C$38, 0.0278, 0)</f>
        <v>29.550799999999999</v>
      </c>
      <c r="G365" s="10">
        <f>27.2765 * CHOOSE(CONTROL!$C$15, $E$9, 100%, $G$9) + CHOOSE(CONTROL!$C$38, 0.0369, 0)</f>
        <v>27.313399999999998</v>
      </c>
      <c r="H365" s="10">
        <f>27.2765 * CHOOSE(CONTROL!$C$15, $E$9, 100%, $G$9) + CHOOSE(CONTROL!$C$38, 0.0369, 0)</f>
        <v>27.313399999999998</v>
      </c>
      <c r="I365" s="10">
        <f>27.2781 * CHOOSE(CONTROL!$C$15, $E$9, 100%, $G$9) + CHOOSE(CONTROL!$C$38, 0.0369, 0)</f>
        <v>27.314999999999998</v>
      </c>
      <c r="J365" s="44">
        <f>220.5038</f>
        <v>220.50380000000001</v>
      </c>
    </row>
    <row r="366" spans="1:10" ht="15.75" x14ac:dyDescent="0.25">
      <c r="A366" s="14">
        <v>52078</v>
      </c>
      <c r="B366" s="10">
        <f>29.4727 * CHOOSE(CONTROL!$C$15, $E$9, 100%, $G$9) + CHOOSE(CONTROL!$C$38, 0.0278, 0)</f>
        <v>29.500499999999999</v>
      </c>
      <c r="C366" s="10">
        <f>27.0716 * CHOOSE(CONTROL!$C$15, $E$9, 100%, $G$9) + CHOOSE(CONTROL!$C$38, 0.0369, 0)</f>
        <v>27.108499999999999</v>
      </c>
      <c r="D366" s="10">
        <f>27.0638 * CHOOSE(CONTROL!$C$15, $E$9, 100%, $G$9) + CHOOSE(CONTROL!$C$38, 0.0369, 0)</f>
        <v>27.1007</v>
      </c>
      <c r="E366" s="46">
        <f>29.3165 * CHOOSE(CONTROL!$C$15, $E$9, 100%, $G$9) + CHOOSE(CONTROL!$C$38, 0.0369, 0)</f>
        <v>29.353400000000001</v>
      </c>
      <c r="F366" s="45">
        <f>29.3165 * CHOOSE(CONTROL!$C$15, $E$9, 100%, $G$9) + CHOOSE(CONTROL!$C$38, 0.0278, 0)</f>
        <v>29.3443</v>
      </c>
      <c r="G366" s="10">
        <f>27.07 * CHOOSE(CONTROL!$C$15, $E$9, 100%, $G$9) + CHOOSE(CONTROL!$C$38, 0.0369, 0)</f>
        <v>27.1069</v>
      </c>
      <c r="H366" s="10">
        <f>27.07 * CHOOSE(CONTROL!$C$15, $E$9, 100%, $G$9) + CHOOSE(CONTROL!$C$38, 0.0369, 0)</f>
        <v>27.1069</v>
      </c>
      <c r="I366" s="10">
        <f>27.0716 * CHOOSE(CONTROL!$C$15, $E$9, 100%, $G$9) + CHOOSE(CONTROL!$C$38, 0.0369, 0)</f>
        <v>27.108499999999999</v>
      </c>
      <c r="J366" s="44">
        <f>219.4726</f>
        <v>219.4726</v>
      </c>
    </row>
    <row r="367" spans="1:10" ht="15.75" x14ac:dyDescent="0.25">
      <c r="A367" s="14">
        <v>52109</v>
      </c>
      <c r="B367" s="10">
        <f>29.5746 * CHOOSE(CONTROL!$C$15, $E$9, 100%, $G$9) + CHOOSE(CONTROL!$C$38, 0.0278, 0)</f>
        <v>29.602399999999999</v>
      </c>
      <c r="C367" s="10">
        <f>27.1735 * CHOOSE(CONTROL!$C$15, $E$9, 100%, $G$9) + CHOOSE(CONTROL!$C$38, 0.0369, 0)</f>
        <v>27.2104</v>
      </c>
      <c r="D367" s="10">
        <f>27.1657 * CHOOSE(CONTROL!$C$15, $E$9, 100%, $G$9) + CHOOSE(CONTROL!$C$38, 0.0369, 0)</f>
        <v>27.2026</v>
      </c>
      <c r="E367" s="46">
        <f>29.4184 * CHOOSE(CONTROL!$C$15, $E$9, 100%, $G$9) + CHOOSE(CONTROL!$C$38, 0.0369, 0)</f>
        <v>29.455299999999998</v>
      </c>
      <c r="F367" s="45">
        <f>29.4184 * CHOOSE(CONTROL!$C$15, $E$9, 100%, $G$9) + CHOOSE(CONTROL!$C$38, 0.0278, 0)</f>
        <v>29.446199999999997</v>
      </c>
      <c r="G367" s="10">
        <f>27.1719 * CHOOSE(CONTROL!$C$15, $E$9, 100%, $G$9) + CHOOSE(CONTROL!$C$38, 0.0369, 0)</f>
        <v>27.2088</v>
      </c>
      <c r="H367" s="10">
        <f>27.1719 * CHOOSE(CONTROL!$C$15, $E$9, 100%, $G$9) + CHOOSE(CONTROL!$C$38, 0.0369, 0)</f>
        <v>27.2088</v>
      </c>
      <c r="I367" s="10">
        <f>27.1735 * CHOOSE(CONTROL!$C$15, $E$9, 100%, $G$9) + CHOOSE(CONTROL!$C$38, 0.0369, 0)</f>
        <v>27.2104</v>
      </c>
      <c r="J367" s="44">
        <f>214.3634</f>
        <v>214.36340000000001</v>
      </c>
    </row>
    <row r="368" spans="1:10" ht="15.75" x14ac:dyDescent="0.25">
      <c r="A368" s="14">
        <v>52139</v>
      </c>
      <c r="B368" s="10">
        <f>29.8514 * CHOOSE(CONTROL!$C$15, $E$9, 100%, $G$9) + CHOOSE(CONTROL!$C$38, 0.0278, 0)</f>
        <v>29.879200000000001</v>
      </c>
      <c r="C368" s="10">
        <f>27.4503 * CHOOSE(CONTROL!$C$15, $E$9, 100%, $G$9) + CHOOSE(CONTROL!$C$38, 0.0369, 0)</f>
        <v>27.487199999999998</v>
      </c>
      <c r="D368" s="10">
        <f>27.4425 * CHOOSE(CONTROL!$C$15, $E$9, 100%, $G$9) + CHOOSE(CONTROL!$C$38, 0.0369, 0)</f>
        <v>27.479399999999998</v>
      </c>
      <c r="E368" s="46">
        <f>29.6952 * CHOOSE(CONTROL!$C$15, $E$9, 100%, $G$9) + CHOOSE(CONTROL!$C$38, 0.0369, 0)</f>
        <v>29.732099999999999</v>
      </c>
      <c r="F368" s="45">
        <f>29.6952 * CHOOSE(CONTROL!$C$15, $E$9, 100%, $G$9) + CHOOSE(CONTROL!$C$38, 0.0278, 0)</f>
        <v>29.722999999999999</v>
      </c>
      <c r="G368" s="10">
        <f>27.4487 * CHOOSE(CONTROL!$C$15, $E$9, 100%, $G$9) + CHOOSE(CONTROL!$C$38, 0.0369, 0)</f>
        <v>27.485599999999998</v>
      </c>
      <c r="H368" s="10">
        <f>27.4487 * CHOOSE(CONTROL!$C$15, $E$9, 100%, $G$9) + CHOOSE(CONTROL!$C$38, 0.0369, 0)</f>
        <v>27.485599999999998</v>
      </c>
      <c r="I368" s="10">
        <f>27.4503 * CHOOSE(CONTROL!$C$15, $E$9, 100%, $G$9) + CHOOSE(CONTROL!$C$38, 0.0369, 0)</f>
        <v>27.487199999999998</v>
      </c>
      <c r="J368" s="44">
        <f>207.2383</f>
        <v>207.23830000000001</v>
      </c>
    </row>
    <row r="369" spans="1:10" ht="15.75" x14ac:dyDescent="0.25">
      <c r="A369" s="14">
        <v>52170</v>
      </c>
      <c r="B369" s="10">
        <f>30.0833 * CHOOSE(CONTROL!$C$15, $E$9, 100%, $G$9) + CHOOSE(CONTROL!$C$38, 0.0256, 0)</f>
        <v>30.108900000000002</v>
      </c>
      <c r="C369" s="10">
        <f>27.6821 * CHOOSE(CONTROL!$C$15, $E$9, 100%, $G$9) + CHOOSE(CONTROL!$C$38, 0.0347, 0)</f>
        <v>27.716799999999999</v>
      </c>
      <c r="D369" s="10">
        <f>27.6743 * CHOOSE(CONTROL!$C$15, $E$9, 100%, $G$9) + CHOOSE(CONTROL!$C$38, 0.0347, 0)</f>
        <v>27.709</v>
      </c>
      <c r="E369" s="46">
        <f>29.927 * CHOOSE(CONTROL!$C$15, $E$9, 100%, $G$9) + CHOOSE(CONTROL!$C$38, 0.0347, 0)</f>
        <v>29.9617</v>
      </c>
      <c r="F369" s="45">
        <f>29.927 * CHOOSE(CONTROL!$C$15, $E$9, 100%, $G$9) + CHOOSE(CONTROL!$C$38, 0.0256, 0)</f>
        <v>29.9526</v>
      </c>
      <c r="G369" s="10">
        <f>27.6806 * CHOOSE(CONTROL!$C$15, $E$9, 100%, $G$9) + CHOOSE(CONTROL!$C$38, 0.0347, 0)</f>
        <v>27.715299999999999</v>
      </c>
      <c r="H369" s="10">
        <f>27.6806 * CHOOSE(CONTROL!$C$15, $E$9, 100%, $G$9) + CHOOSE(CONTROL!$C$38, 0.0347, 0)</f>
        <v>27.715299999999999</v>
      </c>
      <c r="I369" s="10">
        <f>27.6821 * CHOOSE(CONTROL!$C$15, $E$9, 100%, $G$9) + CHOOSE(CONTROL!$C$38, 0.0347, 0)</f>
        <v>27.716799999999999</v>
      </c>
      <c r="J369" s="44">
        <f>200.0718</f>
        <v>200.0718</v>
      </c>
    </row>
    <row r="370" spans="1:10" ht="15.75" x14ac:dyDescent="0.25">
      <c r="A370" s="14">
        <v>52200</v>
      </c>
      <c r="B370" s="10">
        <f>30.2767 * CHOOSE(CONTROL!$C$15, $E$9, 100%, $G$9) + CHOOSE(CONTROL!$C$38, 0.0256, 0)</f>
        <v>30.302300000000002</v>
      </c>
      <c r="C370" s="10">
        <f>27.8756 * CHOOSE(CONTROL!$C$15, $E$9, 100%, $G$9) + CHOOSE(CONTROL!$C$38, 0.0347, 0)</f>
        <v>27.910299999999999</v>
      </c>
      <c r="D370" s="10">
        <f>27.8677 * CHOOSE(CONTROL!$C$15, $E$9, 100%, $G$9) + CHOOSE(CONTROL!$C$38, 0.0347, 0)</f>
        <v>27.9024</v>
      </c>
      <c r="E370" s="46">
        <f>30.1205 * CHOOSE(CONTROL!$C$15, $E$9, 100%, $G$9) + CHOOSE(CONTROL!$C$38, 0.0347, 0)</f>
        <v>30.155200000000001</v>
      </c>
      <c r="F370" s="45">
        <f>30.1205 * CHOOSE(CONTROL!$C$15, $E$9, 100%, $G$9) + CHOOSE(CONTROL!$C$38, 0.0256, 0)</f>
        <v>30.146100000000001</v>
      </c>
      <c r="G370" s="10">
        <f>27.874 * CHOOSE(CONTROL!$C$15, $E$9, 100%, $G$9) + CHOOSE(CONTROL!$C$38, 0.0347, 0)</f>
        <v>27.9087</v>
      </c>
      <c r="H370" s="10">
        <f>27.874 * CHOOSE(CONTROL!$C$15, $E$9, 100%, $G$9) + CHOOSE(CONTROL!$C$38, 0.0347, 0)</f>
        <v>27.9087</v>
      </c>
      <c r="I370" s="10">
        <f>27.8756 * CHOOSE(CONTROL!$C$15, $E$9, 100%, $G$9) + CHOOSE(CONTROL!$C$38, 0.0347, 0)</f>
        <v>27.910299999999999</v>
      </c>
      <c r="J370" s="44">
        <f>198.6462</f>
        <v>198.64619999999999</v>
      </c>
    </row>
    <row r="371" spans="1:10" ht="15.75" x14ac:dyDescent="0.25">
      <c r="A371" s="14">
        <v>52231</v>
      </c>
      <c r="B371" s="10">
        <f>30.8728 * CHOOSE(CONTROL!$C$15, $E$9, 100%, $G$9) + CHOOSE(CONTROL!$C$38, 0.0256, 0)</f>
        <v>30.898400000000002</v>
      </c>
      <c r="C371" s="10">
        <f>28.4716 * CHOOSE(CONTROL!$C$15, $E$9, 100%, $G$9) + CHOOSE(CONTROL!$C$38, 0.0347, 0)</f>
        <v>28.5063</v>
      </c>
      <c r="D371" s="10">
        <f>28.4638 * CHOOSE(CONTROL!$C$15, $E$9, 100%, $G$9) + CHOOSE(CONTROL!$C$38, 0.0347, 0)</f>
        <v>28.4985</v>
      </c>
      <c r="E371" s="46">
        <f>30.7165 * CHOOSE(CONTROL!$C$15, $E$9, 100%, $G$9) + CHOOSE(CONTROL!$C$38, 0.0347, 0)</f>
        <v>30.751200000000001</v>
      </c>
      <c r="F371" s="45">
        <f>30.7165 * CHOOSE(CONTROL!$C$15, $E$9, 100%, $G$9) + CHOOSE(CONTROL!$C$38, 0.0256, 0)</f>
        <v>30.742100000000001</v>
      </c>
      <c r="G371" s="10">
        <f>28.4701 * CHOOSE(CONTROL!$C$15, $E$9, 100%, $G$9) + CHOOSE(CONTROL!$C$38, 0.0347, 0)</f>
        <v>28.504799999999999</v>
      </c>
      <c r="H371" s="10">
        <f>28.4701 * CHOOSE(CONTROL!$C$15, $E$9, 100%, $G$9) + CHOOSE(CONTROL!$C$38, 0.0347, 0)</f>
        <v>28.504799999999999</v>
      </c>
      <c r="I371" s="10">
        <f>28.4716 * CHOOSE(CONTROL!$C$15, $E$9, 100%, $G$9) + CHOOSE(CONTROL!$C$38, 0.0347, 0)</f>
        <v>28.5063</v>
      </c>
      <c r="J371" s="44">
        <f>192.7514</f>
        <v>192.75139999999999</v>
      </c>
    </row>
    <row r="372" spans="1:10" ht="15.75" x14ac:dyDescent="0.25">
      <c r="A372" s="14">
        <v>52262</v>
      </c>
      <c r="B372" s="10">
        <f>31.8303 * CHOOSE(CONTROL!$C$15, $E$9, 100%, $G$9) + CHOOSE(CONTROL!$C$38, 0.0256, 0)</f>
        <v>31.855900000000002</v>
      </c>
      <c r="C372" s="10">
        <f>29.3924 * CHOOSE(CONTROL!$C$15, $E$9, 100%, $G$9) + CHOOSE(CONTROL!$C$38, 0.0347, 0)</f>
        <v>29.427099999999999</v>
      </c>
      <c r="D372" s="10">
        <f>29.3846 * CHOOSE(CONTROL!$C$15, $E$9, 100%, $G$9) + CHOOSE(CONTROL!$C$38, 0.0347, 0)</f>
        <v>29.4193</v>
      </c>
      <c r="E372" s="46">
        <f>31.6741 * CHOOSE(CONTROL!$C$15, $E$9, 100%, $G$9) + CHOOSE(CONTROL!$C$38, 0.0347, 0)</f>
        <v>31.7088</v>
      </c>
      <c r="F372" s="45">
        <f>31.6741 * CHOOSE(CONTROL!$C$15, $E$9, 100%, $G$9) + CHOOSE(CONTROL!$C$38, 0.0256, 0)</f>
        <v>31.6997</v>
      </c>
      <c r="G372" s="10">
        <f>29.3908 * CHOOSE(CONTROL!$C$15, $E$9, 100%, $G$9) + CHOOSE(CONTROL!$C$38, 0.0347, 0)</f>
        <v>29.4255</v>
      </c>
      <c r="H372" s="10">
        <f>29.3908 * CHOOSE(CONTROL!$C$15, $E$9, 100%, $G$9) + CHOOSE(CONTROL!$C$38, 0.0347, 0)</f>
        <v>29.4255</v>
      </c>
      <c r="I372" s="10">
        <f>29.3924 * CHOOSE(CONTROL!$C$15, $E$9, 100%, $G$9) + CHOOSE(CONTROL!$C$38, 0.0347, 0)</f>
        <v>29.427099999999999</v>
      </c>
      <c r="J372" s="44">
        <f>192.3833</f>
        <v>192.38329999999999</v>
      </c>
    </row>
    <row r="373" spans="1:10" ht="15.75" x14ac:dyDescent="0.25">
      <c r="A373" s="14">
        <v>52290</v>
      </c>
      <c r="B373" s="10">
        <f>32.0511 * CHOOSE(CONTROL!$C$15, $E$9, 100%, $G$9) + CHOOSE(CONTROL!$C$38, 0.0256, 0)</f>
        <v>32.076699999999995</v>
      </c>
      <c r="C373" s="10">
        <f>29.6131 * CHOOSE(CONTROL!$C$15, $E$9, 100%, $G$9) + CHOOSE(CONTROL!$C$38, 0.0347, 0)</f>
        <v>29.6478</v>
      </c>
      <c r="D373" s="10">
        <f>29.6053 * CHOOSE(CONTROL!$C$15, $E$9, 100%, $G$9) + CHOOSE(CONTROL!$C$38, 0.0347, 0)</f>
        <v>29.64</v>
      </c>
      <c r="E373" s="46">
        <f>31.8948 * CHOOSE(CONTROL!$C$15, $E$9, 100%, $G$9) + CHOOSE(CONTROL!$C$38, 0.0347, 0)</f>
        <v>31.929500000000001</v>
      </c>
      <c r="F373" s="45">
        <f>31.8948 * CHOOSE(CONTROL!$C$15, $E$9, 100%, $G$9) + CHOOSE(CONTROL!$C$38, 0.0256, 0)</f>
        <v>31.920400000000001</v>
      </c>
      <c r="G373" s="10">
        <f>29.6116 * CHOOSE(CONTROL!$C$15, $E$9, 100%, $G$9) + CHOOSE(CONTROL!$C$38, 0.0347, 0)</f>
        <v>29.6463</v>
      </c>
      <c r="H373" s="10">
        <f>29.6116 * CHOOSE(CONTROL!$C$15, $E$9, 100%, $G$9) + CHOOSE(CONTROL!$C$38, 0.0347, 0)</f>
        <v>29.6463</v>
      </c>
      <c r="I373" s="10">
        <f>29.6131 * CHOOSE(CONTROL!$C$15, $E$9, 100%, $G$9) + CHOOSE(CONTROL!$C$38, 0.0347, 0)</f>
        <v>29.6478</v>
      </c>
      <c r="J373" s="44">
        <f>191.8485</f>
        <v>191.8485</v>
      </c>
    </row>
    <row r="374" spans="1:10" ht="15.75" x14ac:dyDescent="0.25">
      <c r="A374" s="14">
        <v>52321</v>
      </c>
      <c r="B374" s="10">
        <f>31.5401 * CHOOSE(CONTROL!$C$15, $E$9, 100%, $G$9) + CHOOSE(CONTROL!$C$38, 0.0256, 0)</f>
        <v>31.5657</v>
      </c>
      <c r="C374" s="10">
        <f>29.1021 * CHOOSE(CONTROL!$C$15, $E$9, 100%, $G$9) + CHOOSE(CONTROL!$C$38, 0.0347, 0)</f>
        <v>29.136800000000001</v>
      </c>
      <c r="D374" s="10">
        <f>29.0943 * CHOOSE(CONTROL!$C$15, $E$9, 100%, $G$9) + CHOOSE(CONTROL!$C$38, 0.0347, 0)</f>
        <v>29.129000000000001</v>
      </c>
      <c r="E374" s="46">
        <f>31.3838 * CHOOSE(CONTROL!$C$15, $E$9, 100%, $G$9) + CHOOSE(CONTROL!$C$38, 0.0347, 0)</f>
        <v>31.418500000000002</v>
      </c>
      <c r="F374" s="45">
        <f>31.3838 * CHOOSE(CONTROL!$C$15, $E$9, 100%, $G$9) + CHOOSE(CONTROL!$C$38, 0.0256, 0)</f>
        <v>31.409400000000002</v>
      </c>
      <c r="G374" s="10">
        <f>29.1005 * CHOOSE(CONTROL!$C$15, $E$9, 100%, $G$9) + CHOOSE(CONTROL!$C$38, 0.0347, 0)</f>
        <v>29.135200000000001</v>
      </c>
      <c r="H374" s="10">
        <f>29.1005 * CHOOSE(CONTROL!$C$15, $E$9, 100%, $G$9) + CHOOSE(CONTROL!$C$38, 0.0347, 0)</f>
        <v>29.135200000000001</v>
      </c>
      <c r="I374" s="10">
        <f>29.1021 * CHOOSE(CONTROL!$C$15, $E$9, 100%, $G$9) + CHOOSE(CONTROL!$C$38, 0.0347, 0)</f>
        <v>29.136800000000001</v>
      </c>
      <c r="J374" s="44">
        <f>201.96</f>
        <v>201.96</v>
      </c>
    </row>
    <row r="375" spans="1:10" ht="15.75" x14ac:dyDescent="0.25">
      <c r="A375" s="14">
        <v>52351</v>
      </c>
      <c r="B375" s="10">
        <f>31.0449 * CHOOSE(CONTROL!$C$15, $E$9, 100%, $G$9) + CHOOSE(CONTROL!$C$38, 0.0256, 0)</f>
        <v>31.070499999999999</v>
      </c>
      <c r="C375" s="10">
        <f>28.6069 * CHOOSE(CONTROL!$C$15, $E$9, 100%, $G$9) + CHOOSE(CONTROL!$C$38, 0.0347, 0)</f>
        <v>28.6416</v>
      </c>
      <c r="D375" s="10">
        <f>28.5991 * CHOOSE(CONTROL!$C$15, $E$9, 100%, $G$9) + CHOOSE(CONTROL!$C$38, 0.0347, 0)</f>
        <v>28.633800000000001</v>
      </c>
      <c r="E375" s="46">
        <f>30.8886 * CHOOSE(CONTROL!$C$15, $E$9, 100%, $G$9) + CHOOSE(CONTROL!$C$38, 0.0347, 0)</f>
        <v>30.923300000000001</v>
      </c>
      <c r="F375" s="45">
        <f>30.8886 * CHOOSE(CONTROL!$C$15, $E$9, 100%, $G$9) + CHOOSE(CONTROL!$C$38, 0.0256, 0)</f>
        <v>30.914200000000001</v>
      </c>
      <c r="G375" s="10">
        <f>28.6054 * CHOOSE(CONTROL!$C$15, $E$9, 100%, $G$9) + CHOOSE(CONTROL!$C$38, 0.0347, 0)</f>
        <v>28.6401</v>
      </c>
      <c r="H375" s="10">
        <f>28.6054 * CHOOSE(CONTROL!$C$15, $E$9, 100%, $G$9) + CHOOSE(CONTROL!$C$38, 0.0347, 0)</f>
        <v>28.6401</v>
      </c>
      <c r="I375" s="10">
        <f>28.6069 * CHOOSE(CONTROL!$C$15, $E$9, 100%, $G$9) + CHOOSE(CONTROL!$C$38, 0.0347, 0)</f>
        <v>28.6416</v>
      </c>
      <c r="J375" s="44">
        <f>215.0722</f>
        <v>215.07220000000001</v>
      </c>
    </row>
    <row r="376" spans="1:10" ht="15.75" x14ac:dyDescent="0.25">
      <c r="A376" s="14">
        <v>52382</v>
      </c>
      <c r="B376" s="10">
        <f>30.5288 * CHOOSE(CONTROL!$C$15, $E$9, 100%, $G$9) + CHOOSE(CONTROL!$C$38, 0.0278, 0)</f>
        <v>30.5566</v>
      </c>
      <c r="C376" s="10">
        <f>28.0908 * CHOOSE(CONTROL!$C$15, $E$9, 100%, $G$9) + CHOOSE(CONTROL!$C$38, 0.0369, 0)</f>
        <v>28.127700000000001</v>
      </c>
      <c r="D376" s="10">
        <f>28.083 * CHOOSE(CONTROL!$C$15, $E$9, 100%, $G$9) + CHOOSE(CONTROL!$C$38, 0.0369, 0)</f>
        <v>28.119899999999998</v>
      </c>
      <c r="E376" s="46">
        <f>30.3725 * CHOOSE(CONTROL!$C$15, $E$9, 100%, $G$9) + CHOOSE(CONTROL!$C$38, 0.0369, 0)</f>
        <v>30.409399999999998</v>
      </c>
      <c r="F376" s="45">
        <f>30.3725 * CHOOSE(CONTROL!$C$15, $E$9, 100%, $G$9) + CHOOSE(CONTROL!$C$38, 0.0278, 0)</f>
        <v>30.400299999999998</v>
      </c>
      <c r="G376" s="10">
        <f>28.0892 * CHOOSE(CONTROL!$C$15, $E$9, 100%, $G$9) + CHOOSE(CONTROL!$C$38, 0.0369, 0)</f>
        <v>28.126100000000001</v>
      </c>
      <c r="H376" s="10">
        <f>28.0892 * CHOOSE(CONTROL!$C$15, $E$9, 100%, $G$9) + CHOOSE(CONTROL!$C$38, 0.0369, 0)</f>
        <v>28.126100000000001</v>
      </c>
      <c r="I376" s="10">
        <f>28.0908 * CHOOSE(CONTROL!$C$15, $E$9, 100%, $G$9) + CHOOSE(CONTROL!$C$38, 0.0369, 0)</f>
        <v>28.127700000000001</v>
      </c>
      <c r="J376" s="44">
        <f>222.2896</f>
        <v>222.28960000000001</v>
      </c>
    </row>
    <row r="377" spans="1:10" ht="15.75" x14ac:dyDescent="0.25">
      <c r="A377" s="14">
        <v>52412</v>
      </c>
      <c r="B377" s="10">
        <f>30.1669 * CHOOSE(CONTROL!$C$15, $E$9, 100%, $G$9) + CHOOSE(CONTROL!$C$38, 0.0278, 0)</f>
        <v>30.194699999999997</v>
      </c>
      <c r="C377" s="10">
        <f>27.729 * CHOOSE(CONTROL!$C$15, $E$9, 100%, $G$9) + CHOOSE(CONTROL!$C$38, 0.0369, 0)</f>
        <v>27.765899999999998</v>
      </c>
      <c r="D377" s="10">
        <f>27.7212 * CHOOSE(CONTROL!$C$15, $E$9, 100%, $G$9) + CHOOSE(CONTROL!$C$38, 0.0369, 0)</f>
        <v>27.758099999999999</v>
      </c>
      <c r="E377" s="46">
        <f>30.0107 * CHOOSE(CONTROL!$C$15, $E$9, 100%, $G$9) + CHOOSE(CONTROL!$C$38, 0.0369, 0)</f>
        <v>30.047599999999999</v>
      </c>
      <c r="F377" s="45">
        <f>30.0107 * CHOOSE(CONTROL!$C$15, $E$9, 100%, $G$9) + CHOOSE(CONTROL!$C$38, 0.0278, 0)</f>
        <v>30.038499999999999</v>
      </c>
      <c r="G377" s="10">
        <f>27.7274 * CHOOSE(CONTROL!$C$15, $E$9, 100%, $G$9) + CHOOSE(CONTROL!$C$38, 0.0369, 0)</f>
        <v>27.764299999999999</v>
      </c>
      <c r="H377" s="10">
        <f>27.7274 * CHOOSE(CONTROL!$C$15, $E$9, 100%, $G$9) + CHOOSE(CONTROL!$C$38, 0.0369, 0)</f>
        <v>27.764299999999999</v>
      </c>
      <c r="I377" s="10">
        <f>27.729 * CHOOSE(CONTROL!$C$15, $E$9, 100%, $G$9) + CHOOSE(CONTROL!$C$38, 0.0369, 0)</f>
        <v>27.765899999999998</v>
      </c>
      <c r="J377" s="44">
        <f>225.4926</f>
        <v>225.49260000000001</v>
      </c>
    </row>
    <row r="378" spans="1:10" ht="15.75" x14ac:dyDescent="0.25">
      <c r="A378" s="14">
        <v>52443</v>
      </c>
      <c r="B378" s="10">
        <f>29.9604 * CHOOSE(CONTROL!$C$15, $E$9, 100%, $G$9) + CHOOSE(CONTROL!$C$38, 0.0278, 0)</f>
        <v>29.988199999999999</v>
      </c>
      <c r="C378" s="10">
        <f>27.5225 * CHOOSE(CONTROL!$C$15, $E$9, 100%, $G$9) + CHOOSE(CONTROL!$C$38, 0.0369, 0)</f>
        <v>27.5594</v>
      </c>
      <c r="D378" s="10">
        <f>27.5147 * CHOOSE(CONTROL!$C$15, $E$9, 100%, $G$9) + CHOOSE(CONTROL!$C$38, 0.0369, 0)</f>
        <v>27.551600000000001</v>
      </c>
      <c r="E378" s="46">
        <f>29.8042 * CHOOSE(CONTROL!$C$15, $E$9, 100%, $G$9) + CHOOSE(CONTROL!$C$38, 0.0369, 0)</f>
        <v>29.841100000000001</v>
      </c>
      <c r="F378" s="45">
        <f>29.8042 * CHOOSE(CONTROL!$C$15, $E$9, 100%, $G$9) + CHOOSE(CONTROL!$C$38, 0.0278, 0)</f>
        <v>29.832000000000001</v>
      </c>
      <c r="G378" s="10">
        <f>27.5209 * CHOOSE(CONTROL!$C$15, $E$9, 100%, $G$9) + CHOOSE(CONTROL!$C$38, 0.0369, 0)</f>
        <v>27.5578</v>
      </c>
      <c r="H378" s="10">
        <f>27.5209 * CHOOSE(CONTROL!$C$15, $E$9, 100%, $G$9) + CHOOSE(CONTROL!$C$38, 0.0369, 0)</f>
        <v>27.5578</v>
      </c>
      <c r="I378" s="10">
        <f>27.5225 * CHOOSE(CONTROL!$C$15, $E$9, 100%, $G$9) + CHOOSE(CONTROL!$C$38, 0.0369, 0)</f>
        <v>27.5594</v>
      </c>
      <c r="J378" s="44">
        <f>224.438</f>
        <v>224.43799999999999</v>
      </c>
    </row>
    <row r="379" spans="1:10" ht="15.75" x14ac:dyDescent="0.25">
      <c r="A379" s="14">
        <v>52474</v>
      </c>
      <c r="B379" s="10">
        <f>30.0623 * CHOOSE(CONTROL!$C$15, $E$9, 100%, $G$9) + CHOOSE(CONTROL!$C$38, 0.0278, 0)</f>
        <v>30.0901</v>
      </c>
      <c r="C379" s="10">
        <f>27.6244 * CHOOSE(CONTROL!$C$15, $E$9, 100%, $G$9) + CHOOSE(CONTROL!$C$38, 0.0369, 0)</f>
        <v>27.661300000000001</v>
      </c>
      <c r="D379" s="10">
        <f>27.6166 * CHOOSE(CONTROL!$C$15, $E$9, 100%, $G$9) + CHOOSE(CONTROL!$C$38, 0.0369, 0)</f>
        <v>27.653499999999998</v>
      </c>
      <c r="E379" s="46">
        <f>29.9061 * CHOOSE(CONTROL!$C$15, $E$9, 100%, $G$9) + CHOOSE(CONTROL!$C$38, 0.0369, 0)</f>
        <v>29.942999999999998</v>
      </c>
      <c r="F379" s="45">
        <f>29.9061 * CHOOSE(CONTROL!$C$15, $E$9, 100%, $G$9) + CHOOSE(CONTROL!$C$38, 0.0278, 0)</f>
        <v>29.933899999999998</v>
      </c>
      <c r="G379" s="10">
        <f>27.6228 * CHOOSE(CONTROL!$C$15, $E$9, 100%, $G$9) + CHOOSE(CONTROL!$C$38, 0.0369, 0)</f>
        <v>27.659700000000001</v>
      </c>
      <c r="H379" s="10">
        <f>27.6228 * CHOOSE(CONTROL!$C$15, $E$9, 100%, $G$9) + CHOOSE(CONTROL!$C$38, 0.0369, 0)</f>
        <v>27.659700000000001</v>
      </c>
      <c r="I379" s="10">
        <f>27.6244 * CHOOSE(CONTROL!$C$15, $E$9, 100%, $G$9) + CHOOSE(CONTROL!$C$38, 0.0369, 0)</f>
        <v>27.661300000000001</v>
      </c>
      <c r="J379" s="44">
        <f>219.2132</f>
        <v>219.2132</v>
      </c>
    </row>
    <row r="380" spans="1:10" ht="15.75" x14ac:dyDescent="0.25">
      <c r="A380" s="14">
        <v>52504</v>
      </c>
      <c r="B380" s="10">
        <f>30.3391 * CHOOSE(CONTROL!$C$15, $E$9, 100%, $G$9) + CHOOSE(CONTROL!$C$38, 0.0278, 0)</f>
        <v>30.366899999999998</v>
      </c>
      <c r="C380" s="10">
        <f>27.9012 * CHOOSE(CONTROL!$C$15, $E$9, 100%, $G$9) + CHOOSE(CONTROL!$C$38, 0.0369, 0)</f>
        <v>27.938099999999999</v>
      </c>
      <c r="D380" s="10">
        <f>27.8934 * CHOOSE(CONTROL!$C$15, $E$9, 100%, $G$9) + CHOOSE(CONTROL!$C$38, 0.0369, 0)</f>
        <v>27.930299999999999</v>
      </c>
      <c r="E380" s="46">
        <f>30.1829 * CHOOSE(CONTROL!$C$15, $E$9, 100%, $G$9) + CHOOSE(CONTROL!$C$38, 0.0369, 0)</f>
        <v>30.219799999999999</v>
      </c>
      <c r="F380" s="45">
        <f>30.1829 * CHOOSE(CONTROL!$C$15, $E$9, 100%, $G$9) + CHOOSE(CONTROL!$C$38, 0.0278, 0)</f>
        <v>30.210699999999999</v>
      </c>
      <c r="G380" s="10">
        <f>27.8996 * CHOOSE(CONTROL!$C$15, $E$9, 100%, $G$9) + CHOOSE(CONTROL!$C$38, 0.0369, 0)</f>
        <v>27.936499999999999</v>
      </c>
      <c r="H380" s="10">
        <f>27.8996 * CHOOSE(CONTROL!$C$15, $E$9, 100%, $G$9) + CHOOSE(CONTROL!$C$38, 0.0369, 0)</f>
        <v>27.936499999999999</v>
      </c>
      <c r="I380" s="10">
        <f>27.9012 * CHOOSE(CONTROL!$C$15, $E$9, 100%, $G$9) + CHOOSE(CONTROL!$C$38, 0.0369, 0)</f>
        <v>27.938099999999999</v>
      </c>
      <c r="J380" s="44">
        <f>211.9269</f>
        <v>211.92689999999999</v>
      </c>
    </row>
    <row r="381" spans="1:10" ht="15.75" x14ac:dyDescent="0.25">
      <c r="A381" s="14">
        <v>52535</v>
      </c>
      <c r="B381" s="10">
        <f>30.571 * CHOOSE(CONTROL!$C$15, $E$9, 100%, $G$9) + CHOOSE(CONTROL!$C$38, 0.0256, 0)</f>
        <v>30.596600000000002</v>
      </c>
      <c r="C381" s="10">
        <f>28.133 * CHOOSE(CONTROL!$C$15, $E$9, 100%, $G$9) + CHOOSE(CONTROL!$C$38, 0.0347, 0)</f>
        <v>28.1677</v>
      </c>
      <c r="D381" s="10">
        <f>28.1252 * CHOOSE(CONTROL!$C$15, $E$9, 100%, $G$9) + CHOOSE(CONTROL!$C$38, 0.0347, 0)</f>
        <v>28.1599</v>
      </c>
      <c r="E381" s="46">
        <f>30.4147 * CHOOSE(CONTROL!$C$15, $E$9, 100%, $G$9) + CHOOSE(CONTROL!$C$38, 0.0347, 0)</f>
        <v>30.449400000000001</v>
      </c>
      <c r="F381" s="45">
        <f>30.4147 * CHOOSE(CONTROL!$C$15, $E$9, 100%, $G$9) + CHOOSE(CONTROL!$C$38, 0.0256, 0)</f>
        <v>30.440300000000001</v>
      </c>
      <c r="G381" s="10">
        <f>28.1315 * CHOOSE(CONTROL!$C$15, $E$9, 100%, $G$9) + CHOOSE(CONTROL!$C$38, 0.0347, 0)</f>
        <v>28.1662</v>
      </c>
      <c r="H381" s="10">
        <f>28.1315 * CHOOSE(CONTROL!$C$15, $E$9, 100%, $G$9) + CHOOSE(CONTROL!$C$38, 0.0347, 0)</f>
        <v>28.1662</v>
      </c>
      <c r="I381" s="10">
        <f>28.133 * CHOOSE(CONTROL!$C$15, $E$9, 100%, $G$9) + CHOOSE(CONTROL!$C$38, 0.0347, 0)</f>
        <v>28.1677</v>
      </c>
      <c r="J381" s="44">
        <f>204.5983</f>
        <v>204.59829999999999</v>
      </c>
    </row>
    <row r="382" spans="1:10" ht="15.75" x14ac:dyDescent="0.25">
      <c r="A382" s="14">
        <v>52565</v>
      </c>
      <c r="B382" s="10">
        <f>30.7644 * CHOOSE(CONTROL!$C$15, $E$9, 100%, $G$9) + CHOOSE(CONTROL!$C$38, 0.0256, 0)</f>
        <v>30.79</v>
      </c>
      <c r="C382" s="10">
        <f>28.3265 * CHOOSE(CONTROL!$C$15, $E$9, 100%, $G$9) + CHOOSE(CONTROL!$C$38, 0.0347, 0)</f>
        <v>28.3612</v>
      </c>
      <c r="D382" s="10">
        <f>28.3186 * CHOOSE(CONTROL!$C$15, $E$9, 100%, $G$9) + CHOOSE(CONTROL!$C$38, 0.0347, 0)</f>
        <v>28.353300000000001</v>
      </c>
      <c r="E382" s="46">
        <f>30.6082 * CHOOSE(CONTROL!$C$15, $E$9, 100%, $G$9) + CHOOSE(CONTROL!$C$38, 0.0347, 0)</f>
        <v>30.642900000000001</v>
      </c>
      <c r="F382" s="45">
        <f>30.6082 * CHOOSE(CONTROL!$C$15, $E$9, 100%, $G$9) + CHOOSE(CONTROL!$C$38, 0.0256, 0)</f>
        <v>30.633800000000001</v>
      </c>
      <c r="G382" s="10">
        <f>28.3249 * CHOOSE(CONTROL!$C$15, $E$9, 100%, $G$9) + CHOOSE(CONTROL!$C$38, 0.0347, 0)</f>
        <v>28.3596</v>
      </c>
      <c r="H382" s="10">
        <f>28.3249 * CHOOSE(CONTROL!$C$15, $E$9, 100%, $G$9) + CHOOSE(CONTROL!$C$38, 0.0347, 0)</f>
        <v>28.3596</v>
      </c>
      <c r="I382" s="10">
        <f>28.3265 * CHOOSE(CONTROL!$C$15, $E$9, 100%, $G$9) + CHOOSE(CONTROL!$C$38, 0.0347, 0)</f>
        <v>28.3612</v>
      </c>
      <c r="J382" s="44">
        <f>203.1405</f>
        <v>203.1405</v>
      </c>
    </row>
    <row r="383" spans="1:10" ht="15.75" x14ac:dyDescent="0.25">
      <c r="A383" s="14">
        <v>52596</v>
      </c>
      <c r="B383" s="10">
        <f>31.3605 * CHOOSE(CONTROL!$C$15, $E$9, 100%, $G$9) + CHOOSE(CONTROL!$C$38, 0.0256, 0)</f>
        <v>31.386099999999999</v>
      </c>
      <c r="C383" s="10">
        <f>28.9225 * CHOOSE(CONTROL!$C$15, $E$9, 100%, $G$9) + CHOOSE(CONTROL!$C$38, 0.0347, 0)</f>
        <v>28.9572</v>
      </c>
      <c r="D383" s="10">
        <f>28.9147 * CHOOSE(CONTROL!$C$15, $E$9, 100%, $G$9) + CHOOSE(CONTROL!$C$38, 0.0347, 0)</f>
        <v>28.949400000000001</v>
      </c>
      <c r="E383" s="46">
        <f>31.2042 * CHOOSE(CONTROL!$C$15, $E$9, 100%, $G$9) + CHOOSE(CONTROL!$C$38, 0.0347, 0)</f>
        <v>31.238900000000001</v>
      </c>
      <c r="F383" s="45">
        <f>31.2042 * CHOOSE(CONTROL!$C$15, $E$9, 100%, $G$9) + CHOOSE(CONTROL!$C$38, 0.0256, 0)</f>
        <v>31.229800000000001</v>
      </c>
      <c r="G383" s="10">
        <f>28.921 * CHOOSE(CONTROL!$C$15, $E$9, 100%, $G$9) + CHOOSE(CONTROL!$C$38, 0.0347, 0)</f>
        <v>28.9557</v>
      </c>
      <c r="H383" s="10">
        <f>28.921 * CHOOSE(CONTROL!$C$15, $E$9, 100%, $G$9) + CHOOSE(CONTROL!$C$38, 0.0347, 0)</f>
        <v>28.9557</v>
      </c>
      <c r="I383" s="10">
        <f>28.9225 * CHOOSE(CONTROL!$C$15, $E$9, 100%, $G$9) + CHOOSE(CONTROL!$C$38, 0.0347, 0)</f>
        <v>28.9572</v>
      </c>
      <c r="J383" s="44">
        <f>197.1123</f>
        <v>197.1123</v>
      </c>
    </row>
    <row r="384" spans="1:10" ht="15.75" x14ac:dyDescent="0.25">
      <c r="A384" s="14">
        <v>52627</v>
      </c>
      <c r="B384" s="10">
        <f>32.326 * CHOOSE(CONTROL!$C$15, $E$9, 100%, $G$9) + CHOOSE(CONTROL!$C$38, 0.0256, 0)</f>
        <v>32.351599999999998</v>
      </c>
      <c r="C384" s="10">
        <f>29.8507 * CHOOSE(CONTROL!$C$15, $E$9, 100%, $G$9) + CHOOSE(CONTROL!$C$38, 0.0347, 0)</f>
        <v>29.885400000000001</v>
      </c>
      <c r="D384" s="10">
        <f>29.8429 * CHOOSE(CONTROL!$C$15, $E$9, 100%, $G$9) + CHOOSE(CONTROL!$C$38, 0.0347, 0)</f>
        <v>29.877600000000001</v>
      </c>
      <c r="E384" s="46">
        <f>32.1698 * CHOOSE(CONTROL!$C$15, $E$9, 100%, $G$9) + CHOOSE(CONTROL!$C$38, 0.0347, 0)</f>
        <v>32.204500000000003</v>
      </c>
      <c r="F384" s="45">
        <f>32.1698 * CHOOSE(CONTROL!$C$15, $E$9, 100%, $G$9) + CHOOSE(CONTROL!$C$38, 0.0256, 0)</f>
        <v>32.195399999999999</v>
      </c>
      <c r="G384" s="10">
        <f>29.8491 * CHOOSE(CONTROL!$C$15, $E$9, 100%, $G$9) + CHOOSE(CONTROL!$C$38, 0.0347, 0)</f>
        <v>29.883800000000001</v>
      </c>
      <c r="H384" s="10">
        <f>29.8491 * CHOOSE(CONTROL!$C$15, $E$9, 100%, $G$9) + CHOOSE(CONTROL!$C$38, 0.0347, 0)</f>
        <v>29.883800000000001</v>
      </c>
      <c r="I384" s="10">
        <f>29.8507 * CHOOSE(CONTROL!$C$15, $E$9, 100%, $G$9) + CHOOSE(CONTROL!$C$38, 0.0347, 0)</f>
        <v>29.885400000000001</v>
      </c>
      <c r="J384" s="44">
        <f>196.7358</f>
        <v>196.73580000000001</v>
      </c>
    </row>
    <row r="385" spans="1:10" ht="15.75" x14ac:dyDescent="0.25">
      <c r="A385" s="14">
        <v>52655</v>
      </c>
      <c r="B385" s="10">
        <f>32.5468 * CHOOSE(CONTROL!$C$15, $E$9, 100%, $G$9) + CHOOSE(CONTROL!$C$38, 0.0256, 0)</f>
        <v>32.572399999999995</v>
      </c>
      <c r="C385" s="10">
        <f>30.0714 * CHOOSE(CONTROL!$C$15, $E$9, 100%, $G$9) + CHOOSE(CONTROL!$C$38, 0.0347, 0)</f>
        <v>30.106100000000001</v>
      </c>
      <c r="D385" s="10">
        <f>30.0636 * CHOOSE(CONTROL!$C$15, $E$9, 100%, $G$9) + CHOOSE(CONTROL!$C$38, 0.0347, 0)</f>
        <v>30.098300000000002</v>
      </c>
      <c r="E385" s="46">
        <f>32.3905 * CHOOSE(CONTROL!$C$15, $E$9, 100%, $G$9) + CHOOSE(CONTROL!$C$38, 0.0347, 0)</f>
        <v>32.425200000000004</v>
      </c>
      <c r="F385" s="45">
        <f>32.3905 * CHOOSE(CONTROL!$C$15, $E$9, 100%, $G$9) + CHOOSE(CONTROL!$C$38, 0.0256, 0)</f>
        <v>32.4161</v>
      </c>
      <c r="G385" s="10">
        <f>30.0699 * CHOOSE(CONTROL!$C$15, $E$9, 100%, $G$9) + CHOOSE(CONTROL!$C$38, 0.0347, 0)</f>
        <v>30.104600000000001</v>
      </c>
      <c r="H385" s="10">
        <f>30.0699 * CHOOSE(CONTROL!$C$15, $E$9, 100%, $G$9) + CHOOSE(CONTROL!$C$38, 0.0347, 0)</f>
        <v>30.104600000000001</v>
      </c>
      <c r="I385" s="10">
        <f>30.0714 * CHOOSE(CONTROL!$C$15, $E$9, 100%, $G$9) + CHOOSE(CONTROL!$C$38, 0.0347, 0)</f>
        <v>30.106100000000001</v>
      </c>
      <c r="J385" s="44">
        <f>196.189</f>
        <v>196.18899999999999</v>
      </c>
    </row>
    <row r="386" spans="1:10" ht="15.75" x14ac:dyDescent="0.25">
      <c r="A386" s="14">
        <v>52687</v>
      </c>
      <c r="B386" s="10">
        <f>32.0358 * CHOOSE(CONTROL!$C$15, $E$9, 100%, $G$9) + CHOOSE(CONTROL!$C$38, 0.0256, 0)</f>
        <v>32.061399999999999</v>
      </c>
      <c r="C386" s="10">
        <f>29.5604 * CHOOSE(CONTROL!$C$15, $E$9, 100%, $G$9) + CHOOSE(CONTROL!$C$38, 0.0347, 0)</f>
        <v>29.595100000000002</v>
      </c>
      <c r="D386" s="10">
        <f>29.5526 * CHOOSE(CONTROL!$C$15, $E$9, 100%, $G$9) + CHOOSE(CONTROL!$C$38, 0.0347, 0)</f>
        <v>29.587300000000003</v>
      </c>
      <c r="E386" s="46">
        <f>31.8795 * CHOOSE(CONTROL!$C$15, $E$9, 100%, $G$9) + CHOOSE(CONTROL!$C$38, 0.0347, 0)</f>
        <v>31.914200000000001</v>
      </c>
      <c r="F386" s="45">
        <f>31.8795 * CHOOSE(CONTROL!$C$15, $E$9, 100%, $G$9) + CHOOSE(CONTROL!$C$38, 0.0256, 0)</f>
        <v>31.905100000000001</v>
      </c>
      <c r="G386" s="10">
        <f>29.5588 * CHOOSE(CONTROL!$C$15, $E$9, 100%, $G$9) + CHOOSE(CONTROL!$C$38, 0.0347, 0)</f>
        <v>29.593500000000002</v>
      </c>
      <c r="H386" s="10">
        <f>29.5588 * CHOOSE(CONTROL!$C$15, $E$9, 100%, $G$9) + CHOOSE(CONTROL!$C$38, 0.0347, 0)</f>
        <v>29.593500000000002</v>
      </c>
      <c r="I386" s="10">
        <f>29.5604 * CHOOSE(CONTROL!$C$15, $E$9, 100%, $G$9) + CHOOSE(CONTROL!$C$38, 0.0347, 0)</f>
        <v>29.595100000000002</v>
      </c>
      <c r="J386" s="44">
        <f>206.5293</f>
        <v>206.52930000000001</v>
      </c>
    </row>
    <row r="387" spans="1:10" ht="15.75" x14ac:dyDescent="0.25">
      <c r="A387" s="14">
        <v>52717</v>
      </c>
      <c r="B387" s="10">
        <f>31.5406 * CHOOSE(CONTROL!$C$15, $E$9, 100%, $G$9) + CHOOSE(CONTROL!$C$38, 0.0256, 0)</f>
        <v>31.566200000000002</v>
      </c>
      <c r="C387" s="10">
        <f>29.0652 * CHOOSE(CONTROL!$C$15, $E$9, 100%, $G$9) + CHOOSE(CONTROL!$C$38, 0.0347, 0)</f>
        <v>29.099900000000002</v>
      </c>
      <c r="D387" s="10">
        <f>29.0574 * CHOOSE(CONTROL!$C$15, $E$9, 100%, $G$9) + CHOOSE(CONTROL!$C$38, 0.0347, 0)</f>
        <v>29.092100000000002</v>
      </c>
      <c r="E387" s="46">
        <f>31.3843 * CHOOSE(CONTROL!$C$15, $E$9, 100%, $G$9) + CHOOSE(CONTROL!$C$38, 0.0347, 0)</f>
        <v>31.419</v>
      </c>
      <c r="F387" s="45">
        <f>31.3843 * CHOOSE(CONTROL!$C$15, $E$9, 100%, $G$9) + CHOOSE(CONTROL!$C$38, 0.0256, 0)</f>
        <v>31.4099</v>
      </c>
      <c r="G387" s="10">
        <f>29.0637 * CHOOSE(CONTROL!$C$15, $E$9, 100%, $G$9) + CHOOSE(CONTROL!$C$38, 0.0347, 0)</f>
        <v>29.098400000000002</v>
      </c>
      <c r="H387" s="10">
        <f>29.0637 * CHOOSE(CONTROL!$C$15, $E$9, 100%, $G$9) + CHOOSE(CONTROL!$C$38, 0.0347, 0)</f>
        <v>29.098400000000002</v>
      </c>
      <c r="I387" s="10">
        <f>29.0652 * CHOOSE(CONTROL!$C$15, $E$9, 100%, $G$9) + CHOOSE(CONTROL!$C$38, 0.0347, 0)</f>
        <v>29.099900000000002</v>
      </c>
      <c r="J387" s="44">
        <f>219.9381</f>
        <v>219.93809999999999</v>
      </c>
    </row>
    <row r="388" spans="1:10" ht="15.75" x14ac:dyDescent="0.25">
      <c r="A388" s="14">
        <v>52748</v>
      </c>
      <c r="B388" s="10">
        <f>31.0245 * CHOOSE(CONTROL!$C$15, $E$9, 100%, $G$9) + CHOOSE(CONTROL!$C$38, 0.0278, 0)</f>
        <v>31.052299999999999</v>
      </c>
      <c r="C388" s="10">
        <f>28.5491 * CHOOSE(CONTROL!$C$15, $E$9, 100%, $G$9) + CHOOSE(CONTROL!$C$38, 0.0369, 0)</f>
        <v>28.585999999999999</v>
      </c>
      <c r="D388" s="10">
        <f>28.5413 * CHOOSE(CONTROL!$C$15, $E$9, 100%, $G$9) + CHOOSE(CONTROL!$C$38, 0.0369, 0)</f>
        <v>28.578199999999999</v>
      </c>
      <c r="E388" s="46">
        <f>30.8682 * CHOOSE(CONTROL!$C$15, $E$9, 100%, $G$9) + CHOOSE(CONTROL!$C$38, 0.0369, 0)</f>
        <v>30.905100000000001</v>
      </c>
      <c r="F388" s="45">
        <f>30.8682 * CHOOSE(CONTROL!$C$15, $E$9, 100%, $G$9) + CHOOSE(CONTROL!$C$38, 0.0278, 0)</f>
        <v>30.896000000000001</v>
      </c>
      <c r="G388" s="10">
        <f>28.5475 * CHOOSE(CONTROL!$C$15, $E$9, 100%, $G$9) + CHOOSE(CONTROL!$C$38, 0.0369, 0)</f>
        <v>28.584399999999999</v>
      </c>
      <c r="H388" s="10">
        <f>28.5475 * CHOOSE(CONTROL!$C$15, $E$9, 100%, $G$9) + CHOOSE(CONTROL!$C$38, 0.0369, 0)</f>
        <v>28.584399999999999</v>
      </c>
      <c r="I388" s="10">
        <f>28.5491 * CHOOSE(CONTROL!$C$15, $E$9, 100%, $G$9) + CHOOSE(CONTROL!$C$38, 0.0369, 0)</f>
        <v>28.585999999999999</v>
      </c>
      <c r="J388" s="44">
        <f>227.3188</f>
        <v>227.31880000000001</v>
      </c>
    </row>
    <row r="389" spans="1:10" ht="15.75" x14ac:dyDescent="0.25">
      <c r="A389" s="14">
        <v>52778</v>
      </c>
      <c r="B389" s="10">
        <f>30.6626 * CHOOSE(CONTROL!$C$15, $E$9, 100%, $G$9) + CHOOSE(CONTROL!$C$38, 0.0278, 0)</f>
        <v>30.6904</v>
      </c>
      <c r="C389" s="10">
        <f>28.1873 * CHOOSE(CONTROL!$C$15, $E$9, 100%, $G$9) + CHOOSE(CONTROL!$C$38, 0.0369, 0)</f>
        <v>28.2242</v>
      </c>
      <c r="D389" s="10">
        <f>28.1795 * CHOOSE(CONTROL!$C$15, $E$9, 100%, $G$9) + CHOOSE(CONTROL!$C$38, 0.0369, 0)</f>
        <v>28.2164</v>
      </c>
      <c r="E389" s="46">
        <f>30.5064 * CHOOSE(CONTROL!$C$15, $E$9, 100%, $G$9) + CHOOSE(CONTROL!$C$38, 0.0369, 0)</f>
        <v>30.543299999999999</v>
      </c>
      <c r="F389" s="45">
        <f>30.5064 * CHOOSE(CONTROL!$C$15, $E$9, 100%, $G$9) + CHOOSE(CONTROL!$C$38, 0.0278, 0)</f>
        <v>30.534199999999998</v>
      </c>
      <c r="G389" s="10">
        <f>28.1857 * CHOOSE(CONTROL!$C$15, $E$9, 100%, $G$9) + CHOOSE(CONTROL!$C$38, 0.0369, 0)</f>
        <v>28.2226</v>
      </c>
      <c r="H389" s="10">
        <f>28.1857 * CHOOSE(CONTROL!$C$15, $E$9, 100%, $G$9) + CHOOSE(CONTROL!$C$38, 0.0369, 0)</f>
        <v>28.2226</v>
      </c>
      <c r="I389" s="10">
        <f>28.1873 * CHOOSE(CONTROL!$C$15, $E$9, 100%, $G$9) + CHOOSE(CONTROL!$C$38, 0.0369, 0)</f>
        <v>28.2242</v>
      </c>
      <c r="J389" s="44">
        <f>230.5943</f>
        <v>230.5943</v>
      </c>
    </row>
    <row r="390" spans="1:10" ht="15.75" x14ac:dyDescent="0.25">
      <c r="A390" s="14">
        <v>52809</v>
      </c>
      <c r="B390" s="10">
        <f>30.4561 * CHOOSE(CONTROL!$C$15, $E$9, 100%, $G$9) + CHOOSE(CONTROL!$C$38, 0.0278, 0)</f>
        <v>30.483899999999998</v>
      </c>
      <c r="C390" s="10">
        <f>27.9808 * CHOOSE(CONTROL!$C$15, $E$9, 100%, $G$9) + CHOOSE(CONTROL!$C$38, 0.0369, 0)</f>
        <v>28.017699999999998</v>
      </c>
      <c r="D390" s="10">
        <f>27.973 * CHOOSE(CONTROL!$C$15, $E$9, 100%, $G$9) + CHOOSE(CONTROL!$C$38, 0.0369, 0)</f>
        <v>28.009899999999998</v>
      </c>
      <c r="E390" s="46">
        <f>30.2999 * CHOOSE(CONTROL!$C$15, $E$9, 100%, $G$9) + CHOOSE(CONTROL!$C$38, 0.0369, 0)</f>
        <v>30.3368</v>
      </c>
      <c r="F390" s="45">
        <f>30.2999 * CHOOSE(CONTROL!$C$15, $E$9, 100%, $G$9) + CHOOSE(CONTROL!$C$38, 0.0278, 0)</f>
        <v>30.3277</v>
      </c>
      <c r="G390" s="10">
        <f>27.9792 * CHOOSE(CONTROL!$C$15, $E$9, 100%, $G$9) + CHOOSE(CONTROL!$C$38, 0.0369, 0)</f>
        <v>28.016099999999998</v>
      </c>
      <c r="H390" s="10">
        <f>27.9792 * CHOOSE(CONTROL!$C$15, $E$9, 100%, $G$9) + CHOOSE(CONTROL!$C$38, 0.0369, 0)</f>
        <v>28.016099999999998</v>
      </c>
      <c r="I390" s="10">
        <f>27.9808 * CHOOSE(CONTROL!$C$15, $E$9, 100%, $G$9) + CHOOSE(CONTROL!$C$38, 0.0369, 0)</f>
        <v>28.017699999999998</v>
      </c>
      <c r="J390" s="44">
        <f>229.5158</f>
        <v>229.51580000000001</v>
      </c>
    </row>
    <row r="391" spans="1:10" ht="15.75" x14ac:dyDescent="0.25">
      <c r="A391" s="14">
        <v>52840</v>
      </c>
      <c r="B391" s="10">
        <f>30.558 * CHOOSE(CONTROL!$C$15, $E$9, 100%, $G$9) + CHOOSE(CONTROL!$C$38, 0.0278, 0)</f>
        <v>30.585799999999999</v>
      </c>
      <c r="C391" s="10">
        <f>28.0827 * CHOOSE(CONTROL!$C$15, $E$9, 100%, $G$9) + CHOOSE(CONTROL!$C$38, 0.0369, 0)</f>
        <v>28.119599999999998</v>
      </c>
      <c r="D391" s="10">
        <f>28.0749 * CHOOSE(CONTROL!$C$15, $E$9, 100%, $G$9) + CHOOSE(CONTROL!$C$38, 0.0369, 0)</f>
        <v>28.111799999999999</v>
      </c>
      <c r="E391" s="46">
        <f>30.4018 * CHOOSE(CONTROL!$C$15, $E$9, 100%, $G$9) + CHOOSE(CONTROL!$C$38, 0.0369, 0)</f>
        <v>30.438700000000001</v>
      </c>
      <c r="F391" s="45">
        <f>30.4018 * CHOOSE(CONTROL!$C$15, $E$9, 100%, $G$9) + CHOOSE(CONTROL!$C$38, 0.0278, 0)</f>
        <v>30.429600000000001</v>
      </c>
      <c r="G391" s="10">
        <f>28.0811 * CHOOSE(CONTROL!$C$15, $E$9, 100%, $G$9) + CHOOSE(CONTROL!$C$38, 0.0369, 0)</f>
        <v>28.117999999999999</v>
      </c>
      <c r="H391" s="10">
        <f>28.0811 * CHOOSE(CONTROL!$C$15, $E$9, 100%, $G$9) + CHOOSE(CONTROL!$C$38, 0.0369, 0)</f>
        <v>28.117999999999999</v>
      </c>
      <c r="I391" s="10">
        <f>28.0827 * CHOOSE(CONTROL!$C$15, $E$9, 100%, $G$9) + CHOOSE(CONTROL!$C$38, 0.0369, 0)</f>
        <v>28.119599999999998</v>
      </c>
      <c r="J391" s="44">
        <f>224.1728</f>
        <v>224.1728</v>
      </c>
    </row>
    <row r="392" spans="1:10" ht="15.75" x14ac:dyDescent="0.25">
      <c r="A392" s="14">
        <v>52870</v>
      </c>
      <c r="B392" s="10">
        <f>30.8348 * CHOOSE(CONTROL!$C$15, $E$9, 100%, $G$9) + CHOOSE(CONTROL!$C$38, 0.0278, 0)</f>
        <v>30.8626</v>
      </c>
      <c r="C392" s="10">
        <f>28.3595 * CHOOSE(CONTROL!$C$15, $E$9, 100%, $G$9) + CHOOSE(CONTROL!$C$38, 0.0369, 0)</f>
        <v>28.3964</v>
      </c>
      <c r="D392" s="10">
        <f>28.3517 * CHOOSE(CONTROL!$C$15, $E$9, 100%, $G$9) + CHOOSE(CONTROL!$C$38, 0.0369, 0)</f>
        <v>28.3886</v>
      </c>
      <c r="E392" s="46">
        <f>30.6786 * CHOOSE(CONTROL!$C$15, $E$9, 100%, $G$9) + CHOOSE(CONTROL!$C$38, 0.0369, 0)</f>
        <v>30.715499999999999</v>
      </c>
      <c r="F392" s="45">
        <f>30.6786 * CHOOSE(CONTROL!$C$15, $E$9, 100%, $G$9) + CHOOSE(CONTROL!$C$38, 0.0278, 0)</f>
        <v>30.706399999999999</v>
      </c>
      <c r="G392" s="10">
        <f>28.3579 * CHOOSE(CONTROL!$C$15, $E$9, 100%, $G$9) + CHOOSE(CONTROL!$C$38, 0.0369, 0)</f>
        <v>28.3948</v>
      </c>
      <c r="H392" s="10">
        <f>28.3579 * CHOOSE(CONTROL!$C$15, $E$9, 100%, $G$9) + CHOOSE(CONTROL!$C$38, 0.0369, 0)</f>
        <v>28.3948</v>
      </c>
      <c r="I392" s="10">
        <f>28.3595 * CHOOSE(CONTROL!$C$15, $E$9, 100%, $G$9) + CHOOSE(CONTROL!$C$38, 0.0369, 0)</f>
        <v>28.3964</v>
      </c>
      <c r="J392" s="44">
        <f>216.7217</f>
        <v>216.7217</v>
      </c>
    </row>
    <row r="393" spans="1:10" ht="15.75" x14ac:dyDescent="0.25">
      <c r="A393" s="14">
        <v>52901</v>
      </c>
      <c r="B393" s="10">
        <f>31.0667 * CHOOSE(CONTROL!$C$15, $E$9, 100%, $G$9) + CHOOSE(CONTROL!$C$38, 0.0256, 0)</f>
        <v>31.092300000000002</v>
      </c>
      <c r="C393" s="10">
        <f>28.5913 * CHOOSE(CONTROL!$C$15, $E$9, 100%, $G$9) + CHOOSE(CONTROL!$C$38, 0.0347, 0)</f>
        <v>28.626000000000001</v>
      </c>
      <c r="D393" s="10">
        <f>28.5835 * CHOOSE(CONTROL!$C$15, $E$9, 100%, $G$9) + CHOOSE(CONTROL!$C$38, 0.0347, 0)</f>
        <v>28.618200000000002</v>
      </c>
      <c r="E393" s="46">
        <f>30.9104 * CHOOSE(CONTROL!$C$15, $E$9, 100%, $G$9) + CHOOSE(CONTROL!$C$38, 0.0347, 0)</f>
        <v>30.9451</v>
      </c>
      <c r="F393" s="45">
        <f>30.9104 * CHOOSE(CONTROL!$C$15, $E$9, 100%, $G$9) + CHOOSE(CONTROL!$C$38, 0.0256, 0)</f>
        <v>30.936</v>
      </c>
      <c r="G393" s="10">
        <f>28.5897 * CHOOSE(CONTROL!$C$15, $E$9, 100%, $G$9) + CHOOSE(CONTROL!$C$38, 0.0347, 0)</f>
        <v>28.624400000000001</v>
      </c>
      <c r="H393" s="10">
        <f>28.5897 * CHOOSE(CONTROL!$C$15, $E$9, 100%, $G$9) + CHOOSE(CONTROL!$C$38, 0.0347, 0)</f>
        <v>28.624400000000001</v>
      </c>
      <c r="I393" s="10">
        <f>28.5913 * CHOOSE(CONTROL!$C$15, $E$9, 100%, $G$9) + CHOOSE(CONTROL!$C$38, 0.0347, 0)</f>
        <v>28.626000000000001</v>
      </c>
      <c r="J393" s="44">
        <f>209.2272</f>
        <v>209.22720000000001</v>
      </c>
    </row>
    <row r="394" spans="1:10" ht="15.75" x14ac:dyDescent="0.25">
      <c r="A394" s="14">
        <v>52931</v>
      </c>
      <c r="B394" s="10">
        <f>31.2601 * CHOOSE(CONTROL!$C$15, $E$9, 100%, $G$9) + CHOOSE(CONTROL!$C$38, 0.0256, 0)</f>
        <v>31.285700000000002</v>
      </c>
      <c r="C394" s="10">
        <f>28.7848 * CHOOSE(CONTROL!$C$15, $E$9, 100%, $G$9) + CHOOSE(CONTROL!$C$38, 0.0347, 0)</f>
        <v>28.819500000000001</v>
      </c>
      <c r="D394" s="10">
        <f>28.7769 * CHOOSE(CONTROL!$C$15, $E$9, 100%, $G$9) + CHOOSE(CONTROL!$C$38, 0.0347, 0)</f>
        <v>28.811600000000002</v>
      </c>
      <c r="E394" s="46">
        <f>31.1039 * CHOOSE(CONTROL!$C$15, $E$9, 100%, $G$9) + CHOOSE(CONTROL!$C$38, 0.0347, 0)</f>
        <v>31.1386</v>
      </c>
      <c r="F394" s="45">
        <f>31.1039 * CHOOSE(CONTROL!$C$15, $E$9, 100%, $G$9) + CHOOSE(CONTROL!$C$38, 0.0256, 0)</f>
        <v>31.1295</v>
      </c>
      <c r="G394" s="10">
        <f>28.7832 * CHOOSE(CONTROL!$C$15, $E$9, 100%, $G$9) + CHOOSE(CONTROL!$C$38, 0.0347, 0)</f>
        <v>28.817900000000002</v>
      </c>
      <c r="H394" s="10">
        <f>28.7832 * CHOOSE(CONTROL!$C$15, $E$9, 100%, $G$9) + CHOOSE(CONTROL!$C$38, 0.0347, 0)</f>
        <v>28.817900000000002</v>
      </c>
      <c r="I394" s="10">
        <f>28.7848 * CHOOSE(CONTROL!$C$15, $E$9, 100%, $G$9) + CHOOSE(CONTROL!$C$38, 0.0347, 0)</f>
        <v>28.819500000000001</v>
      </c>
      <c r="J394" s="44">
        <f>207.7364</f>
        <v>207.7364</v>
      </c>
    </row>
    <row r="395" spans="1:10" ht="15.75" x14ac:dyDescent="0.25">
      <c r="A395" s="14">
        <v>52962</v>
      </c>
      <c r="B395" s="10">
        <f>31.8562 * CHOOSE(CONTROL!$C$15, $E$9, 100%, $G$9) + CHOOSE(CONTROL!$C$38, 0.0256, 0)</f>
        <v>31.881800000000002</v>
      </c>
      <c r="C395" s="10">
        <f>29.3808 * CHOOSE(CONTROL!$C$15, $E$9, 100%, $G$9) + CHOOSE(CONTROL!$C$38, 0.0347, 0)</f>
        <v>29.415500000000002</v>
      </c>
      <c r="D395" s="10">
        <f>29.373 * CHOOSE(CONTROL!$C$15, $E$9, 100%, $G$9) + CHOOSE(CONTROL!$C$38, 0.0347, 0)</f>
        <v>29.407700000000002</v>
      </c>
      <c r="E395" s="46">
        <f>31.6999 * CHOOSE(CONTROL!$C$15, $E$9, 100%, $G$9) + CHOOSE(CONTROL!$C$38, 0.0347, 0)</f>
        <v>31.7346</v>
      </c>
      <c r="F395" s="45">
        <f>31.6999 * CHOOSE(CONTROL!$C$15, $E$9, 100%, $G$9) + CHOOSE(CONTROL!$C$38, 0.0256, 0)</f>
        <v>31.7255</v>
      </c>
      <c r="G395" s="10">
        <f>29.3793 * CHOOSE(CONTROL!$C$15, $E$9, 100%, $G$9) + CHOOSE(CONTROL!$C$38, 0.0347, 0)</f>
        <v>29.414000000000001</v>
      </c>
      <c r="H395" s="10">
        <f>29.3793 * CHOOSE(CONTROL!$C$15, $E$9, 100%, $G$9) + CHOOSE(CONTROL!$C$38, 0.0347, 0)</f>
        <v>29.414000000000001</v>
      </c>
      <c r="I395" s="10">
        <f>29.3808 * CHOOSE(CONTROL!$C$15, $E$9, 100%, $G$9) + CHOOSE(CONTROL!$C$38, 0.0347, 0)</f>
        <v>29.415500000000002</v>
      </c>
      <c r="J395" s="44">
        <f>201.5718</f>
        <v>201.5718</v>
      </c>
    </row>
    <row r="396" spans="1:10" ht="15.75" x14ac:dyDescent="0.25">
      <c r="A396" s="14">
        <v>52993</v>
      </c>
      <c r="B396" s="10">
        <f>32.8299 * CHOOSE(CONTROL!$C$15, $E$9, 100%, $G$9) + CHOOSE(CONTROL!$C$38, 0.0256, 0)</f>
        <v>32.855499999999999</v>
      </c>
      <c r="C396" s="10">
        <f>30.3165 * CHOOSE(CONTROL!$C$15, $E$9, 100%, $G$9) + CHOOSE(CONTROL!$C$38, 0.0347, 0)</f>
        <v>30.351200000000002</v>
      </c>
      <c r="D396" s="10">
        <f>30.3087 * CHOOSE(CONTROL!$C$15, $E$9, 100%, $G$9) + CHOOSE(CONTROL!$C$38, 0.0347, 0)</f>
        <v>30.343400000000003</v>
      </c>
      <c r="E396" s="46">
        <f>32.6736 * CHOOSE(CONTROL!$C$15, $E$9, 100%, $G$9) + CHOOSE(CONTROL!$C$38, 0.0347, 0)</f>
        <v>32.708300000000001</v>
      </c>
      <c r="F396" s="45">
        <f>32.6736 * CHOOSE(CONTROL!$C$15, $E$9, 100%, $G$9) + CHOOSE(CONTROL!$C$38, 0.0256, 0)</f>
        <v>32.699199999999998</v>
      </c>
      <c r="G396" s="10">
        <f>30.3149 * CHOOSE(CONTROL!$C$15, $E$9, 100%, $G$9) + CHOOSE(CONTROL!$C$38, 0.0347, 0)</f>
        <v>30.349600000000002</v>
      </c>
      <c r="H396" s="10">
        <f>30.3149 * CHOOSE(CONTROL!$C$15, $E$9, 100%, $G$9) + CHOOSE(CONTROL!$C$38, 0.0347, 0)</f>
        <v>30.349600000000002</v>
      </c>
      <c r="I396" s="10">
        <f>30.3165 * CHOOSE(CONTROL!$C$15, $E$9, 100%, $G$9) + CHOOSE(CONTROL!$C$38, 0.0347, 0)</f>
        <v>30.351200000000002</v>
      </c>
      <c r="J396" s="44">
        <f>201.1869</f>
        <v>201.18690000000001</v>
      </c>
    </row>
    <row r="397" spans="1:10" ht="15.75" x14ac:dyDescent="0.25">
      <c r="A397" s="14">
        <v>53021</v>
      </c>
      <c r="B397" s="10">
        <f>33.0506 * CHOOSE(CONTROL!$C$15, $E$9, 100%, $G$9) + CHOOSE(CONTROL!$C$38, 0.0256, 0)</f>
        <v>33.0762</v>
      </c>
      <c r="C397" s="10">
        <f>30.5372 * CHOOSE(CONTROL!$C$15, $E$9, 100%, $G$9) + CHOOSE(CONTROL!$C$38, 0.0347, 0)</f>
        <v>30.571899999999999</v>
      </c>
      <c r="D397" s="10">
        <f>30.5294 * CHOOSE(CONTROL!$C$15, $E$9, 100%, $G$9) + CHOOSE(CONTROL!$C$38, 0.0347, 0)</f>
        <v>30.5641</v>
      </c>
      <c r="E397" s="46">
        <f>32.8944 * CHOOSE(CONTROL!$C$15, $E$9, 100%, $G$9) + CHOOSE(CONTROL!$C$38, 0.0347, 0)</f>
        <v>32.929099999999998</v>
      </c>
      <c r="F397" s="45">
        <f>32.8944 * CHOOSE(CONTROL!$C$15, $E$9, 100%, $G$9) + CHOOSE(CONTROL!$C$38, 0.0256, 0)</f>
        <v>32.919999999999995</v>
      </c>
      <c r="G397" s="10">
        <f>30.5357 * CHOOSE(CONTROL!$C$15, $E$9, 100%, $G$9) + CHOOSE(CONTROL!$C$38, 0.0347, 0)</f>
        <v>30.570399999999999</v>
      </c>
      <c r="H397" s="10">
        <f>30.5357 * CHOOSE(CONTROL!$C$15, $E$9, 100%, $G$9) + CHOOSE(CONTROL!$C$38, 0.0347, 0)</f>
        <v>30.570399999999999</v>
      </c>
      <c r="I397" s="10">
        <f>30.5372 * CHOOSE(CONTROL!$C$15, $E$9, 100%, $G$9) + CHOOSE(CONTROL!$C$38, 0.0347, 0)</f>
        <v>30.571899999999999</v>
      </c>
      <c r="J397" s="44">
        <f>200.6276</f>
        <v>200.6276</v>
      </c>
    </row>
    <row r="398" spans="1:10" ht="15.75" x14ac:dyDescent="0.25">
      <c r="A398" s="14">
        <v>53052</v>
      </c>
      <c r="B398" s="10">
        <f>32.5396 * CHOOSE(CONTROL!$C$15, $E$9, 100%, $G$9) + CHOOSE(CONTROL!$C$38, 0.0256, 0)</f>
        <v>32.565199999999997</v>
      </c>
      <c r="C398" s="10">
        <f>30.0262 * CHOOSE(CONTROL!$C$15, $E$9, 100%, $G$9) + CHOOSE(CONTROL!$C$38, 0.0347, 0)</f>
        <v>30.0609</v>
      </c>
      <c r="D398" s="10">
        <f>30.0184 * CHOOSE(CONTROL!$C$15, $E$9, 100%, $G$9) + CHOOSE(CONTROL!$C$38, 0.0347, 0)</f>
        <v>30.053100000000001</v>
      </c>
      <c r="E398" s="46">
        <f>32.3833 * CHOOSE(CONTROL!$C$15, $E$9, 100%, $G$9) + CHOOSE(CONTROL!$C$38, 0.0347, 0)</f>
        <v>32.417999999999999</v>
      </c>
      <c r="F398" s="45">
        <f>32.3833 * CHOOSE(CONTROL!$C$15, $E$9, 100%, $G$9) + CHOOSE(CONTROL!$C$38, 0.0256, 0)</f>
        <v>32.408899999999996</v>
      </c>
      <c r="G398" s="10">
        <f>30.0246 * CHOOSE(CONTROL!$C$15, $E$9, 100%, $G$9) + CHOOSE(CONTROL!$C$38, 0.0347, 0)</f>
        <v>30.0593</v>
      </c>
      <c r="H398" s="10">
        <f>30.0246 * CHOOSE(CONTROL!$C$15, $E$9, 100%, $G$9) + CHOOSE(CONTROL!$C$38, 0.0347, 0)</f>
        <v>30.0593</v>
      </c>
      <c r="I398" s="10">
        <f>30.0262 * CHOOSE(CONTROL!$C$15, $E$9, 100%, $G$9) + CHOOSE(CONTROL!$C$38, 0.0347, 0)</f>
        <v>30.0609</v>
      </c>
      <c r="J398" s="44">
        <f>211.2019</f>
        <v>211.20189999999999</v>
      </c>
    </row>
    <row r="399" spans="1:10" ht="15.75" x14ac:dyDescent="0.25">
      <c r="A399" s="14">
        <v>53082</v>
      </c>
      <c r="B399" s="10">
        <f>32.0444 * CHOOSE(CONTROL!$C$15, $E$9, 100%, $G$9) + CHOOSE(CONTROL!$C$38, 0.0256, 0)</f>
        <v>32.07</v>
      </c>
      <c r="C399" s="10">
        <f>29.531 * CHOOSE(CONTROL!$C$15, $E$9, 100%, $G$9) + CHOOSE(CONTROL!$C$38, 0.0347, 0)</f>
        <v>29.5657</v>
      </c>
      <c r="D399" s="10">
        <f>29.5232 * CHOOSE(CONTROL!$C$15, $E$9, 100%, $G$9) + CHOOSE(CONTROL!$C$38, 0.0347, 0)</f>
        <v>29.5579</v>
      </c>
      <c r="E399" s="46">
        <f>31.8882 * CHOOSE(CONTROL!$C$15, $E$9, 100%, $G$9) + CHOOSE(CONTROL!$C$38, 0.0347, 0)</f>
        <v>31.922900000000002</v>
      </c>
      <c r="F399" s="45">
        <f>31.8882 * CHOOSE(CONTROL!$C$15, $E$9, 100%, $G$9) + CHOOSE(CONTROL!$C$38, 0.0256, 0)</f>
        <v>31.913800000000002</v>
      </c>
      <c r="G399" s="10">
        <f>29.5295 * CHOOSE(CONTROL!$C$15, $E$9, 100%, $G$9) + CHOOSE(CONTROL!$C$38, 0.0347, 0)</f>
        <v>29.5642</v>
      </c>
      <c r="H399" s="10">
        <f>29.5295 * CHOOSE(CONTROL!$C$15, $E$9, 100%, $G$9) + CHOOSE(CONTROL!$C$38, 0.0347, 0)</f>
        <v>29.5642</v>
      </c>
      <c r="I399" s="10">
        <f>29.531 * CHOOSE(CONTROL!$C$15, $E$9, 100%, $G$9) + CHOOSE(CONTROL!$C$38, 0.0347, 0)</f>
        <v>29.5657</v>
      </c>
      <c r="J399" s="44">
        <f>224.9141</f>
        <v>224.91409999999999</v>
      </c>
    </row>
    <row r="400" spans="1:10" ht="15.75" x14ac:dyDescent="0.25">
      <c r="A400" s="14">
        <v>53113</v>
      </c>
      <c r="B400" s="10">
        <f>31.5283 * CHOOSE(CONTROL!$C$15, $E$9, 100%, $G$9) + CHOOSE(CONTROL!$C$38, 0.0278, 0)</f>
        <v>31.556100000000001</v>
      </c>
      <c r="C400" s="10">
        <f>29.0149 * CHOOSE(CONTROL!$C$15, $E$9, 100%, $G$9) + CHOOSE(CONTROL!$C$38, 0.0369, 0)</f>
        <v>29.0518</v>
      </c>
      <c r="D400" s="10">
        <f>29.0071 * CHOOSE(CONTROL!$C$15, $E$9, 100%, $G$9) + CHOOSE(CONTROL!$C$38, 0.0369, 0)</f>
        <v>29.044</v>
      </c>
      <c r="E400" s="46">
        <f>31.372 * CHOOSE(CONTROL!$C$15, $E$9, 100%, $G$9) + CHOOSE(CONTROL!$C$38, 0.0369, 0)</f>
        <v>31.408899999999999</v>
      </c>
      <c r="F400" s="45">
        <f>31.372 * CHOOSE(CONTROL!$C$15, $E$9, 100%, $G$9) + CHOOSE(CONTROL!$C$38, 0.0278, 0)</f>
        <v>31.399799999999999</v>
      </c>
      <c r="G400" s="10">
        <f>29.0133 * CHOOSE(CONTROL!$C$15, $E$9, 100%, $G$9) + CHOOSE(CONTROL!$C$38, 0.0369, 0)</f>
        <v>29.0502</v>
      </c>
      <c r="H400" s="10">
        <f>29.0133 * CHOOSE(CONTROL!$C$15, $E$9, 100%, $G$9) + CHOOSE(CONTROL!$C$38, 0.0369, 0)</f>
        <v>29.0502</v>
      </c>
      <c r="I400" s="10">
        <f>29.0149 * CHOOSE(CONTROL!$C$15, $E$9, 100%, $G$9) + CHOOSE(CONTROL!$C$38, 0.0369, 0)</f>
        <v>29.0518</v>
      </c>
      <c r="J400" s="44">
        <f>232.4618</f>
        <v>232.46180000000001</v>
      </c>
    </row>
    <row r="401" spans="1:10" ht="15.75" x14ac:dyDescent="0.25">
      <c r="A401" s="14">
        <v>53143</v>
      </c>
      <c r="B401" s="10">
        <f>31.1665 * CHOOSE(CONTROL!$C$15, $E$9, 100%, $G$9) + CHOOSE(CONTROL!$C$38, 0.0278, 0)</f>
        <v>31.194299999999998</v>
      </c>
      <c r="C401" s="10">
        <f>28.6531 * CHOOSE(CONTROL!$C$15, $E$9, 100%, $G$9) + CHOOSE(CONTROL!$C$38, 0.0369, 0)</f>
        <v>28.689999999999998</v>
      </c>
      <c r="D401" s="10">
        <f>28.6453 * CHOOSE(CONTROL!$C$15, $E$9, 100%, $G$9) + CHOOSE(CONTROL!$C$38, 0.0369, 0)</f>
        <v>28.682199999999998</v>
      </c>
      <c r="E401" s="46">
        <f>31.0102 * CHOOSE(CONTROL!$C$15, $E$9, 100%, $G$9) + CHOOSE(CONTROL!$C$38, 0.0369, 0)</f>
        <v>31.0471</v>
      </c>
      <c r="F401" s="45">
        <f>31.0102 * CHOOSE(CONTROL!$C$15, $E$9, 100%, $G$9) + CHOOSE(CONTROL!$C$38, 0.0278, 0)</f>
        <v>31.038</v>
      </c>
      <c r="G401" s="10">
        <f>28.6515 * CHOOSE(CONTROL!$C$15, $E$9, 100%, $G$9) + CHOOSE(CONTROL!$C$38, 0.0369, 0)</f>
        <v>28.688399999999998</v>
      </c>
      <c r="H401" s="10">
        <f>28.6515 * CHOOSE(CONTROL!$C$15, $E$9, 100%, $G$9) + CHOOSE(CONTROL!$C$38, 0.0369, 0)</f>
        <v>28.688399999999998</v>
      </c>
      <c r="I401" s="10">
        <f>28.6531 * CHOOSE(CONTROL!$C$15, $E$9, 100%, $G$9) + CHOOSE(CONTROL!$C$38, 0.0369, 0)</f>
        <v>28.689999999999998</v>
      </c>
      <c r="J401" s="44">
        <f>235.8113</f>
        <v>235.81129999999999</v>
      </c>
    </row>
    <row r="402" spans="1:10" ht="15.75" x14ac:dyDescent="0.25">
      <c r="A402" s="14">
        <v>53174</v>
      </c>
      <c r="B402" s="10">
        <f>30.96 * CHOOSE(CONTROL!$C$15, $E$9, 100%, $G$9) + CHOOSE(CONTROL!$C$38, 0.0278, 0)</f>
        <v>30.9878</v>
      </c>
      <c r="C402" s="10">
        <f>28.4466 * CHOOSE(CONTROL!$C$15, $E$9, 100%, $G$9) + CHOOSE(CONTROL!$C$38, 0.0369, 0)</f>
        <v>28.483499999999999</v>
      </c>
      <c r="D402" s="10">
        <f>28.4388 * CHOOSE(CONTROL!$C$15, $E$9, 100%, $G$9) + CHOOSE(CONTROL!$C$38, 0.0369, 0)</f>
        <v>28.4757</v>
      </c>
      <c r="E402" s="46">
        <f>30.8037 * CHOOSE(CONTROL!$C$15, $E$9, 100%, $G$9) + CHOOSE(CONTROL!$C$38, 0.0369, 0)</f>
        <v>30.840599999999998</v>
      </c>
      <c r="F402" s="45">
        <f>30.8037 * CHOOSE(CONTROL!$C$15, $E$9, 100%, $G$9) + CHOOSE(CONTROL!$C$38, 0.0278, 0)</f>
        <v>30.831499999999998</v>
      </c>
      <c r="G402" s="10">
        <f>28.445 * CHOOSE(CONTROL!$C$15, $E$9, 100%, $G$9) + CHOOSE(CONTROL!$C$38, 0.0369, 0)</f>
        <v>28.4819</v>
      </c>
      <c r="H402" s="10">
        <f>28.445 * CHOOSE(CONTROL!$C$15, $E$9, 100%, $G$9) + CHOOSE(CONTROL!$C$38, 0.0369, 0)</f>
        <v>28.4819</v>
      </c>
      <c r="I402" s="10">
        <f>28.4466 * CHOOSE(CONTROL!$C$15, $E$9, 100%, $G$9) + CHOOSE(CONTROL!$C$38, 0.0369, 0)</f>
        <v>28.483499999999999</v>
      </c>
      <c r="J402" s="44">
        <f>234.7085</f>
        <v>234.70849999999999</v>
      </c>
    </row>
    <row r="403" spans="1:10" ht="15.75" x14ac:dyDescent="0.25">
      <c r="A403" s="14">
        <v>53205</v>
      </c>
      <c r="B403" s="10">
        <f>31.0619 * CHOOSE(CONTROL!$C$15, $E$9, 100%, $G$9) + CHOOSE(CONTROL!$C$38, 0.0278, 0)</f>
        <v>31.089700000000001</v>
      </c>
      <c r="C403" s="10">
        <f>28.5485 * CHOOSE(CONTROL!$C$15, $E$9, 100%, $G$9) + CHOOSE(CONTROL!$C$38, 0.0369, 0)</f>
        <v>28.5854</v>
      </c>
      <c r="D403" s="10">
        <f>28.5407 * CHOOSE(CONTROL!$C$15, $E$9, 100%, $G$9) + CHOOSE(CONTROL!$C$38, 0.0369, 0)</f>
        <v>28.5776</v>
      </c>
      <c r="E403" s="46">
        <f>30.9056 * CHOOSE(CONTROL!$C$15, $E$9, 100%, $G$9) + CHOOSE(CONTROL!$C$38, 0.0369, 0)</f>
        <v>30.942499999999999</v>
      </c>
      <c r="F403" s="45">
        <f>30.9056 * CHOOSE(CONTROL!$C$15, $E$9, 100%, $G$9) + CHOOSE(CONTROL!$C$38, 0.0278, 0)</f>
        <v>30.933399999999999</v>
      </c>
      <c r="G403" s="10">
        <f>28.5469 * CHOOSE(CONTROL!$C$15, $E$9, 100%, $G$9) + CHOOSE(CONTROL!$C$38, 0.0369, 0)</f>
        <v>28.5838</v>
      </c>
      <c r="H403" s="10">
        <f>28.5469 * CHOOSE(CONTROL!$C$15, $E$9, 100%, $G$9) + CHOOSE(CONTROL!$C$38, 0.0369, 0)</f>
        <v>28.5838</v>
      </c>
      <c r="I403" s="10">
        <f>28.5485 * CHOOSE(CONTROL!$C$15, $E$9, 100%, $G$9) + CHOOSE(CONTROL!$C$38, 0.0369, 0)</f>
        <v>28.5854</v>
      </c>
      <c r="J403" s="44">
        <f>229.2446</f>
        <v>229.24459999999999</v>
      </c>
    </row>
    <row r="404" spans="1:10" ht="15.75" x14ac:dyDescent="0.25">
      <c r="A404" s="14">
        <v>53235</v>
      </c>
      <c r="B404" s="10">
        <f>31.3387 * CHOOSE(CONTROL!$C$15, $E$9, 100%, $G$9) + CHOOSE(CONTROL!$C$38, 0.0278, 0)</f>
        <v>31.366499999999998</v>
      </c>
      <c r="C404" s="10">
        <f>28.8253 * CHOOSE(CONTROL!$C$15, $E$9, 100%, $G$9) + CHOOSE(CONTROL!$C$38, 0.0369, 0)</f>
        <v>28.862199999999998</v>
      </c>
      <c r="D404" s="10">
        <f>28.8175 * CHOOSE(CONTROL!$C$15, $E$9, 100%, $G$9) + CHOOSE(CONTROL!$C$38, 0.0369, 0)</f>
        <v>28.854399999999998</v>
      </c>
      <c r="E404" s="46">
        <f>31.1824 * CHOOSE(CONTROL!$C$15, $E$9, 100%, $G$9) + CHOOSE(CONTROL!$C$38, 0.0369, 0)</f>
        <v>31.2193</v>
      </c>
      <c r="F404" s="45">
        <f>31.1824 * CHOOSE(CONTROL!$C$15, $E$9, 100%, $G$9) + CHOOSE(CONTROL!$C$38, 0.0278, 0)</f>
        <v>31.2102</v>
      </c>
      <c r="G404" s="10">
        <f>28.8237 * CHOOSE(CONTROL!$C$15, $E$9, 100%, $G$9) + CHOOSE(CONTROL!$C$38, 0.0369, 0)</f>
        <v>28.860599999999998</v>
      </c>
      <c r="H404" s="10">
        <f>28.8237 * CHOOSE(CONTROL!$C$15, $E$9, 100%, $G$9) + CHOOSE(CONTROL!$C$38, 0.0369, 0)</f>
        <v>28.860599999999998</v>
      </c>
      <c r="I404" s="10">
        <f>28.8253 * CHOOSE(CONTROL!$C$15, $E$9, 100%, $G$9) + CHOOSE(CONTROL!$C$38, 0.0369, 0)</f>
        <v>28.862199999999998</v>
      </c>
      <c r="J404" s="44">
        <f>221.6249</f>
        <v>221.6249</v>
      </c>
    </row>
    <row r="405" spans="1:10" ht="15.75" x14ac:dyDescent="0.25">
      <c r="A405" s="14">
        <v>53266</v>
      </c>
      <c r="B405" s="10">
        <f>31.5705 * CHOOSE(CONTROL!$C$15, $E$9, 100%, $G$9) + CHOOSE(CONTROL!$C$38, 0.0256, 0)</f>
        <v>31.5961</v>
      </c>
      <c r="C405" s="10">
        <f>29.0571 * CHOOSE(CONTROL!$C$15, $E$9, 100%, $G$9) + CHOOSE(CONTROL!$C$38, 0.0347, 0)</f>
        <v>29.091799999999999</v>
      </c>
      <c r="D405" s="10">
        <f>29.0493 * CHOOSE(CONTROL!$C$15, $E$9, 100%, $G$9) + CHOOSE(CONTROL!$C$38, 0.0347, 0)</f>
        <v>29.084</v>
      </c>
      <c r="E405" s="46">
        <f>31.4142 * CHOOSE(CONTROL!$C$15, $E$9, 100%, $G$9) + CHOOSE(CONTROL!$C$38, 0.0347, 0)</f>
        <v>31.448900000000002</v>
      </c>
      <c r="F405" s="45">
        <f>31.4142 * CHOOSE(CONTROL!$C$15, $E$9, 100%, $G$9) + CHOOSE(CONTROL!$C$38, 0.0256, 0)</f>
        <v>31.439800000000002</v>
      </c>
      <c r="G405" s="10">
        <f>29.0556 * CHOOSE(CONTROL!$C$15, $E$9, 100%, $G$9) + CHOOSE(CONTROL!$C$38, 0.0347, 0)</f>
        <v>29.090299999999999</v>
      </c>
      <c r="H405" s="10">
        <f>29.0556 * CHOOSE(CONTROL!$C$15, $E$9, 100%, $G$9) + CHOOSE(CONTROL!$C$38, 0.0347, 0)</f>
        <v>29.090299999999999</v>
      </c>
      <c r="I405" s="10">
        <f>29.0571 * CHOOSE(CONTROL!$C$15, $E$9, 100%, $G$9) + CHOOSE(CONTROL!$C$38, 0.0347, 0)</f>
        <v>29.091799999999999</v>
      </c>
      <c r="J405" s="44">
        <f>213.9609</f>
        <v>213.96090000000001</v>
      </c>
    </row>
    <row r="406" spans="1:10" ht="15.75" x14ac:dyDescent="0.25">
      <c r="A406" s="14">
        <v>53296</v>
      </c>
      <c r="B406" s="10">
        <f>31.7639 * CHOOSE(CONTROL!$C$15, $E$9, 100%, $G$9) + CHOOSE(CONTROL!$C$38, 0.0256, 0)</f>
        <v>31.7895</v>
      </c>
      <c r="C406" s="10">
        <f>29.2506 * CHOOSE(CONTROL!$C$15, $E$9, 100%, $G$9) + CHOOSE(CONTROL!$C$38, 0.0347, 0)</f>
        <v>29.285299999999999</v>
      </c>
      <c r="D406" s="10">
        <f>29.2427 * CHOOSE(CONTROL!$C$15, $E$9, 100%, $G$9) + CHOOSE(CONTROL!$C$38, 0.0347, 0)</f>
        <v>29.2774</v>
      </c>
      <c r="E406" s="46">
        <f>31.6077 * CHOOSE(CONTROL!$C$15, $E$9, 100%, $G$9) + CHOOSE(CONTROL!$C$38, 0.0347, 0)</f>
        <v>31.642400000000002</v>
      </c>
      <c r="F406" s="45">
        <f>31.6077 * CHOOSE(CONTROL!$C$15, $E$9, 100%, $G$9) + CHOOSE(CONTROL!$C$38, 0.0256, 0)</f>
        <v>31.633300000000002</v>
      </c>
      <c r="G406" s="10">
        <f>29.249 * CHOOSE(CONTROL!$C$15, $E$9, 100%, $G$9) + CHOOSE(CONTROL!$C$38, 0.0347, 0)</f>
        <v>29.2837</v>
      </c>
      <c r="H406" s="10">
        <f>29.249 * CHOOSE(CONTROL!$C$15, $E$9, 100%, $G$9) + CHOOSE(CONTROL!$C$38, 0.0347, 0)</f>
        <v>29.2837</v>
      </c>
      <c r="I406" s="10">
        <f>29.2506 * CHOOSE(CONTROL!$C$15, $E$9, 100%, $G$9) + CHOOSE(CONTROL!$C$38, 0.0347, 0)</f>
        <v>29.285299999999999</v>
      </c>
      <c r="J406" s="44">
        <f>212.4364</f>
        <v>212.43639999999999</v>
      </c>
    </row>
    <row r="407" spans="1:10" ht="15.75" x14ac:dyDescent="0.25">
      <c r="A407" s="14">
        <v>53327</v>
      </c>
      <c r="B407" s="10">
        <f>32.36 * CHOOSE(CONTROL!$C$15, $E$9, 100%, $G$9) + CHOOSE(CONTROL!$C$38, 0.0256, 0)</f>
        <v>32.385599999999997</v>
      </c>
      <c r="C407" s="10">
        <f>29.8466 * CHOOSE(CONTROL!$C$15, $E$9, 100%, $G$9) + CHOOSE(CONTROL!$C$38, 0.0347, 0)</f>
        <v>29.8813</v>
      </c>
      <c r="D407" s="10">
        <f>29.8388 * CHOOSE(CONTROL!$C$15, $E$9, 100%, $G$9) + CHOOSE(CONTROL!$C$38, 0.0347, 0)</f>
        <v>29.8735</v>
      </c>
      <c r="E407" s="46">
        <f>32.2038 * CHOOSE(CONTROL!$C$15, $E$9, 100%, $G$9) + CHOOSE(CONTROL!$C$38, 0.0347, 0)</f>
        <v>32.238500000000002</v>
      </c>
      <c r="F407" s="45">
        <f>32.2038 * CHOOSE(CONTROL!$C$15, $E$9, 100%, $G$9) + CHOOSE(CONTROL!$C$38, 0.0256, 0)</f>
        <v>32.229399999999998</v>
      </c>
      <c r="G407" s="10">
        <f>29.8451 * CHOOSE(CONTROL!$C$15, $E$9, 100%, $G$9) + CHOOSE(CONTROL!$C$38, 0.0347, 0)</f>
        <v>29.879799999999999</v>
      </c>
      <c r="H407" s="10">
        <f>29.8451 * CHOOSE(CONTROL!$C$15, $E$9, 100%, $G$9) + CHOOSE(CONTROL!$C$38, 0.0347, 0)</f>
        <v>29.879799999999999</v>
      </c>
      <c r="I407" s="10">
        <f>29.8466 * CHOOSE(CONTROL!$C$15, $E$9, 100%, $G$9) + CHOOSE(CONTROL!$C$38, 0.0347, 0)</f>
        <v>29.8813</v>
      </c>
      <c r="J407" s="44">
        <f>206.1323</f>
        <v>206.13229999999999</v>
      </c>
    </row>
    <row r="408" spans="1:10" ht="15.75" x14ac:dyDescent="0.25">
      <c r="A408" s="14">
        <v>53358</v>
      </c>
      <c r="B408" s="10">
        <f>33.3419 * CHOOSE(CONTROL!$C$15, $E$9, 100%, $G$9) + CHOOSE(CONTROL!$C$38, 0.0256, 0)</f>
        <v>33.3675</v>
      </c>
      <c r="C408" s="10">
        <f>30.7899 * CHOOSE(CONTROL!$C$15, $E$9, 100%, $G$9) + CHOOSE(CONTROL!$C$38, 0.0347, 0)</f>
        <v>30.8246</v>
      </c>
      <c r="D408" s="10">
        <f>30.7821 * CHOOSE(CONTROL!$C$15, $E$9, 100%, $G$9) + CHOOSE(CONTROL!$C$38, 0.0347, 0)</f>
        <v>30.816800000000001</v>
      </c>
      <c r="E408" s="46">
        <f>33.1857 * CHOOSE(CONTROL!$C$15, $E$9, 100%, $G$9) + CHOOSE(CONTROL!$C$38, 0.0347, 0)</f>
        <v>33.220399999999998</v>
      </c>
      <c r="F408" s="45">
        <f>33.1857 * CHOOSE(CONTROL!$C$15, $E$9, 100%, $G$9) + CHOOSE(CONTROL!$C$38, 0.0256, 0)</f>
        <v>33.211299999999994</v>
      </c>
      <c r="G408" s="10">
        <f>30.7884 * CHOOSE(CONTROL!$C$15, $E$9, 100%, $G$9) + CHOOSE(CONTROL!$C$38, 0.0347, 0)</f>
        <v>30.8231</v>
      </c>
      <c r="H408" s="10">
        <f>30.7884 * CHOOSE(CONTROL!$C$15, $E$9, 100%, $G$9) + CHOOSE(CONTROL!$C$38, 0.0347, 0)</f>
        <v>30.8231</v>
      </c>
      <c r="I408" s="10">
        <f>30.7899 * CHOOSE(CONTROL!$C$15, $E$9, 100%, $G$9) + CHOOSE(CONTROL!$C$38, 0.0347, 0)</f>
        <v>30.8246</v>
      </c>
      <c r="J408" s="44">
        <f>205.7386</f>
        <v>205.73859999999999</v>
      </c>
    </row>
    <row r="409" spans="1:10" ht="15.75" x14ac:dyDescent="0.25">
      <c r="A409" s="14">
        <v>53386</v>
      </c>
      <c r="B409" s="10">
        <f>33.5627 * CHOOSE(CONTROL!$C$15, $E$9, 100%, $G$9) + CHOOSE(CONTROL!$C$38, 0.0256, 0)</f>
        <v>33.588299999999997</v>
      </c>
      <c r="C409" s="10">
        <f>31.0107 * CHOOSE(CONTROL!$C$15, $E$9, 100%, $G$9) + CHOOSE(CONTROL!$C$38, 0.0347, 0)</f>
        <v>31.045400000000001</v>
      </c>
      <c r="D409" s="10">
        <f>31.0029 * CHOOSE(CONTROL!$C$15, $E$9, 100%, $G$9) + CHOOSE(CONTROL!$C$38, 0.0347, 0)</f>
        <v>31.037600000000001</v>
      </c>
      <c r="E409" s="46">
        <f>33.4065 * CHOOSE(CONTROL!$C$15, $E$9, 100%, $G$9) + CHOOSE(CONTROL!$C$38, 0.0347, 0)</f>
        <v>33.441200000000002</v>
      </c>
      <c r="F409" s="45">
        <f>33.4065 * CHOOSE(CONTROL!$C$15, $E$9, 100%, $G$9) + CHOOSE(CONTROL!$C$38, 0.0256, 0)</f>
        <v>33.432099999999998</v>
      </c>
      <c r="G409" s="10">
        <f>31.0091 * CHOOSE(CONTROL!$C$15, $E$9, 100%, $G$9) + CHOOSE(CONTROL!$C$38, 0.0347, 0)</f>
        <v>31.043800000000001</v>
      </c>
      <c r="H409" s="10">
        <f>31.0091 * CHOOSE(CONTROL!$C$15, $E$9, 100%, $G$9) + CHOOSE(CONTROL!$C$38, 0.0347, 0)</f>
        <v>31.043800000000001</v>
      </c>
      <c r="I409" s="10">
        <f>31.0107 * CHOOSE(CONTROL!$C$15, $E$9, 100%, $G$9) + CHOOSE(CONTROL!$C$38, 0.0347, 0)</f>
        <v>31.045400000000001</v>
      </c>
      <c r="J409" s="44">
        <f>205.1667</f>
        <v>205.16669999999999</v>
      </c>
    </row>
    <row r="410" spans="1:10" ht="15.75" x14ac:dyDescent="0.25">
      <c r="A410" s="14">
        <v>53417</v>
      </c>
      <c r="B410" s="10">
        <f>33.0517 * CHOOSE(CONTROL!$C$15, $E$9, 100%, $G$9) + CHOOSE(CONTROL!$C$38, 0.0256, 0)</f>
        <v>33.077299999999994</v>
      </c>
      <c r="C410" s="10">
        <f>30.4996 * CHOOSE(CONTROL!$C$15, $E$9, 100%, $G$9) + CHOOSE(CONTROL!$C$38, 0.0347, 0)</f>
        <v>30.534300000000002</v>
      </c>
      <c r="D410" s="10">
        <f>30.4918 * CHOOSE(CONTROL!$C$15, $E$9, 100%, $G$9) + CHOOSE(CONTROL!$C$38, 0.0347, 0)</f>
        <v>30.526500000000002</v>
      </c>
      <c r="E410" s="46">
        <f>32.8954 * CHOOSE(CONTROL!$C$15, $E$9, 100%, $G$9) + CHOOSE(CONTROL!$C$38, 0.0347, 0)</f>
        <v>32.930100000000003</v>
      </c>
      <c r="F410" s="45">
        <f>32.8954 * CHOOSE(CONTROL!$C$15, $E$9, 100%, $G$9) + CHOOSE(CONTROL!$C$38, 0.0256, 0)</f>
        <v>32.920999999999999</v>
      </c>
      <c r="G410" s="10">
        <f>30.4981 * CHOOSE(CONTROL!$C$15, $E$9, 100%, $G$9) + CHOOSE(CONTROL!$C$38, 0.0347, 0)</f>
        <v>30.532800000000002</v>
      </c>
      <c r="H410" s="10">
        <f>30.4981 * CHOOSE(CONTROL!$C$15, $E$9, 100%, $G$9) + CHOOSE(CONTROL!$C$38, 0.0347, 0)</f>
        <v>30.532800000000002</v>
      </c>
      <c r="I410" s="10">
        <f>30.4996 * CHOOSE(CONTROL!$C$15, $E$9, 100%, $G$9) + CHOOSE(CONTROL!$C$38, 0.0347, 0)</f>
        <v>30.534300000000002</v>
      </c>
      <c r="J410" s="44">
        <f>215.9802</f>
        <v>215.9802</v>
      </c>
    </row>
    <row r="411" spans="1:10" ht="15.75" x14ac:dyDescent="0.25">
      <c r="A411" s="14">
        <v>53447</v>
      </c>
      <c r="B411" s="10">
        <f>32.5565 * CHOOSE(CONTROL!$C$15, $E$9, 100%, $G$9) + CHOOSE(CONTROL!$C$38, 0.0256, 0)</f>
        <v>32.582099999999997</v>
      </c>
      <c r="C411" s="10">
        <f>30.0045 * CHOOSE(CONTROL!$C$15, $E$9, 100%, $G$9) + CHOOSE(CONTROL!$C$38, 0.0347, 0)</f>
        <v>30.039200000000001</v>
      </c>
      <c r="D411" s="10">
        <f>29.9967 * CHOOSE(CONTROL!$C$15, $E$9, 100%, $G$9) + CHOOSE(CONTROL!$C$38, 0.0347, 0)</f>
        <v>30.031400000000001</v>
      </c>
      <c r="E411" s="46">
        <f>32.4002 * CHOOSE(CONTROL!$C$15, $E$9, 100%, $G$9) + CHOOSE(CONTROL!$C$38, 0.0347, 0)</f>
        <v>32.434899999999999</v>
      </c>
      <c r="F411" s="45">
        <f>32.4002 * CHOOSE(CONTROL!$C$15, $E$9, 100%, $G$9) + CHOOSE(CONTROL!$C$38, 0.0256, 0)</f>
        <v>32.425799999999995</v>
      </c>
      <c r="G411" s="10">
        <f>30.0029 * CHOOSE(CONTROL!$C$15, $E$9, 100%, $G$9) + CHOOSE(CONTROL!$C$38, 0.0347, 0)</f>
        <v>30.037600000000001</v>
      </c>
      <c r="H411" s="10">
        <f>30.0029 * CHOOSE(CONTROL!$C$15, $E$9, 100%, $G$9) + CHOOSE(CONTROL!$C$38, 0.0347, 0)</f>
        <v>30.037600000000001</v>
      </c>
      <c r="I411" s="10">
        <f>30.0045 * CHOOSE(CONTROL!$C$15, $E$9, 100%, $G$9) + CHOOSE(CONTROL!$C$38, 0.0347, 0)</f>
        <v>30.039200000000001</v>
      </c>
      <c r="J411" s="44">
        <f>230.0027</f>
        <v>230.0027</v>
      </c>
    </row>
    <row r="412" spans="1:10" ht="15.75" x14ac:dyDescent="0.25">
      <c r="A412" s="14">
        <v>53478</v>
      </c>
      <c r="B412" s="10">
        <f>32.0404 * CHOOSE(CONTROL!$C$15, $E$9, 100%, $G$9) + CHOOSE(CONTROL!$C$38, 0.0278, 0)</f>
        <v>32.068199999999997</v>
      </c>
      <c r="C412" s="10">
        <f>29.4884 * CHOOSE(CONTROL!$C$15, $E$9, 100%, $G$9) + CHOOSE(CONTROL!$C$38, 0.0369, 0)</f>
        <v>29.525299999999998</v>
      </c>
      <c r="D412" s="10">
        <f>29.4805 * CHOOSE(CONTROL!$C$15, $E$9, 100%, $G$9) + CHOOSE(CONTROL!$C$38, 0.0369, 0)</f>
        <v>29.517399999999999</v>
      </c>
      <c r="E412" s="46">
        <f>31.8841 * CHOOSE(CONTROL!$C$15, $E$9, 100%, $G$9) + CHOOSE(CONTROL!$C$38, 0.0369, 0)</f>
        <v>31.920999999999999</v>
      </c>
      <c r="F412" s="45">
        <f>31.8841 * CHOOSE(CONTROL!$C$15, $E$9, 100%, $G$9) + CHOOSE(CONTROL!$C$38, 0.0278, 0)</f>
        <v>31.911899999999999</v>
      </c>
      <c r="G412" s="10">
        <f>29.4868 * CHOOSE(CONTROL!$C$15, $E$9, 100%, $G$9) + CHOOSE(CONTROL!$C$38, 0.0369, 0)</f>
        <v>29.523699999999998</v>
      </c>
      <c r="H412" s="10">
        <f>29.4868 * CHOOSE(CONTROL!$C$15, $E$9, 100%, $G$9) + CHOOSE(CONTROL!$C$38, 0.0369, 0)</f>
        <v>29.523699999999998</v>
      </c>
      <c r="I412" s="10">
        <f>29.4884 * CHOOSE(CONTROL!$C$15, $E$9, 100%, $G$9) + CHOOSE(CONTROL!$C$38, 0.0369, 0)</f>
        <v>29.525299999999998</v>
      </c>
      <c r="J412" s="44">
        <f>237.7211</f>
        <v>237.72110000000001</v>
      </c>
    </row>
    <row r="413" spans="1:10" ht="15.75" x14ac:dyDescent="0.25">
      <c r="A413" s="14">
        <v>53508</v>
      </c>
      <c r="B413" s="10">
        <f>31.6785 * CHOOSE(CONTROL!$C$15, $E$9, 100%, $G$9) + CHOOSE(CONTROL!$C$38, 0.0278, 0)</f>
        <v>31.706299999999999</v>
      </c>
      <c r="C413" s="10">
        <f>29.1265 * CHOOSE(CONTROL!$C$15, $E$9, 100%, $G$9) + CHOOSE(CONTROL!$C$38, 0.0369, 0)</f>
        <v>29.163399999999999</v>
      </c>
      <c r="D413" s="10">
        <f>29.1187 * CHOOSE(CONTROL!$C$15, $E$9, 100%, $G$9) + CHOOSE(CONTROL!$C$38, 0.0369, 0)</f>
        <v>29.1556</v>
      </c>
      <c r="E413" s="46">
        <f>31.5223 * CHOOSE(CONTROL!$C$15, $E$9, 100%, $G$9) + CHOOSE(CONTROL!$C$38, 0.0369, 0)</f>
        <v>31.559200000000001</v>
      </c>
      <c r="F413" s="45">
        <f>31.5223 * CHOOSE(CONTROL!$C$15, $E$9, 100%, $G$9) + CHOOSE(CONTROL!$C$38, 0.0278, 0)</f>
        <v>31.5501</v>
      </c>
      <c r="G413" s="10">
        <f>29.125 * CHOOSE(CONTROL!$C$15, $E$9, 100%, $G$9) + CHOOSE(CONTROL!$C$38, 0.0369, 0)</f>
        <v>29.161899999999999</v>
      </c>
      <c r="H413" s="10">
        <f>29.125 * CHOOSE(CONTROL!$C$15, $E$9, 100%, $G$9) + CHOOSE(CONTROL!$C$38, 0.0369, 0)</f>
        <v>29.161899999999999</v>
      </c>
      <c r="I413" s="10">
        <f>29.1265 * CHOOSE(CONTROL!$C$15, $E$9, 100%, $G$9) + CHOOSE(CONTROL!$C$38, 0.0369, 0)</f>
        <v>29.163399999999999</v>
      </c>
      <c r="J413" s="44">
        <f>241.1464</f>
        <v>241.1464</v>
      </c>
    </row>
    <row r="414" spans="1:10" ht="15.75" x14ac:dyDescent="0.25">
      <c r="A414" s="14">
        <v>53539</v>
      </c>
      <c r="B414" s="10">
        <f>31.4721 * CHOOSE(CONTROL!$C$15, $E$9, 100%, $G$9) + CHOOSE(CONTROL!$C$38, 0.0278, 0)</f>
        <v>31.4999</v>
      </c>
      <c r="C414" s="10">
        <f>28.92 * CHOOSE(CONTROL!$C$15, $E$9, 100%, $G$9) + CHOOSE(CONTROL!$C$38, 0.0369, 0)</f>
        <v>28.956900000000001</v>
      </c>
      <c r="D414" s="10">
        <f>28.9122 * CHOOSE(CONTROL!$C$15, $E$9, 100%, $G$9) + CHOOSE(CONTROL!$C$38, 0.0369, 0)</f>
        <v>28.949099999999998</v>
      </c>
      <c r="E414" s="46">
        <f>31.3158 * CHOOSE(CONTROL!$C$15, $E$9, 100%, $G$9) + CHOOSE(CONTROL!$C$38, 0.0369, 0)</f>
        <v>31.352699999999999</v>
      </c>
      <c r="F414" s="45">
        <f>31.3158 * CHOOSE(CONTROL!$C$15, $E$9, 100%, $G$9) + CHOOSE(CONTROL!$C$38, 0.0278, 0)</f>
        <v>31.343599999999999</v>
      </c>
      <c r="G414" s="10">
        <f>28.9185 * CHOOSE(CONTROL!$C$15, $E$9, 100%, $G$9) + CHOOSE(CONTROL!$C$38, 0.0369, 0)</f>
        <v>28.955400000000001</v>
      </c>
      <c r="H414" s="10">
        <f>28.9185 * CHOOSE(CONTROL!$C$15, $E$9, 100%, $G$9) + CHOOSE(CONTROL!$C$38, 0.0369, 0)</f>
        <v>28.955400000000001</v>
      </c>
      <c r="I414" s="10">
        <f>28.92 * CHOOSE(CONTROL!$C$15, $E$9, 100%, $G$9) + CHOOSE(CONTROL!$C$38, 0.0369, 0)</f>
        <v>28.956900000000001</v>
      </c>
      <c r="J414" s="44">
        <f>240.0187</f>
        <v>240.0187</v>
      </c>
    </row>
    <row r="415" spans="1:10" ht="15.75" x14ac:dyDescent="0.25">
      <c r="A415" s="14">
        <v>53570</v>
      </c>
      <c r="B415" s="10">
        <f>31.574 * CHOOSE(CONTROL!$C$15, $E$9, 100%, $G$9) + CHOOSE(CONTROL!$C$38, 0.0278, 0)</f>
        <v>31.601800000000001</v>
      </c>
      <c r="C415" s="10">
        <f>29.0219 * CHOOSE(CONTROL!$C$15, $E$9, 100%, $G$9) + CHOOSE(CONTROL!$C$38, 0.0369, 0)</f>
        <v>29.058799999999998</v>
      </c>
      <c r="D415" s="10">
        <f>29.0141 * CHOOSE(CONTROL!$C$15, $E$9, 100%, $G$9) + CHOOSE(CONTROL!$C$38, 0.0369, 0)</f>
        <v>29.050999999999998</v>
      </c>
      <c r="E415" s="46">
        <f>31.4177 * CHOOSE(CONTROL!$C$15, $E$9, 100%, $G$9) + CHOOSE(CONTROL!$C$38, 0.0369, 0)</f>
        <v>31.454599999999999</v>
      </c>
      <c r="F415" s="45">
        <f>31.4177 * CHOOSE(CONTROL!$C$15, $E$9, 100%, $G$9) + CHOOSE(CONTROL!$C$38, 0.0278, 0)</f>
        <v>31.445499999999999</v>
      </c>
      <c r="G415" s="10">
        <f>29.0204 * CHOOSE(CONTROL!$C$15, $E$9, 100%, $G$9) + CHOOSE(CONTROL!$C$38, 0.0369, 0)</f>
        <v>29.057299999999998</v>
      </c>
      <c r="H415" s="10">
        <f>29.0204 * CHOOSE(CONTROL!$C$15, $E$9, 100%, $G$9) + CHOOSE(CONTROL!$C$38, 0.0369, 0)</f>
        <v>29.057299999999998</v>
      </c>
      <c r="I415" s="10">
        <f>29.0219 * CHOOSE(CONTROL!$C$15, $E$9, 100%, $G$9) + CHOOSE(CONTROL!$C$38, 0.0369, 0)</f>
        <v>29.058799999999998</v>
      </c>
      <c r="J415" s="44">
        <f>234.4311</f>
        <v>234.43109999999999</v>
      </c>
    </row>
    <row r="416" spans="1:10" ht="15.75" x14ac:dyDescent="0.25">
      <c r="A416" s="14">
        <v>53600</v>
      </c>
      <c r="B416" s="10">
        <f>31.8508 * CHOOSE(CONTROL!$C$15, $E$9, 100%, $G$9) + CHOOSE(CONTROL!$C$38, 0.0278, 0)</f>
        <v>31.878599999999999</v>
      </c>
      <c r="C416" s="10">
        <f>29.2987 * CHOOSE(CONTROL!$C$15, $E$9, 100%, $G$9) + CHOOSE(CONTROL!$C$38, 0.0369, 0)</f>
        <v>29.335599999999999</v>
      </c>
      <c r="D416" s="10">
        <f>29.2909 * CHOOSE(CONTROL!$C$15, $E$9, 100%, $G$9) + CHOOSE(CONTROL!$C$38, 0.0369, 0)</f>
        <v>29.3278</v>
      </c>
      <c r="E416" s="46">
        <f>31.6945 * CHOOSE(CONTROL!$C$15, $E$9, 100%, $G$9) + CHOOSE(CONTROL!$C$38, 0.0369, 0)</f>
        <v>31.731400000000001</v>
      </c>
      <c r="F416" s="45">
        <f>31.6945 * CHOOSE(CONTROL!$C$15, $E$9, 100%, $G$9) + CHOOSE(CONTROL!$C$38, 0.0278, 0)</f>
        <v>31.722300000000001</v>
      </c>
      <c r="G416" s="10">
        <f>29.2972 * CHOOSE(CONTROL!$C$15, $E$9, 100%, $G$9) + CHOOSE(CONTROL!$C$38, 0.0369, 0)</f>
        <v>29.334099999999999</v>
      </c>
      <c r="H416" s="10">
        <f>29.2972 * CHOOSE(CONTROL!$C$15, $E$9, 100%, $G$9) + CHOOSE(CONTROL!$C$38, 0.0369, 0)</f>
        <v>29.334099999999999</v>
      </c>
      <c r="I416" s="10">
        <f>29.2987 * CHOOSE(CONTROL!$C$15, $E$9, 100%, $G$9) + CHOOSE(CONTROL!$C$38, 0.0369, 0)</f>
        <v>29.335599999999999</v>
      </c>
      <c r="J416" s="44">
        <f>226.6391</f>
        <v>226.63910000000001</v>
      </c>
    </row>
    <row r="417" spans="1:10" ht="15.75" x14ac:dyDescent="0.25">
      <c r="A417" s="14">
        <v>53631</v>
      </c>
      <c r="B417" s="10">
        <f>32.0826 * CHOOSE(CONTROL!$C$15, $E$9, 100%, $G$9) + CHOOSE(CONTROL!$C$38, 0.0256, 0)</f>
        <v>32.108199999999997</v>
      </c>
      <c r="C417" s="10">
        <f>29.5306 * CHOOSE(CONTROL!$C$15, $E$9, 100%, $G$9) + CHOOSE(CONTROL!$C$38, 0.0347, 0)</f>
        <v>29.565300000000001</v>
      </c>
      <c r="D417" s="10">
        <f>29.5227 * CHOOSE(CONTROL!$C$15, $E$9, 100%, $G$9) + CHOOSE(CONTROL!$C$38, 0.0347, 0)</f>
        <v>29.557400000000001</v>
      </c>
      <c r="E417" s="46">
        <f>31.9263 * CHOOSE(CONTROL!$C$15, $E$9, 100%, $G$9) + CHOOSE(CONTROL!$C$38, 0.0347, 0)</f>
        <v>31.961000000000002</v>
      </c>
      <c r="F417" s="45">
        <f>31.9263 * CHOOSE(CONTROL!$C$15, $E$9, 100%, $G$9) + CHOOSE(CONTROL!$C$38, 0.0256, 0)</f>
        <v>31.951900000000002</v>
      </c>
      <c r="G417" s="10">
        <f>29.529 * CHOOSE(CONTROL!$C$15, $E$9, 100%, $G$9) + CHOOSE(CONTROL!$C$38, 0.0347, 0)</f>
        <v>29.563700000000001</v>
      </c>
      <c r="H417" s="10">
        <f>29.529 * CHOOSE(CONTROL!$C$15, $E$9, 100%, $G$9) + CHOOSE(CONTROL!$C$38, 0.0347, 0)</f>
        <v>29.563700000000001</v>
      </c>
      <c r="I417" s="10">
        <f>29.5306 * CHOOSE(CONTROL!$C$15, $E$9, 100%, $G$9) + CHOOSE(CONTROL!$C$38, 0.0347, 0)</f>
        <v>29.565300000000001</v>
      </c>
      <c r="J417" s="44">
        <f>218.8016</f>
        <v>218.80160000000001</v>
      </c>
    </row>
    <row r="418" spans="1:10" ht="15.75" x14ac:dyDescent="0.25">
      <c r="A418" s="14">
        <v>53661</v>
      </c>
      <c r="B418" s="10">
        <f>32.276 * CHOOSE(CONTROL!$C$15, $E$9, 100%, $G$9) + CHOOSE(CONTROL!$C$38, 0.0256, 0)</f>
        <v>32.301600000000001</v>
      </c>
      <c r="C418" s="10">
        <f>29.724 * CHOOSE(CONTROL!$C$15, $E$9, 100%, $G$9) + CHOOSE(CONTROL!$C$38, 0.0347, 0)</f>
        <v>29.758700000000001</v>
      </c>
      <c r="D418" s="10">
        <f>29.7162 * CHOOSE(CONTROL!$C$15, $E$9, 100%, $G$9) + CHOOSE(CONTROL!$C$38, 0.0347, 0)</f>
        <v>29.750900000000001</v>
      </c>
      <c r="E418" s="46">
        <f>32.1198 * CHOOSE(CONTROL!$C$15, $E$9, 100%, $G$9) + CHOOSE(CONTROL!$C$38, 0.0347, 0)</f>
        <v>32.154499999999999</v>
      </c>
      <c r="F418" s="45">
        <f>32.1198 * CHOOSE(CONTROL!$C$15, $E$9, 100%, $G$9) + CHOOSE(CONTROL!$C$38, 0.0256, 0)</f>
        <v>32.145399999999995</v>
      </c>
      <c r="G418" s="10">
        <f>29.7224 * CHOOSE(CONTROL!$C$15, $E$9, 100%, $G$9) + CHOOSE(CONTROL!$C$38, 0.0347, 0)</f>
        <v>29.757100000000001</v>
      </c>
      <c r="H418" s="10">
        <f>29.7224 * CHOOSE(CONTROL!$C$15, $E$9, 100%, $G$9) + CHOOSE(CONTROL!$C$38, 0.0347, 0)</f>
        <v>29.757100000000001</v>
      </c>
      <c r="I418" s="10">
        <f>29.724 * CHOOSE(CONTROL!$C$15, $E$9, 100%, $G$9) + CHOOSE(CONTROL!$C$38, 0.0347, 0)</f>
        <v>29.758700000000001</v>
      </c>
      <c r="J418" s="44">
        <f>217.2426</f>
        <v>217.24260000000001</v>
      </c>
    </row>
    <row r="419" spans="1:10" ht="15.75" x14ac:dyDescent="0.25">
      <c r="A419" s="14">
        <v>53692</v>
      </c>
      <c r="B419" s="10">
        <f>32.8721 * CHOOSE(CONTROL!$C$15, $E$9, 100%, $G$9) + CHOOSE(CONTROL!$C$38, 0.0256, 0)</f>
        <v>32.8977</v>
      </c>
      <c r="C419" s="10">
        <f>30.3201 * CHOOSE(CONTROL!$C$15, $E$9, 100%, $G$9) + CHOOSE(CONTROL!$C$38, 0.0347, 0)</f>
        <v>30.354800000000001</v>
      </c>
      <c r="D419" s="10">
        <f>30.3123 * CHOOSE(CONTROL!$C$15, $E$9, 100%, $G$9) + CHOOSE(CONTROL!$C$38, 0.0347, 0)</f>
        <v>30.347000000000001</v>
      </c>
      <c r="E419" s="46">
        <f>32.7158 * CHOOSE(CONTROL!$C$15, $E$9, 100%, $G$9) + CHOOSE(CONTROL!$C$38, 0.0347, 0)</f>
        <v>32.750500000000002</v>
      </c>
      <c r="F419" s="45">
        <f>32.7158 * CHOOSE(CONTROL!$C$15, $E$9, 100%, $G$9) + CHOOSE(CONTROL!$C$38, 0.0256, 0)</f>
        <v>32.741399999999999</v>
      </c>
      <c r="G419" s="10">
        <f>30.3185 * CHOOSE(CONTROL!$C$15, $E$9, 100%, $G$9) + CHOOSE(CONTROL!$C$38, 0.0347, 0)</f>
        <v>30.353200000000001</v>
      </c>
      <c r="H419" s="10">
        <f>30.3185 * CHOOSE(CONTROL!$C$15, $E$9, 100%, $G$9) + CHOOSE(CONTROL!$C$38, 0.0347, 0)</f>
        <v>30.353200000000001</v>
      </c>
      <c r="I419" s="10">
        <f>30.3201 * CHOOSE(CONTROL!$C$15, $E$9, 100%, $G$9) + CHOOSE(CONTROL!$C$38, 0.0347, 0)</f>
        <v>30.354800000000001</v>
      </c>
      <c r="J419" s="44">
        <f>210.7959</f>
        <v>210.79589999999999</v>
      </c>
    </row>
    <row r="420" spans="1:10" ht="15.75" x14ac:dyDescent="0.25">
      <c r="A420" s="14">
        <v>53723</v>
      </c>
      <c r="B420" s="10">
        <f>33.8624 * CHOOSE(CONTROL!$C$15, $E$9, 100%, $G$9) + CHOOSE(CONTROL!$C$38, 0.0256, 0)</f>
        <v>33.887999999999998</v>
      </c>
      <c r="C420" s="10">
        <f>31.2711 * CHOOSE(CONTROL!$C$15, $E$9, 100%, $G$9) + CHOOSE(CONTROL!$C$38, 0.0347, 0)</f>
        <v>31.305800000000001</v>
      </c>
      <c r="D420" s="10">
        <f>31.2633 * CHOOSE(CONTROL!$C$15, $E$9, 100%, $G$9) + CHOOSE(CONTROL!$C$38, 0.0347, 0)</f>
        <v>31.298000000000002</v>
      </c>
      <c r="E420" s="46">
        <f>33.7062 * CHOOSE(CONTROL!$C$15, $E$9, 100%, $G$9) + CHOOSE(CONTROL!$C$38, 0.0347, 0)</f>
        <v>33.740900000000003</v>
      </c>
      <c r="F420" s="45">
        <f>33.7062 * CHOOSE(CONTROL!$C$15, $E$9, 100%, $G$9) + CHOOSE(CONTROL!$C$38, 0.0256, 0)</f>
        <v>33.7318</v>
      </c>
      <c r="G420" s="10">
        <f>31.2696 * CHOOSE(CONTROL!$C$15, $E$9, 100%, $G$9) + CHOOSE(CONTROL!$C$38, 0.0347, 0)</f>
        <v>31.304300000000001</v>
      </c>
      <c r="H420" s="10">
        <f>31.2696 * CHOOSE(CONTROL!$C$15, $E$9, 100%, $G$9) + CHOOSE(CONTROL!$C$38, 0.0347, 0)</f>
        <v>31.304300000000001</v>
      </c>
      <c r="I420" s="10">
        <f>31.2711 * CHOOSE(CONTROL!$C$15, $E$9, 100%, $G$9) + CHOOSE(CONTROL!$C$38, 0.0347, 0)</f>
        <v>31.305800000000001</v>
      </c>
      <c r="J420" s="44">
        <f>210.3934</f>
        <v>210.39340000000001</v>
      </c>
    </row>
    <row r="421" spans="1:10" ht="15.75" x14ac:dyDescent="0.25">
      <c r="A421" s="14">
        <v>53751</v>
      </c>
      <c r="B421" s="10">
        <f>34.0832 * CHOOSE(CONTROL!$C$15, $E$9, 100%, $G$9) + CHOOSE(CONTROL!$C$38, 0.0256, 0)</f>
        <v>34.108799999999995</v>
      </c>
      <c r="C421" s="10">
        <f>31.4919 * CHOOSE(CONTROL!$C$15, $E$9, 100%, $G$9) + CHOOSE(CONTROL!$C$38, 0.0347, 0)</f>
        <v>31.526600000000002</v>
      </c>
      <c r="D421" s="10">
        <f>31.4841 * CHOOSE(CONTROL!$C$15, $E$9, 100%, $G$9) + CHOOSE(CONTROL!$C$38, 0.0347, 0)</f>
        <v>31.518800000000002</v>
      </c>
      <c r="E421" s="46">
        <f>33.9269 * CHOOSE(CONTROL!$C$15, $E$9, 100%, $G$9) + CHOOSE(CONTROL!$C$38, 0.0347, 0)</f>
        <v>33.961600000000004</v>
      </c>
      <c r="F421" s="45">
        <f>33.9269 * CHOOSE(CONTROL!$C$15, $E$9, 100%, $G$9) + CHOOSE(CONTROL!$C$38, 0.0256, 0)</f>
        <v>33.952500000000001</v>
      </c>
      <c r="G421" s="10">
        <f>31.4903 * CHOOSE(CONTROL!$C$15, $E$9, 100%, $G$9) + CHOOSE(CONTROL!$C$38, 0.0347, 0)</f>
        <v>31.525000000000002</v>
      </c>
      <c r="H421" s="10">
        <f>31.4903 * CHOOSE(CONTROL!$C$15, $E$9, 100%, $G$9) + CHOOSE(CONTROL!$C$38, 0.0347, 0)</f>
        <v>31.525000000000002</v>
      </c>
      <c r="I421" s="10">
        <f>31.4919 * CHOOSE(CONTROL!$C$15, $E$9, 100%, $G$9) + CHOOSE(CONTROL!$C$38, 0.0347, 0)</f>
        <v>31.526600000000002</v>
      </c>
      <c r="J421" s="44">
        <f>209.8085</f>
        <v>209.80850000000001</v>
      </c>
    </row>
    <row r="422" spans="1:10" ht="15.75" x14ac:dyDescent="0.25">
      <c r="A422" s="14">
        <v>53782</v>
      </c>
      <c r="B422" s="10">
        <f>33.5722 * CHOOSE(CONTROL!$C$15, $E$9, 100%, $G$9) + CHOOSE(CONTROL!$C$38, 0.0256, 0)</f>
        <v>33.597799999999999</v>
      </c>
      <c r="C422" s="10">
        <f>30.9808 * CHOOSE(CONTROL!$C$15, $E$9, 100%, $G$9) + CHOOSE(CONTROL!$C$38, 0.0347, 0)</f>
        <v>31.015499999999999</v>
      </c>
      <c r="D422" s="10">
        <f>30.973 * CHOOSE(CONTROL!$C$15, $E$9, 100%, $G$9) + CHOOSE(CONTROL!$C$38, 0.0347, 0)</f>
        <v>31.0077</v>
      </c>
      <c r="E422" s="46">
        <f>33.4159 * CHOOSE(CONTROL!$C$15, $E$9, 100%, $G$9) + CHOOSE(CONTROL!$C$38, 0.0347, 0)</f>
        <v>33.450600000000001</v>
      </c>
      <c r="F422" s="45">
        <f>33.4159 * CHOOSE(CONTROL!$C$15, $E$9, 100%, $G$9) + CHOOSE(CONTROL!$C$38, 0.0256, 0)</f>
        <v>33.441499999999998</v>
      </c>
      <c r="G422" s="10">
        <f>30.9793 * CHOOSE(CONTROL!$C$15, $E$9, 100%, $G$9) + CHOOSE(CONTROL!$C$38, 0.0347, 0)</f>
        <v>31.013999999999999</v>
      </c>
      <c r="H422" s="10">
        <f>30.9793 * CHOOSE(CONTROL!$C$15, $E$9, 100%, $G$9) + CHOOSE(CONTROL!$C$38, 0.0347, 0)</f>
        <v>31.013999999999999</v>
      </c>
      <c r="I422" s="10">
        <f>30.9808 * CHOOSE(CONTROL!$C$15, $E$9, 100%, $G$9) + CHOOSE(CONTROL!$C$38, 0.0347, 0)</f>
        <v>31.015499999999999</v>
      </c>
      <c r="J422" s="44">
        <f>220.8667</f>
        <v>220.86670000000001</v>
      </c>
    </row>
    <row r="423" spans="1:10" ht="15.75" x14ac:dyDescent="0.25">
      <c r="A423" s="14">
        <v>53812</v>
      </c>
      <c r="B423" s="10">
        <f>33.077 * CHOOSE(CONTROL!$C$15, $E$9, 100%, $G$9) + CHOOSE(CONTROL!$C$38, 0.0256, 0)</f>
        <v>33.102599999999995</v>
      </c>
      <c r="C423" s="10">
        <f>30.4857 * CHOOSE(CONTROL!$C$15, $E$9, 100%, $G$9) + CHOOSE(CONTROL!$C$38, 0.0347, 0)</f>
        <v>30.520400000000002</v>
      </c>
      <c r="D423" s="10">
        <f>30.4779 * CHOOSE(CONTROL!$C$15, $E$9, 100%, $G$9) + CHOOSE(CONTROL!$C$38, 0.0347, 0)</f>
        <v>30.512600000000003</v>
      </c>
      <c r="E423" s="46">
        <f>32.9207 * CHOOSE(CONTROL!$C$15, $E$9, 100%, $G$9) + CHOOSE(CONTROL!$C$38, 0.0347, 0)</f>
        <v>32.955399999999997</v>
      </c>
      <c r="F423" s="45">
        <f>32.9207 * CHOOSE(CONTROL!$C$15, $E$9, 100%, $G$9) + CHOOSE(CONTROL!$C$38, 0.0256, 0)</f>
        <v>32.946299999999994</v>
      </c>
      <c r="G423" s="10">
        <f>30.4841 * CHOOSE(CONTROL!$C$15, $E$9, 100%, $G$9) + CHOOSE(CONTROL!$C$38, 0.0347, 0)</f>
        <v>30.518800000000002</v>
      </c>
      <c r="H423" s="10">
        <f>30.4841 * CHOOSE(CONTROL!$C$15, $E$9, 100%, $G$9) + CHOOSE(CONTROL!$C$38, 0.0347, 0)</f>
        <v>30.518800000000002</v>
      </c>
      <c r="I423" s="10">
        <f>30.4857 * CHOOSE(CONTROL!$C$15, $E$9, 100%, $G$9) + CHOOSE(CONTROL!$C$38, 0.0347, 0)</f>
        <v>30.520400000000002</v>
      </c>
      <c r="J423" s="44">
        <f>235.2064</f>
        <v>235.2064</v>
      </c>
    </row>
    <row r="424" spans="1:10" ht="15.75" x14ac:dyDescent="0.25">
      <c r="A424" s="14">
        <v>53843</v>
      </c>
      <c r="B424" s="10">
        <f>32.5609 * CHOOSE(CONTROL!$C$15, $E$9, 100%, $G$9) + CHOOSE(CONTROL!$C$38, 0.0278, 0)</f>
        <v>32.588699999999996</v>
      </c>
      <c r="C424" s="10">
        <f>29.9696 * CHOOSE(CONTROL!$C$15, $E$9, 100%, $G$9) + CHOOSE(CONTROL!$C$38, 0.0369, 0)</f>
        <v>30.006499999999999</v>
      </c>
      <c r="D424" s="10">
        <f>29.9617 * CHOOSE(CONTROL!$C$15, $E$9, 100%, $G$9) + CHOOSE(CONTROL!$C$38, 0.0369, 0)</f>
        <v>29.9986</v>
      </c>
      <c r="E424" s="46">
        <f>32.4046 * CHOOSE(CONTROL!$C$15, $E$9, 100%, $G$9) + CHOOSE(CONTROL!$C$38, 0.0369, 0)</f>
        <v>32.441500000000005</v>
      </c>
      <c r="F424" s="45">
        <f>32.4046 * CHOOSE(CONTROL!$C$15, $E$9, 100%, $G$9) + CHOOSE(CONTROL!$C$38, 0.0278, 0)</f>
        <v>32.432400000000001</v>
      </c>
      <c r="G424" s="10">
        <f>29.968 * CHOOSE(CONTROL!$C$15, $E$9, 100%, $G$9) + CHOOSE(CONTROL!$C$38, 0.0369, 0)</f>
        <v>30.004899999999999</v>
      </c>
      <c r="H424" s="10">
        <f>29.968 * CHOOSE(CONTROL!$C$15, $E$9, 100%, $G$9) + CHOOSE(CONTROL!$C$38, 0.0369, 0)</f>
        <v>30.004899999999999</v>
      </c>
      <c r="I424" s="10">
        <f>29.9696 * CHOOSE(CONTROL!$C$15, $E$9, 100%, $G$9) + CHOOSE(CONTROL!$C$38, 0.0369, 0)</f>
        <v>30.006499999999999</v>
      </c>
      <c r="J424" s="44">
        <f>243.0995</f>
        <v>243.09950000000001</v>
      </c>
    </row>
    <row r="425" spans="1:10" ht="15.75" x14ac:dyDescent="0.25">
      <c r="A425" s="14">
        <v>53873</v>
      </c>
      <c r="B425" s="10">
        <f>32.199 * CHOOSE(CONTROL!$C$15, $E$9, 100%, $G$9) + CHOOSE(CONTROL!$C$38, 0.0278, 0)</f>
        <v>32.226799999999997</v>
      </c>
      <c r="C425" s="10">
        <f>29.6077 * CHOOSE(CONTROL!$C$15, $E$9, 100%, $G$9) + CHOOSE(CONTROL!$C$38, 0.0369, 0)</f>
        <v>29.644600000000001</v>
      </c>
      <c r="D425" s="10">
        <f>29.5999 * CHOOSE(CONTROL!$C$15, $E$9, 100%, $G$9) + CHOOSE(CONTROL!$C$38, 0.0369, 0)</f>
        <v>29.636800000000001</v>
      </c>
      <c r="E425" s="46">
        <f>32.0428 * CHOOSE(CONTROL!$C$15, $E$9, 100%, $G$9) + CHOOSE(CONTROL!$C$38, 0.0369, 0)</f>
        <v>32.079700000000003</v>
      </c>
      <c r="F425" s="45">
        <f>32.0428 * CHOOSE(CONTROL!$C$15, $E$9, 100%, $G$9) + CHOOSE(CONTROL!$C$38, 0.0278, 0)</f>
        <v>32.070599999999999</v>
      </c>
      <c r="G425" s="10">
        <f>29.6062 * CHOOSE(CONTROL!$C$15, $E$9, 100%, $G$9) + CHOOSE(CONTROL!$C$38, 0.0369, 0)</f>
        <v>29.6431</v>
      </c>
      <c r="H425" s="10">
        <f>29.6062 * CHOOSE(CONTROL!$C$15, $E$9, 100%, $G$9) + CHOOSE(CONTROL!$C$38, 0.0369, 0)</f>
        <v>29.6431</v>
      </c>
      <c r="I425" s="10">
        <f>29.6077 * CHOOSE(CONTROL!$C$15, $E$9, 100%, $G$9) + CHOOSE(CONTROL!$C$38, 0.0369, 0)</f>
        <v>29.644600000000001</v>
      </c>
      <c r="J425" s="44">
        <f>246.6023</f>
        <v>246.60230000000001</v>
      </c>
    </row>
    <row r="426" spans="1:10" ht="15.75" x14ac:dyDescent="0.25">
      <c r="A426" s="14">
        <v>53904</v>
      </c>
      <c r="B426" s="10">
        <f>31.9925 * CHOOSE(CONTROL!$C$15, $E$9, 100%, $G$9) + CHOOSE(CONTROL!$C$38, 0.0278, 0)</f>
        <v>32.020299999999999</v>
      </c>
      <c r="C426" s="10">
        <f>29.4012 * CHOOSE(CONTROL!$C$15, $E$9, 100%, $G$9) + CHOOSE(CONTROL!$C$38, 0.0369, 0)</f>
        <v>29.438099999999999</v>
      </c>
      <c r="D426" s="10">
        <f>29.3934 * CHOOSE(CONTROL!$C$15, $E$9, 100%, $G$9) + CHOOSE(CONTROL!$C$38, 0.0369, 0)</f>
        <v>29.430299999999999</v>
      </c>
      <c r="E426" s="46">
        <f>31.8363 * CHOOSE(CONTROL!$C$15, $E$9, 100%, $G$9) + CHOOSE(CONTROL!$C$38, 0.0369, 0)</f>
        <v>31.873200000000001</v>
      </c>
      <c r="F426" s="45">
        <f>31.8363 * CHOOSE(CONTROL!$C$15, $E$9, 100%, $G$9) + CHOOSE(CONTROL!$C$38, 0.0278, 0)</f>
        <v>31.864100000000001</v>
      </c>
      <c r="G426" s="10">
        <f>29.3997 * CHOOSE(CONTROL!$C$15, $E$9, 100%, $G$9) + CHOOSE(CONTROL!$C$38, 0.0369, 0)</f>
        <v>29.436599999999999</v>
      </c>
      <c r="H426" s="10">
        <f>29.3997 * CHOOSE(CONTROL!$C$15, $E$9, 100%, $G$9) + CHOOSE(CONTROL!$C$38, 0.0369, 0)</f>
        <v>29.436599999999999</v>
      </c>
      <c r="I426" s="10">
        <f>29.4012 * CHOOSE(CONTROL!$C$15, $E$9, 100%, $G$9) + CHOOSE(CONTROL!$C$38, 0.0369, 0)</f>
        <v>29.438099999999999</v>
      </c>
      <c r="J426" s="44">
        <f>245.449</f>
        <v>245.44900000000001</v>
      </c>
    </row>
    <row r="427" spans="1:10" ht="15.75" x14ac:dyDescent="0.25">
      <c r="A427" s="14">
        <v>53935</v>
      </c>
      <c r="B427" s="10">
        <f>32.0944 * CHOOSE(CONTROL!$C$15, $E$9, 100%, $G$9) + CHOOSE(CONTROL!$C$38, 0.0278, 0)</f>
        <v>32.122199999999999</v>
      </c>
      <c r="C427" s="10">
        <f>29.5031 * CHOOSE(CONTROL!$C$15, $E$9, 100%, $G$9) + CHOOSE(CONTROL!$C$38, 0.0369, 0)</f>
        <v>29.54</v>
      </c>
      <c r="D427" s="10">
        <f>29.4953 * CHOOSE(CONTROL!$C$15, $E$9, 100%, $G$9) + CHOOSE(CONTROL!$C$38, 0.0369, 0)</f>
        <v>29.5322</v>
      </c>
      <c r="E427" s="46">
        <f>31.9382 * CHOOSE(CONTROL!$C$15, $E$9, 100%, $G$9) + CHOOSE(CONTROL!$C$38, 0.0369, 0)</f>
        <v>31.975099999999998</v>
      </c>
      <c r="F427" s="45">
        <f>31.9382 * CHOOSE(CONTROL!$C$15, $E$9, 100%, $G$9) + CHOOSE(CONTROL!$C$38, 0.0278, 0)</f>
        <v>31.965999999999998</v>
      </c>
      <c r="G427" s="10">
        <f>29.5016 * CHOOSE(CONTROL!$C$15, $E$9, 100%, $G$9) + CHOOSE(CONTROL!$C$38, 0.0369, 0)</f>
        <v>29.538499999999999</v>
      </c>
      <c r="H427" s="10">
        <f>29.5016 * CHOOSE(CONTROL!$C$15, $E$9, 100%, $G$9) + CHOOSE(CONTROL!$C$38, 0.0369, 0)</f>
        <v>29.538499999999999</v>
      </c>
      <c r="I427" s="10">
        <f>29.5031 * CHOOSE(CONTROL!$C$15, $E$9, 100%, $G$9) + CHOOSE(CONTROL!$C$38, 0.0369, 0)</f>
        <v>29.54</v>
      </c>
      <c r="J427" s="44">
        <f>239.735</f>
        <v>239.73500000000001</v>
      </c>
    </row>
    <row r="428" spans="1:10" ht="15.75" x14ac:dyDescent="0.25">
      <c r="A428" s="14">
        <v>53965</v>
      </c>
      <c r="B428" s="10">
        <f>32.3712 * CHOOSE(CONTROL!$C$15, $E$9, 100%, $G$9) + CHOOSE(CONTROL!$C$38, 0.0278, 0)</f>
        <v>32.399000000000001</v>
      </c>
      <c r="C428" s="10">
        <f>29.7799 * CHOOSE(CONTROL!$C$15, $E$9, 100%, $G$9) + CHOOSE(CONTROL!$C$38, 0.0369, 0)</f>
        <v>29.816800000000001</v>
      </c>
      <c r="D428" s="10">
        <f>29.7721 * CHOOSE(CONTROL!$C$15, $E$9, 100%, $G$9) + CHOOSE(CONTROL!$C$38, 0.0369, 0)</f>
        <v>29.808999999999997</v>
      </c>
      <c r="E428" s="46">
        <f>32.215 * CHOOSE(CONTROL!$C$15, $E$9, 100%, $G$9) + CHOOSE(CONTROL!$C$38, 0.0369, 0)</f>
        <v>32.251900000000006</v>
      </c>
      <c r="F428" s="45">
        <f>32.215 * CHOOSE(CONTROL!$C$15, $E$9, 100%, $G$9) + CHOOSE(CONTROL!$C$38, 0.0278, 0)</f>
        <v>32.242800000000003</v>
      </c>
      <c r="G428" s="10">
        <f>29.7784 * CHOOSE(CONTROL!$C$15, $E$9, 100%, $G$9) + CHOOSE(CONTROL!$C$38, 0.0369, 0)</f>
        <v>29.815300000000001</v>
      </c>
      <c r="H428" s="10">
        <f>29.7784 * CHOOSE(CONTROL!$C$15, $E$9, 100%, $G$9) + CHOOSE(CONTROL!$C$38, 0.0369, 0)</f>
        <v>29.815300000000001</v>
      </c>
      <c r="I428" s="10">
        <f>29.7799 * CHOOSE(CONTROL!$C$15, $E$9, 100%, $G$9) + CHOOSE(CONTROL!$C$38, 0.0369, 0)</f>
        <v>29.816800000000001</v>
      </c>
      <c r="J428" s="44">
        <f>231.7667</f>
        <v>231.76669999999999</v>
      </c>
    </row>
    <row r="429" spans="1:10" ht="15.75" x14ac:dyDescent="0.25">
      <c r="A429" s="14">
        <v>53996</v>
      </c>
      <c r="B429" s="10">
        <f>32.6031 * CHOOSE(CONTROL!$C$15, $E$9, 100%, $G$9) + CHOOSE(CONTROL!$C$38, 0.0256, 0)</f>
        <v>32.628699999999995</v>
      </c>
      <c r="C429" s="10">
        <f>30.0118 * CHOOSE(CONTROL!$C$15, $E$9, 100%, $G$9) + CHOOSE(CONTROL!$C$38, 0.0347, 0)</f>
        <v>30.046500000000002</v>
      </c>
      <c r="D429" s="10">
        <f>30.0039 * CHOOSE(CONTROL!$C$15, $E$9, 100%, $G$9) + CHOOSE(CONTROL!$C$38, 0.0347, 0)</f>
        <v>30.038600000000002</v>
      </c>
      <c r="E429" s="46">
        <f>32.4468 * CHOOSE(CONTROL!$C$15, $E$9, 100%, $G$9) + CHOOSE(CONTROL!$C$38, 0.0347, 0)</f>
        <v>32.481500000000004</v>
      </c>
      <c r="F429" s="45">
        <f>32.4468 * CHOOSE(CONTROL!$C$15, $E$9, 100%, $G$9) + CHOOSE(CONTROL!$C$38, 0.0256, 0)</f>
        <v>32.4724</v>
      </c>
      <c r="G429" s="10">
        <f>30.0102 * CHOOSE(CONTROL!$C$15, $E$9, 100%, $G$9) + CHOOSE(CONTROL!$C$38, 0.0347, 0)</f>
        <v>30.044900000000002</v>
      </c>
      <c r="H429" s="10">
        <f>30.0102 * CHOOSE(CONTROL!$C$15, $E$9, 100%, $G$9) + CHOOSE(CONTROL!$C$38, 0.0347, 0)</f>
        <v>30.044900000000002</v>
      </c>
      <c r="I429" s="10">
        <f>30.0118 * CHOOSE(CONTROL!$C$15, $E$9, 100%, $G$9) + CHOOSE(CONTROL!$C$38, 0.0347, 0)</f>
        <v>30.046500000000002</v>
      </c>
      <c r="J429" s="44">
        <f>223.7519</f>
        <v>223.75190000000001</v>
      </c>
    </row>
    <row r="430" spans="1:10" ht="15.75" x14ac:dyDescent="0.25">
      <c r="A430" s="14">
        <v>54026</v>
      </c>
      <c r="B430" s="10">
        <f>32.7965 * CHOOSE(CONTROL!$C$15, $E$9, 100%, $G$9) + CHOOSE(CONTROL!$C$38, 0.0256, 0)</f>
        <v>32.822099999999999</v>
      </c>
      <c r="C430" s="10">
        <f>30.2052 * CHOOSE(CONTROL!$C$15, $E$9, 100%, $G$9) + CHOOSE(CONTROL!$C$38, 0.0347, 0)</f>
        <v>30.239900000000002</v>
      </c>
      <c r="D430" s="10">
        <f>30.1974 * CHOOSE(CONTROL!$C$15, $E$9, 100%, $G$9) + CHOOSE(CONTROL!$C$38, 0.0347, 0)</f>
        <v>30.232099999999999</v>
      </c>
      <c r="E430" s="46">
        <f>32.6403 * CHOOSE(CONTROL!$C$15, $E$9, 100%, $G$9) + CHOOSE(CONTROL!$C$38, 0.0347, 0)</f>
        <v>32.675000000000004</v>
      </c>
      <c r="F430" s="45">
        <f>32.6403 * CHOOSE(CONTROL!$C$15, $E$9, 100%, $G$9) + CHOOSE(CONTROL!$C$38, 0.0256, 0)</f>
        <v>32.665900000000001</v>
      </c>
      <c r="G430" s="10">
        <f>30.2036 * CHOOSE(CONTROL!$C$15, $E$9, 100%, $G$9) + CHOOSE(CONTROL!$C$38, 0.0347, 0)</f>
        <v>30.238300000000002</v>
      </c>
      <c r="H430" s="10">
        <f>30.2036 * CHOOSE(CONTROL!$C$15, $E$9, 100%, $G$9) + CHOOSE(CONTROL!$C$38, 0.0347, 0)</f>
        <v>30.238300000000002</v>
      </c>
      <c r="I430" s="10">
        <f>30.2052 * CHOOSE(CONTROL!$C$15, $E$9, 100%, $G$9) + CHOOSE(CONTROL!$C$38, 0.0347, 0)</f>
        <v>30.239900000000002</v>
      </c>
      <c r="J430" s="44">
        <f>222.1576</f>
        <v>222.1576</v>
      </c>
    </row>
    <row r="431" spans="1:10" ht="15.75" x14ac:dyDescent="0.25">
      <c r="A431" s="14">
        <v>54057</v>
      </c>
      <c r="B431" s="10">
        <f>33.3926 * CHOOSE(CONTROL!$C$15, $E$9, 100%, $G$9) + CHOOSE(CONTROL!$C$38, 0.0256, 0)</f>
        <v>33.418199999999999</v>
      </c>
      <c r="C431" s="10">
        <f>30.8013 * CHOOSE(CONTROL!$C$15, $E$9, 100%, $G$9) + CHOOSE(CONTROL!$C$38, 0.0347, 0)</f>
        <v>30.836000000000002</v>
      </c>
      <c r="D431" s="10">
        <f>30.7935 * CHOOSE(CONTROL!$C$15, $E$9, 100%, $G$9) + CHOOSE(CONTROL!$C$38, 0.0347, 0)</f>
        <v>30.828200000000002</v>
      </c>
      <c r="E431" s="46">
        <f>33.2363 * CHOOSE(CONTROL!$C$15, $E$9, 100%, $G$9) + CHOOSE(CONTROL!$C$38, 0.0347, 0)</f>
        <v>33.271000000000001</v>
      </c>
      <c r="F431" s="45">
        <f>33.2363 * CHOOSE(CONTROL!$C$15, $E$9, 100%, $G$9) + CHOOSE(CONTROL!$C$38, 0.0256, 0)</f>
        <v>33.261899999999997</v>
      </c>
      <c r="G431" s="10">
        <f>30.7997 * CHOOSE(CONTROL!$C$15, $E$9, 100%, $G$9) + CHOOSE(CONTROL!$C$38, 0.0347, 0)</f>
        <v>30.834400000000002</v>
      </c>
      <c r="H431" s="10">
        <f>30.7997 * CHOOSE(CONTROL!$C$15, $E$9, 100%, $G$9) + CHOOSE(CONTROL!$C$38, 0.0347, 0)</f>
        <v>30.834400000000002</v>
      </c>
      <c r="I431" s="10">
        <f>30.8013 * CHOOSE(CONTROL!$C$15, $E$9, 100%, $G$9) + CHOOSE(CONTROL!$C$38, 0.0347, 0)</f>
        <v>30.836000000000002</v>
      </c>
      <c r="J431" s="44">
        <f>215.5651</f>
        <v>215.5651</v>
      </c>
    </row>
    <row r="432" spans="1:10" ht="15.75" x14ac:dyDescent="0.25">
      <c r="A432" s="14">
        <v>54088</v>
      </c>
      <c r="B432" s="10">
        <f>34.3914 * CHOOSE(CONTROL!$C$15, $E$9, 100%, $G$9) + CHOOSE(CONTROL!$C$38, 0.0256, 0)</f>
        <v>34.416999999999994</v>
      </c>
      <c r="C432" s="10">
        <f>31.7602 * CHOOSE(CONTROL!$C$15, $E$9, 100%, $G$9) + CHOOSE(CONTROL!$C$38, 0.0347, 0)</f>
        <v>31.794900000000002</v>
      </c>
      <c r="D432" s="10">
        <f>31.7524 * CHOOSE(CONTROL!$C$15, $E$9, 100%, $G$9) + CHOOSE(CONTROL!$C$38, 0.0347, 0)</f>
        <v>31.787100000000002</v>
      </c>
      <c r="E432" s="46">
        <f>34.2352 * CHOOSE(CONTROL!$C$15, $E$9, 100%, $G$9) + CHOOSE(CONTROL!$C$38, 0.0347, 0)</f>
        <v>34.2699</v>
      </c>
      <c r="F432" s="45">
        <f>34.2352 * CHOOSE(CONTROL!$C$15, $E$9, 100%, $G$9) + CHOOSE(CONTROL!$C$38, 0.0256, 0)</f>
        <v>34.260799999999996</v>
      </c>
      <c r="G432" s="10">
        <f>31.7587 * CHOOSE(CONTROL!$C$15, $E$9, 100%, $G$9) + CHOOSE(CONTROL!$C$38, 0.0347, 0)</f>
        <v>31.793400000000002</v>
      </c>
      <c r="H432" s="10">
        <f>31.7587 * CHOOSE(CONTROL!$C$15, $E$9, 100%, $G$9) + CHOOSE(CONTROL!$C$38, 0.0347, 0)</f>
        <v>31.793400000000002</v>
      </c>
      <c r="I432" s="10">
        <f>31.7602 * CHOOSE(CONTROL!$C$15, $E$9, 100%, $G$9) + CHOOSE(CONTROL!$C$38, 0.0347, 0)</f>
        <v>31.794900000000002</v>
      </c>
      <c r="J432" s="44">
        <f>215.1534</f>
        <v>215.1534</v>
      </c>
    </row>
    <row r="433" spans="1:10" ht="15.75" x14ac:dyDescent="0.25">
      <c r="A433" s="14">
        <v>54116</v>
      </c>
      <c r="B433" s="10">
        <f>34.6122 * CHOOSE(CONTROL!$C$15, $E$9, 100%, $G$9) + CHOOSE(CONTROL!$C$38, 0.0256, 0)</f>
        <v>34.637799999999999</v>
      </c>
      <c r="C433" s="10">
        <f>31.981 * CHOOSE(CONTROL!$C$15, $E$9, 100%, $G$9) + CHOOSE(CONTROL!$C$38, 0.0347, 0)</f>
        <v>32.015700000000002</v>
      </c>
      <c r="D433" s="10">
        <f>31.9732 * CHOOSE(CONTROL!$C$15, $E$9, 100%, $G$9) + CHOOSE(CONTROL!$C$38, 0.0347, 0)</f>
        <v>32.007899999999999</v>
      </c>
      <c r="E433" s="46">
        <f>34.456 * CHOOSE(CONTROL!$C$15, $E$9, 100%, $G$9) + CHOOSE(CONTROL!$C$38, 0.0347, 0)</f>
        <v>34.490700000000004</v>
      </c>
      <c r="F433" s="45">
        <f>34.456 * CHOOSE(CONTROL!$C$15, $E$9, 100%, $G$9) + CHOOSE(CONTROL!$C$38, 0.0256, 0)</f>
        <v>34.4816</v>
      </c>
      <c r="G433" s="10">
        <f>31.9794 * CHOOSE(CONTROL!$C$15, $E$9, 100%, $G$9) + CHOOSE(CONTROL!$C$38, 0.0347, 0)</f>
        <v>32.014099999999999</v>
      </c>
      <c r="H433" s="10">
        <f>31.9794 * CHOOSE(CONTROL!$C$15, $E$9, 100%, $G$9) + CHOOSE(CONTROL!$C$38, 0.0347, 0)</f>
        <v>32.014099999999999</v>
      </c>
      <c r="I433" s="10">
        <f>31.981 * CHOOSE(CONTROL!$C$15, $E$9, 100%, $G$9) + CHOOSE(CONTROL!$C$38, 0.0347, 0)</f>
        <v>32.015700000000002</v>
      </c>
      <c r="J433" s="44">
        <f>214.5554</f>
        <v>214.55539999999999</v>
      </c>
    </row>
    <row r="434" spans="1:10" ht="15.75" x14ac:dyDescent="0.25">
      <c r="A434" s="14">
        <v>54148</v>
      </c>
      <c r="B434" s="10">
        <f>34.1012 * CHOOSE(CONTROL!$C$15, $E$9, 100%, $G$9) + CHOOSE(CONTROL!$C$38, 0.0256, 0)</f>
        <v>34.126799999999996</v>
      </c>
      <c r="C434" s="10">
        <f>31.4699 * CHOOSE(CONTROL!$C$15, $E$9, 100%, $G$9) + CHOOSE(CONTROL!$C$38, 0.0347, 0)</f>
        <v>31.5046</v>
      </c>
      <c r="D434" s="10">
        <f>31.4621 * CHOOSE(CONTROL!$C$15, $E$9, 100%, $G$9) + CHOOSE(CONTROL!$C$38, 0.0347, 0)</f>
        <v>31.4968</v>
      </c>
      <c r="E434" s="46">
        <f>33.9449 * CHOOSE(CONTROL!$C$15, $E$9, 100%, $G$9) + CHOOSE(CONTROL!$C$38, 0.0347, 0)</f>
        <v>33.979599999999998</v>
      </c>
      <c r="F434" s="45">
        <f>33.9449 * CHOOSE(CONTROL!$C$15, $E$9, 100%, $G$9) + CHOOSE(CONTROL!$C$38, 0.0256, 0)</f>
        <v>33.970499999999994</v>
      </c>
      <c r="G434" s="10">
        <f>31.4684 * CHOOSE(CONTROL!$C$15, $E$9, 100%, $G$9) + CHOOSE(CONTROL!$C$38, 0.0347, 0)</f>
        <v>31.5031</v>
      </c>
      <c r="H434" s="10">
        <f>31.4684 * CHOOSE(CONTROL!$C$15, $E$9, 100%, $G$9) + CHOOSE(CONTROL!$C$38, 0.0347, 0)</f>
        <v>31.5031</v>
      </c>
      <c r="I434" s="10">
        <f>31.4699 * CHOOSE(CONTROL!$C$15, $E$9, 100%, $G$9) + CHOOSE(CONTROL!$C$38, 0.0347, 0)</f>
        <v>31.5046</v>
      </c>
      <c r="J434" s="44">
        <f>225.8637</f>
        <v>225.86369999999999</v>
      </c>
    </row>
    <row r="435" spans="1:10" ht="15.75" x14ac:dyDescent="0.25">
      <c r="A435" s="14">
        <v>54178</v>
      </c>
      <c r="B435" s="10">
        <f>33.606 * CHOOSE(CONTROL!$C$15, $E$9, 100%, $G$9) + CHOOSE(CONTROL!$C$38, 0.0256, 0)</f>
        <v>33.631599999999999</v>
      </c>
      <c r="C435" s="10">
        <f>30.9748 * CHOOSE(CONTROL!$C$15, $E$9, 100%, $G$9) + CHOOSE(CONTROL!$C$38, 0.0347, 0)</f>
        <v>31.009499999999999</v>
      </c>
      <c r="D435" s="10">
        <f>30.967 * CHOOSE(CONTROL!$C$15, $E$9, 100%, $G$9) + CHOOSE(CONTROL!$C$38, 0.0347, 0)</f>
        <v>31.0017</v>
      </c>
      <c r="E435" s="46">
        <f>33.4497 * CHOOSE(CONTROL!$C$15, $E$9, 100%, $G$9) + CHOOSE(CONTROL!$C$38, 0.0347, 0)</f>
        <v>33.484400000000001</v>
      </c>
      <c r="F435" s="45">
        <f>33.4497 * CHOOSE(CONTROL!$C$15, $E$9, 100%, $G$9) + CHOOSE(CONTROL!$C$38, 0.0256, 0)</f>
        <v>33.475299999999997</v>
      </c>
      <c r="G435" s="10">
        <f>30.9732 * CHOOSE(CONTROL!$C$15, $E$9, 100%, $G$9) + CHOOSE(CONTROL!$C$38, 0.0347, 0)</f>
        <v>31.007899999999999</v>
      </c>
      <c r="H435" s="10">
        <f>30.9732 * CHOOSE(CONTROL!$C$15, $E$9, 100%, $G$9) + CHOOSE(CONTROL!$C$38, 0.0347, 0)</f>
        <v>31.007899999999999</v>
      </c>
      <c r="I435" s="10">
        <f>30.9748 * CHOOSE(CONTROL!$C$15, $E$9, 100%, $G$9) + CHOOSE(CONTROL!$C$38, 0.0347, 0)</f>
        <v>31.009499999999999</v>
      </c>
      <c r="J435" s="44">
        <f>240.5278</f>
        <v>240.52780000000001</v>
      </c>
    </row>
    <row r="436" spans="1:10" ht="15.75" x14ac:dyDescent="0.25">
      <c r="A436" s="14">
        <v>54209</v>
      </c>
      <c r="B436" s="10">
        <f>33.0899 * CHOOSE(CONTROL!$C$15, $E$9, 100%, $G$9) + CHOOSE(CONTROL!$C$38, 0.0278, 0)</f>
        <v>33.117699999999999</v>
      </c>
      <c r="C436" s="10">
        <f>30.4587 * CHOOSE(CONTROL!$C$15, $E$9, 100%, $G$9) + CHOOSE(CONTROL!$C$38, 0.0369, 0)</f>
        <v>30.4956</v>
      </c>
      <c r="D436" s="10">
        <f>30.4508 * CHOOSE(CONTROL!$C$15, $E$9, 100%, $G$9) + CHOOSE(CONTROL!$C$38, 0.0369, 0)</f>
        <v>30.4877</v>
      </c>
      <c r="E436" s="46">
        <f>32.9336 * CHOOSE(CONTROL!$C$15, $E$9, 100%, $G$9) + CHOOSE(CONTROL!$C$38, 0.0369, 0)</f>
        <v>32.970500000000001</v>
      </c>
      <c r="F436" s="45">
        <f>32.9336 * CHOOSE(CONTROL!$C$15, $E$9, 100%, $G$9) + CHOOSE(CONTROL!$C$38, 0.0278, 0)</f>
        <v>32.961399999999998</v>
      </c>
      <c r="G436" s="10">
        <f>30.4571 * CHOOSE(CONTROL!$C$15, $E$9, 100%, $G$9) + CHOOSE(CONTROL!$C$38, 0.0369, 0)</f>
        <v>30.494</v>
      </c>
      <c r="H436" s="10">
        <f>30.4571 * CHOOSE(CONTROL!$C$15, $E$9, 100%, $G$9) + CHOOSE(CONTROL!$C$38, 0.0369, 0)</f>
        <v>30.494</v>
      </c>
      <c r="I436" s="10">
        <f>30.4587 * CHOOSE(CONTROL!$C$15, $E$9, 100%, $G$9) + CHOOSE(CONTROL!$C$38, 0.0369, 0)</f>
        <v>30.4956</v>
      </c>
      <c r="J436" s="44">
        <f>248.5995</f>
        <v>248.59950000000001</v>
      </c>
    </row>
    <row r="437" spans="1:10" ht="15.75" x14ac:dyDescent="0.25">
      <c r="A437" s="14">
        <v>54239</v>
      </c>
      <c r="B437" s="10">
        <f>32.728 * CHOOSE(CONTROL!$C$15, $E$9, 100%, $G$9) + CHOOSE(CONTROL!$C$38, 0.0278, 0)</f>
        <v>32.755800000000001</v>
      </c>
      <c r="C437" s="10">
        <f>30.0968 * CHOOSE(CONTROL!$C$15, $E$9, 100%, $G$9) + CHOOSE(CONTROL!$C$38, 0.0369, 0)</f>
        <v>30.133700000000001</v>
      </c>
      <c r="D437" s="10">
        <f>30.089 * CHOOSE(CONTROL!$C$15, $E$9, 100%, $G$9) + CHOOSE(CONTROL!$C$38, 0.0369, 0)</f>
        <v>30.125899999999998</v>
      </c>
      <c r="E437" s="46">
        <f>32.5718 * CHOOSE(CONTROL!$C$15, $E$9, 100%, $G$9) + CHOOSE(CONTROL!$C$38, 0.0369, 0)</f>
        <v>32.608700000000006</v>
      </c>
      <c r="F437" s="45">
        <f>32.5718 * CHOOSE(CONTROL!$C$15, $E$9, 100%, $G$9) + CHOOSE(CONTROL!$C$38, 0.0278, 0)</f>
        <v>32.599600000000002</v>
      </c>
      <c r="G437" s="10">
        <f>30.0953 * CHOOSE(CONTROL!$C$15, $E$9, 100%, $G$9) + CHOOSE(CONTROL!$C$38, 0.0369, 0)</f>
        <v>30.132200000000001</v>
      </c>
      <c r="H437" s="10">
        <f>30.0953 * CHOOSE(CONTROL!$C$15, $E$9, 100%, $G$9) + CHOOSE(CONTROL!$C$38, 0.0369, 0)</f>
        <v>30.132200000000001</v>
      </c>
      <c r="I437" s="10">
        <f>30.0968 * CHOOSE(CONTROL!$C$15, $E$9, 100%, $G$9) + CHOOSE(CONTROL!$C$38, 0.0369, 0)</f>
        <v>30.133700000000001</v>
      </c>
      <c r="J437" s="44">
        <f>252.1815</f>
        <v>252.1815</v>
      </c>
    </row>
    <row r="438" spans="1:10" ht="15.75" x14ac:dyDescent="0.25">
      <c r="A438" s="14">
        <v>54270</v>
      </c>
      <c r="B438" s="10">
        <f>32.5216 * CHOOSE(CONTROL!$C$15, $E$9, 100%, $G$9) + CHOOSE(CONTROL!$C$38, 0.0278, 0)</f>
        <v>32.549399999999999</v>
      </c>
      <c r="C438" s="10">
        <f>29.8903 * CHOOSE(CONTROL!$C$15, $E$9, 100%, $G$9) + CHOOSE(CONTROL!$C$38, 0.0369, 0)</f>
        <v>29.927199999999999</v>
      </c>
      <c r="D438" s="10">
        <f>29.8825 * CHOOSE(CONTROL!$C$15, $E$9, 100%, $G$9) + CHOOSE(CONTROL!$C$38, 0.0369, 0)</f>
        <v>29.9194</v>
      </c>
      <c r="E438" s="46">
        <f>32.3653 * CHOOSE(CONTROL!$C$15, $E$9, 100%, $G$9) + CHOOSE(CONTROL!$C$38, 0.0369, 0)</f>
        <v>32.402200000000001</v>
      </c>
      <c r="F438" s="45">
        <f>32.3653 * CHOOSE(CONTROL!$C$15, $E$9, 100%, $G$9) + CHOOSE(CONTROL!$C$38, 0.0278, 0)</f>
        <v>32.393099999999997</v>
      </c>
      <c r="G438" s="10">
        <f>29.8888 * CHOOSE(CONTROL!$C$15, $E$9, 100%, $G$9) + CHOOSE(CONTROL!$C$38, 0.0369, 0)</f>
        <v>29.925699999999999</v>
      </c>
      <c r="H438" s="10">
        <f>29.8888 * CHOOSE(CONTROL!$C$15, $E$9, 100%, $G$9) + CHOOSE(CONTROL!$C$38, 0.0369, 0)</f>
        <v>29.925699999999999</v>
      </c>
      <c r="I438" s="10">
        <f>29.8903 * CHOOSE(CONTROL!$C$15, $E$9, 100%, $G$9) + CHOOSE(CONTROL!$C$38, 0.0369, 0)</f>
        <v>29.927199999999999</v>
      </c>
      <c r="J438" s="44">
        <f>251.0021</f>
        <v>251.00210000000001</v>
      </c>
    </row>
    <row r="439" spans="1:10" ht="15.75" x14ac:dyDescent="0.25">
      <c r="A439" s="14">
        <v>54301</v>
      </c>
      <c r="B439" s="10">
        <f>32.6235 * CHOOSE(CONTROL!$C$15, $E$9, 100%, $G$9) + CHOOSE(CONTROL!$C$38, 0.0278, 0)</f>
        <v>32.651299999999999</v>
      </c>
      <c r="C439" s="10">
        <f>29.9922 * CHOOSE(CONTROL!$C$15, $E$9, 100%, $G$9) + CHOOSE(CONTROL!$C$38, 0.0369, 0)</f>
        <v>30.0291</v>
      </c>
      <c r="D439" s="10">
        <f>29.9844 * CHOOSE(CONTROL!$C$15, $E$9, 100%, $G$9) + CHOOSE(CONTROL!$C$38, 0.0369, 0)</f>
        <v>30.0213</v>
      </c>
      <c r="E439" s="46">
        <f>32.4672 * CHOOSE(CONTROL!$C$15, $E$9, 100%, $G$9) + CHOOSE(CONTROL!$C$38, 0.0369, 0)</f>
        <v>32.504100000000001</v>
      </c>
      <c r="F439" s="45">
        <f>32.4672 * CHOOSE(CONTROL!$C$15, $E$9, 100%, $G$9) + CHOOSE(CONTROL!$C$38, 0.0278, 0)</f>
        <v>32.494999999999997</v>
      </c>
      <c r="G439" s="10">
        <f>29.9907 * CHOOSE(CONTROL!$C$15, $E$9, 100%, $G$9) + CHOOSE(CONTROL!$C$38, 0.0369, 0)</f>
        <v>30.0276</v>
      </c>
      <c r="H439" s="10">
        <f>29.9907 * CHOOSE(CONTROL!$C$15, $E$9, 100%, $G$9) + CHOOSE(CONTROL!$C$38, 0.0369, 0)</f>
        <v>30.0276</v>
      </c>
      <c r="I439" s="10">
        <f>29.9922 * CHOOSE(CONTROL!$C$15, $E$9, 100%, $G$9) + CHOOSE(CONTROL!$C$38, 0.0369, 0)</f>
        <v>30.0291</v>
      </c>
      <c r="J439" s="44">
        <f>245.1589</f>
        <v>245.15889999999999</v>
      </c>
    </row>
    <row r="440" spans="1:10" ht="15.75" x14ac:dyDescent="0.25">
      <c r="A440" s="14">
        <v>54331</v>
      </c>
      <c r="B440" s="10">
        <f>32.9003 * CHOOSE(CONTROL!$C$15, $E$9, 100%, $G$9) + CHOOSE(CONTROL!$C$38, 0.0278, 0)</f>
        <v>32.928100000000001</v>
      </c>
      <c r="C440" s="10">
        <f>30.269 * CHOOSE(CONTROL!$C$15, $E$9, 100%, $G$9) + CHOOSE(CONTROL!$C$38, 0.0369, 0)</f>
        <v>30.305899999999998</v>
      </c>
      <c r="D440" s="10">
        <f>30.2612 * CHOOSE(CONTROL!$C$15, $E$9, 100%, $G$9) + CHOOSE(CONTROL!$C$38, 0.0369, 0)</f>
        <v>30.298099999999998</v>
      </c>
      <c r="E440" s="46">
        <f>32.744 * CHOOSE(CONTROL!$C$15, $E$9, 100%, $G$9) + CHOOSE(CONTROL!$C$38, 0.0369, 0)</f>
        <v>32.780900000000003</v>
      </c>
      <c r="F440" s="45">
        <f>32.744 * CHOOSE(CONTROL!$C$15, $E$9, 100%, $G$9) + CHOOSE(CONTROL!$C$38, 0.0278, 0)</f>
        <v>32.771799999999999</v>
      </c>
      <c r="G440" s="10">
        <f>30.2675 * CHOOSE(CONTROL!$C$15, $E$9, 100%, $G$9) + CHOOSE(CONTROL!$C$38, 0.0369, 0)</f>
        <v>30.304399999999998</v>
      </c>
      <c r="H440" s="10">
        <f>30.2675 * CHOOSE(CONTROL!$C$15, $E$9, 100%, $G$9) + CHOOSE(CONTROL!$C$38, 0.0369, 0)</f>
        <v>30.304399999999998</v>
      </c>
      <c r="I440" s="10">
        <f>30.269 * CHOOSE(CONTROL!$C$15, $E$9, 100%, $G$9) + CHOOSE(CONTROL!$C$38, 0.0369, 0)</f>
        <v>30.305899999999998</v>
      </c>
      <c r="J440" s="44">
        <f>237.0103</f>
        <v>237.0103</v>
      </c>
    </row>
    <row r="441" spans="1:10" ht="15.75" x14ac:dyDescent="0.25">
      <c r="A441" s="14">
        <v>54362</v>
      </c>
      <c r="B441" s="10">
        <f>33.1321 * CHOOSE(CONTROL!$C$15, $E$9, 100%, $G$9) + CHOOSE(CONTROL!$C$38, 0.0256, 0)</f>
        <v>33.157699999999998</v>
      </c>
      <c r="C441" s="10">
        <f>30.5009 * CHOOSE(CONTROL!$C$15, $E$9, 100%, $G$9) + CHOOSE(CONTROL!$C$38, 0.0347, 0)</f>
        <v>30.535600000000002</v>
      </c>
      <c r="D441" s="10">
        <f>30.493 * CHOOSE(CONTROL!$C$15, $E$9, 100%, $G$9) + CHOOSE(CONTROL!$C$38, 0.0347, 0)</f>
        <v>30.527699999999999</v>
      </c>
      <c r="E441" s="46">
        <f>32.9758 * CHOOSE(CONTROL!$C$15, $E$9, 100%, $G$9) + CHOOSE(CONTROL!$C$38, 0.0347, 0)</f>
        <v>33.0105</v>
      </c>
      <c r="F441" s="45">
        <f>32.9758 * CHOOSE(CONTROL!$C$15, $E$9, 100%, $G$9) + CHOOSE(CONTROL!$C$38, 0.0256, 0)</f>
        <v>33.001399999999997</v>
      </c>
      <c r="G441" s="10">
        <f>30.4993 * CHOOSE(CONTROL!$C$15, $E$9, 100%, $G$9) + CHOOSE(CONTROL!$C$38, 0.0347, 0)</f>
        <v>30.534000000000002</v>
      </c>
      <c r="H441" s="10">
        <f>30.4993 * CHOOSE(CONTROL!$C$15, $E$9, 100%, $G$9) + CHOOSE(CONTROL!$C$38, 0.0347, 0)</f>
        <v>30.534000000000002</v>
      </c>
      <c r="I441" s="10">
        <f>30.5009 * CHOOSE(CONTROL!$C$15, $E$9, 100%, $G$9) + CHOOSE(CONTROL!$C$38, 0.0347, 0)</f>
        <v>30.535600000000002</v>
      </c>
      <c r="J441" s="44">
        <f>228.8142</f>
        <v>228.8142</v>
      </c>
    </row>
    <row r="442" spans="1:10" ht="15.75" x14ac:dyDescent="0.25">
      <c r="A442" s="14">
        <v>54392</v>
      </c>
      <c r="B442" s="10">
        <f>33.3255 * CHOOSE(CONTROL!$C$15, $E$9, 100%, $G$9) + CHOOSE(CONTROL!$C$38, 0.0256, 0)</f>
        <v>33.351099999999995</v>
      </c>
      <c r="C442" s="10">
        <f>30.6943 * CHOOSE(CONTROL!$C$15, $E$9, 100%, $G$9) + CHOOSE(CONTROL!$C$38, 0.0347, 0)</f>
        <v>30.728999999999999</v>
      </c>
      <c r="D442" s="10">
        <f>30.6865 * CHOOSE(CONTROL!$C$15, $E$9, 100%, $G$9) + CHOOSE(CONTROL!$C$38, 0.0347, 0)</f>
        <v>30.7212</v>
      </c>
      <c r="E442" s="46">
        <f>33.1693 * CHOOSE(CONTROL!$C$15, $E$9, 100%, $G$9) + CHOOSE(CONTROL!$C$38, 0.0347, 0)</f>
        <v>33.204000000000001</v>
      </c>
      <c r="F442" s="45">
        <f>33.1693 * CHOOSE(CONTROL!$C$15, $E$9, 100%, $G$9) + CHOOSE(CONTROL!$C$38, 0.0256, 0)</f>
        <v>33.194899999999997</v>
      </c>
      <c r="G442" s="10">
        <f>30.6927 * CHOOSE(CONTROL!$C$15, $E$9, 100%, $G$9) + CHOOSE(CONTROL!$C$38, 0.0347, 0)</f>
        <v>30.727399999999999</v>
      </c>
      <c r="H442" s="10">
        <f>30.6927 * CHOOSE(CONTROL!$C$15, $E$9, 100%, $G$9) + CHOOSE(CONTROL!$C$38, 0.0347, 0)</f>
        <v>30.727399999999999</v>
      </c>
      <c r="I442" s="10">
        <f>30.6943 * CHOOSE(CONTROL!$C$15, $E$9, 100%, $G$9) + CHOOSE(CONTROL!$C$38, 0.0347, 0)</f>
        <v>30.728999999999999</v>
      </c>
      <c r="J442" s="44">
        <f>227.1838</f>
        <v>227.18379999999999</v>
      </c>
    </row>
    <row r="443" spans="1:10" ht="15.75" x14ac:dyDescent="0.25">
      <c r="A443" s="14">
        <v>54423</v>
      </c>
      <c r="B443" s="10">
        <f>33.9216 * CHOOSE(CONTROL!$C$15, $E$9, 100%, $G$9) + CHOOSE(CONTROL!$C$38, 0.0256, 0)</f>
        <v>33.947199999999995</v>
      </c>
      <c r="C443" s="10">
        <f>31.2904 * CHOOSE(CONTROL!$C$15, $E$9, 100%, $G$9) + CHOOSE(CONTROL!$C$38, 0.0347, 0)</f>
        <v>31.325100000000003</v>
      </c>
      <c r="D443" s="10">
        <f>31.2826 * CHOOSE(CONTROL!$C$15, $E$9, 100%, $G$9) + CHOOSE(CONTROL!$C$38, 0.0347, 0)</f>
        <v>31.317299999999999</v>
      </c>
      <c r="E443" s="46">
        <f>33.7653 * CHOOSE(CONTROL!$C$15, $E$9, 100%, $G$9) + CHOOSE(CONTROL!$C$38, 0.0347, 0)</f>
        <v>33.800000000000004</v>
      </c>
      <c r="F443" s="45">
        <f>33.7653 * CHOOSE(CONTROL!$C$15, $E$9, 100%, $G$9) + CHOOSE(CONTROL!$C$38, 0.0256, 0)</f>
        <v>33.790900000000001</v>
      </c>
      <c r="G443" s="10">
        <f>31.2888 * CHOOSE(CONTROL!$C$15, $E$9, 100%, $G$9) + CHOOSE(CONTROL!$C$38, 0.0347, 0)</f>
        <v>31.323499999999999</v>
      </c>
      <c r="H443" s="10">
        <f>31.2888 * CHOOSE(CONTROL!$C$15, $E$9, 100%, $G$9) + CHOOSE(CONTROL!$C$38, 0.0347, 0)</f>
        <v>31.323499999999999</v>
      </c>
      <c r="I443" s="10">
        <f>31.2904 * CHOOSE(CONTROL!$C$15, $E$9, 100%, $G$9) + CHOOSE(CONTROL!$C$38, 0.0347, 0)</f>
        <v>31.325100000000003</v>
      </c>
      <c r="J443" s="44">
        <f>220.4421</f>
        <v>220.44210000000001</v>
      </c>
    </row>
    <row r="444" spans="1:10" ht="15.75" x14ac:dyDescent="0.25">
      <c r="A444" s="14">
        <v>54454</v>
      </c>
      <c r="B444" s="10">
        <f>34.9291 * CHOOSE(CONTROL!$C$15, $E$9, 100%, $G$9) + CHOOSE(CONTROL!$C$38, 0.0256, 0)</f>
        <v>34.954699999999995</v>
      </c>
      <c r="C444" s="10">
        <f>32.2573 * CHOOSE(CONTROL!$C$15, $E$9, 100%, $G$9) + CHOOSE(CONTROL!$C$38, 0.0347, 0)</f>
        <v>32.292000000000002</v>
      </c>
      <c r="D444" s="10">
        <f>32.2495 * CHOOSE(CONTROL!$C$15, $E$9, 100%, $G$9) + CHOOSE(CONTROL!$C$38, 0.0347, 0)</f>
        <v>32.284199999999998</v>
      </c>
      <c r="E444" s="46">
        <f>34.7729 * CHOOSE(CONTROL!$C$15, $E$9, 100%, $G$9) + CHOOSE(CONTROL!$C$38, 0.0347, 0)</f>
        <v>34.807600000000001</v>
      </c>
      <c r="F444" s="45">
        <f>34.7729 * CHOOSE(CONTROL!$C$15, $E$9, 100%, $G$9) + CHOOSE(CONTROL!$C$38, 0.0256, 0)</f>
        <v>34.798499999999997</v>
      </c>
      <c r="G444" s="10">
        <f>32.2558 * CHOOSE(CONTROL!$C$15, $E$9, 100%, $G$9) + CHOOSE(CONTROL!$C$38, 0.0347, 0)</f>
        <v>32.290500000000002</v>
      </c>
      <c r="H444" s="10">
        <f>32.2558 * CHOOSE(CONTROL!$C$15, $E$9, 100%, $G$9) + CHOOSE(CONTROL!$C$38, 0.0347, 0)</f>
        <v>32.290500000000002</v>
      </c>
      <c r="I444" s="10">
        <f>32.2573 * CHOOSE(CONTROL!$C$15, $E$9, 100%, $G$9) + CHOOSE(CONTROL!$C$38, 0.0347, 0)</f>
        <v>32.292000000000002</v>
      </c>
      <c r="J444" s="44">
        <f>220.0211</f>
        <v>220.02109999999999</v>
      </c>
    </row>
    <row r="445" spans="1:10" ht="15.75" x14ac:dyDescent="0.25">
      <c r="A445" s="14">
        <v>54482</v>
      </c>
      <c r="B445" s="10">
        <f>35.1499 * CHOOSE(CONTROL!$C$15, $E$9, 100%, $G$9) + CHOOSE(CONTROL!$C$38, 0.0256, 0)</f>
        <v>35.1755</v>
      </c>
      <c r="C445" s="10">
        <f>32.4781 * CHOOSE(CONTROL!$C$15, $E$9, 100%, $G$9) + CHOOSE(CONTROL!$C$38, 0.0347, 0)</f>
        <v>32.512799999999999</v>
      </c>
      <c r="D445" s="10">
        <f>32.4703 * CHOOSE(CONTROL!$C$15, $E$9, 100%, $G$9) + CHOOSE(CONTROL!$C$38, 0.0347, 0)</f>
        <v>32.505000000000003</v>
      </c>
      <c r="E445" s="46">
        <f>34.9936 * CHOOSE(CONTROL!$C$15, $E$9, 100%, $G$9) + CHOOSE(CONTROL!$C$38, 0.0347, 0)</f>
        <v>35.028300000000002</v>
      </c>
      <c r="F445" s="45">
        <f>34.9936 * CHOOSE(CONTROL!$C$15, $E$9, 100%, $G$9) + CHOOSE(CONTROL!$C$38, 0.0256, 0)</f>
        <v>35.019199999999998</v>
      </c>
      <c r="G445" s="10">
        <f>32.4765 * CHOOSE(CONTROL!$C$15, $E$9, 100%, $G$9) + CHOOSE(CONTROL!$C$38, 0.0347, 0)</f>
        <v>32.511200000000002</v>
      </c>
      <c r="H445" s="10">
        <f>32.4765 * CHOOSE(CONTROL!$C$15, $E$9, 100%, $G$9) + CHOOSE(CONTROL!$C$38, 0.0347, 0)</f>
        <v>32.511200000000002</v>
      </c>
      <c r="I445" s="10">
        <f>32.4781 * CHOOSE(CONTROL!$C$15, $E$9, 100%, $G$9) + CHOOSE(CONTROL!$C$38, 0.0347, 0)</f>
        <v>32.512799999999999</v>
      </c>
      <c r="J445" s="44">
        <f>219.4096</f>
        <v>219.40960000000001</v>
      </c>
    </row>
    <row r="446" spans="1:10" ht="15.75" x14ac:dyDescent="0.25">
      <c r="A446" s="14">
        <v>54513</v>
      </c>
      <c r="B446" s="10">
        <f>34.6389 * CHOOSE(CONTROL!$C$15, $E$9, 100%, $G$9) + CHOOSE(CONTROL!$C$38, 0.0256, 0)</f>
        <v>34.664499999999997</v>
      </c>
      <c r="C446" s="10">
        <f>31.9671 * CHOOSE(CONTROL!$C$15, $E$9, 100%, $G$9) + CHOOSE(CONTROL!$C$38, 0.0347, 0)</f>
        <v>32.001799999999996</v>
      </c>
      <c r="D446" s="10">
        <f>31.9592 * CHOOSE(CONTROL!$C$15, $E$9, 100%, $G$9) + CHOOSE(CONTROL!$C$38, 0.0347, 0)</f>
        <v>31.9939</v>
      </c>
      <c r="E446" s="46">
        <f>34.4826 * CHOOSE(CONTROL!$C$15, $E$9, 100%, $G$9) + CHOOSE(CONTROL!$C$38, 0.0347, 0)</f>
        <v>34.517299999999999</v>
      </c>
      <c r="F446" s="45">
        <f>34.4826 * CHOOSE(CONTROL!$C$15, $E$9, 100%, $G$9) + CHOOSE(CONTROL!$C$38, 0.0256, 0)</f>
        <v>34.508199999999995</v>
      </c>
      <c r="G446" s="10">
        <f>31.9655 * CHOOSE(CONTROL!$C$15, $E$9, 100%, $G$9) + CHOOSE(CONTROL!$C$38, 0.0347, 0)</f>
        <v>32.0002</v>
      </c>
      <c r="H446" s="10">
        <f>31.9655 * CHOOSE(CONTROL!$C$15, $E$9, 100%, $G$9) + CHOOSE(CONTROL!$C$38, 0.0347, 0)</f>
        <v>32.0002</v>
      </c>
      <c r="I446" s="10">
        <f>31.9671 * CHOOSE(CONTROL!$C$15, $E$9, 100%, $G$9) + CHOOSE(CONTROL!$C$38, 0.0347, 0)</f>
        <v>32.001799999999996</v>
      </c>
      <c r="J446" s="44">
        <f>230.9737</f>
        <v>230.97370000000001</v>
      </c>
    </row>
    <row r="447" spans="1:10" ht="15.75" x14ac:dyDescent="0.25">
      <c r="A447" s="14">
        <v>54543</v>
      </c>
      <c r="B447" s="10">
        <f>34.1437 * CHOOSE(CONTROL!$C$15, $E$9, 100%, $G$9) + CHOOSE(CONTROL!$C$38, 0.0256, 0)</f>
        <v>34.1693</v>
      </c>
      <c r="C447" s="10">
        <f>31.4719 * CHOOSE(CONTROL!$C$15, $E$9, 100%, $G$9) + CHOOSE(CONTROL!$C$38, 0.0347, 0)</f>
        <v>31.506600000000002</v>
      </c>
      <c r="D447" s="10">
        <f>31.4641 * CHOOSE(CONTROL!$C$15, $E$9, 100%, $G$9) + CHOOSE(CONTROL!$C$38, 0.0347, 0)</f>
        <v>31.498799999999999</v>
      </c>
      <c r="E447" s="46">
        <f>33.9874 * CHOOSE(CONTROL!$C$15, $E$9, 100%, $G$9) + CHOOSE(CONTROL!$C$38, 0.0347, 0)</f>
        <v>34.022100000000002</v>
      </c>
      <c r="F447" s="45">
        <f>33.9874 * CHOOSE(CONTROL!$C$15, $E$9, 100%, $G$9) + CHOOSE(CONTROL!$C$38, 0.0256, 0)</f>
        <v>34.012999999999998</v>
      </c>
      <c r="G447" s="10">
        <f>31.4703 * CHOOSE(CONTROL!$C$15, $E$9, 100%, $G$9) + CHOOSE(CONTROL!$C$38, 0.0347, 0)</f>
        <v>31.505000000000003</v>
      </c>
      <c r="H447" s="10">
        <f>31.4703 * CHOOSE(CONTROL!$C$15, $E$9, 100%, $G$9) + CHOOSE(CONTROL!$C$38, 0.0347, 0)</f>
        <v>31.505000000000003</v>
      </c>
      <c r="I447" s="10">
        <f>31.4719 * CHOOSE(CONTROL!$C$15, $E$9, 100%, $G$9) + CHOOSE(CONTROL!$C$38, 0.0347, 0)</f>
        <v>31.506600000000002</v>
      </c>
      <c r="J447" s="44">
        <f>245.9697</f>
        <v>245.96969999999999</v>
      </c>
    </row>
    <row r="448" spans="1:10" ht="15.75" x14ac:dyDescent="0.25">
      <c r="A448" s="14">
        <v>54574</v>
      </c>
      <c r="B448" s="10">
        <f>33.6276 * CHOOSE(CONTROL!$C$15, $E$9, 100%, $G$9) + CHOOSE(CONTROL!$C$38, 0.0278, 0)</f>
        <v>33.6554</v>
      </c>
      <c r="C448" s="10">
        <f>30.9558 * CHOOSE(CONTROL!$C$15, $E$9, 100%, $G$9) + CHOOSE(CONTROL!$C$38, 0.0369, 0)</f>
        <v>30.992699999999999</v>
      </c>
      <c r="D448" s="10">
        <f>30.948 * CHOOSE(CONTROL!$C$15, $E$9, 100%, $G$9) + CHOOSE(CONTROL!$C$38, 0.0369, 0)</f>
        <v>30.9849</v>
      </c>
      <c r="E448" s="46">
        <f>33.4713 * CHOOSE(CONTROL!$C$15, $E$9, 100%, $G$9) + CHOOSE(CONTROL!$C$38, 0.0369, 0)</f>
        <v>33.508200000000002</v>
      </c>
      <c r="F448" s="45">
        <f>33.4713 * CHOOSE(CONTROL!$C$15, $E$9, 100%, $G$9) + CHOOSE(CONTROL!$C$38, 0.0278, 0)</f>
        <v>33.499099999999999</v>
      </c>
      <c r="G448" s="10">
        <f>30.9542 * CHOOSE(CONTROL!$C$15, $E$9, 100%, $G$9) + CHOOSE(CONTROL!$C$38, 0.0369, 0)</f>
        <v>30.991099999999999</v>
      </c>
      <c r="H448" s="10">
        <f>30.9542 * CHOOSE(CONTROL!$C$15, $E$9, 100%, $G$9) + CHOOSE(CONTROL!$C$38, 0.0369, 0)</f>
        <v>30.991099999999999</v>
      </c>
      <c r="I448" s="10">
        <f>30.9558 * CHOOSE(CONTROL!$C$15, $E$9, 100%, $G$9) + CHOOSE(CONTROL!$C$38, 0.0369, 0)</f>
        <v>30.992699999999999</v>
      </c>
      <c r="J448" s="44">
        <f>254.2239</f>
        <v>254.22389999999999</v>
      </c>
    </row>
    <row r="449" spans="1:10" ht="15.75" x14ac:dyDescent="0.25">
      <c r="A449" s="14">
        <v>54604</v>
      </c>
      <c r="B449" s="10">
        <f>33.2657 * CHOOSE(CONTROL!$C$15, $E$9, 100%, $G$9) + CHOOSE(CONTROL!$C$38, 0.0278, 0)</f>
        <v>33.293500000000002</v>
      </c>
      <c r="C449" s="10">
        <f>30.5939 * CHOOSE(CONTROL!$C$15, $E$9, 100%, $G$9) + CHOOSE(CONTROL!$C$38, 0.0369, 0)</f>
        <v>30.630800000000001</v>
      </c>
      <c r="D449" s="10">
        <f>30.5861 * CHOOSE(CONTROL!$C$15, $E$9, 100%, $G$9) + CHOOSE(CONTROL!$C$38, 0.0369, 0)</f>
        <v>30.622999999999998</v>
      </c>
      <c r="E449" s="46">
        <f>33.1095 * CHOOSE(CONTROL!$C$15, $E$9, 100%, $G$9) + CHOOSE(CONTROL!$C$38, 0.0369, 0)</f>
        <v>33.1464</v>
      </c>
      <c r="F449" s="45">
        <f>33.1095 * CHOOSE(CONTROL!$C$15, $E$9, 100%, $G$9) + CHOOSE(CONTROL!$C$38, 0.0278, 0)</f>
        <v>33.137299999999996</v>
      </c>
      <c r="G449" s="10">
        <f>30.5924 * CHOOSE(CONTROL!$C$15, $E$9, 100%, $G$9) + CHOOSE(CONTROL!$C$38, 0.0369, 0)</f>
        <v>30.629300000000001</v>
      </c>
      <c r="H449" s="10">
        <f>30.5924 * CHOOSE(CONTROL!$C$15, $E$9, 100%, $G$9) + CHOOSE(CONTROL!$C$38, 0.0369, 0)</f>
        <v>30.629300000000001</v>
      </c>
      <c r="I449" s="10">
        <f>30.5939 * CHOOSE(CONTROL!$C$15, $E$9, 100%, $G$9) + CHOOSE(CONTROL!$C$38, 0.0369, 0)</f>
        <v>30.630800000000001</v>
      </c>
      <c r="J449" s="44">
        <f>257.887</f>
        <v>257.887</v>
      </c>
    </row>
    <row r="450" spans="1:10" ht="15.75" x14ac:dyDescent="0.25">
      <c r="A450" s="14">
        <v>54635</v>
      </c>
      <c r="B450" s="10">
        <f>33.0592 * CHOOSE(CONTROL!$C$15, $E$9, 100%, $G$9) + CHOOSE(CONTROL!$C$38, 0.0278, 0)</f>
        <v>33.086999999999996</v>
      </c>
      <c r="C450" s="10">
        <f>30.3874 * CHOOSE(CONTROL!$C$15, $E$9, 100%, $G$9) + CHOOSE(CONTROL!$C$38, 0.0369, 0)</f>
        <v>30.424299999999999</v>
      </c>
      <c r="D450" s="10">
        <f>30.3796 * CHOOSE(CONTROL!$C$15, $E$9, 100%, $G$9) + CHOOSE(CONTROL!$C$38, 0.0369, 0)</f>
        <v>30.416499999999999</v>
      </c>
      <c r="E450" s="46">
        <f>32.903 * CHOOSE(CONTROL!$C$15, $E$9, 100%, $G$9) + CHOOSE(CONTROL!$C$38, 0.0369, 0)</f>
        <v>32.939900000000002</v>
      </c>
      <c r="F450" s="45">
        <f>32.903 * CHOOSE(CONTROL!$C$15, $E$9, 100%, $G$9) + CHOOSE(CONTROL!$C$38, 0.0278, 0)</f>
        <v>32.930799999999998</v>
      </c>
      <c r="G450" s="10">
        <f>30.3859 * CHOOSE(CONTROL!$C$15, $E$9, 100%, $G$9) + CHOOSE(CONTROL!$C$38, 0.0369, 0)</f>
        <v>30.422799999999999</v>
      </c>
      <c r="H450" s="10">
        <f>30.3859 * CHOOSE(CONTROL!$C$15, $E$9, 100%, $G$9) + CHOOSE(CONTROL!$C$38, 0.0369, 0)</f>
        <v>30.422799999999999</v>
      </c>
      <c r="I450" s="10">
        <f>30.3874 * CHOOSE(CONTROL!$C$15, $E$9, 100%, $G$9) + CHOOSE(CONTROL!$C$38, 0.0369, 0)</f>
        <v>30.424299999999999</v>
      </c>
      <c r="J450" s="44">
        <f>256.6809</f>
        <v>256.68090000000001</v>
      </c>
    </row>
    <row r="451" spans="1:10" ht="15.75" x14ac:dyDescent="0.25">
      <c r="A451" s="14">
        <v>54666</v>
      </c>
      <c r="B451" s="10">
        <f>33.1612 * CHOOSE(CONTROL!$C$15, $E$9, 100%, $G$9) + CHOOSE(CONTROL!$C$38, 0.0278, 0)</f>
        <v>33.189</v>
      </c>
      <c r="C451" s="10">
        <f>30.4893 * CHOOSE(CONTROL!$C$15, $E$9, 100%, $G$9) + CHOOSE(CONTROL!$C$38, 0.0369, 0)</f>
        <v>30.526199999999999</v>
      </c>
      <c r="D451" s="10">
        <f>30.4815 * CHOOSE(CONTROL!$C$15, $E$9, 100%, $G$9) + CHOOSE(CONTROL!$C$38, 0.0369, 0)</f>
        <v>30.5184</v>
      </c>
      <c r="E451" s="46">
        <f>33.0049 * CHOOSE(CONTROL!$C$15, $E$9, 100%, $G$9) + CHOOSE(CONTROL!$C$38, 0.0369, 0)</f>
        <v>33.041800000000002</v>
      </c>
      <c r="F451" s="45">
        <f>33.0049 * CHOOSE(CONTROL!$C$15, $E$9, 100%, $G$9) + CHOOSE(CONTROL!$C$38, 0.0278, 0)</f>
        <v>33.032699999999998</v>
      </c>
      <c r="G451" s="10">
        <f>30.4878 * CHOOSE(CONTROL!$C$15, $E$9, 100%, $G$9) + CHOOSE(CONTROL!$C$38, 0.0369, 0)</f>
        <v>30.524699999999999</v>
      </c>
      <c r="H451" s="10">
        <f>30.4878 * CHOOSE(CONTROL!$C$15, $E$9, 100%, $G$9) + CHOOSE(CONTROL!$C$38, 0.0369, 0)</f>
        <v>30.524699999999999</v>
      </c>
      <c r="I451" s="10">
        <f>30.4893 * CHOOSE(CONTROL!$C$15, $E$9, 100%, $G$9) + CHOOSE(CONTROL!$C$38, 0.0369, 0)</f>
        <v>30.526199999999999</v>
      </c>
      <c r="J451" s="44">
        <f>250.7055</f>
        <v>250.7055</v>
      </c>
    </row>
    <row r="452" spans="1:10" ht="15.75" x14ac:dyDescent="0.25">
      <c r="A452" s="14">
        <v>54696</v>
      </c>
      <c r="B452" s="10">
        <f>33.438 * CHOOSE(CONTROL!$C$15, $E$9, 100%, $G$9) + CHOOSE(CONTROL!$C$38, 0.0278, 0)</f>
        <v>33.465800000000002</v>
      </c>
      <c r="C452" s="10">
        <f>30.7661 * CHOOSE(CONTROL!$C$15, $E$9, 100%, $G$9) + CHOOSE(CONTROL!$C$38, 0.0369, 0)</f>
        <v>30.803000000000001</v>
      </c>
      <c r="D452" s="10">
        <f>30.7583 * CHOOSE(CONTROL!$C$15, $E$9, 100%, $G$9) + CHOOSE(CONTROL!$C$38, 0.0369, 0)</f>
        <v>30.795199999999998</v>
      </c>
      <c r="E452" s="46">
        <f>33.2817 * CHOOSE(CONTROL!$C$15, $E$9, 100%, $G$9) + CHOOSE(CONTROL!$C$38, 0.0369, 0)</f>
        <v>33.318600000000004</v>
      </c>
      <c r="F452" s="45">
        <f>33.2817 * CHOOSE(CONTROL!$C$15, $E$9, 100%, $G$9) + CHOOSE(CONTROL!$C$38, 0.0278, 0)</f>
        <v>33.3095</v>
      </c>
      <c r="G452" s="10">
        <f>30.7646 * CHOOSE(CONTROL!$C$15, $E$9, 100%, $G$9) + CHOOSE(CONTROL!$C$38, 0.0369, 0)</f>
        <v>30.801500000000001</v>
      </c>
      <c r="H452" s="10">
        <f>30.7646 * CHOOSE(CONTROL!$C$15, $E$9, 100%, $G$9) + CHOOSE(CONTROL!$C$38, 0.0369, 0)</f>
        <v>30.801500000000001</v>
      </c>
      <c r="I452" s="10">
        <f>30.7661 * CHOOSE(CONTROL!$C$15, $E$9, 100%, $G$9) + CHOOSE(CONTROL!$C$38, 0.0369, 0)</f>
        <v>30.803000000000001</v>
      </c>
      <c r="J452" s="44">
        <f>242.3725</f>
        <v>242.3725</v>
      </c>
    </row>
    <row r="453" spans="1:10" ht="15.75" x14ac:dyDescent="0.25">
      <c r="A453" s="14">
        <v>54727</v>
      </c>
      <c r="B453" s="10">
        <f>33.6698 * CHOOSE(CONTROL!$C$15, $E$9, 100%, $G$9) + CHOOSE(CONTROL!$C$38, 0.0256, 0)</f>
        <v>33.695399999999999</v>
      </c>
      <c r="C453" s="10">
        <f>30.998 * CHOOSE(CONTROL!$C$15, $E$9, 100%, $G$9) + CHOOSE(CONTROL!$C$38, 0.0347, 0)</f>
        <v>31.032700000000002</v>
      </c>
      <c r="D453" s="10">
        <f>30.9902 * CHOOSE(CONTROL!$C$15, $E$9, 100%, $G$9) + CHOOSE(CONTROL!$C$38, 0.0347, 0)</f>
        <v>31.024900000000002</v>
      </c>
      <c r="E453" s="46">
        <f>33.5135 * CHOOSE(CONTROL!$C$15, $E$9, 100%, $G$9) + CHOOSE(CONTROL!$C$38, 0.0347, 0)</f>
        <v>33.548200000000001</v>
      </c>
      <c r="F453" s="45">
        <f>33.5135 * CHOOSE(CONTROL!$C$15, $E$9, 100%, $G$9) + CHOOSE(CONTROL!$C$38, 0.0256, 0)</f>
        <v>33.539099999999998</v>
      </c>
      <c r="G453" s="10">
        <f>30.9964 * CHOOSE(CONTROL!$C$15, $E$9, 100%, $G$9) + CHOOSE(CONTROL!$C$38, 0.0347, 0)</f>
        <v>31.031100000000002</v>
      </c>
      <c r="H453" s="10">
        <f>30.9964 * CHOOSE(CONTROL!$C$15, $E$9, 100%, $G$9) + CHOOSE(CONTROL!$C$38, 0.0347, 0)</f>
        <v>31.031100000000002</v>
      </c>
      <c r="I453" s="10">
        <f>30.998 * CHOOSE(CONTROL!$C$15, $E$9, 100%, $G$9) + CHOOSE(CONTROL!$C$38, 0.0347, 0)</f>
        <v>31.032700000000002</v>
      </c>
      <c r="J453" s="44">
        <f>233.991</f>
        <v>233.99100000000001</v>
      </c>
    </row>
    <row r="454" spans="1:10" ht="15.75" x14ac:dyDescent="0.25">
      <c r="A454" s="14">
        <v>54757</v>
      </c>
      <c r="B454" s="10">
        <f>33.8632 * CHOOSE(CONTROL!$C$15, $E$9, 100%, $G$9) + CHOOSE(CONTROL!$C$38, 0.0256, 0)</f>
        <v>33.888799999999996</v>
      </c>
      <c r="C454" s="10">
        <f>31.1914 * CHOOSE(CONTROL!$C$15, $E$9, 100%, $G$9) + CHOOSE(CONTROL!$C$38, 0.0347, 0)</f>
        <v>31.226100000000002</v>
      </c>
      <c r="D454" s="10">
        <f>31.1836 * CHOOSE(CONTROL!$C$15, $E$9, 100%, $G$9) + CHOOSE(CONTROL!$C$38, 0.0347, 0)</f>
        <v>31.218299999999999</v>
      </c>
      <c r="E454" s="46">
        <f>33.707 * CHOOSE(CONTROL!$C$15, $E$9, 100%, $G$9) + CHOOSE(CONTROL!$C$38, 0.0347, 0)</f>
        <v>33.741700000000002</v>
      </c>
      <c r="F454" s="45">
        <f>33.707 * CHOOSE(CONTROL!$C$15, $E$9, 100%, $G$9) + CHOOSE(CONTROL!$C$38, 0.0256, 0)</f>
        <v>33.732599999999998</v>
      </c>
      <c r="G454" s="10">
        <f>31.1898 * CHOOSE(CONTROL!$C$15, $E$9, 100%, $G$9) + CHOOSE(CONTROL!$C$38, 0.0347, 0)</f>
        <v>31.224500000000003</v>
      </c>
      <c r="H454" s="10">
        <f>31.1898 * CHOOSE(CONTROL!$C$15, $E$9, 100%, $G$9) + CHOOSE(CONTROL!$C$38, 0.0347, 0)</f>
        <v>31.224500000000003</v>
      </c>
      <c r="I454" s="10">
        <f>31.1914 * CHOOSE(CONTROL!$C$15, $E$9, 100%, $G$9) + CHOOSE(CONTROL!$C$38, 0.0347, 0)</f>
        <v>31.226100000000002</v>
      </c>
      <c r="J454" s="44">
        <f>232.3238</f>
        <v>232.32380000000001</v>
      </c>
    </row>
    <row r="455" spans="1:10" ht="15.75" x14ac:dyDescent="0.25">
      <c r="A455" s="14">
        <v>54788</v>
      </c>
      <c r="B455" s="10">
        <f>34.4593 * CHOOSE(CONTROL!$C$15, $E$9, 100%, $G$9) + CHOOSE(CONTROL!$C$38, 0.0256, 0)</f>
        <v>34.484899999999996</v>
      </c>
      <c r="C455" s="10">
        <f>31.7875 * CHOOSE(CONTROL!$C$15, $E$9, 100%, $G$9) + CHOOSE(CONTROL!$C$38, 0.0347, 0)</f>
        <v>31.822200000000002</v>
      </c>
      <c r="D455" s="10">
        <f>31.7797 * CHOOSE(CONTROL!$C$15, $E$9, 100%, $G$9) + CHOOSE(CONTROL!$C$38, 0.0347, 0)</f>
        <v>31.814399999999999</v>
      </c>
      <c r="E455" s="46">
        <f>34.303 * CHOOSE(CONTROL!$C$15, $E$9, 100%, $G$9) + CHOOSE(CONTROL!$C$38, 0.0347, 0)</f>
        <v>34.337699999999998</v>
      </c>
      <c r="F455" s="45">
        <f>34.303 * CHOOSE(CONTROL!$C$15, $E$9, 100%, $G$9) + CHOOSE(CONTROL!$C$38, 0.0256, 0)</f>
        <v>34.328599999999994</v>
      </c>
      <c r="G455" s="10">
        <f>31.7859 * CHOOSE(CONTROL!$C$15, $E$9, 100%, $G$9) + CHOOSE(CONTROL!$C$38, 0.0347, 0)</f>
        <v>31.820600000000002</v>
      </c>
      <c r="H455" s="10">
        <f>31.7859 * CHOOSE(CONTROL!$C$15, $E$9, 100%, $G$9) + CHOOSE(CONTROL!$C$38, 0.0347, 0)</f>
        <v>31.820600000000002</v>
      </c>
      <c r="I455" s="10">
        <f>31.7875 * CHOOSE(CONTROL!$C$15, $E$9, 100%, $G$9) + CHOOSE(CONTROL!$C$38, 0.0347, 0)</f>
        <v>31.822200000000002</v>
      </c>
      <c r="J455" s="44">
        <f>225.4295</f>
        <v>225.42949999999999</v>
      </c>
    </row>
    <row r="456" spans="1:10" ht="15.75" x14ac:dyDescent="0.25">
      <c r="A456" s="14">
        <v>54819</v>
      </c>
      <c r="B456" s="10">
        <f>35.4756 * CHOOSE(CONTROL!$C$15, $E$9, 100%, $G$9) + CHOOSE(CONTROL!$C$38, 0.0256, 0)</f>
        <v>35.501199999999997</v>
      </c>
      <c r="C456" s="10">
        <f>32.7626 * CHOOSE(CONTROL!$C$15, $E$9, 100%, $G$9) + CHOOSE(CONTROL!$C$38, 0.0347, 0)</f>
        <v>32.7973</v>
      </c>
      <c r="D456" s="10">
        <f>32.7548 * CHOOSE(CONTROL!$C$15, $E$9, 100%, $G$9) + CHOOSE(CONTROL!$C$38, 0.0347, 0)</f>
        <v>32.789500000000004</v>
      </c>
      <c r="E456" s="46">
        <f>35.3194 * CHOOSE(CONTROL!$C$15, $E$9, 100%, $G$9) + CHOOSE(CONTROL!$C$38, 0.0347, 0)</f>
        <v>35.354100000000003</v>
      </c>
      <c r="F456" s="45">
        <f>35.3194 * CHOOSE(CONTROL!$C$15, $E$9, 100%, $G$9) + CHOOSE(CONTROL!$C$38, 0.0256, 0)</f>
        <v>35.344999999999999</v>
      </c>
      <c r="G456" s="10">
        <f>32.761 * CHOOSE(CONTROL!$C$15, $E$9, 100%, $G$9) + CHOOSE(CONTROL!$C$38, 0.0347, 0)</f>
        <v>32.795700000000004</v>
      </c>
      <c r="H456" s="10">
        <f>32.761 * CHOOSE(CONTROL!$C$15, $E$9, 100%, $G$9) + CHOOSE(CONTROL!$C$38, 0.0347, 0)</f>
        <v>32.795700000000004</v>
      </c>
      <c r="I456" s="10">
        <f>32.7626 * CHOOSE(CONTROL!$C$15, $E$9, 100%, $G$9) + CHOOSE(CONTROL!$C$38, 0.0347, 0)</f>
        <v>32.7973</v>
      </c>
      <c r="J456" s="44">
        <f>224.999</f>
        <v>224.999</v>
      </c>
    </row>
    <row r="457" spans="1:10" ht="15.75" x14ac:dyDescent="0.25">
      <c r="A457" s="14">
        <v>54847</v>
      </c>
      <c r="B457" s="10">
        <f>35.6964 * CHOOSE(CONTROL!$C$15, $E$9, 100%, $G$9) + CHOOSE(CONTROL!$C$38, 0.0256, 0)</f>
        <v>35.721999999999994</v>
      </c>
      <c r="C457" s="10">
        <f>32.9834 * CHOOSE(CONTROL!$C$15, $E$9, 100%, $G$9) + CHOOSE(CONTROL!$C$38, 0.0347, 0)</f>
        <v>33.018100000000004</v>
      </c>
      <c r="D457" s="10">
        <f>32.9755 * CHOOSE(CONTROL!$C$15, $E$9, 100%, $G$9) + CHOOSE(CONTROL!$C$38, 0.0347, 0)</f>
        <v>33.010199999999998</v>
      </c>
      <c r="E457" s="46">
        <f>35.5402 * CHOOSE(CONTROL!$C$15, $E$9, 100%, $G$9) + CHOOSE(CONTROL!$C$38, 0.0347, 0)</f>
        <v>35.5749</v>
      </c>
      <c r="F457" s="45">
        <f>35.5402 * CHOOSE(CONTROL!$C$15, $E$9, 100%, $G$9) + CHOOSE(CONTROL!$C$38, 0.0256, 0)</f>
        <v>35.565799999999996</v>
      </c>
      <c r="G457" s="10">
        <f>32.9818 * CHOOSE(CONTROL!$C$15, $E$9, 100%, $G$9) + CHOOSE(CONTROL!$C$38, 0.0347, 0)</f>
        <v>33.016500000000001</v>
      </c>
      <c r="H457" s="10">
        <f>32.9818 * CHOOSE(CONTROL!$C$15, $E$9, 100%, $G$9) + CHOOSE(CONTROL!$C$38, 0.0347, 0)</f>
        <v>33.016500000000001</v>
      </c>
      <c r="I457" s="10">
        <f>32.9834 * CHOOSE(CONTROL!$C$15, $E$9, 100%, $G$9) + CHOOSE(CONTROL!$C$38, 0.0347, 0)</f>
        <v>33.018100000000004</v>
      </c>
      <c r="J457" s="44">
        <f>224.3736</f>
        <v>224.37360000000001</v>
      </c>
    </row>
    <row r="458" spans="1:10" ht="15.75" x14ac:dyDescent="0.25">
      <c r="A458" s="14">
        <v>54878</v>
      </c>
      <c r="B458" s="10">
        <f>35.1854 * CHOOSE(CONTROL!$C$15, $E$9, 100%, $G$9) + CHOOSE(CONTROL!$C$38, 0.0256, 0)</f>
        <v>35.210999999999999</v>
      </c>
      <c r="C458" s="10">
        <f>32.4723 * CHOOSE(CONTROL!$C$15, $E$9, 100%, $G$9) + CHOOSE(CONTROL!$C$38, 0.0347, 0)</f>
        <v>32.506999999999998</v>
      </c>
      <c r="D458" s="10">
        <f>32.4645 * CHOOSE(CONTROL!$C$15, $E$9, 100%, $G$9) + CHOOSE(CONTROL!$C$38, 0.0347, 0)</f>
        <v>32.499200000000002</v>
      </c>
      <c r="E458" s="46">
        <f>35.0291 * CHOOSE(CONTROL!$C$15, $E$9, 100%, $G$9) + CHOOSE(CONTROL!$C$38, 0.0347, 0)</f>
        <v>35.063800000000001</v>
      </c>
      <c r="F458" s="45">
        <f>35.0291 * CHOOSE(CONTROL!$C$15, $E$9, 100%, $G$9) + CHOOSE(CONTROL!$C$38, 0.0256, 0)</f>
        <v>35.054699999999997</v>
      </c>
      <c r="G458" s="10">
        <f>32.4708 * CHOOSE(CONTROL!$C$15, $E$9, 100%, $G$9) + CHOOSE(CONTROL!$C$38, 0.0347, 0)</f>
        <v>32.505499999999998</v>
      </c>
      <c r="H458" s="10">
        <f>32.4708 * CHOOSE(CONTROL!$C$15, $E$9, 100%, $G$9) + CHOOSE(CONTROL!$C$38, 0.0347, 0)</f>
        <v>32.505499999999998</v>
      </c>
      <c r="I458" s="10">
        <f>32.4723 * CHOOSE(CONTROL!$C$15, $E$9, 100%, $G$9) + CHOOSE(CONTROL!$C$38, 0.0347, 0)</f>
        <v>32.506999999999998</v>
      </c>
      <c r="J458" s="44">
        <f>236.1994</f>
        <v>236.1994</v>
      </c>
    </row>
    <row r="459" spans="1:10" ht="15.75" x14ac:dyDescent="0.25">
      <c r="A459" s="14">
        <v>54908</v>
      </c>
      <c r="B459" s="10">
        <f>34.6902 * CHOOSE(CONTROL!$C$15, $E$9, 100%, $G$9) + CHOOSE(CONTROL!$C$38, 0.0256, 0)</f>
        <v>34.715799999999994</v>
      </c>
      <c r="C459" s="10">
        <f>31.9771 * CHOOSE(CONTROL!$C$15, $E$9, 100%, $G$9) + CHOOSE(CONTROL!$C$38, 0.0347, 0)</f>
        <v>32.011800000000001</v>
      </c>
      <c r="D459" s="10">
        <f>31.9693 * CHOOSE(CONTROL!$C$15, $E$9, 100%, $G$9) + CHOOSE(CONTROL!$C$38, 0.0347, 0)</f>
        <v>32.003999999999998</v>
      </c>
      <c r="E459" s="46">
        <f>34.5339 * CHOOSE(CONTROL!$C$15, $E$9, 100%, $G$9) + CHOOSE(CONTROL!$C$38, 0.0347, 0)</f>
        <v>34.568600000000004</v>
      </c>
      <c r="F459" s="45">
        <f>34.5339 * CHOOSE(CONTROL!$C$15, $E$9, 100%, $G$9) + CHOOSE(CONTROL!$C$38, 0.0256, 0)</f>
        <v>34.5595</v>
      </c>
      <c r="G459" s="10">
        <f>31.9756 * CHOOSE(CONTROL!$C$15, $E$9, 100%, $G$9) + CHOOSE(CONTROL!$C$38, 0.0347, 0)</f>
        <v>32.010300000000001</v>
      </c>
      <c r="H459" s="10">
        <f>31.9756 * CHOOSE(CONTROL!$C$15, $E$9, 100%, $G$9) + CHOOSE(CONTROL!$C$38, 0.0347, 0)</f>
        <v>32.010300000000001</v>
      </c>
      <c r="I459" s="10">
        <f>31.9771 * CHOOSE(CONTROL!$C$15, $E$9, 100%, $G$9) + CHOOSE(CONTROL!$C$38, 0.0347, 0)</f>
        <v>32.011800000000001</v>
      </c>
      <c r="J459" s="44">
        <f>251.5346</f>
        <v>251.53460000000001</v>
      </c>
    </row>
    <row r="460" spans="1:10" ht="15.75" x14ac:dyDescent="0.25">
      <c r="A460" s="14">
        <v>54939</v>
      </c>
      <c r="B460" s="10">
        <f>34.1741 * CHOOSE(CONTROL!$C$15, $E$9, 100%, $G$9) + CHOOSE(CONTROL!$C$38, 0.0278, 0)</f>
        <v>34.201900000000002</v>
      </c>
      <c r="C460" s="10">
        <f>31.461 * CHOOSE(CONTROL!$C$15, $E$9, 100%, $G$9) + CHOOSE(CONTROL!$C$38, 0.0369, 0)</f>
        <v>31.497899999999998</v>
      </c>
      <c r="D460" s="10">
        <f>31.4532 * CHOOSE(CONTROL!$C$15, $E$9, 100%, $G$9) + CHOOSE(CONTROL!$C$38, 0.0369, 0)</f>
        <v>31.490099999999998</v>
      </c>
      <c r="E460" s="46">
        <f>34.0178 * CHOOSE(CONTROL!$C$15, $E$9, 100%, $G$9) + CHOOSE(CONTROL!$C$38, 0.0369, 0)</f>
        <v>34.054700000000004</v>
      </c>
      <c r="F460" s="45">
        <f>34.0178 * CHOOSE(CONTROL!$C$15, $E$9, 100%, $G$9) + CHOOSE(CONTROL!$C$38, 0.0278, 0)</f>
        <v>34.0456</v>
      </c>
      <c r="G460" s="10">
        <f>31.4595 * CHOOSE(CONTROL!$C$15, $E$9, 100%, $G$9) + CHOOSE(CONTROL!$C$38, 0.0369, 0)</f>
        <v>31.496399999999998</v>
      </c>
      <c r="H460" s="10">
        <f>31.4595 * CHOOSE(CONTROL!$C$15, $E$9, 100%, $G$9) + CHOOSE(CONTROL!$C$38, 0.0369, 0)</f>
        <v>31.496399999999998</v>
      </c>
      <c r="I460" s="10">
        <f>31.461 * CHOOSE(CONTROL!$C$15, $E$9, 100%, $G$9) + CHOOSE(CONTROL!$C$38, 0.0369, 0)</f>
        <v>31.497899999999998</v>
      </c>
      <c r="J460" s="44">
        <f>259.9756</f>
        <v>259.97559999999999</v>
      </c>
    </row>
    <row r="461" spans="1:10" ht="15.75" x14ac:dyDescent="0.25">
      <c r="A461" s="14">
        <v>54969</v>
      </c>
      <c r="B461" s="10">
        <f>33.8122 * CHOOSE(CONTROL!$C$15, $E$9, 100%, $G$9) + CHOOSE(CONTROL!$C$38, 0.0278, 0)</f>
        <v>33.839999999999996</v>
      </c>
      <c r="C461" s="10">
        <f>31.0992 * CHOOSE(CONTROL!$C$15, $E$9, 100%, $G$9) + CHOOSE(CONTROL!$C$38, 0.0369, 0)</f>
        <v>31.136099999999999</v>
      </c>
      <c r="D461" s="10">
        <f>31.0914 * CHOOSE(CONTROL!$C$15, $E$9, 100%, $G$9) + CHOOSE(CONTROL!$C$38, 0.0369, 0)</f>
        <v>31.128299999999999</v>
      </c>
      <c r="E461" s="46">
        <f>33.656 * CHOOSE(CONTROL!$C$15, $E$9, 100%, $G$9) + CHOOSE(CONTROL!$C$38, 0.0369, 0)</f>
        <v>33.692900000000002</v>
      </c>
      <c r="F461" s="45">
        <f>33.656 * CHOOSE(CONTROL!$C$15, $E$9, 100%, $G$9) + CHOOSE(CONTROL!$C$38, 0.0278, 0)</f>
        <v>33.683799999999998</v>
      </c>
      <c r="G461" s="10">
        <f>31.0976 * CHOOSE(CONTROL!$C$15, $E$9, 100%, $G$9) + CHOOSE(CONTROL!$C$38, 0.0369, 0)</f>
        <v>31.134499999999999</v>
      </c>
      <c r="H461" s="10">
        <f>31.0976 * CHOOSE(CONTROL!$C$15, $E$9, 100%, $G$9) + CHOOSE(CONTROL!$C$38, 0.0369, 0)</f>
        <v>31.134499999999999</v>
      </c>
      <c r="I461" s="10">
        <f>31.0992 * CHOOSE(CONTROL!$C$15, $E$9, 100%, $G$9) + CHOOSE(CONTROL!$C$38, 0.0369, 0)</f>
        <v>31.136099999999999</v>
      </c>
      <c r="J461" s="44">
        <f>263.7216</f>
        <v>263.72160000000002</v>
      </c>
    </row>
    <row r="462" spans="1:10" ht="15.75" x14ac:dyDescent="0.25">
      <c r="A462" s="14">
        <v>55000</v>
      </c>
      <c r="B462" s="10">
        <f>33.6058 * CHOOSE(CONTROL!$C$15, $E$9, 100%, $G$9) + CHOOSE(CONTROL!$C$38, 0.0278, 0)</f>
        <v>33.633600000000001</v>
      </c>
      <c r="C462" s="10">
        <f>30.8927 * CHOOSE(CONTROL!$C$15, $E$9, 100%, $G$9) + CHOOSE(CONTROL!$C$38, 0.0369, 0)</f>
        <v>30.929600000000001</v>
      </c>
      <c r="D462" s="10">
        <f>30.8849 * CHOOSE(CONTROL!$C$15, $E$9, 100%, $G$9) + CHOOSE(CONTROL!$C$38, 0.0369, 0)</f>
        <v>30.921799999999998</v>
      </c>
      <c r="E462" s="46">
        <f>33.4495 * CHOOSE(CONTROL!$C$15, $E$9, 100%, $G$9) + CHOOSE(CONTROL!$C$38, 0.0369, 0)</f>
        <v>33.486400000000003</v>
      </c>
      <c r="F462" s="45">
        <f>33.4495 * CHOOSE(CONTROL!$C$15, $E$9, 100%, $G$9) + CHOOSE(CONTROL!$C$38, 0.0278, 0)</f>
        <v>33.4773</v>
      </c>
      <c r="G462" s="10">
        <f>30.8911 * CHOOSE(CONTROL!$C$15, $E$9, 100%, $G$9) + CHOOSE(CONTROL!$C$38, 0.0369, 0)</f>
        <v>30.928000000000001</v>
      </c>
      <c r="H462" s="10">
        <f>30.8911 * CHOOSE(CONTROL!$C$15, $E$9, 100%, $G$9) + CHOOSE(CONTROL!$C$38, 0.0369, 0)</f>
        <v>30.928000000000001</v>
      </c>
      <c r="I462" s="10">
        <f>30.8927 * CHOOSE(CONTROL!$C$15, $E$9, 100%, $G$9) + CHOOSE(CONTROL!$C$38, 0.0369, 0)</f>
        <v>30.929600000000001</v>
      </c>
      <c r="J462" s="44">
        <f>262.4882</f>
        <v>262.48820000000001</v>
      </c>
    </row>
    <row r="463" spans="1:10" ht="15.75" x14ac:dyDescent="0.25">
      <c r="A463" s="14">
        <v>55031</v>
      </c>
      <c r="B463" s="10">
        <f>33.7077 * CHOOSE(CONTROL!$C$15, $E$9, 100%, $G$9) + CHOOSE(CONTROL!$C$38, 0.0278, 0)</f>
        <v>33.735500000000002</v>
      </c>
      <c r="C463" s="10">
        <f>30.9946 * CHOOSE(CONTROL!$C$15, $E$9, 100%, $G$9) + CHOOSE(CONTROL!$C$38, 0.0369, 0)</f>
        <v>31.031499999999998</v>
      </c>
      <c r="D463" s="10">
        <f>30.9868 * CHOOSE(CONTROL!$C$15, $E$9, 100%, $G$9) + CHOOSE(CONTROL!$C$38, 0.0369, 0)</f>
        <v>31.023699999999998</v>
      </c>
      <c r="E463" s="46">
        <f>33.5514 * CHOOSE(CONTROL!$C$15, $E$9, 100%, $G$9) + CHOOSE(CONTROL!$C$38, 0.0369, 0)</f>
        <v>33.588300000000004</v>
      </c>
      <c r="F463" s="45">
        <f>33.5514 * CHOOSE(CONTROL!$C$15, $E$9, 100%, $G$9) + CHOOSE(CONTROL!$C$38, 0.0278, 0)</f>
        <v>33.5792</v>
      </c>
      <c r="G463" s="10">
        <f>30.993 * CHOOSE(CONTROL!$C$15, $E$9, 100%, $G$9) + CHOOSE(CONTROL!$C$38, 0.0369, 0)</f>
        <v>31.029899999999998</v>
      </c>
      <c r="H463" s="10">
        <f>30.993 * CHOOSE(CONTROL!$C$15, $E$9, 100%, $G$9) + CHOOSE(CONTROL!$C$38, 0.0369, 0)</f>
        <v>31.029899999999998</v>
      </c>
      <c r="I463" s="10">
        <f>30.9946 * CHOOSE(CONTROL!$C$15, $E$9, 100%, $G$9) + CHOOSE(CONTROL!$C$38, 0.0369, 0)</f>
        <v>31.031499999999998</v>
      </c>
      <c r="J463" s="44">
        <f>256.3776</f>
        <v>256.37759999999997</v>
      </c>
    </row>
    <row r="464" spans="1:10" ht="15.75" x14ac:dyDescent="0.25">
      <c r="A464" s="14">
        <v>55061</v>
      </c>
      <c r="B464" s="10">
        <f>33.9845 * CHOOSE(CONTROL!$C$15, $E$9, 100%, $G$9) + CHOOSE(CONTROL!$C$38, 0.0278, 0)</f>
        <v>34.012299999999996</v>
      </c>
      <c r="C464" s="10">
        <f>31.2714 * CHOOSE(CONTROL!$C$15, $E$9, 100%, $G$9) + CHOOSE(CONTROL!$C$38, 0.0369, 0)</f>
        <v>31.308299999999999</v>
      </c>
      <c r="D464" s="10">
        <f>31.2636 * CHOOSE(CONTROL!$C$15, $E$9, 100%, $G$9) + CHOOSE(CONTROL!$C$38, 0.0369, 0)</f>
        <v>31.3005</v>
      </c>
      <c r="E464" s="46">
        <f>33.8282 * CHOOSE(CONTROL!$C$15, $E$9, 100%, $G$9) + CHOOSE(CONTROL!$C$38, 0.0369, 0)</f>
        <v>33.865100000000005</v>
      </c>
      <c r="F464" s="45">
        <f>33.8282 * CHOOSE(CONTROL!$C$15, $E$9, 100%, $G$9) + CHOOSE(CONTROL!$C$38, 0.0278, 0)</f>
        <v>33.856000000000002</v>
      </c>
      <c r="G464" s="10">
        <f>31.2698 * CHOOSE(CONTROL!$C$15, $E$9, 100%, $G$9) + CHOOSE(CONTROL!$C$38, 0.0369, 0)</f>
        <v>31.306699999999999</v>
      </c>
      <c r="H464" s="10">
        <f>31.2698 * CHOOSE(CONTROL!$C$15, $E$9, 100%, $G$9) + CHOOSE(CONTROL!$C$38, 0.0369, 0)</f>
        <v>31.306699999999999</v>
      </c>
      <c r="I464" s="10">
        <f>31.2714 * CHOOSE(CONTROL!$C$15, $E$9, 100%, $G$9) + CHOOSE(CONTROL!$C$38, 0.0369, 0)</f>
        <v>31.308299999999999</v>
      </c>
      <c r="J464" s="44">
        <f>247.8561</f>
        <v>247.8561</v>
      </c>
    </row>
    <row r="465" spans="1:10" ht="15.75" x14ac:dyDescent="0.25">
      <c r="A465" s="14">
        <v>55092</v>
      </c>
      <c r="B465" s="10">
        <f>34.2163 * CHOOSE(CONTROL!$C$15, $E$9, 100%, $G$9) + CHOOSE(CONTROL!$C$38, 0.0256, 0)</f>
        <v>34.241899999999994</v>
      </c>
      <c r="C465" s="10">
        <f>31.5032 * CHOOSE(CONTROL!$C$15, $E$9, 100%, $G$9) + CHOOSE(CONTROL!$C$38, 0.0347, 0)</f>
        <v>31.5379</v>
      </c>
      <c r="D465" s="10">
        <f>31.4954 * CHOOSE(CONTROL!$C$15, $E$9, 100%, $G$9) + CHOOSE(CONTROL!$C$38, 0.0347, 0)</f>
        <v>31.530100000000001</v>
      </c>
      <c r="E465" s="46">
        <f>34.06 * CHOOSE(CONTROL!$C$15, $E$9, 100%, $G$9) + CHOOSE(CONTROL!$C$38, 0.0347, 0)</f>
        <v>34.094700000000003</v>
      </c>
      <c r="F465" s="45">
        <f>34.06 * CHOOSE(CONTROL!$C$15, $E$9, 100%, $G$9) + CHOOSE(CONTROL!$C$38, 0.0256, 0)</f>
        <v>34.085599999999999</v>
      </c>
      <c r="G465" s="10">
        <f>31.5017 * CHOOSE(CONTROL!$C$15, $E$9, 100%, $G$9) + CHOOSE(CONTROL!$C$38, 0.0347, 0)</f>
        <v>31.5364</v>
      </c>
      <c r="H465" s="10">
        <f>31.5017 * CHOOSE(CONTROL!$C$15, $E$9, 100%, $G$9) + CHOOSE(CONTROL!$C$38, 0.0347, 0)</f>
        <v>31.5364</v>
      </c>
      <c r="I465" s="10">
        <f>31.5032 * CHOOSE(CONTROL!$C$15, $E$9, 100%, $G$9) + CHOOSE(CONTROL!$C$38, 0.0347, 0)</f>
        <v>31.5379</v>
      </c>
      <c r="J465" s="44">
        <f>239.2849</f>
        <v>239.28489999999999</v>
      </c>
    </row>
    <row r="466" spans="1:10" ht="15.75" x14ac:dyDescent="0.25">
      <c r="A466" s="14">
        <v>55122</v>
      </c>
      <c r="B466" s="10">
        <f>34.4097 * CHOOSE(CONTROL!$C$15, $E$9, 100%, $G$9) + CHOOSE(CONTROL!$C$38, 0.0256, 0)</f>
        <v>34.435299999999998</v>
      </c>
      <c r="C466" s="10">
        <f>31.6967 * CHOOSE(CONTROL!$C$15, $E$9, 100%, $G$9) + CHOOSE(CONTROL!$C$38, 0.0347, 0)</f>
        <v>31.731400000000001</v>
      </c>
      <c r="D466" s="10">
        <f>31.6889 * CHOOSE(CONTROL!$C$15, $E$9, 100%, $G$9) + CHOOSE(CONTROL!$C$38, 0.0347, 0)</f>
        <v>31.723600000000001</v>
      </c>
      <c r="E466" s="46">
        <f>34.2535 * CHOOSE(CONTROL!$C$15, $E$9, 100%, $G$9) + CHOOSE(CONTROL!$C$38, 0.0347, 0)</f>
        <v>34.288200000000003</v>
      </c>
      <c r="F466" s="45">
        <f>34.2535 * CHOOSE(CONTROL!$C$15, $E$9, 100%, $G$9) + CHOOSE(CONTROL!$C$38, 0.0256, 0)</f>
        <v>34.2791</v>
      </c>
      <c r="G466" s="10">
        <f>31.6951 * CHOOSE(CONTROL!$C$15, $E$9, 100%, $G$9) + CHOOSE(CONTROL!$C$38, 0.0347, 0)</f>
        <v>31.729800000000001</v>
      </c>
      <c r="H466" s="10">
        <f>31.6951 * CHOOSE(CONTROL!$C$15, $E$9, 100%, $G$9) + CHOOSE(CONTROL!$C$38, 0.0347, 0)</f>
        <v>31.729800000000001</v>
      </c>
      <c r="I466" s="10">
        <f>31.6967 * CHOOSE(CONTROL!$C$15, $E$9, 100%, $G$9) + CHOOSE(CONTROL!$C$38, 0.0347, 0)</f>
        <v>31.731400000000001</v>
      </c>
      <c r="J466" s="44">
        <f>237.58</f>
        <v>237.58</v>
      </c>
    </row>
    <row r="467" spans="1:10" ht="15.75" x14ac:dyDescent="0.25">
      <c r="A467" s="14">
        <v>55153</v>
      </c>
      <c r="B467" s="10">
        <f>35.0058 * CHOOSE(CONTROL!$C$15, $E$9, 100%, $G$9) + CHOOSE(CONTROL!$C$38, 0.0256, 0)</f>
        <v>35.031399999999998</v>
      </c>
      <c r="C467" s="10">
        <f>32.2927 * CHOOSE(CONTROL!$C$15, $E$9, 100%, $G$9) + CHOOSE(CONTROL!$C$38, 0.0347, 0)</f>
        <v>32.327400000000004</v>
      </c>
      <c r="D467" s="10">
        <f>32.2849 * CHOOSE(CONTROL!$C$15, $E$9, 100%, $G$9) + CHOOSE(CONTROL!$C$38, 0.0347, 0)</f>
        <v>32.319600000000001</v>
      </c>
      <c r="E467" s="46">
        <f>34.8495 * CHOOSE(CONTROL!$C$15, $E$9, 100%, $G$9) + CHOOSE(CONTROL!$C$38, 0.0347, 0)</f>
        <v>34.8842</v>
      </c>
      <c r="F467" s="45">
        <f>34.8495 * CHOOSE(CONTROL!$C$15, $E$9, 100%, $G$9) + CHOOSE(CONTROL!$C$38, 0.0256, 0)</f>
        <v>34.875099999999996</v>
      </c>
      <c r="G467" s="10">
        <f>32.2912 * CHOOSE(CONTROL!$C$15, $E$9, 100%, $G$9) + CHOOSE(CONTROL!$C$38, 0.0347, 0)</f>
        <v>32.325900000000004</v>
      </c>
      <c r="H467" s="10">
        <f>32.2912 * CHOOSE(CONTROL!$C$15, $E$9, 100%, $G$9) + CHOOSE(CONTROL!$C$38, 0.0347, 0)</f>
        <v>32.325900000000004</v>
      </c>
      <c r="I467" s="10">
        <f>32.2927 * CHOOSE(CONTROL!$C$15, $E$9, 100%, $G$9) + CHOOSE(CONTROL!$C$38, 0.0347, 0)</f>
        <v>32.327400000000004</v>
      </c>
      <c r="J467" s="44">
        <f>230.5298</f>
        <v>230.52979999999999</v>
      </c>
    </row>
    <row r="468" spans="1:10" ht="15.75" x14ac:dyDescent="0.25">
      <c r="A468" s="14">
        <v>55184</v>
      </c>
      <c r="B468" s="10">
        <f>36.0311 * CHOOSE(CONTROL!$C$15, $E$9, 100%, $G$9) + CHOOSE(CONTROL!$C$38, 0.0256, 0)</f>
        <v>36.056699999999999</v>
      </c>
      <c r="C468" s="10">
        <f>33.2761 * CHOOSE(CONTROL!$C$15, $E$9, 100%, $G$9) + CHOOSE(CONTROL!$C$38, 0.0347, 0)</f>
        <v>33.3108</v>
      </c>
      <c r="D468" s="10">
        <f>33.2683 * CHOOSE(CONTROL!$C$15, $E$9, 100%, $G$9) + CHOOSE(CONTROL!$C$38, 0.0347, 0)</f>
        <v>33.303000000000004</v>
      </c>
      <c r="E468" s="46">
        <f>35.8749 * CHOOSE(CONTROL!$C$15, $E$9, 100%, $G$9) + CHOOSE(CONTROL!$C$38, 0.0347, 0)</f>
        <v>35.909599999999998</v>
      </c>
      <c r="F468" s="45">
        <f>35.8749 * CHOOSE(CONTROL!$C$15, $E$9, 100%, $G$9) + CHOOSE(CONTROL!$C$38, 0.0256, 0)</f>
        <v>35.900499999999994</v>
      </c>
      <c r="G468" s="10">
        <f>33.2746 * CHOOSE(CONTROL!$C$15, $E$9, 100%, $G$9) + CHOOSE(CONTROL!$C$38, 0.0347, 0)</f>
        <v>33.3093</v>
      </c>
      <c r="H468" s="10">
        <f>33.2746 * CHOOSE(CONTROL!$C$15, $E$9, 100%, $G$9) + CHOOSE(CONTROL!$C$38, 0.0347, 0)</f>
        <v>33.3093</v>
      </c>
      <c r="I468" s="10">
        <f>33.2761 * CHOOSE(CONTROL!$C$15, $E$9, 100%, $G$9) + CHOOSE(CONTROL!$C$38, 0.0347, 0)</f>
        <v>33.3108</v>
      </c>
      <c r="J468" s="44">
        <f>230.0895</f>
        <v>230.08949999999999</v>
      </c>
    </row>
    <row r="469" spans="1:10" ht="15.75" x14ac:dyDescent="0.25">
      <c r="A469" s="14">
        <v>55212</v>
      </c>
      <c r="B469" s="10">
        <f>36.2519 * CHOOSE(CONTROL!$C$15, $E$9, 100%, $G$9) + CHOOSE(CONTROL!$C$38, 0.0256, 0)</f>
        <v>36.277499999999996</v>
      </c>
      <c r="C469" s="10">
        <f>33.4969 * CHOOSE(CONTROL!$C$15, $E$9, 100%, $G$9) + CHOOSE(CONTROL!$C$38, 0.0347, 0)</f>
        <v>33.531599999999997</v>
      </c>
      <c r="D469" s="10">
        <f>33.4891 * CHOOSE(CONTROL!$C$15, $E$9, 100%, $G$9) + CHOOSE(CONTROL!$C$38, 0.0347, 0)</f>
        <v>33.523800000000001</v>
      </c>
      <c r="E469" s="46">
        <f>36.0956 * CHOOSE(CONTROL!$C$15, $E$9, 100%, $G$9) + CHOOSE(CONTROL!$C$38, 0.0347, 0)</f>
        <v>36.130299999999998</v>
      </c>
      <c r="F469" s="45">
        <f>36.0956 * CHOOSE(CONTROL!$C$15, $E$9, 100%, $G$9) + CHOOSE(CONTROL!$C$38, 0.0256, 0)</f>
        <v>36.121199999999995</v>
      </c>
      <c r="G469" s="10">
        <f>33.4953 * CHOOSE(CONTROL!$C$15, $E$9, 100%, $G$9) + CHOOSE(CONTROL!$C$38, 0.0347, 0)</f>
        <v>33.53</v>
      </c>
      <c r="H469" s="10">
        <f>33.4953 * CHOOSE(CONTROL!$C$15, $E$9, 100%, $G$9) + CHOOSE(CONTROL!$C$38, 0.0347, 0)</f>
        <v>33.53</v>
      </c>
      <c r="I469" s="10">
        <f>33.4969 * CHOOSE(CONTROL!$C$15, $E$9, 100%, $G$9) + CHOOSE(CONTROL!$C$38, 0.0347, 0)</f>
        <v>33.531599999999997</v>
      </c>
      <c r="J469" s="44">
        <f>229.4499</f>
        <v>229.44990000000001</v>
      </c>
    </row>
    <row r="470" spans="1:10" ht="15.75" x14ac:dyDescent="0.25">
      <c r="A470" s="14">
        <v>55243</v>
      </c>
      <c r="B470" s="10">
        <f>35.7408 * CHOOSE(CONTROL!$C$15, $E$9, 100%, $G$9) + CHOOSE(CONTROL!$C$38, 0.0256, 0)</f>
        <v>35.766399999999997</v>
      </c>
      <c r="C470" s="10">
        <f>32.9859 * CHOOSE(CONTROL!$C$15, $E$9, 100%, $G$9) + CHOOSE(CONTROL!$C$38, 0.0347, 0)</f>
        <v>33.020600000000002</v>
      </c>
      <c r="D470" s="10">
        <f>32.9781 * CHOOSE(CONTROL!$C$15, $E$9, 100%, $G$9) + CHOOSE(CONTROL!$C$38, 0.0347, 0)</f>
        <v>33.012799999999999</v>
      </c>
      <c r="E470" s="46">
        <f>35.5846 * CHOOSE(CONTROL!$C$15, $E$9, 100%, $G$9) + CHOOSE(CONTROL!$C$38, 0.0347, 0)</f>
        <v>35.619300000000003</v>
      </c>
      <c r="F470" s="45">
        <f>35.5846 * CHOOSE(CONTROL!$C$15, $E$9, 100%, $G$9) + CHOOSE(CONTROL!$C$38, 0.0256, 0)</f>
        <v>35.610199999999999</v>
      </c>
      <c r="G470" s="10">
        <f>32.9843 * CHOOSE(CONTROL!$C$15, $E$9, 100%, $G$9) + CHOOSE(CONTROL!$C$38, 0.0347, 0)</f>
        <v>33.018999999999998</v>
      </c>
      <c r="H470" s="10">
        <f>32.9843 * CHOOSE(CONTROL!$C$15, $E$9, 100%, $G$9) + CHOOSE(CONTROL!$C$38, 0.0347, 0)</f>
        <v>33.018999999999998</v>
      </c>
      <c r="I470" s="10">
        <f>32.9859 * CHOOSE(CONTROL!$C$15, $E$9, 100%, $G$9) + CHOOSE(CONTROL!$C$38, 0.0347, 0)</f>
        <v>33.020600000000002</v>
      </c>
      <c r="J470" s="44">
        <f>241.5433</f>
        <v>241.54329999999999</v>
      </c>
    </row>
    <row r="471" spans="1:10" ht="15.75" x14ac:dyDescent="0.25">
      <c r="A471" s="14">
        <v>55273</v>
      </c>
      <c r="B471" s="10">
        <f>35.2457 * CHOOSE(CONTROL!$C$15, $E$9, 100%, $G$9) + CHOOSE(CONTROL!$C$38, 0.0256, 0)</f>
        <v>35.271299999999997</v>
      </c>
      <c r="C471" s="10">
        <f>32.4907 * CHOOSE(CONTROL!$C$15, $E$9, 100%, $G$9) + CHOOSE(CONTROL!$C$38, 0.0347, 0)</f>
        <v>32.525399999999998</v>
      </c>
      <c r="D471" s="10">
        <f>32.4829 * CHOOSE(CONTROL!$C$15, $E$9, 100%, $G$9) + CHOOSE(CONTROL!$C$38, 0.0347, 0)</f>
        <v>32.517600000000002</v>
      </c>
      <c r="E471" s="46">
        <f>35.0894 * CHOOSE(CONTROL!$C$15, $E$9, 100%, $G$9) + CHOOSE(CONTROL!$C$38, 0.0347, 0)</f>
        <v>35.124099999999999</v>
      </c>
      <c r="F471" s="45">
        <f>35.0894 * CHOOSE(CONTROL!$C$15, $E$9, 100%, $G$9) + CHOOSE(CONTROL!$C$38, 0.0256, 0)</f>
        <v>35.114999999999995</v>
      </c>
      <c r="G471" s="10">
        <f>32.4891 * CHOOSE(CONTROL!$C$15, $E$9, 100%, $G$9) + CHOOSE(CONTROL!$C$38, 0.0347, 0)</f>
        <v>32.523800000000001</v>
      </c>
      <c r="H471" s="10">
        <f>32.4891 * CHOOSE(CONTROL!$C$15, $E$9, 100%, $G$9) + CHOOSE(CONTROL!$C$38, 0.0347, 0)</f>
        <v>32.523800000000001</v>
      </c>
      <c r="I471" s="10">
        <f>32.4907 * CHOOSE(CONTROL!$C$15, $E$9, 100%, $G$9) + CHOOSE(CONTROL!$C$38, 0.0347, 0)</f>
        <v>32.525399999999998</v>
      </c>
      <c r="J471" s="44">
        <f>257.2254</f>
        <v>257.22539999999998</v>
      </c>
    </row>
    <row r="472" spans="1:10" ht="15.75" x14ac:dyDescent="0.25">
      <c r="A472" s="14">
        <v>55304</v>
      </c>
      <c r="B472" s="10">
        <f>34.7295 * CHOOSE(CONTROL!$C$15, $E$9, 100%, $G$9) + CHOOSE(CONTROL!$C$38, 0.0278, 0)</f>
        <v>34.757300000000001</v>
      </c>
      <c r="C472" s="10">
        <f>31.9746 * CHOOSE(CONTROL!$C$15, $E$9, 100%, $G$9) + CHOOSE(CONTROL!$C$38, 0.0369, 0)</f>
        <v>32.011499999999998</v>
      </c>
      <c r="D472" s="10">
        <f>31.9668 * CHOOSE(CONTROL!$C$15, $E$9, 100%, $G$9) + CHOOSE(CONTROL!$C$38, 0.0369, 0)</f>
        <v>32.003700000000002</v>
      </c>
      <c r="E472" s="46">
        <f>34.5733 * CHOOSE(CONTROL!$C$15, $E$9, 100%, $G$9) + CHOOSE(CONTROL!$C$38, 0.0369, 0)</f>
        <v>34.610200000000006</v>
      </c>
      <c r="F472" s="45">
        <f>34.5733 * CHOOSE(CONTROL!$C$15, $E$9, 100%, $G$9) + CHOOSE(CONTROL!$C$38, 0.0278, 0)</f>
        <v>34.601100000000002</v>
      </c>
      <c r="G472" s="10">
        <f>31.973 * CHOOSE(CONTROL!$C$15, $E$9, 100%, $G$9) + CHOOSE(CONTROL!$C$38, 0.0369, 0)</f>
        <v>32.009900000000002</v>
      </c>
      <c r="H472" s="10">
        <f>31.973 * CHOOSE(CONTROL!$C$15, $E$9, 100%, $G$9) + CHOOSE(CONTROL!$C$38, 0.0369, 0)</f>
        <v>32.009900000000002</v>
      </c>
      <c r="I472" s="10">
        <f>31.9746 * CHOOSE(CONTROL!$C$15, $E$9, 100%, $G$9) + CHOOSE(CONTROL!$C$38, 0.0369, 0)</f>
        <v>32.011499999999998</v>
      </c>
      <c r="J472" s="44">
        <f>265.8574</f>
        <v>265.85739999999998</v>
      </c>
    </row>
    <row r="473" spans="1:10" ht="15.75" x14ac:dyDescent="0.25">
      <c r="A473" s="14">
        <v>55334</v>
      </c>
      <c r="B473" s="10">
        <f>34.3677 * CHOOSE(CONTROL!$C$15, $E$9, 100%, $G$9) + CHOOSE(CONTROL!$C$38, 0.0278, 0)</f>
        <v>34.395499999999998</v>
      </c>
      <c r="C473" s="10">
        <f>31.6127 * CHOOSE(CONTROL!$C$15, $E$9, 100%, $G$9) + CHOOSE(CONTROL!$C$38, 0.0369, 0)</f>
        <v>31.6496</v>
      </c>
      <c r="D473" s="10">
        <f>31.6049 * CHOOSE(CONTROL!$C$15, $E$9, 100%, $G$9) + CHOOSE(CONTROL!$C$38, 0.0369, 0)</f>
        <v>31.6418</v>
      </c>
      <c r="E473" s="46">
        <f>34.2115 * CHOOSE(CONTROL!$C$15, $E$9, 100%, $G$9) + CHOOSE(CONTROL!$C$38, 0.0369, 0)</f>
        <v>34.248400000000004</v>
      </c>
      <c r="F473" s="45">
        <f>34.2115 * CHOOSE(CONTROL!$C$15, $E$9, 100%, $G$9) + CHOOSE(CONTROL!$C$38, 0.0278, 0)</f>
        <v>34.2393</v>
      </c>
      <c r="G473" s="10">
        <f>31.6112 * CHOOSE(CONTROL!$C$15, $E$9, 100%, $G$9) + CHOOSE(CONTROL!$C$38, 0.0369, 0)</f>
        <v>31.648099999999999</v>
      </c>
      <c r="H473" s="10">
        <f>31.6112 * CHOOSE(CONTROL!$C$15, $E$9, 100%, $G$9) + CHOOSE(CONTROL!$C$38, 0.0369, 0)</f>
        <v>31.648099999999999</v>
      </c>
      <c r="I473" s="10">
        <f>31.6127 * CHOOSE(CONTROL!$C$15, $E$9, 100%, $G$9) + CHOOSE(CONTROL!$C$38, 0.0369, 0)</f>
        <v>31.6496</v>
      </c>
      <c r="J473" s="44">
        <f>269.6881</f>
        <v>269.68810000000002</v>
      </c>
    </row>
    <row r="474" spans="1:10" ht="15.75" x14ac:dyDescent="0.25">
      <c r="A474" s="14">
        <v>55365</v>
      </c>
      <c r="B474" s="10">
        <f>34.1612 * CHOOSE(CONTROL!$C$15, $E$9, 100%, $G$9) + CHOOSE(CONTROL!$C$38, 0.0278, 0)</f>
        <v>34.189</v>
      </c>
      <c r="C474" s="10">
        <f>31.4063 * CHOOSE(CONTROL!$C$15, $E$9, 100%, $G$9) + CHOOSE(CONTROL!$C$38, 0.0369, 0)</f>
        <v>31.443200000000001</v>
      </c>
      <c r="D474" s="10">
        <f>31.3984 * CHOOSE(CONTROL!$C$15, $E$9, 100%, $G$9) + CHOOSE(CONTROL!$C$38, 0.0369, 0)</f>
        <v>31.435299999999998</v>
      </c>
      <c r="E474" s="46">
        <f>34.005 * CHOOSE(CONTROL!$C$15, $E$9, 100%, $G$9) + CHOOSE(CONTROL!$C$38, 0.0369, 0)</f>
        <v>34.041900000000005</v>
      </c>
      <c r="F474" s="45">
        <f>34.005 * CHOOSE(CONTROL!$C$15, $E$9, 100%, $G$9) + CHOOSE(CONTROL!$C$38, 0.0278, 0)</f>
        <v>34.032800000000002</v>
      </c>
      <c r="G474" s="10">
        <f>31.4047 * CHOOSE(CONTROL!$C$15, $E$9, 100%, $G$9) + CHOOSE(CONTROL!$C$38, 0.0369, 0)</f>
        <v>31.441599999999998</v>
      </c>
      <c r="H474" s="10">
        <f>31.4047 * CHOOSE(CONTROL!$C$15, $E$9, 100%, $G$9) + CHOOSE(CONTROL!$C$38, 0.0369, 0)</f>
        <v>31.441599999999998</v>
      </c>
      <c r="I474" s="10">
        <f>31.4063 * CHOOSE(CONTROL!$C$15, $E$9, 100%, $G$9) + CHOOSE(CONTROL!$C$38, 0.0369, 0)</f>
        <v>31.443200000000001</v>
      </c>
      <c r="J474" s="44">
        <f>268.4269</f>
        <v>268.42689999999999</v>
      </c>
    </row>
    <row r="475" spans="1:10" ht="15.75" x14ac:dyDescent="0.25">
      <c r="A475" s="14">
        <v>55396</v>
      </c>
      <c r="B475" s="10">
        <f>34.2631 * CHOOSE(CONTROL!$C$15, $E$9, 100%, $G$9) + CHOOSE(CONTROL!$C$38, 0.0278, 0)</f>
        <v>34.290900000000001</v>
      </c>
      <c r="C475" s="10">
        <f>31.5082 * CHOOSE(CONTROL!$C$15, $E$9, 100%, $G$9) + CHOOSE(CONTROL!$C$38, 0.0369, 0)</f>
        <v>31.545099999999998</v>
      </c>
      <c r="D475" s="10">
        <f>31.5003 * CHOOSE(CONTROL!$C$15, $E$9, 100%, $G$9) + CHOOSE(CONTROL!$C$38, 0.0369, 0)</f>
        <v>31.537199999999999</v>
      </c>
      <c r="E475" s="46">
        <f>34.1069 * CHOOSE(CONTROL!$C$15, $E$9, 100%, $G$9) + CHOOSE(CONTROL!$C$38, 0.0369, 0)</f>
        <v>34.143800000000006</v>
      </c>
      <c r="F475" s="45">
        <f>34.1069 * CHOOSE(CONTROL!$C$15, $E$9, 100%, $G$9) + CHOOSE(CONTROL!$C$38, 0.0278, 0)</f>
        <v>34.134700000000002</v>
      </c>
      <c r="G475" s="10">
        <f>31.5066 * CHOOSE(CONTROL!$C$15, $E$9, 100%, $G$9) + CHOOSE(CONTROL!$C$38, 0.0369, 0)</f>
        <v>31.543499999999998</v>
      </c>
      <c r="H475" s="10">
        <f>31.5066 * CHOOSE(CONTROL!$C$15, $E$9, 100%, $G$9) + CHOOSE(CONTROL!$C$38, 0.0369, 0)</f>
        <v>31.543499999999998</v>
      </c>
      <c r="I475" s="10">
        <f>31.5082 * CHOOSE(CONTROL!$C$15, $E$9, 100%, $G$9) + CHOOSE(CONTROL!$C$38, 0.0369, 0)</f>
        <v>31.545099999999998</v>
      </c>
      <c r="J475" s="44">
        <f>262.178</f>
        <v>262.178</v>
      </c>
    </row>
    <row r="476" spans="1:10" ht="15.75" x14ac:dyDescent="0.25">
      <c r="A476" s="14">
        <v>55426</v>
      </c>
      <c r="B476" s="10">
        <f>34.5399 * CHOOSE(CONTROL!$C$15, $E$9, 100%, $G$9) + CHOOSE(CONTROL!$C$38, 0.0278, 0)</f>
        <v>34.567700000000002</v>
      </c>
      <c r="C476" s="10">
        <f>31.785 * CHOOSE(CONTROL!$C$15, $E$9, 100%, $G$9) + CHOOSE(CONTROL!$C$38, 0.0369, 0)</f>
        <v>31.821899999999999</v>
      </c>
      <c r="D476" s="10">
        <f>31.7771 * CHOOSE(CONTROL!$C$15, $E$9, 100%, $G$9) + CHOOSE(CONTROL!$C$38, 0.0369, 0)</f>
        <v>31.814</v>
      </c>
      <c r="E476" s="46">
        <f>34.3837 * CHOOSE(CONTROL!$C$15, $E$9, 100%, $G$9) + CHOOSE(CONTROL!$C$38, 0.0369, 0)</f>
        <v>34.4206</v>
      </c>
      <c r="F476" s="45">
        <f>34.3837 * CHOOSE(CONTROL!$C$15, $E$9, 100%, $G$9) + CHOOSE(CONTROL!$C$38, 0.0278, 0)</f>
        <v>34.411499999999997</v>
      </c>
      <c r="G476" s="10">
        <f>31.7834 * CHOOSE(CONTROL!$C$15, $E$9, 100%, $G$9) + CHOOSE(CONTROL!$C$38, 0.0369, 0)</f>
        <v>31.8203</v>
      </c>
      <c r="H476" s="10">
        <f>31.7834 * CHOOSE(CONTROL!$C$15, $E$9, 100%, $G$9) + CHOOSE(CONTROL!$C$38, 0.0369, 0)</f>
        <v>31.8203</v>
      </c>
      <c r="I476" s="10">
        <f>31.785 * CHOOSE(CONTROL!$C$15, $E$9, 100%, $G$9) + CHOOSE(CONTROL!$C$38, 0.0369, 0)</f>
        <v>31.821899999999999</v>
      </c>
      <c r="J476" s="44">
        <f>253.4637</f>
        <v>253.46369999999999</v>
      </c>
    </row>
    <row r="477" spans="1:10" ht="15.75" x14ac:dyDescent="0.25">
      <c r="A477" s="14">
        <v>55457</v>
      </c>
      <c r="B477" s="10">
        <f>34.7717 * CHOOSE(CONTROL!$C$15, $E$9, 100%, $G$9) + CHOOSE(CONTROL!$C$38, 0.0256, 0)</f>
        <v>34.7973</v>
      </c>
      <c r="C477" s="10">
        <f>32.0168 * CHOOSE(CONTROL!$C$15, $E$9, 100%, $G$9) + CHOOSE(CONTROL!$C$38, 0.0347, 0)</f>
        <v>32.051500000000004</v>
      </c>
      <c r="D477" s="10">
        <f>32.009 * CHOOSE(CONTROL!$C$15, $E$9, 100%, $G$9) + CHOOSE(CONTROL!$C$38, 0.0347, 0)</f>
        <v>32.043700000000001</v>
      </c>
      <c r="E477" s="46">
        <f>34.6155 * CHOOSE(CONTROL!$C$15, $E$9, 100%, $G$9) + CHOOSE(CONTROL!$C$38, 0.0347, 0)</f>
        <v>34.650199999999998</v>
      </c>
      <c r="F477" s="45">
        <f>34.6155 * CHOOSE(CONTROL!$C$15, $E$9, 100%, $G$9) + CHOOSE(CONTROL!$C$38, 0.0256, 0)</f>
        <v>34.641099999999994</v>
      </c>
      <c r="G477" s="10">
        <f>32.0152 * CHOOSE(CONTROL!$C$15, $E$9, 100%, $G$9) + CHOOSE(CONTROL!$C$38, 0.0347, 0)</f>
        <v>32.049900000000001</v>
      </c>
      <c r="H477" s="10">
        <f>32.0152 * CHOOSE(CONTROL!$C$15, $E$9, 100%, $G$9) + CHOOSE(CONTROL!$C$38, 0.0347, 0)</f>
        <v>32.049900000000001</v>
      </c>
      <c r="I477" s="10">
        <f>32.0168 * CHOOSE(CONTROL!$C$15, $E$9, 100%, $G$9) + CHOOSE(CONTROL!$C$38, 0.0347, 0)</f>
        <v>32.051500000000004</v>
      </c>
      <c r="J477" s="44">
        <f>244.6986</f>
        <v>244.6986</v>
      </c>
    </row>
    <row r="478" spans="1:10" ht="15.75" x14ac:dyDescent="0.25">
      <c r="A478" s="14">
        <v>55487</v>
      </c>
      <c r="B478" s="10">
        <f>34.9652 * CHOOSE(CONTROL!$C$15, $E$9, 100%, $G$9) + CHOOSE(CONTROL!$C$38, 0.0256, 0)</f>
        <v>34.9908</v>
      </c>
      <c r="C478" s="10">
        <f>32.2102 * CHOOSE(CONTROL!$C$15, $E$9, 100%, $G$9) + CHOOSE(CONTROL!$C$38, 0.0347, 0)</f>
        <v>32.244900000000001</v>
      </c>
      <c r="D478" s="10">
        <f>32.2024 * CHOOSE(CONTROL!$C$15, $E$9, 100%, $G$9) + CHOOSE(CONTROL!$C$38, 0.0347, 0)</f>
        <v>32.237099999999998</v>
      </c>
      <c r="E478" s="46">
        <f>34.8089 * CHOOSE(CONTROL!$C$15, $E$9, 100%, $G$9) + CHOOSE(CONTROL!$C$38, 0.0347, 0)</f>
        <v>34.843600000000002</v>
      </c>
      <c r="F478" s="45">
        <f>34.8089 * CHOOSE(CONTROL!$C$15, $E$9, 100%, $G$9) + CHOOSE(CONTROL!$C$38, 0.0256, 0)</f>
        <v>34.834499999999998</v>
      </c>
      <c r="G478" s="10">
        <f>32.2087 * CHOOSE(CONTROL!$C$15, $E$9, 100%, $G$9) + CHOOSE(CONTROL!$C$38, 0.0347, 0)</f>
        <v>32.243400000000001</v>
      </c>
      <c r="H478" s="10">
        <f>32.2087 * CHOOSE(CONTROL!$C$15, $E$9, 100%, $G$9) + CHOOSE(CONTROL!$C$38, 0.0347, 0)</f>
        <v>32.243400000000001</v>
      </c>
      <c r="I478" s="10">
        <f>32.2102 * CHOOSE(CONTROL!$C$15, $E$9, 100%, $G$9) + CHOOSE(CONTROL!$C$38, 0.0347, 0)</f>
        <v>32.244900000000001</v>
      </c>
      <c r="J478" s="44">
        <f>242.9551</f>
        <v>242.95509999999999</v>
      </c>
    </row>
    <row r="479" spans="1:10" ht="15.75" x14ac:dyDescent="0.25">
      <c r="A479" s="14">
        <v>55518</v>
      </c>
      <c r="B479" s="10">
        <f>35.5613 * CHOOSE(CONTROL!$C$15, $E$9, 100%, $G$9) + CHOOSE(CONTROL!$C$38, 0.0256, 0)</f>
        <v>35.5869</v>
      </c>
      <c r="C479" s="10">
        <f>32.8063 * CHOOSE(CONTROL!$C$15, $E$9, 100%, $G$9) + CHOOSE(CONTROL!$C$38, 0.0347, 0)</f>
        <v>32.841000000000001</v>
      </c>
      <c r="D479" s="10">
        <f>32.7985 * CHOOSE(CONTROL!$C$15, $E$9, 100%, $G$9) + CHOOSE(CONTROL!$C$38, 0.0347, 0)</f>
        <v>32.833199999999998</v>
      </c>
      <c r="E479" s="46">
        <f>35.405 * CHOOSE(CONTROL!$C$15, $E$9, 100%, $G$9) + CHOOSE(CONTROL!$C$38, 0.0347, 0)</f>
        <v>35.439700000000002</v>
      </c>
      <c r="F479" s="45">
        <f>35.405 * CHOOSE(CONTROL!$C$15, $E$9, 100%, $G$9) + CHOOSE(CONTROL!$C$38, 0.0256, 0)</f>
        <v>35.430599999999998</v>
      </c>
      <c r="G479" s="10">
        <f>32.8047 * CHOOSE(CONTROL!$C$15, $E$9, 100%, $G$9) + CHOOSE(CONTROL!$C$38, 0.0347, 0)</f>
        <v>32.839399999999998</v>
      </c>
      <c r="H479" s="10">
        <f>32.8047 * CHOOSE(CONTROL!$C$15, $E$9, 100%, $G$9) + CHOOSE(CONTROL!$C$38, 0.0347, 0)</f>
        <v>32.839399999999998</v>
      </c>
      <c r="I479" s="10">
        <f>32.8063 * CHOOSE(CONTROL!$C$15, $E$9, 100%, $G$9) + CHOOSE(CONTROL!$C$38, 0.0347, 0)</f>
        <v>32.841000000000001</v>
      </c>
      <c r="J479" s="44">
        <f>235.7454</f>
        <v>235.74539999999999</v>
      </c>
    </row>
    <row r="480" spans="1:10" ht="15.75" x14ac:dyDescent="0.25">
      <c r="A480" s="14">
        <v>55549</v>
      </c>
      <c r="B480" s="10">
        <f>36.5957 * CHOOSE(CONTROL!$C$15, $E$9, 100%, $G$9) + CHOOSE(CONTROL!$C$38, 0.0256, 0)</f>
        <v>36.621299999999998</v>
      </c>
      <c r="C480" s="10">
        <f>33.7981 * CHOOSE(CONTROL!$C$15, $E$9, 100%, $G$9) + CHOOSE(CONTROL!$C$38, 0.0347, 0)</f>
        <v>33.832799999999999</v>
      </c>
      <c r="D480" s="10">
        <f>33.7903 * CHOOSE(CONTROL!$C$15, $E$9, 100%, $G$9) + CHOOSE(CONTROL!$C$38, 0.0347, 0)</f>
        <v>33.825000000000003</v>
      </c>
      <c r="E480" s="46">
        <f>36.4394 * CHOOSE(CONTROL!$C$15, $E$9, 100%, $G$9) + CHOOSE(CONTROL!$C$38, 0.0347, 0)</f>
        <v>36.4741</v>
      </c>
      <c r="F480" s="45">
        <f>36.4394 * CHOOSE(CONTROL!$C$15, $E$9, 100%, $G$9) + CHOOSE(CONTROL!$C$38, 0.0256, 0)</f>
        <v>36.464999999999996</v>
      </c>
      <c r="G480" s="10">
        <f>33.7965 * CHOOSE(CONTROL!$C$15, $E$9, 100%, $G$9) + CHOOSE(CONTROL!$C$38, 0.0347, 0)</f>
        <v>33.831200000000003</v>
      </c>
      <c r="H480" s="10">
        <f>33.7965 * CHOOSE(CONTROL!$C$15, $E$9, 100%, $G$9) + CHOOSE(CONTROL!$C$38, 0.0347, 0)</f>
        <v>33.831200000000003</v>
      </c>
      <c r="I480" s="10">
        <f>33.7981 * CHOOSE(CONTROL!$C$15, $E$9, 100%, $G$9) + CHOOSE(CONTROL!$C$38, 0.0347, 0)</f>
        <v>33.832799999999999</v>
      </c>
      <c r="J480" s="44">
        <f>235.2952</f>
        <v>235.29519999999999</v>
      </c>
    </row>
    <row r="481" spans="1:10" ht="15.75" x14ac:dyDescent="0.25">
      <c r="A481" s="14">
        <v>55577</v>
      </c>
      <c r="B481" s="10">
        <f>36.8164 * CHOOSE(CONTROL!$C$15, $E$9, 100%, $G$9) + CHOOSE(CONTROL!$C$38, 0.0256, 0)</f>
        <v>36.841999999999999</v>
      </c>
      <c r="C481" s="10">
        <f>34.0189 * CHOOSE(CONTROL!$C$15, $E$9, 100%, $G$9) + CHOOSE(CONTROL!$C$38, 0.0347, 0)</f>
        <v>34.053600000000003</v>
      </c>
      <c r="D481" s="10">
        <f>34.0111 * CHOOSE(CONTROL!$C$15, $E$9, 100%, $G$9) + CHOOSE(CONTROL!$C$38, 0.0347, 0)</f>
        <v>34.0458</v>
      </c>
      <c r="E481" s="46">
        <f>36.6602 * CHOOSE(CONTROL!$C$15, $E$9, 100%, $G$9) + CHOOSE(CONTROL!$C$38, 0.0347, 0)</f>
        <v>36.694900000000004</v>
      </c>
      <c r="F481" s="45">
        <f>36.6602 * CHOOSE(CONTROL!$C$15, $E$9, 100%, $G$9) + CHOOSE(CONTROL!$C$38, 0.0256, 0)</f>
        <v>36.6858</v>
      </c>
      <c r="G481" s="10">
        <f>34.0173 * CHOOSE(CONTROL!$C$15, $E$9, 100%, $G$9) + CHOOSE(CONTROL!$C$38, 0.0347, 0)</f>
        <v>34.052</v>
      </c>
      <c r="H481" s="10">
        <f>34.0173 * CHOOSE(CONTROL!$C$15, $E$9, 100%, $G$9) + CHOOSE(CONTROL!$C$38, 0.0347, 0)</f>
        <v>34.052</v>
      </c>
      <c r="I481" s="10">
        <f>34.0189 * CHOOSE(CONTROL!$C$15, $E$9, 100%, $G$9) + CHOOSE(CONTROL!$C$38, 0.0347, 0)</f>
        <v>34.053600000000003</v>
      </c>
      <c r="J481" s="44">
        <f>234.6411</f>
        <v>234.64109999999999</v>
      </c>
    </row>
    <row r="482" spans="1:10" ht="15.75" x14ac:dyDescent="0.25">
      <c r="A482" s="14">
        <v>55609</v>
      </c>
      <c r="B482" s="10">
        <f>36.3054 * CHOOSE(CONTROL!$C$15, $E$9, 100%, $G$9) + CHOOSE(CONTROL!$C$38, 0.0256, 0)</f>
        <v>36.330999999999996</v>
      </c>
      <c r="C482" s="10">
        <f>33.5078 * CHOOSE(CONTROL!$C$15, $E$9, 100%, $G$9) + CHOOSE(CONTROL!$C$38, 0.0347, 0)</f>
        <v>33.542500000000004</v>
      </c>
      <c r="D482" s="10">
        <f>33.5 * CHOOSE(CONTROL!$C$15, $E$9, 100%, $G$9) + CHOOSE(CONTROL!$C$38, 0.0347, 0)</f>
        <v>33.534700000000001</v>
      </c>
      <c r="E482" s="46">
        <f>36.1492 * CHOOSE(CONTROL!$C$15, $E$9, 100%, $G$9) + CHOOSE(CONTROL!$C$38, 0.0347, 0)</f>
        <v>36.183900000000001</v>
      </c>
      <c r="F482" s="45">
        <f>36.1492 * CHOOSE(CONTROL!$C$15, $E$9, 100%, $G$9) + CHOOSE(CONTROL!$C$38, 0.0256, 0)</f>
        <v>36.174799999999998</v>
      </c>
      <c r="G482" s="10">
        <f>33.5063 * CHOOSE(CONTROL!$C$15, $E$9, 100%, $G$9) + CHOOSE(CONTROL!$C$38, 0.0347, 0)</f>
        <v>33.541000000000004</v>
      </c>
      <c r="H482" s="10">
        <f>33.5063 * CHOOSE(CONTROL!$C$15, $E$9, 100%, $G$9) + CHOOSE(CONTROL!$C$38, 0.0347, 0)</f>
        <v>33.541000000000004</v>
      </c>
      <c r="I482" s="10">
        <f>33.5078 * CHOOSE(CONTROL!$C$15, $E$9, 100%, $G$9) + CHOOSE(CONTROL!$C$38, 0.0347, 0)</f>
        <v>33.542500000000004</v>
      </c>
      <c r="J482" s="44">
        <f>247.0081</f>
        <v>247.00810000000001</v>
      </c>
    </row>
    <row r="483" spans="1:10" ht="15.75" x14ac:dyDescent="0.25">
      <c r="A483" s="14">
        <v>55639</v>
      </c>
      <c r="B483" s="10">
        <f>35.8102 * CHOOSE(CONTROL!$C$15, $E$9, 100%, $G$9) + CHOOSE(CONTROL!$C$38, 0.0256, 0)</f>
        <v>35.835799999999999</v>
      </c>
      <c r="C483" s="10">
        <f>33.0127 * CHOOSE(CONTROL!$C$15, $E$9, 100%, $G$9) + CHOOSE(CONTROL!$C$38, 0.0347, 0)</f>
        <v>33.047400000000003</v>
      </c>
      <c r="D483" s="10">
        <f>33.0048 * CHOOSE(CONTROL!$C$15, $E$9, 100%, $G$9) + CHOOSE(CONTROL!$C$38, 0.0347, 0)</f>
        <v>33.039500000000004</v>
      </c>
      <c r="E483" s="46">
        <f>35.654 * CHOOSE(CONTROL!$C$15, $E$9, 100%, $G$9) + CHOOSE(CONTROL!$C$38, 0.0347, 0)</f>
        <v>35.688700000000004</v>
      </c>
      <c r="F483" s="45">
        <f>35.654 * CHOOSE(CONTROL!$C$15, $E$9, 100%, $G$9) + CHOOSE(CONTROL!$C$38, 0.0256, 0)</f>
        <v>35.679600000000001</v>
      </c>
      <c r="G483" s="10">
        <f>33.0111 * CHOOSE(CONTROL!$C$15, $E$9, 100%, $G$9) + CHOOSE(CONTROL!$C$38, 0.0347, 0)</f>
        <v>33.0458</v>
      </c>
      <c r="H483" s="10">
        <f>33.0111 * CHOOSE(CONTROL!$C$15, $E$9, 100%, $G$9) + CHOOSE(CONTROL!$C$38, 0.0347, 0)</f>
        <v>33.0458</v>
      </c>
      <c r="I483" s="10">
        <f>33.0127 * CHOOSE(CONTROL!$C$15, $E$9, 100%, $G$9) + CHOOSE(CONTROL!$C$38, 0.0347, 0)</f>
        <v>33.047400000000003</v>
      </c>
      <c r="J483" s="44">
        <f>263.045</f>
        <v>263.04500000000002</v>
      </c>
    </row>
    <row r="484" spans="1:10" ht="15.75" x14ac:dyDescent="0.25">
      <c r="A484" s="14">
        <v>55670</v>
      </c>
      <c r="B484" s="10">
        <f>35.2941 * CHOOSE(CONTROL!$C$15, $E$9, 100%, $G$9) + CHOOSE(CONTROL!$C$38, 0.0278, 0)</f>
        <v>35.321899999999999</v>
      </c>
      <c r="C484" s="10">
        <f>32.4965 * CHOOSE(CONTROL!$C$15, $E$9, 100%, $G$9) + CHOOSE(CONTROL!$C$38, 0.0369, 0)</f>
        <v>32.5334</v>
      </c>
      <c r="D484" s="10">
        <f>32.4887 * CHOOSE(CONTROL!$C$15, $E$9, 100%, $G$9) + CHOOSE(CONTROL!$C$38, 0.0369, 0)</f>
        <v>32.525600000000004</v>
      </c>
      <c r="E484" s="46">
        <f>35.1379 * CHOOSE(CONTROL!$C$15, $E$9, 100%, $G$9) + CHOOSE(CONTROL!$C$38, 0.0369, 0)</f>
        <v>35.174800000000005</v>
      </c>
      <c r="F484" s="45">
        <f>35.1379 * CHOOSE(CONTROL!$C$15, $E$9, 100%, $G$9) + CHOOSE(CONTROL!$C$38, 0.0278, 0)</f>
        <v>35.165700000000001</v>
      </c>
      <c r="G484" s="10">
        <f>32.495 * CHOOSE(CONTROL!$C$15, $E$9, 100%, $G$9) + CHOOSE(CONTROL!$C$38, 0.0369, 0)</f>
        <v>32.5319</v>
      </c>
      <c r="H484" s="10">
        <f>32.495 * CHOOSE(CONTROL!$C$15, $E$9, 100%, $G$9) + CHOOSE(CONTROL!$C$38, 0.0369, 0)</f>
        <v>32.5319</v>
      </c>
      <c r="I484" s="10">
        <f>32.4965 * CHOOSE(CONTROL!$C$15, $E$9, 100%, $G$9) + CHOOSE(CONTROL!$C$38, 0.0369, 0)</f>
        <v>32.5334</v>
      </c>
      <c r="J484" s="44">
        <f>271.8723</f>
        <v>271.8723</v>
      </c>
    </row>
    <row r="485" spans="1:10" ht="15.75" x14ac:dyDescent="0.25">
      <c r="A485" s="14">
        <v>55700</v>
      </c>
      <c r="B485" s="10">
        <f>34.9323 * CHOOSE(CONTROL!$C$15, $E$9, 100%, $G$9) + CHOOSE(CONTROL!$C$38, 0.0278, 0)</f>
        <v>34.960099999999997</v>
      </c>
      <c r="C485" s="10">
        <f>32.1347 * CHOOSE(CONTROL!$C$15, $E$9, 100%, $G$9) + CHOOSE(CONTROL!$C$38, 0.0369, 0)</f>
        <v>32.171600000000005</v>
      </c>
      <c r="D485" s="10">
        <f>32.1269 * CHOOSE(CONTROL!$C$15, $E$9, 100%, $G$9) + CHOOSE(CONTROL!$C$38, 0.0369, 0)</f>
        <v>32.163800000000002</v>
      </c>
      <c r="E485" s="46">
        <f>34.776 * CHOOSE(CONTROL!$C$15, $E$9, 100%, $G$9) + CHOOSE(CONTROL!$C$38, 0.0369, 0)</f>
        <v>34.812900000000006</v>
      </c>
      <c r="F485" s="45">
        <f>34.776 * CHOOSE(CONTROL!$C$15, $E$9, 100%, $G$9) + CHOOSE(CONTROL!$C$38, 0.0278, 0)</f>
        <v>34.803800000000003</v>
      </c>
      <c r="G485" s="10">
        <f>32.1331 * CHOOSE(CONTROL!$C$15, $E$9, 100%, $G$9) + CHOOSE(CONTROL!$C$38, 0.0369, 0)</f>
        <v>32.17</v>
      </c>
      <c r="H485" s="10">
        <f>32.1331 * CHOOSE(CONTROL!$C$15, $E$9, 100%, $G$9) + CHOOSE(CONTROL!$C$38, 0.0369, 0)</f>
        <v>32.17</v>
      </c>
      <c r="I485" s="10">
        <f>32.1347 * CHOOSE(CONTROL!$C$15, $E$9, 100%, $G$9) + CHOOSE(CONTROL!$C$38, 0.0369, 0)</f>
        <v>32.171600000000005</v>
      </c>
      <c r="J485" s="44">
        <f>275.7897</f>
        <v>275.78969999999998</v>
      </c>
    </row>
    <row r="486" spans="1:10" ht="15.75" x14ac:dyDescent="0.25">
      <c r="A486" s="14">
        <v>55731</v>
      </c>
      <c r="B486" s="10">
        <f>34.7258 * CHOOSE(CONTROL!$C$15, $E$9, 100%, $G$9) + CHOOSE(CONTROL!$C$38, 0.0278, 0)</f>
        <v>34.753599999999999</v>
      </c>
      <c r="C486" s="10">
        <f>31.9282 * CHOOSE(CONTROL!$C$15, $E$9, 100%, $G$9) + CHOOSE(CONTROL!$C$38, 0.0369, 0)</f>
        <v>31.9651</v>
      </c>
      <c r="D486" s="10">
        <f>31.9204 * CHOOSE(CONTROL!$C$15, $E$9, 100%, $G$9) + CHOOSE(CONTROL!$C$38, 0.0369, 0)</f>
        <v>31.9573</v>
      </c>
      <c r="E486" s="46">
        <f>34.5695 * CHOOSE(CONTROL!$C$15, $E$9, 100%, $G$9) + CHOOSE(CONTROL!$C$38, 0.0369, 0)</f>
        <v>34.606400000000001</v>
      </c>
      <c r="F486" s="45">
        <f>34.5695 * CHOOSE(CONTROL!$C$15, $E$9, 100%, $G$9) + CHOOSE(CONTROL!$C$38, 0.0278, 0)</f>
        <v>34.597299999999997</v>
      </c>
      <c r="G486" s="10">
        <f>31.9267 * CHOOSE(CONTROL!$C$15, $E$9, 100%, $G$9) + CHOOSE(CONTROL!$C$38, 0.0369, 0)</f>
        <v>31.9636</v>
      </c>
      <c r="H486" s="10">
        <f>31.9267 * CHOOSE(CONTROL!$C$15, $E$9, 100%, $G$9) + CHOOSE(CONTROL!$C$38, 0.0369, 0)</f>
        <v>31.9636</v>
      </c>
      <c r="I486" s="10">
        <f>31.9282 * CHOOSE(CONTROL!$C$15, $E$9, 100%, $G$9) + CHOOSE(CONTROL!$C$38, 0.0369, 0)</f>
        <v>31.9651</v>
      </c>
      <c r="J486" s="44">
        <f>274.4999</f>
        <v>274.49990000000003</v>
      </c>
    </row>
    <row r="487" spans="1:10" ht="15.75" x14ac:dyDescent="0.25">
      <c r="A487" s="14">
        <v>55762</v>
      </c>
      <c r="B487" s="10">
        <f>34.8277 * CHOOSE(CONTROL!$C$15, $E$9, 100%, $G$9) + CHOOSE(CONTROL!$C$38, 0.0278, 0)</f>
        <v>34.855499999999999</v>
      </c>
      <c r="C487" s="10">
        <f>32.0301 * CHOOSE(CONTROL!$C$15, $E$9, 100%, $G$9) + CHOOSE(CONTROL!$C$38, 0.0369, 0)</f>
        <v>32.067</v>
      </c>
      <c r="D487" s="10">
        <f>32.0223 * CHOOSE(CONTROL!$C$15, $E$9, 100%, $G$9) + CHOOSE(CONTROL!$C$38, 0.0369, 0)</f>
        <v>32.059200000000004</v>
      </c>
      <c r="E487" s="46">
        <f>34.6715 * CHOOSE(CONTROL!$C$15, $E$9, 100%, $G$9) + CHOOSE(CONTROL!$C$38, 0.0369, 0)</f>
        <v>34.708400000000005</v>
      </c>
      <c r="F487" s="45">
        <f>34.6715 * CHOOSE(CONTROL!$C$15, $E$9, 100%, $G$9) + CHOOSE(CONTROL!$C$38, 0.0278, 0)</f>
        <v>34.699300000000001</v>
      </c>
      <c r="G487" s="10">
        <f>32.0286 * CHOOSE(CONTROL!$C$15, $E$9, 100%, $G$9) + CHOOSE(CONTROL!$C$38, 0.0369, 0)</f>
        <v>32.0655</v>
      </c>
      <c r="H487" s="10">
        <f>32.0286 * CHOOSE(CONTROL!$C$15, $E$9, 100%, $G$9) + CHOOSE(CONTROL!$C$38, 0.0369, 0)</f>
        <v>32.0655</v>
      </c>
      <c r="I487" s="10">
        <f>32.0301 * CHOOSE(CONTROL!$C$15, $E$9, 100%, $G$9) + CHOOSE(CONTROL!$C$38, 0.0369, 0)</f>
        <v>32.067</v>
      </c>
      <c r="J487" s="44">
        <f>268.1097</f>
        <v>268.10969999999998</v>
      </c>
    </row>
    <row r="488" spans="1:10" ht="15.75" x14ac:dyDescent="0.25">
      <c r="A488" s="14">
        <v>55792</v>
      </c>
      <c r="B488" s="10">
        <f>35.1045 * CHOOSE(CONTROL!$C$15, $E$9, 100%, $G$9) + CHOOSE(CONTROL!$C$38, 0.0278, 0)</f>
        <v>35.132300000000001</v>
      </c>
      <c r="C488" s="10">
        <f>32.3069 * CHOOSE(CONTROL!$C$15, $E$9, 100%, $G$9) + CHOOSE(CONTROL!$C$38, 0.0369, 0)</f>
        <v>32.343800000000002</v>
      </c>
      <c r="D488" s="10">
        <f>32.2991 * CHOOSE(CONTROL!$C$15, $E$9, 100%, $G$9) + CHOOSE(CONTROL!$C$38, 0.0369, 0)</f>
        <v>32.336000000000006</v>
      </c>
      <c r="E488" s="46">
        <f>34.9482 * CHOOSE(CONTROL!$C$15, $E$9, 100%, $G$9) + CHOOSE(CONTROL!$C$38, 0.0369, 0)</f>
        <v>34.985100000000003</v>
      </c>
      <c r="F488" s="45">
        <f>34.9482 * CHOOSE(CONTROL!$C$15, $E$9, 100%, $G$9) + CHOOSE(CONTROL!$C$38, 0.0278, 0)</f>
        <v>34.975999999999999</v>
      </c>
      <c r="G488" s="10">
        <f>32.3054 * CHOOSE(CONTROL!$C$15, $E$9, 100%, $G$9) + CHOOSE(CONTROL!$C$38, 0.0369, 0)</f>
        <v>32.342300000000002</v>
      </c>
      <c r="H488" s="10">
        <f>32.3054 * CHOOSE(CONTROL!$C$15, $E$9, 100%, $G$9) + CHOOSE(CONTROL!$C$38, 0.0369, 0)</f>
        <v>32.342300000000002</v>
      </c>
      <c r="I488" s="10">
        <f>32.3069 * CHOOSE(CONTROL!$C$15, $E$9, 100%, $G$9) + CHOOSE(CONTROL!$C$38, 0.0369, 0)</f>
        <v>32.343800000000002</v>
      </c>
      <c r="J488" s="44">
        <f>259.1982</f>
        <v>259.19819999999999</v>
      </c>
    </row>
    <row r="489" spans="1:10" ht="15.75" x14ac:dyDescent="0.25">
      <c r="A489" s="14">
        <v>55823</v>
      </c>
      <c r="B489" s="10">
        <f>35.3363 * CHOOSE(CONTROL!$C$15, $E$9, 100%, $G$9) + CHOOSE(CONTROL!$C$38, 0.0256, 0)</f>
        <v>35.361899999999999</v>
      </c>
      <c r="C489" s="10">
        <f>32.5387 * CHOOSE(CONTROL!$C$15, $E$9, 100%, $G$9) + CHOOSE(CONTROL!$C$38, 0.0347, 0)</f>
        <v>32.573399999999999</v>
      </c>
      <c r="D489" s="10">
        <f>32.5309 * CHOOSE(CONTROL!$C$15, $E$9, 100%, $G$9) + CHOOSE(CONTROL!$C$38, 0.0347, 0)</f>
        <v>32.565600000000003</v>
      </c>
      <c r="E489" s="46">
        <f>35.1801 * CHOOSE(CONTROL!$C$15, $E$9, 100%, $G$9) + CHOOSE(CONTROL!$C$38, 0.0347, 0)</f>
        <v>35.214800000000004</v>
      </c>
      <c r="F489" s="45">
        <f>35.1801 * CHOOSE(CONTROL!$C$15, $E$9, 100%, $G$9) + CHOOSE(CONTROL!$C$38, 0.0256, 0)</f>
        <v>35.2057</v>
      </c>
      <c r="G489" s="10">
        <f>32.5372 * CHOOSE(CONTROL!$C$15, $E$9, 100%, $G$9) + CHOOSE(CONTROL!$C$38, 0.0347, 0)</f>
        <v>32.571899999999999</v>
      </c>
      <c r="H489" s="10">
        <f>32.5372 * CHOOSE(CONTROL!$C$15, $E$9, 100%, $G$9) + CHOOSE(CONTROL!$C$38, 0.0347, 0)</f>
        <v>32.571899999999999</v>
      </c>
      <c r="I489" s="10">
        <f>32.5387 * CHOOSE(CONTROL!$C$15, $E$9, 100%, $G$9) + CHOOSE(CONTROL!$C$38, 0.0347, 0)</f>
        <v>32.573399999999999</v>
      </c>
      <c r="J489" s="44">
        <f>250.2348</f>
        <v>250.23480000000001</v>
      </c>
    </row>
    <row r="490" spans="1:10" ht="15.75" x14ac:dyDescent="0.25">
      <c r="A490" s="14">
        <v>55853</v>
      </c>
      <c r="B490" s="10">
        <f>35.5298 * CHOOSE(CONTROL!$C$15, $E$9, 100%, $G$9) + CHOOSE(CONTROL!$C$38, 0.0256, 0)</f>
        <v>35.555399999999999</v>
      </c>
      <c r="C490" s="10">
        <f>32.7322 * CHOOSE(CONTROL!$C$15, $E$9, 100%, $G$9) + CHOOSE(CONTROL!$C$38, 0.0347, 0)</f>
        <v>32.7669</v>
      </c>
      <c r="D490" s="10">
        <f>32.7244 * CHOOSE(CONTROL!$C$15, $E$9, 100%, $G$9) + CHOOSE(CONTROL!$C$38, 0.0347, 0)</f>
        <v>32.759100000000004</v>
      </c>
      <c r="E490" s="46">
        <f>35.3735 * CHOOSE(CONTROL!$C$15, $E$9, 100%, $G$9) + CHOOSE(CONTROL!$C$38, 0.0347, 0)</f>
        <v>35.408200000000001</v>
      </c>
      <c r="F490" s="45">
        <f>35.3735 * CHOOSE(CONTROL!$C$15, $E$9, 100%, $G$9) + CHOOSE(CONTROL!$C$38, 0.0256, 0)</f>
        <v>35.399099999999997</v>
      </c>
      <c r="G490" s="10">
        <f>32.7306 * CHOOSE(CONTROL!$C$15, $E$9, 100%, $G$9) + CHOOSE(CONTROL!$C$38, 0.0347, 0)</f>
        <v>32.765300000000003</v>
      </c>
      <c r="H490" s="10">
        <f>32.7306 * CHOOSE(CONTROL!$C$15, $E$9, 100%, $G$9) + CHOOSE(CONTROL!$C$38, 0.0347, 0)</f>
        <v>32.765300000000003</v>
      </c>
      <c r="I490" s="10">
        <f>32.7322 * CHOOSE(CONTROL!$C$15, $E$9, 100%, $G$9) + CHOOSE(CONTROL!$C$38, 0.0347, 0)</f>
        <v>32.7669</v>
      </c>
      <c r="J490" s="44">
        <f>248.4518</f>
        <v>248.45179999999999</v>
      </c>
    </row>
    <row r="491" spans="1:10" ht="15.75" x14ac:dyDescent="0.25">
      <c r="A491" s="14">
        <v>55884</v>
      </c>
      <c r="B491" s="10">
        <f>36.1258 * CHOOSE(CONTROL!$C$15, $E$9, 100%, $G$9) + CHOOSE(CONTROL!$C$38, 0.0256, 0)</f>
        <v>36.151399999999995</v>
      </c>
      <c r="C491" s="10">
        <f>33.3283 * CHOOSE(CONTROL!$C$15, $E$9, 100%, $G$9) + CHOOSE(CONTROL!$C$38, 0.0347, 0)</f>
        <v>33.363</v>
      </c>
      <c r="D491" s="10">
        <f>33.3204 * CHOOSE(CONTROL!$C$15, $E$9, 100%, $G$9) + CHOOSE(CONTROL!$C$38, 0.0347, 0)</f>
        <v>33.3551</v>
      </c>
      <c r="E491" s="46">
        <f>35.9696 * CHOOSE(CONTROL!$C$15, $E$9, 100%, $G$9) + CHOOSE(CONTROL!$C$38, 0.0347, 0)</f>
        <v>36.004300000000001</v>
      </c>
      <c r="F491" s="45">
        <f>35.9696 * CHOOSE(CONTROL!$C$15, $E$9, 100%, $G$9) + CHOOSE(CONTROL!$C$38, 0.0256, 0)</f>
        <v>35.995199999999997</v>
      </c>
      <c r="G491" s="10">
        <f>33.3267 * CHOOSE(CONTROL!$C$15, $E$9, 100%, $G$9) + CHOOSE(CONTROL!$C$38, 0.0347, 0)</f>
        <v>33.361400000000003</v>
      </c>
      <c r="H491" s="10">
        <f>33.3267 * CHOOSE(CONTROL!$C$15, $E$9, 100%, $G$9) + CHOOSE(CONTROL!$C$38, 0.0347, 0)</f>
        <v>33.361400000000003</v>
      </c>
      <c r="I491" s="10">
        <f>33.3283 * CHOOSE(CONTROL!$C$15, $E$9, 100%, $G$9) + CHOOSE(CONTROL!$C$38, 0.0347, 0)</f>
        <v>33.363</v>
      </c>
      <c r="J491" s="44">
        <f>241.079</f>
        <v>241.07900000000001</v>
      </c>
    </row>
    <row r="492" spans="1:10" ht="15.75" x14ac:dyDescent="0.25">
      <c r="A492" s="14">
        <v>55915</v>
      </c>
      <c r="B492" s="10">
        <f>37.1695 * CHOOSE(CONTROL!$C$15, $E$9, 100%, $G$9) + CHOOSE(CONTROL!$C$38, 0.0256, 0)</f>
        <v>37.195099999999996</v>
      </c>
      <c r="C492" s="10">
        <f>34.3286 * CHOOSE(CONTROL!$C$15, $E$9, 100%, $G$9) + CHOOSE(CONTROL!$C$38, 0.0347, 0)</f>
        <v>34.363300000000002</v>
      </c>
      <c r="D492" s="10">
        <f>34.3208 * CHOOSE(CONTROL!$C$15, $E$9, 100%, $G$9) + CHOOSE(CONTROL!$C$38, 0.0347, 0)</f>
        <v>34.355499999999999</v>
      </c>
      <c r="E492" s="46">
        <f>37.0133 * CHOOSE(CONTROL!$C$15, $E$9, 100%, $G$9) + CHOOSE(CONTROL!$C$38, 0.0347, 0)</f>
        <v>37.048000000000002</v>
      </c>
      <c r="F492" s="45">
        <f>37.0133 * CHOOSE(CONTROL!$C$15, $E$9, 100%, $G$9) + CHOOSE(CONTROL!$C$38, 0.0256, 0)</f>
        <v>37.038899999999998</v>
      </c>
      <c r="G492" s="10">
        <f>34.3271 * CHOOSE(CONTROL!$C$15, $E$9, 100%, $G$9) + CHOOSE(CONTROL!$C$38, 0.0347, 0)</f>
        <v>34.361800000000002</v>
      </c>
      <c r="H492" s="10">
        <f>34.3271 * CHOOSE(CONTROL!$C$15, $E$9, 100%, $G$9) + CHOOSE(CONTROL!$C$38, 0.0347, 0)</f>
        <v>34.361800000000002</v>
      </c>
      <c r="I492" s="10">
        <f>34.3286 * CHOOSE(CONTROL!$C$15, $E$9, 100%, $G$9) + CHOOSE(CONTROL!$C$38, 0.0347, 0)</f>
        <v>34.363300000000002</v>
      </c>
      <c r="J492" s="44">
        <f>240.6186</f>
        <v>240.61859999999999</v>
      </c>
    </row>
    <row r="493" spans="1:10" ht="15.75" x14ac:dyDescent="0.25">
      <c r="A493" s="14">
        <v>55943</v>
      </c>
      <c r="B493" s="10">
        <f>37.3903 * CHOOSE(CONTROL!$C$15, $E$9, 100%, $G$9) + CHOOSE(CONTROL!$C$38, 0.0256, 0)</f>
        <v>37.415900000000001</v>
      </c>
      <c r="C493" s="10">
        <f>34.5494 * CHOOSE(CONTROL!$C$15, $E$9, 100%, $G$9) + CHOOSE(CONTROL!$C$38, 0.0347, 0)</f>
        <v>34.584099999999999</v>
      </c>
      <c r="D493" s="10">
        <f>34.5416 * CHOOSE(CONTROL!$C$15, $E$9, 100%, $G$9) + CHOOSE(CONTROL!$C$38, 0.0347, 0)</f>
        <v>34.576300000000003</v>
      </c>
      <c r="E493" s="46">
        <f>37.234 * CHOOSE(CONTROL!$C$15, $E$9, 100%, $G$9) + CHOOSE(CONTROL!$C$38, 0.0347, 0)</f>
        <v>37.268700000000003</v>
      </c>
      <c r="F493" s="45">
        <f>37.234 * CHOOSE(CONTROL!$C$15, $E$9, 100%, $G$9) + CHOOSE(CONTROL!$C$38, 0.0256, 0)</f>
        <v>37.259599999999999</v>
      </c>
      <c r="G493" s="10">
        <f>34.5478 * CHOOSE(CONTROL!$C$15, $E$9, 100%, $G$9) + CHOOSE(CONTROL!$C$38, 0.0347, 0)</f>
        <v>34.582500000000003</v>
      </c>
      <c r="H493" s="10">
        <f>34.5478 * CHOOSE(CONTROL!$C$15, $E$9, 100%, $G$9) + CHOOSE(CONTROL!$C$38, 0.0347, 0)</f>
        <v>34.582500000000003</v>
      </c>
      <c r="I493" s="10">
        <f>34.5494 * CHOOSE(CONTROL!$C$15, $E$9, 100%, $G$9) + CHOOSE(CONTROL!$C$38, 0.0347, 0)</f>
        <v>34.584099999999999</v>
      </c>
      <c r="J493" s="44">
        <f>239.9498</f>
        <v>239.94980000000001</v>
      </c>
    </row>
    <row r="494" spans="1:10" ht="15.75" x14ac:dyDescent="0.25">
      <c r="A494" s="14">
        <v>55974</v>
      </c>
      <c r="B494" s="10">
        <f>36.8792 * CHOOSE(CONTROL!$C$15, $E$9, 100%, $G$9) + CHOOSE(CONTROL!$C$38, 0.0256, 0)</f>
        <v>36.904799999999994</v>
      </c>
      <c r="C494" s="10">
        <f>34.0384 * CHOOSE(CONTROL!$C$15, $E$9, 100%, $G$9) + CHOOSE(CONTROL!$C$38, 0.0347, 0)</f>
        <v>34.073100000000004</v>
      </c>
      <c r="D494" s="10">
        <f>34.0305 * CHOOSE(CONTROL!$C$15, $E$9, 100%, $G$9) + CHOOSE(CONTROL!$C$38, 0.0347, 0)</f>
        <v>34.065200000000004</v>
      </c>
      <c r="E494" s="46">
        <f>36.723 * CHOOSE(CONTROL!$C$15, $E$9, 100%, $G$9) + CHOOSE(CONTROL!$C$38, 0.0347, 0)</f>
        <v>36.7577</v>
      </c>
      <c r="F494" s="45">
        <f>36.723 * CHOOSE(CONTROL!$C$15, $E$9, 100%, $G$9) + CHOOSE(CONTROL!$C$38, 0.0256, 0)</f>
        <v>36.748599999999996</v>
      </c>
      <c r="G494" s="10">
        <f>34.0368 * CHOOSE(CONTROL!$C$15, $E$9, 100%, $G$9) + CHOOSE(CONTROL!$C$38, 0.0347, 0)</f>
        <v>34.0715</v>
      </c>
      <c r="H494" s="10">
        <f>34.0368 * CHOOSE(CONTROL!$C$15, $E$9, 100%, $G$9) + CHOOSE(CONTROL!$C$38, 0.0347, 0)</f>
        <v>34.0715</v>
      </c>
      <c r="I494" s="10">
        <f>34.0384 * CHOOSE(CONTROL!$C$15, $E$9, 100%, $G$9) + CHOOSE(CONTROL!$C$38, 0.0347, 0)</f>
        <v>34.073100000000004</v>
      </c>
      <c r="J494" s="44">
        <f>252.5965</f>
        <v>252.59649999999999</v>
      </c>
    </row>
    <row r="495" spans="1:10" ht="15.75" x14ac:dyDescent="0.25">
      <c r="A495" s="14">
        <v>56004</v>
      </c>
      <c r="B495" s="10">
        <f>36.3841 * CHOOSE(CONTROL!$C$15, $E$9, 100%, $G$9) + CHOOSE(CONTROL!$C$38, 0.0256, 0)</f>
        <v>36.409699999999994</v>
      </c>
      <c r="C495" s="10">
        <f>33.5432 * CHOOSE(CONTROL!$C$15, $E$9, 100%, $G$9) + CHOOSE(CONTROL!$C$38, 0.0347, 0)</f>
        <v>33.5779</v>
      </c>
      <c r="D495" s="10">
        <f>33.5354 * CHOOSE(CONTROL!$C$15, $E$9, 100%, $G$9) + CHOOSE(CONTROL!$C$38, 0.0347, 0)</f>
        <v>33.570100000000004</v>
      </c>
      <c r="E495" s="46">
        <f>36.2278 * CHOOSE(CONTROL!$C$15, $E$9, 100%, $G$9) + CHOOSE(CONTROL!$C$38, 0.0347, 0)</f>
        <v>36.262500000000003</v>
      </c>
      <c r="F495" s="45">
        <f>36.2278 * CHOOSE(CONTROL!$C$15, $E$9, 100%, $G$9) + CHOOSE(CONTROL!$C$38, 0.0256, 0)</f>
        <v>36.253399999999999</v>
      </c>
      <c r="G495" s="10">
        <f>33.5416 * CHOOSE(CONTROL!$C$15, $E$9, 100%, $G$9) + CHOOSE(CONTROL!$C$38, 0.0347, 0)</f>
        <v>33.576300000000003</v>
      </c>
      <c r="H495" s="10">
        <f>33.5416 * CHOOSE(CONTROL!$C$15, $E$9, 100%, $G$9) + CHOOSE(CONTROL!$C$38, 0.0347, 0)</f>
        <v>33.576300000000003</v>
      </c>
      <c r="I495" s="10">
        <f>33.5432 * CHOOSE(CONTROL!$C$15, $E$9, 100%, $G$9) + CHOOSE(CONTROL!$C$38, 0.0347, 0)</f>
        <v>33.5779</v>
      </c>
      <c r="J495" s="44">
        <f>268.9963</f>
        <v>268.99630000000002</v>
      </c>
    </row>
    <row r="496" spans="1:10" ht="15.75" x14ac:dyDescent="0.25">
      <c r="A496" s="14">
        <v>56035</v>
      </c>
      <c r="B496" s="10">
        <f>35.8679 * CHOOSE(CONTROL!$C$15, $E$9, 100%, $G$9) + CHOOSE(CONTROL!$C$38, 0.0278, 0)</f>
        <v>35.895699999999998</v>
      </c>
      <c r="C496" s="10">
        <f>33.0271 * CHOOSE(CONTROL!$C$15, $E$9, 100%, $G$9) + CHOOSE(CONTROL!$C$38, 0.0369, 0)</f>
        <v>33.064</v>
      </c>
      <c r="D496" s="10">
        <f>33.0193 * CHOOSE(CONTROL!$C$15, $E$9, 100%, $G$9) + CHOOSE(CONTROL!$C$38, 0.0369, 0)</f>
        <v>33.056200000000004</v>
      </c>
      <c r="E496" s="46">
        <f>35.7117 * CHOOSE(CONTROL!$C$15, $E$9, 100%, $G$9) + CHOOSE(CONTROL!$C$38, 0.0369, 0)</f>
        <v>35.748600000000003</v>
      </c>
      <c r="F496" s="45">
        <f>35.7117 * CHOOSE(CONTROL!$C$15, $E$9, 100%, $G$9) + CHOOSE(CONTROL!$C$38, 0.0278, 0)</f>
        <v>35.7395</v>
      </c>
      <c r="G496" s="10">
        <f>33.0255 * CHOOSE(CONTROL!$C$15, $E$9, 100%, $G$9) + CHOOSE(CONTROL!$C$38, 0.0369, 0)</f>
        <v>33.062400000000004</v>
      </c>
      <c r="H496" s="10">
        <f>33.0255 * CHOOSE(CONTROL!$C$15, $E$9, 100%, $G$9) + CHOOSE(CONTROL!$C$38, 0.0369, 0)</f>
        <v>33.062400000000004</v>
      </c>
      <c r="I496" s="10">
        <f>33.0271 * CHOOSE(CONTROL!$C$15, $E$9, 100%, $G$9) + CHOOSE(CONTROL!$C$38, 0.0369, 0)</f>
        <v>33.064</v>
      </c>
      <c r="J496" s="44">
        <f>278.0233</f>
        <v>278.02330000000001</v>
      </c>
    </row>
    <row r="497" spans="1:10" ht="15.75" x14ac:dyDescent="0.25">
      <c r="A497" s="14">
        <v>56065</v>
      </c>
      <c r="B497" s="10">
        <f>35.5061 * CHOOSE(CONTROL!$C$15, $E$9, 100%, $G$9) + CHOOSE(CONTROL!$C$38, 0.0278, 0)</f>
        <v>35.533900000000003</v>
      </c>
      <c r="C497" s="10">
        <f>32.6652 * CHOOSE(CONTROL!$C$15, $E$9, 100%, $G$9) + CHOOSE(CONTROL!$C$38, 0.0369, 0)</f>
        <v>32.702100000000002</v>
      </c>
      <c r="D497" s="10">
        <f>32.6574 * CHOOSE(CONTROL!$C$15, $E$9, 100%, $G$9) + CHOOSE(CONTROL!$C$38, 0.0369, 0)</f>
        <v>32.694300000000005</v>
      </c>
      <c r="E497" s="46">
        <f>35.3499 * CHOOSE(CONTROL!$C$15, $E$9, 100%, $G$9) + CHOOSE(CONTROL!$C$38, 0.0369, 0)</f>
        <v>35.386800000000001</v>
      </c>
      <c r="F497" s="45">
        <f>35.3499 * CHOOSE(CONTROL!$C$15, $E$9, 100%, $G$9) + CHOOSE(CONTROL!$C$38, 0.0278, 0)</f>
        <v>35.377699999999997</v>
      </c>
      <c r="G497" s="10">
        <f>32.6637 * CHOOSE(CONTROL!$C$15, $E$9, 100%, $G$9) + CHOOSE(CONTROL!$C$38, 0.0369, 0)</f>
        <v>32.700600000000001</v>
      </c>
      <c r="H497" s="10">
        <f>32.6637 * CHOOSE(CONTROL!$C$15, $E$9, 100%, $G$9) + CHOOSE(CONTROL!$C$38, 0.0369, 0)</f>
        <v>32.700600000000001</v>
      </c>
      <c r="I497" s="10">
        <f>32.6652 * CHOOSE(CONTROL!$C$15, $E$9, 100%, $G$9) + CHOOSE(CONTROL!$C$38, 0.0369, 0)</f>
        <v>32.702100000000002</v>
      </c>
      <c r="J497" s="44">
        <f>282.0293</f>
        <v>282.02929999999998</v>
      </c>
    </row>
    <row r="498" spans="1:10" ht="15.75" x14ac:dyDescent="0.25">
      <c r="A498" s="14">
        <v>56096</v>
      </c>
      <c r="B498" s="10">
        <f>35.2996 * CHOOSE(CONTROL!$C$15, $E$9, 100%, $G$9) + CHOOSE(CONTROL!$C$38, 0.0278, 0)</f>
        <v>35.327399999999997</v>
      </c>
      <c r="C498" s="10">
        <f>32.4587 * CHOOSE(CONTROL!$C$15, $E$9, 100%, $G$9) + CHOOSE(CONTROL!$C$38, 0.0369, 0)</f>
        <v>32.495600000000003</v>
      </c>
      <c r="D498" s="10">
        <f>32.4509 * CHOOSE(CONTROL!$C$15, $E$9, 100%, $G$9) + CHOOSE(CONTROL!$C$38, 0.0369, 0)</f>
        <v>32.4878</v>
      </c>
      <c r="E498" s="46">
        <f>35.1434 * CHOOSE(CONTROL!$C$15, $E$9, 100%, $G$9) + CHOOSE(CONTROL!$C$38, 0.0369, 0)</f>
        <v>35.180300000000003</v>
      </c>
      <c r="F498" s="45">
        <f>35.1434 * CHOOSE(CONTROL!$C$15, $E$9, 100%, $G$9) + CHOOSE(CONTROL!$C$38, 0.0278, 0)</f>
        <v>35.171199999999999</v>
      </c>
      <c r="G498" s="10">
        <f>32.4572 * CHOOSE(CONTROL!$C$15, $E$9, 100%, $G$9) + CHOOSE(CONTROL!$C$38, 0.0369, 0)</f>
        <v>32.494100000000003</v>
      </c>
      <c r="H498" s="10">
        <f>32.4572 * CHOOSE(CONTROL!$C$15, $E$9, 100%, $G$9) + CHOOSE(CONTROL!$C$38, 0.0369, 0)</f>
        <v>32.494100000000003</v>
      </c>
      <c r="I498" s="10">
        <f>32.4587 * CHOOSE(CONTROL!$C$15, $E$9, 100%, $G$9) + CHOOSE(CONTROL!$C$38, 0.0369, 0)</f>
        <v>32.495600000000003</v>
      </c>
      <c r="J498" s="44">
        <f>280.7103</f>
        <v>280.71030000000002</v>
      </c>
    </row>
    <row r="499" spans="1:10" ht="15.75" x14ac:dyDescent="0.25">
      <c r="A499" s="14">
        <v>56127</v>
      </c>
      <c r="B499" s="10">
        <f>35.4015 * CHOOSE(CONTROL!$C$15, $E$9, 100%, $G$9) + CHOOSE(CONTROL!$C$38, 0.0278, 0)</f>
        <v>35.429299999999998</v>
      </c>
      <c r="C499" s="10">
        <f>32.5607 * CHOOSE(CONTROL!$C$15, $E$9, 100%, $G$9) + CHOOSE(CONTROL!$C$38, 0.0369, 0)</f>
        <v>32.5976</v>
      </c>
      <c r="D499" s="10">
        <f>32.5528 * CHOOSE(CONTROL!$C$15, $E$9, 100%, $G$9) + CHOOSE(CONTROL!$C$38, 0.0369, 0)</f>
        <v>32.589700000000001</v>
      </c>
      <c r="E499" s="46">
        <f>35.2453 * CHOOSE(CONTROL!$C$15, $E$9, 100%, $G$9) + CHOOSE(CONTROL!$C$38, 0.0369, 0)</f>
        <v>35.282200000000003</v>
      </c>
      <c r="F499" s="45">
        <f>35.2453 * CHOOSE(CONTROL!$C$15, $E$9, 100%, $G$9) + CHOOSE(CONTROL!$C$38, 0.0278, 0)</f>
        <v>35.273099999999999</v>
      </c>
      <c r="G499" s="10">
        <f>32.5591 * CHOOSE(CONTROL!$C$15, $E$9, 100%, $G$9) + CHOOSE(CONTROL!$C$38, 0.0369, 0)</f>
        <v>32.596000000000004</v>
      </c>
      <c r="H499" s="10">
        <f>32.5591 * CHOOSE(CONTROL!$C$15, $E$9, 100%, $G$9) + CHOOSE(CONTROL!$C$38, 0.0369, 0)</f>
        <v>32.596000000000004</v>
      </c>
      <c r="I499" s="10">
        <f>32.5607 * CHOOSE(CONTROL!$C$15, $E$9, 100%, $G$9) + CHOOSE(CONTROL!$C$38, 0.0369, 0)</f>
        <v>32.5976</v>
      </c>
      <c r="J499" s="44">
        <f>274.1755</f>
        <v>274.1755</v>
      </c>
    </row>
    <row r="500" spans="1:10" ht="15.75" x14ac:dyDescent="0.25">
      <c r="A500" s="14">
        <v>56157</v>
      </c>
      <c r="B500" s="10">
        <f>35.6783 * CHOOSE(CONTROL!$C$15, $E$9, 100%, $G$9) + CHOOSE(CONTROL!$C$38, 0.0278, 0)</f>
        <v>35.706099999999999</v>
      </c>
      <c r="C500" s="10">
        <f>32.8374 * CHOOSE(CONTROL!$C$15, $E$9, 100%, $G$9) + CHOOSE(CONTROL!$C$38, 0.0369, 0)</f>
        <v>32.874300000000005</v>
      </c>
      <c r="D500" s="10">
        <f>32.8296 * CHOOSE(CONTROL!$C$15, $E$9, 100%, $G$9) + CHOOSE(CONTROL!$C$38, 0.0369, 0)</f>
        <v>32.866500000000002</v>
      </c>
      <c r="E500" s="46">
        <f>35.5221 * CHOOSE(CONTROL!$C$15, $E$9, 100%, $G$9) + CHOOSE(CONTROL!$C$38, 0.0369, 0)</f>
        <v>35.559000000000005</v>
      </c>
      <c r="F500" s="45">
        <f>35.5221 * CHOOSE(CONTROL!$C$15, $E$9, 100%, $G$9) + CHOOSE(CONTROL!$C$38, 0.0278, 0)</f>
        <v>35.549900000000001</v>
      </c>
      <c r="G500" s="10">
        <f>32.8359 * CHOOSE(CONTROL!$C$15, $E$9, 100%, $G$9) + CHOOSE(CONTROL!$C$38, 0.0369, 0)</f>
        <v>32.872800000000005</v>
      </c>
      <c r="H500" s="10">
        <f>32.8359 * CHOOSE(CONTROL!$C$15, $E$9, 100%, $G$9) + CHOOSE(CONTROL!$C$38, 0.0369, 0)</f>
        <v>32.872800000000005</v>
      </c>
      <c r="I500" s="10">
        <f>32.8374 * CHOOSE(CONTROL!$C$15, $E$9, 100%, $G$9) + CHOOSE(CONTROL!$C$38, 0.0369, 0)</f>
        <v>32.874300000000005</v>
      </c>
      <c r="J500" s="44">
        <f>265.0624</f>
        <v>265.06240000000003</v>
      </c>
    </row>
    <row r="501" spans="1:10" ht="15.75" x14ac:dyDescent="0.25">
      <c r="A501" s="14">
        <v>56188</v>
      </c>
      <c r="B501" s="10">
        <f>35.9101 * CHOOSE(CONTROL!$C$15, $E$9, 100%, $G$9) + CHOOSE(CONTROL!$C$38, 0.0256, 0)</f>
        <v>35.935699999999997</v>
      </c>
      <c r="C501" s="10">
        <f>33.0693 * CHOOSE(CONTROL!$C$15, $E$9, 100%, $G$9) + CHOOSE(CONTROL!$C$38, 0.0347, 0)</f>
        <v>33.103999999999999</v>
      </c>
      <c r="D501" s="10">
        <f>33.0615 * CHOOSE(CONTROL!$C$15, $E$9, 100%, $G$9) + CHOOSE(CONTROL!$C$38, 0.0347, 0)</f>
        <v>33.096200000000003</v>
      </c>
      <c r="E501" s="46">
        <f>35.7539 * CHOOSE(CONTROL!$C$15, $E$9, 100%, $G$9) + CHOOSE(CONTROL!$C$38, 0.0347, 0)</f>
        <v>35.788600000000002</v>
      </c>
      <c r="F501" s="45">
        <f>35.7539 * CHOOSE(CONTROL!$C$15, $E$9, 100%, $G$9) + CHOOSE(CONTROL!$C$38, 0.0256, 0)</f>
        <v>35.779499999999999</v>
      </c>
      <c r="G501" s="10">
        <f>33.0677 * CHOOSE(CONTROL!$C$15, $E$9, 100%, $G$9) + CHOOSE(CONTROL!$C$38, 0.0347, 0)</f>
        <v>33.102400000000003</v>
      </c>
      <c r="H501" s="10">
        <f>33.0677 * CHOOSE(CONTROL!$C$15, $E$9, 100%, $G$9) + CHOOSE(CONTROL!$C$38, 0.0347, 0)</f>
        <v>33.102400000000003</v>
      </c>
      <c r="I501" s="10">
        <f>33.0693 * CHOOSE(CONTROL!$C$15, $E$9, 100%, $G$9) + CHOOSE(CONTROL!$C$38, 0.0347, 0)</f>
        <v>33.103999999999999</v>
      </c>
      <c r="J501" s="44">
        <f>255.8963</f>
        <v>255.8963</v>
      </c>
    </row>
    <row r="502" spans="1:10" ht="15.75" x14ac:dyDescent="0.25">
      <c r="A502" s="14">
        <v>56218</v>
      </c>
      <c r="B502" s="10">
        <f>36.1036 * CHOOSE(CONTROL!$C$15, $E$9, 100%, $G$9) + CHOOSE(CONTROL!$C$38, 0.0256, 0)</f>
        <v>36.129199999999997</v>
      </c>
      <c r="C502" s="10">
        <f>33.2627 * CHOOSE(CONTROL!$C$15, $E$9, 100%, $G$9) + CHOOSE(CONTROL!$C$38, 0.0347, 0)</f>
        <v>33.297400000000003</v>
      </c>
      <c r="D502" s="10">
        <f>33.2549 * CHOOSE(CONTROL!$C$15, $E$9, 100%, $G$9) + CHOOSE(CONTROL!$C$38, 0.0347, 0)</f>
        <v>33.2896</v>
      </c>
      <c r="E502" s="46">
        <f>35.9473 * CHOOSE(CONTROL!$C$15, $E$9, 100%, $G$9) + CHOOSE(CONTROL!$C$38, 0.0347, 0)</f>
        <v>35.981999999999999</v>
      </c>
      <c r="F502" s="45">
        <f>35.9473 * CHOOSE(CONTROL!$C$15, $E$9, 100%, $G$9) + CHOOSE(CONTROL!$C$38, 0.0256, 0)</f>
        <v>35.972899999999996</v>
      </c>
      <c r="G502" s="10">
        <f>33.2611 * CHOOSE(CONTROL!$C$15, $E$9, 100%, $G$9) + CHOOSE(CONTROL!$C$38, 0.0347, 0)</f>
        <v>33.2958</v>
      </c>
      <c r="H502" s="10">
        <f>33.2611 * CHOOSE(CONTROL!$C$15, $E$9, 100%, $G$9) + CHOOSE(CONTROL!$C$38, 0.0347, 0)</f>
        <v>33.2958</v>
      </c>
      <c r="I502" s="10">
        <f>33.2627 * CHOOSE(CONTROL!$C$15, $E$9, 100%, $G$9) + CHOOSE(CONTROL!$C$38, 0.0347, 0)</f>
        <v>33.297400000000003</v>
      </c>
      <c r="J502" s="44">
        <f>254.0729</f>
        <v>254.0729</v>
      </c>
    </row>
    <row r="503" spans="1:10" ht="15.75" x14ac:dyDescent="0.25">
      <c r="A503" s="14">
        <v>56249</v>
      </c>
      <c r="B503" s="10">
        <f>36.6997 * CHOOSE(CONTROL!$C$15, $E$9, 100%, $G$9) + CHOOSE(CONTROL!$C$38, 0.0256, 0)</f>
        <v>36.725299999999997</v>
      </c>
      <c r="C503" s="10">
        <f>33.8588 * CHOOSE(CONTROL!$C$15, $E$9, 100%, $G$9) + CHOOSE(CONTROL!$C$38, 0.0347, 0)</f>
        <v>33.893500000000003</v>
      </c>
      <c r="D503" s="10">
        <f>33.851 * CHOOSE(CONTROL!$C$15, $E$9, 100%, $G$9) + CHOOSE(CONTROL!$C$38, 0.0347, 0)</f>
        <v>33.8857</v>
      </c>
      <c r="E503" s="46">
        <f>36.5434 * CHOOSE(CONTROL!$C$15, $E$9, 100%, $G$9) + CHOOSE(CONTROL!$C$38, 0.0347, 0)</f>
        <v>36.578099999999999</v>
      </c>
      <c r="F503" s="45">
        <f>36.5434 * CHOOSE(CONTROL!$C$15, $E$9, 100%, $G$9) + CHOOSE(CONTROL!$C$38, 0.0256, 0)</f>
        <v>36.568999999999996</v>
      </c>
      <c r="G503" s="10">
        <f>33.8572 * CHOOSE(CONTROL!$C$15, $E$9, 100%, $G$9) + CHOOSE(CONTROL!$C$38, 0.0347, 0)</f>
        <v>33.8919</v>
      </c>
      <c r="H503" s="10">
        <f>33.8572 * CHOOSE(CONTROL!$C$15, $E$9, 100%, $G$9) + CHOOSE(CONTROL!$C$38, 0.0347, 0)</f>
        <v>33.8919</v>
      </c>
      <c r="I503" s="10">
        <f>33.8588 * CHOOSE(CONTROL!$C$15, $E$9, 100%, $G$9) + CHOOSE(CONTROL!$C$38, 0.0347, 0)</f>
        <v>33.893500000000003</v>
      </c>
      <c r="J503" s="44">
        <f>246.5333</f>
        <v>246.5333</v>
      </c>
    </row>
    <row r="504" spans="1:10" ht="15.75" x14ac:dyDescent="0.25">
      <c r="A504" s="14">
        <v>56280</v>
      </c>
      <c r="B504" s="10">
        <f>37.7527 * CHOOSE(CONTROL!$C$15, $E$9, 100%, $G$9) + CHOOSE(CONTROL!$C$38, 0.0256, 0)</f>
        <v>37.778299999999994</v>
      </c>
      <c r="C504" s="10">
        <f>34.8679 * CHOOSE(CONTROL!$C$15, $E$9, 100%, $G$9) + CHOOSE(CONTROL!$C$38, 0.0347, 0)</f>
        <v>34.9026</v>
      </c>
      <c r="D504" s="10">
        <f>34.86 * CHOOSE(CONTROL!$C$15, $E$9, 100%, $G$9) + CHOOSE(CONTROL!$C$38, 0.0347, 0)</f>
        <v>34.8947</v>
      </c>
      <c r="E504" s="46">
        <f>37.5965 * CHOOSE(CONTROL!$C$15, $E$9, 100%, $G$9) + CHOOSE(CONTROL!$C$38, 0.0347, 0)</f>
        <v>37.6312</v>
      </c>
      <c r="F504" s="45">
        <f>37.5965 * CHOOSE(CONTROL!$C$15, $E$9, 100%, $G$9) + CHOOSE(CONTROL!$C$38, 0.0256, 0)</f>
        <v>37.622099999999996</v>
      </c>
      <c r="G504" s="10">
        <f>34.8663 * CHOOSE(CONTROL!$C$15, $E$9, 100%, $G$9) + CHOOSE(CONTROL!$C$38, 0.0347, 0)</f>
        <v>34.901000000000003</v>
      </c>
      <c r="H504" s="10">
        <f>34.8663 * CHOOSE(CONTROL!$C$15, $E$9, 100%, $G$9) + CHOOSE(CONTROL!$C$38, 0.0347, 0)</f>
        <v>34.901000000000003</v>
      </c>
      <c r="I504" s="10">
        <f>34.8679 * CHOOSE(CONTROL!$C$15, $E$9, 100%, $G$9) + CHOOSE(CONTROL!$C$38, 0.0347, 0)</f>
        <v>34.9026</v>
      </c>
      <c r="J504" s="44">
        <f>246.0625</f>
        <v>246.0625</v>
      </c>
    </row>
    <row r="505" spans="1:10" ht="15.75" x14ac:dyDescent="0.25">
      <c r="A505" s="14">
        <v>56308</v>
      </c>
      <c r="B505" s="10">
        <f>37.9735 * CHOOSE(CONTROL!$C$15, $E$9, 100%, $G$9) + CHOOSE(CONTROL!$C$38, 0.0256, 0)</f>
        <v>37.999099999999999</v>
      </c>
      <c r="C505" s="10">
        <f>35.0886 * CHOOSE(CONTROL!$C$15, $E$9, 100%, $G$9) + CHOOSE(CONTROL!$C$38, 0.0347, 0)</f>
        <v>35.1233</v>
      </c>
      <c r="D505" s="10">
        <f>35.0808 * CHOOSE(CONTROL!$C$15, $E$9, 100%, $G$9) + CHOOSE(CONTROL!$C$38, 0.0347, 0)</f>
        <v>35.115500000000004</v>
      </c>
      <c r="E505" s="46">
        <f>37.8173 * CHOOSE(CONTROL!$C$15, $E$9, 100%, $G$9) + CHOOSE(CONTROL!$C$38, 0.0347, 0)</f>
        <v>37.852000000000004</v>
      </c>
      <c r="F505" s="45">
        <f>37.8173 * CHOOSE(CONTROL!$C$15, $E$9, 100%, $G$9) + CHOOSE(CONTROL!$C$38, 0.0256, 0)</f>
        <v>37.8429</v>
      </c>
      <c r="G505" s="10">
        <f>35.0871 * CHOOSE(CONTROL!$C$15, $E$9, 100%, $G$9) + CHOOSE(CONTROL!$C$38, 0.0347, 0)</f>
        <v>35.1218</v>
      </c>
      <c r="H505" s="10">
        <f>35.0871 * CHOOSE(CONTROL!$C$15, $E$9, 100%, $G$9) + CHOOSE(CONTROL!$C$38, 0.0347, 0)</f>
        <v>35.1218</v>
      </c>
      <c r="I505" s="10">
        <f>35.0886 * CHOOSE(CONTROL!$C$15, $E$9, 100%, $G$9) + CHOOSE(CONTROL!$C$38, 0.0347, 0)</f>
        <v>35.1233</v>
      </c>
      <c r="J505" s="44">
        <f>245.3785</f>
        <v>245.3785</v>
      </c>
    </row>
    <row r="506" spans="1:10" ht="15.75" x14ac:dyDescent="0.25">
      <c r="A506" s="14">
        <v>56339</v>
      </c>
      <c r="B506" s="10">
        <f>37.4625 * CHOOSE(CONTROL!$C$15, $E$9, 100%, $G$9) + CHOOSE(CONTROL!$C$38, 0.0256, 0)</f>
        <v>37.488099999999996</v>
      </c>
      <c r="C506" s="10">
        <f>34.5776 * CHOOSE(CONTROL!$C$15, $E$9, 100%, $G$9) + CHOOSE(CONTROL!$C$38, 0.0347, 0)</f>
        <v>34.612299999999998</v>
      </c>
      <c r="D506" s="10">
        <f>34.5698 * CHOOSE(CONTROL!$C$15, $E$9, 100%, $G$9) + CHOOSE(CONTROL!$C$38, 0.0347, 0)</f>
        <v>34.604500000000002</v>
      </c>
      <c r="E506" s="46">
        <f>37.3062 * CHOOSE(CONTROL!$C$15, $E$9, 100%, $G$9) + CHOOSE(CONTROL!$C$38, 0.0347, 0)</f>
        <v>37.340899999999998</v>
      </c>
      <c r="F506" s="45">
        <f>37.3062 * CHOOSE(CONTROL!$C$15, $E$9, 100%, $G$9) + CHOOSE(CONTROL!$C$38, 0.0256, 0)</f>
        <v>37.331799999999994</v>
      </c>
      <c r="G506" s="10">
        <f>34.576 * CHOOSE(CONTROL!$C$15, $E$9, 100%, $G$9) + CHOOSE(CONTROL!$C$38, 0.0347, 0)</f>
        <v>34.610700000000001</v>
      </c>
      <c r="H506" s="10">
        <f>34.576 * CHOOSE(CONTROL!$C$15, $E$9, 100%, $G$9) + CHOOSE(CONTROL!$C$38, 0.0347, 0)</f>
        <v>34.610700000000001</v>
      </c>
      <c r="I506" s="10">
        <f>34.5776 * CHOOSE(CONTROL!$C$15, $E$9, 100%, $G$9) + CHOOSE(CONTROL!$C$38, 0.0347, 0)</f>
        <v>34.612299999999998</v>
      </c>
      <c r="J506" s="44">
        <f>258.3114</f>
        <v>258.31139999999999</v>
      </c>
    </row>
    <row r="507" spans="1:10" ht="15.75" x14ac:dyDescent="0.25">
      <c r="A507" s="14">
        <v>56369</v>
      </c>
      <c r="B507" s="10">
        <f>36.9673 * CHOOSE(CONTROL!$C$15, $E$9, 100%, $G$9) + CHOOSE(CONTROL!$C$38, 0.0256, 0)</f>
        <v>36.992899999999999</v>
      </c>
      <c r="C507" s="10">
        <f>34.0824 * CHOOSE(CONTROL!$C$15, $E$9, 100%, $G$9) + CHOOSE(CONTROL!$C$38, 0.0347, 0)</f>
        <v>34.117100000000001</v>
      </c>
      <c r="D507" s="10">
        <f>34.0746 * CHOOSE(CONTROL!$C$15, $E$9, 100%, $G$9) + CHOOSE(CONTROL!$C$38, 0.0347, 0)</f>
        <v>34.109299999999998</v>
      </c>
      <c r="E507" s="46">
        <f>36.811 * CHOOSE(CONTROL!$C$15, $E$9, 100%, $G$9) + CHOOSE(CONTROL!$C$38, 0.0347, 0)</f>
        <v>36.845700000000001</v>
      </c>
      <c r="F507" s="45">
        <f>36.811 * CHOOSE(CONTROL!$C$15, $E$9, 100%, $G$9) + CHOOSE(CONTROL!$C$38, 0.0256, 0)</f>
        <v>36.836599999999997</v>
      </c>
      <c r="G507" s="10">
        <f>34.0808 * CHOOSE(CONTROL!$C$15, $E$9, 100%, $G$9) + CHOOSE(CONTROL!$C$38, 0.0347, 0)</f>
        <v>34.115500000000004</v>
      </c>
      <c r="H507" s="10">
        <f>34.0808 * CHOOSE(CONTROL!$C$15, $E$9, 100%, $G$9) + CHOOSE(CONTROL!$C$38, 0.0347, 0)</f>
        <v>34.115500000000004</v>
      </c>
      <c r="I507" s="10">
        <f>34.0824 * CHOOSE(CONTROL!$C$15, $E$9, 100%, $G$9) + CHOOSE(CONTROL!$C$38, 0.0347, 0)</f>
        <v>34.117100000000001</v>
      </c>
      <c r="J507" s="44">
        <f>275.0822</f>
        <v>275.0822</v>
      </c>
    </row>
    <row r="508" spans="1:10" ht="15.75" x14ac:dyDescent="0.25">
      <c r="A508" s="14">
        <v>56400</v>
      </c>
      <c r="B508" s="10">
        <f>36.4512 * CHOOSE(CONTROL!$C$15, $E$9, 100%, $G$9) + CHOOSE(CONTROL!$C$38, 0.0278, 0)</f>
        <v>36.478999999999999</v>
      </c>
      <c r="C508" s="10">
        <f>33.5663 * CHOOSE(CONTROL!$C$15, $E$9, 100%, $G$9) + CHOOSE(CONTROL!$C$38, 0.0369, 0)</f>
        <v>33.603200000000001</v>
      </c>
      <c r="D508" s="10">
        <f>33.5585 * CHOOSE(CONTROL!$C$15, $E$9, 100%, $G$9) + CHOOSE(CONTROL!$C$38, 0.0369, 0)</f>
        <v>33.595400000000005</v>
      </c>
      <c r="E508" s="46">
        <f>36.2949 * CHOOSE(CONTROL!$C$15, $E$9, 100%, $G$9) + CHOOSE(CONTROL!$C$38, 0.0369, 0)</f>
        <v>36.331800000000001</v>
      </c>
      <c r="F508" s="45">
        <f>36.2949 * CHOOSE(CONTROL!$C$15, $E$9, 100%, $G$9) + CHOOSE(CONTROL!$C$38, 0.0278, 0)</f>
        <v>36.322699999999998</v>
      </c>
      <c r="G508" s="10">
        <f>33.5647 * CHOOSE(CONTROL!$C$15, $E$9, 100%, $G$9) + CHOOSE(CONTROL!$C$38, 0.0369, 0)</f>
        <v>33.601600000000005</v>
      </c>
      <c r="H508" s="10">
        <f>33.5647 * CHOOSE(CONTROL!$C$15, $E$9, 100%, $G$9) + CHOOSE(CONTROL!$C$38, 0.0369, 0)</f>
        <v>33.601600000000005</v>
      </c>
      <c r="I508" s="10">
        <f>33.5663 * CHOOSE(CONTROL!$C$15, $E$9, 100%, $G$9) + CHOOSE(CONTROL!$C$38, 0.0369, 0)</f>
        <v>33.603200000000001</v>
      </c>
      <c r="J508" s="44">
        <f>284.3134</f>
        <v>284.3134</v>
      </c>
    </row>
    <row r="509" spans="1:10" ht="15.75" x14ac:dyDescent="0.25">
      <c r="A509" s="14">
        <v>56430</v>
      </c>
      <c r="B509" s="10">
        <f>36.0893 * CHOOSE(CONTROL!$C$15, $E$9, 100%, $G$9) + CHOOSE(CONTROL!$C$38, 0.0278, 0)</f>
        <v>36.117100000000001</v>
      </c>
      <c r="C509" s="10">
        <f>33.2045 * CHOOSE(CONTROL!$C$15, $E$9, 100%, $G$9) + CHOOSE(CONTROL!$C$38, 0.0369, 0)</f>
        <v>33.241400000000006</v>
      </c>
      <c r="D509" s="10">
        <f>33.1966 * CHOOSE(CONTROL!$C$15, $E$9, 100%, $G$9) + CHOOSE(CONTROL!$C$38, 0.0369, 0)</f>
        <v>33.233499999999999</v>
      </c>
      <c r="E509" s="46">
        <f>35.9331 * CHOOSE(CONTROL!$C$15, $E$9, 100%, $G$9) + CHOOSE(CONTROL!$C$38, 0.0369, 0)</f>
        <v>35.970000000000006</v>
      </c>
      <c r="F509" s="45">
        <f>35.9331 * CHOOSE(CONTROL!$C$15, $E$9, 100%, $G$9) + CHOOSE(CONTROL!$C$38, 0.0278, 0)</f>
        <v>35.960900000000002</v>
      </c>
      <c r="G509" s="10">
        <f>33.2029 * CHOOSE(CONTROL!$C$15, $E$9, 100%, $G$9) + CHOOSE(CONTROL!$C$38, 0.0369, 0)</f>
        <v>33.239800000000002</v>
      </c>
      <c r="H509" s="10">
        <f>33.2029 * CHOOSE(CONTROL!$C$15, $E$9, 100%, $G$9) + CHOOSE(CONTROL!$C$38, 0.0369, 0)</f>
        <v>33.239800000000002</v>
      </c>
      <c r="I509" s="10">
        <f>33.2045 * CHOOSE(CONTROL!$C$15, $E$9, 100%, $G$9) + CHOOSE(CONTROL!$C$38, 0.0369, 0)</f>
        <v>33.241400000000006</v>
      </c>
      <c r="J509" s="44">
        <f>288.4101</f>
        <v>288.4101</v>
      </c>
    </row>
    <row r="510" spans="1:10" ht="15.75" x14ac:dyDescent="0.25">
      <c r="A510" s="14">
        <v>56461</v>
      </c>
      <c r="B510" s="10">
        <f>35.8829 * CHOOSE(CONTROL!$C$15, $E$9, 100%, $G$9) + CHOOSE(CONTROL!$C$38, 0.0278, 0)</f>
        <v>35.910699999999999</v>
      </c>
      <c r="C510" s="10">
        <f>32.998 * CHOOSE(CONTROL!$C$15, $E$9, 100%, $G$9) + CHOOSE(CONTROL!$C$38, 0.0369, 0)</f>
        <v>33.0349</v>
      </c>
      <c r="D510" s="10">
        <f>32.9902 * CHOOSE(CONTROL!$C$15, $E$9, 100%, $G$9) + CHOOSE(CONTROL!$C$38, 0.0369, 0)</f>
        <v>33.027100000000004</v>
      </c>
      <c r="E510" s="46">
        <f>35.7266 * CHOOSE(CONTROL!$C$15, $E$9, 100%, $G$9) + CHOOSE(CONTROL!$C$38, 0.0369, 0)</f>
        <v>35.763500000000001</v>
      </c>
      <c r="F510" s="45">
        <f>35.7266 * CHOOSE(CONTROL!$C$15, $E$9, 100%, $G$9) + CHOOSE(CONTROL!$C$38, 0.0278, 0)</f>
        <v>35.754399999999997</v>
      </c>
      <c r="G510" s="10">
        <f>32.9964 * CHOOSE(CONTROL!$C$15, $E$9, 100%, $G$9) + CHOOSE(CONTROL!$C$38, 0.0369, 0)</f>
        <v>33.033300000000004</v>
      </c>
      <c r="H510" s="10">
        <f>32.9964 * CHOOSE(CONTROL!$C$15, $E$9, 100%, $G$9) + CHOOSE(CONTROL!$C$38, 0.0369, 0)</f>
        <v>33.033300000000004</v>
      </c>
      <c r="I510" s="10">
        <f>32.998 * CHOOSE(CONTROL!$C$15, $E$9, 100%, $G$9) + CHOOSE(CONTROL!$C$38, 0.0369, 0)</f>
        <v>33.0349</v>
      </c>
      <c r="J510" s="44">
        <f>287.0613</f>
        <v>287.06130000000002</v>
      </c>
    </row>
    <row r="511" spans="1:10" ht="15.75" x14ac:dyDescent="0.25">
      <c r="A511" s="14">
        <v>56492</v>
      </c>
      <c r="B511" s="10">
        <f>35.9848 * CHOOSE(CONTROL!$C$15, $E$9, 100%, $G$9) + CHOOSE(CONTROL!$C$38, 0.0278, 0)</f>
        <v>36.012599999999999</v>
      </c>
      <c r="C511" s="10">
        <f>33.0999 * CHOOSE(CONTROL!$C$15, $E$9, 100%, $G$9) + CHOOSE(CONTROL!$C$38, 0.0369, 0)</f>
        <v>33.136800000000001</v>
      </c>
      <c r="D511" s="10">
        <f>33.0921 * CHOOSE(CONTROL!$C$15, $E$9, 100%, $G$9) + CHOOSE(CONTROL!$C$38, 0.0369, 0)</f>
        <v>33.129000000000005</v>
      </c>
      <c r="E511" s="46">
        <f>35.8285 * CHOOSE(CONTROL!$C$15, $E$9, 100%, $G$9) + CHOOSE(CONTROL!$C$38, 0.0369, 0)</f>
        <v>35.865400000000001</v>
      </c>
      <c r="F511" s="45">
        <f>35.8285 * CHOOSE(CONTROL!$C$15, $E$9, 100%, $G$9) + CHOOSE(CONTROL!$C$38, 0.0278, 0)</f>
        <v>35.856299999999997</v>
      </c>
      <c r="G511" s="10">
        <f>33.0983 * CHOOSE(CONTROL!$C$15, $E$9, 100%, $G$9) + CHOOSE(CONTROL!$C$38, 0.0369, 0)</f>
        <v>33.135200000000005</v>
      </c>
      <c r="H511" s="10">
        <f>33.0983 * CHOOSE(CONTROL!$C$15, $E$9, 100%, $G$9) + CHOOSE(CONTROL!$C$38, 0.0369, 0)</f>
        <v>33.135200000000005</v>
      </c>
      <c r="I511" s="10">
        <f>33.0999 * CHOOSE(CONTROL!$C$15, $E$9, 100%, $G$9) + CHOOSE(CONTROL!$C$38, 0.0369, 0)</f>
        <v>33.136800000000001</v>
      </c>
      <c r="J511" s="44">
        <f>280.3786</f>
        <v>280.37860000000001</v>
      </c>
    </row>
    <row r="512" spans="1:10" ht="15.75" x14ac:dyDescent="0.25">
      <c r="A512" s="14">
        <v>56522</v>
      </c>
      <c r="B512" s="10">
        <f>36.2616 * CHOOSE(CONTROL!$C$15, $E$9, 100%, $G$9) + CHOOSE(CONTROL!$C$38, 0.0278, 0)</f>
        <v>36.289400000000001</v>
      </c>
      <c r="C512" s="10">
        <f>33.3767 * CHOOSE(CONTROL!$C$15, $E$9, 100%, $G$9) + CHOOSE(CONTROL!$C$38, 0.0369, 0)</f>
        <v>33.413600000000002</v>
      </c>
      <c r="D512" s="10">
        <f>33.3689 * CHOOSE(CONTROL!$C$15, $E$9, 100%, $G$9) + CHOOSE(CONTROL!$C$38, 0.0369, 0)</f>
        <v>33.405799999999999</v>
      </c>
      <c r="E512" s="46">
        <f>36.1053 * CHOOSE(CONTROL!$C$15, $E$9, 100%, $G$9) + CHOOSE(CONTROL!$C$38, 0.0369, 0)</f>
        <v>36.142200000000003</v>
      </c>
      <c r="F512" s="45">
        <f>36.1053 * CHOOSE(CONTROL!$C$15, $E$9, 100%, $G$9) + CHOOSE(CONTROL!$C$38, 0.0278, 0)</f>
        <v>36.133099999999999</v>
      </c>
      <c r="G512" s="10">
        <f>33.3751 * CHOOSE(CONTROL!$C$15, $E$9, 100%, $G$9) + CHOOSE(CONTROL!$C$38, 0.0369, 0)</f>
        <v>33.412000000000006</v>
      </c>
      <c r="H512" s="10">
        <f>33.3751 * CHOOSE(CONTROL!$C$15, $E$9, 100%, $G$9) + CHOOSE(CONTROL!$C$38, 0.0369, 0)</f>
        <v>33.412000000000006</v>
      </c>
      <c r="I512" s="10">
        <f>33.3767 * CHOOSE(CONTROL!$C$15, $E$9, 100%, $G$9) + CHOOSE(CONTROL!$C$38, 0.0369, 0)</f>
        <v>33.413600000000002</v>
      </c>
      <c r="J512" s="44">
        <f>271.0593</f>
        <v>271.05930000000001</v>
      </c>
    </row>
    <row r="513" spans="1:10" ht="15.75" x14ac:dyDescent="0.25">
      <c r="A513" s="14">
        <v>56553</v>
      </c>
      <c r="B513" s="10">
        <f>36.4934 * CHOOSE(CONTROL!$C$15, $E$9, 100%, $G$9) + CHOOSE(CONTROL!$C$38, 0.0256, 0)</f>
        <v>36.518999999999998</v>
      </c>
      <c r="C513" s="10">
        <f>33.6085 * CHOOSE(CONTROL!$C$15, $E$9, 100%, $G$9) + CHOOSE(CONTROL!$C$38, 0.0347, 0)</f>
        <v>33.6432</v>
      </c>
      <c r="D513" s="10">
        <f>33.6007 * CHOOSE(CONTROL!$C$15, $E$9, 100%, $G$9) + CHOOSE(CONTROL!$C$38, 0.0347, 0)</f>
        <v>33.635400000000004</v>
      </c>
      <c r="E513" s="46">
        <f>36.3371 * CHOOSE(CONTROL!$C$15, $E$9, 100%, $G$9) + CHOOSE(CONTROL!$C$38, 0.0347, 0)</f>
        <v>36.3718</v>
      </c>
      <c r="F513" s="45">
        <f>36.3371 * CHOOSE(CONTROL!$C$15, $E$9, 100%, $G$9) + CHOOSE(CONTROL!$C$38, 0.0256, 0)</f>
        <v>36.362699999999997</v>
      </c>
      <c r="G513" s="10">
        <f>33.6069 * CHOOSE(CONTROL!$C$15, $E$9, 100%, $G$9) + CHOOSE(CONTROL!$C$38, 0.0347, 0)</f>
        <v>33.641600000000004</v>
      </c>
      <c r="H513" s="10">
        <f>33.6069 * CHOOSE(CONTROL!$C$15, $E$9, 100%, $G$9) + CHOOSE(CONTROL!$C$38, 0.0347, 0)</f>
        <v>33.641600000000004</v>
      </c>
      <c r="I513" s="10">
        <f>33.6085 * CHOOSE(CONTROL!$C$15, $E$9, 100%, $G$9) + CHOOSE(CONTROL!$C$38, 0.0347, 0)</f>
        <v>33.6432</v>
      </c>
      <c r="J513" s="44">
        <f>261.6858</f>
        <v>261.68579999999997</v>
      </c>
    </row>
    <row r="514" spans="1:10" ht="15.75" x14ac:dyDescent="0.25">
      <c r="A514" s="14">
        <v>56583</v>
      </c>
      <c r="B514" s="10">
        <f>36.6868 * CHOOSE(CONTROL!$C$15, $E$9, 100%, $G$9) + CHOOSE(CONTROL!$C$38, 0.0256, 0)</f>
        <v>36.712399999999995</v>
      </c>
      <c r="C514" s="10">
        <f>33.8019 * CHOOSE(CONTROL!$C$15, $E$9, 100%, $G$9) + CHOOSE(CONTROL!$C$38, 0.0347, 0)</f>
        <v>33.836600000000004</v>
      </c>
      <c r="D514" s="10">
        <f>33.7941 * CHOOSE(CONTROL!$C$15, $E$9, 100%, $G$9) + CHOOSE(CONTROL!$C$38, 0.0347, 0)</f>
        <v>33.828800000000001</v>
      </c>
      <c r="E514" s="46">
        <f>36.5306 * CHOOSE(CONTROL!$C$15, $E$9, 100%, $G$9) + CHOOSE(CONTROL!$C$38, 0.0347, 0)</f>
        <v>36.565300000000001</v>
      </c>
      <c r="F514" s="45">
        <f>36.5306 * CHOOSE(CONTROL!$C$15, $E$9, 100%, $G$9) + CHOOSE(CONTROL!$C$38, 0.0256, 0)</f>
        <v>36.556199999999997</v>
      </c>
      <c r="G514" s="10">
        <f>33.8004 * CHOOSE(CONTROL!$C$15, $E$9, 100%, $G$9) + CHOOSE(CONTROL!$C$38, 0.0347, 0)</f>
        <v>33.835100000000004</v>
      </c>
      <c r="H514" s="10">
        <f>33.8004 * CHOOSE(CONTROL!$C$15, $E$9, 100%, $G$9) + CHOOSE(CONTROL!$C$38, 0.0347, 0)</f>
        <v>33.835100000000004</v>
      </c>
      <c r="I514" s="10">
        <f>33.8019 * CHOOSE(CONTROL!$C$15, $E$9, 100%, $G$9) + CHOOSE(CONTROL!$C$38, 0.0347, 0)</f>
        <v>33.836600000000004</v>
      </c>
      <c r="J514" s="44">
        <f>259.8212</f>
        <v>259.82119999999998</v>
      </c>
    </row>
    <row r="515" spans="1:10" ht="15.75" x14ac:dyDescent="0.25">
      <c r="A515" s="14">
        <v>56614</v>
      </c>
      <c r="B515" s="10">
        <f>37.2829 * CHOOSE(CONTROL!$C$15, $E$9, 100%, $G$9) + CHOOSE(CONTROL!$C$38, 0.0256, 0)</f>
        <v>37.308499999999995</v>
      </c>
      <c r="C515" s="10">
        <f>34.398 * CHOOSE(CONTROL!$C$15, $E$9, 100%, $G$9) + CHOOSE(CONTROL!$C$38, 0.0347, 0)</f>
        <v>34.432700000000004</v>
      </c>
      <c r="D515" s="10">
        <f>34.3902 * CHOOSE(CONTROL!$C$15, $E$9, 100%, $G$9) + CHOOSE(CONTROL!$C$38, 0.0347, 0)</f>
        <v>34.424900000000001</v>
      </c>
      <c r="E515" s="46">
        <f>37.1266 * CHOOSE(CONTROL!$C$15, $E$9, 100%, $G$9) + CHOOSE(CONTROL!$C$38, 0.0347, 0)</f>
        <v>37.161300000000004</v>
      </c>
      <c r="F515" s="45">
        <f>37.1266 * CHOOSE(CONTROL!$C$15, $E$9, 100%, $G$9) + CHOOSE(CONTROL!$C$38, 0.0256, 0)</f>
        <v>37.152200000000001</v>
      </c>
      <c r="G515" s="10">
        <f>34.3964 * CHOOSE(CONTROL!$C$15, $E$9, 100%, $G$9) + CHOOSE(CONTROL!$C$38, 0.0347, 0)</f>
        <v>34.431100000000001</v>
      </c>
      <c r="H515" s="10">
        <f>34.3964 * CHOOSE(CONTROL!$C$15, $E$9, 100%, $G$9) + CHOOSE(CONTROL!$C$38, 0.0347, 0)</f>
        <v>34.431100000000001</v>
      </c>
      <c r="I515" s="10">
        <f>34.398 * CHOOSE(CONTROL!$C$15, $E$9, 100%, $G$9) + CHOOSE(CONTROL!$C$38, 0.0347, 0)</f>
        <v>34.432700000000004</v>
      </c>
      <c r="J515" s="44">
        <f>252.111</f>
        <v>252.11099999999999</v>
      </c>
    </row>
    <row r="516" spans="1:10" ht="15.75" x14ac:dyDescent="0.25">
      <c r="A516" s="13">
        <v>56645</v>
      </c>
      <c r="B516" s="10">
        <f>38.3455 * CHOOSE(CONTROL!$C$15, $E$9, 100%, $G$9) + CHOOSE(CONTROL!$C$38, 0.0256, 0)</f>
        <v>38.371099999999998</v>
      </c>
      <c r="C516" s="10">
        <f>35.4159 * CHOOSE(CONTROL!$C$15, $E$9, 100%, $G$9) + CHOOSE(CONTROL!$C$38, 0.0347, 0)</f>
        <v>35.450600000000001</v>
      </c>
      <c r="D516" s="10">
        <f>35.4081 * CHOOSE(CONTROL!$C$15, $E$9, 100%, $G$9) + CHOOSE(CONTROL!$C$38, 0.0347, 0)</f>
        <v>35.442799999999998</v>
      </c>
      <c r="E516" s="46">
        <f>38.1893 * CHOOSE(CONTROL!$C$15, $E$9, 100%, $G$9) + CHOOSE(CONTROL!$C$38, 0.0347, 0)</f>
        <v>38.224000000000004</v>
      </c>
      <c r="F516" s="45">
        <f>38.1893 * CHOOSE(CONTROL!$C$15, $E$9, 100%, $G$9) + CHOOSE(CONTROL!$C$38, 0.0256, 0)</f>
        <v>38.2149</v>
      </c>
      <c r="G516" s="10">
        <f>35.4144 * CHOOSE(CONTROL!$C$15, $E$9, 100%, $G$9) + CHOOSE(CONTROL!$C$38, 0.0347, 0)</f>
        <v>35.449100000000001</v>
      </c>
      <c r="H516" s="10">
        <f>35.4144 * CHOOSE(CONTROL!$C$15, $E$9, 100%, $G$9) + CHOOSE(CONTROL!$C$38, 0.0347, 0)</f>
        <v>35.449100000000001</v>
      </c>
      <c r="I516" s="10">
        <f>35.4159 * CHOOSE(CONTROL!$C$15, $E$9, 100%, $G$9) + CHOOSE(CONTROL!$C$38, 0.0347, 0)</f>
        <v>35.450600000000001</v>
      </c>
      <c r="J516" s="44">
        <f>251.6295</f>
        <v>251.62950000000001</v>
      </c>
    </row>
    <row r="517" spans="1:10" ht="15.75" x14ac:dyDescent="0.25">
      <c r="A517" s="13">
        <v>56673</v>
      </c>
      <c r="B517" s="10">
        <f>38.5663 * CHOOSE(CONTROL!$C$15, $E$9, 100%, $G$9) + CHOOSE(CONTROL!$C$38, 0.0256, 0)</f>
        <v>38.591899999999995</v>
      </c>
      <c r="C517" s="10">
        <f>35.6367 * CHOOSE(CONTROL!$C$15, $E$9, 100%, $G$9) + CHOOSE(CONTROL!$C$38, 0.0347, 0)</f>
        <v>35.671399999999998</v>
      </c>
      <c r="D517" s="10">
        <f>35.6289 * CHOOSE(CONTROL!$C$15, $E$9, 100%, $G$9) + CHOOSE(CONTROL!$C$38, 0.0347, 0)</f>
        <v>35.663600000000002</v>
      </c>
      <c r="E517" s="46">
        <f>38.4101 * CHOOSE(CONTROL!$C$15, $E$9, 100%, $G$9) + CHOOSE(CONTROL!$C$38, 0.0347, 0)</f>
        <v>38.444800000000001</v>
      </c>
      <c r="F517" s="45">
        <f>38.4101 * CHOOSE(CONTROL!$C$15, $E$9, 100%, $G$9) + CHOOSE(CONTROL!$C$38, 0.0256, 0)</f>
        <v>38.435699999999997</v>
      </c>
      <c r="G517" s="10">
        <f>35.6351 * CHOOSE(CONTROL!$C$15, $E$9, 100%, $G$9) + CHOOSE(CONTROL!$C$38, 0.0347, 0)</f>
        <v>35.669800000000002</v>
      </c>
      <c r="H517" s="10">
        <f>35.6351 * CHOOSE(CONTROL!$C$15, $E$9, 100%, $G$9) + CHOOSE(CONTROL!$C$38, 0.0347, 0)</f>
        <v>35.669800000000002</v>
      </c>
      <c r="I517" s="10">
        <f>35.6367 * CHOOSE(CONTROL!$C$15, $E$9, 100%, $G$9) + CHOOSE(CONTROL!$C$38, 0.0347, 0)</f>
        <v>35.671399999999998</v>
      </c>
      <c r="J517" s="44">
        <f>250.9301</f>
        <v>250.93010000000001</v>
      </c>
    </row>
    <row r="518" spans="1:10" ht="15.75" x14ac:dyDescent="0.25">
      <c r="A518" s="13">
        <v>56704</v>
      </c>
      <c r="B518" s="10">
        <f>38.0553 * CHOOSE(CONTROL!$C$15, $E$9, 100%, $G$9) + CHOOSE(CONTROL!$C$38, 0.0256, 0)</f>
        <v>38.0809</v>
      </c>
      <c r="C518" s="10">
        <f>35.1256 * CHOOSE(CONTROL!$C$15, $E$9, 100%, $G$9) + CHOOSE(CONTROL!$C$38, 0.0347, 0)</f>
        <v>35.160299999999999</v>
      </c>
      <c r="D518" s="10">
        <f>35.1178 * CHOOSE(CONTROL!$C$15, $E$9, 100%, $G$9) + CHOOSE(CONTROL!$C$38, 0.0347, 0)</f>
        <v>35.152500000000003</v>
      </c>
      <c r="E518" s="46">
        <f>37.899 * CHOOSE(CONTROL!$C$15, $E$9, 100%, $G$9) + CHOOSE(CONTROL!$C$38, 0.0347, 0)</f>
        <v>37.933700000000002</v>
      </c>
      <c r="F518" s="45">
        <f>37.899 * CHOOSE(CONTROL!$C$15, $E$9, 100%, $G$9) + CHOOSE(CONTROL!$C$38, 0.0256, 0)</f>
        <v>37.924599999999998</v>
      </c>
      <c r="G518" s="10">
        <f>35.1241 * CHOOSE(CONTROL!$C$15, $E$9, 100%, $G$9) + CHOOSE(CONTROL!$C$38, 0.0347, 0)</f>
        <v>35.158799999999999</v>
      </c>
      <c r="H518" s="10">
        <f>35.1241 * CHOOSE(CONTROL!$C$15, $E$9, 100%, $G$9) + CHOOSE(CONTROL!$C$38, 0.0347, 0)</f>
        <v>35.158799999999999</v>
      </c>
      <c r="I518" s="10">
        <f>35.1256 * CHOOSE(CONTROL!$C$15, $E$9, 100%, $G$9) + CHOOSE(CONTROL!$C$38, 0.0347, 0)</f>
        <v>35.160299999999999</v>
      </c>
      <c r="J518" s="44">
        <f>264.1555</f>
        <v>264.15550000000002</v>
      </c>
    </row>
    <row r="519" spans="1:10" ht="15.75" x14ac:dyDescent="0.25">
      <c r="A519" s="13">
        <v>56734</v>
      </c>
      <c r="B519" s="10">
        <f>37.5601 * CHOOSE(CONTROL!$C$15, $E$9, 100%, $G$9) + CHOOSE(CONTROL!$C$38, 0.0256, 0)</f>
        <v>37.585699999999996</v>
      </c>
      <c r="C519" s="10">
        <f>34.6305 * CHOOSE(CONTROL!$C$15, $E$9, 100%, $G$9) + CHOOSE(CONTROL!$C$38, 0.0347, 0)</f>
        <v>34.665199999999999</v>
      </c>
      <c r="D519" s="10">
        <f>34.6227 * CHOOSE(CONTROL!$C$15, $E$9, 100%, $G$9) + CHOOSE(CONTROL!$C$38, 0.0347, 0)</f>
        <v>34.657400000000003</v>
      </c>
      <c r="E519" s="46">
        <f>37.4038 * CHOOSE(CONTROL!$C$15, $E$9, 100%, $G$9) + CHOOSE(CONTROL!$C$38, 0.0347, 0)</f>
        <v>37.438499999999998</v>
      </c>
      <c r="F519" s="45">
        <f>37.4038 * CHOOSE(CONTROL!$C$15, $E$9, 100%, $G$9) + CHOOSE(CONTROL!$C$38, 0.0256, 0)</f>
        <v>37.429399999999994</v>
      </c>
      <c r="G519" s="10">
        <f>34.6289 * CHOOSE(CONTROL!$C$15, $E$9, 100%, $G$9) + CHOOSE(CONTROL!$C$38, 0.0347, 0)</f>
        <v>34.663600000000002</v>
      </c>
      <c r="H519" s="10">
        <f>34.6289 * CHOOSE(CONTROL!$C$15, $E$9, 100%, $G$9) + CHOOSE(CONTROL!$C$38, 0.0347, 0)</f>
        <v>34.663600000000002</v>
      </c>
      <c r="I519" s="10">
        <f>34.6305 * CHOOSE(CONTROL!$C$15, $E$9, 100%, $G$9) + CHOOSE(CONTROL!$C$38, 0.0347, 0)</f>
        <v>34.665199999999999</v>
      </c>
      <c r="J519" s="44">
        <f>281.3058</f>
        <v>281.30579999999998</v>
      </c>
    </row>
    <row r="520" spans="1:10" ht="15.75" x14ac:dyDescent="0.25">
      <c r="A520" s="13">
        <v>56765</v>
      </c>
      <c r="B520" s="10">
        <f>37.044 * CHOOSE(CONTROL!$C$15, $E$9, 100%, $G$9) + CHOOSE(CONTROL!$C$38, 0.0278, 0)</f>
        <v>37.071799999999996</v>
      </c>
      <c r="C520" s="10">
        <f>34.1144 * CHOOSE(CONTROL!$C$15, $E$9, 100%, $G$9) + CHOOSE(CONTROL!$C$38, 0.0369, 0)</f>
        <v>34.151300000000006</v>
      </c>
      <c r="D520" s="10">
        <f>34.1065 * CHOOSE(CONTROL!$C$15, $E$9, 100%, $G$9) + CHOOSE(CONTROL!$C$38, 0.0369, 0)</f>
        <v>34.1434</v>
      </c>
      <c r="E520" s="46">
        <f>36.8877 * CHOOSE(CONTROL!$C$15, $E$9, 100%, $G$9) + CHOOSE(CONTROL!$C$38, 0.0369, 0)</f>
        <v>36.924600000000005</v>
      </c>
      <c r="F520" s="45">
        <f>36.8877 * CHOOSE(CONTROL!$C$15, $E$9, 100%, $G$9) + CHOOSE(CONTROL!$C$38, 0.0278, 0)</f>
        <v>36.915500000000002</v>
      </c>
      <c r="G520" s="10">
        <f>34.1128 * CHOOSE(CONTROL!$C$15, $E$9, 100%, $G$9) + CHOOSE(CONTROL!$C$38, 0.0369, 0)</f>
        <v>34.149700000000003</v>
      </c>
      <c r="H520" s="10">
        <f>34.1128 * CHOOSE(CONTROL!$C$15, $E$9, 100%, $G$9) + CHOOSE(CONTROL!$C$38, 0.0369, 0)</f>
        <v>34.149700000000003</v>
      </c>
      <c r="I520" s="10">
        <f>34.1144 * CHOOSE(CONTROL!$C$15, $E$9, 100%, $G$9) + CHOOSE(CONTROL!$C$38, 0.0369, 0)</f>
        <v>34.151300000000006</v>
      </c>
      <c r="J520" s="44">
        <f>290.7459</f>
        <v>290.74590000000001</v>
      </c>
    </row>
    <row r="521" spans="1:10" ht="15.75" x14ac:dyDescent="0.25">
      <c r="A521" s="13">
        <v>56795</v>
      </c>
      <c r="B521" s="10">
        <f>36.6821 * CHOOSE(CONTROL!$C$15, $E$9, 100%, $G$9) + CHOOSE(CONTROL!$C$38, 0.0278, 0)</f>
        <v>36.709899999999998</v>
      </c>
      <c r="C521" s="10">
        <f>33.7525 * CHOOSE(CONTROL!$C$15, $E$9, 100%, $G$9) + CHOOSE(CONTROL!$C$38, 0.0369, 0)</f>
        <v>33.789400000000001</v>
      </c>
      <c r="D521" s="10">
        <f>33.7447 * CHOOSE(CONTROL!$C$15, $E$9, 100%, $G$9) + CHOOSE(CONTROL!$C$38, 0.0369, 0)</f>
        <v>33.781600000000005</v>
      </c>
      <c r="E521" s="46">
        <f>36.5259 * CHOOSE(CONTROL!$C$15, $E$9, 100%, $G$9) + CHOOSE(CONTROL!$C$38, 0.0369, 0)</f>
        <v>36.562800000000003</v>
      </c>
      <c r="F521" s="45">
        <f>36.5259 * CHOOSE(CONTROL!$C$15, $E$9, 100%, $G$9) + CHOOSE(CONTROL!$C$38, 0.0278, 0)</f>
        <v>36.553699999999999</v>
      </c>
      <c r="G521" s="10">
        <f>33.751 * CHOOSE(CONTROL!$C$15, $E$9, 100%, $G$9) + CHOOSE(CONTROL!$C$38, 0.0369, 0)</f>
        <v>33.7879</v>
      </c>
      <c r="H521" s="10">
        <f>33.751 * CHOOSE(CONTROL!$C$15, $E$9, 100%, $G$9) + CHOOSE(CONTROL!$C$38, 0.0369, 0)</f>
        <v>33.7879</v>
      </c>
      <c r="I521" s="10">
        <f>33.7525 * CHOOSE(CONTROL!$C$15, $E$9, 100%, $G$9) + CHOOSE(CONTROL!$C$38, 0.0369, 0)</f>
        <v>33.789400000000001</v>
      </c>
      <c r="J521" s="44">
        <f>294.9352</f>
        <v>294.93520000000001</v>
      </c>
    </row>
    <row r="522" spans="1:10" ht="15.75" x14ac:dyDescent="0.25">
      <c r="A522" s="13">
        <v>56826</v>
      </c>
      <c r="B522" s="10">
        <f>36.4757 * CHOOSE(CONTROL!$C$15, $E$9, 100%, $G$9) + CHOOSE(CONTROL!$C$38, 0.0278, 0)</f>
        <v>36.503500000000003</v>
      </c>
      <c r="C522" s="10">
        <f>33.546 * CHOOSE(CONTROL!$C$15, $E$9, 100%, $G$9) + CHOOSE(CONTROL!$C$38, 0.0369, 0)</f>
        <v>33.582900000000002</v>
      </c>
      <c r="D522" s="10">
        <f>33.5382 * CHOOSE(CONTROL!$C$15, $E$9, 100%, $G$9) + CHOOSE(CONTROL!$C$38, 0.0369, 0)</f>
        <v>33.575100000000006</v>
      </c>
      <c r="E522" s="46">
        <f>36.3194 * CHOOSE(CONTROL!$C$15, $E$9, 100%, $G$9) + CHOOSE(CONTROL!$C$38, 0.0369, 0)</f>
        <v>36.356300000000005</v>
      </c>
      <c r="F522" s="45">
        <f>36.3194 * CHOOSE(CONTROL!$C$15, $E$9, 100%, $G$9) + CHOOSE(CONTROL!$C$38, 0.0278, 0)</f>
        <v>36.347200000000001</v>
      </c>
      <c r="G522" s="10">
        <f>33.5445 * CHOOSE(CONTROL!$C$15, $E$9, 100%, $G$9) + CHOOSE(CONTROL!$C$38, 0.0369, 0)</f>
        <v>33.581400000000002</v>
      </c>
      <c r="H522" s="10">
        <f>33.5445 * CHOOSE(CONTROL!$C$15, $E$9, 100%, $G$9) + CHOOSE(CONTROL!$C$38, 0.0369, 0)</f>
        <v>33.581400000000002</v>
      </c>
      <c r="I522" s="10">
        <f>33.546 * CHOOSE(CONTROL!$C$15, $E$9, 100%, $G$9) + CHOOSE(CONTROL!$C$38, 0.0369, 0)</f>
        <v>33.582900000000002</v>
      </c>
      <c r="J522" s="44">
        <f>293.5559</f>
        <v>293.55590000000001</v>
      </c>
    </row>
    <row r="523" spans="1:10" ht="15.75" x14ac:dyDescent="0.25">
      <c r="A523" s="13">
        <v>56857</v>
      </c>
      <c r="B523" s="10">
        <f>36.5776 * CHOOSE(CONTROL!$C$15, $E$9, 100%, $G$9) + CHOOSE(CONTROL!$C$38, 0.0278, 0)</f>
        <v>36.605399999999996</v>
      </c>
      <c r="C523" s="10">
        <f>33.6479 * CHOOSE(CONTROL!$C$15, $E$9, 100%, $G$9) + CHOOSE(CONTROL!$C$38, 0.0369, 0)</f>
        <v>33.684800000000003</v>
      </c>
      <c r="D523" s="10">
        <f>33.6401 * CHOOSE(CONTROL!$C$15, $E$9, 100%, $G$9) + CHOOSE(CONTROL!$C$38, 0.0369, 0)</f>
        <v>33.677</v>
      </c>
      <c r="E523" s="46">
        <f>36.4213 * CHOOSE(CONTROL!$C$15, $E$9, 100%, $G$9) + CHOOSE(CONTROL!$C$38, 0.0369, 0)</f>
        <v>36.458200000000005</v>
      </c>
      <c r="F523" s="45">
        <f>36.4213 * CHOOSE(CONTROL!$C$15, $E$9, 100%, $G$9) + CHOOSE(CONTROL!$C$38, 0.0278, 0)</f>
        <v>36.449100000000001</v>
      </c>
      <c r="G523" s="10">
        <f>33.6464 * CHOOSE(CONTROL!$C$15, $E$9, 100%, $G$9) + CHOOSE(CONTROL!$C$38, 0.0369, 0)</f>
        <v>33.683300000000003</v>
      </c>
      <c r="H523" s="10">
        <f>33.6464 * CHOOSE(CONTROL!$C$15, $E$9, 100%, $G$9) + CHOOSE(CONTROL!$C$38, 0.0369, 0)</f>
        <v>33.683300000000003</v>
      </c>
      <c r="I523" s="10">
        <f>33.6479 * CHOOSE(CONTROL!$C$15, $E$9, 100%, $G$9) + CHOOSE(CONTROL!$C$38, 0.0369, 0)</f>
        <v>33.684800000000003</v>
      </c>
      <c r="J523" s="44">
        <f>286.722</f>
        <v>286.72199999999998</v>
      </c>
    </row>
    <row r="524" spans="1:10" ht="15.75" x14ac:dyDescent="0.25">
      <c r="A524" s="13">
        <v>56887</v>
      </c>
      <c r="B524" s="10">
        <f>36.8544 * CHOOSE(CONTROL!$C$15, $E$9, 100%, $G$9) + CHOOSE(CONTROL!$C$38, 0.0278, 0)</f>
        <v>36.882199999999997</v>
      </c>
      <c r="C524" s="10">
        <f>33.9247 * CHOOSE(CONTROL!$C$15, $E$9, 100%, $G$9) + CHOOSE(CONTROL!$C$38, 0.0369, 0)</f>
        <v>33.961600000000004</v>
      </c>
      <c r="D524" s="10">
        <f>33.9169 * CHOOSE(CONTROL!$C$15, $E$9, 100%, $G$9) + CHOOSE(CONTROL!$C$38, 0.0369, 0)</f>
        <v>33.953800000000001</v>
      </c>
      <c r="E524" s="46">
        <f>36.6981 * CHOOSE(CONTROL!$C$15, $E$9, 100%, $G$9) + CHOOSE(CONTROL!$C$38, 0.0369, 0)</f>
        <v>36.734999999999999</v>
      </c>
      <c r="F524" s="45">
        <f>36.6981 * CHOOSE(CONTROL!$C$15, $E$9, 100%, $G$9) + CHOOSE(CONTROL!$C$38, 0.0278, 0)</f>
        <v>36.725899999999996</v>
      </c>
      <c r="G524" s="10">
        <f>33.9232 * CHOOSE(CONTROL!$C$15, $E$9, 100%, $G$9) + CHOOSE(CONTROL!$C$38, 0.0369, 0)</f>
        <v>33.960100000000004</v>
      </c>
      <c r="H524" s="10">
        <f>33.9232 * CHOOSE(CONTROL!$C$15, $E$9, 100%, $G$9) + CHOOSE(CONTROL!$C$38, 0.0369, 0)</f>
        <v>33.960100000000004</v>
      </c>
      <c r="I524" s="10">
        <f>33.9247 * CHOOSE(CONTROL!$C$15, $E$9, 100%, $G$9) + CHOOSE(CONTROL!$C$38, 0.0369, 0)</f>
        <v>33.961600000000004</v>
      </c>
      <c r="J524" s="44">
        <f>277.1919</f>
        <v>277.19189999999998</v>
      </c>
    </row>
    <row r="525" spans="1:10" ht="15.75" x14ac:dyDescent="0.25">
      <c r="A525" s="13">
        <v>56918</v>
      </c>
      <c r="B525" s="10">
        <f>37.0862 * CHOOSE(CONTROL!$C$15, $E$9, 100%, $G$9) + CHOOSE(CONTROL!$C$38, 0.0256, 0)</f>
        <v>37.111799999999995</v>
      </c>
      <c r="C525" s="10">
        <f>34.1566 * CHOOSE(CONTROL!$C$15, $E$9, 100%, $G$9) + CHOOSE(CONTROL!$C$38, 0.0347, 0)</f>
        <v>34.191299999999998</v>
      </c>
      <c r="D525" s="10">
        <f>34.1487 * CHOOSE(CONTROL!$C$15, $E$9, 100%, $G$9) + CHOOSE(CONTROL!$C$38, 0.0347, 0)</f>
        <v>34.183399999999999</v>
      </c>
      <c r="E525" s="46">
        <f>36.9299 * CHOOSE(CONTROL!$C$15, $E$9, 100%, $G$9) + CHOOSE(CONTROL!$C$38, 0.0347, 0)</f>
        <v>36.964600000000004</v>
      </c>
      <c r="F525" s="45">
        <f>36.9299 * CHOOSE(CONTROL!$C$15, $E$9, 100%, $G$9) + CHOOSE(CONTROL!$C$38, 0.0256, 0)</f>
        <v>36.955500000000001</v>
      </c>
      <c r="G525" s="10">
        <f>34.155 * CHOOSE(CONTROL!$C$15, $E$9, 100%, $G$9) + CHOOSE(CONTROL!$C$38, 0.0347, 0)</f>
        <v>34.189700000000002</v>
      </c>
      <c r="H525" s="10">
        <f>34.155 * CHOOSE(CONTROL!$C$15, $E$9, 100%, $G$9) + CHOOSE(CONTROL!$C$38, 0.0347, 0)</f>
        <v>34.189700000000002</v>
      </c>
      <c r="I525" s="10">
        <f>34.1566 * CHOOSE(CONTROL!$C$15, $E$9, 100%, $G$9) + CHOOSE(CONTROL!$C$38, 0.0347, 0)</f>
        <v>34.191299999999998</v>
      </c>
      <c r="J525" s="44">
        <f>267.6063</f>
        <v>267.60629999999998</v>
      </c>
    </row>
    <row r="526" spans="1:10" ht="15.75" x14ac:dyDescent="0.25">
      <c r="A526" s="13">
        <v>56948</v>
      </c>
      <c r="B526" s="10">
        <f>37.2796 * CHOOSE(CONTROL!$C$15, $E$9, 100%, $G$9) + CHOOSE(CONTROL!$C$38, 0.0256, 0)</f>
        <v>37.305199999999999</v>
      </c>
      <c r="C526" s="10">
        <f>34.35 * CHOOSE(CONTROL!$C$15, $E$9, 100%, $G$9) + CHOOSE(CONTROL!$C$38, 0.0347, 0)</f>
        <v>34.384700000000002</v>
      </c>
      <c r="D526" s="10">
        <f>34.3422 * CHOOSE(CONTROL!$C$15, $E$9, 100%, $G$9) + CHOOSE(CONTROL!$C$38, 0.0347, 0)</f>
        <v>34.376899999999999</v>
      </c>
      <c r="E526" s="46">
        <f>37.1234 * CHOOSE(CONTROL!$C$15, $E$9, 100%, $G$9) + CHOOSE(CONTROL!$C$38, 0.0347, 0)</f>
        <v>37.158099999999997</v>
      </c>
      <c r="F526" s="45">
        <f>37.1234 * CHOOSE(CONTROL!$C$15, $E$9, 100%, $G$9) + CHOOSE(CONTROL!$C$38, 0.0256, 0)</f>
        <v>37.148999999999994</v>
      </c>
      <c r="G526" s="10">
        <f>34.3484 * CHOOSE(CONTROL!$C$15, $E$9, 100%, $G$9) + CHOOSE(CONTROL!$C$38, 0.0347, 0)</f>
        <v>34.383099999999999</v>
      </c>
      <c r="H526" s="10">
        <f>34.3484 * CHOOSE(CONTROL!$C$15, $E$9, 100%, $G$9) + CHOOSE(CONTROL!$C$38, 0.0347, 0)</f>
        <v>34.383099999999999</v>
      </c>
      <c r="I526" s="10">
        <f>34.35 * CHOOSE(CONTROL!$C$15, $E$9, 100%, $G$9) + CHOOSE(CONTROL!$C$38, 0.0347, 0)</f>
        <v>34.384700000000002</v>
      </c>
      <c r="J526" s="44">
        <f>265.6995</f>
        <v>265.6995</v>
      </c>
    </row>
    <row r="527" spans="1:10" ht="15.75" x14ac:dyDescent="0.25">
      <c r="A527" s="13">
        <v>56979</v>
      </c>
      <c r="B527" s="10">
        <f>37.8757 * CHOOSE(CONTROL!$C$15, $E$9, 100%, $G$9) + CHOOSE(CONTROL!$C$38, 0.0256, 0)</f>
        <v>37.901299999999999</v>
      </c>
      <c r="C527" s="10">
        <f>34.9461 * CHOOSE(CONTROL!$C$15, $E$9, 100%, $G$9) + CHOOSE(CONTROL!$C$38, 0.0347, 0)</f>
        <v>34.980800000000002</v>
      </c>
      <c r="D527" s="10">
        <f>34.9383 * CHOOSE(CONTROL!$C$15, $E$9, 100%, $G$9) + CHOOSE(CONTROL!$C$38, 0.0347, 0)</f>
        <v>34.972999999999999</v>
      </c>
      <c r="E527" s="46">
        <f>37.7194 * CHOOSE(CONTROL!$C$15, $E$9, 100%, $G$9) + CHOOSE(CONTROL!$C$38, 0.0347, 0)</f>
        <v>37.754100000000001</v>
      </c>
      <c r="F527" s="45">
        <f>37.7194 * CHOOSE(CONTROL!$C$15, $E$9, 100%, $G$9) + CHOOSE(CONTROL!$C$38, 0.0256, 0)</f>
        <v>37.744999999999997</v>
      </c>
      <c r="G527" s="10">
        <f>34.9445 * CHOOSE(CONTROL!$C$15, $E$9, 100%, $G$9) + CHOOSE(CONTROL!$C$38, 0.0347, 0)</f>
        <v>34.979199999999999</v>
      </c>
      <c r="H527" s="10">
        <f>34.9445 * CHOOSE(CONTROL!$C$15, $E$9, 100%, $G$9) + CHOOSE(CONTROL!$C$38, 0.0347, 0)</f>
        <v>34.979199999999999</v>
      </c>
      <c r="I527" s="10">
        <f>34.9461 * CHOOSE(CONTROL!$C$15, $E$9, 100%, $G$9) + CHOOSE(CONTROL!$C$38, 0.0347, 0)</f>
        <v>34.980800000000002</v>
      </c>
      <c r="J527" s="44">
        <f>257.8149</f>
        <v>257.81490000000002</v>
      </c>
    </row>
    <row r="528" spans="1:10" ht="15.75" x14ac:dyDescent="0.25">
      <c r="A528" s="13">
        <v>57010</v>
      </c>
      <c r="B528" s="10">
        <f>38.9481 * CHOOSE(CONTROL!$C$15, $E$9, 100%, $G$9) + CHOOSE(CONTROL!$C$38, 0.0256, 0)</f>
        <v>38.973699999999994</v>
      </c>
      <c r="C528" s="10">
        <f>35.973 * CHOOSE(CONTROL!$C$15, $E$9, 100%, $G$9) + CHOOSE(CONTROL!$C$38, 0.0347, 0)</f>
        <v>36.0077</v>
      </c>
      <c r="D528" s="10">
        <f>35.9652 * CHOOSE(CONTROL!$C$15, $E$9, 100%, $G$9) + CHOOSE(CONTROL!$C$38, 0.0347, 0)</f>
        <v>35.999900000000004</v>
      </c>
      <c r="E528" s="46">
        <f>38.7918 * CHOOSE(CONTROL!$C$15, $E$9, 100%, $G$9) + CHOOSE(CONTROL!$C$38, 0.0347, 0)</f>
        <v>38.826500000000003</v>
      </c>
      <c r="F528" s="45">
        <f>38.7918 * CHOOSE(CONTROL!$C$15, $E$9, 100%, $G$9) + CHOOSE(CONTROL!$C$38, 0.0256, 0)</f>
        <v>38.817399999999999</v>
      </c>
      <c r="G528" s="10">
        <f>35.9714 * CHOOSE(CONTROL!$C$15, $E$9, 100%, $G$9) + CHOOSE(CONTROL!$C$38, 0.0347, 0)</f>
        <v>36.006100000000004</v>
      </c>
      <c r="H528" s="10">
        <f>35.9714 * CHOOSE(CONTROL!$C$15, $E$9, 100%, $G$9) + CHOOSE(CONTROL!$C$38, 0.0347, 0)</f>
        <v>36.006100000000004</v>
      </c>
      <c r="I528" s="10">
        <f>35.973 * CHOOSE(CONTROL!$C$15, $E$9, 100%, $G$9) + CHOOSE(CONTROL!$C$38, 0.0347, 0)</f>
        <v>36.0077</v>
      </c>
      <c r="J528" s="44">
        <f>257.3225</f>
        <v>257.32249999999999</v>
      </c>
    </row>
    <row r="529" spans="1:10" ht="15.75" x14ac:dyDescent="0.25">
      <c r="A529" s="13">
        <v>57038</v>
      </c>
      <c r="B529" s="10">
        <f>39.1688 * CHOOSE(CONTROL!$C$15, $E$9, 100%, $G$9) + CHOOSE(CONTROL!$C$38, 0.0256, 0)</f>
        <v>39.194399999999995</v>
      </c>
      <c r="C529" s="10">
        <f>36.1937 * CHOOSE(CONTROL!$C$15, $E$9, 100%, $G$9) + CHOOSE(CONTROL!$C$38, 0.0347, 0)</f>
        <v>36.228400000000001</v>
      </c>
      <c r="D529" s="10">
        <f>36.1859 * CHOOSE(CONTROL!$C$15, $E$9, 100%, $G$9) + CHOOSE(CONTROL!$C$38, 0.0347, 0)</f>
        <v>36.220599999999997</v>
      </c>
      <c r="E529" s="46">
        <f>39.0126 * CHOOSE(CONTROL!$C$15, $E$9, 100%, $G$9) + CHOOSE(CONTROL!$C$38, 0.0347, 0)</f>
        <v>39.0473</v>
      </c>
      <c r="F529" s="45">
        <f>39.0126 * CHOOSE(CONTROL!$C$15, $E$9, 100%, $G$9) + CHOOSE(CONTROL!$C$38, 0.0256, 0)</f>
        <v>39.038199999999996</v>
      </c>
      <c r="G529" s="10">
        <f>36.1922 * CHOOSE(CONTROL!$C$15, $E$9, 100%, $G$9) + CHOOSE(CONTROL!$C$38, 0.0347, 0)</f>
        <v>36.226900000000001</v>
      </c>
      <c r="H529" s="10">
        <f>36.1922 * CHOOSE(CONTROL!$C$15, $E$9, 100%, $G$9) + CHOOSE(CONTROL!$C$38, 0.0347, 0)</f>
        <v>36.226900000000001</v>
      </c>
      <c r="I529" s="10">
        <f>36.1937 * CHOOSE(CONTROL!$C$15, $E$9, 100%, $G$9) + CHOOSE(CONTROL!$C$38, 0.0347, 0)</f>
        <v>36.228400000000001</v>
      </c>
      <c r="J529" s="44">
        <f>256.6072</f>
        <v>256.60719999999998</v>
      </c>
    </row>
    <row r="530" spans="1:10" ht="15.75" x14ac:dyDescent="0.25">
      <c r="A530" s="13">
        <v>57070</v>
      </c>
      <c r="B530" s="10">
        <f>38.6578 * CHOOSE(CONTROL!$C$15, $E$9, 100%, $G$9) + CHOOSE(CONTROL!$C$38, 0.0256, 0)</f>
        <v>38.683399999999999</v>
      </c>
      <c r="C530" s="10">
        <f>35.6827 * CHOOSE(CONTROL!$C$15, $E$9, 100%, $G$9) + CHOOSE(CONTROL!$C$38, 0.0347, 0)</f>
        <v>35.717399999999998</v>
      </c>
      <c r="D530" s="10">
        <f>35.6749 * CHOOSE(CONTROL!$C$15, $E$9, 100%, $G$9) + CHOOSE(CONTROL!$C$38, 0.0347, 0)</f>
        <v>35.709600000000002</v>
      </c>
      <c r="E530" s="46">
        <f>38.5015 * CHOOSE(CONTROL!$C$15, $E$9, 100%, $G$9) + CHOOSE(CONTROL!$C$38, 0.0347, 0)</f>
        <v>38.536200000000001</v>
      </c>
      <c r="F530" s="45">
        <f>38.5015 * CHOOSE(CONTROL!$C$15, $E$9, 100%, $G$9) + CHOOSE(CONTROL!$C$38, 0.0256, 0)</f>
        <v>38.527099999999997</v>
      </c>
      <c r="G530" s="10">
        <f>35.6811 * CHOOSE(CONTROL!$C$15, $E$9, 100%, $G$9) + CHOOSE(CONTROL!$C$38, 0.0347, 0)</f>
        <v>35.715800000000002</v>
      </c>
      <c r="H530" s="10">
        <f>35.6811 * CHOOSE(CONTROL!$C$15, $E$9, 100%, $G$9) + CHOOSE(CONTROL!$C$38, 0.0347, 0)</f>
        <v>35.715800000000002</v>
      </c>
      <c r="I530" s="10">
        <f>35.6827 * CHOOSE(CONTROL!$C$15, $E$9, 100%, $G$9) + CHOOSE(CONTROL!$C$38, 0.0347, 0)</f>
        <v>35.717399999999998</v>
      </c>
      <c r="J530" s="44">
        <f>270.1319</f>
        <v>270.13189999999997</v>
      </c>
    </row>
    <row r="531" spans="1:10" ht="15.75" x14ac:dyDescent="0.25">
      <c r="A531" s="13">
        <v>57100</v>
      </c>
      <c r="B531" s="10">
        <f>38.1626 * CHOOSE(CONTROL!$C$15, $E$9, 100%, $G$9) + CHOOSE(CONTROL!$C$38, 0.0256, 0)</f>
        <v>38.188199999999995</v>
      </c>
      <c r="C531" s="10">
        <f>35.1875 * CHOOSE(CONTROL!$C$15, $E$9, 100%, $G$9) + CHOOSE(CONTROL!$C$38, 0.0347, 0)</f>
        <v>35.222200000000001</v>
      </c>
      <c r="D531" s="10">
        <f>35.1797 * CHOOSE(CONTROL!$C$15, $E$9, 100%, $G$9) + CHOOSE(CONTROL!$C$38, 0.0347, 0)</f>
        <v>35.214399999999998</v>
      </c>
      <c r="E531" s="46">
        <f>38.0064 * CHOOSE(CONTROL!$C$15, $E$9, 100%, $G$9) + CHOOSE(CONTROL!$C$38, 0.0347, 0)</f>
        <v>38.0411</v>
      </c>
      <c r="F531" s="45">
        <f>38.0064 * CHOOSE(CONTROL!$C$15, $E$9, 100%, $G$9) + CHOOSE(CONTROL!$C$38, 0.0256, 0)</f>
        <v>38.031999999999996</v>
      </c>
      <c r="G531" s="10">
        <f>35.186 * CHOOSE(CONTROL!$C$15, $E$9, 100%, $G$9) + CHOOSE(CONTROL!$C$38, 0.0347, 0)</f>
        <v>35.220700000000001</v>
      </c>
      <c r="H531" s="10">
        <f>35.186 * CHOOSE(CONTROL!$C$15, $E$9, 100%, $G$9) + CHOOSE(CONTROL!$C$38, 0.0347, 0)</f>
        <v>35.220700000000001</v>
      </c>
      <c r="I531" s="10">
        <f>35.1875 * CHOOSE(CONTROL!$C$15, $E$9, 100%, $G$9) + CHOOSE(CONTROL!$C$38, 0.0347, 0)</f>
        <v>35.222200000000001</v>
      </c>
      <c r="J531" s="44">
        <f>287.6702</f>
        <v>287.67020000000002</v>
      </c>
    </row>
    <row r="532" spans="1:10" ht="15.75" x14ac:dyDescent="0.25">
      <c r="A532" s="13">
        <v>57131</v>
      </c>
      <c r="B532" s="10">
        <f>37.6465 * CHOOSE(CONTROL!$C$15, $E$9, 100%, $G$9) + CHOOSE(CONTROL!$C$38, 0.0278, 0)</f>
        <v>37.674300000000002</v>
      </c>
      <c r="C532" s="10">
        <f>34.6714 * CHOOSE(CONTROL!$C$15, $E$9, 100%, $G$9) + CHOOSE(CONTROL!$C$38, 0.0369, 0)</f>
        <v>34.708300000000001</v>
      </c>
      <c r="D532" s="10">
        <f>34.6636 * CHOOSE(CONTROL!$C$15, $E$9, 100%, $G$9) + CHOOSE(CONTROL!$C$38, 0.0369, 0)</f>
        <v>34.700500000000005</v>
      </c>
      <c r="E532" s="46">
        <f>37.4903 * CHOOSE(CONTROL!$C$15, $E$9, 100%, $G$9) + CHOOSE(CONTROL!$C$38, 0.0369, 0)</f>
        <v>37.527200000000001</v>
      </c>
      <c r="F532" s="45">
        <f>37.4903 * CHOOSE(CONTROL!$C$15, $E$9, 100%, $G$9) + CHOOSE(CONTROL!$C$38, 0.0278, 0)</f>
        <v>37.518099999999997</v>
      </c>
      <c r="G532" s="10">
        <f>34.6698 * CHOOSE(CONTROL!$C$15, $E$9, 100%, $G$9) + CHOOSE(CONTROL!$C$38, 0.0369, 0)</f>
        <v>34.706700000000005</v>
      </c>
      <c r="H532" s="10">
        <f>34.6698 * CHOOSE(CONTROL!$C$15, $E$9, 100%, $G$9) + CHOOSE(CONTROL!$C$38, 0.0369, 0)</f>
        <v>34.706700000000005</v>
      </c>
      <c r="I532" s="10">
        <f>34.6714 * CHOOSE(CONTROL!$C$15, $E$9, 100%, $G$9) + CHOOSE(CONTROL!$C$38, 0.0369, 0)</f>
        <v>34.708300000000001</v>
      </c>
      <c r="J532" s="44">
        <f>297.3238</f>
        <v>297.32380000000001</v>
      </c>
    </row>
    <row r="533" spans="1:10" ht="15.75" x14ac:dyDescent="0.25">
      <c r="A533" s="13">
        <v>57161</v>
      </c>
      <c r="B533" s="10">
        <f>37.2847 * CHOOSE(CONTROL!$C$15, $E$9, 100%, $G$9) + CHOOSE(CONTROL!$C$38, 0.0278, 0)</f>
        <v>37.3125</v>
      </c>
      <c r="C533" s="10">
        <f>34.3096 * CHOOSE(CONTROL!$C$15, $E$9, 100%, $G$9) + CHOOSE(CONTROL!$C$38, 0.0369, 0)</f>
        <v>34.346500000000006</v>
      </c>
      <c r="D533" s="10">
        <f>34.3018 * CHOOSE(CONTROL!$C$15, $E$9, 100%, $G$9) + CHOOSE(CONTROL!$C$38, 0.0369, 0)</f>
        <v>34.338700000000003</v>
      </c>
      <c r="E533" s="46">
        <f>37.1284 * CHOOSE(CONTROL!$C$15, $E$9, 100%, $G$9) + CHOOSE(CONTROL!$C$38, 0.0369, 0)</f>
        <v>37.165300000000002</v>
      </c>
      <c r="F533" s="45">
        <f>37.1284 * CHOOSE(CONTROL!$C$15, $E$9, 100%, $G$9) + CHOOSE(CONTROL!$C$38, 0.0278, 0)</f>
        <v>37.156199999999998</v>
      </c>
      <c r="G533" s="10">
        <f>34.308 * CHOOSE(CONTROL!$C$15, $E$9, 100%, $G$9) + CHOOSE(CONTROL!$C$38, 0.0369, 0)</f>
        <v>34.344900000000003</v>
      </c>
      <c r="H533" s="10">
        <f>34.308 * CHOOSE(CONTROL!$C$15, $E$9, 100%, $G$9) + CHOOSE(CONTROL!$C$38, 0.0369, 0)</f>
        <v>34.344900000000003</v>
      </c>
      <c r="I533" s="10">
        <f>34.3096 * CHOOSE(CONTROL!$C$15, $E$9, 100%, $G$9) + CHOOSE(CONTROL!$C$38, 0.0369, 0)</f>
        <v>34.346500000000006</v>
      </c>
      <c r="J533" s="44">
        <f>301.608</f>
        <v>301.608</v>
      </c>
    </row>
    <row r="534" spans="1:10" ht="15.75" x14ac:dyDescent="0.25">
      <c r="A534" s="13">
        <v>57192</v>
      </c>
      <c r="B534" s="10">
        <f>37.0782 * CHOOSE(CONTROL!$C$15, $E$9, 100%, $G$9) + CHOOSE(CONTROL!$C$38, 0.0278, 0)</f>
        <v>37.106000000000002</v>
      </c>
      <c r="C534" s="10">
        <f>34.1031 * CHOOSE(CONTROL!$C$15, $E$9, 100%, $G$9) + CHOOSE(CONTROL!$C$38, 0.0369, 0)</f>
        <v>34.14</v>
      </c>
      <c r="D534" s="10">
        <f>34.0953 * CHOOSE(CONTROL!$C$15, $E$9, 100%, $G$9) + CHOOSE(CONTROL!$C$38, 0.0369, 0)</f>
        <v>34.132200000000005</v>
      </c>
      <c r="E534" s="46">
        <f>36.9219 * CHOOSE(CONTROL!$C$15, $E$9, 100%, $G$9) + CHOOSE(CONTROL!$C$38, 0.0369, 0)</f>
        <v>36.958800000000004</v>
      </c>
      <c r="F534" s="45">
        <f>36.9219 * CHOOSE(CONTROL!$C$15, $E$9, 100%, $G$9) + CHOOSE(CONTROL!$C$38, 0.0278, 0)</f>
        <v>36.9497</v>
      </c>
      <c r="G534" s="10">
        <f>34.1015 * CHOOSE(CONTROL!$C$15, $E$9, 100%, $G$9) + CHOOSE(CONTROL!$C$38, 0.0369, 0)</f>
        <v>34.138400000000004</v>
      </c>
      <c r="H534" s="10">
        <f>34.1015 * CHOOSE(CONTROL!$C$15, $E$9, 100%, $G$9) + CHOOSE(CONTROL!$C$38, 0.0369, 0)</f>
        <v>34.138400000000004</v>
      </c>
      <c r="I534" s="10">
        <f>34.1031 * CHOOSE(CONTROL!$C$15, $E$9, 100%, $G$9) + CHOOSE(CONTROL!$C$38, 0.0369, 0)</f>
        <v>34.14</v>
      </c>
      <c r="J534" s="44">
        <f>300.1974</f>
        <v>300.19740000000002</v>
      </c>
    </row>
    <row r="535" spans="1:10" ht="15.75" x14ac:dyDescent="0.25">
      <c r="A535" s="13">
        <v>57223</v>
      </c>
      <c r="B535" s="10">
        <f>37.1801 * CHOOSE(CONTROL!$C$15, $E$9, 100%, $G$9) + CHOOSE(CONTROL!$C$38, 0.0278, 0)</f>
        <v>37.207900000000002</v>
      </c>
      <c r="C535" s="10">
        <f>34.205 * CHOOSE(CONTROL!$C$15, $E$9, 100%, $G$9) + CHOOSE(CONTROL!$C$38, 0.0369, 0)</f>
        <v>34.241900000000001</v>
      </c>
      <c r="D535" s="10">
        <f>34.1972 * CHOOSE(CONTROL!$C$15, $E$9, 100%, $G$9) + CHOOSE(CONTROL!$C$38, 0.0369, 0)</f>
        <v>34.234100000000005</v>
      </c>
      <c r="E535" s="46">
        <f>37.0238 * CHOOSE(CONTROL!$C$15, $E$9, 100%, $G$9) + CHOOSE(CONTROL!$C$38, 0.0369, 0)</f>
        <v>37.060700000000004</v>
      </c>
      <c r="F535" s="45">
        <f>37.0238 * CHOOSE(CONTROL!$C$15, $E$9, 100%, $G$9) + CHOOSE(CONTROL!$C$38, 0.0278, 0)</f>
        <v>37.051600000000001</v>
      </c>
      <c r="G535" s="10">
        <f>34.2034 * CHOOSE(CONTROL!$C$15, $E$9, 100%, $G$9) + CHOOSE(CONTROL!$C$38, 0.0369, 0)</f>
        <v>34.240300000000005</v>
      </c>
      <c r="H535" s="10">
        <f>34.2034 * CHOOSE(CONTROL!$C$15, $E$9, 100%, $G$9) + CHOOSE(CONTROL!$C$38, 0.0369, 0)</f>
        <v>34.240300000000005</v>
      </c>
      <c r="I535" s="10">
        <f>34.205 * CHOOSE(CONTROL!$C$15, $E$9, 100%, $G$9) + CHOOSE(CONTROL!$C$38, 0.0369, 0)</f>
        <v>34.241900000000001</v>
      </c>
      <c r="J535" s="44">
        <f>293.209</f>
        <v>293.209</v>
      </c>
    </row>
    <row r="536" spans="1:10" ht="15.75" x14ac:dyDescent="0.25">
      <c r="A536" s="13">
        <v>57253</v>
      </c>
      <c r="B536" s="10">
        <f>37.4569 * CHOOSE(CONTROL!$C$15, $E$9, 100%, $G$9) + CHOOSE(CONTROL!$C$38, 0.0278, 0)</f>
        <v>37.484699999999997</v>
      </c>
      <c r="C536" s="10">
        <f>34.4818 * CHOOSE(CONTROL!$C$15, $E$9, 100%, $G$9) + CHOOSE(CONTROL!$C$38, 0.0369, 0)</f>
        <v>34.518700000000003</v>
      </c>
      <c r="D536" s="10">
        <f>34.474 * CHOOSE(CONTROL!$C$15, $E$9, 100%, $G$9) + CHOOSE(CONTROL!$C$38, 0.0369, 0)</f>
        <v>34.510899999999999</v>
      </c>
      <c r="E536" s="46">
        <f>37.3006 * CHOOSE(CONTROL!$C$15, $E$9, 100%, $G$9) + CHOOSE(CONTROL!$C$38, 0.0369, 0)</f>
        <v>37.337500000000006</v>
      </c>
      <c r="F536" s="45">
        <f>37.3006 * CHOOSE(CONTROL!$C$15, $E$9, 100%, $G$9) + CHOOSE(CONTROL!$C$38, 0.0278, 0)</f>
        <v>37.328400000000002</v>
      </c>
      <c r="G536" s="10">
        <f>34.4802 * CHOOSE(CONTROL!$C$15, $E$9, 100%, $G$9) + CHOOSE(CONTROL!$C$38, 0.0369, 0)</f>
        <v>34.517100000000006</v>
      </c>
      <c r="H536" s="10">
        <f>34.4802 * CHOOSE(CONTROL!$C$15, $E$9, 100%, $G$9) + CHOOSE(CONTROL!$C$38, 0.0369, 0)</f>
        <v>34.517100000000006</v>
      </c>
      <c r="I536" s="10">
        <f>34.4818 * CHOOSE(CONTROL!$C$15, $E$9, 100%, $G$9) + CHOOSE(CONTROL!$C$38, 0.0369, 0)</f>
        <v>34.518700000000003</v>
      </c>
      <c r="J536" s="44">
        <f>283.4632</f>
        <v>283.46319999999997</v>
      </c>
    </row>
    <row r="537" spans="1:10" ht="15.75" x14ac:dyDescent="0.25">
      <c r="A537" s="13">
        <v>57284</v>
      </c>
      <c r="B537" s="10">
        <f>37.6887 * CHOOSE(CONTROL!$C$15, $E$9, 100%, $G$9) + CHOOSE(CONTROL!$C$38, 0.0256, 0)</f>
        <v>37.714299999999994</v>
      </c>
      <c r="C537" s="10">
        <f>34.7136 * CHOOSE(CONTROL!$C$15, $E$9, 100%, $G$9) + CHOOSE(CONTROL!$C$38, 0.0347, 0)</f>
        <v>34.7483</v>
      </c>
      <c r="D537" s="10">
        <f>34.7058 * CHOOSE(CONTROL!$C$15, $E$9, 100%, $G$9) + CHOOSE(CONTROL!$C$38, 0.0347, 0)</f>
        <v>34.740500000000004</v>
      </c>
      <c r="E537" s="46">
        <f>37.5325 * CHOOSE(CONTROL!$C$15, $E$9, 100%, $G$9) + CHOOSE(CONTROL!$C$38, 0.0347, 0)</f>
        <v>37.5672</v>
      </c>
      <c r="F537" s="45">
        <f>37.5325 * CHOOSE(CONTROL!$C$15, $E$9, 100%, $G$9) + CHOOSE(CONTROL!$C$38, 0.0256, 0)</f>
        <v>37.558099999999996</v>
      </c>
      <c r="G537" s="10">
        <f>34.712 * CHOOSE(CONTROL!$C$15, $E$9, 100%, $G$9) + CHOOSE(CONTROL!$C$38, 0.0347, 0)</f>
        <v>34.746700000000004</v>
      </c>
      <c r="H537" s="10">
        <f>34.712 * CHOOSE(CONTROL!$C$15, $E$9, 100%, $G$9) + CHOOSE(CONTROL!$C$38, 0.0347, 0)</f>
        <v>34.746700000000004</v>
      </c>
      <c r="I537" s="10">
        <f>34.7136 * CHOOSE(CONTROL!$C$15, $E$9, 100%, $G$9) + CHOOSE(CONTROL!$C$38, 0.0347, 0)</f>
        <v>34.7483</v>
      </c>
      <c r="J537" s="44">
        <f>273.6607</f>
        <v>273.66070000000002</v>
      </c>
    </row>
    <row r="538" spans="1:10" ht="15.75" x14ac:dyDescent="0.25">
      <c r="A538" s="13">
        <v>57314</v>
      </c>
      <c r="B538" s="10">
        <f>37.8821 * CHOOSE(CONTROL!$C$15, $E$9, 100%, $G$9) + CHOOSE(CONTROL!$C$38, 0.0256, 0)</f>
        <v>37.907699999999998</v>
      </c>
      <c r="C538" s="10">
        <f>34.907 * CHOOSE(CONTROL!$C$15, $E$9, 100%, $G$9) + CHOOSE(CONTROL!$C$38, 0.0347, 0)</f>
        <v>34.941699999999997</v>
      </c>
      <c r="D538" s="10">
        <f>34.8992 * CHOOSE(CONTROL!$C$15, $E$9, 100%, $G$9) + CHOOSE(CONTROL!$C$38, 0.0347, 0)</f>
        <v>34.933900000000001</v>
      </c>
      <c r="E538" s="46">
        <f>37.7259 * CHOOSE(CONTROL!$C$15, $E$9, 100%, $G$9) + CHOOSE(CONTROL!$C$38, 0.0347, 0)</f>
        <v>37.760600000000004</v>
      </c>
      <c r="F538" s="45">
        <f>37.7259 * CHOOSE(CONTROL!$C$15, $E$9, 100%, $G$9) + CHOOSE(CONTROL!$C$38, 0.0256, 0)</f>
        <v>37.7515</v>
      </c>
      <c r="G538" s="10">
        <f>34.9055 * CHOOSE(CONTROL!$C$15, $E$9, 100%, $G$9) + CHOOSE(CONTROL!$C$38, 0.0347, 0)</f>
        <v>34.940200000000004</v>
      </c>
      <c r="H538" s="10">
        <f>34.9055 * CHOOSE(CONTROL!$C$15, $E$9, 100%, $G$9) + CHOOSE(CONTROL!$C$38, 0.0347, 0)</f>
        <v>34.940200000000004</v>
      </c>
      <c r="I538" s="10">
        <f>34.907 * CHOOSE(CONTROL!$C$15, $E$9, 100%, $G$9) + CHOOSE(CONTROL!$C$38, 0.0347, 0)</f>
        <v>34.941699999999997</v>
      </c>
      <c r="J538" s="44">
        <f>271.7108</f>
        <v>271.71080000000001</v>
      </c>
    </row>
    <row r="539" spans="1:10" ht="15.75" x14ac:dyDescent="0.25">
      <c r="A539" s="13">
        <v>57345</v>
      </c>
      <c r="B539" s="10">
        <f>38.4782 * CHOOSE(CONTROL!$C$15, $E$9, 100%, $G$9) + CHOOSE(CONTROL!$C$38, 0.0256, 0)</f>
        <v>38.503799999999998</v>
      </c>
      <c r="C539" s="10">
        <f>35.5031 * CHOOSE(CONTROL!$C$15, $E$9, 100%, $G$9) + CHOOSE(CONTROL!$C$38, 0.0347, 0)</f>
        <v>35.537800000000004</v>
      </c>
      <c r="D539" s="10">
        <f>35.4953 * CHOOSE(CONTROL!$C$15, $E$9, 100%, $G$9) + CHOOSE(CONTROL!$C$38, 0.0347, 0)</f>
        <v>35.53</v>
      </c>
      <c r="E539" s="46">
        <f>38.322 * CHOOSE(CONTROL!$C$15, $E$9, 100%, $G$9) + CHOOSE(CONTROL!$C$38, 0.0347, 0)</f>
        <v>38.356700000000004</v>
      </c>
      <c r="F539" s="45">
        <f>38.322 * CHOOSE(CONTROL!$C$15, $E$9, 100%, $G$9) + CHOOSE(CONTROL!$C$38, 0.0256, 0)</f>
        <v>38.3476</v>
      </c>
      <c r="G539" s="10">
        <f>35.5016 * CHOOSE(CONTROL!$C$15, $E$9, 100%, $G$9) + CHOOSE(CONTROL!$C$38, 0.0347, 0)</f>
        <v>35.536300000000004</v>
      </c>
      <c r="H539" s="10">
        <f>35.5016 * CHOOSE(CONTROL!$C$15, $E$9, 100%, $G$9) + CHOOSE(CONTROL!$C$38, 0.0347, 0)</f>
        <v>35.536300000000004</v>
      </c>
      <c r="I539" s="10">
        <f>35.5031 * CHOOSE(CONTROL!$C$15, $E$9, 100%, $G$9) + CHOOSE(CONTROL!$C$38, 0.0347, 0)</f>
        <v>35.537800000000004</v>
      </c>
      <c r="J539" s="44">
        <f>263.6478</f>
        <v>263.64780000000002</v>
      </c>
    </row>
    <row r="540" spans="1:10" ht="15.75" x14ac:dyDescent="0.25">
      <c r="A540" s="13">
        <v>57376</v>
      </c>
      <c r="B540" s="10">
        <f>39.5605 * CHOOSE(CONTROL!$C$15, $E$9, 100%, $G$9) + CHOOSE(CONTROL!$C$38, 0.0256, 0)</f>
        <v>39.586099999999995</v>
      </c>
      <c r="C540" s="10">
        <f>36.5391 * CHOOSE(CONTROL!$C$15, $E$9, 100%, $G$9) + CHOOSE(CONTROL!$C$38, 0.0347, 0)</f>
        <v>36.573799999999999</v>
      </c>
      <c r="D540" s="10">
        <f>36.5313 * CHOOSE(CONTROL!$C$15, $E$9, 100%, $G$9) + CHOOSE(CONTROL!$C$38, 0.0347, 0)</f>
        <v>36.566000000000003</v>
      </c>
      <c r="E540" s="46">
        <f>39.4042 * CHOOSE(CONTROL!$C$15, $E$9, 100%, $G$9) + CHOOSE(CONTROL!$C$38, 0.0347, 0)</f>
        <v>39.438900000000004</v>
      </c>
      <c r="F540" s="45">
        <f>39.4042 * CHOOSE(CONTROL!$C$15, $E$9, 100%, $G$9) + CHOOSE(CONTROL!$C$38, 0.0256, 0)</f>
        <v>39.4298</v>
      </c>
      <c r="G540" s="10">
        <f>36.5376 * CHOOSE(CONTROL!$C$15, $E$9, 100%, $G$9) + CHOOSE(CONTROL!$C$38, 0.0347, 0)</f>
        <v>36.572299999999998</v>
      </c>
      <c r="H540" s="10">
        <f>36.5376 * CHOOSE(CONTROL!$C$15, $E$9, 100%, $G$9) + CHOOSE(CONTROL!$C$38, 0.0347, 0)</f>
        <v>36.572299999999998</v>
      </c>
      <c r="I540" s="10">
        <f>36.5391 * CHOOSE(CONTROL!$C$15, $E$9, 100%, $G$9) + CHOOSE(CONTROL!$C$38, 0.0347, 0)</f>
        <v>36.573799999999999</v>
      </c>
      <c r="J540" s="44">
        <f>263.1443</f>
        <v>263.14429999999999</v>
      </c>
    </row>
    <row r="541" spans="1:10" ht="15.75" x14ac:dyDescent="0.25">
      <c r="A541" s="13">
        <v>57404</v>
      </c>
      <c r="B541" s="10">
        <f>39.7812 * CHOOSE(CONTROL!$C$15, $E$9, 100%, $G$9) + CHOOSE(CONTROL!$C$38, 0.0256, 0)</f>
        <v>39.806799999999996</v>
      </c>
      <c r="C541" s="10">
        <f>36.7599 * CHOOSE(CONTROL!$C$15, $E$9, 100%, $G$9) + CHOOSE(CONTROL!$C$38, 0.0347, 0)</f>
        <v>36.794600000000003</v>
      </c>
      <c r="D541" s="10">
        <f>36.7521 * CHOOSE(CONTROL!$C$15, $E$9, 100%, $G$9) + CHOOSE(CONTROL!$C$38, 0.0347, 0)</f>
        <v>36.786799999999999</v>
      </c>
      <c r="E541" s="46">
        <f>39.625 * CHOOSE(CONTROL!$C$15, $E$9, 100%, $G$9) + CHOOSE(CONTROL!$C$38, 0.0347, 0)</f>
        <v>39.659700000000001</v>
      </c>
      <c r="F541" s="45">
        <f>39.625 * CHOOSE(CONTROL!$C$15, $E$9, 100%, $G$9) + CHOOSE(CONTROL!$C$38, 0.0256, 0)</f>
        <v>39.650599999999997</v>
      </c>
      <c r="G541" s="10">
        <f>36.7583 * CHOOSE(CONTROL!$C$15, $E$9, 100%, $G$9) + CHOOSE(CONTROL!$C$38, 0.0347, 0)</f>
        <v>36.792999999999999</v>
      </c>
      <c r="H541" s="10">
        <f>36.7583 * CHOOSE(CONTROL!$C$15, $E$9, 100%, $G$9) + CHOOSE(CONTROL!$C$38, 0.0347, 0)</f>
        <v>36.792999999999999</v>
      </c>
      <c r="I541" s="10">
        <f>36.7599 * CHOOSE(CONTROL!$C$15, $E$9, 100%, $G$9) + CHOOSE(CONTROL!$C$38, 0.0347, 0)</f>
        <v>36.794600000000003</v>
      </c>
      <c r="J541" s="44">
        <f>262.4128</f>
        <v>262.4128</v>
      </c>
    </row>
    <row r="542" spans="1:10" ht="15.75" x14ac:dyDescent="0.25">
      <c r="A542" s="13">
        <v>57435</v>
      </c>
      <c r="B542" s="10">
        <f>39.2702 * CHOOSE(CONTROL!$C$15, $E$9, 100%, $G$9) + CHOOSE(CONTROL!$C$38, 0.0256, 0)</f>
        <v>39.2958</v>
      </c>
      <c r="C542" s="10">
        <f>36.2489 * CHOOSE(CONTROL!$C$15, $E$9, 100%, $G$9) + CHOOSE(CONTROL!$C$38, 0.0347, 0)</f>
        <v>36.2836</v>
      </c>
      <c r="D542" s="10">
        <f>36.2411 * CHOOSE(CONTROL!$C$15, $E$9, 100%, $G$9) + CHOOSE(CONTROL!$C$38, 0.0347, 0)</f>
        <v>36.275800000000004</v>
      </c>
      <c r="E542" s="46">
        <f>39.1139 * CHOOSE(CONTROL!$C$15, $E$9, 100%, $G$9) + CHOOSE(CONTROL!$C$38, 0.0347, 0)</f>
        <v>39.148600000000002</v>
      </c>
      <c r="F542" s="45">
        <f>39.1139 * CHOOSE(CONTROL!$C$15, $E$9, 100%, $G$9) + CHOOSE(CONTROL!$C$38, 0.0256, 0)</f>
        <v>39.139499999999998</v>
      </c>
      <c r="G542" s="10">
        <f>36.2473 * CHOOSE(CONTROL!$C$15, $E$9, 100%, $G$9) + CHOOSE(CONTROL!$C$38, 0.0347, 0)</f>
        <v>36.282000000000004</v>
      </c>
      <c r="H542" s="10">
        <f>36.2473 * CHOOSE(CONTROL!$C$15, $E$9, 100%, $G$9) + CHOOSE(CONTROL!$C$38, 0.0347, 0)</f>
        <v>36.282000000000004</v>
      </c>
      <c r="I542" s="10">
        <f>36.2489 * CHOOSE(CONTROL!$C$15, $E$9, 100%, $G$9) + CHOOSE(CONTROL!$C$38, 0.0347, 0)</f>
        <v>36.2836</v>
      </c>
      <c r="J542" s="44">
        <f>276.2435</f>
        <v>276.24349999999998</v>
      </c>
    </row>
    <row r="543" spans="1:10" ht="15.75" x14ac:dyDescent="0.25">
      <c r="A543" s="13">
        <v>57465</v>
      </c>
      <c r="B543" s="10">
        <f>38.775 * CHOOSE(CONTROL!$C$15, $E$9, 100%, $G$9) + CHOOSE(CONTROL!$C$38, 0.0256, 0)</f>
        <v>38.800599999999996</v>
      </c>
      <c r="C543" s="10">
        <f>35.7537 * CHOOSE(CONTROL!$C$15, $E$9, 100%, $G$9) + CHOOSE(CONTROL!$C$38, 0.0347, 0)</f>
        <v>35.788400000000003</v>
      </c>
      <c r="D543" s="10">
        <f>35.7459 * CHOOSE(CONTROL!$C$15, $E$9, 100%, $G$9) + CHOOSE(CONTROL!$C$38, 0.0347, 0)</f>
        <v>35.7806</v>
      </c>
      <c r="E543" s="46">
        <f>38.6188 * CHOOSE(CONTROL!$C$15, $E$9, 100%, $G$9) + CHOOSE(CONTROL!$C$38, 0.0347, 0)</f>
        <v>38.653500000000001</v>
      </c>
      <c r="F543" s="45">
        <f>38.6188 * CHOOSE(CONTROL!$C$15, $E$9, 100%, $G$9) + CHOOSE(CONTROL!$C$38, 0.0256, 0)</f>
        <v>38.644399999999997</v>
      </c>
      <c r="G543" s="10">
        <f>35.7521 * CHOOSE(CONTROL!$C$15, $E$9, 100%, $G$9) + CHOOSE(CONTROL!$C$38, 0.0347, 0)</f>
        <v>35.786799999999999</v>
      </c>
      <c r="H543" s="10">
        <f>35.7521 * CHOOSE(CONTROL!$C$15, $E$9, 100%, $G$9) + CHOOSE(CONTROL!$C$38, 0.0347, 0)</f>
        <v>35.786799999999999</v>
      </c>
      <c r="I543" s="10">
        <f>35.7537 * CHOOSE(CONTROL!$C$15, $E$9, 100%, $G$9) + CHOOSE(CONTROL!$C$38, 0.0347, 0)</f>
        <v>35.788400000000003</v>
      </c>
      <c r="J543" s="44">
        <f>294.1786</f>
        <v>294.17860000000002</v>
      </c>
    </row>
    <row r="544" spans="1:10" ht="15.75" x14ac:dyDescent="0.25">
      <c r="A544" s="13">
        <v>57496</v>
      </c>
      <c r="B544" s="10">
        <f>38.2589 * CHOOSE(CONTROL!$C$15, $E$9, 100%, $G$9) + CHOOSE(CONTROL!$C$38, 0.0278, 0)</f>
        <v>38.286699999999996</v>
      </c>
      <c r="C544" s="10">
        <f>35.2376 * CHOOSE(CONTROL!$C$15, $E$9, 100%, $G$9) + CHOOSE(CONTROL!$C$38, 0.0369, 0)</f>
        <v>35.274500000000003</v>
      </c>
      <c r="D544" s="10">
        <f>35.2298 * CHOOSE(CONTROL!$C$15, $E$9, 100%, $G$9) + CHOOSE(CONTROL!$C$38, 0.0369, 0)</f>
        <v>35.2667</v>
      </c>
      <c r="E544" s="46">
        <f>38.1026 * CHOOSE(CONTROL!$C$15, $E$9, 100%, $G$9) + CHOOSE(CONTROL!$C$38, 0.0369, 0)</f>
        <v>38.139500000000005</v>
      </c>
      <c r="F544" s="45">
        <f>38.1026 * CHOOSE(CONTROL!$C$15, $E$9, 100%, $G$9) + CHOOSE(CONTROL!$C$38, 0.0278, 0)</f>
        <v>38.130400000000002</v>
      </c>
      <c r="G544" s="10">
        <f>35.236 * CHOOSE(CONTROL!$C$15, $E$9, 100%, $G$9) + CHOOSE(CONTROL!$C$38, 0.0369, 0)</f>
        <v>35.2729</v>
      </c>
      <c r="H544" s="10">
        <f>35.236 * CHOOSE(CONTROL!$C$15, $E$9, 100%, $G$9) + CHOOSE(CONTROL!$C$38, 0.0369, 0)</f>
        <v>35.2729</v>
      </c>
      <c r="I544" s="10">
        <f>35.2376 * CHOOSE(CONTROL!$C$15, $E$9, 100%, $G$9) + CHOOSE(CONTROL!$C$38, 0.0369, 0)</f>
        <v>35.274500000000003</v>
      </c>
      <c r="J544" s="44">
        <f>304.0506</f>
        <v>304.05059999999997</v>
      </c>
    </row>
    <row r="545" spans="1:10" ht="15.75" x14ac:dyDescent="0.25">
      <c r="A545" s="13">
        <v>57526</v>
      </c>
      <c r="B545" s="10">
        <f>37.8971 * CHOOSE(CONTROL!$C$15, $E$9, 100%, $G$9) + CHOOSE(CONTROL!$C$38, 0.0278, 0)</f>
        <v>37.924900000000001</v>
      </c>
      <c r="C545" s="10">
        <f>34.8757 * CHOOSE(CONTROL!$C$15, $E$9, 100%, $G$9) + CHOOSE(CONTROL!$C$38, 0.0369, 0)</f>
        <v>34.912600000000005</v>
      </c>
      <c r="D545" s="10">
        <f>34.8679 * CHOOSE(CONTROL!$C$15, $E$9, 100%, $G$9) + CHOOSE(CONTROL!$C$38, 0.0369, 0)</f>
        <v>34.904800000000002</v>
      </c>
      <c r="E545" s="46">
        <f>37.7408 * CHOOSE(CONTROL!$C$15, $E$9, 100%, $G$9) + CHOOSE(CONTROL!$C$38, 0.0369, 0)</f>
        <v>37.777700000000003</v>
      </c>
      <c r="F545" s="45">
        <f>37.7408 * CHOOSE(CONTROL!$C$15, $E$9, 100%, $G$9) + CHOOSE(CONTROL!$C$38, 0.0278, 0)</f>
        <v>37.768599999999999</v>
      </c>
      <c r="G545" s="10">
        <f>34.8742 * CHOOSE(CONTROL!$C$15, $E$9, 100%, $G$9) + CHOOSE(CONTROL!$C$38, 0.0369, 0)</f>
        <v>34.911100000000005</v>
      </c>
      <c r="H545" s="10">
        <f>34.8742 * CHOOSE(CONTROL!$C$15, $E$9, 100%, $G$9) + CHOOSE(CONTROL!$C$38, 0.0369, 0)</f>
        <v>34.911100000000005</v>
      </c>
      <c r="I545" s="10">
        <f>34.8757 * CHOOSE(CONTROL!$C$15, $E$9, 100%, $G$9) + CHOOSE(CONTROL!$C$38, 0.0369, 0)</f>
        <v>34.912600000000005</v>
      </c>
      <c r="J545" s="44">
        <f>308.4317</f>
        <v>308.43169999999998</v>
      </c>
    </row>
    <row r="546" spans="1:10" ht="15.75" x14ac:dyDescent="0.25">
      <c r="A546" s="13">
        <v>57557</v>
      </c>
      <c r="B546" s="10">
        <f>37.6906 * CHOOSE(CONTROL!$C$15, $E$9, 100%, $G$9) + CHOOSE(CONTROL!$C$38, 0.0278, 0)</f>
        <v>37.718400000000003</v>
      </c>
      <c r="C546" s="10">
        <f>34.6693 * CHOOSE(CONTROL!$C$15, $E$9, 100%, $G$9) + CHOOSE(CONTROL!$C$38, 0.0369, 0)</f>
        <v>34.706200000000003</v>
      </c>
      <c r="D546" s="10">
        <f>34.6614 * CHOOSE(CONTROL!$C$15, $E$9, 100%, $G$9) + CHOOSE(CONTROL!$C$38, 0.0369, 0)</f>
        <v>34.698300000000003</v>
      </c>
      <c r="E546" s="46">
        <f>37.5343 * CHOOSE(CONTROL!$C$15, $E$9, 100%, $G$9) + CHOOSE(CONTROL!$C$38, 0.0369, 0)</f>
        <v>37.571200000000005</v>
      </c>
      <c r="F546" s="45">
        <f>37.5343 * CHOOSE(CONTROL!$C$15, $E$9, 100%, $G$9) + CHOOSE(CONTROL!$C$38, 0.0278, 0)</f>
        <v>37.562100000000001</v>
      </c>
      <c r="G546" s="10">
        <f>34.6677 * CHOOSE(CONTROL!$C$15, $E$9, 100%, $G$9) + CHOOSE(CONTROL!$C$38, 0.0369, 0)</f>
        <v>34.704600000000006</v>
      </c>
      <c r="H546" s="10">
        <f>34.6677 * CHOOSE(CONTROL!$C$15, $E$9, 100%, $G$9) + CHOOSE(CONTROL!$C$38, 0.0369, 0)</f>
        <v>34.704600000000006</v>
      </c>
      <c r="I546" s="10">
        <f>34.6693 * CHOOSE(CONTROL!$C$15, $E$9, 100%, $G$9) + CHOOSE(CONTROL!$C$38, 0.0369, 0)</f>
        <v>34.706200000000003</v>
      </c>
      <c r="J546" s="44">
        <f>306.9892</f>
        <v>306.98919999999998</v>
      </c>
    </row>
    <row r="547" spans="1:10" ht="15.75" x14ac:dyDescent="0.25">
      <c r="A547" s="13">
        <v>57588</v>
      </c>
      <c r="B547" s="10">
        <f>37.7925 * CHOOSE(CONTROL!$C$15, $E$9, 100%, $G$9) + CHOOSE(CONTROL!$C$38, 0.0278, 0)</f>
        <v>37.820299999999996</v>
      </c>
      <c r="C547" s="10">
        <f>34.7712 * CHOOSE(CONTROL!$C$15, $E$9, 100%, $G$9) + CHOOSE(CONTROL!$C$38, 0.0369, 0)</f>
        <v>34.808100000000003</v>
      </c>
      <c r="D547" s="10">
        <f>34.7634 * CHOOSE(CONTROL!$C$15, $E$9, 100%, $G$9) + CHOOSE(CONTROL!$C$38, 0.0369, 0)</f>
        <v>34.8003</v>
      </c>
      <c r="E547" s="46">
        <f>37.6362 * CHOOSE(CONTROL!$C$15, $E$9, 100%, $G$9) + CHOOSE(CONTROL!$C$38, 0.0369, 0)</f>
        <v>37.673100000000005</v>
      </c>
      <c r="F547" s="45">
        <f>37.6362 * CHOOSE(CONTROL!$C$15, $E$9, 100%, $G$9) + CHOOSE(CONTROL!$C$38, 0.0278, 0)</f>
        <v>37.664000000000001</v>
      </c>
      <c r="G547" s="10">
        <f>34.7696 * CHOOSE(CONTROL!$C$15, $E$9, 100%, $G$9) + CHOOSE(CONTROL!$C$38, 0.0369, 0)</f>
        <v>34.8065</v>
      </c>
      <c r="H547" s="10">
        <f>34.7696 * CHOOSE(CONTROL!$C$15, $E$9, 100%, $G$9) + CHOOSE(CONTROL!$C$38, 0.0369, 0)</f>
        <v>34.8065</v>
      </c>
      <c r="I547" s="10">
        <f>34.7712 * CHOOSE(CONTROL!$C$15, $E$9, 100%, $G$9) + CHOOSE(CONTROL!$C$38, 0.0369, 0)</f>
        <v>34.808100000000003</v>
      </c>
      <c r="J547" s="44">
        <f>299.8427</f>
        <v>299.84269999999998</v>
      </c>
    </row>
    <row r="548" spans="1:10" ht="15.75" x14ac:dyDescent="0.25">
      <c r="A548" s="13">
        <v>57618</v>
      </c>
      <c r="B548" s="10">
        <f>38.0693 * CHOOSE(CONTROL!$C$15, $E$9, 100%, $G$9) + CHOOSE(CONTROL!$C$38, 0.0278, 0)</f>
        <v>38.097099999999998</v>
      </c>
      <c r="C548" s="10">
        <f>35.048 * CHOOSE(CONTROL!$C$15, $E$9, 100%, $G$9) + CHOOSE(CONTROL!$C$38, 0.0369, 0)</f>
        <v>35.084900000000005</v>
      </c>
      <c r="D548" s="10">
        <f>35.0402 * CHOOSE(CONTROL!$C$15, $E$9, 100%, $G$9) + CHOOSE(CONTROL!$C$38, 0.0369, 0)</f>
        <v>35.077100000000002</v>
      </c>
      <c r="E548" s="46">
        <f>37.913 * CHOOSE(CONTROL!$C$15, $E$9, 100%, $G$9) + CHOOSE(CONTROL!$C$38, 0.0369, 0)</f>
        <v>37.9499</v>
      </c>
      <c r="F548" s="45">
        <f>37.913 * CHOOSE(CONTROL!$C$15, $E$9, 100%, $G$9) + CHOOSE(CONTROL!$C$38, 0.0278, 0)</f>
        <v>37.940799999999996</v>
      </c>
      <c r="G548" s="10">
        <f>35.0464 * CHOOSE(CONTROL!$C$15, $E$9, 100%, $G$9) + CHOOSE(CONTROL!$C$38, 0.0369, 0)</f>
        <v>35.083300000000001</v>
      </c>
      <c r="H548" s="10">
        <f>35.0464 * CHOOSE(CONTROL!$C$15, $E$9, 100%, $G$9) + CHOOSE(CONTROL!$C$38, 0.0369, 0)</f>
        <v>35.083300000000001</v>
      </c>
      <c r="I548" s="10">
        <f>35.048 * CHOOSE(CONTROL!$C$15, $E$9, 100%, $G$9) + CHOOSE(CONTROL!$C$38, 0.0369, 0)</f>
        <v>35.084900000000005</v>
      </c>
      <c r="J548" s="44">
        <f>289.8764</f>
        <v>289.87639999999999</v>
      </c>
    </row>
    <row r="549" spans="1:10" ht="15.75" x14ac:dyDescent="0.25">
      <c r="A549" s="13">
        <v>57649</v>
      </c>
      <c r="B549" s="10">
        <f>38.3011 * CHOOSE(CONTROL!$C$15, $E$9, 100%, $G$9) + CHOOSE(CONTROL!$C$38, 0.0256, 0)</f>
        <v>38.326699999999995</v>
      </c>
      <c r="C549" s="10">
        <f>35.2798 * CHOOSE(CONTROL!$C$15, $E$9, 100%, $G$9) + CHOOSE(CONTROL!$C$38, 0.0347, 0)</f>
        <v>35.314500000000002</v>
      </c>
      <c r="D549" s="10">
        <f>35.272 * CHOOSE(CONTROL!$C$15, $E$9, 100%, $G$9) + CHOOSE(CONTROL!$C$38, 0.0347, 0)</f>
        <v>35.306699999999999</v>
      </c>
      <c r="E549" s="46">
        <f>38.1449 * CHOOSE(CONTROL!$C$15, $E$9, 100%, $G$9) + CHOOSE(CONTROL!$C$38, 0.0347, 0)</f>
        <v>38.179600000000001</v>
      </c>
      <c r="F549" s="45">
        <f>38.1449 * CHOOSE(CONTROL!$C$15, $E$9, 100%, $G$9) + CHOOSE(CONTROL!$C$38, 0.0256, 0)</f>
        <v>38.170499999999997</v>
      </c>
      <c r="G549" s="10">
        <f>35.2782 * CHOOSE(CONTROL!$C$15, $E$9, 100%, $G$9) + CHOOSE(CONTROL!$C$38, 0.0347, 0)</f>
        <v>35.312899999999999</v>
      </c>
      <c r="H549" s="10">
        <f>35.2782 * CHOOSE(CONTROL!$C$15, $E$9, 100%, $G$9) + CHOOSE(CONTROL!$C$38, 0.0347, 0)</f>
        <v>35.312899999999999</v>
      </c>
      <c r="I549" s="10">
        <f>35.2798 * CHOOSE(CONTROL!$C$15, $E$9, 100%, $G$9) + CHOOSE(CONTROL!$C$38, 0.0347, 0)</f>
        <v>35.314500000000002</v>
      </c>
      <c r="J549" s="44">
        <f>279.8522</f>
        <v>279.85219999999998</v>
      </c>
    </row>
    <row r="550" spans="1:10" ht="15.75" x14ac:dyDescent="0.25">
      <c r="A550" s="13">
        <v>57679</v>
      </c>
      <c r="B550" s="10">
        <f>38.4945 * CHOOSE(CONTROL!$C$15, $E$9, 100%, $G$9) + CHOOSE(CONTROL!$C$38, 0.0256, 0)</f>
        <v>38.520099999999999</v>
      </c>
      <c r="C550" s="10">
        <f>35.4732 * CHOOSE(CONTROL!$C$15, $E$9, 100%, $G$9) + CHOOSE(CONTROL!$C$38, 0.0347, 0)</f>
        <v>35.507899999999999</v>
      </c>
      <c r="D550" s="10">
        <f>35.4654 * CHOOSE(CONTROL!$C$15, $E$9, 100%, $G$9) + CHOOSE(CONTROL!$C$38, 0.0347, 0)</f>
        <v>35.500100000000003</v>
      </c>
      <c r="E550" s="46">
        <f>38.3383 * CHOOSE(CONTROL!$C$15, $E$9, 100%, $G$9) + CHOOSE(CONTROL!$C$38, 0.0347, 0)</f>
        <v>38.372999999999998</v>
      </c>
      <c r="F550" s="45">
        <f>38.3383 * CHOOSE(CONTROL!$C$15, $E$9, 100%, $G$9) + CHOOSE(CONTROL!$C$38, 0.0256, 0)</f>
        <v>38.363899999999994</v>
      </c>
      <c r="G550" s="10">
        <f>35.4717 * CHOOSE(CONTROL!$C$15, $E$9, 100%, $G$9) + CHOOSE(CONTROL!$C$38, 0.0347, 0)</f>
        <v>35.506399999999999</v>
      </c>
      <c r="H550" s="10">
        <f>35.4717 * CHOOSE(CONTROL!$C$15, $E$9, 100%, $G$9) + CHOOSE(CONTROL!$C$38, 0.0347, 0)</f>
        <v>35.506399999999999</v>
      </c>
      <c r="I550" s="10">
        <f>35.4732 * CHOOSE(CONTROL!$C$15, $E$9, 100%, $G$9) + CHOOSE(CONTROL!$C$38, 0.0347, 0)</f>
        <v>35.507899999999999</v>
      </c>
      <c r="J550" s="44">
        <f>277.8582</f>
        <v>277.85820000000001</v>
      </c>
    </row>
    <row r="551" spans="1:10" ht="15.75" x14ac:dyDescent="0.25">
      <c r="A551" s="13">
        <v>57710</v>
      </c>
      <c r="B551" s="10">
        <f>39.0906 * CHOOSE(CONTROL!$C$15, $E$9, 100%, $G$9) + CHOOSE(CONTROL!$C$38, 0.0256, 0)</f>
        <v>39.116199999999999</v>
      </c>
      <c r="C551" s="10">
        <f>36.0693 * CHOOSE(CONTROL!$C$15, $E$9, 100%, $G$9) + CHOOSE(CONTROL!$C$38, 0.0347, 0)</f>
        <v>36.103999999999999</v>
      </c>
      <c r="D551" s="10">
        <f>36.0615 * CHOOSE(CONTROL!$C$15, $E$9, 100%, $G$9) + CHOOSE(CONTROL!$C$38, 0.0347, 0)</f>
        <v>36.096200000000003</v>
      </c>
      <c r="E551" s="46">
        <f>38.9344 * CHOOSE(CONTROL!$C$15, $E$9, 100%, $G$9) + CHOOSE(CONTROL!$C$38, 0.0347, 0)</f>
        <v>38.969099999999997</v>
      </c>
      <c r="F551" s="45">
        <f>38.9344 * CHOOSE(CONTROL!$C$15, $E$9, 100%, $G$9) + CHOOSE(CONTROL!$C$38, 0.0256, 0)</f>
        <v>38.959999999999994</v>
      </c>
      <c r="G551" s="10">
        <f>36.0677 * CHOOSE(CONTROL!$C$15, $E$9, 100%, $G$9) + CHOOSE(CONTROL!$C$38, 0.0347, 0)</f>
        <v>36.102400000000003</v>
      </c>
      <c r="H551" s="10">
        <f>36.0677 * CHOOSE(CONTROL!$C$15, $E$9, 100%, $G$9) + CHOOSE(CONTROL!$C$38, 0.0347, 0)</f>
        <v>36.102400000000003</v>
      </c>
      <c r="I551" s="10">
        <f>36.0693 * CHOOSE(CONTROL!$C$15, $E$9, 100%, $G$9) + CHOOSE(CONTROL!$C$38, 0.0347, 0)</f>
        <v>36.103999999999999</v>
      </c>
      <c r="J551" s="44">
        <f>269.6127</f>
        <v>269.61270000000002</v>
      </c>
    </row>
    <row r="552" spans="1:10" ht="15.75" x14ac:dyDescent="0.25">
      <c r="A552" s="13">
        <v>57741</v>
      </c>
      <c r="B552" s="10">
        <f>40.1829 * CHOOSE(CONTROL!$C$15, $E$9, 100%, $G$9) + CHOOSE(CONTROL!$C$38, 0.0256, 0)</f>
        <v>40.208499999999994</v>
      </c>
      <c r="C552" s="10">
        <f>37.1146 * CHOOSE(CONTROL!$C$15, $E$9, 100%, $G$9) + CHOOSE(CONTROL!$C$38, 0.0347, 0)</f>
        <v>37.149300000000004</v>
      </c>
      <c r="D552" s="10">
        <f>37.1068 * CHOOSE(CONTROL!$C$15, $E$9, 100%, $G$9) + CHOOSE(CONTROL!$C$38, 0.0347, 0)</f>
        <v>37.141500000000001</v>
      </c>
      <c r="E552" s="46">
        <f>40.0266 * CHOOSE(CONTROL!$C$15, $E$9, 100%, $G$9) + CHOOSE(CONTROL!$C$38, 0.0347, 0)</f>
        <v>40.061300000000003</v>
      </c>
      <c r="F552" s="45">
        <f>40.0266 * CHOOSE(CONTROL!$C$15, $E$9, 100%, $G$9) + CHOOSE(CONTROL!$C$38, 0.0256, 0)</f>
        <v>40.052199999999999</v>
      </c>
      <c r="G552" s="10">
        <f>37.113 * CHOOSE(CONTROL!$C$15, $E$9, 100%, $G$9) + CHOOSE(CONTROL!$C$38, 0.0347, 0)</f>
        <v>37.1477</v>
      </c>
      <c r="H552" s="10">
        <f>37.113 * CHOOSE(CONTROL!$C$15, $E$9, 100%, $G$9) + CHOOSE(CONTROL!$C$38, 0.0347, 0)</f>
        <v>37.1477</v>
      </c>
      <c r="I552" s="10">
        <f>37.1146 * CHOOSE(CONTROL!$C$15, $E$9, 100%, $G$9) + CHOOSE(CONTROL!$C$38, 0.0347, 0)</f>
        <v>37.149300000000004</v>
      </c>
      <c r="J552" s="44">
        <f>269.0978</f>
        <v>269.09780000000001</v>
      </c>
    </row>
    <row r="553" spans="1:10" ht="15.75" x14ac:dyDescent="0.25">
      <c r="A553" s="13">
        <v>57769</v>
      </c>
      <c r="B553" s="10">
        <f>40.4037 * CHOOSE(CONTROL!$C$15, $E$9, 100%, $G$9) + CHOOSE(CONTROL!$C$38, 0.0256, 0)</f>
        <v>40.429299999999998</v>
      </c>
      <c r="C553" s="10">
        <f>37.3354 * CHOOSE(CONTROL!$C$15, $E$9, 100%, $G$9) + CHOOSE(CONTROL!$C$38, 0.0347, 0)</f>
        <v>37.370100000000001</v>
      </c>
      <c r="D553" s="10">
        <f>37.3276 * CHOOSE(CONTROL!$C$15, $E$9, 100%, $G$9) + CHOOSE(CONTROL!$C$38, 0.0347, 0)</f>
        <v>37.362299999999998</v>
      </c>
      <c r="E553" s="46">
        <f>40.2474 * CHOOSE(CONTROL!$C$15, $E$9, 100%, $G$9) + CHOOSE(CONTROL!$C$38, 0.0347, 0)</f>
        <v>40.2821</v>
      </c>
      <c r="F553" s="45">
        <f>40.2474 * CHOOSE(CONTROL!$C$15, $E$9, 100%, $G$9) + CHOOSE(CONTROL!$C$38, 0.0256, 0)</f>
        <v>40.272999999999996</v>
      </c>
      <c r="G553" s="10">
        <f>37.3338 * CHOOSE(CONTROL!$C$15, $E$9, 100%, $G$9) + CHOOSE(CONTROL!$C$38, 0.0347, 0)</f>
        <v>37.368499999999997</v>
      </c>
      <c r="H553" s="10">
        <f>37.3338 * CHOOSE(CONTROL!$C$15, $E$9, 100%, $G$9) + CHOOSE(CONTROL!$C$38, 0.0347, 0)</f>
        <v>37.368499999999997</v>
      </c>
      <c r="I553" s="10">
        <f>37.3354 * CHOOSE(CONTROL!$C$15, $E$9, 100%, $G$9) + CHOOSE(CONTROL!$C$38, 0.0347, 0)</f>
        <v>37.370100000000001</v>
      </c>
      <c r="J553" s="44">
        <f>268.3498</f>
        <v>268.34980000000002</v>
      </c>
    </row>
    <row r="554" spans="1:10" ht="15.75" x14ac:dyDescent="0.25">
      <c r="A554" s="13">
        <v>57800</v>
      </c>
      <c r="B554" s="10">
        <f>39.8926 * CHOOSE(CONTROL!$C$15, $E$9, 100%, $G$9) + CHOOSE(CONTROL!$C$38, 0.0256, 0)</f>
        <v>39.918199999999999</v>
      </c>
      <c r="C554" s="10">
        <f>36.8243 * CHOOSE(CONTROL!$C$15, $E$9, 100%, $G$9) + CHOOSE(CONTROL!$C$38, 0.0347, 0)</f>
        <v>36.859000000000002</v>
      </c>
      <c r="D554" s="10">
        <f>36.8165 * CHOOSE(CONTROL!$C$15, $E$9, 100%, $G$9) + CHOOSE(CONTROL!$C$38, 0.0347, 0)</f>
        <v>36.851199999999999</v>
      </c>
      <c r="E554" s="46">
        <f>39.7364 * CHOOSE(CONTROL!$C$15, $E$9, 100%, $G$9) + CHOOSE(CONTROL!$C$38, 0.0347, 0)</f>
        <v>39.771100000000004</v>
      </c>
      <c r="F554" s="45">
        <f>39.7364 * CHOOSE(CONTROL!$C$15, $E$9, 100%, $G$9) + CHOOSE(CONTROL!$C$38, 0.0256, 0)</f>
        <v>39.762</v>
      </c>
      <c r="G554" s="10">
        <f>36.8228 * CHOOSE(CONTROL!$C$15, $E$9, 100%, $G$9) + CHOOSE(CONTROL!$C$38, 0.0347, 0)</f>
        <v>36.857500000000002</v>
      </c>
      <c r="H554" s="10">
        <f>36.8228 * CHOOSE(CONTROL!$C$15, $E$9, 100%, $G$9) + CHOOSE(CONTROL!$C$38, 0.0347, 0)</f>
        <v>36.857500000000002</v>
      </c>
      <c r="I554" s="10">
        <f>36.8243 * CHOOSE(CONTROL!$C$15, $E$9, 100%, $G$9) + CHOOSE(CONTROL!$C$38, 0.0347, 0)</f>
        <v>36.859000000000002</v>
      </c>
      <c r="J554" s="44">
        <f>282.4934</f>
        <v>282.49340000000001</v>
      </c>
    </row>
    <row r="555" spans="1:10" ht="15.75" x14ac:dyDescent="0.25">
      <c r="A555" s="13">
        <v>57830</v>
      </c>
      <c r="B555" s="10">
        <f>39.3975 * CHOOSE(CONTROL!$C$15, $E$9, 100%, $G$9) + CHOOSE(CONTROL!$C$38, 0.0256, 0)</f>
        <v>39.423099999999998</v>
      </c>
      <c r="C555" s="10">
        <f>36.3292 * CHOOSE(CONTROL!$C$15, $E$9, 100%, $G$9) + CHOOSE(CONTROL!$C$38, 0.0347, 0)</f>
        <v>36.363900000000001</v>
      </c>
      <c r="D555" s="10">
        <f>36.3213 * CHOOSE(CONTROL!$C$15, $E$9, 100%, $G$9) + CHOOSE(CONTROL!$C$38, 0.0347, 0)</f>
        <v>36.356000000000002</v>
      </c>
      <c r="E555" s="46">
        <f>39.2412 * CHOOSE(CONTROL!$C$15, $E$9, 100%, $G$9) + CHOOSE(CONTROL!$C$38, 0.0347, 0)</f>
        <v>39.2759</v>
      </c>
      <c r="F555" s="45">
        <f>39.2412 * CHOOSE(CONTROL!$C$15, $E$9, 100%, $G$9) + CHOOSE(CONTROL!$C$38, 0.0256, 0)</f>
        <v>39.266799999999996</v>
      </c>
      <c r="G555" s="10">
        <f>36.3276 * CHOOSE(CONTROL!$C$15, $E$9, 100%, $G$9) + CHOOSE(CONTROL!$C$38, 0.0347, 0)</f>
        <v>36.362299999999998</v>
      </c>
      <c r="H555" s="10">
        <f>36.3276 * CHOOSE(CONTROL!$C$15, $E$9, 100%, $G$9) + CHOOSE(CONTROL!$C$38, 0.0347, 0)</f>
        <v>36.362299999999998</v>
      </c>
      <c r="I555" s="10">
        <f>36.3292 * CHOOSE(CONTROL!$C$15, $E$9, 100%, $G$9) + CHOOSE(CONTROL!$C$38, 0.0347, 0)</f>
        <v>36.363900000000001</v>
      </c>
      <c r="J555" s="44">
        <f>300.8342</f>
        <v>300.83420000000001</v>
      </c>
    </row>
    <row r="556" spans="1:10" ht="15.75" x14ac:dyDescent="0.25">
      <c r="A556" s="13">
        <v>57861</v>
      </c>
      <c r="B556" s="10">
        <f>38.8813 * CHOOSE(CONTROL!$C$15, $E$9, 100%, $G$9) + CHOOSE(CONTROL!$C$38, 0.0278, 0)</f>
        <v>38.909100000000002</v>
      </c>
      <c r="C556" s="10">
        <f>35.813 * CHOOSE(CONTROL!$C$15, $E$9, 100%, $G$9) + CHOOSE(CONTROL!$C$38, 0.0369, 0)</f>
        <v>35.849900000000005</v>
      </c>
      <c r="D556" s="10">
        <f>35.8052 * CHOOSE(CONTROL!$C$15, $E$9, 100%, $G$9) + CHOOSE(CONTROL!$C$38, 0.0369, 0)</f>
        <v>35.842100000000002</v>
      </c>
      <c r="E556" s="46">
        <f>38.7251 * CHOOSE(CONTROL!$C$15, $E$9, 100%, $G$9) + CHOOSE(CONTROL!$C$38, 0.0369, 0)</f>
        <v>38.762</v>
      </c>
      <c r="F556" s="45">
        <f>38.7251 * CHOOSE(CONTROL!$C$15, $E$9, 100%, $G$9) + CHOOSE(CONTROL!$C$38, 0.0278, 0)</f>
        <v>38.752899999999997</v>
      </c>
      <c r="G556" s="10">
        <f>35.8115 * CHOOSE(CONTROL!$C$15, $E$9, 100%, $G$9) + CHOOSE(CONTROL!$C$38, 0.0369, 0)</f>
        <v>35.848400000000005</v>
      </c>
      <c r="H556" s="10">
        <f>35.8115 * CHOOSE(CONTROL!$C$15, $E$9, 100%, $G$9) + CHOOSE(CONTROL!$C$38, 0.0369, 0)</f>
        <v>35.848400000000005</v>
      </c>
      <c r="I556" s="10">
        <f>35.813 * CHOOSE(CONTROL!$C$15, $E$9, 100%, $G$9) + CHOOSE(CONTROL!$C$38, 0.0369, 0)</f>
        <v>35.849900000000005</v>
      </c>
      <c r="J556" s="44">
        <f>310.9296</f>
        <v>310.92959999999999</v>
      </c>
    </row>
    <row r="557" spans="1:10" ht="15.75" x14ac:dyDescent="0.25">
      <c r="A557" s="13">
        <v>57891</v>
      </c>
      <c r="B557" s="10">
        <f>38.5195 * CHOOSE(CONTROL!$C$15, $E$9, 100%, $G$9) + CHOOSE(CONTROL!$C$38, 0.0278, 0)</f>
        <v>38.5473</v>
      </c>
      <c r="C557" s="10">
        <f>35.4512 * CHOOSE(CONTROL!$C$15, $E$9, 100%, $G$9) + CHOOSE(CONTROL!$C$38, 0.0369, 0)</f>
        <v>35.488100000000003</v>
      </c>
      <c r="D557" s="10">
        <f>35.4434 * CHOOSE(CONTROL!$C$15, $E$9, 100%, $G$9) + CHOOSE(CONTROL!$C$38, 0.0369, 0)</f>
        <v>35.4803</v>
      </c>
      <c r="E557" s="46">
        <f>38.3633 * CHOOSE(CONTROL!$C$15, $E$9, 100%, $G$9) + CHOOSE(CONTROL!$C$38, 0.0369, 0)</f>
        <v>38.400200000000005</v>
      </c>
      <c r="F557" s="45">
        <f>38.3633 * CHOOSE(CONTROL!$C$15, $E$9, 100%, $G$9) + CHOOSE(CONTROL!$C$38, 0.0278, 0)</f>
        <v>38.391100000000002</v>
      </c>
      <c r="G557" s="10">
        <f>35.4496 * CHOOSE(CONTROL!$C$15, $E$9, 100%, $G$9) + CHOOSE(CONTROL!$C$38, 0.0369, 0)</f>
        <v>35.486499999999999</v>
      </c>
      <c r="H557" s="10">
        <f>35.4496 * CHOOSE(CONTROL!$C$15, $E$9, 100%, $G$9) + CHOOSE(CONTROL!$C$38, 0.0369, 0)</f>
        <v>35.486499999999999</v>
      </c>
      <c r="I557" s="10">
        <f>35.4512 * CHOOSE(CONTROL!$C$15, $E$9, 100%, $G$9) + CHOOSE(CONTROL!$C$38, 0.0369, 0)</f>
        <v>35.488100000000003</v>
      </c>
      <c r="J557" s="44">
        <f>315.4098</f>
        <v>315.40980000000002</v>
      </c>
    </row>
    <row r="558" spans="1:10" ht="15.75" x14ac:dyDescent="0.25">
      <c r="A558" s="13">
        <v>57922</v>
      </c>
      <c r="B558" s="10">
        <f>38.313 * CHOOSE(CONTROL!$C$15, $E$9, 100%, $G$9) + CHOOSE(CONTROL!$C$38, 0.0278, 0)</f>
        <v>38.340800000000002</v>
      </c>
      <c r="C558" s="10">
        <f>35.2447 * CHOOSE(CONTROL!$C$15, $E$9, 100%, $G$9) + CHOOSE(CONTROL!$C$38, 0.0369, 0)</f>
        <v>35.281600000000005</v>
      </c>
      <c r="D558" s="10">
        <f>35.2369 * CHOOSE(CONTROL!$C$15, $E$9, 100%, $G$9) + CHOOSE(CONTROL!$C$38, 0.0369, 0)</f>
        <v>35.273800000000001</v>
      </c>
      <c r="E558" s="46">
        <f>38.1568 * CHOOSE(CONTROL!$C$15, $E$9, 100%, $G$9) + CHOOSE(CONTROL!$C$38, 0.0369, 0)</f>
        <v>38.1937</v>
      </c>
      <c r="F558" s="45">
        <f>38.1568 * CHOOSE(CONTROL!$C$15, $E$9, 100%, $G$9) + CHOOSE(CONTROL!$C$38, 0.0278, 0)</f>
        <v>38.184599999999996</v>
      </c>
      <c r="G558" s="10">
        <f>35.2432 * CHOOSE(CONTROL!$C$15, $E$9, 100%, $G$9) + CHOOSE(CONTROL!$C$38, 0.0369, 0)</f>
        <v>35.280100000000004</v>
      </c>
      <c r="H558" s="10">
        <f>35.2432 * CHOOSE(CONTROL!$C$15, $E$9, 100%, $G$9) + CHOOSE(CONTROL!$C$38, 0.0369, 0)</f>
        <v>35.280100000000004</v>
      </c>
      <c r="I558" s="10">
        <f>35.2447 * CHOOSE(CONTROL!$C$15, $E$9, 100%, $G$9) + CHOOSE(CONTROL!$C$38, 0.0369, 0)</f>
        <v>35.281600000000005</v>
      </c>
      <c r="J558" s="44">
        <f>313.9347</f>
        <v>313.93470000000002</v>
      </c>
    </row>
    <row r="559" spans="1:10" ht="15.75" x14ac:dyDescent="0.25">
      <c r="A559" s="13">
        <v>57953</v>
      </c>
      <c r="B559" s="10">
        <f>38.4149 * CHOOSE(CONTROL!$C$15, $E$9, 100%, $G$9) + CHOOSE(CONTROL!$C$38, 0.0278, 0)</f>
        <v>38.442700000000002</v>
      </c>
      <c r="C559" s="10">
        <f>35.3466 * CHOOSE(CONTROL!$C$15, $E$9, 100%, $G$9) + CHOOSE(CONTROL!$C$38, 0.0369, 0)</f>
        <v>35.383500000000005</v>
      </c>
      <c r="D559" s="10">
        <f>35.3388 * CHOOSE(CONTROL!$C$15, $E$9, 100%, $G$9) + CHOOSE(CONTROL!$C$38, 0.0369, 0)</f>
        <v>35.375700000000002</v>
      </c>
      <c r="E559" s="46">
        <f>38.2587 * CHOOSE(CONTROL!$C$15, $E$9, 100%, $G$9) + CHOOSE(CONTROL!$C$38, 0.0369, 0)</f>
        <v>38.2956</v>
      </c>
      <c r="F559" s="45">
        <f>38.2587 * CHOOSE(CONTROL!$C$15, $E$9, 100%, $G$9) + CHOOSE(CONTROL!$C$38, 0.0278, 0)</f>
        <v>38.286499999999997</v>
      </c>
      <c r="G559" s="10">
        <f>35.3451 * CHOOSE(CONTROL!$C$15, $E$9, 100%, $G$9) + CHOOSE(CONTROL!$C$38, 0.0369, 0)</f>
        <v>35.382000000000005</v>
      </c>
      <c r="H559" s="10">
        <f>35.3451 * CHOOSE(CONTROL!$C$15, $E$9, 100%, $G$9) + CHOOSE(CONTROL!$C$38, 0.0369, 0)</f>
        <v>35.382000000000005</v>
      </c>
      <c r="I559" s="10">
        <f>35.3466 * CHOOSE(CONTROL!$C$15, $E$9, 100%, $G$9) + CHOOSE(CONTROL!$C$38, 0.0369, 0)</f>
        <v>35.383500000000005</v>
      </c>
      <c r="J559" s="44">
        <f>306.6265</f>
        <v>306.62650000000002</v>
      </c>
    </row>
    <row r="560" spans="1:10" ht="15.75" x14ac:dyDescent="0.25">
      <c r="A560" s="13">
        <v>57983</v>
      </c>
      <c r="B560" s="10">
        <f>38.6917 * CHOOSE(CONTROL!$C$15, $E$9, 100%, $G$9) + CHOOSE(CONTROL!$C$38, 0.0278, 0)</f>
        <v>38.719499999999996</v>
      </c>
      <c r="C560" s="10">
        <f>35.6234 * CHOOSE(CONTROL!$C$15, $E$9, 100%, $G$9) + CHOOSE(CONTROL!$C$38, 0.0369, 0)</f>
        <v>35.660299999999999</v>
      </c>
      <c r="D560" s="10">
        <f>35.6156 * CHOOSE(CONTROL!$C$15, $E$9, 100%, $G$9) + CHOOSE(CONTROL!$C$38, 0.0369, 0)</f>
        <v>35.652500000000003</v>
      </c>
      <c r="E560" s="46">
        <f>38.5355 * CHOOSE(CONTROL!$C$15, $E$9, 100%, $G$9) + CHOOSE(CONTROL!$C$38, 0.0369, 0)</f>
        <v>38.572400000000002</v>
      </c>
      <c r="F560" s="45">
        <f>38.5355 * CHOOSE(CONTROL!$C$15, $E$9, 100%, $G$9) + CHOOSE(CONTROL!$C$38, 0.0278, 0)</f>
        <v>38.563299999999998</v>
      </c>
      <c r="G560" s="10">
        <f>35.6219 * CHOOSE(CONTROL!$C$15, $E$9, 100%, $G$9) + CHOOSE(CONTROL!$C$38, 0.0369, 0)</f>
        <v>35.658799999999999</v>
      </c>
      <c r="H560" s="10">
        <f>35.6219 * CHOOSE(CONTROL!$C$15, $E$9, 100%, $G$9) + CHOOSE(CONTROL!$C$38, 0.0369, 0)</f>
        <v>35.658799999999999</v>
      </c>
      <c r="I560" s="10">
        <f>35.6234 * CHOOSE(CONTROL!$C$15, $E$9, 100%, $G$9) + CHOOSE(CONTROL!$C$38, 0.0369, 0)</f>
        <v>35.660299999999999</v>
      </c>
      <c r="J560" s="44">
        <f>296.4347</f>
        <v>296.43470000000002</v>
      </c>
    </row>
    <row r="561" spans="1:10" ht="15.75" x14ac:dyDescent="0.25">
      <c r="A561" s="13">
        <v>58014</v>
      </c>
      <c r="B561" s="10">
        <f>38.9235 * CHOOSE(CONTROL!$C$15, $E$9, 100%, $G$9) + CHOOSE(CONTROL!$C$38, 0.0256, 0)</f>
        <v>38.949099999999994</v>
      </c>
      <c r="C561" s="10">
        <f>35.8553 * CHOOSE(CONTROL!$C$15, $E$9, 100%, $G$9) + CHOOSE(CONTROL!$C$38, 0.0347, 0)</f>
        <v>35.89</v>
      </c>
      <c r="D561" s="10">
        <f>35.8474 * CHOOSE(CONTROL!$C$15, $E$9, 100%, $G$9) + CHOOSE(CONTROL!$C$38, 0.0347, 0)</f>
        <v>35.882100000000001</v>
      </c>
      <c r="E561" s="46">
        <f>38.7673 * CHOOSE(CONTROL!$C$15, $E$9, 100%, $G$9) + CHOOSE(CONTROL!$C$38, 0.0347, 0)</f>
        <v>38.802</v>
      </c>
      <c r="F561" s="45">
        <f>38.7673 * CHOOSE(CONTROL!$C$15, $E$9, 100%, $G$9) + CHOOSE(CONTROL!$C$38, 0.0256, 0)</f>
        <v>38.792899999999996</v>
      </c>
      <c r="G561" s="10">
        <f>35.8537 * CHOOSE(CONTROL!$C$15, $E$9, 100%, $G$9) + CHOOSE(CONTROL!$C$38, 0.0347, 0)</f>
        <v>35.888400000000004</v>
      </c>
      <c r="H561" s="10">
        <f>35.8537 * CHOOSE(CONTROL!$C$15, $E$9, 100%, $G$9) + CHOOSE(CONTROL!$C$38, 0.0347, 0)</f>
        <v>35.888400000000004</v>
      </c>
      <c r="I561" s="10">
        <f>35.8553 * CHOOSE(CONTROL!$C$15, $E$9, 100%, $G$9) + CHOOSE(CONTROL!$C$38, 0.0347, 0)</f>
        <v>35.89</v>
      </c>
      <c r="J561" s="44">
        <f>286.1837</f>
        <v>286.18369999999999</v>
      </c>
    </row>
    <row r="562" spans="1:10" ht="15.75" x14ac:dyDescent="0.25">
      <c r="A562" s="13">
        <v>58044</v>
      </c>
      <c r="B562" s="10">
        <f>39.117 * CHOOSE(CONTROL!$C$15, $E$9, 100%, $G$9) + CHOOSE(CONTROL!$C$38, 0.0256, 0)</f>
        <v>39.142599999999995</v>
      </c>
      <c r="C562" s="10">
        <f>36.0487 * CHOOSE(CONTROL!$C$15, $E$9, 100%, $G$9) + CHOOSE(CONTROL!$C$38, 0.0347, 0)</f>
        <v>36.083399999999997</v>
      </c>
      <c r="D562" s="10">
        <f>36.0409 * CHOOSE(CONTROL!$C$15, $E$9, 100%, $G$9) + CHOOSE(CONTROL!$C$38, 0.0347, 0)</f>
        <v>36.075600000000001</v>
      </c>
      <c r="E562" s="46">
        <f>38.9607 * CHOOSE(CONTROL!$C$15, $E$9, 100%, $G$9) + CHOOSE(CONTROL!$C$38, 0.0347, 0)</f>
        <v>38.995400000000004</v>
      </c>
      <c r="F562" s="45">
        <f>38.9607 * CHOOSE(CONTROL!$C$15, $E$9, 100%, $G$9) + CHOOSE(CONTROL!$C$38, 0.0256, 0)</f>
        <v>38.9863</v>
      </c>
      <c r="G562" s="10">
        <f>36.0471 * CHOOSE(CONTROL!$C$15, $E$9, 100%, $G$9) + CHOOSE(CONTROL!$C$38, 0.0347, 0)</f>
        <v>36.081800000000001</v>
      </c>
      <c r="H562" s="10">
        <f>36.0471 * CHOOSE(CONTROL!$C$15, $E$9, 100%, $G$9) + CHOOSE(CONTROL!$C$38, 0.0347, 0)</f>
        <v>36.081800000000001</v>
      </c>
      <c r="I562" s="10">
        <f>36.0487 * CHOOSE(CONTROL!$C$15, $E$9, 100%, $G$9) + CHOOSE(CONTROL!$C$38, 0.0347, 0)</f>
        <v>36.083399999999997</v>
      </c>
      <c r="J562" s="44">
        <f>284.1446</f>
        <v>284.14460000000003</v>
      </c>
    </row>
    <row r="563" spans="1:10" ht="15.75" x14ac:dyDescent="0.25">
      <c r="A563" s="13">
        <v>58075</v>
      </c>
      <c r="B563" s="10">
        <f>39.7131 * CHOOSE(CONTROL!$C$15, $E$9, 100%, $G$9) + CHOOSE(CONTROL!$C$38, 0.0256, 0)</f>
        <v>39.738699999999994</v>
      </c>
      <c r="C563" s="10">
        <f>36.6448 * CHOOSE(CONTROL!$C$15, $E$9, 100%, $G$9) + CHOOSE(CONTROL!$C$38, 0.0347, 0)</f>
        <v>36.679499999999997</v>
      </c>
      <c r="D563" s="10">
        <f>36.6369 * CHOOSE(CONTROL!$C$15, $E$9, 100%, $G$9) + CHOOSE(CONTROL!$C$38, 0.0347, 0)</f>
        <v>36.671599999999998</v>
      </c>
      <c r="E563" s="46">
        <f>39.5568 * CHOOSE(CONTROL!$C$15, $E$9, 100%, $G$9) + CHOOSE(CONTROL!$C$38, 0.0347, 0)</f>
        <v>39.591500000000003</v>
      </c>
      <c r="F563" s="45">
        <f>39.5568 * CHOOSE(CONTROL!$C$15, $E$9, 100%, $G$9) + CHOOSE(CONTROL!$C$38, 0.0256, 0)</f>
        <v>39.5824</v>
      </c>
      <c r="G563" s="10">
        <f>36.6432 * CHOOSE(CONTROL!$C$15, $E$9, 100%, $G$9) + CHOOSE(CONTROL!$C$38, 0.0347, 0)</f>
        <v>36.677900000000001</v>
      </c>
      <c r="H563" s="10">
        <f>36.6432 * CHOOSE(CONTROL!$C$15, $E$9, 100%, $G$9) + CHOOSE(CONTROL!$C$38, 0.0347, 0)</f>
        <v>36.677900000000001</v>
      </c>
      <c r="I563" s="10">
        <f>36.6448 * CHOOSE(CONTROL!$C$15, $E$9, 100%, $G$9) + CHOOSE(CONTROL!$C$38, 0.0347, 0)</f>
        <v>36.679499999999997</v>
      </c>
      <c r="J563" s="44">
        <f>275.7126</f>
        <v>275.71260000000001</v>
      </c>
    </row>
    <row r="564" spans="1:10" ht="15.75" x14ac:dyDescent="0.25">
      <c r="A564" s="13">
        <v>58106</v>
      </c>
      <c r="B564" s="10">
        <f>40.8155 * CHOOSE(CONTROL!$C$15, $E$9, 100%, $G$9) + CHOOSE(CONTROL!$C$38, 0.0256, 0)</f>
        <v>40.841099999999997</v>
      </c>
      <c r="C564" s="10">
        <f>37.6995 * CHOOSE(CONTROL!$C$15, $E$9, 100%, $G$9) + CHOOSE(CONTROL!$C$38, 0.0347, 0)</f>
        <v>37.734200000000001</v>
      </c>
      <c r="D564" s="10">
        <f>37.6917 * CHOOSE(CONTROL!$C$15, $E$9, 100%, $G$9) + CHOOSE(CONTROL!$C$38, 0.0347, 0)</f>
        <v>37.726399999999998</v>
      </c>
      <c r="E564" s="46">
        <f>40.6593 * CHOOSE(CONTROL!$C$15, $E$9, 100%, $G$9) + CHOOSE(CONTROL!$C$38, 0.0347, 0)</f>
        <v>40.694000000000003</v>
      </c>
      <c r="F564" s="45">
        <f>40.6593 * CHOOSE(CONTROL!$C$15, $E$9, 100%, $G$9) + CHOOSE(CONTROL!$C$38, 0.0256, 0)</f>
        <v>40.684899999999999</v>
      </c>
      <c r="G564" s="10">
        <f>37.6979 * CHOOSE(CONTROL!$C$15, $E$9, 100%, $G$9) + CHOOSE(CONTROL!$C$38, 0.0347, 0)</f>
        <v>37.732599999999998</v>
      </c>
      <c r="H564" s="10">
        <f>37.6979 * CHOOSE(CONTROL!$C$15, $E$9, 100%, $G$9) + CHOOSE(CONTROL!$C$38, 0.0347, 0)</f>
        <v>37.732599999999998</v>
      </c>
      <c r="I564" s="10">
        <f>37.6995 * CHOOSE(CONTROL!$C$15, $E$9, 100%, $G$9) + CHOOSE(CONTROL!$C$38, 0.0347, 0)</f>
        <v>37.734200000000001</v>
      </c>
      <c r="J564" s="44">
        <f>275.186</f>
        <v>275.18599999999998</v>
      </c>
    </row>
    <row r="565" spans="1:10" ht="15.75" x14ac:dyDescent="0.25">
      <c r="A565" s="13">
        <v>58134</v>
      </c>
      <c r="B565" s="10">
        <f>41.0363 * CHOOSE(CONTROL!$C$15, $E$9, 100%, $G$9) + CHOOSE(CONTROL!$C$38, 0.0256, 0)</f>
        <v>41.061899999999994</v>
      </c>
      <c r="C565" s="10">
        <f>37.9203 * CHOOSE(CONTROL!$C$15, $E$9, 100%, $G$9) + CHOOSE(CONTROL!$C$38, 0.0347, 0)</f>
        <v>37.954999999999998</v>
      </c>
      <c r="D565" s="10">
        <f>37.9125 * CHOOSE(CONTROL!$C$15, $E$9, 100%, $G$9) + CHOOSE(CONTROL!$C$38, 0.0347, 0)</f>
        <v>37.947200000000002</v>
      </c>
      <c r="E565" s="46">
        <f>40.8801 * CHOOSE(CONTROL!$C$15, $E$9, 100%, $G$9) + CHOOSE(CONTROL!$C$38, 0.0347, 0)</f>
        <v>40.9148</v>
      </c>
      <c r="F565" s="45">
        <f>40.8801 * CHOOSE(CONTROL!$C$15, $E$9, 100%, $G$9) + CHOOSE(CONTROL!$C$38, 0.0256, 0)</f>
        <v>40.905699999999996</v>
      </c>
      <c r="G565" s="10">
        <f>37.9187 * CHOOSE(CONTROL!$C$15, $E$9, 100%, $G$9) + CHOOSE(CONTROL!$C$38, 0.0347, 0)</f>
        <v>37.953400000000002</v>
      </c>
      <c r="H565" s="10">
        <f>37.9187 * CHOOSE(CONTROL!$C$15, $E$9, 100%, $G$9) + CHOOSE(CONTROL!$C$38, 0.0347, 0)</f>
        <v>37.953400000000002</v>
      </c>
      <c r="I565" s="10">
        <f>37.9203 * CHOOSE(CONTROL!$C$15, $E$9, 100%, $G$9) + CHOOSE(CONTROL!$C$38, 0.0347, 0)</f>
        <v>37.954999999999998</v>
      </c>
      <c r="J565" s="44">
        <f>274.4211</f>
        <v>274.42110000000002</v>
      </c>
    </row>
    <row r="566" spans="1:10" ht="15.75" x14ac:dyDescent="0.25">
      <c r="A566" s="13">
        <v>58165</v>
      </c>
      <c r="B566" s="10">
        <f>40.5253 * CHOOSE(CONTROL!$C$15, $E$9, 100%, $G$9) + CHOOSE(CONTROL!$C$38, 0.0256, 0)</f>
        <v>40.550899999999999</v>
      </c>
      <c r="C566" s="10">
        <f>37.4092 * CHOOSE(CONTROL!$C$15, $E$9, 100%, $G$9) + CHOOSE(CONTROL!$C$38, 0.0347, 0)</f>
        <v>37.443899999999999</v>
      </c>
      <c r="D566" s="10">
        <f>37.4014 * CHOOSE(CONTROL!$C$15, $E$9, 100%, $G$9) + CHOOSE(CONTROL!$C$38, 0.0347, 0)</f>
        <v>37.436100000000003</v>
      </c>
      <c r="E566" s="46">
        <f>40.369 * CHOOSE(CONTROL!$C$15, $E$9, 100%, $G$9) + CHOOSE(CONTROL!$C$38, 0.0347, 0)</f>
        <v>40.403700000000001</v>
      </c>
      <c r="F566" s="45">
        <f>40.369 * CHOOSE(CONTROL!$C$15, $E$9, 100%, $G$9) + CHOOSE(CONTROL!$C$38, 0.0256, 0)</f>
        <v>40.394599999999997</v>
      </c>
      <c r="G566" s="10">
        <f>37.4077 * CHOOSE(CONTROL!$C$15, $E$9, 100%, $G$9) + CHOOSE(CONTROL!$C$38, 0.0347, 0)</f>
        <v>37.442399999999999</v>
      </c>
      <c r="H566" s="10">
        <f>37.4077 * CHOOSE(CONTROL!$C$15, $E$9, 100%, $G$9) + CHOOSE(CONTROL!$C$38, 0.0347, 0)</f>
        <v>37.442399999999999</v>
      </c>
      <c r="I566" s="10">
        <f>37.4092 * CHOOSE(CONTROL!$C$15, $E$9, 100%, $G$9) + CHOOSE(CONTROL!$C$38, 0.0347, 0)</f>
        <v>37.443899999999999</v>
      </c>
      <c r="J566" s="44">
        <f>288.8847</f>
        <v>288.88470000000001</v>
      </c>
    </row>
    <row r="567" spans="1:10" ht="15.75" x14ac:dyDescent="0.25">
      <c r="A567" s="13">
        <v>58195</v>
      </c>
      <c r="B567" s="10">
        <f>40.0301 * CHOOSE(CONTROL!$C$15, $E$9, 100%, $G$9) + CHOOSE(CONTROL!$C$38, 0.0256, 0)</f>
        <v>40.055699999999995</v>
      </c>
      <c r="C567" s="10">
        <f>36.9141 * CHOOSE(CONTROL!$C$15, $E$9, 100%, $G$9) + CHOOSE(CONTROL!$C$38, 0.0347, 0)</f>
        <v>36.948799999999999</v>
      </c>
      <c r="D567" s="10">
        <f>36.9062 * CHOOSE(CONTROL!$C$15, $E$9, 100%, $G$9) + CHOOSE(CONTROL!$C$38, 0.0347, 0)</f>
        <v>36.940899999999999</v>
      </c>
      <c r="E567" s="46">
        <f>39.8738 * CHOOSE(CONTROL!$C$15, $E$9, 100%, $G$9) + CHOOSE(CONTROL!$C$38, 0.0347, 0)</f>
        <v>39.908500000000004</v>
      </c>
      <c r="F567" s="45">
        <f>39.8738 * CHOOSE(CONTROL!$C$15, $E$9, 100%, $G$9) + CHOOSE(CONTROL!$C$38, 0.0256, 0)</f>
        <v>39.8994</v>
      </c>
      <c r="G567" s="10">
        <f>36.9125 * CHOOSE(CONTROL!$C$15, $E$9, 100%, $G$9) + CHOOSE(CONTROL!$C$38, 0.0347, 0)</f>
        <v>36.947200000000002</v>
      </c>
      <c r="H567" s="10">
        <f>36.9125 * CHOOSE(CONTROL!$C$15, $E$9, 100%, $G$9) + CHOOSE(CONTROL!$C$38, 0.0347, 0)</f>
        <v>36.947200000000002</v>
      </c>
      <c r="I567" s="10">
        <f>36.9141 * CHOOSE(CONTROL!$C$15, $E$9, 100%, $G$9) + CHOOSE(CONTROL!$C$38, 0.0347, 0)</f>
        <v>36.948799999999999</v>
      </c>
      <c r="J567" s="44">
        <f>307.6405</f>
        <v>307.64049999999997</v>
      </c>
    </row>
    <row r="568" spans="1:10" ht="15.75" x14ac:dyDescent="0.25">
      <c r="A568" s="13">
        <v>58226</v>
      </c>
      <c r="B568" s="10">
        <f>39.514 * CHOOSE(CONTROL!$C$15, $E$9, 100%, $G$9) + CHOOSE(CONTROL!$C$38, 0.0278, 0)</f>
        <v>39.541800000000002</v>
      </c>
      <c r="C568" s="10">
        <f>36.3979 * CHOOSE(CONTROL!$C$15, $E$9, 100%, $G$9) + CHOOSE(CONTROL!$C$38, 0.0369, 0)</f>
        <v>36.434800000000003</v>
      </c>
      <c r="D568" s="10">
        <f>36.3901 * CHOOSE(CONTROL!$C$15, $E$9, 100%, $G$9) + CHOOSE(CONTROL!$C$38, 0.0369, 0)</f>
        <v>36.427</v>
      </c>
      <c r="E568" s="46">
        <f>39.3577 * CHOOSE(CONTROL!$C$15, $E$9, 100%, $G$9) + CHOOSE(CONTROL!$C$38, 0.0369, 0)</f>
        <v>39.394600000000004</v>
      </c>
      <c r="F568" s="45">
        <f>39.3577 * CHOOSE(CONTROL!$C$15, $E$9, 100%, $G$9) + CHOOSE(CONTROL!$C$38, 0.0278, 0)</f>
        <v>39.3855</v>
      </c>
      <c r="G568" s="10">
        <f>36.3964 * CHOOSE(CONTROL!$C$15, $E$9, 100%, $G$9) + CHOOSE(CONTROL!$C$38, 0.0369, 0)</f>
        <v>36.433300000000003</v>
      </c>
      <c r="H568" s="10">
        <f>36.3964 * CHOOSE(CONTROL!$C$15, $E$9, 100%, $G$9) + CHOOSE(CONTROL!$C$38, 0.0369, 0)</f>
        <v>36.433300000000003</v>
      </c>
      <c r="I568" s="10">
        <f>36.3979 * CHOOSE(CONTROL!$C$15, $E$9, 100%, $G$9) + CHOOSE(CONTROL!$C$38, 0.0369, 0)</f>
        <v>36.434800000000003</v>
      </c>
      <c r="J568" s="44">
        <f>317.9643</f>
        <v>317.96429999999998</v>
      </c>
    </row>
    <row r="569" spans="1:10" ht="15.75" x14ac:dyDescent="0.25">
      <c r="A569" s="13">
        <v>58256</v>
      </c>
      <c r="B569" s="10">
        <f>39.1521 * CHOOSE(CONTROL!$C$15, $E$9, 100%, $G$9) + CHOOSE(CONTROL!$C$38, 0.0278, 0)</f>
        <v>39.179899999999996</v>
      </c>
      <c r="C569" s="10">
        <f>36.0361 * CHOOSE(CONTROL!$C$15, $E$9, 100%, $G$9) + CHOOSE(CONTROL!$C$38, 0.0369, 0)</f>
        <v>36.073</v>
      </c>
      <c r="D569" s="10">
        <f>36.0283 * CHOOSE(CONTROL!$C$15, $E$9, 100%, $G$9) + CHOOSE(CONTROL!$C$38, 0.0369, 0)</f>
        <v>36.065200000000004</v>
      </c>
      <c r="E569" s="46">
        <f>38.9959 * CHOOSE(CONTROL!$C$15, $E$9, 100%, $G$9) + CHOOSE(CONTROL!$C$38, 0.0369, 0)</f>
        <v>39.032800000000002</v>
      </c>
      <c r="F569" s="45">
        <f>38.9959 * CHOOSE(CONTROL!$C$15, $E$9, 100%, $G$9) + CHOOSE(CONTROL!$C$38, 0.0278, 0)</f>
        <v>39.023699999999998</v>
      </c>
      <c r="G569" s="10">
        <f>36.0345 * CHOOSE(CONTROL!$C$15, $E$9, 100%, $G$9) + CHOOSE(CONTROL!$C$38, 0.0369, 0)</f>
        <v>36.071400000000004</v>
      </c>
      <c r="H569" s="10">
        <f>36.0345 * CHOOSE(CONTROL!$C$15, $E$9, 100%, $G$9) + CHOOSE(CONTROL!$C$38, 0.0369, 0)</f>
        <v>36.071400000000004</v>
      </c>
      <c r="I569" s="10">
        <f>36.0361 * CHOOSE(CONTROL!$C$15, $E$9, 100%, $G$9) + CHOOSE(CONTROL!$C$38, 0.0369, 0)</f>
        <v>36.073</v>
      </c>
      <c r="J569" s="44">
        <f>322.5458</f>
        <v>322.54579999999999</v>
      </c>
    </row>
    <row r="570" spans="1:10" ht="15.75" x14ac:dyDescent="0.25">
      <c r="A570" s="13">
        <v>58287</v>
      </c>
      <c r="B570" s="10">
        <f>38.9457 * CHOOSE(CONTROL!$C$15, $E$9, 100%, $G$9) + CHOOSE(CONTROL!$C$38, 0.0278, 0)</f>
        <v>38.973500000000001</v>
      </c>
      <c r="C570" s="10">
        <f>35.8296 * CHOOSE(CONTROL!$C$15, $E$9, 100%, $G$9) + CHOOSE(CONTROL!$C$38, 0.0369, 0)</f>
        <v>35.866500000000002</v>
      </c>
      <c r="D570" s="10">
        <f>35.8218 * CHOOSE(CONTROL!$C$15, $E$9, 100%, $G$9) + CHOOSE(CONTROL!$C$38, 0.0369, 0)</f>
        <v>35.858700000000006</v>
      </c>
      <c r="E570" s="46">
        <f>38.7894 * CHOOSE(CONTROL!$C$15, $E$9, 100%, $G$9) + CHOOSE(CONTROL!$C$38, 0.0369, 0)</f>
        <v>38.826300000000003</v>
      </c>
      <c r="F570" s="45">
        <f>38.7894 * CHOOSE(CONTROL!$C$15, $E$9, 100%, $G$9) + CHOOSE(CONTROL!$C$38, 0.0278, 0)</f>
        <v>38.8172</v>
      </c>
      <c r="G570" s="10">
        <f>35.8281 * CHOOSE(CONTROL!$C$15, $E$9, 100%, $G$9) + CHOOSE(CONTROL!$C$38, 0.0369, 0)</f>
        <v>35.865000000000002</v>
      </c>
      <c r="H570" s="10">
        <f>35.8281 * CHOOSE(CONTROL!$C$15, $E$9, 100%, $G$9) + CHOOSE(CONTROL!$C$38, 0.0369, 0)</f>
        <v>35.865000000000002</v>
      </c>
      <c r="I570" s="10">
        <f>35.8296 * CHOOSE(CONTROL!$C$15, $E$9, 100%, $G$9) + CHOOSE(CONTROL!$C$38, 0.0369, 0)</f>
        <v>35.866500000000002</v>
      </c>
      <c r="J570" s="44">
        <f>321.0373</f>
        <v>321.03730000000002</v>
      </c>
    </row>
    <row r="571" spans="1:10" ht="15.75" x14ac:dyDescent="0.25">
      <c r="A571" s="13">
        <v>58318</v>
      </c>
      <c r="B571" s="10">
        <f>39.0476 * CHOOSE(CONTROL!$C$15, $E$9, 100%, $G$9) + CHOOSE(CONTROL!$C$38, 0.0278, 0)</f>
        <v>39.075400000000002</v>
      </c>
      <c r="C571" s="10">
        <f>35.9315 * CHOOSE(CONTROL!$C$15, $E$9, 100%, $G$9) + CHOOSE(CONTROL!$C$38, 0.0369, 0)</f>
        <v>35.968400000000003</v>
      </c>
      <c r="D571" s="10">
        <f>35.9237 * CHOOSE(CONTROL!$C$15, $E$9, 100%, $G$9) + CHOOSE(CONTROL!$C$38, 0.0369, 0)</f>
        <v>35.960599999999999</v>
      </c>
      <c r="E571" s="46">
        <f>38.8913 * CHOOSE(CONTROL!$C$15, $E$9, 100%, $G$9) + CHOOSE(CONTROL!$C$38, 0.0369, 0)</f>
        <v>38.928200000000004</v>
      </c>
      <c r="F571" s="45">
        <f>38.8913 * CHOOSE(CONTROL!$C$15, $E$9, 100%, $G$9) + CHOOSE(CONTROL!$C$38, 0.0278, 0)</f>
        <v>38.9191</v>
      </c>
      <c r="G571" s="10">
        <f>35.93 * CHOOSE(CONTROL!$C$15, $E$9, 100%, $G$9) + CHOOSE(CONTROL!$C$38, 0.0369, 0)</f>
        <v>35.966900000000003</v>
      </c>
      <c r="H571" s="10">
        <f>35.93 * CHOOSE(CONTROL!$C$15, $E$9, 100%, $G$9) + CHOOSE(CONTROL!$C$38, 0.0369, 0)</f>
        <v>35.966900000000003</v>
      </c>
      <c r="I571" s="10">
        <f>35.9315 * CHOOSE(CONTROL!$C$15, $E$9, 100%, $G$9) + CHOOSE(CONTROL!$C$38, 0.0369, 0)</f>
        <v>35.968400000000003</v>
      </c>
      <c r="J571" s="44">
        <f>313.5637</f>
        <v>313.56369999999998</v>
      </c>
    </row>
    <row r="572" spans="1:10" ht="15.75" x14ac:dyDescent="0.25">
      <c r="A572" s="13">
        <v>58348</v>
      </c>
      <c r="B572" s="10">
        <f>39.3244 * CHOOSE(CONTROL!$C$15, $E$9, 100%, $G$9) + CHOOSE(CONTROL!$C$38, 0.0278, 0)</f>
        <v>39.352199999999996</v>
      </c>
      <c r="C572" s="10">
        <f>36.2083 * CHOOSE(CONTROL!$C$15, $E$9, 100%, $G$9) + CHOOSE(CONTROL!$C$38, 0.0369, 0)</f>
        <v>36.245200000000004</v>
      </c>
      <c r="D572" s="10">
        <f>36.2005 * CHOOSE(CONTROL!$C$15, $E$9, 100%, $G$9) + CHOOSE(CONTROL!$C$38, 0.0369, 0)</f>
        <v>36.237400000000001</v>
      </c>
      <c r="E572" s="46">
        <f>39.1681 * CHOOSE(CONTROL!$C$15, $E$9, 100%, $G$9) + CHOOSE(CONTROL!$C$38, 0.0369, 0)</f>
        <v>39.205000000000005</v>
      </c>
      <c r="F572" s="45">
        <f>39.1681 * CHOOSE(CONTROL!$C$15, $E$9, 100%, $G$9) + CHOOSE(CONTROL!$C$38, 0.0278, 0)</f>
        <v>39.195900000000002</v>
      </c>
      <c r="G572" s="10">
        <f>36.2068 * CHOOSE(CONTROL!$C$15, $E$9, 100%, $G$9) + CHOOSE(CONTROL!$C$38, 0.0369, 0)</f>
        <v>36.243700000000004</v>
      </c>
      <c r="H572" s="10">
        <f>36.2068 * CHOOSE(CONTROL!$C$15, $E$9, 100%, $G$9) + CHOOSE(CONTROL!$C$38, 0.0369, 0)</f>
        <v>36.243700000000004</v>
      </c>
      <c r="I572" s="10">
        <f>36.2083 * CHOOSE(CONTROL!$C$15, $E$9, 100%, $G$9) + CHOOSE(CONTROL!$C$38, 0.0369, 0)</f>
        <v>36.245200000000004</v>
      </c>
      <c r="J572" s="44">
        <f>303.1414</f>
        <v>303.14139999999998</v>
      </c>
    </row>
    <row r="573" spans="1:10" ht="15.75" x14ac:dyDescent="0.25">
      <c r="A573" s="13">
        <v>58379</v>
      </c>
      <c r="B573" s="10">
        <f>39.5562 * CHOOSE(CONTROL!$C$15, $E$9, 100%, $G$9) + CHOOSE(CONTROL!$C$38, 0.0256, 0)</f>
        <v>39.581799999999994</v>
      </c>
      <c r="C573" s="10">
        <f>36.4402 * CHOOSE(CONTROL!$C$15, $E$9, 100%, $G$9) + CHOOSE(CONTROL!$C$38, 0.0347, 0)</f>
        <v>36.474899999999998</v>
      </c>
      <c r="D573" s="10">
        <f>36.4323 * CHOOSE(CONTROL!$C$15, $E$9, 100%, $G$9) + CHOOSE(CONTROL!$C$38, 0.0347, 0)</f>
        <v>36.466999999999999</v>
      </c>
      <c r="E573" s="46">
        <f>39.3999 * CHOOSE(CONTROL!$C$15, $E$9, 100%, $G$9) + CHOOSE(CONTROL!$C$38, 0.0347, 0)</f>
        <v>39.434600000000003</v>
      </c>
      <c r="F573" s="45">
        <f>39.3999 * CHOOSE(CONTROL!$C$15, $E$9, 100%, $G$9) + CHOOSE(CONTROL!$C$38, 0.0256, 0)</f>
        <v>39.4255</v>
      </c>
      <c r="G573" s="10">
        <f>36.4386 * CHOOSE(CONTROL!$C$15, $E$9, 100%, $G$9) + CHOOSE(CONTROL!$C$38, 0.0347, 0)</f>
        <v>36.473300000000002</v>
      </c>
      <c r="H573" s="10">
        <f>36.4386 * CHOOSE(CONTROL!$C$15, $E$9, 100%, $G$9) + CHOOSE(CONTROL!$C$38, 0.0347, 0)</f>
        <v>36.473300000000002</v>
      </c>
      <c r="I573" s="10">
        <f>36.4402 * CHOOSE(CONTROL!$C$15, $E$9, 100%, $G$9) + CHOOSE(CONTROL!$C$38, 0.0347, 0)</f>
        <v>36.474899999999998</v>
      </c>
      <c r="J573" s="44">
        <f>292.6585</f>
        <v>292.6585</v>
      </c>
    </row>
    <row r="574" spans="1:10" ht="15.75" x14ac:dyDescent="0.25">
      <c r="A574" s="13">
        <v>58409</v>
      </c>
      <c r="B574" s="10">
        <f>39.7496 * CHOOSE(CONTROL!$C$15, $E$9, 100%, $G$9) + CHOOSE(CONTROL!$C$38, 0.0256, 0)</f>
        <v>39.775199999999998</v>
      </c>
      <c r="C574" s="10">
        <f>36.6336 * CHOOSE(CONTROL!$C$15, $E$9, 100%, $G$9) + CHOOSE(CONTROL!$C$38, 0.0347, 0)</f>
        <v>36.668300000000002</v>
      </c>
      <c r="D574" s="10">
        <f>36.6258 * CHOOSE(CONTROL!$C$15, $E$9, 100%, $G$9) + CHOOSE(CONTROL!$C$38, 0.0347, 0)</f>
        <v>36.660499999999999</v>
      </c>
      <c r="E574" s="46">
        <f>39.5934 * CHOOSE(CONTROL!$C$15, $E$9, 100%, $G$9) + CHOOSE(CONTROL!$C$38, 0.0347, 0)</f>
        <v>39.628100000000003</v>
      </c>
      <c r="F574" s="45">
        <f>39.5934 * CHOOSE(CONTROL!$C$15, $E$9, 100%, $G$9) + CHOOSE(CONTROL!$C$38, 0.0256, 0)</f>
        <v>39.619</v>
      </c>
      <c r="G574" s="10">
        <f>36.632 * CHOOSE(CONTROL!$C$15, $E$9, 100%, $G$9) + CHOOSE(CONTROL!$C$38, 0.0347, 0)</f>
        <v>36.666699999999999</v>
      </c>
      <c r="H574" s="10">
        <f>36.632 * CHOOSE(CONTROL!$C$15, $E$9, 100%, $G$9) + CHOOSE(CONTROL!$C$38, 0.0347, 0)</f>
        <v>36.666699999999999</v>
      </c>
      <c r="I574" s="10">
        <f>36.6336 * CHOOSE(CONTROL!$C$15, $E$9, 100%, $G$9) + CHOOSE(CONTROL!$C$38, 0.0347, 0)</f>
        <v>36.668300000000002</v>
      </c>
      <c r="J574" s="44">
        <f>290.5732</f>
        <v>290.57319999999999</v>
      </c>
    </row>
    <row r="575" spans="1:10" ht="15.75" x14ac:dyDescent="0.25">
      <c r="A575" s="13">
        <v>58440</v>
      </c>
      <c r="B575" s="10">
        <f>40.3457 * CHOOSE(CONTROL!$C$15, $E$9, 100%, $G$9) + CHOOSE(CONTROL!$C$38, 0.0256, 0)</f>
        <v>40.371299999999998</v>
      </c>
      <c r="C575" s="10">
        <f>37.2297 * CHOOSE(CONTROL!$C$15, $E$9, 100%, $G$9) + CHOOSE(CONTROL!$C$38, 0.0347, 0)</f>
        <v>37.264400000000002</v>
      </c>
      <c r="D575" s="10">
        <f>37.2218 * CHOOSE(CONTROL!$C$15, $E$9, 100%, $G$9) + CHOOSE(CONTROL!$C$38, 0.0347, 0)</f>
        <v>37.256500000000003</v>
      </c>
      <c r="E575" s="46">
        <f>40.1894 * CHOOSE(CONTROL!$C$15, $E$9, 100%, $G$9) + CHOOSE(CONTROL!$C$38, 0.0347, 0)</f>
        <v>40.2241</v>
      </c>
      <c r="F575" s="45">
        <f>40.1894 * CHOOSE(CONTROL!$C$15, $E$9, 100%, $G$9) + CHOOSE(CONTROL!$C$38, 0.0256, 0)</f>
        <v>40.214999999999996</v>
      </c>
      <c r="G575" s="10">
        <f>37.2281 * CHOOSE(CONTROL!$C$15, $E$9, 100%, $G$9) + CHOOSE(CONTROL!$C$38, 0.0347, 0)</f>
        <v>37.262799999999999</v>
      </c>
      <c r="H575" s="10">
        <f>37.2281 * CHOOSE(CONTROL!$C$15, $E$9, 100%, $G$9) + CHOOSE(CONTROL!$C$38, 0.0347, 0)</f>
        <v>37.262799999999999</v>
      </c>
      <c r="I575" s="10">
        <f>37.2297 * CHOOSE(CONTROL!$C$15, $E$9, 100%, $G$9) + CHOOSE(CONTROL!$C$38, 0.0347, 0)</f>
        <v>37.264400000000002</v>
      </c>
      <c r="J575" s="44">
        <f>281.9504</f>
        <v>281.9504</v>
      </c>
    </row>
    <row r="576" spans="1:10" ht="15.75" x14ac:dyDescent="0.25">
      <c r="A576" s="13">
        <v>58471</v>
      </c>
      <c r="B576" s="10">
        <f>41.4586 * CHOOSE(CONTROL!$C$15, $E$9, 100%, $G$9) + CHOOSE(CONTROL!$C$38, 0.0256, 0)</f>
        <v>41.484199999999994</v>
      </c>
      <c r="C576" s="10">
        <f>38.294 * CHOOSE(CONTROL!$C$15, $E$9, 100%, $G$9) + CHOOSE(CONTROL!$C$38, 0.0347, 0)</f>
        <v>38.328699999999998</v>
      </c>
      <c r="D576" s="10">
        <f>38.2862 * CHOOSE(CONTROL!$C$15, $E$9, 100%, $G$9) + CHOOSE(CONTROL!$C$38, 0.0347, 0)</f>
        <v>38.320900000000002</v>
      </c>
      <c r="E576" s="46">
        <f>41.3023 * CHOOSE(CONTROL!$C$15, $E$9, 100%, $G$9) + CHOOSE(CONTROL!$C$38, 0.0347, 0)</f>
        <v>41.337000000000003</v>
      </c>
      <c r="F576" s="45">
        <f>41.3023 * CHOOSE(CONTROL!$C$15, $E$9, 100%, $G$9) + CHOOSE(CONTROL!$C$38, 0.0256, 0)</f>
        <v>41.3279</v>
      </c>
      <c r="G576" s="10">
        <f>38.2924 * CHOOSE(CONTROL!$C$15, $E$9, 100%, $G$9) + CHOOSE(CONTROL!$C$38, 0.0347, 0)</f>
        <v>38.327100000000002</v>
      </c>
      <c r="H576" s="10">
        <f>38.2924 * CHOOSE(CONTROL!$C$15, $E$9, 100%, $G$9) + CHOOSE(CONTROL!$C$38, 0.0347, 0)</f>
        <v>38.327100000000002</v>
      </c>
      <c r="I576" s="10">
        <f>38.294 * CHOOSE(CONTROL!$C$15, $E$9, 100%, $G$9) + CHOOSE(CONTROL!$C$38, 0.0347, 0)</f>
        <v>38.328699999999998</v>
      </c>
      <c r="J576" s="44">
        <f>281.4119</f>
        <v>281.4119</v>
      </c>
    </row>
    <row r="577" spans="1:10" ht="15.75" x14ac:dyDescent="0.25">
      <c r="A577" s="13">
        <v>58499</v>
      </c>
      <c r="B577" s="10">
        <f>41.6793 * CHOOSE(CONTROL!$C$15, $E$9, 100%, $G$9) + CHOOSE(CONTROL!$C$38, 0.0256, 0)</f>
        <v>41.704899999999995</v>
      </c>
      <c r="C577" s="10">
        <f>38.5148 * CHOOSE(CONTROL!$C$15, $E$9, 100%, $G$9) + CHOOSE(CONTROL!$C$38, 0.0347, 0)</f>
        <v>38.549500000000002</v>
      </c>
      <c r="D577" s="10">
        <f>38.5069 * CHOOSE(CONTROL!$C$15, $E$9, 100%, $G$9) + CHOOSE(CONTROL!$C$38, 0.0347, 0)</f>
        <v>38.541600000000003</v>
      </c>
      <c r="E577" s="46">
        <f>41.5231 * CHOOSE(CONTROL!$C$15, $E$9, 100%, $G$9) + CHOOSE(CONTROL!$C$38, 0.0347, 0)</f>
        <v>41.5578</v>
      </c>
      <c r="F577" s="45">
        <f>41.5231 * CHOOSE(CONTROL!$C$15, $E$9, 100%, $G$9) + CHOOSE(CONTROL!$C$38, 0.0256, 0)</f>
        <v>41.548699999999997</v>
      </c>
      <c r="G577" s="10">
        <f>38.5132 * CHOOSE(CONTROL!$C$15, $E$9, 100%, $G$9) + CHOOSE(CONTROL!$C$38, 0.0347, 0)</f>
        <v>38.547899999999998</v>
      </c>
      <c r="H577" s="10">
        <f>38.5132 * CHOOSE(CONTROL!$C$15, $E$9, 100%, $G$9) + CHOOSE(CONTROL!$C$38, 0.0347, 0)</f>
        <v>38.547899999999998</v>
      </c>
      <c r="I577" s="10">
        <f>38.5148 * CHOOSE(CONTROL!$C$15, $E$9, 100%, $G$9) + CHOOSE(CONTROL!$C$38, 0.0347, 0)</f>
        <v>38.549500000000002</v>
      </c>
      <c r="J577" s="44">
        <f>280.6297</f>
        <v>280.62970000000001</v>
      </c>
    </row>
    <row r="578" spans="1:10" ht="15.75" x14ac:dyDescent="0.25">
      <c r="A578" s="13">
        <v>58531</v>
      </c>
      <c r="B578" s="10">
        <f>41.1683 * CHOOSE(CONTROL!$C$15, $E$9, 100%, $G$9) + CHOOSE(CONTROL!$C$38, 0.0256, 0)</f>
        <v>41.193899999999999</v>
      </c>
      <c r="C578" s="10">
        <f>38.0037 * CHOOSE(CONTROL!$C$15, $E$9, 100%, $G$9) + CHOOSE(CONTROL!$C$38, 0.0347, 0)</f>
        <v>38.038400000000003</v>
      </c>
      <c r="D578" s="10">
        <f>37.9959 * CHOOSE(CONTROL!$C$15, $E$9, 100%, $G$9) + CHOOSE(CONTROL!$C$38, 0.0347, 0)</f>
        <v>38.0306</v>
      </c>
      <c r="E578" s="46">
        <f>41.012 * CHOOSE(CONTROL!$C$15, $E$9, 100%, $G$9) + CHOOSE(CONTROL!$C$38, 0.0347, 0)</f>
        <v>41.046700000000001</v>
      </c>
      <c r="F578" s="45">
        <f>41.012 * CHOOSE(CONTROL!$C$15, $E$9, 100%, $G$9) + CHOOSE(CONTROL!$C$38, 0.0256, 0)</f>
        <v>41.037599999999998</v>
      </c>
      <c r="G578" s="10">
        <f>38.0022 * CHOOSE(CONTROL!$C$15, $E$9, 100%, $G$9) + CHOOSE(CONTROL!$C$38, 0.0347, 0)</f>
        <v>38.036900000000003</v>
      </c>
      <c r="H578" s="10">
        <f>38.0022 * CHOOSE(CONTROL!$C$15, $E$9, 100%, $G$9) + CHOOSE(CONTROL!$C$38, 0.0347, 0)</f>
        <v>38.036900000000003</v>
      </c>
      <c r="I578" s="10">
        <f>38.0037 * CHOOSE(CONTROL!$C$15, $E$9, 100%, $G$9) + CHOOSE(CONTROL!$C$38, 0.0347, 0)</f>
        <v>38.038400000000003</v>
      </c>
      <c r="J578" s="44">
        <f>295.4205</f>
        <v>295.4205</v>
      </c>
    </row>
    <row r="579" spans="1:10" ht="15.75" x14ac:dyDescent="0.25">
      <c r="A579" s="13">
        <v>58561</v>
      </c>
      <c r="B579" s="10">
        <f>40.6731 * CHOOSE(CONTROL!$C$15, $E$9, 100%, $G$9) + CHOOSE(CONTROL!$C$38, 0.0256, 0)</f>
        <v>40.698699999999995</v>
      </c>
      <c r="C579" s="10">
        <f>37.5085 * CHOOSE(CONTROL!$C$15, $E$9, 100%, $G$9) + CHOOSE(CONTROL!$C$38, 0.0347, 0)</f>
        <v>37.543199999999999</v>
      </c>
      <c r="D579" s="10">
        <f>37.5007 * CHOOSE(CONTROL!$C$15, $E$9, 100%, $G$9) + CHOOSE(CONTROL!$C$38, 0.0347, 0)</f>
        <v>37.535400000000003</v>
      </c>
      <c r="E579" s="46">
        <f>40.5169 * CHOOSE(CONTROL!$C$15, $E$9, 100%, $G$9) + CHOOSE(CONTROL!$C$38, 0.0347, 0)</f>
        <v>40.551600000000001</v>
      </c>
      <c r="F579" s="45">
        <f>40.5169 * CHOOSE(CONTROL!$C$15, $E$9, 100%, $G$9) + CHOOSE(CONTROL!$C$38, 0.0256, 0)</f>
        <v>40.542499999999997</v>
      </c>
      <c r="G579" s="10">
        <f>37.507 * CHOOSE(CONTROL!$C$15, $E$9, 100%, $G$9) + CHOOSE(CONTROL!$C$38, 0.0347, 0)</f>
        <v>37.541699999999999</v>
      </c>
      <c r="H579" s="10">
        <f>37.507 * CHOOSE(CONTROL!$C$15, $E$9, 100%, $G$9) + CHOOSE(CONTROL!$C$38, 0.0347, 0)</f>
        <v>37.541699999999999</v>
      </c>
      <c r="I579" s="10">
        <f>37.5085 * CHOOSE(CONTROL!$C$15, $E$9, 100%, $G$9) + CHOOSE(CONTROL!$C$38, 0.0347, 0)</f>
        <v>37.543199999999999</v>
      </c>
      <c r="J579" s="44">
        <f>314.6007</f>
        <v>314.60070000000002</v>
      </c>
    </row>
    <row r="580" spans="1:10" ht="15.75" x14ac:dyDescent="0.25">
      <c r="A580" s="13">
        <v>58592</v>
      </c>
      <c r="B580" s="10">
        <f>40.157 * CHOOSE(CONTROL!$C$15, $E$9, 100%, $G$9) + CHOOSE(CONTROL!$C$38, 0.0278, 0)</f>
        <v>40.184799999999996</v>
      </c>
      <c r="C580" s="10">
        <f>36.9924 * CHOOSE(CONTROL!$C$15, $E$9, 100%, $G$9) + CHOOSE(CONTROL!$C$38, 0.0369, 0)</f>
        <v>37.029300000000006</v>
      </c>
      <c r="D580" s="10">
        <f>36.9846 * CHOOSE(CONTROL!$C$15, $E$9, 100%, $G$9) + CHOOSE(CONTROL!$C$38, 0.0369, 0)</f>
        <v>37.021500000000003</v>
      </c>
      <c r="E580" s="46">
        <f>40.0007 * CHOOSE(CONTROL!$C$15, $E$9, 100%, $G$9) + CHOOSE(CONTROL!$C$38, 0.0369, 0)</f>
        <v>40.037600000000005</v>
      </c>
      <c r="F580" s="45">
        <f>40.0007 * CHOOSE(CONTROL!$C$15, $E$9, 100%, $G$9) + CHOOSE(CONTROL!$C$38, 0.0278, 0)</f>
        <v>40.028500000000001</v>
      </c>
      <c r="G580" s="10">
        <f>36.9909 * CHOOSE(CONTROL!$C$15, $E$9, 100%, $G$9) + CHOOSE(CONTROL!$C$38, 0.0369, 0)</f>
        <v>37.027800000000006</v>
      </c>
      <c r="H580" s="10">
        <f>36.9909 * CHOOSE(CONTROL!$C$15, $E$9, 100%, $G$9) + CHOOSE(CONTROL!$C$38, 0.0369, 0)</f>
        <v>37.027800000000006</v>
      </c>
      <c r="I580" s="10">
        <f>36.9924 * CHOOSE(CONTROL!$C$15, $E$9, 100%, $G$9) + CHOOSE(CONTROL!$C$38, 0.0369, 0)</f>
        <v>37.029300000000006</v>
      </c>
      <c r="J580" s="44">
        <f>325.158</f>
        <v>325.15800000000002</v>
      </c>
    </row>
    <row r="581" spans="1:10" ht="15.75" x14ac:dyDescent="0.25">
      <c r="A581" s="13">
        <v>58622</v>
      </c>
      <c r="B581" s="10">
        <f>39.7952 * CHOOSE(CONTROL!$C$15, $E$9, 100%, $G$9) + CHOOSE(CONTROL!$C$38, 0.0278, 0)</f>
        <v>39.823</v>
      </c>
      <c r="C581" s="10">
        <f>36.6306 * CHOOSE(CONTROL!$C$15, $E$9, 100%, $G$9) + CHOOSE(CONTROL!$C$38, 0.0369, 0)</f>
        <v>36.667500000000004</v>
      </c>
      <c r="D581" s="10">
        <f>36.6228 * CHOOSE(CONTROL!$C$15, $E$9, 100%, $G$9) + CHOOSE(CONTROL!$C$38, 0.0369, 0)</f>
        <v>36.659700000000001</v>
      </c>
      <c r="E581" s="46">
        <f>39.6389 * CHOOSE(CONTROL!$C$15, $E$9, 100%, $G$9) + CHOOSE(CONTROL!$C$38, 0.0369, 0)</f>
        <v>39.675800000000002</v>
      </c>
      <c r="F581" s="45">
        <f>39.6389 * CHOOSE(CONTROL!$C$15, $E$9, 100%, $G$9) + CHOOSE(CONTROL!$C$38, 0.0278, 0)</f>
        <v>39.666699999999999</v>
      </c>
      <c r="G581" s="10">
        <f>36.629 * CHOOSE(CONTROL!$C$15, $E$9, 100%, $G$9) + CHOOSE(CONTROL!$C$38, 0.0369, 0)</f>
        <v>36.665900000000001</v>
      </c>
      <c r="H581" s="10">
        <f>36.629 * CHOOSE(CONTROL!$C$15, $E$9, 100%, $G$9) + CHOOSE(CONTROL!$C$38, 0.0369, 0)</f>
        <v>36.665900000000001</v>
      </c>
      <c r="I581" s="10">
        <f>36.6306 * CHOOSE(CONTROL!$C$15, $E$9, 100%, $G$9) + CHOOSE(CONTROL!$C$38, 0.0369, 0)</f>
        <v>36.667500000000004</v>
      </c>
      <c r="J581" s="44">
        <f>329.8432</f>
        <v>329.84320000000002</v>
      </c>
    </row>
    <row r="582" spans="1:10" ht="15.75" x14ac:dyDescent="0.25">
      <c r="A582" s="13">
        <v>58653</v>
      </c>
      <c r="B582" s="10">
        <f>39.5887 * CHOOSE(CONTROL!$C$15, $E$9, 100%, $G$9) + CHOOSE(CONTROL!$C$38, 0.0278, 0)</f>
        <v>39.616500000000002</v>
      </c>
      <c r="C582" s="10">
        <f>36.4241 * CHOOSE(CONTROL!$C$15, $E$9, 100%, $G$9) + CHOOSE(CONTROL!$C$38, 0.0369, 0)</f>
        <v>36.461000000000006</v>
      </c>
      <c r="D582" s="10">
        <f>36.4163 * CHOOSE(CONTROL!$C$15, $E$9, 100%, $G$9) + CHOOSE(CONTROL!$C$38, 0.0369, 0)</f>
        <v>36.453200000000002</v>
      </c>
      <c r="E582" s="46">
        <f>39.4324 * CHOOSE(CONTROL!$C$15, $E$9, 100%, $G$9) + CHOOSE(CONTROL!$C$38, 0.0369, 0)</f>
        <v>39.469300000000004</v>
      </c>
      <c r="F582" s="45">
        <f>39.4324 * CHOOSE(CONTROL!$C$15, $E$9, 100%, $G$9) + CHOOSE(CONTROL!$C$38, 0.0278, 0)</f>
        <v>39.4602</v>
      </c>
      <c r="G582" s="10">
        <f>36.4225 * CHOOSE(CONTROL!$C$15, $E$9, 100%, $G$9) + CHOOSE(CONTROL!$C$38, 0.0369, 0)</f>
        <v>36.459400000000002</v>
      </c>
      <c r="H582" s="10">
        <f>36.4225 * CHOOSE(CONTROL!$C$15, $E$9, 100%, $G$9) + CHOOSE(CONTROL!$C$38, 0.0369, 0)</f>
        <v>36.459400000000002</v>
      </c>
      <c r="I582" s="10">
        <f>36.4241 * CHOOSE(CONTROL!$C$15, $E$9, 100%, $G$9) + CHOOSE(CONTROL!$C$38, 0.0369, 0)</f>
        <v>36.461000000000006</v>
      </c>
      <c r="J582" s="44">
        <f>328.3006</f>
        <v>328.30059999999997</v>
      </c>
    </row>
    <row r="583" spans="1:10" ht="15.75" x14ac:dyDescent="0.25">
      <c r="A583" s="13">
        <v>58684</v>
      </c>
      <c r="B583" s="10">
        <f>39.6906 * CHOOSE(CONTROL!$C$15, $E$9, 100%, $G$9) + CHOOSE(CONTROL!$C$38, 0.0278, 0)</f>
        <v>39.718400000000003</v>
      </c>
      <c r="C583" s="10">
        <f>36.526 * CHOOSE(CONTROL!$C$15, $E$9, 100%, $G$9) + CHOOSE(CONTROL!$C$38, 0.0369, 0)</f>
        <v>36.562900000000006</v>
      </c>
      <c r="D583" s="10">
        <f>36.5182 * CHOOSE(CONTROL!$C$15, $E$9, 100%, $G$9) + CHOOSE(CONTROL!$C$38, 0.0369, 0)</f>
        <v>36.555100000000003</v>
      </c>
      <c r="E583" s="46">
        <f>39.5343 * CHOOSE(CONTROL!$C$15, $E$9, 100%, $G$9) + CHOOSE(CONTROL!$C$38, 0.0369, 0)</f>
        <v>39.571200000000005</v>
      </c>
      <c r="F583" s="45">
        <f>39.5343 * CHOOSE(CONTROL!$C$15, $E$9, 100%, $G$9) + CHOOSE(CONTROL!$C$38, 0.0278, 0)</f>
        <v>39.562100000000001</v>
      </c>
      <c r="G583" s="10">
        <f>36.5245 * CHOOSE(CONTROL!$C$15, $E$9, 100%, $G$9) + CHOOSE(CONTROL!$C$38, 0.0369, 0)</f>
        <v>36.561400000000006</v>
      </c>
      <c r="H583" s="10">
        <f>36.5245 * CHOOSE(CONTROL!$C$15, $E$9, 100%, $G$9) + CHOOSE(CONTROL!$C$38, 0.0369, 0)</f>
        <v>36.561400000000006</v>
      </c>
      <c r="I583" s="10">
        <f>36.526 * CHOOSE(CONTROL!$C$15, $E$9, 100%, $G$9) + CHOOSE(CONTROL!$C$38, 0.0369, 0)</f>
        <v>36.562900000000006</v>
      </c>
      <c r="J583" s="44">
        <f>320.6579</f>
        <v>320.65789999999998</v>
      </c>
    </row>
    <row r="584" spans="1:10" ht="15.75" x14ac:dyDescent="0.25">
      <c r="A584" s="13">
        <v>58714</v>
      </c>
      <c r="B584" s="10">
        <f>39.9674 * CHOOSE(CONTROL!$C$15, $E$9, 100%, $G$9) + CHOOSE(CONTROL!$C$38, 0.0278, 0)</f>
        <v>39.995199999999997</v>
      </c>
      <c r="C584" s="10">
        <f>36.8028 * CHOOSE(CONTROL!$C$15, $E$9, 100%, $G$9) + CHOOSE(CONTROL!$C$38, 0.0369, 0)</f>
        <v>36.839700000000001</v>
      </c>
      <c r="D584" s="10">
        <f>36.795 * CHOOSE(CONTROL!$C$15, $E$9, 100%, $G$9) + CHOOSE(CONTROL!$C$38, 0.0369, 0)</f>
        <v>36.831900000000005</v>
      </c>
      <c r="E584" s="46">
        <f>39.8111 * CHOOSE(CONTROL!$C$15, $E$9, 100%, $G$9) + CHOOSE(CONTROL!$C$38, 0.0369, 0)</f>
        <v>39.848000000000006</v>
      </c>
      <c r="F584" s="45">
        <f>39.8111 * CHOOSE(CONTROL!$C$15, $E$9, 100%, $G$9) + CHOOSE(CONTROL!$C$38, 0.0278, 0)</f>
        <v>39.838900000000002</v>
      </c>
      <c r="G584" s="10">
        <f>36.8013 * CHOOSE(CONTROL!$C$15, $E$9, 100%, $G$9) + CHOOSE(CONTROL!$C$38, 0.0369, 0)</f>
        <v>36.838200000000001</v>
      </c>
      <c r="H584" s="10">
        <f>36.8013 * CHOOSE(CONTROL!$C$15, $E$9, 100%, $G$9) + CHOOSE(CONTROL!$C$38, 0.0369, 0)</f>
        <v>36.838200000000001</v>
      </c>
      <c r="I584" s="10">
        <f>36.8028 * CHOOSE(CONTROL!$C$15, $E$9, 100%, $G$9) + CHOOSE(CONTROL!$C$38, 0.0369, 0)</f>
        <v>36.839700000000001</v>
      </c>
      <c r="J584" s="44">
        <f>309.9998</f>
        <v>309.99979999999999</v>
      </c>
    </row>
    <row r="585" spans="1:10" ht="15.75" x14ac:dyDescent="0.25">
      <c r="A585" s="13">
        <v>58745</v>
      </c>
      <c r="B585" s="10">
        <f>40.1992 * CHOOSE(CONTROL!$C$15, $E$9, 100%, $G$9) + CHOOSE(CONTROL!$C$38, 0.0256, 0)</f>
        <v>40.224799999999995</v>
      </c>
      <c r="C585" s="10">
        <f>37.0346 * CHOOSE(CONTROL!$C$15, $E$9, 100%, $G$9) + CHOOSE(CONTROL!$C$38, 0.0347, 0)</f>
        <v>37.069299999999998</v>
      </c>
      <c r="D585" s="10">
        <f>37.0268 * CHOOSE(CONTROL!$C$15, $E$9, 100%, $G$9) + CHOOSE(CONTROL!$C$38, 0.0347, 0)</f>
        <v>37.061500000000002</v>
      </c>
      <c r="E585" s="46">
        <f>40.043 * CHOOSE(CONTROL!$C$15, $E$9, 100%, $G$9) + CHOOSE(CONTROL!$C$38, 0.0347, 0)</f>
        <v>40.0777</v>
      </c>
      <c r="F585" s="45">
        <f>40.043 * CHOOSE(CONTROL!$C$15, $E$9, 100%, $G$9) + CHOOSE(CONTROL!$C$38, 0.0256, 0)</f>
        <v>40.068599999999996</v>
      </c>
      <c r="G585" s="10">
        <f>37.0331 * CHOOSE(CONTROL!$C$15, $E$9, 100%, $G$9) + CHOOSE(CONTROL!$C$38, 0.0347, 0)</f>
        <v>37.067799999999998</v>
      </c>
      <c r="H585" s="10">
        <f>37.0331 * CHOOSE(CONTROL!$C$15, $E$9, 100%, $G$9) + CHOOSE(CONTROL!$C$38, 0.0347, 0)</f>
        <v>37.067799999999998</v>
      </c>
      <c r="I585" s="10">
        <f>37.0346 * CHOOSE(CONTROL!$C$15, $E$9, 100%, $G$9) + CHOOSE(CONTROL!$C$38, 0.0347, 0)</f>
        <v>37.069299999999998</v>
      </c>
      <c r="J585" s="44">
        <f>299.2797</f>
        <v>299.27969999999999</v>
      </c>
    </row>
    <row r="586" spans="1:10" ht="15.75" x14ac:dyDescent="0.25">
      <c r="A586" s="13">
        <v>58775</v>
      </c>
      <c r="B586" s="10">
        <f>40.3926 * CHOOSE(CONTROL!$C$15, $E$9, 100%, $G$9) + CHOOSE(CONTROL!$C$38, 0.0256, 0)</f>
        <v>40.418199999999999</v>
      </c>
      <c r="C586" s="10">
        <f>37.2281 * CHOOSE(CONTROL!$C$15, $E$9, 100%, $G$9) + CHOOSE(CONTROL!$C$38, 0.0347, 0)</f>
        <v>37.262799999999999</v>
      </c>
      <c r="D586" s="10">
        <f>37.2203 * CHOOSE(CONTROL!$C$15, $E$9, 100%, $G$9) + CHOOSE(CONTROL!$C$38, 0.0347, 0)</f>
        <v>37.255000000000003</v>
      </c>
      <c r="E586" s="46">
        <f>40.2364 * CHOOSE(CONTROL!$C$15, $E$9, 100%, $G$9) + CHOOSE(CONTROL!$C$38, 0.0347, 0)</f>
        <v>40.271100000000004</v>
      </c>
      <c r="F586" s="45">
        <f>40.2364 * CHOOSE(CONTROL!$C$15, $E$9, 100%, $G$9) + CHOOSE(CONTROL!$C$38, 0.0256, 0)</f>
        <v>40.262</v>
      </c>
      <c r="G586" s="10">
        <f>37.2265 * CHOOSE(CONTROL!$C$15, $E$9, 100%, $G$9) + CHOOSE(CONTROL!$C$38, 0.0347, 0)</f>
        <v>37.261200000000002</v>
      </c>
      <c r="H586" s="10">
        <f>37.2265 * CHOOSE(CONTROL!$C$15, $E$9, 100%, $G$9) + CHOOSE(CONTROL!$C$38, 0.0347, 0)</f>
        <v>37.261200000000002</v>
      </c>
      <c r="I586" s="10">
        <f>37.2281 * CHOOSE(CONTROL!$C$15, $E$9, 100%, $G$9) + CHOOSE(CONTROL!$C$38, 0.0347, 0)</f>
        <v>37.262799999999999</v>
      </c>
      <c r="J586" s="44">
        <f>297.1473</f>
        <v>297.14729999999997</v>
      </c>
    </row>
    <row r="587" spans="1:10" ht="15.75" x14ac:dyDescent="0.25">
      <c r="A587" s="13">
        <v>58806</v>
      </c>
      <c r="B587" s="10">
        <f>40.9887 * CHOOSE(CONTROL!$C$15, $E$9, 100%, $G$9) + CHOOSE(CONTROL!$C$38, 0.0256, 0)</f>
        <v>41.014299999999999</v>
      </c>
      <c r="C587" s="10">
        <f>37.8242 * CHOOSE(CONTROL!$C$15, $E$9, 100%, $G$9) + CHOOSE(CONTROL!$C$38, 0.0347, 0)</f>
        <v>37.858899999999998</v>
      </c>
      <c r="D587" s="10">
        <f>37.8163 * CHOOSE(CONTROL!$C$15, $E$9, 100%, $G$9) + CHOOSE(CONTROL!$C$38, 0.0347, 0)</f>
        <v>37.850999999999999</v>
      </c>
      <c r="E587" s="46">
        <f>40.8325 * CHOOSE(CONTROL!$C$15, $E$9, 100%, $G$9) + CHOOSE(CONTROL!$C$38, 0.0347, 0)</f>
        <v>40.867200000000004</v>
      </c>
      <c r="F587" s="45">
        <f>40.8325 * CHOOSE(CONTROL!$C$15, $E$9, 100%, $G$9) + CHOOSE(CONTROL!$C$38, 0.0256, 0)</f>
        <v>40.8581</v>
      </c>
      <c r="G587" s="10">
        <f>37.8226 * CHOOSE(CONTROL!$C$15, $E$9, 100%, $G$9) + CHOOSE(CONTROL!$C$38, 0.0347, 0)</f>
        <v>37.857300000000002</v>
      </c>
      <c r="H587" s="10">
        <f>37.8226 * CHOOSE(CONTROL!$C$15, $E$9, 100%, $G$9) + CHOOSE(CONTROL!$C$38, 0.0347, 0)</f>
        <v>37.857300000000002</v>
      </c>
      <c r="I587" s="10">
        <f>37.8242 * CHOOSE(CONTROL!$C$15, $E$9, 100%, $G$9) + CHOOSE(CONTROL!$C$38, 0.0347, 0)</f>
        <v>37.858899999999998</v>
      </c>
      <c r="J587" s="44">
        <f>288.3294</f>
        <v>288.32940000000002</v>
      </c>
    </row>
    <row r="588" spans="1:10" ht="15.75" x14ac:dyDescent="0.25">
      <c r="A588" s="13">
        <v>58837</v>
      </c>
      <c r="B588" s="10">
        <f>42.1121 * CHOOSE(CONTROL!$C$15, $E$9, 100%, $G$9) + CHOOSE(CONTROL!$C$38, 0.0256, 0)</f>
        <v>42.137699999999995</v>
      </c>
      <c r="C588" s="10">
        <f>38.8982 * CHOOSE(CONTROL!$C$15, $E$9, 100%, $G$9) + CHOOSE(CONTROL!$C$38, 0.0347, 0)</f>
        <v>38.932900000000004</v>
      </c>
      <c r="D588" s="10">
        <f>38.8904 * CHOOSE(CONTROL!$C$15, $E$9, 100%, $G$9) + CHOOSE(CONTROL!$C$38, 0.0347, 0)</f>
        <v>38.9251</v>
      </c>
      <c r="E588" s="46">
        <f>41.9559 * CHOOSE(CONTROL!$C$15, $E$9, 100%, $G$9) + CHOOSE(CONTROL!$C$38, 0.0347, 0)</f>
        <v>41.990600000000001</v>
      </c>
      <c r="F588" s="45">
        <f>41.9559 * CHOOSE(CONTROL!$C$15, $E$9, 100%, $G$9) + CHOOSE(CONTROL!$C$38, 0.0256, 0)</f>
        <v>41.981499999999997</v>
      </c>
      <c r="G588" s="10">
        <f>38.8967 * CHOOSE(CONTROL!$C$15, $E$9, 100%, $G$9) + CHOOSE(CONTROL!$C$38, 0.0347, 0)</f>
        <v>38.931400000000004</v>
      </c>
      <c r="H588" s="10">
        <f>38.8967 * CHOOSE(CONTROL!$C$15, $E$9, 100%, $G$9) + CHOOSE(CONTROL!$C$38, 0.0347, 0)</f>
        <v>38.931400000000004</v>
      </c>
      <c r="I588" s="10">
        <f>38.8982 * CHOOSE(CONTROL!$C$15, $E$9, 100%, $G$9) + CHOOSE(CONTROL!$C$38, 0.0347, 0)</f>
        <v>38.932900000000004</v>
      </c>
      <c r="J588" s="44">
        <f>287.7788</f>
        <v>287.77879999999999</v>
      </c>
    </row>
    <row r="589" spans="1:10" ht="15.75" x14ac:dyDescent="0.25">
      <c r="A589" s="13">
        <v>58865</v>
      </c>
      <c r="B589" s="10">
        <f>42.3329 * CHOOSE(CONTROL!$C$15, $E$9, 100%, $G$9) + CHOOSE(CONTROL!$C$38, 0.0256, 0)</f>
        <v>42.358499999999999</v>
      </c>
      <c r="C589" s="10">
        <f>39.119 * CHOOSE(CONTROL!$C$15, $E$9, 100%, $G$9) + CHOOSE(CONTROL!$C$38, 0.0347, 0)</f>
        <v>39.153700000000001</v>
      </c>
      <c r="D589" s="10">
        <f>39.1112 * CHOOSE(CONTROL!$C$15, $E$9, 100%, $G$9) + CHOOSE(CONTROL!$C$38, 0.0347, 0)</f>
        <v>39.145899999999997</v>
      </c>
      <c r="E589" s="46">
        <f>42.1766 * CHOOSE(CONTROL!$C$15, $E$9, 100%, $G$9) + CHOOSE(CONTROL!$C$38, 0.0347, 0)</f>
        <v>42.211300000000001</v>
      </c>
      <c r="F589" s="45">
        <f>42.1766 * CHOOSE(CONTROL!$C$15, $E$9, 100%, $G$9) + CHOOSE(CONTROL!$C$38, 0.0256, 0)</f>
        <v>42.202199999999998</v>
      </c>
      <c r="G589" s="10">
        <f>39.1174 * CHOOSE(CONTROL!$C$15, $E$9, 100%, $G$9) + CHOOSE(CONTROL!$C$38, 0.0347, 0)</f>
        <v>39.152100000000004</v>
      </c>
      <c r="H589" s="10">
        <f>39.1174 * CHOOSE(CONTROL!$C$15, $E$9, 100%, $G$9) + CHOOSE(CONTROL!$C$38, 0.0347, 0)</f>
        <v>39.152100000000004</v>
      </c>
      <c r="I589" s="10">
        <f>39.119 * CHOOSE(CONTROL!$C$15, $E$9, 100%, $G$9) + CHOOSE(CONTROL!$C$38, 0.0347, 0)</f>
        <v>39.153700000000001</v>
      </c>
      <c r="J589" s="44">
        <f>286.9788</f>
        <v>286.97879999999998</v>
      </c>
    </row>
    <row r="590" spans="1:10" ht="15.75" x14ac:dyDescent="0.25">
      <c r="A590" s="13">
        <v>58893</v>
      </c>
      <c r="B590" s="10">
        <f>41.8218 * CHOOSE(CONTROL!$C$15, $E$9, 100%, $G$9) + CHOOSE(CONTROL!$C$38, 0.0256, 0)</f>
        <v>41.8474</v>
      </c>
      <c r="C590" s="10">
        <f>38.608 * CHOOSE(CONTROL!$C$15, $E$9, 100%, $G$9) + CHOOSE(CONTROL!$C$38, 0.0347, 0)</f>
        <v>38.642699999999998</v>
      </c>
      <c r="D590" s="10">
        <f>38.6002 * CHOOSE(CONTROL!$C$15, $E$9, 100%, $G$9) + CHOOSE(CONTROL!$C$38, 0.0347, 0)</f>
        <v>38.634900000000002</v>
      </c>
      <c r="E590" s="46">
        <f>41.6656 * CHOOSE(CONTROL!$C$15, $E$9, 100%, $G$9) + CHOOSE(CONTROL!$C$38, 0.0347, 0)</f>
        <v>41.700299999999999</v>
      </c>
      <c r="F590" s="45">
        <f>41.6656 * CHOOSE(CONTROL!$C$15, $E$9, 100%, $G$9) + CHOOSE(CONTROL!$C$38, 0.0256, 0)</f>
        <v>41.691199999999995</v>
      </c>
      <c r="G590" s="10">
        <f>38.6064 * CHOOSE(CONTROL!$C$15, $E$9, 100%, $G$9) + CHOOSE(CONTROL!$C$38, 0.0347, 0)</f>
        <v>38.641100000000002</v>
      </c>
      <c r="H590" s="10">
        <f>38.6064 * CHOOSE(CONTROL!$C$15, $E$9, 100%, $G$9) + CHOOSE(CONTROL!$C$38, 0.0347, 0)</f>
        <v>38.641100000000002</v>
      </c>
      <c r="I590" s="10">
        <f>38.608 * CHOOSE(CONTROL!$C$15, $E$9, 100%, $G$9) + CHOOSE(CONTROL!$C$38, 0.0347, 0)</f>
        <v>38.642699999999998</v>
      </c>
      <c r="J590" s="44">
        <f>302.1043</f>
        <v>302.10430000000002</v>
      </c>
    </row>
    <row r="591" spans="1:10" ht="15.75" x14ac:dyDescent="0.25">
      <c r="A591" s="13">
        <v>58926</v>
      </c>
      <c r="B591" s="10">
        <f>41.3267 * CHOOSE(CONTROL!$C$15, $E$9, 100%, $G$9) + CHOOSE(CONTROL!$C$38, 0.0256, 0)</f>
        <v>41.3523</v>
      </c>
      <c r="C591" s="10">
        <f>38.1128 * CHOOSE(CONTROL!$C$15, $E$9, 100%, $G$9) + CHOOSE(CONTROL!$C$38, 0.0347, 0)</f>
        <v>38.147500000000001</v>
      </c>
      <c r="D591" s="10">
        <f>38.105 * CHOOSE(CONTROL!$C$15, $E$9, 100%, $G$9) + CHOOSE(CONTROL!$C$38, 0.0347, 0)</f>
        <v>38.139699999999998</v>
      </c>
      <c r="E591" s="46">
        <f>41.1704 * CHOOSE(CONTROL!$C$15, $E$9, 100%, $G$9) + CHOOSE(CONTROL!$C$38, 0.0347, 0)</f>
        <v>41.205100000000002</v>
      </c>
      <c r="F591" s="45">
        <f>41.1704 * CHOOSE(CONTROL!$C$15, $E$9, 100%, $G$9) + CHOOSE(CONTROL!$C$38, 0.0256, 0)</f>
        <v>41.195999999999998</v>
      </c>
      <c r="G591" s="10">
        <f>38.1112 * CHOOSE(CONTROL!$C$15, $E$9, 100%, $G$9) + CHOOSE(CONTROL!$C$38, 0.0347, 0)</f>
        <v>38.145899999999997</v>
      </c>
      <c r="H591" s="10">
        <f>38.1112 * CHOOSE(CONTROL!$C$15, $E$9, 100%, $G$9) + CHOOSE(CONTROL!$C$38, 0.0347, 0)</f>
        <v>38.145899999999997</v>
      </c>
      <c r="I591" s="10">
        <f>38.1128 * CHOOSE(CONTROL!$C$15, $E$9, 100%, $G$9) + CHOOSE(CONTROL!$C$38, 0.0347, 0)</f>
        <v>38.147500000000001</v>
      </c>
      <c r="J591" s="44">
        <f>321.7184</f>
        <v>321.71839999999997</v>
      </c>
    </row>
    <row r="592" spans="1:10" ht="15.75" x14ac:dyDescent="0.25">
      <c r="A592" s="13">
        <v>58957</v>
      </c>
      <c r="B592" s="10">
        <f>40.8106 * CHOOSE(CONTROL!$C$15, $E$9, 100%, $G$9) + CHOOSE(CONTROL!$C$38, 0.0278, 0)</f>
        <v>40.8384</v>
      </c>
      <c r="C592" s="10">
        <f>37.5967 * CHOOSE(CONTROL!$C$15, $E$9, 100%, $G$9) + CHOOSE(CONTROL!$C$38, 0.0369, 0)</f>
        <v>37.633600000000001</v>
      </c>
      <c r="D592" s="10">
        <f>37.5889 * CHOOSE(CONTROL!$C$15, $E$9, 100%, $G$9) + CHOOSE(CONTROL!$C$38, 0.0369, 0)</f>
        <v>37.625800000000005</v>
      </c>
      <c r="E592" s="46">
        <f>40.6543 * CHOOSE(CONTROL!$C$15, $E$9, 100%, $G$9) + CHOOSE(CONTROL!$C$38, 0.0369, 0)</f>
        <v>40.691200000000002</v>
      </c>
      <c r="F592" s="45">
        <f>40.6543 * CHOOSE(CONTROL!$C$15, $E$9, 100%, $G$9) + CHOOSE(CONTROL!$C$38, 0.0278, 0)</f>
        <v>40.682099999999998</v>
      </c>
      <c r="G592" s="10">
        <f>37.5951 * CHOOSE(CONTROL!$C$15, $E$9, 100%, $G$9) + CHOOSE(CONTROL!$C$38, 0.0369, 0)</f>
        <v>37.632000000000005</v>
      </c>
      <c r="H592" s="10">
        <f>37.5951 * CHOOSE(CONTROL!$C$15, $E$9, 100%, $G$9) + CHOOSE(CONTROL!$C$38, 0.0369, 0)</f>
        <v>37.632000000000005</v>
      </c>
      <c r="I592" s="10">
        <f>37.5967 * CHOOSE(CONTROL!$C$15, $E$9, 100%, $G$9) + CHOOSE(CONTROL!$C$38, 0.0369, 0)</f>
        <v>37.633600000000001</v>
      </c>
      <c r="J592" s="44">
        <f>332.5146</f>
        <v>332.51459999999997</v>
      </c>
    </row>
    <row r="593" spans="1:10" ht="15.75" x14ac:dyDescent="0.25">
      <c r="A593" s="13">
        <v>58987</v>
      </c>
      <c r="B593" s="10">
        <f>40.4487 * CHOOSE(CONTROL!$C$15, $E$9, 100%, $G$9) + CHOOSE(CONTROL!$C$38, 0.0278, 0)</f>
        <v>40.476500000000001</v>
      </c>
      <c r="C593" s="10">
        <f>37.2348 * CHOOSE(CONTROL!$C$15, $E$9, 100%, $G$9) + CHOOSE(CONTROL!$C$38, 0.0369, 0)</f>
        <v>37.271700000000003</v>
      </c>
      <c r="D593" s="10">
        <f>37.227 * CHOOSE(CONTROL!$C$15, $E$9, 100%, $G$9) + CHOOSE(CONTROL!$C$38, 0.0369, 0)</f>
        <v>37.2639</v>
      </c>
      <c r="E593" s="46">
        <f>40.2925 * CHOOSE(CONTROL!$C$15, $E$9, 100%, $G$9) + CHOOSE(CONTROL!$C$38, 0.0369, 0)</f>
        <v>40.3294</v>
      </c>
      <c r="F593" s="45">
        <f>40.2925 * CHOOSE(CONTROL!$C$15, $E$9, 100%, $G$9) + CHOOSE(CONTROL!$C$38, 0.0278, 0)</f>
        <v>40.320299999999996</v>
      </c>
      <c r="G593" s="10">
        <f>37.2333 * CHOOSE(CONTROL!$C$15, $E$9, 100%, $G$9) + CHOOSE(CONTROL!$C$38, 0.0369, 0)</f>
        <v>37.270200000000003</v>
      </c>
      <c r="H593" s="10">
        <f>37.2333 * CHOOSE(CONTROL!$C$15, $E$9, 100%, $G$9) + CHOOSE(CONTROL!$C$38, 0.0369, 0)</f>
        <v>37.270200000000003</v>
      </c>
      <c r="I593" s="10">
        <f>37.2348 * CHOOSE(CONTROL!$C$15, $E$9, 100%, $G$9) + CHOOSE(CONTROL!$C$38, 0.0369, 0)</f>
        <v>37.271700000000003</v>
      </c>
      <c r="J593" s="44">
        <f>337.3058</f>
        <v>337.30579999999998</v>
      </c>
    </row>
    <row r="594" spans="1:10" ht="15.75" x14ac:dyDescent="0.25">
      <c r="A594" s="13">
        <v>59018</v>
      </c>
      <c r="B594" s="10">
        <f>40.2422 * CHOOSE(CONTROL!$C$15, $E$9, 100%, $G$9) + CHOOSE(CONTROL!$C$38, 0.0278, 0)</f>
        <v>40.269999999999996</v>
      </c>
      <c r="C594" s="10">
        <f>37.0283 * CHOOSE(CONTROL!$C$15, $E$9, 100%, $G$9) + CHOOSE(CONTROL!$C$38, 0.0369, 0)</f>
        <v>37.065200000000004</v>
      </c>
      <c r="D594" s="10">
        <f>37.0205 * CHOOSE(CONTROL!$C$15, $E$9, 100%, $G$9) + CHOOSE(CONTROL!$C$38, 0.0369, 0)</f>
        <v>37.057400000000001</v>
      </c>
      <c r="E594" s="46">
        <f>40.086 * CHOOSE(CONTROL!$C$15, $E$9, 100%, $G$9) + CHOOSE(CONTROL!$C$38, 0.0369, 0)</f>
        <v>40.122900000000001</v>
      </c>
      <c r="F594" s="45">
        <f>40.086 * CHOOSE(CONTROL!$C$15, $E$9, 100%, $G$9) + CHOOSE(CONTROL!$C$38, 0.0278, 0)</f>
        <v>40.113799999999998</v>
      </c>
      <c r="G594" s="10">
        <f>37.0268 * CHOOSE(CONTROL!$C$15, $E$9, 100%, $G$9) + CHOOSE(CONTROL!$C$38, 0.0369, 0)</f>
        <v>37.063700000000004</v>
      </c>
      <c r="H594" s="10">
        <f>37.0268 * CHOOSE(CONTROL!$C$15, $E$9, 100%, $G$9) + CHOOSE(CONTROL!$C$38, 0.0369, 0)</f>
        <v>37.063700000000004</v>
      </c>
      <c r="I594" s="10">
        <f>37.0283 * CHOOSE(CONTROL!$C$15, $E$9, 100%, $G$9) + CHOOSE(CONTROL!$C$38, 0.0369, 0)</f>
        <v>37.065200000000004</v>
      </c>
      <c r="J594" s="44">
        <f>335.7283</f>
        <v>335.72829999999999</v>
      </c>
    </row>
    <row r="595" spans="1:10" ht="15.75" x14ac:dyDescent="0.25">
      <c r="A595" s="13">
        <v>59049</v>
      </c>
      <c r="B595" s="10">
        <f>40.3441 * CHOOSE(CONTROL!$C$15, $E$9, 100%, $G$9) + CHOOSE(CONTROL!$C$38, 0.0278, 0)</f>
        <v>40.371899999999997</v>
      </c>
      <c r="C595" s="10">
        <f>37.1303 * CHOOSE(CONTROL!$C$15, $E$9, 100%, $G$9) + CHOOSE(CONTROL!$C$38, 0.0369, 0)</f>
        <v>37.167200000000001</v>
      </c>
      <c r="D595" s="10">
        <f>37.1224 * CHOOSE(CONTROL!$C$15, $E$9, 100%, $G$9) + CHOOSE(CONTROL!$C$38, 0.0369, 0)</f>
        <v>37.159300000000002</v>
      </c>
      <c r="E595" s="46">
        <f>40.1879 * CHOOSE(CONTROL!$C$15, $E$9, 100%, $G$9) + CHOOSE(CONTROL!$C$38, 0.0369, 0)</f>
        <v>40.224800000000002</v>
      </c>
      <c r="F595" s="45">
        <f>40.1879 * CHOOSE(CONTROL!$C$15, $E$9, 100%, $G$9) + CHOOSE(CONTROL!$C$38, 0.0278, 0)</f>
        <v>40.215699999999998</v>
      </c>
      <c r="G595" s="10">
        <f>37.1287 * CHOOSE(CONTROL!$C$15, $E$9, 100%, $G$9) + CHOOSE(CONTROL!$C$38, 0.0369, 0)</f>
        <v>37.165600000000005</v>
      </c>
      <c r="H595" s="10">
        <f>37.1287 * CHOOSE(CONTROL!$C$15, $E$9, 100%, $G$9) + CHOOSE(CONTROL!$C$38, 0.0369, 0)</f>
        <v>37.165600000000005</v>
      </c>
      <c r="I595" s="10">
        <f>37.1303 * CHOOSE(CONTROL!$C$15, $E$9, 100%, $G$9) + CHOOSE(CONTROL!$C$38, 0.0369, 0)</f>
        <v>37.167200000000001</v>
      </c>
      <c r="J595" s="44">
        <f>327.9127</f>
        <v>327.91269999999997</v>
      </c>
    </row>
    <row r="596" spans="1:10" ht="15.75" x14ac:dyDescent="0.25">
      <c r="A596" s="13">
        <v>59079</v>
      </c>
      <c r="B596" s="10">
        <f>40.6209 * CHOOSE(CONTROL!$C$15, $E$9, 100%, $G$9) + CHOOSE(CONTROL!$C$38, 0.0278, 0)</f>
        <v>40.648699999999998</v>
      </c>
      <c r="C596" s="10">
        <f>37.4071 * CHOOSE(CONTROL!$C$15, $E$9, 100%, $G$9) + CHOOSE(CONTROL!$C$38, 0.0369, 0)</f>
        <v>37.444000000000003</v>
      </c>
      <c r="D596" s="10">
        <f>37.3992 * CHOOSE(CONTROL!$C$15, $E$9, 100%, $G$9) + CHOOSE(CONTROL!$C$38, 0.0369, 0)</f>
        <v>37.436100000000003</v>
      </c>
      <c r="E596" s="46">
        <f>40.4647 * CHOOSE(CONTROL!$C$15, $E$9, 100%, $G$9) + CHOOSE(CONTROL!$C$38, 0.0369, 0)</f>
        <v>40.501600000000003</v>
      </c>
      <c r="F596" s="45">
        <f>40.4647 * CHOOSE(CONTROL!$C$15, $E$9, 100%, $G$9) + CHOOSE(CONTROL!$C$38, 0.0278, 0)</f>
        <v>40.4925</v>
      </c>
      <c r="G596" s="10">
        <f>37.4055 * CHOOSE(CONTROL!$C$15, $E$9, 100%, $G$9) + CHOOSE(CONTROL!$C$38, 0.0369, 0)</f>
        <v>37.442400000000006</v>
      </c>
      <c r="H596" s="10">
        <f>37.4055 * CHOOSE(CONTROL!$C$15, $E$9, 100%, $G$9) + CHOOSE(CONTROL!$C$38, 0.0369, 0)</f>
        <v>37.442400000000006</v>
      </c>
      <c r="I596" s="10">
        <f>37.4071 * CHOOSE(CONTROL!$C$15, $E$9, 100%, $G$9) + CHOOSE(CONTROL!$C$38, 0.0369, 0)</f>
        <v>37.444000000000003</v>
      </c>
      <c r="J596" s="44">
        <f>317.0134</f>
        <v>317.01339999999999</v>
      </c>
    </row>
    <row r="597" spans="1:10" ht="15.75" x14ac:dyDescent="0.25">
      <c r="A597" s="13">
        <v>59110</v>
      </c>
      <c r="B597" s="10">
        <f>40.8528 * CHOOSE(CONTROL!$C$15, $E$9, 100%, $G$9) + CHOOSE(CONTROL!$C$38, 0.0256, 0)</f>
        <v>40.878399999999999</v>
      </c>
      <c r="C597" s="10">
        <f>37.6389 * CHOOSE(CONTROL!$C$15, $E$9, 100%, $G$9) + CHOOSE(CONTROL!$C$38, 0.0347, 0)</f>
        <v>37.6736</v>
      </c>
      <c r="D597" s="10">
        <f>37.6311 * CHOOSE(CONTROL!$C$15, $E$9, 100%, $G$9) + CHOOSE(CONTROL!$C$38, 0.0347, 0)</f>
        <v>37.665800000000004</v>
      </c>
      <c r="E597" s="46">
        <f>40.6965 * CHOOSE(CONTROL!$C$15, $E$9, 100%, $G$9) + CHOOSE(CONTROL!$C$38, 0.0347, 0)</f>
        <v>40.731200000000001</v>
      </c>
      <c r="F597" s="45">
        <f>40.6965 * CHOOSE(CONTROL!$C$15, $E$9, 100%, $G$9) + CHOOSE(CONTROL!$C$38, 0.0256, 0)</f>
        <v>40.722099999999998</v>
      </c>
      <c r="G597" s="10">
        <f>37.6373 * CHOOSE(CONTROL!$C$15, $E$9, 100%, $G$9) + CHOOSE(CONTROL!$C$38, 0.0347, 0)</f>
        <v>37.672000000000004</v>
      </c>
      <c r="H597" s="10">
        <f>37.6373 * CHOOSE(CONTROL!$C$15, $E$9, 100%, $G$9) + CHOOSE(CONTROL!$C$38, 0.0347, 0)</f>
        <v>37.672000000000004</v>
      </c>
      <c r="I597" s="10">
        <f>37.6389 * CHOOSE(CONTROL!$C$15, $E$9, 100%, $G$9) + CHOOSE(CONTROL!$C$38, 0.0347, 0)</f>
        <v>37.6736</v>
      </c>
      <c r="J597" s="44">
        <f>306.0508</f>
        <v>306.05079999999998</v>
      </c>
    </row>
    <row r="598" spans="1:10" ht="15.75" x14ac:dyDescent="0.25">
      <c r="A598" s="13">
        <v>59140</v>
      </c>
      <c r="B598" s="10">
        <f>41.0462 * CHOOSE(CONTROL!$C$15, $E$9, 100%, $G$9) + CHOOSE(CONTROL!$C$38, 0.0256, 0)</f>
        <v>41.071799999999996</v>
      </c>
      <c r="C598" s="10">
        <f>37.8323 * CHOOSE(CONTROL!$C$15, $E$9, 100%, $G$9) + CHOOSE(CONTROL!$C$38, 0.0347, 0)</f>
        <v>37.866999999999997</v>
      </c>
      <c r="D598" s="10">
        <f>37.8245 * CHOOSE(CONTROL!$C$15, $E$9, 100%, $G$9) + CHOOSE(CONTROL!$C$38, 0.0347, 0)</f>
        <v>37.859200000000001</v>
      </c>
      <c r="E598" s="46">
        <f>40.8899 * CHOOSE(CONTROL!$C$15, $E$9, 100%, $G$9) + CHOOSE(CONTROL!$C$38, 0.0347, 0)</f>
        <v>40.924599999999998</v>
      </c>
      <c r="F598" s="45">
        <f>40.8899 * CHOOSE(CONTROL!$C$15, $E$9, 100%, $G$9) + CHOOSE(CONTROL!$C$38, 0.0256, 0)</f>
        <v>40.915499999999994</v>
      </c>
      <c r="G598" s="10">
        <f>37.8308 * CHOOSE(CONTROL!$C$15, $E$9, 100%, $G$9) + CHOOSE(CONTROL!$C$38, 0.0347, 0)</f>
        <v>37.865500000000004</v>
      </c>
      <c r="H598" s="10">
        <f>37.8308 * CHOOSE(CONTROL!$C$15, $E$9, 100%, $G$9) + CHOOSE(CONTROL!$C$38, 0.0347, 0)</f>
        <v>37.865500000000004</v>
      </c>
      <c r="I598" s="10">
        <f>37.8323 * CHOOSE(CONTROL!$C$15, $E$9, 100%, $G$9) + CHOOSE(CONTROL!$C$38, 0.0347, 0)</f>
        <v>37.866999999999997</v>
      </c>
      <c r="J598" s="44">
        <f>303.8701</f>
        <v>303.87009999999998</v>
      </c>
    </row>
    <row r="599" spans="1:10" ht="15.75" x14ac:dyDescent="0.25">
      <c r="A599" s="13">
        <v>59171</v>
      </c>
      <c r="B599" s="10">
        <f>41.6423 * CHOOSE(CONTROL!$C$15, $E$9, 100%, $G$9) + CHOOSE(CONTROL!$C$38, 0.0256, 0)</f>
        <v>41.667899999999996</v>
      </c>
      <c r="C599" s="10">
        <f>38.4284 * CHOOSE(CONTROL!$C$15, $E$9, 100%, $G$9) + CHOOSE(CONTROL!$C$38, 0.0347, 0)</f>
        <v>38.463100000000004</v>
      </c>
      <c r="D599" s="10">
        <f>38.4206 * CHOOSE(CONTROL!$C$15, $E$9, 100%, $G$9) + CHOOSE(CONTROL!$C$38, 0.0347, 0)</f>
        <v>38.455300000000001</v>
      </c>
      <c r="E599" s="46">
        <f>41.486 * CHOOSE(CONTROL!$C$15, $E$9, 100%, $G$9) + CHOOSE(CONTROL!$C$38, 0.0347, 0)</f>
        <v>41.520699999999998</v>
      </c>
      <c r="F599" s="45">
        <f>41.486 * CHOOSE(CONTROL!$C$15, $E$9, 100%, $G$9) + CHOOSE(CONTROL!$C$38, 0.0256, 0)</f>
        <v>41.511599999999994</v>
      </c>
      <c r="G599" s="10">
        <f>38.4268 * CHOOSE(CONTROL!$C$15, $E$9, 100%, $G$9) + CHOOSE(CONTROL!$C$38, 0.0347, 0)</f>
        <v>38.461500000000001</v>
      </c>
      <c r="H599" s="10">
        <f>38.4268 * CHOOSE(CONTROL!$C$15, $E$9, 100%, $G$9) + CHOOSE(CONTROL!$C$38, 0.0347, 0)</f>
        <v>38.461500000000001</v>
      </c>
      <c r="I599" s="10">
        <f>38.4284 * CHOOSE(CONTROL!$C$15, $E$9, 100%, $G$9) + CHOOSE(CONTROL!$C$38, 0.0347, 0)</f>
        <v>38.463100000000004</v>
      </c>
      <c r="J599" s="44">
        <f>294.8527</f>
        <v>294.85270000000003</v>
      </c>
    </row>
    <row r="600" spans="1:10" ht="15.75" x14ac:dyDescent="0.25">
      <c r="A600" s="13">
        <v>59202</v>
      </c>
      <c r="B600" s="10">
        <f>42.7764 * CHOOSE(CONTROL!$C$15, $E$9, 100%, $G$9) + CHOOSE(CONTROL!$C$38, 0.0256, 0)</f>
        <v>42.802</v>
      </c>
      <c r="C600" s="10">
        <f>39.5124 * CHOOSE(CONTROL!$C$15, $E$9, 100%, $G$9) + CHOOSE(CONTROL!$C$38, 0.0347, 0)</f>
        <v>39.5471</v>
      </c>
      <c r="D600" s="10">
        <f>39.5046 * CHOOSE(CONTROL!$C$15, $E$9, 100%, $G$9) + CHOOSE(CONTROL!$C$38, 0.0347, 0)</f>
        <v>39.539300000000004</v>
      </c>
      <c r="E600" s="46">
        <f>42.6201 * CHOOSE(CONTROL!$C$15, $E$9, 100%, $G$9) + CHOOSE(CONTROL!$C$38, 0.0347, 0)</f>
        <v>42.654800000000002</v>
      </c>
      <c r="F600" s="45">
        <f>42.6201 * CHOOSE(CONTROL!$C$15, $E$9, 100%, $G$9) + CHOOSE(CONTROL!$C$38, 0.0256, 0)</f>
        <v>42.645699999999998</v>
      </c>
      <c r="G600" s="10">
        <f>39.5108 * CHOOSE(CONTROL!$C$15, $E$9, 100%, $G$9) + CHOOSE(CONTROL!$C$38, 0.0347, 0)</f>
        <v>39.545500000000004</v>
      </c>
      <c r="H600" s="10">
        <f>39.5108 * CHOOSE(CONTROL!$C$15, $E$9, 100%, $G$9) + CHOOSE(CONTROL!$C$38, 0.0347, 0)</f>
        <v>39.545500000000004</v>
      </c>
      <c r="I600" s="10">
        <f>39.5124 * CHOOSE(CONTROL!$C$15, $E$9, 100%, $G$9) + CHOOSE(CONTROL!$C$38, 0.0347, 0)</f>
        <v>39.5471</v>
      </c>
      <c r="J600" s="44">
        <f>294.2896</f>
        <v>294.28960000000001</v>
      </c>
    </row>
    <row r="601" spans="1:10" ht="15.75" x14ac:dyDescent="0.25">
      <c r="A601" s="13">
        <v>59230</v>
      </c>
      <c r="B601" s="10">
        <f>42.9972 * CHOOSE(CONTROL!$C$15, $E$9, 100%, $G$9) + CHOOSE(CONTROL!$C$38, 0.0256, 0)</f>
        <v>43.022799999999997</v>
      </c>
      <c r="C601" s="10">
        <f>39.7331 * CHOOSE(CONTROL!$C$15, $E$9, 100%, $G$9) + CHOOSE(CONTROL!$C$38, 0.0347, 0)</f>
        <v>39.767800000000001</v>
      </c>
      <c r="D601" s="10">
        <f>39.7253 * CHOOSE(CONTROL!$C$15, $E$9, 100%, $G$9) + CHOOSE(CONTROL!$C$38, 0.0347, 0)</f>
        <v>39.76</v>
      </c>
      <c r="E601" s="46">
        <f>42.8409 * CHOOSE(CONTROL!$C$15, $E$9, 100%, $G$9) + CHOOSE(CONTROL!$C$38, 0.0347, 0)</f>
        <v>42.875599999999999</v>
      </c>
      <c r="F601" s="45">
        <f>42.8409 * CHOOSE(CONTROL!$C$15, $E$9, 100%, $G$9) + CHOOSE(CONTROL!$C$38, 0.0256, 0)</f>
        <v>42.866499999999995</v>
      </c>
      <c r="G601" s="10">
        <f>39.7316 * CHOOSE(CONTROL!$C$15, $E$9, 100%, $G$9) + CHOOSE(CONTROL!$C$38, 0.0347, 0)</f>
        <v>39.766300000000001</v>
      </c>
      <c r="H601" s="10">
        <f>39.7316 * CHOOSE(CONTROL!$C$15, $E$9, 100%, $G$9) + CHOOSE(CONTROL!$C$38, 0.0347, 0)</f>
        <v>39.766300000000001</v>
      </c>
      <c r="I601" s="10">
        <f>39.7331 * CHOOSE(CONTROL!$C$15, $E$9, 100%, $G$9) + CHOOSE(CONTROL!$C$38, 0.0347, 0)</f>
        <v>39.767800000000001</v>
      </c>
      <c r="J601" s="44">
        <f>293.4716</f>
        <v>293.47160000000002</v>
      </c>
    </row>
    <row r="602" spans="1:10" ht="15.75" x14ac:dyDescent="0.25">
      <c r="A602" s="13">
        <v>59261</v>
      </c>
      <c r="B602" s="10">
        <f>42.4861 * CHOOSE(CONTROL!$C$15, $E$9, 100%, $G$9) + CHOOSE(CONTROL!$C$38, 0.0256, 0)</f>
        <v>42.511699999999998</v>
      </c>
      <c r="C602" s="10">
        <f>39.2221 * CHOOSE(CONTROL!$C$15, $E$9, 100%, $G$9) + CHOOSE(CONTROL!$C$38, 0.0347, 0)</f>
        <v>39.256799999999998</v>
      </c>
      <c r="D602" s="10">
        <f>39.2143 * CHOOSE(CONTROL!$C$15, $E$9, 100%, $G$9) + CHOOSE(CONTROL!$C$38, 0.0347, 0)</f>
        <v>39.249000000000002</v>
      </c>
      <c r="E602" s="46">
        <f>42.3299 * CHOOSE(CONTROL!$C$15, $E$9, 100%, $G$9) + CHOOSE(CONTROL!$C$38, 0.0347, 0)</f>
        <v>42.364600000000003</v>
      </c>
      <c r="F602" s="45">
        <f>42.3299 * CHOOSE(CONTROL!$C$15, $E$9, 100%, $G$9) + CHOOSE(CONTROL!$C$38, 0.0256, 0)</f>
        <v>42.355499999999999</v>
      </c>
      <c r="G602" s="10">
        <f>39.2205 * CHOOSE(CONTROL!$C$15, $E$9, 100%, $G$9) + CHOOSE(CONTROL!$C$38, 0.0347, 0)</f>
        <v>39.255200000000002</v>
      </c>
      <c r="H602" s="10">
        <f>39.2205 * CHOOSE(CONTROL!$C$15, $E$9, 100%, $G$9) + CHOOSE(CONTROL!$C$38, 0.0347, 0)</f>
        <v>39.255200000000002</v>
      </c>
      <c r="I602" s="10">
        <f>39.2221 * CHOOSE(CONTROL!$C$15, $E$9, 100%, $G$9) + CHOOSE(CONTROL!$C$38, 0.0347, 0)</f>
        <v>39.256799999999998</v>
      </c>
      <c r="J602" s="44">
        <f>308.9392</f>
        <v>308.93920000000003</v>
      </c>
    </row>
    <row r="603" spans="1:10" ht="15.75" x14ac:dyDescent="0.25">
      <c r="A603" s="13">
        <v>59291</v>
      </c>
      <c r="B603" s="10">
        <f>41.9909 * CHOOSE(CONTROL!$C$15, $E$9, 100%, $G$9) + CHOOSE(CONTROL!$C$38, 0.0256, 0)</f>
        <v>42.016500000000001</v>
      </c>
      <c r="C603" s="10">
        <f>38.7269 * CHOOSE(CONTROL!$C$15, $E$9, 100%, $G$9) + CHOOSE(CONTROL!$C$38, 0.0347, 0)</f>
        <v>38.761600000000001</v>
      </c>
      <c r="D603" s="10">
        <f>38.7191 * CHOOSE(CONTROL!$C$15, $E$9, 100%, $G$9) + CHOOSE(CONTROL!$C$38, 0.0347, 0)</f>
        <v>38.753799999999998</v>
      </c>
      <c r="E603" s="46">
        <f>41.8347 * CHOOSE(CONTROL!$C$15, $E$9, 100%, $G$9) + CHOOSE(CONTROL!$C$38, 0.0347, 0)</f>
        <v>41.869399999999999</v>
      </c>
      <c r="F603" s="45">
        <f>41.8347 * CHOOSE(CONTROL!$C$15, $E$9, 100%, $G$9) + CHOOSE(CONTROL!$C$38, 0.0256, 0)</f>
        <v>41.860299999999995</v>
      </c>
      <c r="G603" s="10">
        <f>38.7254 * CHOOSE(CONTROL!$C$15, $E$9, 100%, $G$9) + CHOOSE(CONTROL!$C$38, 0.0347, 0)</f>
        <v>38.760100000000001</v>
      </c>
      <c r="H603" s="10">
        <f>38.7254 * CHOOSE(CONTROL!$C$15, $E$9, 100%, $G$9) + CHOOSE(CONTROL!$C$38, 0.0347, 0)</f>
        <v>38.760100000000001</v>
      </c>
      <c r="I603" s="10">
        <f>38.7269 * CHOOSE(CONTROL!$C$15, $E$9, 100%, $G$9) + CHOOSE(CONTROL!$C$38, 0.0347, 0)</f>
        <v>38.761600000000001</v>
      </c>
      <c r="J603" s="44">
        <f>328.9971</f>
        <v>328.99709999999999</v>
      </c>
    </row>
    <row r="604" spans="1:10" ht="15.75" x14ac:dyDescent="0.25">
      <c r="A604" s="13">
        <v>59322</v>
      </c>
      <c r="B604" s="10">
        <f>41.4748 * CHOOSE(CONTROL!$C$15, $E$9, 100%, $G$9) + CHOOSE(CONTROL!$C$38, 0.0278, 0)</f>
        <v>41.502600000000001</v>
      </c>
      <c r="C604" s="10">
        <f>38.2108 * CHOOSE(CONTROL!$C$15, $E$9, 100%, $G$9) + CHOOSE(CONTROL!$C$38, 0.0369, 0)</f>
        <v>38.247700000000002</v>
      </c>
      <c r="D604" s="10">
        <f>38.203 * CHOOSE(CONTROL!$C$15, $E$9, 100%, $G$9) + CHOOSE(CONTROL!$C$38, 0.0369, 0)</f>
        <v>38.239900000000006</v>
      </c>
      <c r="E604" s="46">
        <f>41.3186 * CHOOSE(CONTROL!$C$15, $E$9, 100%, $G$9) + CHOOSE(CONTROL!$C$38, 0.0369, 0)</f>
        <v>41.355500000000006</v>
      </c>
      <c r="F604" s="45">
        <f>41.3186 * CHOOSE(CONTROL!$C$15, $E$9, 100%, $G$9) + CHOOSE(CONTROL!$C$38, 0.0278, 0)</f>
        <v>41.346400000000003</v>
      </c>
      <c r="G604" s="10">
        <f>38.2092 * CHOOSE(CONTROL!$C$15, $E$9, 100%, $G$9) + CHOOSE(CONTROL!$C$38, 0.0369, 0)</f>
        <v>38.246100000000006</v>
      </c>
      <c r="H604" s="10">
        <f>38.2092 * CHOOSE(CONTROL!$C$15, $E$9, 100%, $G$9) + CHOOSE(CONTROL!$C$38, 0.0369, 0)</f>
        <v>38.246100000000006</v>
      </c>
      <c r="I604" s="10">
        <f>38.2108 * CHOOSE(CONTROL!$C$15, $E$9, 100%, $G$9) + CHOOSE(CONTROL!$C$38, 0.0369, 0)</f>
        <v>38.247700000000002</v>
      </c>
      <c r="J604" s="44">
        <f>340.0376</f>
        <v>340.0376</v>
      </c>
    </row>
    <row r="605" spans="1:10" ht="15.75" x14ac:dyDescent="0.25">
      <c r="A605" s="13">
        <v>59352</v>
      </c>
      <c r="B605" s="10">
        <f>41.113 * CHOOSE(CONTROL!$C$15, $E$9, 100%, $G$9) + CHOOSE(CONTROL!$C$38, 0.0278, 0)</f>
        <v>41.140799999999999</v>
      </c>
      <c r="C605" s="10">
        <f>37.849 * CHOOSE(CONTROL!$C$15, $E$9, 100%, $G$9) + CHOOSE(CONTROL!$C$38, 0.0369, 0)</f>
        <v>37.885899999999999</v>
      </c>
      <c r="D605" s="10">
        <f>37.8412 * CHOOSE(CONTROL!$C$15, $E$9, 100%, $G$9) + CHOOSE(CONTROL!$C$38, 0.0369, 0)</f>
        <v>37.878100000000003</v>
      </c>
      <c r="E605" s="46">
        <f>40.9567 * CHOOSE(CONTROL!$C$15, $E$9, 100%, $G$9) + CHOOSE(CONTROL!$C$38, 0.0369, 0)</f>
        <v>40.993600000000001</v>
      </c>
      <c r="F605" s="45">
        <f>40.9567 * CHOOSE(CONTROL!$C$15, $E$9, 100%, $G$9) + CHOOSE(CONTROL!$C$38, 0.0278, 0)</f>
        <v>40.984499999999997</v>
      </c>
      <c r="G605" s="10">
        <f>37.8474 * CHOOSE(CONTROL!$C$15, $E$9, 100%, $G$9) + CHOOSE(CONTROL!$C$38, 0.0369, 0)</f>
        <v>37.884300000000003</v>
      </c>
      <c r="H605" s="10">
        <f>37.8474 * CHOOSE(CONTROL!$C$15, $E$9, 100%, $G$9) + CHOOSE(CONTROL!$C$38, 0.0369, 0)</f>
        <v>37.884300000000003</v>
      </c>
      <c r="I605" s="10">
        <f>37.849 * CHOOSE(CONTROL!$C$15, $E$9, 100%, $G$9) + CHOOSE(CONTROL!$C$38, 0.0369, 0)</f>
        <v>37.885899999999999</v>
      </c>
      <c r="J605" s="44">
        <f>344.9371</f>
        <v>344.93709999999999</v>
      </c>
    </row>
    <row r="606" spans="1:10" ht="15.75" x14ac:dyDescent="0.25">
      <c r="A606" s="13">
        <v>59383</v>
      </c>
      <c r="B606" s="10">
        <f>40.9065 * CHOOSE(CONTROL!$C$15, $E$9, 100%, $G$9) + CHOOSE(CONTROL!$C$38, 0.0278, 0)</f>
        <v>40.9343</v>
      </c>
      <c r="C606" s="10">
        <f>37.6425 * CHOOSE(CONTROL!$C$15, $E$9, 100%, $G$9) + CHOOSE(CONTROL!$C$38, 0.0369, 0)</f>
        <v>37.679400000000001</v>
      </c>
      <c r="D606" s="10">
        <f>37.6347 * CHOOSE(CONTROL!$C$15, $E$9, 100%, $G$9) + CHOOSE(CONTROL!$C$38, 0.0369, 0)</f>
        <v>37.671600000000005</v>
      </c>
      <c r="E606" s="46">
        <f>40.7503 * CHOOSE(CONTROL!$C$15, $E$9, 100%, $G$9) + CHOOSE(CONTROL!$C$38, 0.0369, 0)</f>
        <v>40.787200000000006</v>
      </c>
      <c r="F606" s="45">
        <f>40.7503 * CHOOSE(CONTROL!$C$15, $E$9, 100%, $G$9) + CHOOSE(CONTROL!$C$38, 0.0278, 0)</f>
        <v>40.778100000000002</v>
      </c>
      <c r="G606" s="10">
        <f>37.6409 * CHOOSE(CONTROL!$C$15, $E$9, 100%, $G$9) + CHOOSE(CONTROL!$C$38, 0.0369, 0)</f>
        <v>37.677800000000005</v>
      </c>
      <c r="H606" s="10">
        <f>37.6409 * CHOOSE(CONTROL!$C$15, $E$9, 100%, $G$9) + CHOOSE(CONTROL!$C$38, 0.0369, 0)</f>
        <v>37.677800000000005</v>
      </c>
      <c r="I606" s="10">
        <f>37.6425 * CHOOSE(CONTROL!$C$15, $E$9, 100%, $G$9) + CHOOSE(CONTROL!$C$38, 0.0369, 0)</f>
        <v>37.679400000000001</v>
      </c>
      <c r="J606" s="44">
        <f>343.324</f>
        <v>343.32400000000001</v>
      </c>
    </row>
    <row r="607" spans="1:10" ht="15.75" x14ac:dyDescent="0.25">
      <c r="A607" s="13">
        <v>59414</v>
      </c>
      <c r="B607" s="10">
        <f>41.0084 * CHOOSE(CONTROL!$C$15, $E$9, 100%, $G$9) + CHOOSE(CONTROL!$C$38, 0.0278, 0)</f>
        <v>41.036200000000001</v>
      </c>
      <c r="C607" s="10">
        <f>37.7444 * CHOOSE(CONTROL!$C$15, $E$9, 100%, $G$9) + CHOOSE(CONTROL!$C$38, 0.0369, 0)</f>
        <v>37.781300000000002</v>
      </c>
      <c r="D607" s="10">
        <f>37.7366 * CHOOSE(CONTROL!$C$15, $E$9, 100%, $G$9) + CHOOSE(CONTROL!$C$38, 0.0369, 0)</f>
        <v>37.773500000000006</v>
      </c>
      <c r="E607" s="46">
        <f>40.8522 * CHOOSE(CONTROL!$C$15, $E$9, 100%, $G$9) + CHOOSE(CONTROL!$C$38, 0.0369, 0)</f>
        <v>40.889100000000006</v>
      </c>
      <c r="F607" s="45">
        <f>40.8522 * CHOOSE(CONTROL!$C$15, $E$9, 100%, $G$9) + CHOOSE(CONTROL!$C$38, 0.0278, 0)</f>
        <v>40.880000000000003</v>
      </c>
      <c r="G607" s="10">
        <f>37.7428 * CHOOSE(CONTROL!$C$15, $E$9, 100%, $G$9) + CHOOSE(CONTROL!$C$38, 0.0369, 0)</f>
        <v>37.779700000000005</v>
      </c>
      <c r="H607" s="10">
        <f>37.7428 * CHOOSE(CONTROL!$C$15, $E$9, 100%, $G$9) + CHOOSE(CONTROL!$C$38, 0.0369, 0)</f>
        <v>37.779700000000005</v>
      </c>
      <c r="I607" s="10">
        <f>37.7444 * CHOOSE(CONTROL!$C$15, $E$9, 100%, $G$9) + CHOOSE(CONTROL!$C$38, 0.0369, 0)</f>
        <v>37.781300000000002</v>
      </c>
      <c r="J607" s="44">
        <f>335.3315</f>
        <v>335.33150000000001</v>
      </c>
    </row>
    <row r="608" spans="1:10" ht="15.75" x14ac:dyDescent="0.25">
      <c r="A608" s="13">
        <v>59444</v>
      </c>
      <c r="B608" s="10">
        <f>41.2852 * CHOOSE(CONTROL!$C$15, $E$9, 100%, $G$9) + CHOOSE(CONTROL!$C$38, 0.0278, 0)</f>
        <v>41.313000000000002</v>
      </c>
      <c r="C608" s="10">
        <f>38.0212 * CHOOSE(CONTROL!$C$15, $E$9, 100%, $G$9) + CHOOSE(CONTROL!$C$38, 0.0369, 0)</f>
        <v>38.058100000000003</v>
      </c>
      <c r="D608" s="10">
        <f>38.0134 * CHOOSE(CONTROL!$C$15, $E$9, 100%, $G$9) + CHOOSE(CONTROL!$C$38, 0.0369, 0)</f>
        <v>38.0503</v>
      </c>
      <c r="E608" s="46">
        <f>41.129 * CHOOSE(CONTROL!$C$15, $E$9, 100%, $G$9) + CHOOSE(CONTROL!$C$38, 0.0369, 0)</f>
        <v>41.165900000000001</v>
      </c>
      <c r="F608" s="45">
        <f>41.129 * CHOOSE(CONTROL!$C$15, $E$9, 100%, $G$9) + CHOOSE(CONTROL!$C$38, 0.0278, 0)</f>
        <v>41.156799999999997</v>
      </c>
      <c r="G608" s="10">
        <f>38.0196 * CHOOSE(CONTROL!$C$15, $E$9, 100%, $G$9) + CHOOSE(CONTROL!$C$38, 0.0369, 0)</f>
        <v>38.0565</v>
      </c>
      <c r="H608" s="10">
        <f>38.0196 * CHOOSE(CONTROL!$C$15, $E$9, 100%, $G$9) + CHOOSE(CONTROL!$C$38, 0.0369, 0)</f>
        <v>38.0565</v>
      </c>
      <c r="I608" s="10">
        <f>38.0212 * CHOOSE(CONTROL!$C$15, $E$9, 100%, $G$9) + CHOOSE(CONTROL!$C$38, 0.0369, 0)</f>
        <v>38.058100000000003</v>
      </c>
      <c r="J608" s="44">
        <f>324.1857</f>
        <v>324.1857</v>
      </c>
    </row>
    <row r="609" spans="1:10" ht="15.75" x14ac:dyDescent="0.25">
      <c r="A609" s="13">
        <v>59475</v>
      </c>
      <c r="B609" s="10">
        <f>41.517 * CHOOSE(CONTROL!$C$15, $E$9, 100%, $G$9) + CHOOSE(CONTROL!$C$38, 0.0256, 0)</f>
        <v>41.5426</v>
      </c>
      <c r="C609" s="10">
        <f>38.253 * CHOOSE(CONTROL!$C$15, $E$9, 100%, $G$9) + CHOOSE(CONTROL!$C$38, 0.0347, 0)</f>
        <v>38.287700000000001</v>
      </c>
      <c r="D609" s="10">
        <f>38.2452 * CHOOSE(CONTROL!$C$15, $E$9, 100%, $G$9) + CHOOSE(CONTROL!$C$38, 0.0347, 0)</f>
        <v>38.279899999999998</v>
      </c>
      <c r="E609" s="46">
        <f>41.3608 * CHOOSE(CONTROL!$C$15, $E$9, 100%, $G$9) + CHOOSE(CONTROL!$C$38, 0.0347, 0)</f>
        <v>41.395499999999998</v>
      </c>
      <c r="F609" s="45">
        <f>41.3608 * CHOOSE(CONTROL!$C$15, $E$9, 100%, $G$9) + CHOOSE(CONTROL!$C$38, 0.0256, 0)</f>
        <v>41.386399999999995</v>
      </c>
      <c r="G609" s="10">
        <f>38.2515 * CHOOSE(CONTROL!$C$15, $E$9, 100%, $G$9) + CHOOSE(CONTROL!$C$38, 0.0347, 0)</f>
        <v>38.286200000000001</v>
      </c>
      <c r="H609" s="10">
        <f>38.2515 * CHOOSE(CONTROL!$C$15, $E$9, 100%, $G$9) + CHOOSE(CONTROL!$C$38, 0.0347, 0)</f>
        <v>38.286200000000001</v>
      </c>
      <c r="I609" s="10">
        <f>38.253 * CHOOSE(CONTROL!$C$15, $E$9, 100%, $G$9) + CHOOSE(CONTROL!$C$38, 0.0347, 0)</f>
        <v>38.287700000000001</v>
      </c>
      <c r="J609" s="44">
        <f>312.975</f>
        <v>312.97500000000002</v>
      </c>
    </row>
    <row r="610" spans="1:10" ht="15.75" x14ac:dyDescent="0.25">
      <c r="A610" s="13">
        <v>59505</v>
      </c>
      <c r="B610" s="10">
        <f>41.7105 * CHOOSE(CONTROL!$C$15, $E$9, 100%, $G$9) + CHOOSE(CONTROL!$C$38, 0.0256, 0)</f>
        <v>41.7361</v>
      </c>
      <c r="C610" s="10">
        <f>38.4465 * CHOOSE(CONTROL!$C$15, $E$9, 100%, $G$9) + CHOOSE(CONTROL!$C$38, 0.0347, 0)</f>
        <v>38.481200000000001</v>
      </c>
      <c r="D610" s="10">
        <f>38.4386 * CHOOSE(CONTROL!$C$15, $E$9, 100%, $G$9) + CHOOSE(CONTROL!$C$38, 0.0347, 0)</f>
        <v>38.473300000000002</v>
      </c>
      <c r="E610" s="46">
        <f>41.5542 * CHOOSE(CONTROL!$C$15, $E$9, 100%, $G$9) + CHOOSE(CONTROL!$C$38, 0.0347, 0)</f>
        <v>41.588900000000002</v>
      </c>
      <c r="F610" s="45">
        <f>41.5542 * CHOOSE(CONTROL!$C$15, $E$9, 100%, $G$9) + CHOOSE(CONTROL!$C$38, 0.0256, 0)</f>
        <v>41.579799999999999</v>
      </c>
      <c r="G610" s="10">
        <f>38.4449 * CHOOSE(CONTROL!$C$15, $E$9, 100%, $G$9) + CHOOSE(CONTROL!$C$38, 0.0347, 0)</f>
        <v>38.479599999999998</v>
      </c>
      <c r="H610" s="10">
        <f>38.4449 * CHOOSE(CONTROL!$C$15, $E$9, 100%, $G$9) + CHOOSE(CONTROL!$C$38, 0.0347, 0)</f>
        <v>38.479599999999998</v>
      </c>
      <c r="I610" s="10">
        <f>38.4465 * CHOOSE(CONTROL!$C$15, $E$9, 100%, $G$9) + CHOOSE(CONTROL!$C$38, 0.0347, 0)</f>
        <v>38.481200000000001</v>
      </c>
      <c r="J610" s="44">
        <f>310.745</f>
        <v>310.745</v>
      </c>
    </row>
    <row r="611" spans="1:10" ht="15.75" x14ac:dyDescent="0.25">
      <c r="A611" s="13">
        <v>59536</v>
      </c>
      <c r="B611" s="10">
        <f>42.3065 * CHOOSE(CONTROL!$C$15, $E$9, 100%, $G$9) + CHOOSE(CONTROL!$C$38, 0.0256, 0)</f>
        <v>42.332099999999997</v>
      </c>
      <c r="C611" s="10">
        <f>39.0425 * CHOOSE(CONTROL!$C$15, $E$9, 100%, $G$9) + CHOOSE(CONTROL!$C$38, 0.0347, 0)</f>
        <v>39.077199999999998</v>
      </c>
      <c r="D611" s="10">
        <f>39.0347 * CHOOSE(CONTROL!$C$15, $E$9, 100%, $G$9) + CHOOSE(CONTROL!$C$38, 0.0347, 0)</f>
        <v>39.069400000000002</v>
      </c>
      <c r="E611" s="46">
        <f>42.1503 * CHOOSE(CONTROL!$C$15, $E$9, 100%, $G$9) + CHOOSE(CONTROL!$C$38, 0.0347, 0)</f>
        <v>42.185000000000002</v>
      </c>
      <c r="F611" s="45">
        <f>42.1503 * CHOOSE(CONTROL!$C$15, $E$9, 100%, $G$9) + CHOOSE(CONTROL!$C$38, 0.0256, 0)</f>
        <v>42.175899999999999</v>
      </c>
      <c r="G611" s="10">
        <f>39.041 * CHOOSE(CONTROL!$C$15, $E$9, 100%, $G$9) + CHOOSE(CONTROL!$C$38, 0.0347, 0)</f>
        <v>39.075699999999998</v>
      </c>
      <c r="H611" s="10">
        <f>39.041 * CHOOSE(CONTROL!$C$15, $E$9, 100%, $G$9) + CHOOSE(CONTROL!$C$38, 0.0347, 0)</f>
        <v>39.075699999999998</v>
      </c>
      <c r="I611" s="10">
        <f>39.0425 * CHOOSE(CONTROL!$C$15, $E$9, 100%, $G$9) + CHOOSE(CONTROL!$C$38, 0.0347, 0)</f>
        <v>39.077199999999998</v>
      </c>
      <c r="J611" s="44">
        <f>301.5236</f>
        <v>301.52359999999999</v>
      </c>
    </row>
    <row r="612" spans="1:10" ht="15.75" x14ac:dyDescent="0.25">
      <c r="A612" s="13">
        <v>59567</v>
      </c>
      <c r="B612" s="10">
        <f>43.4516 * CHOOSE(CONTROL!$C$15, $E$9, 100%, $G$9) + CHOOSE(CONTROL!$C$38, 0.0256, 0)</f>
        <v>43.477199999999996</v>
      </c>
      <c r="C612" s="10">
        <f>40.1366 * CHOOSE(CONTROL!$C$15, $E$9, 100%, $G$9) + CHOOSE(CONTROL!$C$38, 0.0347, 0)</f>
        <v>40.171300000000002</v>
      </c>
      <c r="D612" s="10">
        <f>40.1288 * CHOOSE(CONTROL!$C$15, $E$9, 100%, $G$9) + CHOOSE(CONTROL!$C$38, 0.0347, 0)</f>
        <v>40.163499999999999</v>
      </c>
      <c r="E612" s="46">
        <f>43.2953 * CHOOSE(CONTROL!$C$15, $E$9, 100%, $G$9) + CHOOSE(CONTROL!$C$38, 0.0347, 0)</f>
        <v>43.33</v>
      </c>
      <c r="F612" s="45">
        <f>43.2953 * CHOOSE(CONTROL!$C$15, $E$9, 100%, $G$9) + CHOOSE(CONTROL!$C$38, 0.0256, 0)</f>
        <v>43.320899999999995</v>
      </c>
      <c r="G612" s="10">
        <f>40.135 * CHOOSE(CONTROL!$C$15, $E$9, 100%, $G$9) + CHOOSE(CONTROL!$C$38, 0.0347, 0)</f>
        <v>40.169699999999999</v>
      </c>
      <c r="H612" s="10">
        <f>40.135 * CHOOSE(CONTROL!$C$15, $E$9, 100%, $G$9) + CHOOSE(CONTROL!$C$38, 0.0347, 0)</f>
        <v>40.169699999999999</v>
      </c>
      <c r="I612" s="10">
        <f>40.1366 * CHOOSE(CONTROL!$C$15, $E$9, 100%, $G$9) + CHOOSE(CONTROL!$C$38, 0.0347, 0)</f>
        <v>40.171300000000002</v>
      </c>
      <c r="J612" s="44">
        <f>300.9478</f>
        <v>300.94779999999997</v>
      </c>
    </row>
    <row r="613" spans="1:10" ht="15.75" x14ac:dyDescent="0.25">
      <c r="A613" s="13">
        <v>59595</v>
      </c>
      <c r="B613" s="10">
        <f>43.6723 * CHOOSE(CONTROL!$C$15, $E$9, 100%, $G$9) + CHOOSE(CONTROL!$C$38, 0.0256, 0)</f>
        <v>43.697899999999997</v>
      </c>
      <c r="C613" s="10">
        <f>40.3573 * CHOOSE(CONTROL!$C$15, $E$9, 100%, $G$9) + CHOOSE(CONTROL!$C$38, 0.0347, 0)</f>
        <v>40.392000000000003</v>
      </c>
      <c r="D613" s="10">
        <f>40.3495 * CHOOSE(CONTROL!$C$15, $E$9, 100%, $G$9) + CHOOSE(CONTROL!$C$38, 0.0347, 0)</f>
        <v>40.3842</v>
      </c>
      <c r="E613" s="46">
        <f>43.5161 * CHOOSE(CONTROL!$C$15, $E$9, 100%, $G$9) + CHOOSE(CONTROL!$C$38, 0.0347, 0)</f>
        <v>43.550800000000002</v>
      </c>
      <c r="F613" s="45">
        <f>43.5161 * CHOOSE(CONTROL!$C$15, $E$9, 100%, $G$9) + CHOOSE(CONTROL!$C$38, 0.0256, 0)</f>
        <v>43.541699999999999</v>
      </c>
      <c r="G613" s="10">
        <f>40.3558 * CHOOSE(CONTROL!$C$15, $E$9, 100%, $G$9) + CHOOSE(CONTROL!$C$38, 0.0347, 0)</f>
        <v>40.390500000000003</v>
      </c>
      <c r="H613" s="10">
        <f>40.3558 * CHOOSE(CONTROL!$C$15, $E$9, 100%, $G$9) + CHOOSE(CONTROL!$C$38, 0.0347, 0)</f>
        <v>40.390500000000003</v>
      </c>
      <c r="I613" s="10">
        <f>40.3573 * CHOOSE(CONTROL!$C$15, $E$9, 100%, $G$9) + CHOOSE(CONTROL!$C$38, 0.0347, 0)</f>
        <v>40.392000000000003</v>
      </c>
      <c r="J613" s="44">
        <f>300.1112</f>
        <v>300.1112</v>
      </c>
    </row>
    <row r="614" spans="1:10" ht="15.75" x14ac:dyDescent="0.25">
      <c r="A614" s="13">
        <v>59626</v>
      </c>
      <c r="B614" s="10">
        <f>43.1613 * CHOOSE(CONTROL!$C$15, $E$9, 100%, $G$9) + CHOOSE(CONTROL!$C$38, 0.0256, 0)</f>
        <v>43.186899999999994</v>
      </c>
      <c r="C614" s="10">
        <f>39.8463 * CHOOSE(CONTROL!$C$15, $E$9, 100%, $G$9) + CHOOSE(CONTROL!$C$38, 0.0347, 0)</f>
        <v>39.881</v>
      </c>
      <c r="D614" s="10">
        <f>39.8385 * CHOOSE(CONTROL!$C$15, $E$9, 100%, $G$9) + CHOOSE(CONTROL!$C$38, 0.0347, 0)</f>
        <v>39.873200000000004</v>
      </c>
      <c r="E614" s="46">
        <f>43.005 * CHOOSE(CONTROL!$C$15, $E$9, 100%, $G$9) + CHOOSE(CONTROL!$C$38, 0.0347, 0)</f>
        <v>43.039700000000003</v>
      </c>
      <c r="F614" s="45">
        <f>43.005 * CHOOSE(CONTROL!$C$15, $E$9, 100%, $G$9) + CHOOSE(CONTROL!$C$38, 0.0256, 0)</f>
        <v>43.0306</v>
      </c>
      <c r="G614" s="10">
        <f>39.8448 * CHOOSE(CONTROL!$C$15, $E$9, 100%, $G$9) + CHOOSE(CONTROL!$C$38, 0.0347, 0)</f>
        <v>39.8795</v>
      </c>
      <c r="H614" s="10">
        <f>39.8448 * CHOOSE(CONTROL!$C$15, $E$9, 100%, $G$9) + CHOOSE(CONTROL!$C$38, 0.0347, 0)</f>
        <v>39.8795</v>
      </c>
      <c r="I614" s="10">
        <f>39.8463 * CHOOSE(CONTROL!$C$15, $E$9, 100%, $G$9) + CHOOSE(CONTROL!$C$38, 0.0347, 0)</f>
        <v>39.881</v>
      </c>
      <c r="J614" s="44">
        <f>315.9288</f>
        <v>315.92880000000002</v>
      </c>
    </row>
    <row r="615" spans="1:10" ht="15.75" x14ac:dyDescent="0.25">
      <c r="A615" s="13">
        <v>59656</v>
      </c>
      <c r="B615" s="10">
        <f>42.6661 * CHOOSE(CONTROL!$C$15, $E$9, 100%, $G$9) + CHOOSE(CONTROL!$C$38, 0.0256, 0)</f>
        <v>42.691699999999997</v>
      </c>
      <c r="C615" s="10">
        <f>39.3511 * CHOOSE(CONTROL!$C$15, $E$9, 100%, $G$9) + CHOOSE(CONTROL!$C$38, 0.0347, 0)</f>
        <v>39.385800000000003</v>
      </c>
      <c r="D615" s="10">
        <f>39.3433 * CHOOSE(CONTROL!$C$15, $E$9, 100%, $G$9) + CHOOSE(CONTROL!$C$38, 0.0347, 0)</f>
        <v>39.378</v>
      </c>
      <c r="E615" s="46">
        <f>42.5099 * CHOOSE(CONTROL!$C$15, $E$9, 100%, $G$9) + CHOOSE(CONTROL!$C$38, 0.0347, 0)</f>
        <v>42.544600000000003</v>
      </c>
      <c r="F615" s="45">
        <f>42.5099 * CHOOSE(CONTROL!$C$15, $E$9, 100%, $G$9) + CHOOSE(CONTROL!$C$38, 0.0256, 0)</f>
        <v>42.535499999999999</v>
      </c>
      <c r="G615" s="10">
        <f>39.3496 * CHOOSE(CONTROL!$C$15, $E$9, 100%, $G$9) + CHOOSE(CONTROL!$C$38, 0.0347, 0)</f>
        <v>39.384300000000003</v>
      </c>
      <c r="H615" s="10">
        <f>39.3496 * CHOOSE(CONTROL!$C$15, $E$9, 100%, $G$9) + CHOOSE(CONTROL!$C$38, 0.0347, 0)</f>
        <v>39.384300000000003</v>
      </c>
      <c r="I615" s="10">
        <f>39.3511 * CHOOSE(CONTROL!$C$15, $E$9, 100%, $G$9) + CHOOSE(CONTROL!$C$38, 0.0347, 0)</f>
        <v>39.385800000000003</v>
      </c>
      <c r="J615" s="44">
        <f>336.4405</f>
        <v>336.44049999999999</v>
      </c>
    </row>
    <row r="616" spans="1:10" ht="15.75" x14ac:dyDescent="0.25">
      <c r="A616" s="13">
        <v>59687</v>
      </c>
      <c r="B616" s="10">
        <f>42.15 * CHOOSE(CONTROL!$C$15, $E$9, 100%, $G$9) + CHOOSE(CONTROL!$C$38, 0.0278, 0)</f>
        <v>42.177799999999998</v>
      </c>
      <c r="C616" s="10">
        <f>38.835 * CHOOSE(CONTROL!$C$15, $E$9, 100%, $G$9) + CHOOSE(CONTROL!$C$38, 0.0369, 0)</f>
        <v>38.871900000000004</v>
      </c>
      <c r="D616" s="10">
        <f>38.8272 * CHOOSE(CONTROL!$C$15, $E$9, 100%, $G$9) + CHOOSE(CONTROL!$C$38, 0.0369, 0)</f>
        <v>38.864100000000001</v>
      </c>
      <c r="E616" s="46">
        <f>41.9937 * CHOOSE(CONTROL!$C$15, $E$9, 100%, $G$9) + CHOOSE(CONTROL!$C$38, 0.0369, 0)</f>
        <v>42.0306</v>
      </c>
      <c r="F616" s="45">
        <f>41.9937 * CHOOSE(CONTROL!$C$15, $E$9, 100%, $G$9) + CHOOSE(CONTROL!$C$38, 0.0278, 0)</f>
        <v>42.021499999999996</v>
      </c>
      <c r="G616" s="10">
        <f>38.8335 * CHOOSE(CONTROL!$C$15, $E$9, 100%, $G$9) + CHOOSE(CONTROL!$C$38, 0.0369, 0)</f>
        <v>38.870400000000004</v>
      </c>
      <c r="H616" s="10">
        <f>38.8335 * CHOOSE(CONTROL!$C$15, $E$9, 100%, $G$9) + CHOOSE(CONTROL!$C$38, 0.0369, 0)</f>
        <v>38.870400000000004</v>
      </c>
      <c r="I616" s="10">
        <f>38.835 * CHOOSE(CONTROL!$C$15, $E$9, 100%, $G$9) + CHOOSE(CONTROL!$C$38, 0.0369, 0)</f>
        <v>38.871900000000004</v>
      </c>
      <c r="J616" s="44">
        <f>347.7307</f>
        <v>347.73070000000001</v>
      </c>
    </row>
    <row r="617" spans="1:10" ht="15.75" x14ac:dyDescent="0.25">
      <c r="A617" s="13">
        <v>59717</v>
      </c>
      <c r="B617" s="10">
        <f>41.7882 * CHOOSE(CONTROL!$C$15, $E$9, 100%, $G$9) + CHOOSE(CONTROL!$C$38, 0.0278, 0)</f>
        <v>41.816000000000003</v>
      </c>
      <c r="C617" s="10">
        <f>38.4732 * CHOOSE(CONTROL!$C$15, $E$9, 100%, $G$9) + CHOOSE(CONTROL!$C$38, 0.0369, 0)</f>
        <v>38.510100000000001</v>
      </c>
      <c r="D617" s="10">
        <f>38.4654 * CHOOSE(CONTROL!$C$15, $E$9, 100%, $G$9) + CHOOSE(CONTROL!$C$38, 0.0369, 0)</f>
        <v>38.502300000000005</v>
      </c>
      <c r="E617" s="46">
        <f>41.6319 * CHOOSE(CONTROL!$C$15, $E$9, 100%, $G$9) + CHOOSE(CONTROL!$C$38, 0.0369, 0)</f>
        <v>41.668800000000005</v>
      </c>
      <c r="F617" s="45">
        <f>41.6319 * CHOOSE(CONTROL!$C$15, $E$9, 100%, $G$9) + CHOOSE(CONTROL!$C$38, 0.0278, 0)</f>
        <v>41.659700000000001</v>
      </c>
      <c r="G617" s="10">
        <f>38.4716 * CHOOSE(CONTROL!$C$15, $E$9, 100%, $G$9) + CHOOSE(CONTROL!$C$38, 0.0369, 0)</f>
        <v>38.508500000000005</v>
      </c>
      <c r="H617" s="10">
        <f>38.4716 * CHOOSE(CONTROL!$C$15, $E$9, 100%, $G$9) + CHOOSE(CONTROL!$C$38, 0.0369, 0)</f>
        <v>38.508500000000005</v>
      </c>
      <c r="I617" s="10">
        <f>38.4732 * CHOOSE(CONTROL!$C$15, $E$9, 100%, $G$9) + CHOOSE(CONTROL!$C$38, 0.0369, 0)</f>
        <v>38.510100000000001</v>
      </c>
      <c r="J617" s="44">
        <f>352.7412</f>
        <v>352.74119999999999</v>
      </c>
    </row>
    <row r="618" spans="1:10" ht="15.75" x14ac:dyDescent="0.25">
      <c r="A618" s="13">
        <v>59748</v>
      </c>
      <c r="B618" s="10">
        <f>41.5817 * CHOOSE(CONTROL!$C$15, $E$9, 100%, $G$9) + CHOOSE(CONTROL!$C$38, 0.0278, 0)</f>
        <v>41.609499999999997</v>
      </c>
      <c r="C618" s="10">
        <f>38.2667 * CHOOSE(CONTROL!$C$15, $E$9, 100%, $G$9) + CHOOSE(CONTROL!$C$38, 0.0369, 0)</f>
        <v>38.303600000000003</v>
      </c>
      <c r="D618" s="10">
        <f>38.2589 * CHOOSE(CONTROL!$C$15, $E$9, 100%, $G$9) + CHOOSE(CONTROL!$C$38, 0.0369, 0)</f>
        <v>38.2958</v>
      </c>
      <c r="E618" s="46">
        <f>41.4254 * CHOOSE(CONTROL!$C$15, $E$9, 100%, $G$9) + CHOOSE(CONTROL!$C$38, 0.0369, 0)</f>
        <v>41.462300000000006</v>
      </c>
      <c r="F618" s="45">
        <f>41.4254 * CHOOSE(CONTROL!$C$15, $E$9, 100%, $G$9) + CHOOSE(CONTROL!$C$38, 0.0278, 0)</f>
        <v>41.453200000000002</v>
      </c>
      <c r="G618" s="10">
        <f>38.2651 * CHOOSE(CONTROL!$C$15, $E$9, 100%, $G$9) + CHOOSE(CONTROL!$C$38, 0.0369, 0)</f>
        <v>38.302</v>
      </c>
      <c r="H618" s="10">
        <f>38.2651 * CHOOSE(CONTROL!$C$15, $E$9, 100%, $G$9) + CHOOSE(CONTROL!$C$38, 0.0369, 0)</f>
        <v>38.302</v>
      </c>
      <c r="I618" s="10">
        <f>38.2667 * CHOOSE(CONTROL!$C$15, $E$9, 100%, $G$9) + CHOOSE(CONTROL!$C$38, 0.0369, 0)</f>
        <v>38.303600000000003</v>
      </c>
      <c r="J618" s="44">
        <f>351.0915</f>
        <v>351.0915</v>
      </c>
    </row>
    <row r="619" spans="1:10" ht="15.75" x14ac:dyDescent="0.25">
      <c r="A619" s="13">
        <v>59779</v>
      </c>
      <c r="B619" s="10">
        <f>41.6836 * CHOOSE(CONTROL!$C$15, $E$9, 100%, $G$9) + CHOOSE(CONTROL!$C$38, 0.0278, 0)</f>
        <v>41.711399999999998</v>
      </c>
      <c r="C619" s="10">
        <f>38.3686 * CHOOSE(CONTROL!$C$15, $E$9, 100%, $G$9) + CHOOSE(CONTROL!$C$38, 0.0369, 0)</f>
        <v>38.405500000000004</v>
      </c>
      <c r="D619" s="10">
        <f>38.3608 * CHOOSE(CONTROL!$C$15, $E$9, 100%, $G$9) + CHOOSE(CONTROL!$C$38, 0.0369, 0)</f>
        <v>38.3977</v>
      </c>
      <c r="E619" s="46">
        <f>41.5273 * CHOOSE(CONTROL!$C$15, $E$9, 100%, $G$9) + CHOOSE(CONTROL!$C$38, 0.0369, 0)</f>
        <v>41.5642</v>
      </c>
      <c r="F619" s="45">
        <f>41.5273 * CHOOSE(CONTROL!$C$15, $E$9, 100%, $G$9) + CHOOSE(CONTROL!$C$38, 0.0278, 0)</f>
        <v>41.555099999999996</v>
      </c>
      <c r="G619" s="10">
        <f>38.367 * CHOOSE(CONTROL!$C$15, $E$9, 100%, $G$9) + CHOOSE(CONTROL!$C$38, 0.0369, 0)</f>
        <v>38.4039</v>
      </c>
      <c r="H619" s="10">
        <f>38.367 * CHOOSE(CONTROL!$C$15, $E$9, 100%, $G$9) + CHOOSE(CONTROL!$C$38, 0.0369, 0)</f>
        <v>38.4039</v>
      </c>
      <c r="I619" s="10">
        <f>38.3686 * CHOOSE(CONTROL!$C$15, $E$9, 100%, $G$9) + CHOOSE(CONTROL!$C$38, 0.0369, 0)</f>
        <v>38.405500000000004</v>
      </c>
      <c r="J619" s="44">
        <f>342.9182</f>
        <v>342.91820000000001</v>
      </c>
    </row>
    <row r="620" spans="1:10" ht="15.75" x14ac:dyDescent="0.25">
      <c r="A620" s="13">
        <v>59809</v>
      </c>
      <c r="B620" s="10">
        <f>41.9604 * CHOOSE(CONTROL!$C$15, $E$9, 100%, $G$9) + CHOOSE(CONTROL!$C$38, 0.0278, 0)</f>
        <v>41.988199999999999</v>
      </c>
      <c r="C620" s="10">
        <f>38.6454 * CHOOSE(CONTROL!$C$15, $E$9, 100%, $G$9) + CHOOSE(CONTROL!$C$38, 0.0369, 0)</f>
        <v>38.682300000000005</v>
      </c>
      <c r="D620" s="10">
        <f>38.6376 * CHOOSE(CONTROL!$C$15, $E$9, 100%, $G$9) + CHOOSE(CONTROL!$C$38, 0.0369, 0)</f>
        <v>38.674500000000002</v>
      </c>
      <c r="E620" s="46">
        <f>41.8041 * CHOOSE(CONTROL!$C$15, $E$9, 100%, $G$9) + CHOOSE(CONTROL!$C$38, 0.0369, 0)</f>
        <v>41.841000000000001</v>
      </c>
      <c r="F620" s="45">
        <f>41.8041 * CHOOSE(CONTROL!$C$15, $E$9, 100%, $G$9) + CHOOSE(CONTROL!$C$38, 0.0278, 0)</f>
        <v>41.831899999999997</v>
      </c>
      <c r="G620" s="10">
        <f>38.6438 * CHOOSE(CONTROL!$C$15, $E$9, 100%, $G$9) + CHOOSE(CONTROL!$C$38, 0.0369, 0)</f>
        <v>38.680700000000002</v>
      </c>
      <c r="H620" s="10">
        <f>38.6438 * CHOOSE(CONTROL!$C$15, $E$9, 100%, $G$9) + CHOOSE(CONTROL!$C$38, 0.0369, 0)</f>
        <v>38.680700000000002</v>
      </c>
      <c r="I620" s="10">
        <f>38.6454 * CHOOSE(CONTROL!$C$15, $E$9, 100%, $G$9) + CHOOSE(CONTROL!$C$38, 0.0369, 0)</f>
        <v>38.682300000000005</v>
      </c>
      <c r="J620" s="44">
        <f>331.5202</f>
        <v>331.52019999999999</v>
      </c>
    </row>
    <row r="621" spans="1:10" ht="15.75" x14ac:dyDescent="0.25">
      <c r="A621" s="13">
        <v>59840</v>
      </c>
      <c r="B621" s="10">
        <f>42.1922 * CHOOSE(CONTROL!$C$15, $E$9, 100%, $G$9) + CHOOSE(CONTROL!$C$38, 0.0256, 0)</f>
        <v>42.217799999999997</v>
      </c>
      <c r="C621" s="10">
        <f>38.8772 * CHOOSE(CONTROL!$C$15, $E$9, 100%, $G$9) + CHOOSE(CONTROL!$C$38, 0.0347, 0)</f>
        <v>38.911900000000003</v>
      </c>
      <c r="D621" s="10">
        <f>38.8694 * CHOOSE(CONTROL!$C$15, $E$9, 100%, $G$9) + CHOOSE(CONTROL!$C$38, 0.0347, 0)</f>
        <v>38.9041</v>
      </c>
      <c r="E621" s="46">
        <f>42.0359 * CHOOSE(CONTROL!$C$15, $E$9, 100%, $G$9) + CHOOSE(CONTROL!$C$38, 0.0347, 0)</f>
        <v>42.070599999999999</v>
      </c>
      <c r="F621" s="45">
        <f>42.0359 * CHOOSE(CONTROL!$C$15, $E$9, 100%, $G$9) + CHOOSE(CONTROL!$C$38, 0.0256, 0)</f>
        <v>42.061499999999995</v>
      </c>
      <c r="G621" s="10">
        <f>38.8757 * CHOOSE(CONTROL!$C$15, $E$9, 100%, $G$9) + CHOOSE(CONTROL!$C$38, 0.0347, 0)</f>
        <v>38.910400000000003</v>
      </c>
      <c r="H621" s="10">
        <f>38.8757 * CHOOSE(CONTROL!$C$15, $E$9, 100%, $G$9) + CHOOSE(CONTROL!$C$38, 0.0347, 0)</f>
        <v>38.910400000000003</v>
      </c>
      <c r="I621" s="10">
        <f>38.8772 * CHOOSE(CONTROL!$C$15, $E$9, 100%, $G$9) + CHOOSE(CONTROL!$C$38, 0.0347, 0)</f>
        <v>38.911900000000003</v>
      </c>
      <c r="J621" s="44">
        <f>320.0559</f>
        <v>320.05590000000001</v>
      </c>
    </row>
    <row r="622" spans="1:10" ht="15.75" x14ac:dyDescent="0.25">
      <c r="A622" s="13">
        <v>59870</v>
      </c>
      <c r="B622" s="10">
        <f>42.3856 * CHOOSE(CONTROL!$C$15, $E$9, 100%, $G$9) + CHOOSE(CONTROL!$C$38, 0.0256, 0)</f>
        <v>42.411199999999994</v>
      </c>
      <c r="C622" s="10">
        <f>39.0707 * CHOOSE(CONTROL!$C$15, $E$9, 100%, $G$9) + CHOOSE(CONTROL!$C$38, 0.0347, 0)</f>
        <v>39.105400000000003</v>
      </c>
      <c r="D622" s="10">
        <f>39.0629 * CHOOSE(CONTROL!$C$15, $E$9, 100%, $G$9) + CHOOSE(CONTROL!$C$38, 0.0347, 0)</f>
        <v>39.0976</v>
      </c>
      <c r="E622" s="46">
        <f>42.2294 * CHOOSE(CONTROL!$C$15, $E$9, 100%, $G$9) + CHOOSE(CONTROL!$C$38, 0.0347, 0)</f>
        <v>42.264099999999999</v>
      </c>
      <c r="F622" s="45">
        <f>42.2294 * CHOOSE(CONTROL!$C$15, $E$9, 100%, $G$9) + CHOOSE(CONTROL!$C$38, 0.0256, 0)</f>
        <v>42.254999999999995</v>
      </c>
      <c r="G622" s="10">
        <f>39.0691 * CHOOSE(CONTROL!$C$15, $E$9, 100%, $G$9) + CHOOSE(CONTROL!$C$38, 0.0347, 0)</f>
        <v>39.1038</v>
      </c>
      <c r="H622" s="10">
        <f>39.0691 * CHOOSE(CONTROL!$C$15, $E$9, 100%, $G$9) + CHOOSE(CONTROL!$C$38, 0.0347, 0)</f>
        <v>39.1038</v>
      </c>
      <c r="I622" s="10">
        <f>39.0707 * CHOOSE(CONTROL!$C$15, $E$9, 100%, $G$9) + CHOOSE(CONTROL!$C$38, 0.0347, 0)</f>
        <v>39.105400000000003</v>
      </c>
      <c r="J622" s="44">
        <f>317.7754</f>
        <v>317.77539999999999</v>
      </c>
    </row>
    <row r="623" spans="1:10" ht="15.75" x14ac:dyDescent="0.25">
      <c r="A623" s="13">
        <v>59901</v>
      </c>
      <c r="B623" s="10">
        <f>42.9817 * CHOOSE(CONTROL!$C$15, $E$9, 100%, $G$9) + CHOOSE(CONTROL!$C$38, 0.0256, 0)</f>
        <v>43.007299999999994</v>
      </c>
      <c r="C623" s="10">
        <f>39.6667 * CHOOSE(CONTROL!$C$15, $E$9, 100%, $G$9) + CHOOSE(CONTROL!$C$38, 0.0347, 0)</f>
        <v>39.7014</v>
      </c>
      <c r="D623" s="10">
        <f>39.6589 * CHOOSE(CONTROL!$C$15, $E$9, 100%, $G$9) + CHOOSE(CONTROL!$C$38, 0.0347, 0)</f>
        <v>39.693600000000004</v>
      </c>
      <c r="E623" s="46">
        <f>42.8255 * CHOOSE(CONTROL!$C$15, $E$9, 100%, $G$9) + CHOOSE(CONTROL!$C$38, 0.0347, 0)</f>
        <v>42.860199999999999</v>
      </c>
      <c r="F623" s="45">
        <f>42.8255 * CHOOSE(CONTROL!$C$15, $E$9, 100%, $G$9) + CHOOSE(CONTROL!$C$38, 0.0256, 0)</f>
        <v>42.851099999999995</v>
      </c>
      <c r="G623" s="10">
        <f>39.6652 * CHOOSE(CONTROL!$C$15, $E$9, 100%, $G$9) + CHOOSE(CONTROL!$C$38, 0.0347, 0)</f>
        <v>39.6999</v>
      </c>
      <c r="H623" s="10">
        <f>39.6652 * CHOOSE(CONTROL!$C$15, $E$9, 100%, $G$9) + CHOOSE(CONTROL!$C$38, 0.0347, 0)</f>
        <v>39.6999</v>
      </c>
      <c r="I623" s="10">
        <f>39.6667 * CHOOSE(CONTROL!$C$15, $E$9, 100%, $G$9) + CHOOSE(CONTROL!$C$38, 0.0347, 0)</f>
        <v>39.7014</v>
      </c>
      <c r="J623" s="44">
        <f>308.3454</f>
        <v>308.34539999999998</v>
      </c>
    </row>
    <row r="624" spans="1:10" ht="15.75" x14ac:dyDescent="0.25">
      <c r="A624" s="13">
        <v>59932</v>
      </c>
      <c r="B624" s="10">
        <f>44.1378 * CHOOSE(CONTROL!$C$15, $E$9, 100%, $G$9) + CHOOSE(CONTROL!$C$38, 0.0256, 0)</f>
        <v>44.163399999999996</v>
      </c>
      <c r="C624" s="10">
        <f>40.771 * CHOOSE(CONTROL!$C$15, $E$9, 100%, $G$9) + CHOOSE(CONTROL!$C$38, 0.0347, 0)</f>
        <v>40.805700000000002</v>
      </c>
      <c r="D624" s="10">
        <f>40.7632 * CHOOSE(CONTROL!$C$15, $E$9, 100%, $G$9) + CHOOSE(CONTROL!$C$38, 0.0347, 0)</f>
        <v>40.797899999999998</v>
      </c>
      <c r="E624" s="46">
        <f>43.9815 * CHOOSE(CONTROL!$C$15, $E$9, 100%, $G$9) + CHOOSE(CONTROL!$C$38, 0.0347, 0)</f>
        <v>44.016199999999998</v>
      </c>
      <c r="F624" s="45">
        <f>43.9815 * CHOOSE(CONTROL!$C$15, $E$9, 100%, $G$9) + CHOOSE(CONTROL!$C$38, 0.0256, 0)</f>
        <v>44.007099999999994</v>
      </c>
      <c r="G624" s="10">
        <f>40.7695 * CHOOSE(CONTROL!$C$15, $E$9, 100%, $G$9) + CHOOSE(CONTROL!$C$38, 0.0347, 0)</f>
        <v>40.804200000000002</v>
      </c>
      <c r="H624" s="10">
        <f>40.7695 * CHOOSE(CONTROL!$C$15, $E$9, 100%, $G$9) + CHOOSE(CONTROL!$C$38, 0.0347, 0)</f>
        <v>40.804200000000002</v>
      </c>
      <c r="I624" s="10">
        <f>40.771 * CHOOSE(CONTROL!$C$15, $E$9, 100%, $G$9) + CHOOSE(CONTROL!$C$38, 0.0347, 0)</f>
        <v>40.805700000000002</v>
      </c>
      <c r="J624" s="44">
        <f>307.7566</f>
        <v>307.75659999999999</v>
      </c>
    </row>
    <row r="625" spans="1:10" ht="15.75" x14ac:dyDescent="0.25">
      <c r="A625" s="13">
        <v>59961</v>
      </c>
      <c r="B625" s="10">
        <f>44.3585 * CHOOSE(CONTROL!$C$15, $E$9, 100%, $G$9) + CHOOSE(CONTROL!$C$38, 0.0256, 0)</f>
        <v>44.384099999999997</v>
      </c>
      <c r="C625" s="10">
        <f>40.9918 * CHOOSE(CONTROL!$C$15, $E$9, 100%, $G$9) + CHOOSE(CONTROL!$C$38, 0.0347, 0)</f>
        <v>41.026499999999999</v>
      </c>
      <c r="D625" s="10">
        <f>40.984 * CHOOSE(CONTROL!$C$15, $E$9, 100%, $G$9) + CHOOSE(CONTROL!$C$38, 0.0347, 0)</f>
        <v>41.018700000000003</v>
      </c>
      <c r="E625" s="46">
        <f>44.2023 * CHOOSE(CONTROL!$C$15, $E$9, 100%, $G$9) + CHOOSE(CONTROL!$C$38, 0.0347, 0)</f>
        <v>44.237000000000002</v>
      </c>
      <c r="F625" s="45">
        <f>44.2023 * CHOOSE(CONTROL!$C$15, $E$9, 100%, $G$9) + CHOOSE(CONTROL!$C$38, 0.0256, 0)</f>
        <v>44.227899999999998</v>
      </c>
      <c r="G625" s="10">
        <f>40.9902 * CHOOSE(CONTROL!$C$15, $E$9, 100%, $G$9) + CHOOSE(CONTROL!$C$38, 0.0347, 0)</f>
        <v>41.024900000000002</v>
      </c>
      <c r="H625" s="10">
        <f>40.9902 * CHOOSE(CONTROL!$C$15, $E$9, 100%, $G$9) + CHOOSE(CONTROL!$C$38, 0.0347, 0)</f>
        <v>41.024900000000002</v>
      </c>
      <c r="I625" s="10">
        <f>40.9918 * CHOOSE(CONTROL!$C$15, $E$9, 100%, $G$9) + CHOOSE(CONTROL!$C$38, 0.0347, 0)</f>
        <v>41.026499999999999</v>
      </c>
      <c r="J625" s="44">
        <f>306.9011</f>
        <v>306.90109999999999</v>
      </c>
    </row>
    <row r="626" spans="1:10" ht="15.75" x14ac:dyDescent="0.25">
      <c r="A626" s="13">
        <v>59992</v>
      </c>
      <c r="B626" s="10">
        <f>43.8475 * CHOOSE(CONTROL!$C$15, $E$9, 100%, $G$9) + CHOOSE(CONTROL!$C$38, 0.0256, 0)</f>
        <v>43.873099999999994</v>
      </c>
      <c r="C626" s="10">
        <f>40.4808 * CHOOSE(CONTROL!$C$15, $E$9, 100%, $G$9) + CHOOSE(CONTROL!$C$38, 0.0347, 0)</f>
        <v>40.515500000000003</v>
      </c>
      <c r="D626" s="10">
        <f>40.4729 * CHOOSE(CONTROL!$C$15, $E$9, 100%, $G$9) + CHOOSE(CONTROL!$C$38, 0.0347, 0)</f>
        <v>40.507600000000004</v>
      </c>
      <c r="E626" s="46">
        <f>43.6913 * CHOOSE(CONTROL!$C$15, $E$9, 100%, $G$9) + CHOOSE(CONTROL!$C$38, 0.0347, 0)</f>
        <v>43.725999999999999</v>
      </c>
      <c r="F626" s="45">
        <f>43.6913 * CHOOSE(CONTROL!$C$15, $E$9, 100%, $G$9) + CHOOSE(CONTROL!$C$38, 0.0256, 0)</f>
        <v>43.716899999999995</v>
      </c>
      <c r="G626" s="10">
        <f>40.4792 * CHOOSE(CONTROL!$C$15, $E$9, 100%, $G$9) + CHOOSE(CONTROL!$C$38, 0.0347, 0)</f>
        <v>40.5139</v>
      </c>
      <c r="H626" s="10">
        <f>40.4792 * CHOOSE(CONTROL!$C$15, $E$9, 100%, $G$9) + CHOOSE(CONTROL!$C$38, 0.0347, 0)</f>
        <v>40.5139</v>
      </c>
      <c r="I626" s="10">
        <f>40.4808 * CHOOSE(CONTROL!$C$15, $E$9, 100%, $G$9) + CHOOSE(CONTROL!$C$38, 0.0347, 0)</f>
        <v>40.515500000000003</v>
      </c>
      <c r="J626" s="44">
        <f>323.0766</f>
        <v>323.07659999999998</v>
      </c>
    </row>
    <row r="627" spans="1:10" ht="15.75" x14ac:dyDescent="0.25">
      <c r="A627" s="13">
        <v>60022</v>
      </c>
      <c r="B627" s="10">
        <f>43.3523 * CHOOSE(CONTROL!$C$15, $E$9, 100%, $G$9) + CHOOSE(CONTROL!$C$38, 0.0256, 0)</f>
        <v>43.377899999999997</v>
      </c>
      <c r="C627" s="10">
        <f>39.9856 * CHOOSE(CONTROL!$C$15, $E$9, 100%, $G$9) + CHOOSE(CONTROL!$C$38, 0.0347, 0)</f>
        <v>40.020299999999999</v>
      </c>
      <c r="D627" s="10">
        <f>39.9778 * CHOOSE(CONTROL!$C$15, $E$9, 100%, $G$9) + CHOOSE(CONTROL!$C$38, 0.0347, 0)</f>
        <v>40.012500000000003</v>
      </c>
      <c r="E627" s="46">
        <f>43.1961 * CHOOSE(CONTROL!$C$15, $E$9, 100%, $G$9) + CHOOSE(CONTROL!$C$38, 0.0347, 0)</f>
        <v>43.230800000000002</v>
      </c>
      <c r="F627" s="45">
        <f>43.1961 * CHOOSE(CONTROL!$C$15, $E$9, 100%, $G$9) + CHOOSE(CONTROL!$C$38, 0.0256, 0)</f>
        <v>43.221699999999998</v>
      </c>
      <c r="G627" s="10">
        <f>39.984 * CHOOSE(CONTROL!$C$15, $E$9, 100%, $G$9) + CHOOSE(CONTROL!$C$38, 0.0347, 0)</f>
        <v>40.018700000000003</v>
      </c>
      <c r="H627" s="10">
        <f>39.984 * CHOOSE(CONTROL!$C$15, $E$9, 100%, $G$9) + CHOOSE(CONTROL!$C$38, 0.0347, 0)</f>
        <v>40.018700000000003</v>
      </c>
      <c r="I627" s="10">
        <f>39.9856 * CHOOSE(CONTROL!$C$15, $E$9, 100%, $G$9) + CHOOSE(CONTROL!$C$38, 0.0347, 0)</f>
        <v>40.020299999999999</v>
      </c>
      <c r="J627" s="44">
        <f>344.0523</f>
        <v>344.0523</v>
      </c>
    </row>
    <row r="628" spans="1:10" ht="15.75" x14ac:dyDescent="0.25">
      <c r="A628" s="13">
        <v>60053</v>
      </c>
      <c r="B628" s="10">
        <f>42.8362 * CHOOSE(CONTROL!$C$15, $E$9, 100%, $G$9) + CHOOSE(CONTROL!$C$38, 0.0278, 0)</f>
        <v>42.863999999999997</v>
      </c>
      <c r="C628" s="10">
        <f>39.4695 * CHOOSE(CONTROL!$C$15, $E$9, 100%, $G$9) + CHOOSE(CONTROL!$C$38, 0.0369, 0)</f>
        <v>39.506399999999999</v>
      </c>
      <c r="D628" s="10">
        <f>39.4617 * CHOOSE(CONTROL!$C$15, $E$9, 100%, $G$9) + CHOOSE(CONTROL!$C$38, 0.0369, 0)</f>
        <v>39.498600000000003</v>
      </c>
      <c r="E628" s="46">
        <f>42.68 * CHOOSE(CONTROL!$C$15, $E$9, 100%, $G$9) + CHOOSE(CONTROL!$C$38, 0.0369, 0)</f>
        <v>42.716900000000003</v>
      </c>
      <c r="F628" s="45">
        <f>42.68 * CHOOSE(CONTROL!$C$15, $E$9, 100%, $G$9) + CHOOSE(CONTROL!$C$38, 0.0278, 0)</f>
        <v>42.707799999999999</v>
      </c>
      <c r="G628" s="10">
        <f>39.4679 * CHOOSE(CONTROL!$C$15, $E$9, 100%, $G$9) + CHOOSE(CONTROL!$C$38, 0.0369, 0)</f>
        <v>39.504800000000003</v>
      </c>
      <c r="H628" s="10">
        <f>39.4679 * CHOOSE(CONTROL!$C$15, $E$9, 100%, $G$9) + CHOOSE(CONTROL!$C$38, 0.0369, 0)</f>
        <v>39.504800000000003</v>
      </c>
      <c r="I628" s="10">
        <f>39.4695 * CHOOSE(CONTROL!$C$15, $E$9, 100%, $G$9) + CHOOSE(CONTROL!$C$38, 0.0369, 0)</f>
        <v>39.506399999999999</v>
      </c>
      <c r="J628" s="44">
        <f>355.598</f>
        <v>355.59800000000001</v>
      </c>
    </row>
    <row r="629" spans="1:10" ht="15.75" x14ac:dyDescent="0.25">
      <c r="A629" s="13">
        <v>60083</v>
      </c>
      <c r="B629" s="10">
        <f>42.4744 * CHOOSE(CONTROL!$C$15, $E$9, 100%, $G$9) + CHOOSE(CONTROL!$C$38, 0.0278, 0)</f>
        <v>42.502200000000002</v>
      </c>
      <c r="C629" s="10">
        <f>39.1076 * CHOOSE(CONTROL!$C$15, $E$9, 100%, $G$9) + CHOOSE(CONTROL!$C$38, 0.0369, 0)</f>
        <v>39.144500000000001</v>
      </c>
      <c r="D629" s="10">
        <f>39.0998 * CHOOSE(CONTROL!$C$15, $E$9, 100%, $G$9) + CHOOSE(CONTROL!$C$38, 0.0369, 0)</f>
        <v>39.136700000000005</v>
      </c>
      <c r="E629" s="46">
        <f>42.3181 * CHOOSE(CONTROL!$C$15, $E$9, 100%, $G$9) + CHOOSE(CONTROL!$C$38, 0.0369, 0)</f>
        <v>42.355000000000004</v>
      </c>
      <c r="F629" s="45">
        <f>42.3181 * CHOOSE(CONTROL!$C$15, $E$9, 100%, $G$9) + CHOOSE(CONTROL!$C$38, 0.0278, 0)</f>
        <v>42.3459</v>
      </c>
      <c r="G629" s="10">
        <f>39.1061 * CHOOSE(CONTROL!$C$15, $E$9, 100%, $G$9) + CHOOSE(CONTROL!$C$38, 0.0369, 0)</f>
        <v>39.143000000000001</v>
      </c>
      <c r="H629" s="10">
        <f>39.1061 * CHOOSE(CONTROL!$C$15, $E$9, 100%, $G$9) + CHOOSE(CONTROL!$C$38, 0.0369, 0)</f>
        <v>39.143000000000001</v>
      </c>
      <c r="I629" s="10">
        <f>39.1076 * CHOOSE(CONTROL!$C$15, $E$9, 100%, $G$9) + CHOOSE(CONTROL!$C$38, 0.0369, 0)</f>
        <v>39.144500000000001</v>
      </c>
      <c r="J629" s="44">
        <f>360.7218</f>
        <v>360.72179999999997</v>
      </c>
    </row>
    <row r="630" spans="1:10" ht="15.75" x14ac:dyDescent="0.25">
      <c r="A630" s="13">
        <v>60114</v>
      </c>
      <c r="B630" s="10">
        <f>42.2679 * CHOOSE(CONTROL!$C$15, $E$9, 100%, $G$9) + CHOOSE(CONTROL!$C$38, 0.0278, 0)</f>
        <v>42.295699999999997</v>
      </c>
      <c r="C630" s="10">
        <f>38.9011 * CHOOSE(CONTROL!$C$15, $E$9, 100%, $G$9) + CHOOSE(CONTROL!$C$38, 0.0369, 0)</f>
        <v>38.938000000000002</v>
      </c>
      <c r="D630" s="10">
        <f>38.8933 * CHOOSE(CONTROL!$C$15, $E$9, 100%, $G$9) + CHOOSE(CONTROL!$C$38, 0.0369, 0)</f>
        <v>38.930200000000006</v>
      </c>
      <c r="E630" s="46">
        <f>42.1116 * CHOOSE(CONTROL!$C$15, $E$9, 100%, $G$9) + CHOOSE(CONTROL!$C$38, 0.0369, 0)</f>
        <v>42.148500000000006</v>
      </c>
      <c r="F630" s="45">
        <f>42.1116 * CHOOSE(CONTROL!$C$15, $E$9, 100%, $G$9) + CHOOSE(CONTROL!$C$38, 0.0278, 0)</f>
        <v>42.139400000000002</v>
      </c>
      <c r="G630" s="10">
        <f>38.8996 * CHOOSE(CONTROL!$C$15, $E$9, 100%, $G$9) + CHOOSE(CONTROL!$C$38, 0.0369, 0)</f>
        <v>38.936500000000002</v>
      </c>
      <c r="H630" s="10">
        <f>38.8996 * CHOOSE(CONTROL!$C$15, $E$9, 100%, $G$9) + CHOOSE(CONTROL!$C$38, 0.0369, 0)</f>
        <v>38.936500000000002</v>
      </c>
      <c r="I630" s="10">
        <f>38.9011 * CHOOSE(CONTROL!$C$15, $E$9, 100%, $G$9) + CHOOSE(CONTROL!$C$38, 0.0369, 0)</f>
        <v>38.938000000000002</v>
      </c>
      <c r="J630" s="44">
        <f>359.0348</f>
        <v>359.03480000000002</v>
      </c>
    </row>
    <row r="631" spans="1:10" ht="15.75" x14ac:dyDescent="0.25">
      <c r="A631" s="13">
        <v>60145</v>
      </c>
      <c r="B631" s="10">
        <f>42.3698 * CHOOSE(CONTROL!$C$15, $E$9, 100%, $G$9) + CHOOSE(CONTROL!$C$38, 0.0278, 0)</f>
        <v>42.397599999999997</v>
      </c>
      <c r="C631" s="10">
        <f>39.0031 * CHOOSE(CONTROL!$C$15, $E$9, 100%, $G$9) + CHOOSE(CONTROL!$C$38, 0.0369, 0)</f>
        <v>39.040000000000006</v>
      </c>
      <c r="D631" s="10">
        <f>38.9952 * CHOOSE(CONTROL!$C$15, $E$9, 100%, $G$9) + CHOOSE(CONTROL!$C$38, 0.0369, 0)</f>
        <v>39.0321</v>
      </c>
      <c r="E631" s="46">
        <f>42.2136 * CHOOSE(CONTROL!$C$15, $E$9, 100%, $G$9) + CHOOSE(CONTROL!$C$38, 0.0369, 0)</f>
        <v>42.250500000000002</v>
      </c>
      <c r="F631" s="45">
        <f>42.2136 * CHOOSE(CONTROL!$C$15, $E$9, 100%, $G$9) + CHOOSE(CONTROL!$C$38, 0.0278, 0)</f>
        <v>42.241399999999999</v>
      </c>
      <c r="G631" s="10">
        <f>39.0015 * CHOOSE(CONTROL!$C$15, $E$9, 100%, $G$9) + CHOOSE(CONTROL!$C$38, 0.0369, 0)</f>
        <v>39.038400000000003</v>
      </c>
      <c r="H631" s="10">
        <f>39.0015 * CHOOSE(CONTROL!$C$15, $E$9, 100%, $G$9) + CHOOSE(CONTROL!$C$38, 0.0369, 0)</f>
        <v>39.038400000000003</v>
      </c>
      <c r="I631" s="10">
        <f>39.0031 * CHOOSE(CONTROL!$C$15, $E$9, 100%, $G$9) + CHOOSE(CONTROL!$C$38, 0.0369, 0)</f>
        <v>39.040000000000006</v>
      </c>
      <c r="J631" s="44">
        <f>350.6766</f>
        <v>350.67660000000001</v>
      </c>
    </row>
    <row r="632" spans="1:10" ht="15.75" x14ac:dyDescent="0.25">
      <c r="A632" s="13">
        <v>60175</v>
      </c>
      <c r="B632" s="10">
        <f>42.6466 * CHOOSE(CONTROL!$C$15, $E$9, 100%, $G$9) + CHOOSE(CONTROL!$C$38, 0.0278, 0)</f>
        <v>42.674399999999999</v>
      </c>
      <c r="C632" s="10">
        <f>39.2799 * CHOOSE(CONTROL!$C$15, $E$9, 100%, $G$9) + CHOOSE(CONTROL!$C$38, 0.0369, 0)</f>
        <v>39.316800000000001</v>
      </c>
      <c r="D632" s="10">
        <f>39.272 * CHOOSE(CONTROL!$C$15, $E$9, 100%, $G$9) + CHOOSE(CONTROL!$C$38, 0.0369, 0)</f>
        <v>39.308900000000001</v>
      </c>
      <c r="E632" s="46">
        <f>42.4904 * CHOOSE(CONTROL!$C$15, $E$9, 100%, $G$9) + CHOOSE(CONTROL!$C$38, 0.0369, 0)</f>
        <v>42.527300000000004</v>
      </c>
      <c r="F632" s="45">
        <f>42.4904 * CHOOSE(CONTROL!$C$15, $E$9, 100%, $G$9) + CHOOSE(CONTROL!$C$38, 0.0278, 0)</f>
        <v>42.5182</v>
      </c>
      <c r="G632" s="10">
        <f>39.2783 * CHOOSE(CONTROL!$C$15, $E$9, 100%, $G$9) + CHOOSE(CONTROL!$C$38, 0.0369, 0)</f>
        <v>39.315200000000004</v>
      </c>
      <c r="H632" s="10">
        <f>39.2783 * CHOOSE(CONTROL!$C$15, $E$9, 100%, $G$9) + CHOOSE(CONTROL!$C$38, 0.0369, 0)</f>
        <v>39.315200000000004</v>
      </c>
      <c r="I632" s="10">
        <f>39.2799 * CHOOSE(CONTROL!$C$15, $E$9, 100%, $G$9) + CHOOSE(CONTROL!$C$38, 0.0369, 0)</f>
        <v>39.316800000000001</v>
      </c>
      <c r="J632" s="44">
        <f>339.0207</f>
        <v>339.02069999999998</v>
      </c>
    </row>
    <row r="633" spans="1:10" ht="15.75" x14ac:dyDescent="0.25">
      <c r="A633" s="13">
        <v>60206</v>
      </c>
      <c r="B633" s="10">
        <f>42.8784 * CHOOSE(CONTROL!$C$15, $E$9, 100%, $G$9) + CHOOSE(CONTROL!$C$38, 0.0256, 0)</f>
        <v>42.903999999999996</v>
      </c>
      <c r="C633" s="10">
        <f>39.5117 * CHOOSE(CONTROL!$C$15, $E$9, 100%, $G$9) + CHOOSE(CONTROL!$C$38, 0.0347, 0)</f>
        <v>39.546399999999998</v>
      </c>
      <c r="D633" s="10">
        <f>39.5039 * CHOOSE(CONTROL!$C$15, $E$9, 100%, $G$9) + CHOOSE(CONTROL!$C$38, 0.0347, 0)</f>
        <v>39.538600000000002</v>
      </c>
      <c r="E633" s="46">
        <f>42.7222 * CHOOSE(CONTROL!$C$15, $E$9, 100%, $G$9) + CHOOSE(CONTROL!$C$38, 0.0347, 0)</f>
        <v>42.756900000000002</v>
      </c>
      <c r="F633" s="45">
        <f>42.7222 * CHOOSE(CONTROL!$C$15, $E$9, 100%, $G$9) + CHOOSE(CONTROL!$C$38, 0.0256, 0)</f>
        <v>42.747799999999998</v>
      </c>
      <c r="G633" s="10">
        <f>39.5101 * CHOOSE(CONTROL!$C$15, $E$9, 100%, $G$9) + CHOOSE(CONTROL!$C$38, 0.0347, 0)</f>
        <v>39.544800000000002</v>
      </c>
      <c r="H633" s="10">
        <f>39.5101 * CHOOSE(CONTROL!$C$15, $E$9, 100%, $G$9) + CHOOSE(CONTROL!$C$38, 0.0347, 0)</f>
        <v>39.544800000000002</v>
      </c>
      <c r="I633" s="10">
        <f>39.5117 * CHOOSE(CONTROL!$C$15, $E$9, 100%, $G$9) + CHOOSE(CONTROL!$C$38, 0.0347, 0)</f>
        <v>39.546399999999998</v>
      </c>
      <c r="J633" s="44">
        <f>327.297</f>
        <v>327.29700000000003</v>
      </c>
    </row>
    <row r="634" spans="1:10" ht="15.75" x14ac:dyDescent="0.25">
      <c r="A634" s="13">
        <v>60236</v>
      </c>
      <c r="B634" s="10">
        <f>43.0719 * CHOOSE(CONTROL!$C$15, $E$9, 100%, $G$9) + CHOOSE(CONTROL!$C$38, 0.0256, 0)</f>
        <v>43.097499999999997</v>
      </c>
      <c r="C634" s="10">
        <f>39.7051 * CHOOSE(CONTROL!$C$15, $E$9, 100%, $G$9) + CHOOSE(CONTROL!$C$38, 0.0347, 0)</f>
        <v>39.739800000000002</v>
      </c>
      <c r="D634" s="10">
        <f>39.6973 * CHOOSE(CONTROL!$C$15, $E$9, 100%, $G$9) + CHOOSE(CONTROL!$C$38, 0.0347, 0)</f>
        <v>39.731999999999999</v>
      </c>
      <c r="E634" s="46">
        <f>42.9156 * CHOOSE(CONTROL!$C$15, $E$9, 100%, $G$9) + CHOOSE(CONTROL!$C$38, 0.0347, 0)</f>
        <v>42.950299999999999</v>
      </c>
      <c r="F634" s="45">
        <f>42.9156 * CHOOSE(CONTROL!$C$15, $E$9, 100%, $G$9) + CHOOSE(CONTROL!$C$38, 0.0256, 0)</f>
        <v>42.941199999999995</v>
      </c>
      <c r="G634" s="10">
        <f>39.7036 * CHOOSE(CONTROL!$C$15, $E$9, 100%, $G$9) + CHOOSE(CONTROL!$C$38, 0.0347, 0)</f>
        <v>39.738300000000002</v>
      </c>
      <c r="H634" s="10">
        <f>39.7036 * CHOOSE(CONTROL!$C$15, $E$9, 100%, $G$9) + CHOOSE(CONTROL!$C$38, 0.0347, 0)</f>
        <v>39.738300000000002</v>
      </c>
      <c r="I634" s="10">
        <f>39.7051 * CHOOSE(CONTROL!$C$15, $E$9, 100%, $G$9) + CHOOSE(CONTROL!$C$38, 0.0347, 0)</f>
        <v>39.739800000000002</v>
      </c>
      <c r="J634" s="44">
        <f>324.9649</f>
        <v>324.9649</v>
      </c>
    </row>
    <row r="635" spans="1:10" ht="15.75" x14ac:dyDescent="0.25">
      <c r="A635" s="13">
        <v>60267</v>
      </c>
      <c r="B635" s="10">
        <f>43.6679 * CHOOSE(CONTROL!$C$15, $E$9, 100%, $G$9) + CHOOSE(CONTROL!$C$38, 0.0256, 0)</f>
        <v>43.6935</v>
      </c>
      <c r="C635" s="10">
        <f>40.3012 * CHOOSE(CONTROL!$C$15, $E$9, 100%, $G$9) + CHOOSE(CONTROL!$C$38, 0.0347, 0)</f>
        <v>40.335900000000002</v>
      </c>
      <c r="D635" s="10">
        <f>40.2934 * CHOOSE(CONTROL!$C$15, $E$9, 100%, $G$9) + CHOOSE(CONTROL!$C$38, 0.0347, 0)</f>
        <v>40.328099999999999</v>
      </c>
      <c r="E635" s="46">
        <f>43.5117 * CHOOSE(CONTROL!$C$15, $E$9, 100%, $G$9) + CHOOSE(CONTROL!$C$38, 0.0347, 0)</f>
        <v>43.546399999999998</v>
      </c>
      <c r="F635" s="45">
        <f>43.5117 * CHOOSE(CONTROL!$C$15, $E$9, 100%, $G$9) + CHOOSE(CONTROL!$C$38, 0.0256, 0)</f>
        <v>43.537299999999995</v>
      </c>
      <c r="G635" s="10">
        <f>40.2996 * CHOOSE(CONTROL!$C$15, $E$9, 100%, $G$9) + CHOOSE(CONTROL!$C$38, 0.0347, 0)</f>
        <v>40.334299999999999</v>
      </c>
      <c r="H635" s="10">
        <f>40.2996 * CHOOSE(CONTROL!$C$15, $E$9, 100%, $G$9) + CHOOSE(CONTROL!$C$38, 0.0347, 0)</f>
        <v>40.334299999999999</v>
      </c>
      <c r="I635" s="10">
        <f>40.3012 * CHOOSE(CONTROL!$C$15, $E$9, 100%, $G$9) + CHOOSE(CONTROL!$C$38, 0.0347, 0)</f>
        <v>40.335900000000002</v>
      </c>
      <c r="J635" s="44">
        <f>315.3216</f>
        <v>315.32159999999999</v>
      </c>
    </row>
    <row r="636" spans="1:10" ht="15.75" x14ac:dyDescent="0.25">
      <c r="A636" s="13">
        <v>60298</v>
      </c>
      <c r="B636" s="10">
        <f>44.8353 * CHOOSE(CONTROL!$C$15, $E$9, 100%, $G$9) + CHOOSE(CONTROL!$C$38, 0.0256, 0)</f>
        <v>44.860899999999994</v>
      </c>
      <c r="C636" s="10">
        <f>41.4159 * CHOOSE(CONTROL!$C$15, $E$9, 100%, $G$9) + CHOOSE(CONTROL!$C$38, 0.0347, 0)</f>
        <v>41.450600000000001</v>
      </c>
      <c r="D636" s="10">
        <f>41.4081 * CHOOSE(CONTROL!$C$15, $E$9, 100%, $G$9) + CHOOSE(CONTROL!$C$38, 0.0347, 0)</f>
        <v>41.442799999999998</v>
      </c>
      <c r="E636" s="46">
        <f>44.679 * CHOOSE(CONTROL!$C$15, $E$9, 100%, $G$9) + CHOOSE(CONTROL!$C$38, 0.0347, 0)</f>
        <v>44.713700000000003</v>
      </c>
      <c r="F636" s="45">
        <f>44.679 * CHOOSE(CONTROL!$C$15, $E$9, 100%, $G$9) + CHOOSE(CONTROL!$C$38, 0.0256, 0)</f>
        <v>44.704599999999999</v>
      </c>
      <c r="G636" s="10">
        <f>41.4143 * CHOOSE(CONTROL!$C$15, $E$9, 100%, $G$9) + CHOOSE(CONTROL!$C$38, 0.0347, 0)</f>
        <v>41.448999999999998</v>
      </c>
      <c r="H636" s="10">
        <f>41.4143 * CHOOSE(CONTROL!$C$15, $E$9, 100%, $G$9) + CHOOSE(CONTROL!$C$38, 0.0347, 0)</f>
        <v>41.448999999999998</v>
      </c>
      <c r="I636" s="10">
        <f>41.4159 * CHOOSE(CONTROL!$C$15, $E$9, 100%, $G$9) + CHOOSE(CONTROL!$C$38, 0.0347, 0)</f>
        <v>41.450600000000001</v>
      </c>
      <c r="J636" s="44">
        <f>314.7194</f>
        <v>314.71940000000001</v>
      </c>
    </row>
    <row r="637" spans="1:10" ht="15.75" x14ac:dyDescent="0.25">
      <c r="A637" s="13">
        <v>60326</v>
      </c>
      <c r="B637" s="10">
        <f>45.056 * CHOOSE(CONTROL!$C$15, $E$9, 100%, $G$9) + CHOOSE(CONTROL!$C$38, 0.0256, 0)</f>
        <v>45.081599999999995</v>
      </c>
      <c r="C637" s="10">
        <f>41.6366 * CHOOSE(CONTROL!$C$15, $E$9, 100%, $G$9) + CHOOSE(CONTROL!$C$38, 0.0347, 0)</f>
        <v>41.671300000000002</v>
      </c>
      <c r="D637" s="10">
        <f>41.6288 * CHOOSE(CONTROL!$C$15, $E$9, 100%, $G$9) + CHOOSE(CONTROL!$C$38, 0.0347, 0)</f>
        <v>41.663499999999999</v>
      </c>
      <c r="E637" s="46">
        <f>44.8998 * CHOOSE(CONTROL!$C$15, $E$9, 100%, $G$9) + CHOOSE(CONTROL!$C$38, 0.0347, 0)</f>
        <v>44.9345</v>
      </c>
      <c r="F637" s="45">
        <f>44.8998 * CHOOSE(CONTROL!$C$15, $E$9, 100%, $G$9) + CHOOSE(CONTROL!$C$38, 0.0256, 0)</f>
        <v>44.925399999999996</v>
      </c>
      <c r="G637" s="10">
        <f>41.6351 * CHOOSE(CONTROL!$C$15, $E$9, 100%, $G$9) + CHOOSE(CONTROL!$C$38, 0.0347, 0)</f>
        <v>41.669800000000002</v>
      </c>
      <c r="H637" s="10">
        <f>41.6351 * CHOOSE(CONTROL!$C$15, $E$9, 100%, $G$9) + CHOOSE(CONTROL!$C$38, 0.0347, 0)</f>
        <v>41.669800000000002</v>
      </c>
      <c r="I637" s="10">
        <f>41.6366 * CHOOSE(CONTROL!$C$15, $E$9, 100%, $G$9) + CHOOSE(CONTROL!$C$38, 0.0347, 0)</f>
        <v>41.671300000000002</v>
      </c>
      <c r="J637" s="44">
        <f>313.8446</f>
        <v>313.84460000000001</v>
      </c>
    </row>
    <row r="638" spans="1:10" ht="15.75" x14ac:dyDescent="0.25">
      <c r="A638" s="13">
        <v>60357</v>
      </c>
      <c r="B638" s="10">
        <f>44.545 * CHOOSE(CONTROL!$C$15, $E$9, 100%, $G$9) + CHOOSE(CONTROL!$C$38, 0.0256, 0)</f>
        <v>44.570599999999999</v>
      </c>
      <c r="C638" s="10">
        <f>41.1256 * CHOOSE(CONTROL!$C$15, $E$9, 100%, $G$9) + CHOOSE(CONTROL!$C$38, 0.0347, 0)</f>
        <v>41.160299999999999</v>
      </c>
      <c r="D638" s="10">
        <f>41.1178 * CHOOSE(CONTROL!$C$15, $E$9, 100%, $G$9) + CHOOSE(CONTROL!$C$38, 0.0347, 0)</f>
        <v>41.152500000000003</v>
      </c>
      <c r="E638" s="46">
        <f>44.3887 * CHOOSE(CONTROL!$C$15, $E$9, 100%, $G$9) + CHOOSE(CONTROL!$C$38, 0.0347, 0)</f>
        <v>44.423400000000001</v>
      </c>
      <c r="F638" s="45">
        <f>44.3887 * CHOOSE(CONTROL!$C$15, $E$9, 100%, $G$9) + CHOOSE(CONTROL!$C$38, 0.0256, 0)</f>
        <v>44.414299999999997</v>
      </c>
      <c r="G638" s="10">
        <f>41.124 * CHOOSE(CONTROL!$C$15, $E$9, 100%, $G$9) + CHOOSE(CONTROL!$C$38, 0.0347, 0)</f>
        <v>41.158700000000003</v>
      </c>
      <c r="H638" s="10">
        <f>41.124 * CHOOSE(CONTROL!$C$15, $E$9, 100%, $G$9) + CHOOSE(CONTROL!$C$38, 0.0347, 0)</f>
        <v>41.158700000000003</v>
      </c>
      <c r="I638" s="10">
        <f>41.1256 * CHOOSE(CONTROL!$C$15, $E$9, 100%, $G$9) + CHOOSE(CONTROL!$C$38, 0.0347, 0)</f>
        <v>41.160299999999999</v>
      </c>
      <c r="J638" s="44">
        <f>330.386</f>
        <v>330.38600000000002</v>
      </c>
    </row>
    <row r="639" spans="1:10" ht="15.75" x14ac:dyDescent="0.25">
      <c r="A639" s="13">
        <v>60387</v>
      </c>
      <c r="B639" s="10">
        <f>44.0498 * CHOOSE(CONTROL!$C$15, $E$9, 100%, $G$9) + CHOOSE(CONTROL!$C$38, 0.0256, 0)</f>
        <v>44.075399999999995</v>
      </c>
      <c r="C639" s="10">
        <f>40.6304 * CHOOSE(CONTROL!$C$15, $E$9, 100%, $G$9) + CHOOSE(CONTROL!$C$38, 0.0347, 0)</f>
        <v>40.665100000000002</v>
      </c>
      <c r="D639" s="10">
        <f>40.6226 * CHOOSE(CONTROL!$C$15, $E$9, 100%, $G$9) + CHOOSE(CONTROL!$C$38, 0.0347, 0)</f>
        <v>40.657299999999999</v>
      </c>
      <c r="E639" s="46">
        <f>43.8936 * CHOOSE(CONTROL!$C$15, $E$9, 100%, $G$9) + CHOOSE(CONTROL!$C$38, 0.0347, 0)</f>
        <v>43.9283</v>
      </c>
      <c r="F639" s="45">
        <f>43.8936 * CHOOSE(CONTROL!$C$15, $E$9, 100%, $G$9) + CHOOSE(CONTROL!$C$38, 0.0256, 0)</f>
        <v>43.919199999999996</v>
      </c>
      <c r="G639" s="10">
        <f>40.6289 * CHOOSE(CONTROL!$C$15, $E$9, 100%, $G$9) + CHOOSE(CONTROL!$C$38, 0.0347, 0)</f>
        <v>40.663600000000002</v>
      </c>
      <c r="H639" s="10">
        <f>40.6289 * CHOOSE(CONTROL!$C$15, $E$9, 100%, $G$9) + CHOOSE(CONTROL!$C$38, 0.0347, 0)</f>
        <v>40.663600000000002</v>
      </c>
      <c r="I639" s="10">
        <f>40.6304 * CHOOSE(CONTROL!$C$15, $E$9, 100%, $G$9) + CHOOSE(CONTROL!$C$38, 0.0347, 0)</f>
        <v>40.665100000000002</v>
      </c>
      <c r="J639" s="44">
        <f>351.8363</f>
        <v>351.83629999999999</v>
      </c>
    </row>
    <row r="640" spans="1:10" ht="15.75" x14ac:dyDescent="0.25">
      <c r="A640" s="13">
        <v>60418</v>
      </c>
      <c r="B640" s="10">
        <f>43.5337 * CHOOSE(CONTROL!$C$15, $E$9, 100%, $G$9) + CHOOSE(CONTROL!$C$38, 0.0278, 0)</f>
        <v>43.561500000000002</v>
      </c>
      <c r="C640" s="10">
        <f>40.1143 * CHOOSE(CONTROL!$C$15, $E$9, 100%, $G$9) + CHOOSE(CONTROL!$C$38, 0.0369, 0)</f>
        <v>40.151200000000003</v>
      </c>
      <c r="D640" s="10">
        <f>40.1065 * CHOOSE(CONTROL!$C$15, $E$9, 100%, $G$9) + CHOOSE(CONTROL!$C$38, 0.0369, 0)</f>
        <v>40.1434</v>
      </c>
      <c r="E640" s="46">
        <f>43.3775 * CHOOSE(CONTROL!$C$15, $E$9, 100%, $G$9) + CHOOSE(CONTROL!$C$38, 0.0369, 0)</f>
        <v>43.414400000000001</v>
      </c>
      <c r="F640" s="45">
        <f>43.3775 * CHOOSE(CONTROL!$C$15, $E$9, 100%, $G$9) + CHOOSE(CONTROL!$C$38, 0.0278, 0)</f>
        <v>43.405299999999997</v>
      </c>
      <c r="G640" s="10">
        <f>40.1128 * CHOOSE(CONTROL!$C$15, $E$9, 100%, $G$9) + CHOOSE(CONTROL!$C$38, 0.0369, 0)</f>
        <v>40.149700000000003</v>
      </c>
      <c r="H640" s="10">
        <f>40.1128 * CHOOSE(CONTROL!$C$15, $E$9, 100%, $G$9) + CHOOSE(CONTROL!$C$38, 0.0369, 0)</f>
        <v>40.149700000000003</v>
      </c>
      <c r="I640" s="10">
        <f>40.1143 * CHOOSE(CONTROL!$C$15, $E$9, 100%, $G$9) + CHOOSE(CONTROL!$C$38, 0.0369, 0)</f>
        <v>40.151200000000003</v>
      </c>
      <c r="J640" s="44">
        <f>363.6432</f>
        <v>363.64319999999998</v>
      </c>
    </row>
    <row r="641" spans="1:10" ht="15.75" x14ac:dyDescent="0.25">
      <c r="A641" s="13">
        <v>60448</v>
      </c>
      <c r="B641" s="10">
        <f>43.1719 * CHOOSE(CONTROL!$C$15, $E$9, 100%, $G$9) + CHOOSE(CONTROL!$C$38, 0.0278, 0)</f>
        <v>43.1997</v>
      </c>
      <c r="C641" s="10">
        <f>39.7525 * CHOOSE(CONTROL!$C$15, $E$9, 100%, $G$9) + CHOOSE(CONTROL!$C$38, 0.0369, 0)</f>
        <v>39.789400000000001</v>
      </c>
      <c r="D641" s="10">
        <f>39.7447 * CHOOSE(CONTROL!$C$15, $E$9, 100%, $G$9) + CHOOSE(CONTROL!$C$38, 0.0369, 0)</f>
        <v>39.781600000000005</v>
      </c>
      <c r="E641" s="46">
        <f>43.0156 * CHOOSE(CONTROL!$C$15, $E$9, 100%, $G$9) + CHOOSE(CONTROL!$C$38, 0.0369, 0)</f>
        <v>43.052500000000002</v>
      </c>
      <c r="F641" s="45">
        <f>43.0156 * CHOOSE(CONTROL!$C$15, $E$9, 100%, $G$9) + CHOOSE(CONTROL!$C$38, 0.0278, 0)</f>
        <v>43.043399999999998</v>
      </c>
      <c r="G641" s="10">
        <f>39.7509 * CHOOSE(CONTROL!$C$15, $E$9, 100%, $G$9) + CHOOSE(CONTROL!$C$38, 0.0369, 0)</f>
        <v>39.787800000000004</v>
      </c>
      <c r="H641" s="10">
        <f>39.7509 * CHOOSE(CONTROL!$C$15, $E$9, 100%, $G$9) + CHOOSE(CONTROL!$C$38, 0.0369, 0)</f>
        <v>39.787800000000004</v>
      </c>
      <c r="I641" s="10">
        <f>39.7525 * CHOOSE(CONTROL!$C$15, $E$9, 100%, $G$9) + CHOOSE(CONTROL!$C$38, 0.0369, 0)</f>
        <v>39.789400000000001</v>
      </c>
      <c r="J641" s="44">
        <f>368.8829</f>
        <v>368.88290000000001</v>
      </c>
    </row>
    <row r="642" spans="1:10" ht="15.75" x14ac:dyDescent="0.25">
      <c r="A642" s="13">
        <v>60479</v>
      </c>
      <c r="B642" s="10">
        <f>42.9654 * CHOOSE(CONTROL!$C$15, $E$9, 100%, $G$9) + CHOOSE(CONTROL!$C$38, 0.0278, 0)</f>
        <v>42.993200000000002</v>
      </c>
      <c r="C642" s="10">
        <f>39.546 * CHOOSE(CONTROL!$C$15, $E$9, 100%, $G$9) + CHOOSE(CONTROL!$C$38, 0.0369, 0)</f>
        <v>39.582900000000002</v>
      </c>
      <c r="D642" s="10">
        <f>39.5382 * CHOOSE(CONTROL!$C$15, $E$9, 100%, $G$9) + CHOOSE(CONTROL!$C$38, 0.0369, 0)</f>
        <v>39.575100000000006</v>
      </c>
      <c r="E642" s="46">
        <f>42.8091 * CHOOSE(CONTROL!$C$15, $E$9, 100%, $G$9) + CHOOSE(CONTROL!$C$38, 0.0369, 0)</f>
        <v>42.846000000000004</v>
      </c>
      <c r="F642" s="45">
        <f>42.8091 * CHOOSE(CONTROL!$C$15, $E$9, 100%, $G$9) + CHOOSE(CONTROL!$C$38, 0.0278, 0)</f>
        <v>42.8369</v>
      </c>
      <c r="G642" s="10">
        <f>39.5444 * CHOOSE(CONTROL!$C$15, $E$9, 100%, $G$9) + CHOOSE(CONTROL!$C$38, 0.0369, 0)</f>
        <v>39.581300000000006</v>
      </c>
      <c r="H642" s="10">
        <f>39.5444 * CHOOSE(CONTROL!$C$15, $E$9, 100%, $G$9) + CHOOSE(CONTROL!$C$38, 0.0369, 0)</f>
        <v>39.581300000000006</v>
      </c>
      <c r="I642" s="10">
        <f>39.546 * CHOOSE(CONTROL!$C$15, $E$9, 100%, $G$9) + CHOOSE(CONTROL!$C$38, 0.0369, 0)</f>
        <v>39.582900000000002</v>
      </c>
      <c r="J642" s="44">
        <f>367.1578</f>
        <v>367.15780000000001</v>
      </c>
    </row>
    <row r="643" spans="1:10" ht="15.75" x14ac:dyDescent="0.25">
      <c r="A643" s="13">
        <v>60510</v>
      </c>
      <c r="B643" s="10">
        <f>43.0673 * CHOOSE(CONTROL!$C$15, $E$9, 100%, $G$9) + CHOOSE(CONTROL!$C$38, 0.0278, 0)</f>
        <v>43.095100000000002</v>
      </c>
      <c r="C643" s="10">
        <f>39.6479 * CHOOSE(CONTROL!$C$15, $E$9, 100%, $G$9) + CHOOSE(CONTROL!$C$38, 0.0369, 0)</f>
        <v>39.684800000000003</v>
      </c>
      <c r="D643" s="10">
        <f>39.6401 * CHOOSE(CONTROL!$C$15, $E$9, 100%, $G$9) + CHOOSE(CONTROL!$C$38, 0.0369, 0)</f>
        <v>39.677</v>
      </c>
      <c r="E643" s="46">
        <f>42.911 * CHOOSE(CONTROL!$C$15, $E$9, 100%, $G$9) + CHOOSE(CONTROL!$C$38, 0.0369, 0)</f>
        <v>42.947900000000004</v>
      </c>
      <c r="F643" s="45">
        <f>42.911 * CHOOSE(CONTROL!$C$15, $E$9, 100%, $G$9) + CHOOSE(CONTROL!$C$38, 0.0278, 0)</f>
        <v>42.938800000000001</v>
      </c>
      <c r="G643" s="10">
        <f>39.6463 * CHOOSE(CONTROL!$C$15, $E$9, 100%, $G$9) + CHOOSE(CONTROL!$C$38, 0.0369, 0)</f>
        <v>39.683199999999999</v>
      </c>
      <c r="H643" s="10">
        <f>39.6463 * CHOOSE(CONTROL!$C$15, $E$9, 100%, $G$9) + CHOOSE(CONTROL!$C$38, 0.0369, 0)</f>
        <v>39.683199999999999</v>
      </c>
      <c r="I643" s="10">
        <f>39.6479 * CHOOSE(CONTROL!$C$15, $E$9, 100%, $G$9) + CHOOSE(CONTROL!$C$38, 0.0369, 0)</f>
        <v>39.684800000000003</v>
      </c>
      <c r="J643" s="44">
        <f>358.6105</f>
        <v>358.6105</v>
      </c>
    </row>
    <row r="644" spans="1:10" ht="15.75" x14ac:dyDescent="0.25">
      <c r="A644" s="13">
        <v>60540</v>
      </c>
      <c r="B644" s="10">
        <f>43.3441 * CHOOSE(CONTROL!$C$15, $E$9, 100%, $G$9) + CHOOSE(CONTROL!$C$38, 0.0278, 0)</f>
        <v>43.371899999999997</v>
      </c>
      <c r="C644" s="10">
        <f>39.9247 * CHOOSE(CONTROL!$C$15, $E$9, 100%, $G$9) + CHOOSE(CONTROL!$C$38, 0.0369, 0)</f>
        <v>39.961600000000004</v>
      </c>
      <c r="D644" s="10">
        <f>39.9169 * CHOOSE(CONTROL!$C$15, $E$9, 100%, $G$9) + CHOOSE(CONTROL!$C$38, 0.0369, 0)</f>
        <v>39.953800000000001</v>
      </c>
      <c r="E644" s="46">
        <f>43.1878 * CHOOSE(CONTROL!$C$15, $E$9, 100%, $G$9) + CHOOSE(CONTROL!$C$38, 0.0369, 0)</f>
        <v>43.224700000000006</v>
      </c>
      <c r="F644" s="45">
        <f>43.1878 * CHOOSE(CONTROL!$C$15, $E$9, 100%, $G$9) + CHOOSE(CONTROL!$C$38, 0.0278, 0)</f>
        <v>43.215600000000002</v>
      </c>
      <c r="G644" s="10">
        <f>39.9231 * CHOOSE(CONTROL!$C$15, $E$9, 100%, $G$9) + CHOOSE(CONTROL!$C$38, 0.0369, 0)</f>
        <v>39.96</v>
      </c>
      <c r="H644" s="10">
        <f>39.9231 * CHOOSE(CONTROL!$C$15, $E$9, 100%, $G$9) + CHOOSE(CONTROL!$C$38, 0.0369, 0)</f>
        <v>39.96</v>
      </c>
      <c r="I644" s="10">
        <f>39.9247 * CHOOSE(CONTROL!$C$15, $E$9, 100%, $G$9) + CHOOSE(CONTROL!$C$38, 0.0369, 0)</f>
        <v>39.961600000000004</v>
      </c>
      <c r="J644" s="44">
        <f>346.6909</f>
        <v>346.6909</v>
      </c>
    </row>
    <row r="645" spans="1:10" ht="15.75" x14ac:dyDescent="0.25">
      <c r="A645" s="13">
        <v>60571</v>
      </c>
      <c r="B645" s="10">
        <f>43.5759 * CHOOSE(CONTROL!$C$15, $E$9, 100%, $G$9) + CHOOSE(CONTROL!$C$38, 0.0256, 0)</f>
        <v>43.601499999999994</v>
      </c>
      <c r="C645" s="10">
        <f>40.1565 * CHOOSE(CONTROL!$C$15, $E$9, 100%, $G$9) + CHOOSE(CONTROL!$C$38, 0.0347, 0)</f>
        <v>40.191200000000002</v>
      </c>
      <c r="D645" s="10">
        <f>40.1487 * CHOOSE(CONTROL!$C$15, $E$9, 100%, $G$9) + CHOOSE(CONTROL!$C$38, 0.0347, 0)</f>
        <v>40.183399999999999</v>
      </c>
      <c r="E645" s="46">
        <f>43.4197 * CHOOSE(CONTROL!$C$15, $E$9, 100%, $G$9) + CHOOSE(CONTROL!$C$38, 0.0347, 0)</f>
        <v>43.4544</v>
      </c>
      <c r="F645" s="45">
        <f>43.4197 * CHOOSE(CONTROL!$C$15, $E$9, 100%, $G$9) + CHOOSE(CONTROL!$C$38, 0.0256, 0)</f>
        <v>43.445299999999996</v>
      </c>
      <c r="G645" s="10">
        <f>40.155 * CHOOSE(CONTROL!$C$15, $E$9, 100%, $G$9) + CHOOSE(CONTROL!$C$38, 0.0347, 0)</f>
        <v>40.189700000000002</v>
      </c>
      <c r="H645" s="10">
        <f>40.155 * CHOOSE(CONTROL!$C$15, $E$9, 100%, $G$9) + CHOOSE(CONTROL!$C$38, 0.0347, 0)</f>
        <v>40.189700000000002</v>
      </c>
      <c r="I645" s="10">
        <f>40.1565 * CHOOSE(CONTROL!$C$15, $E$9, 100%, $G$9) + CHOOSE(CONTROL!$C$38, 0.0347, 0)</f>
        <v>40.191200000000002</v>
      </c>
      <c r="J645" s="44">
        <f>334.702</f>
        <v>334.702</v>
      </c>
    </row>
    <row r="646" spans="1:10" ht="15.75" x14ac:dyDescent="0.25">
      <c r="A646" s="13">
        <v>60601</v>
      </c>
      <c r="B646" s="10">
        <f>43.7694 * CHOOSE(CONTROL!$C$15, $E$9, 100%, $G$9) + CHOOSE(CONTROL!$C$38, 0.0256, 0)</f>
        <v>43.794999999999995</v>
      </c>
      <c r="C646" s="10">
        <f>40.35 * CHOOSE(CONTROL!$C$15, $E$9, 100%, $G$9) + CHOOSE(CONTROL!$C$38, 0.0347, 0)</f>
        <v>40.384700000000002</v>
      </c>
      <c r="D646" s="10">
        <f>40.3422 * CHOOSE(CONTROL!$C$15, $E$9, 100%, $G$9) + CHOOSE(CONTROL!$C$38, 0.0347, 0)</f>
        <v>40.376899999999999</v>
      </c>
      <c r="E646" s="46">
        <f>43.6131 * CHOOSE(CONTROL!$C$15, $E$9, 100%, $G$9) + CHOOSE(CONTROL!$C$38, 0.0347, 0)</f>
        <v>43.647800000000004</v>
      </c>
      <c r="F646" s="45">
        <f>43.6131 * CHOOSE(CONTROL!$C$15, $E$9, 100%, $G$9) + CHOOSE(CONTROL!$C$38, 0.0256, 0)</f>
        <v>43.6387</v>
      </c>
      <c r="G646" s="10">
        <f>40.3484 * CHOOSE(CONTROL!$C$15, $E$9, 100%, $G$9) + CHOOSE(CONTROL!$C$38, 0.0347, 0)</f>
        <v>40.383099999999999</v>
      </c>
      <c r="H646" s="10">
        <f>40.3484 * CHOOSE(CONTROL!$C$15, $E$9, 100%, $G$9) + CHOOSE(CONTROL!$C$38, 0.0347, 0)</f>
        <v>40.383099999999999</v>
      </c>
      <c r="I646" s="10">
        <f>40.35 * CHOOSE(CONTROL!$C$15, $E$9, 100%, $G$9) + CHOOSE(CONTROL!$C$38, 0.0347, 0)</f>
        <v>40.384700000000002</v>
      </c>
      <c r="J646" s="44">
        <f>332.3171</f>
        <v>332.31709999999998</v>
      </c>
    </row>
    <row r="647" spans="1:10" ht="15.75" x14ac:dyDescent="0.25">
      <c r="A647" s="13">
        <v>60632</v>
      </c>
      <c r="B647" s="10">
        <f>44.3654 * CHOOSE(CONTROL!$C$15, $E$9, 100%, $G$9) + CHOOSE(CONTROL!$C$38, 0.0256, 0)</f>
        <v>44.390999999999998</v>
      </c>
      <c r="C647" s="10">
        <f>40.946 * CHOOSE(CONTROL!$C$15, $E$9, 100%, $G$9) + CHOOSE(CONTROL!$C$38, 0.0347, 0)</f>
        <v>40.980699999999999</v>
      </c>
      <c r="D647" s="10">
        <f>40.9382 * CHOOSE(CONTROL!$C$15, $E$9, 100%, $G$9) + CHOOSE(CONTROL!$C$38, 0.0347, 0)</f>
        <v>40.972900000000003</v>
      </c>
      <c r="E647" s="46">
        <f>44.2092 * CHOOSE(CONTROL!$C$15, $E$9, 100%, $G$9) + CHOOSE(CONTROL!$C$38, 0.0347, 0)</f>
        <v>44.243900000000004</v>
      </c>
      <c r="F647" s="45">
        <f>44.2092 * CHOOSE(CONTROL!$C$15, $E$9, 100%, $G$9) + CHOOSE(CONTROL!$C$38, 0.0256, 0)</f>
        <v>44.2348</v>
      </c>
      <c r="G647" s="10">
        <f>40.9445 * CHOOSE(CONTROL!$C$15, $E$9, 100%, $G$9) + CHOOSE(CONTROL!$C$38, 0.0347, 0)</f>
        <v>40.979199999999999</v>
      </c>
      <c r="H647" s="10">
        <f>40.9445 * CHOOSE(CONTROL!$C$15, $E$9, 100%, $G$9) + CHOOSE(CONTROL!$C$38, 0.0347, 0)</f>
        <v>40.979199999999999</v>
      </c>
      <c r="I647" s="10">
        <f>40.946 * CHOOSE(CONTROL!$C$15, $E$9, 100%, $G$9) + CHOOSE(CONTROL!$C$38, 0.0347, 0)</f>
        <v>40.980699999999999</v>
      </c>
      <c r="J647" s="44">
        <f>322.4556</f>
        <v>322.4556</v>
      </c>
    </row>
    <row r="648" spans="1:10" ht="15.75" x14ac:dyDescent="0.25">
      <c r="A648" s="13">
        <v>60663</v>
      </c>
      <c r="B648" s="10">
        <f>45.5442 * CHOOSE(CONTROL!$C$15, $E$9, 100%, $G$9) + CHOOSE(CONTROL!$C$38, 0.0256, 0)</f>
        <v>45.569799999999994</v>
      </c>
      <c r="C648" s="10">
        <f>42.0713 * CHOOSE(CONTROL!$C$15, $E$9, 100%, $G$9) + CHOOSE(CONTROL!$C$38, 0.0347, 0)</f>
        <v>42.106000000000002</v>
      </c>
      <c r="D648" s="10">
        <f>42.0635 * CHOOSE(CONTROL!$C$15, $E$9, 100%, $G$9) + CHOOSE(CONTROL!$C$38, 0.0347, 0)</f>
        <v>42.098199999999999</v>
      </c>
      <c r="E648" s="46">
        <f>45.3879 * CHOOSE(CONTROL!$C$15, $E$9, 100%, $G$9) + CHOOSE(CONTROL!$C$38, 0.0347, 0)</f>
        <v>45.422600000000003</v>
      </c>
      <c r="F648" s="45">
        <f>45.3879 * CHOOSE(CONTROL!$C$15, $E$9, 100%, $G$9) + CHOOSE(CONTROL!$C$38, 0.0256, 0)</f>
        <v>45.413499999999999</v>
      </c>
      <c r="G648" s="10">
        <f>42.0697 * CHOOSE(CONTROL!$C$15, $E$9, 100%, $G$9) + CHOOSE(CONTROL!$C$38, 0.0347, 0)</f>
        <v>42.104399999999998</v>
      </c>
      <c r="H648" s="10">
        <f>42.0697 * CHOOSE(CONTROL!$C$15, $E$9, 100%, $G$9) + CHOOSE(CONTROL!$C$38, 0.0347, 0)</f>
        <v>42.104399999999998</v>
      </c>
      <c r="I648" s="10">
        <f>42.0713 * CHOOSE(CONTROL!$C$15, $E$9, 100%, $G$9) + CHOOSE(CONTROL!$C$38, 0.0347, 0)</f>
        <v>42.106000000000002</v>
      </c>
      <c r="J648" s="44">
        <f>321.8398</f>
        <v>321.83980000000003</v>
      </c>
    </row>
    <row r="649" spans="1:10" ht="15.75" x14ac:dyDescent="0.25">
      <c r="A649" s="13">
        <v>60691</v>
      </c>
      <c r="B649" s="10">
        <f>45.765 * CHOOSE(CONTROL!$C$15, $E$9, 100%, $G$9) + CHOOSE(CONTROL!$C$38, 0.0256, 0)</f>
        <v>45.790599999999998</v>
      </c>
      <c r="C649" s="10">
        <f>42.2921 * CHOOSE(CONTROL!$C$15, $E$9, 100%, $G$9) + CHOOSE(CONTROL!$C$38, 0.0347, 0)</f>
        <v>42.326799999999999</v>
      </c>
      <c r="D649" s="10">
        <f>42.2842 * CHOOSE(CONTROL!$C$15, $E$9, 100%, $G$9) + CHOOSE(CONTROL!$C$38, 0.0347, 0)</f>
        <v>42.318899999999999</v>
      </c>
      <c r="E649" s="46">
        <f>45.6087 * CHOOSE(CONTROL!$C$15, $E$9, 100%, $G$9) + CHOOSE(CONTROL!$C$38, 0.0347, 0)</f>
        <v>45.6434</v>
      </c>
      <c r="F649" s="45">
        <f>45.6087 * CHOOSE(CONTROL!$C$15, $E$9, 100%, $G$9) + CHOOSE(CONTROL!$C$38, 0.0256, 0)</f>
        <v>45.634299999999996</v>
      </c>
      <c r="G649" s="10">
        <f>42.2905 * CHOOSE(CONTROL!$C$15, $E$9, 100%, $G$9) + CHOOSE(CONTROL!$C$38, 0.0347, 0)</f>
        <v>42.325200000000002</v>
      </c>
      <c r="H649" s="10">
        <f>42.2905 * CHOOSE(CONTROL!$C$15, $E$9, 100%, $G$9) + CHOOSE(CONTROL!$C$38, 0.0347, 0)</f>
        <v>42.325200000000002</v>
      </c>
      <c r="I649" s="10">
        <f>42.2921 * CHOOSE(CONTROL!$C$15, $E$9, 100%, $G$9) + CHOOSE(CONTROL!$C$38, 0.0347, 0)</f>
        <v>42.326799999999999</v>
      </c>
      <c r="J649" s="44">
        <f>320.9452</f>
        <v>320.9452</v>
      </c>
    </row>
    <row r="650" spans="1:10" ht="15.75" x14ac:dyDescent="0.25">
      <c r="A650" s="13">
        <v>60722</v>
      </c>
      <c r="B650" s="10">
        <f>45.2539 * CHOOSE(CONTROL!$C$15, $E$9, 100%, $G$9) + CHOOSE(CONTROL!$C$38, 0.0256, 0)</f>
        <v>45.279499999999999</v>
      </c>
      <c r="C650" s="10">
        <f>41.781 * CHOOSE(CONTROL!$C$15, $E$9, 100%, $G$9) + CHOOSE(CONTROL!$C$38, 0.0347, 0)</f>
        <v>41.8157</v>
      </c>
      <c r="D650" s="10">
        <f>41.7732 * CHOOSE(CONTROL!$C$15, $E$9, 100%, $G$9) + CHOOSE(CONTROL!$C$38, 0.0347, 0)</f>
        <v>41.807900000000004</v>
      </c>
      <c r="E650" s="46">
        <f>45.0977 * CHOOSE(CONTROL!$C$15, $E$9, 100%, $G$9) + CHOOSE(CONTROL!$C$38, 0.0347, 0)</f>
        <v>45.132400000000004</v>
      </c>
      <c r="F650" s="45">
        <f>45.0977 * CHOOSE(CONTROL!$C$15, $E$9, 100%, $G$9) + CHOOSE(CONTROL!$C$38, 0.0256, 0)</f>
        <v>45.1233</v>
      </c>
      <c r="G650" s="10">
        <f>41.7795 * CHOOSE(CONTROL!$C$15, $E$9, 100%, $G$9) + CHOOSE(CONTROL!$C$38, 0.0347, 0)</f>
        <v>41.8142</v>
      </c>
      <c r="H650" s="10">
        <f>41.7795 * CHOOSE(CONTROL!$C$15, $E$9, 100%, $G$9) + CHOOSE(CONTROL!$C$38, 0.0347, 0)</f>
        <v>41.8142</v>
      </c>
      <c r="I650" s="10">
        <f>41.781 * CHOOSE(CONTROL!$C$15, $E$9, 100%, $G$9) + CHOOSE(CONTROL!$C$38, 0.0347, 0)</f>
        <v>41.8157</v>
      </c>
      <c r="J650" s="44">
        <f>337.8608</f>
        <v>337.86079999999998</v>
      </c>
    </row>
    <row r="651" spans="1:10" ht="15.75" x14ac:dyDescent="0.25">
      <c r="A651" s="13">
        <v>60752</v>
      </c>
      <c r="B651" s="10">
        <f>44.7587 * CHOOSE(CONTROL!$C$15, $E$9, 100%, $G$9) + CHOOSE(CONTROL!$C$38, 0.0256, 0)</f>
        <v>44.784299999999995</v>
      </c>
      <c r="C651" s="10">
        <f>41.2858 * CHOOSE(CONTROL!$C$15, $E$9, 100%, $G$9) + CHOOSE(CONTROL!$C$38, 0.0347, 0)</f>
        <v>41.320500000000003</v>
      </c>
      <c r="D651" s="10">
        <f>41.278 * CHOOSE(CONTROL!$C$15, $E$9, 100%, $G$9) + CHOOSE(CONTROL!$C$38, 0.0347, 0)</f>
        <v>41.3127</v>
      </c>
      <c r="E651" s="46">
        <f>44.6025 * CHOOSE(CONTROL!$C$15, $E$9, 100%, $G$9) + CHOOSE(CONTROL!$C$38, 0.0347, 0)</f>
        <v>44.6372</v>
      </c>
      <c r="F651" s="45">
        <f>44.6025 * CHOOSE(CONTROL!$C$15, $E$9, 100%, $G$9) + CHOOSE(CONTROL!$C$38, 0.0256, 0)</f>
        <v>44.628099999999996</v>
      </c>
      <c r="G651" s="10">
        <f>41.2843 * CHOOSE(CONTROL!$C$15, $E$9, 100%, $G$9) + CHOOSE(CONTROL!$C$38, 0.0347, 0)</f>
        <v>41.319000000000003</v>
      </c>
      <c r="H651" s="10">
        <f>41.2843 * CHOOSE(CONTROL!$C$15, $E$9, 100%, $G$9) + CHOOSE(CONTROL!$C$38, 0.0347, 0)</f>
        <v>41.319000000000003</v>
      </c>
      <c r="I651" s="10">
        <f>41.2858 * CHOOSE(CONTROL!$C$15, $E$9, 100%, $G$9) + CHOOSE(CONTROL!$C$38, 0.0347, 0)</f>
        <v>41.320500000000003</v>
      </c>
      <c r="J651" s="44">
        <f>359.7964</f>
        <v>359.79640000000001</v>
      </c>
    </row>
    <row r="652" spans="1:10" ht="15.75" x14ac:dyDescent="0.25">
      <c r="A652" s="13">
        <v>60783</v>
      </c>
      <c r="B652" s="10">
        <f>44.2426 * CHOOSE(CONTROL!$C$15, $E$9, 100%, $G$9) + CHOOSE(CONTROL!$C$38, 0.0278, 0)</f>
        <v>44.270400000000002</v>
      </c>
      <c r="C652" s="10">
        <f>40.7697 * CHOOSE(CONTROL!$C$15, $E$9, 100%, $G$9) + CHOOSE(CONTROL!$C$38, 0.0369, 0)</f>
        <v>40.806600000000003</v>
      </c>
      <c r="D652" s="10">
        <f>40.7619 * CHOOSE(CONTROL!$C$15, $E$9, 100%, $G$9) + CHOOSE(CONTROL!$C$38, 0.0369, 0)</f>
        <v>40.7988</v>
      </c>
      <c r="E652" s="46">
        <f>44.0864 * CHOOSE(CONTROL!$C$15, $E$9, 100%, $G$9) + CHOOSE(CONTROL!$C$38, 0.0369, 0)</f>
        <v>44.1233</v>
      </c>
      <c r="F652" s="45">
        <f>44.0864 * CHOOSE(CONTROL!$C$15, $E$9, 100%, $G$9) + CHOOSE(CONTROL!$C$38, 0.0278, 0)</f>
        <v>44.114199999999997</v>
      </c>
      <c r="G652" s="10">
        <f>40.7682 * CHOOSE(CONTROL!$C$15, $E$9, 100%, $G$9) + CHOOSE(CONTROL!$C$38, 0.0369, 0)</f>
        <v>40.805100000000003</v>
      </c>
      <c r="H652" s="10">
        <f>40.7682 * CHOOSE(CONTROL!$C$15, $E$9, 100%, $G$9) + CHOOSE(CONTROL!$C$38, 0.0369, 0)</f>
        <v>40.805100000000003</v>
      </c>
      <c r="I652" s="10">
        <f>40.7697 * CHOOSE(CONTROL!$C$15, $E$9, 100%, $G$9) + CHOOSE(CONTROL!$C$38, 0.0369, 0)</f>
        <v>40.806600000000003</v>
      </c>
      <c r="J652" s="44">
        <f>371.8704</f>
        <v>371.87040000000002</v>
      </c>
    </row>
    <row r="653" spans="1:10" ht="15.75" x14ac:dyDescent="0.25">
      <c r="A653" s="13">
        <v>60813</v>
      </c>
      <c r="B653" s="10">
        <f>43.8808 * CHOOSE(CONTROL!$C$15, $E$9, 100%, $G$9) + CHOOSE(CONTROL!$C$38, 0.0278, 0)</f>
        <v>43.9086</v>
      </c>
      <c r="C653" s="10">
        <f>40.4079 * CHOOSE(CONTROL!$C$15, $E$9, 100%, $G$9) + CHOOSE(CONTROL!$C$38, 0.0369, 0)</f>
        <v>40.444800000000001</v>
      </c>
      <c r="D653" s="10">
        <f>40.4001 * CHOOSE(CONTROL!$C$15, $E$9, 100%, $G$9) + CHOOSE(CONTROL!$C$38, 0.0369, 0)</f>
        <v>40.437000000000005</v>
      </c>
      <c r="E653" s="46">
        <f>43.7245 * CHOOSE(CONTROL!$C$15, $E$9, 100%, $G$9) + CHOOSE(CONTROL!$C$38, 0.0369, 0)</f>
        <v>43.761400000000002</v>
      </c>
      <c r="F653" s="45">
        <f>43.7245 * CHOOSE(CONTROL!$C$15, $E$9, 100%, $G$9) + CHOOSE(CONTROL!$C$38, 0.0278, 0)</f>
        <v>43.752299999999998</v>
      </c>
      <c r="G653" s="10">
        <f>40.4063 * CHOOSE(CONTROL!$C$15, $E$9, 100%, $G$9) + CHOOSE(CONTROL!$C$38, 0.0369, 0)</f>
        <v>40.443200000000004</v>
      </c>
      <c r="H653" s="10">
        <f>40.4063 * CHOOSE(CONTROL!$C$15, $E$9, 100%, $G$9) + CHOOSE(CONTROL!$C$38, 0.0369, 0)</f>
        <v>40.443200000000004</v>
      </c>
      <c r="I653" s="10">
        <f>40.4079 * CHOOSE(CONTROL!$C$15, $E$9, 100%, $G$9) + CHOOSE(CONTROL!$C$38, 0.0369, 0)</f>
        <v>40.444800000000001</v>
      </c>
      <c r="J653" s="44">
        <f>377.2287</f>
        <v>377.2287</v>
      </c>
    </row>
    <row r="654" spans="1:10" ht="15.75" x14ac:dyDescent="0.25">
      <c r="A654" s="13">
        <v>60844</v>
      </c>
      <c r="B654" s="10">
        <f>43.6743 * CHOOSE(CONTROL!$C$15, $E$9, 100%, $G$9) + CHOOSE(CONTROL!$C$38, 0.0278, 0)</f>
        <v>43.702100000000002</v>
      </c>
      <c r="C654" s="10">
        <f>40.2014 * CHOOSE(CONTROL!$C$15, $E$9, 100%, $G$9) + CHOOSE(CONTROL!$C$38, 0.0369, 0)</f>
        <v>40.238300000000002</v>
      </c>
      <c r="D654" s="10">
        <f>40.1936 * CHOOSE(CONTROL!$C$15, $E$9, 100%, $G$9) + CHOOSE(CONTROL!$C$38, 0.0369, 0)</f>
        <v>40.230500000000006</v>
      </c>
      <c r="E654" s="46">
        <f>43.5181 * CHOOSE(CONTROL!$C$15, $E$9, 100%, $G$9) + CHOOSE(CONTROL!$C$38, 0.0369, 0)</f>
        <v>43.555</v>
      </c>
      <c r="F654" s="45">
        <f>43.5181 * CHOOSE(CONTROL!$C$15, $E$9, 100%, $G$9) + CHOOSE(CONTROL!$C$38, 0.0278, 0)</f>
        <v>43.545899999999996</v>
      </c>
      <c r="G654" s="10">
        <f>40.1998 * CHOOSE(CONTROL!$C$15, $E$9, 100%, $G$9) + CHOOSE(CONTROL!$C$38, 0.0369, 0)</f>
        <v>40.236700000000006</v>
      </c>
      <c r="H654" s="10">
        <f>40.1998 * CHOOSE(CONTROL!$C$15, $E$9, 100%, $G$9) + CHOOSE(CONTROL!$C$38, 0.0369, 0)</f>
        <v>40.236700000000006</v>
      </c>
      <c r="I654" s="10">
        <f>40.2014 * CHOOSE(CONTROL!$C$15, $E$9, 100%, $G$9) + CHOOSE(CONTROL!$C$38, 0.0369, 0)</f>
        <v>40.238300000000002</v>
      </c>
      <c r="J654" s="44">
        <f>375.4645</f>
        <v>375.46449999999999</v>
      </c>
    </row>
    <row r="655" spans="1:10" ht="15.75" x14ac:dyDescent="0.25">
      <c r="A655" s="13">
        <v>60875</v>
      </c>
      <c r="B655" s="10">
        <f>43.7762 * CHOOSE(CONTROL!$C$15, $E$9, 100%, $G$9) + CHOOSE(CONTROL!$C$38, 0.0278, 0)</f>
        <v>43.804000000000002</v>
      </c>
      <c r="C655" s="10">
        <f>40.3033 * CHOOSE(CONTROL!$C$15, $E$9, 100%, $G$9) + CHOOSE(CONTROL!$C$38, 0.0369, 0)</f>
        <v>40.340200000000003</v>
      </c>
      <c r="D655" s="10">
        <f>40.2955 * CHOOSE(CONTROL!$C$15, $E$9, 100%, $G$9) + CHOOSE(CONTROL!$C$38, 0.0369, 0)</f>
        <v>40.3324</v>
      </c>
      <c r="E655" s="46">
        <f>43.62 * CHOOSE(CONTROL!$C$15, $E$9, 100%, $G$9) + CHOOSE(CONTROL!$C$38, 0.0369, 0)</f>
        <v>43.6569</v>
      </c>
      <c r="F655" s="45">
        <f>43.62 * CHOOSE(CONTROL!$C$15, $E$9, 100%, $G$9) + CHOOSE(CONTROL!$C$38, 0.0278, 0)</f>
        <v>43.647799999999997</v>
      </c>
      <c r="G655" s="10">
        <f>40.3018 * CHOOSE(CONTROL!$C$15, $E$9, 100%, $G$9) + CHOOSE(CONTROL!$C$38, 0.0369, 0)</f>
        <v>40.338700000000003</v>
      </c>
      <c r="H655" s="10">
        <f>40.3018 * CHOOSE(CONTROL!$C$15, $E$9, 100%, $G$9) + CHOOSE(CONTROL!$C$38, 0.0369, 0)</f>
        <v>40.338700000000003</v>
      </c>
      <c r="I655" s="10">
        <f>40.3033 * CHOOSE(CONTROL!$C$15, $E$9, 100%, $G$9) + CHOOSE(CONTROL!$C$38, 0.0369, 0)</f>
        <v>40.340200000000003</v>
      </c>
      <c r="J655" s="44">
        <f>366.7239</f>
        <v>366.72390000000001</v>
      </c>
    </row>
    <row r="656" spans="1:10" ht="15.75" x14ac:dyDescent="0.25">
      <c r="A656" s="13">
        <v>60905</v>
      </c>
      <c r="B656" s="10">
        <f>44.053 * CHOOSE(CONTROL!$C$15, $E$9, 100%, $G$9) + CHOOSE(CONTROL!$C$38, 0.0278, 0)</f>
        <v>44.080799999999996</v>
      </c>
      <c r="C656" s="10">
        <f>40.5801 * CHOOSE(CONTROL!$C$15, $E$9, 100%, $G$9) + CHOOSE(CONTROL!$C$38, 0.0369, 0)</f>
        <v>40.617000000000004</v>
      </c>
      <c r="D656" s="10">
        <f>40.5723 * CHOOSE(CONTROL!$C$15, $E$9, 100%, $G$9) + CHOOSE(CONTROL!$C$38, 0.0369, 0)</f>
        <v>40.609200000000001</v>
      </c>
      <c r="E656" s="46">
        <f>43.8968 * CHOOSE(CONTROL!$C$15, $E$9, 100%, $G$9) + CHOOSE(CONTROL!$C$38, 0.0369, 0)</f>
        <v>43.933700000000002</v>
      </c>
      <c r="F656" s="45">
        <f>43.8968 * CHOOSE(CONTROL!$C$15, $E$9, 100%, $G$9) + CHOOSE(CONTROL!$C$38, 0.0278, 0)</f>
        <v>43.924599999999998</v>
      </c>
      <c r="G656" s="10">
        <f>40.5786 * CHOOSE(CONTROL!$C$15, $E$9, 100%, $G$9) + CHOOSE(CONTROL!$C$38, 0.0369, 0)</f>
        <v>40.615500000000004</v>
      </c>
      <c r="H656" s="10">
        <f>40.5786 * CHOOSE(CONTROL!$C$15, $E$9, 100%, $G$9) + CHOOSE(CONTROL!$C$38, 0.0369, 0)</f>
        <v>40.615500000000004</v>
      </c>
      <c r="I656" s="10">
        <f>40.5801 * CHOOSE(CONTROL!$C$15, $E$9, 100%, $G$9) + CHOOSE(CONTROL!$C$38, 0.0369, 0)</f>
        <v>40.617000000000004</v>
      </c>
      <c r="J656" s="44">
        <f>354.5346</f>
        <v>354.53460000000001</v>
      </c>
    </row>
    <row r="657" spans="1:10" ht="15.75" x14ac:dyDescent="0.25">
      <c r="A657" s="13">
        <v>60936</v>
      </c>
      <c r="B657" s="10">
        <f>44.2848 * CHOOSE(CONTROL!$C$15, $E$9, 100%, $G$9) + CHOOSE(CONTROL!$C$38, 0.0256, 0)</f>
        <v>44.310399999999994</v>
      </c>
      <c r="C657" s="10">
        <f>40.8119 * CHOOSE(CONTROL!$C$15, $E$9, 100%, $G$9) + CHOOSE(CONTROL!$C$38, 0.0347, 0)</f>
        <v>40.846600000000002</v>
      </c>
      <c r="D657" s="10">
        <f>40.8041 * CHOOSE(CONTROL!$C$15, $E$9, 100%, $G$9) + CHOOSE(CONTROL!$C$38, 0.0347, 0)</f>
        <v>40.838799999999999</v>
      </c>
      <c r="E657" s="46">
        <f>44.1286 * CHOOSE(CONTROL!$C$15, $E$9, 100%, $G$9) + CHOOSE(CONTROL!$C$38, 0.0347, 0)</f>
        <v>44.1633</v>
      </c>
      <c r="F657" s="45">
        <f>44.1286 * CHOOSE(CONTROL!$C$15, $E$9, 100%, $G$9) + CHOOSE(CONTROL!$C$38, 0.0256, 0)</f>
        <v>44.154199999999996</v>
      </c>
      <c r="G657" s="10">
        <f>40.8104 * CHOOSE(CONTROL!$C$15, $E$9, 100%, $G$9) + CHOOSE(CONTROL!$C$38, 0.0347, 0)</f>
        <v>40.845100000000002</v>
      </c>
      <c r="H657" s="10">
        <f>40.8104 * CHOOSE(CONTROL!$C$15, $E$9, 100%, $G$9) + CHOOSE(CONTROL!$C$38, 0.0347, 0)</f>
        <v>40.845100000000002</v>
      </c>
      <c r="I657" s="10">
        <f>40.8119 * CHOOSE(CONTROL!$C$15, $E$9, 100%, $G$9) + CHOOSE(CONTROL!$C$38, 0.0347, 0)</f>
        <v>40.846600000000002</v>
      </c>
      <c r="J657" s="44">
        <f>342.2744</f>
        <v>342.27440000000001</v>
      </c>
    </row>
    <row r="658" spans="1:10" ht="15.75" x14ac:dyDescent="0.25">
      <c r="A658" s="13">
        <v>60966</v>
      </c>
      <c r="B658" s="10">
        <f>44.4783 * CHOOSE(CONTROL!$C$15, $E$9, 100%, $G$9) + CHOOSE(CONTROL!$C$38, 0.0256, 0)</f>
        <v>44.503899999999994</v>
      </c>
      <c r="C658" s="10">
        <f>41.0054 * CHOOSE(CONTROL!$C$15, $E$9, 100%, $G$9) + CHOOSE(CONTROL!$C$38, 0.0347, 0)</f>
        <v>41.040100000000002</v>
      </c>
      <c r="D658" s="10">
        <f>40.9976 * CHOOSE(CONTROL!$C$15, $E$9, 100%, $G$9) + CHOOSE(CONTROL!$C$38, 0.0347, 0)</f>
        <v>41.032299999999999</v>
      </c>
      <c r="E658" s="46">
        <f>44.322 * CHOOSE(CONTROL!$C$15, $E$9, 100%, $G$9) + CHOOSE(CONTROL!$C$38, 0.0347, 0)</f>
        <v>44.356700000000004</v>
      </c>
      <c r="F658" s="45">
        <f>44.322 * CHOOSE(CONTROL!$C$15, $E$9, 100%, $G$9) + CHOOSE(CONTROL!$C$38, 0.0256, 0)</f>
        <v>44.3476</v>
      </c>
      <c r="G658" s="10">
        <f>41.0038 * CHOOSE(CONTROL!$C$15, $E$9, 100%, $G$9) + CHOOSE(CONTROL!$C$38, 0.0347, 0)</f>
        <v>41.038499999999999</v>
      </c>
      <c r="H658" s="10">
        <f>41.0038 * CHOOSE(CONTROL!$C$15, $E$9, 100%, $G$9) + CHOOSE(CONTROL!$C$38, 0.0347, 0)</f>
        <v>41.038499999999999</v>
      </c>
      <c r="I658" s="10">
        <f>41.0054 * CHOOSE(CONTROL!$C$15, $E$9, 100%, $G$9) + CHOOSE(CONTROL!$C$38, 0.0347, 0)</f>
        <v>41.040100000000002</v>
      </c>
      <c r="J658" s="44">
        <f>339.8356</f>
        <v>339.8356</v>
      </c>
    </row>
    <row r="659" spans="1:10" ht="15.75" x14ac:dyDescent="0.25">
      <c r="A659" s="13">
        <v>60997</v>
      </c>
      <c r="B659" s="10">
        <f>45.0743 * CHOOSE(CONTROL!$C$15, $E$9, 100%, $G$9) + CHOOSE(CONTROL!$C$38, 0.0256, 0)</f>
        <v>45.099899999999998</v>
      </c>
      <c r="C659" s="10">
        <f>41.6015 * CHOOSE(CONTROL!$C$15, $E$9, 100%, $G$9) + CHOOSE(CONTROL!$C$38, 0.0347, 0)</f>
        <v>41.636200000000002</v>
      </c>
      <c r="D659" s="10">
        <f>41.5936 * CHOOSE(CONTROL!$C$15, $E$9, 100%, $G$9) + CHOOSE(CONTROL!$C$38, 0.0347, 0)</f>
        <v>41.628300000000003</v>
      </c>
      <c r="E659" s="46">
        <f>44.9181 * CHOOSE(CONTROL!$C$15, $E$9, 100%, $G$9) + CHOOSE(CONTROL!$C$38, 0.0347, 0)</f>
        <v>44.952800000000003</v>
      </c>
      <c r="F659" s="45">
        <f>44.9181 * CHOOSE(CONTROL!$C$15, $E$9, 100%, $G$9) + CHOOSE(CONTROL!$C$38, 0.0256, 0)</f>
        <v>44.9437</v>
      </c>
      <c r="G659" s="10">
        <f>41.5999 * CHOOSE(CONTROL!$C$15, $E$9, 100%, $G$9) + CHOOSE(CONTROL!$C$38, 0.0347, 0)</f>
        <v>41.634599999999999</v>
      </c>
      <c r="H659" s="10">
        <f>41.5999 * CHOOSE(CONTROL!$C$15, $E$9, 100%, $G$9) + CHOOSE(CONTROL!$C$38, 0.0347, 0)</f>
        <v>41.634599999999999</v>
      </c>
      <c r="I659" s="10">
        <f>41.6015 * CHOOSE(CONTROL!$C$15, $E$9, 100%, $G$9) + CHOOSE(CONTROL!$C$38, 0.0347, 0)</f>
        <v>41.636200000000002</v>
      </c>
      <c r="J659" s="44">
        <f>329.751</f>
        <v>329.75099999999998</v>
      </c>
    </row>
    <row r="660" spans="1:10" ht="15.75" x14ac:dyDescent="0.25">
      <c r="A660" s="13">
        <v>61028</v>
      </c>
      <c r="B660" s="10">
        <f>46.2647 * CHOOSE(CONTROL!$C$15, $E$9, 100%, $G$9) + CHOOSE(CONTROL!$C$38, 0.0256, 0)</f>
        <v>46.290299999999995</v>
      </c>
      <c r="C660" s="10">
        <f>42.7375 * CHOOSE(CONTROL!$C$15, $E$9, 100%, $G$9) + CHOOSE(CONTROL!$C$38, 0.0347, 0)</f>
        <v>42.772199999999998</v>
      </c>
      <c r="D660" s="10">
        <f>42.7297 * CHOOSE(CONTROL!$C$15, $E$9, 100%, $G$9) + CHOOSE(CONTROL!$C$38, 0.0347, 0)</f>
        <v>42.764400000000002</v>
      </c>
      <c r="E660" s="46">
        <f>46.1085 * CHOOSE(CONTROL!$C$15, $E$9, 100%, $G$9) + CHOOSE(CONTROL!$C$38, 0.0347, 0)</f>
        <v>46.1432</v>
      </c>
      <c r="F660" s="45">
        <f>46.1085 * CHOOSE(CONTROL!$C$15, $E$9, 100%, $G$9) + CHOOSE(CONTROL!$C$38, 0.0256, 0)</f>
        <v>46.134099999999997</v>
      </c>
      <c r="G660" s="10">
        <f>42.7359 * CHOOSE(CONTROL!$C$15, $E$9, 100%, $G$9) + CHOOSE(CONTROL!$C$38, 0.0347, 0)</f>
        <v>42.770600000000002</v>
      </c>
      <c r="H660" s="10">
        <f>42.7359 * CHOOSE(CONTROL!$C$15, $E$9, 100%, $G$9) + CHOOSE(CONTROL!$C$38, 0.0347, 0)</f>
        <v>42.770600000000002</v>
      </c>
      <c r="I660" s="10">
        <f>42.7375 * CHOOSE(CONTROL!$C$15, $E$9, 100%, $G$9) + CHOOSE(CONTROL!$C$38, 0.0347, 0)</f>
        <v>42.772199999999998</v>
      </c>
      <c r="J660" s="44">
        <f>329.1212</f>
        <v>329.12119999999999</v>
      </c>
    </row>
    <row r="661" spans="1:10" ht="15.75" x14ac:dyDescent="0.25">
      <c r="A661" s="13">
        <v>61056</v>
      </c>
      <c r="B661" s="10">
        <f>46.4855 * CHOOSE(CONTROL!$C$15, $E$9, 100%, $G$9) + CHOOSE(CONTROL!$C$38, 0.0256, 0)</f>
        <v>46.511099999999999</v>
      </c>
      <c r="C661" s="10">
        <f>42.9582 * CHOOSE(CONTROL!$C$15, $E$9, 100%, $G$9) + CHOOSE(CONTROL!$C$38, 0.0347, 0)</f>
        <v>42.992899999999999</v>
      </c>
      <c r="D661" s="10">
        <f>42.9504 * CHOOSE(CONTROL!$C$15, $E$9, 100%, $G$9) + CHOOSE(CONTROL!$C$38, 0.0347, 0)</f>
        <v>42.985100000000003</v>
      </c>
      <c r="E661" s="46">
        <f>46.3292 * CHOOSE(CONTROL!$C$15, $E$9, 100%, $G$9) + CHOOSE(CONTROL!$C$38, 0.0347, 0)</f>
        <v>46.363900000000001</v>
      </c>
      <c r="F661" s="45">
        <f>46.3292 * CHOOSE(CONTROL!$C$15, $E$9, 100%, $G$9) + CHOOSE(CONTROL!$C$38, 0.0256, 0)</f>
        <v>46.354799999999997</v>
      </c>
      <c r="G661" s="10">
        <f>42.9567 * CHOOSE(CONTROL!$C$15, $E$9, 100%, $G$9) + CHOOSE(CONTROL!$C$38, 0.0347, 0)</f>
        <v>42.991399999999999</v>
      </c>
      <c r="H661" s="10">
        <f>42.9567 * CHOOSE(CONTROL!$C$15, $E$9, 100%, $G$9) + CHOOSE(CONTROL!$C$38, 0.0347, 0)</f>
        <v>42.991399999999999</v>
      </c>
      <c r="I661" s="10">
        <f>42.9582 * CHOOSE(CONTROL!$C$15, $E$9, 100%, $G$9) + CHOOSE(CONTROL!$C$38, 0.0347, 0)</f>
        <v>42.992899999999999</v>
      </c>
      <c r="J661" s="44">
        <f>328.2064</f>
        <v>328.20639999999997</v>
      </c>
    </row>
    <row r="662" spans="1:10" ht="15.75" x14ac:dyDescent="0.25">
      <c r="A662" s="13">
        <v>61087</v>
      </c>
      <c r="B662" s="10">
        <f>45.9745 * CHOOSE(CONTROL!$C$15, $E$9, 100%, $G$9) + CHOOSE(CONTROL!$C$38, 0.0256, 0)</f>
        <v>46.000099999999996</v>
      </c>
      <c r="C662" s="10">
        <f>42.4472 * CHOOSE(CONTROL!$C$15, $E$9, 100%, $G$9) + CHOOSE(CONTROL!$C$38, 0.0347, 0)</f>
        <v>42.481900000000003</v>
      </c>
      <c r="D662" s="10">
        <f>42.4394 * CHOOSE(CONTROL!$C$15, $E$9, 100%, $G$9) + CHOOSE(CONTROL!$C$38, 0.0347, 0)</f>
        <v>42.4741</v>
      </c>
      <c r="E662" s="46">
        <f>45.8182 * CHOOSE(CONTROL!$C$15, $E$9, 100%, $G$9) + CHOOSE(CONTROL!$C$38, 0.0347, 0)</f>
        <v>45.852899999999998</v>
      </c>
      <c r="F662" s="45">
        <f>45.8182 * CHOOSE(CONTROL!$C$15, $E$9, 100%, $G$9) + CHOOSE(CONTROL!$C$38, 0.0256, 0)</f>
        <v>45.843799999999995</v>
      </c>
      <c r="G662" s="10">
        <f>42.4456 * CHOOSE(CONTROL!$C$15, $E$9, 100%, $G$9) + CHOOSE(CONTROL!$C$38, 0.0347, 0)</f>
        <v>42.4803</v>
      </c>
      <c r="H662" s="10">
        <f>42.4456 * CHOOSE(CONTROL!$C$15, $E$9, 100%, $G$9) + CHOOSE(CONTROL!$C$38, 0.0347, 0)</f>
        <v>42.4803</v>
      </c>
      <c r="I662" s="10">
        <f>42.4472 * CHOOSE(CONTROL!$C$15, $E$9, 100%, $G$9) + CHOOSE(CONTROL!$C$38, 0.0347, 0)</f>
        <v>42.481900000000003</v>
      </c>
      <c r="J662" s="44">
        <f>345.5047</f>
        <v>345.50470000000001</v>
      </c>
    </row>
    <row r="663" spans="1:10" ht="15.75" x14ac:dyDescent="0.25">
      <c r="A663" s="13">
        <v>61117</v>
      </c>
      <c r="B663" s="10">
        <f>45.4793 * CHOOSE(CONTROL!$C$15, $E$9, 100%, $G$9) + CHOOSE(CONTROL!$C$38, 0.0256, 0)</f>
        <v>45.504899999999999</v>
      </c>
      <c r="C663" s="10">
        <f>41.952 * CHOOSE(CONTROL!$C$15, $E$9, 100%, $G$9) + CHOOSE(CONTROL!$C$38, 0.0347, 0)</f>
        <v>41.986699999999999</v>
      </c>
      <c r="D663" s="10">
        <f>41.9442 * CHOOSE(CONTROL!$C$15, $E$9, 100%, $G$9) + CHOOSE(CONTROL!$C$38, 0.0347, 0)</f>
        <v>41.978900000000003</v>
      </c>
      <c r="E663" s="46">
        <f>45.323 * CHOOSE(CONTROL!$C$15, $E$9, 100%, $G$9) + CHOOSE(CONTROL!$C$38, 0.0347, 0)</f>
        <v>45.357700000000001</v>
      </c>
      <c r="F663" s="45">
        <f>45.323 * CHOOSE(CONTROL!$C$15, $E$9, 100%, $G$9) + CHOOSE(CONTROL!$C$38, 0.0256, 0)</f>
        <v>45.348599999999998</v>
      </c>
      <c r="G663" s="10">
        <f>41.9505 * CHOOSE(CONTROL!$C$15, $E$9, 100%, $G$9) + CHOOSE(CONTROL!$C$38, 0.0347, 0)</f>
        <v>41.985199999999999</v>
      </c>
      <c r="H663" s="10">
        <f>41.9505 * CHOOSE(CONTROL!$C$15, $E$9, 100%, $G$9) + CHOOSE(CONTROL!$C$38, 0.0347, 0)</f>
        <v>41.985199999999999</v>
      </c>
      <c r="I663" s="10">
        <f>41.952 * CHOOSE(CONTROL!$C$15, $E$9, 100%, $G$9) + CHOOSE(CONTROL!$C$38, 0.0347, 0)</f>
        <v>41.986699999999999</v>
      </c>
      <c r="J663" s="44">
        <f>367.9366</f>
        <v>367.9366</v>
      </c>
    </row>
    <row r="664" spans="1:10" ht="15.75" x14ac:dyDescent="0.25">
      <c r="A664" s="13">
        <v>61148</v>
      </c>
      <c r="B664" s="10">
        <f>44.9632 * CHOOSE(CONTROL!$C$15, $E$9, 100%, $G$9) + CHOOSE(CONTROL!$C$38, 0.0278, 0)</f>
        <v>44.991</v>
      </c>
      <c r="C664" s="10">
        <f>41.4359 * CHOOSE(CONTROL!$C$15, $E$9, 100%, $G$9) + CHOOSE(CONTROL!$C$38, 0.0369, 0)</f>
        <v>41.472799999999999</v>
      </c>
      <c r="D664" s="10">
        <f>41.4281 * CHOOSE(CONTROL!$C$15, $E$9, 100%, $G$9) + CHOOSE(CONTROL!$C$38, 0.0369, 0)</f>
        <v>41.465000000000003</v>
      </c>
      <c r="E664" s="46">
        <f>44.8069 * CHOOSE(CONTROL!$C$15, $E$9, 100%, $G$9) + CHOOSE(CONTROL!$C$38, 0.0369, 0)</f>
        <v>44.843800000000002</v>
      </c>
      <c r="F664" s="45">
        <f>44.8069 * CHOOSE(CONTROL!$C$15, $E$9, 100%, $G$9) + CHOOSE(CONTROL!$C$38, 0.0278, 0)</f>
        <v>44.834699999999998</v>
      </c>
      <c r="G664" s="10">
        <f>41.4343 * CHOOSE(CONTROL!$C$15, $E$9, 100%, $G$9) + CHOOSE(CONTROL!$C$38, 0.0369, 0)</f>
        <v>41.471200000000003</v>
      </c>
      <c r="H664" s="10">
        <f>41.4343 * CHOOSE(CONTROL!$C$15, $E$9, 100%, $G$9) + CHOOSE(CONTROL!$C$38, 0.0369, 0)</f>
        <v>41.471200000000003</v>
      </c>
      <c r="I664" s="10">
        <f>41.4359 * CHOOSE(CONTROL!$C$15, $E$9, 100%, $G$9) + CHOOSE(CONTROL!$C$38, 0.0369, 0)</f>
        <v>41.472799999999999</v>
      </c>
      <c r="J664" s="44">
        <f>380.2838</f>
        <v>380.28379999999999</v>
      </c>
    </row>
    <row r="665" spans="1:10" ht="15.75" x14ac:dyDescent="0.25">
      <c r="A665" s="13">
        <v>61178</v>
      </c>
      <c r="B665" s="10">
        <f>44.6013 * CHOOSE(CONTROL!$C$15, $E$9, 100%, $G$9) + CHOOSE(CONTROL!$C$38, 0.0278, 0)</f>
        <v>44.629100000000001</v>
      </c>
      <c r="C665" s="10">
        <f>41.0741 * CHOOSE(CONTROL!$C$15, $E$9, 100%, $G$9) + CHOOSE(CONTROL!$C$38, 0.0369, 0)</f>
        <v>41.111000000000004</v>
      </c>
      <c r="D665" s="10">
        <f>41.0663 * CHOOSE(CONTROL!$C$15, $E$9, 100%, $G$9) + CHOOSE(CONTROL!$C$38, 0.0369, 0)</f>
        <v>41.103200000000001</v>
      </c>
      <c r="E665" s="46">
        <f>44.4451 * CHOOSE(CONTROL!$C$15, $E$9, 100%, $G$9) + CHOOSE(CONTROL!$C$38, 0.0369, 0)</f>
        <v>44.481999999999999</v>
      </c>
      <c r="F665" s="45">
        <f>44.4451 * CHOOSE(CONTROL!$C$15, $E$9, 100%, $G$9) + CHOOSE(CONTROL!$C$38, 0.0278, 0)</f>
        <v>44.472899999999996</v>
      </c>
      <c r="G665" s="10">
        <f>41.0725 * CHOOSE(CONTROL!$C$15, $E$9, 100%, $G$9) + CHOOSE(CONTROL!$C$38, 0.0369, 0)</f>
        <v>41.109400000000001</v>
      </c>
      <c r="H665" s="10">
        <f>41.0725 * CHOOSE(CONTROL!$C$15, $E$9, 100%, $G$9) + CHOOSE(CONTROL!$C$38, 0.0369, 0)</f>
        <v>41.109400000000001</v>
      </c>
      <c r="I665" s="10">
        <f>41.0741 * CHOOSE(CONTROL!$C$15, $E$9, 100%, $G$9) + CHOOSE(CONTROL!$C$38, 0.0369, 0)</f>
        <v>41.111000000000004</v>
      </c>
      <c r="J665" s="44">
        <f>385.7633</f>
        <v>385.76330000000002</v>
      </c>
    </row>
    <row r="666" spans="1:10" ht="15.75" x14ac:dyDescent="0.25">
      <c r="A666" s="13">
        <v>61209</v>
      </c>
      <c r="B666" s="10">
        <f>44.3948 * CHOOSE(CONTROL!$C$15, $E$9, 100%, $G$9) + CHOOSE(CONTROL!$C$38, 0.0278, 0)</f>
        <v>44.422599999999996</v>
      </c>
      <c r="C666" s="10">
        <f>40.8676 * CHOOSE(CONTROL!$C$15, $E$9, 100%, $G$9) + CHOOSE(CONTROL!$C$38, 0.0369, 0)</f>
        <v>40.904500000000006</v>
      </c>
      <c r="D666" s="10">
        <f>40.8598 * CHOOSE(CONTROL!$C$15, $E$9, 100%, $G$9) + CHOOSE(CONTROL!$C$38, 0.0369, 0)</f>
        <v>40.896700000000003</v>
      </c>
      <c r="E666" s="46">
        <f>44.2386 * CHOOSE(CONTROL!$C$15, $E$9, 100%, $G$9) + CHOOSE(CONTROL!$C$38, 0.0369, 0)</f>
        <v>44.275500000000001</v>
      </c>
      <c r="F666" s="45">
        <f>44.2386 * CHOOSE(CONTROL!$C$15, $E$9, 100%, $G$9) + CHOOSE(CONTROL!$C$38, 0.0278, 0)</f>
        <v>44.266399999999997</v>
      </c>
      <c r="G666" s="10">
        <f>40.866 * CHOOSE(CONTROL!$C$15, $E$9, 100%, $G$9) + CHOOSE(CONTROL!$C$38, 0.0369, 0)</f>
        <v>40.902900000000002</v>
      </c>
      <c r="H666" s="10">
        <f>40.866 * CHOOSE(CONTROL!$C$15, $E$9, 100%, $G$9) + CHOOSE(CONTROL!$C$38, 0.0369, 0)</f>
        <v>40.902900000000002</v>
      </c>
      <c r="I666" s="10">
        <f>40.8676 * CHOOSE(CONTROL!$C$15, $E$9, 100%, $G$9) + CHOOSE(CONTROL!$C$38, 0.0369, 0)</f>
        <v>40.904500000000006</v>
      </c>
      <c r="J666" s="44">
        <f>383.9592</f>
        <v>383.95920000000001</v>
      </c>
    </row>
    <row r="667" spans="1:10" ht="15.75" x14ac:dyDescent="0.25">
      <c r="A667" s="13">
        <v>61240</v>
      </c>
      <c r="B667" s="10">
        <f>44.4968 * CHOOSE(CONTROL!$C$15, $E$9, 100%, $G$9) + CHOOSE(CONTROL!$C$38, 0.0278, 0)</f>
        <v>44.5246</v>
      </c>
      <c r="C667" s="10">
        <f>40.9695 * CHOOSE(CONTROL!$C$15, $E$9, 100%, $G$9) + CHOOSE(CONTROL!$C$38, 0.0369, 0)</f>
        <v>41.006399999999999</v>
      </c>
      <c r="D667" s="10">
        <f>40.9617 * CHOOSE(CONTROL!$C$15, $E$9, 100%, $G$9) + CHOOSE(CONTROL!$C$38, 0.0369, 0)</f>
        <v>40.998600000000003</v>
      </c>
      <c r="E667" s="46">
        <f>44.3405 * CHOOSE(CONTROL!$C$15, $E$9, 100%, $G$9) + CHOOSE(CONTROL!$C$38, 0.0369, 0)</f>
        <v>44.377400000000002</v>
      </c>
      <c r="F667" s="45">
        <f>44.3405 * CHOOSE(CONTROL!$C$15, $E$9, 100%, $G$9) + CHOOSE(CONTROL!$C$38, 0.0278, 0)</f>
        <v>44.368299999999998</v>
      </c>
      <c r="G667" s="10">
        <f>40.9679 * CHOOSE(CONTROL!$C$15, $E$9, 100%, $G$9) + CHOOSE(CONTROL!$C$38, 0.0369, 0)</f>
        <v>41.004800000000003</v>
      </c>
      <c r="H667" s="10">
        <f>40.9679 * CHOOSE(CONTROL!$C$15, $E$9, 100%, $G$9) + CHOOSE(CONTROL!$C$38, 0.0369, 0)</f>
        <v>41.004800000000003</v>
      </c>
      <c r="I667" s="10">
        <f>40.9695 * CHOOSE(CONTROL!$C$15, $E$9, 100%, $G$9) + CHOOSE(CONTROL!$C$38, 0.0369, 0)</f>
        <v>41.006399999999999</v>
      </c>
      <c r="J667" s="44">
        <f>375.0208</f>
        <v>375.02080000000001</v>
      </c>
    </row>
    <row r="668" spans="1:10" ht="15.75" x14ac:dyDescent="0.25">
      <c r="A668" s="13">
        <v>61270</v>
      </c>
      <c r="B668" s="10">
        <f>44.7736 * CHOOSE(CONTROL!$C$15, $E$9, 100%, $G$9) + CHOOSE(CONTROL!$C$38, 0.0278, 0)</f>
        <v>44.801400000000001</v>
      </c>
      <c r="C668" s="10">
        <f>41.2463 * CHOOSE(CONTROL!$C$15, $E$9, 100%, $G$9) + CHOOSE(CONTROL!$C$38, 0.0369, 0)</f>
        <v>41.283200000000001</v>
      </c>
      <c r="D668" s="10">
        <f>41.2385 * CHOOSE(CONTROL!$C$15, $E$9, 100%, $G$9) + CHOOSE(CONTROL!$C$38, 0.0369, 0)</f>
        <v>41.275400000000005</v>
      </c>
      <c r="E668" s="46">
        <f>44.6173 * CHOOSE(CONTROL!$C$15, $E$9, 100%, $G$9) + CHOOSE(CONTROL!$C$38, 0.0369, 0)</f>
        <v>44.654200000000003</v>
      </c>
      <c r="F668" s="45">
        <f>44.6173 * CHOOSE(CONTROL!$C$15, $E$9, 100%, $G$9) + CHOOSE(CONTROL!$C$38, 0.0278, 0)</f>
        <v>44.645099999999999</v>
      </c>
      <c r="G668" s="10">
        <f>41.2447 * CHOOSE(CONTROL!$C$15, $E$9, 100%, $G$9) + CHOOSE(CONTROL!$C$38, 0.0369, 0)</f>
        <v>41.281600000000005</v>
      </c>
      <c r="H668" s="10">
        <f>41.2447 * CHOOSE(CONTROL!$C$15, $E$9, 100%, $G$9) + CHOOSE(CONTROL!$C$38, 0.0369, 0)</f>
        <v>41.281600000000005</v>
      </c>
      <c r="I668" s="10">
        <f>41.2463 * CHOOSE(CONTROL!$C$15, $E$9, 100%, $G$9) + CHOOSE(CONTROL!$C$38, 0.0369, 0)</f>
        <v>41.283200000000001</v>
      </c>
      <c r="J668" s="44">
        <f>362.5558</f>
        <v>362.55579999999998</v>
      </c>
    </row>
    <row r="669" spans="1:10" ht="15.75" x14ac:dyDescent="0.25">
      <c r="A669" s="13">
        <v>61301</v>
      </c>
      <c r="B669" s="10">
        <f>45.0054 * CHOOSE(CONTROL!$C$15, $E$9, 100%, $G$9) + CHOOSE(CONTROL!$C$38, 0.0256, 0)</f>
        <v>45.030999999999999</v>
      </c>
      <c r="C669" s="10">
        <f>41.4781 * CHOOSE(CONTROL!$C$15, $E$9, 100%, $G$9) + CHOOSE(CONTROL!$C$38, 0.0347, 0)</f>
        <v>41.512799999999999</v>
      </c>
      <c r="D669" s="10">
        <f>41.4703 * CHOOSE(CONTROL!$C$15, $E$9, 100%, $G$9) + CHOOSE(CONTROL!$C$38, 0.0347, 0)</f>
        <v>41.505000000000003</v>
      </c>
      <c r="E669" s="46">
        <f>44.8491 * CHOOSE(CONTROL!$C$15, $E$9, 100%, $G$9) + CHOOSE(CONTROL!$C$38, 0.0347, 0)</f>
        <v>44.883800000000001</v>
      </c>
      <c r="F669" s="45">
        <f>44.8491 * CHOOSE(CONTROL!$C$15, $E$9, 100%, $G$9) + CHOOSE(CONTROL!$C$38, 0.0256, 0)</f>
        <v>44.874699999999997</v>
      </c>
      <c r="G669" s="10">
        <f>41.4765 * CHOOSE(CONTROL!$C$15, $E$9, 100%, $G$9) + CHOOSE(CONTROL!$C$38, 0.0347, 0)</f>
        <v>41.511200000000002</v>
      </c>
      <c r="H669" s="10">
        <f>41.4765 * CHOOSE(CONTROL!$C$15, $E$9, 100%, $G$9) + CHOOSE(CONTROL!$C$38, 0.0347, 0)</f>
        <v>41.511200000000002</v>
      </c>
      <c r="I669" s="10">
        <f>41.4781 * CHOOSE(CONTROL!$C$15, $E$9, 100%, $G$9) + CHOOSE(CONTROL!$C$38, 0.0347, 0)</f>
        <v>41.512799999999999</v>
      </c>
      <c r="J669" s="44">
        <f>350.0182</f>
        <v>350.01819999999998</v>
      </c>
    </row>
    <row r="670" spans="1:10" ht="15.75" x14ac:dyDescent="0.25">
      <c r="A670" s="13">
        <v>61331</v>
      </c>
      <c r="B670" s="10">
        <f>45.1988 * CHOOSE(CONTROL!$C$15, $E$9, 100%, $G$9) + CHOOSE(CONTROL!$C$38, 0.0256, 0)</f>
        <v>45.224399999999996</v>
      </c>
      <c r="C670" s="10">
        <f>41.6715 * CHOOSE(CONTROL!$C$15, $E$9, 100%, $G$9) + CHOOSE(CONTROL!$C$38, 0.0347, 0)</f>
        <v>41.706200000000003</v>
      </c>
      <c r="D670" s="10">
        <f>41.6637 * CHOOSE(CONTROL!$C$15, $E$9, 100%, $G$9) + CHOOSE(CONTROL!$C$38, 0.0347, 0)</f>
        <v>41.698399999999999</v>
      </c>
      <c r="E670" s="46">
        <f>45.0426 * CHOOSE(CONTROL!$C$15, $E$9, 100%, $G$9) + CHOOSE(CONTROL!$C$38, 0.0347, 0)</f>
        <v>45.077300000000001</v>
      </c>
      <c r="F670" s="45">
        <f>45.0426 * CHOOSE(CONTROL!$C$15, $E$9, 100%, $G$9) + CHOOSE(CONTROL!$C$38, 0.0256, 0)</f>
        <v>45.068199999999997</v>
      </c>
      <c r="G670" s="10">
        <f>41.67 * CHOOSE(CONTROL!$C$15, $E$9, 100%, $G$9) + CHOOSE(CONTROL!$C$38, 0.0347, 0)</f>
        <v>41.704700000000003</v>
      </c>
      <c r="H670" s="10">
        <f>41.67 * CHOOSE(CONTROL!$C$15, $E$9, 100%, $G$9) + CHOOSE(CONTROL!$C$38, 0.0347, 0)</f>
        <v>41.704700000000003</v>
      </c>
      <c r="I670" s="10">
        <f>41.6715 * CHOOSE(CONTROL!$C$15, $E$9, 100%, $G$9) + CHOOSE(CONTROL!$C$38, 0.0347, 0)</f>
        <v>41.706200000000003</v>
      </c>
      <c r="J670" s="44">
        <f>347.5242</f>
        <v>347.52420000000001</v>
      </c>
    </row>
    <row r="671" spans="1:10" ht="15.75" x14ac:dyDescent="0.25">
      <c r="A671" s="13">
        <v>61362</v>
      </c>
      <c r="B671" s="10">
        <f>45.7949 * CHOOSE(CONTROL!$C$15, $E$9, 100%, $G$9) + CHOOSE(CONTROL!$C$38, 0.0256, 0)</f>
        <v>45.820499999999996</v>
      </c>
      <c r="C671" s="10">
        <f>42.2676 * CHOOSE(CONTROL!$C$15, $E$9, 100%, $G$9) + CHOOSE(CONTROL!$C$38, 0.0347, 0)</f>
        <v>42.302300000000002</v>
      </c>
      <c r="D671" s="10">
        <f>42.2598 * CHOOSE(CONTROL!$C$15, $E$9, 100%, $G$9) + CHOOSE(CONTROL!$C$38, 0.0347, 0)</f>
        <v>42.294499999999999</v>
      </c>
      <c r="E671" s="46">
        <f>45.6386 * CHOOSE(CONTROL!$C$15, $E$9, 100%, $G$9) + CHOOSE(CONTROL!$C$38, 0.0347, 0)</f>
        <v>45.673299999999998</v>
      </c>
      <c r="F671" s="45">
        <f>45.6386 * CHOOSE(CONTROL!$C$15, $E$9, 100%, $G$9) + CHOOSE(CONTROL!$C$38, 0.0256, 0)</f>
        <v>45.664199999999994</v>
      </c>
      <c r="G671" s="10">
        <f>42.2661 * CHOOSE(CONTROL!$C$15, $E$9, 100%, $G$9) + CHOOSE(CONTROL!$C$38, 0.0347, 0)</f>
        <v>42.300800000000002</v>
      </c>
      <c r="H671" s="10">
        <f>42.2661 * CHOOSE(CONTROL!$C$15, $E$9, 100%, $G$9) + CHOOSE(CONTROL!$C$38, 0.0347, 0)</f>
        <v>42.300800000000002</v>
      </c>
      <c r="I671" s="10">
        <f>42.2676 * CHOOSE(CONTROL!$C$15, $E$9, 100%, $G$9) + CHOOSE(CONTROL!$C$38, 0.0347, 0)</f>
        <v>42.302300000000002</v>
      </c>
      <c r="J671" s="44">
        <f>337.2114</f>
        <v>337.21140000000003</v>
      </c>
    </row>
    <row r="672" spans="1:10" ht="15.75" x14ac:dyDescent="0.25">
      <c r="A672" s="13">
        <v>61393</v>
      </c>
      <c r="B672" s="10">
        <f>46.9971 * CHOOSE(CONTROL!$C$15, $E$9, 100%, $G$9) + CHOOSE(CONTROL!$C$38, 0.0256, 0)</f>
        <v>47.0227</v>
      </c>
      <c r="C672" s="10">
        <f>43.4146 * CHOOSE(CONTROL!$C$15, $E$9, 100%, $G$9) + CHOOSE(CONTROL!$C$38, 0.0347, 0)</f>
        <v>43.449300000000001</v>
      </c>
      <c r="D672" s="10">
        <f>43.4067 * CHOOSE(CONTROL!$C$15, $E$9, 100%, $G$9) + CHOOSE(CONTROL!$C$38, 0.0347, 0)</f>
        <v>43.441400000000002</v>
      </c>
      <c r="E672" s="46">
        <f>46.8408 * CHOOSE(CONTROL!$C$15, $E$9, 100%, $G$9) + CHOOSE(CONTROL!$C$38, 0.0347, 0)</f>
        <v>46.875500000000002</v>
      </c>
      <c r="F672" s="45">
        <f>46.8408 * CHOOSE(CONTROL!$C$15, $E$9, 100%, $G$9) + CHOOSE(CONTROL!$C$38, 0.0256, 0)</f>
        <v>46.866399999999999</v>
      </c>
      <c r="G672" s="10">
        <f>43.413 * CHOOSE(CONTROL!$C$15, $E$9, 100%, $G$9) + CHOOSE(CONTROL!$C$38, 0.0347, 0)</f>
        <v>43.447699999999998</v>
      </c>
      <c r="H672" s="10">
        <f>43.413 * CHOOSE(CONTROL!$C$15, $E$9, 100%, $G$9) + CHOOSE(CONTROL!$C$38, 0.0347, 0)</f>
        <v>43.447699999999998</v>
      </c>
      <c r="I672" s="10">
        <f>43.4146 * CHOOSE(CONTROL!$C$15, $E$9, 100%, $G$9) + CHOOSE(CONTROL!$C$38, 0.0347, 0)</f>
        <v>43.449300000000001</v>
      </c>
      <c r="J672" s="44">
        <f>336.5674</f>
        <v>336.56740000000002</v>
      </c>
    </row>
    <row r="673" spans="1:10" ht="15.75" x14ac:dyDescent="0.25">
      <c r="A673" s="13">
        <v>61422</v>
      </c>
      <c r="B673" s="10">
        <f>47.2178 * CHOOSE(CONTROL!$C$15, $E$9, 100%, $G$9) + CHOOSE(CONTROL!$C$38, 0.0256, 0)</f>
        <v>47.243399999999994</v>
      </c>
      <c r="C673" s="10">
        <f>43.6353 * CHOOSE(CONTROL!$C$15, $E$9, 100%, $G$9) + CHOOSE(CONTROL!$C$38, 0.0347, 0)</f>
        <v>43.67</v>
      </c>
      <c r="D673" s="10">
        <f>43.6275 * CHOOSE(CONTROL!$C$15, $E$9, 100%, $G$9) + CHOOSE(CONTROL!$C$38, 0.0347, 0)</f>
        <v>43.662199999999999</v>
      </c>
      <c r="E673" s="46">
        <f>47.0616 * CHOOSE(CONTROL!$C$15, $E$9, 100%, $G$9) + CHOOSE(CONTROL!$C$38, 0.0347, 0)</f>
        <v>47.096299999999999</v>
      </c>
      <c r="F673" s="45">
        <f>47.0616 * CHOOSE(CONTROL!$C$15, $E$9, 100%, $G$9) + CHOOSE(CONTROL!$C$38, 0.0256, 0)</f>
        <v>47.087199999999996</v>
      </c>
      <c r="G673" s="10">
        <f>43.6338 * CHOOSE(CONTROL!$C$15, $E$9, 100%, $G$9) + CHOOSE(CONTROL!$C$38, 0.0347, 0)</f>
        <v>43.668500000000002</v>
      </c>
      <c r="H673" s="10">
        <f>43.6338 * CHOOSE(CONTROL!$C$15, $E$9, 100%, $G$9) + CHOOSE(CONTROL!$C$38, 0.0347, 0)</f>
        <v>43.668500000000002</v>
      </c>
      <c r="I673" s="10">
        <f>43.6353 * CHOOSE(CONTROL!$C$15, $E$9, 100%, $G$9) + CHOOSE(CONTROL!$C$38, 0.0347, 0)</f>
        <v>43.67</v>
      </c>
      <c r="J673" s="44">
        <f>335.6319</f>
        <v>335.63189999999997</v>
      </c>
    </row>
    <row r="674" spans="1:10" ht="15.75" x14ac:dyDescent="0.25">
      <c r="A674" s="13">
        <v>61453</v>
      </c>
      <c r="B674" s="10">
        <f>46.7068 * CHOOSE(CONTROL!$C$15, $E$9, 100%, $G$9) + CHOOSE(CONTROL!$C$38, 0.0256, 0)</f>
        <v>46.732399999999998</v>
      </c>
      <c r="C674" s="10">
        <f>43.1243 * CHOOSE(CONTROL!$C$15, $E$9, 100%, $G$9) + CHOOSE(CONTROL!$C$38, 0.0347, 0)</f>
        <v>43.158999999999999</v>
      </c>
      <c r="D674" s="10">
        <f>43.1165 * CHOOSE(CONTROL!$C$15, $E$9, 100%, $G$9) + CHOOSE(CONTROL!$C$38, 0.0347, 0)</f>
        <v>43.151200000000003</v>
      </c>
      <c r="E674" s="46">
        <f>46.5506 * CHOOSE(CONTROL!$C$15, $E$9, 100%, $G$9) + CHOOSE(CONTROL!$C$38, 0.0347, 0)</f>
        <v>46.585300000000004</v>
      </c>
      <c r="F674" s="45">
        <f>46.5506 * CHOOSE(CONTROL!$C$15, $E$9, 100%, $G$9) + CHOOSE(CONTROL!$C$38, 0.0256, 0)</f>
        <v>46.5762</v>
      </c>
      <c r="G674" s="10">
        <f>43.1227 * CHOOSE(CONTROL!$C$15, $E$9, 100%, $G$9) + CHOOSE(CONTROL!$C$38, 0.0347, 0)</f>
        <v>43.157400000000003</v>
      </c>
      <c r="H674" s="10">
        <f>43.1227 * CHOOSE(CONTROL!$C$15, $E$9, 100%, $G$9) + CHOOSE(CONTROL!$C$38, 0.0347, 0)</f>
        <v>43.157400000000003</v>
      </c>
      <c r="I674" s="10">
        <f>43.1243 * CHOOSE(CONTROL!$C$15, $E$9, 100%, $G$9) + CHOOSE(CONTROL!$C$38, 0.0347, 0)</f>
        <v>43.158999999999999</v>
      </c>
      <c r="J674" s="44">
        <f>353.3216</f>
        <v>353.32159999999999</v>
      </c>
    </row>
    <row r="675" spans="1:10" ht="15.75" x14ac:dyDescent="0.25">
      <c r="A675" s="13">
        <v>61483</v>
      </c>
      <c r="B675" s="10">
        <f>46.2116 * CHOOSE(CONTROL!$C$15, $E$9, 100%, $G$9) + CHOOSE(CONTROL!$C$38, 0.0256, 0)</f>
        <v>46.237199999999994</v>
      </c>
      <c r="C675" s="10">
        <f>42.6291 * CHOOSE(CONTROL!$C$15, $E$9, 100%, $G$9) + CHOOSE(CONTROL!$C$38, 0.0347, 0)</f>
        <v>42.663800000000002</v>
      </c>
      <c r="D675" s="10">
        <f>42.6213 * CHOOSE(CONTROL!$C$15, $E$9, 100%, $G$9) + CHOOSE(CONTROL!$C$38, 0.0347, 0)</f>
        <v>42.655999999999999</v>
      </c>
      <c r="E675" s="46">
        <f>46.0554 * CHOOSE(CONTROL!$C$15, $E$9, 100%, $G$9) + CHOOSE(CONTROL!$C$38, 0.0347, 0)</f>
        <v>46.0901</v>
      </c>
      <c r="F675" s="45">
        <f>46.0554 * CHOOSE(CONTROL!$C$15, $E$9, 100%, $G$9) + CHOOSE(CONTROL!$C$38, 0.0256, 0)</f>
        <v>46.080999999999996</v>
      </c>
      <c r="G675" s="10">
        <f>42.6275 * CHOOSE(CONTROL!$C$15, $E$9, 100%, $G$9) + CHOOSE(CONTROL!$C$38, 0.0347, 0)</f>
        <v>42.662199999999999</v>
      </c>
      <c r="H675" s="10">
        <f>42.6275 * CHOOSE(CONTROL!$C$15, $E$9, 100%, $G$9) + CHOOSE(CONTROL!$C$38, 0.0347, 0)</f>
        <v>42.662199999999999</v>
      </c>
      <c r="I675" s="10">
        <f>42.6291 * CHOOSE(CONTROL!$C$15, $E$9, 100%, $G$9) + CHOOSE(CONTROL!$C$38, 0.0347, 0)</f>
        <v>42.663800000000002</v>
      </c>
      <c r="J675" s="44">
        <f>376.261</f>
        <v>376.26100000000002</v>
      </c>
    </row>
    <row r="676" spans="1:10" ht="15.75" x14ac:dyDescent="0.25">
      <c r="A676" s="13">
        <v>61514</v>
      </c>
      <c r="B676" s="10">
        <f>45.6955 * CHOOSE(CONTROL!$C$15, $E$9, 100%, $G$9) + CHOOSE(CONTROL!$C$38, 0.0278, 0)</f>
        <v>45.723300000000002</v>
      </c>
      <c r="C676" s="10">
        <f>42.113 * CHOOSE(CONTROL!$C$15, $E$9, 100%, $G$9) + CHOOSE(CONTROL!$C$38, 0.0369, 0)</f>
        <v>42.149900000000002</v>
      </c>
      <c r="D676" s="10">
        <f>42.1052 * CHOOSE(CONTROL!$C$15, $E$9, 100%, $G$9) + CHOOSE(CONTROL!$C$38, 0.0369, 0)</f>
        <v>42.142100000000006</v>
      </c>
      <c r="E676" s="46">
        <f>45.5393 * CHOOSE(CONTROL!$C$15, $E$9, 100%, $G$9) + CHOOSE(CONTROL!$C$38, 0.0369, 0)</f>
        <v>45.5762</v>
      </c>
      <c r="F676" s="45">
        <f>45.5393 * CHOOSE(CONTROL!$C$15, $E$9, 100%, $G$9) + CHOOSE(CONTROL!$C$38, 0.0278, 0)</f>
        <v>45.567099999999996</v>
      </c>
      <c r="G676" s="10">
        <f>42.1114 * CHOOSE(CONTROL!$C$15, $E$9, 100%, $G$9) + CHOOSE(CONTROL!$C$38, 0.0369, 0)</f>
        <v>42.148300000000006</v>
      </c>
      <c r="H676" s="10">
        <f>42.1114 * CHOOSE(CONTROL!$C$15, $E$9, 100%, $G$9) + CHOOSE(CONTROL!$C$38, 0.0369, 0)</f>
        <v>42.148300000000006</v>
      </c>
      <c r="I676" s="10">
        <f>42.113 * CHOOSE(CONTROL!$C$15, $E$9, 100%, $G$9) + CHOOSE(CONTROL!$C$38, 0.0369, 0)</f>
        <v>42.149900000000002</v>
      </c>
      <c r="J676" s="44">
        <f>388.8876</f>
        <v>388.88760000000002</v>
      </c>
    </row>
    <row r="677" spans="1:10" ht="15.75" x14ac:dyDescent="0.25">
      <c r="A677" s="13">
        <v>61544</v>
      </c>
      <c r="B677" s="10">
        <f>45.3337 * CHOOSE(CONTROL!$C$15, $E$9, 100%, $G$9) + CHOOSE(CONTROL!$C$38, 0.0278, 0)</f>
        <v>45.361499999999999</v>
      </c>
      <c r="C677" s="10">
        <f>41.7512 * CHOOSE(CONTROL!$C$15, $E$9, 100%, $G$9) + CHOOSE(CONTROL!$C$38, 0.0369, 0)</f>
        <v>41.7881</v>
      </c>
      <c r="D677" s="10">
        <f>41.7433 * CHOOSE(CONTROL!$C$15, $E$9, 100%, $G$9) + CHOOSE(CONTROL!$C$38, 0.0369, 0)</f>
        <v>41.780200000000001</v>
      </c>
      <c r="E677" s="46">
        <f>45.1774 * CHOOSE(CONTROL!$C$15, $E$9, 100%, $G$9) + CHOOSE(CONTROL!$C$38, 0.0369, 0)</f>
        <v>45.214300000000001</v>
      </c>
      <c r="F677" s="45">
        <f>45.1774 * CHOOSE(CONTROL!$C$15, $E$9, 100%, $G$9) + CHOOSE(CONTROL!$C$38, 0.0278, 0)</f>
        <v>45.205199999999998</v>
      </c>
      <c r="G677" s="10">
        <f>41.7496 * CHOOSE(CONTROL!$C$15, $E$9, 100%, $G$9) + CHOOSE(CONTROL!$C$38, 0.0369, 0)</f>
        <v>41.786500000000004</v>
      </c>
      <c r="H677" s="10">
        <f>41.7496 * CHOOSE(CONTROL!$C$15, $E$9, 100%, $G$9) + CHOOSE(CONTROL!$C$38, 0.0369, 0)</f>
        <v>41.786500000000004</v>
      </c>
      <c r="I677" s="10">
        <f>41.7512 * CHOOSE(CONTROL!$C$15, $E$9, 100%, $G$9) + CHOOSE(CONTROL!$C$38, 0.0369, 0)</f>
        <v>41.7881</v>
      </c>
      <c r="J677" s="44">
        <f>394.491</f>
        <v>394.49099999999999</v>
      </c>
    </row>
    <row r="678" spans="1:10" ht="15.75" x14ac:dyDescent="0.25">
      <c r="A678" s="13">
        <v>61575</v>
      </c>
      <c r="B678" s="10">
        <f>45.1272 * CHOOSE(CONTROL!$C$15, $E$9, 100%, $G$9) + CHOOSE(CONTROL!$C$38, 0.0278, 0)</f>
        <v>45.155000000000001</v>
      </c>
      <c r="C678" s="10">
        <f>41.5447 * CHOOSE(CONTROL!$C$15, $E$9, 100%, $G$9) + CHOOSE(CONTROL!$C$38, 0.0369, 0)</f>
        <v>41.581600000000002</v>
      </c>
      <c r="D678" s="10">
        <f>41.5369 * CHOOSE(CONTROL!$C$15, $E$9, 100%, $G$9) + CHOOSE(CONTROL!$C$38, 0.0369, 0)</f>
        <v>41.573800000000006</v>
      </c>
      <c r="E678" s="46">
        <f>44.971 * CHOOSE(CONTROL!$C$15, $E$9, 100%, $G$9) + CHOOSE(CONTROL!$C$38, 0.0369, 0)</f>
        <v>45.007899999999999</v>
      </c>
      <c r="F678" s="45">
        <f>44.971 * CHOOSE(CONTROL!$C$15, $E$9, 100%, $G$9) + CHOOSE(CONTROL!$C$38, 0.0278, 0)</f>
        <v>44.998799999999996</v>
      </c>
      <c r="G678" s="10">
        <f>41.5431 * CHOOSE(CONTROL!$C$15, $E$9, 100%, $G$9) + CHOOSE(CONTROL!$C$38, 0.0369, 0)</f>
        <v>41.580000000000005</v>
      </c>
      <c r="H678" s="10">
        <f>41.5431 * CHOOSE(CONTROL!$C$15, $E$9, 100%, $G$9) + CHOOSE(CONTROL!$C$38, 0.0369, 0)</f>
        <v>41.580000000000005</v>
      </c>
      <c r="I678" s="10">
        <f>41.5447 * CHOOSE(CONTROL!$C$15, $E$9, 100%, $G$9) + CHOOSE(CONTROL!$C$38, 0.0369, 0)</f>
        <v>41.581600000000002</v>
      </c>
      <c r="J678" s="44">
        <f>392.6461</f>
        <v>392.64609999999999</v>
      </c>
    </row>
    <row r="679" spans="1:10" ht="15.75" x14ac:dyDescent="0.25">
      <c r="A679" s="13">
        <v>61606</v>
      </c>
      <c r="B679" s="10">
        <f>45.2291 * CHOOSE(CONTROL!$C$15, $E$9, 100%, $G$9) + CHOOSE(CONTROL!$C$38, 0.0278, 0)</f>
        <v>45.256900000000002</v>
      </c>
      <c r="C679" s="10">
        <f>41.6466 * CHOOSE(CONTROL!$C$15, $E$9, 100%, $G$9) + CHOOSE(CONTROL!$C$38, 0.0369, 0)</f>
        <v>41.683500000000002</v>
      </c>
      <c r="D679" s="10">
        <f>41.6388 * CHOOSE(CONTROL!$C$15, $E$9, 100%, $G$9) + CHOOSE(CONTROL!$C$38, 0.0369, 0)</f>
        <v>41.675700000000006</v>
      </c>
      <c r="E679" s="46">
        <f>45.0729 * CHOOSE(CONTROL!$C$15, $E$9, 100%, $G$9) + CHOOSE(CONTROL!$C$38, 0.0369, 0)</f>
        <v>45.1098</v>
      </c>
      <c r="F679" s="45">
        <f>45.0729 * CHOOSE(CONTROL!$C$15, $E$9, 100%, $G$9) + CHOOSE(CONTROL!$C$38, 0.0278, 0)</f>
        <v>45.100699999999996</v>
      </c>
      <c r="G679" s="10">
        <f>41.645 * CHOOSE(CONTROL!$C$15, $E$9, 100%, $G$9) + CHOOSE(CONTROL!$C$38, 0.0369, 0)</f>
        <v>41.681900000000006</v>
      </c>
      <c r="H679" s="10">
        <f>41.645 * CHOOSE(CONTROL!$C$15, $E$9, 100%, $G$9) + CHOOSE(CONTROL!$C$38, 0.0369, 0)</f>
        <v>41.681900000000006</v>
      </c>
      <c r="I679" s="10">
        <f>41.6466 * CHOOSE(CONTROL!$C$15, $E$9, 100%, $G$9) + CHOOSE(CONTROL!$C$38, 0.0369, 0)</f>
        <v>41.683500000000002</v>
      </c>
      <c r="J679" s="44">
        <f>383.5055</f>
        <v>383.50549999999998</v>
      </c>
    </row>
    <row r="680" spans="1:10" ht="15.75" x14ac:dyDescent="0.25">
      <c r="A680" s="13">
        <v>61636</v>
      </c>
      <c r="B680" s="10">
        <f>45.5059 * CHOOSE(CONTROL!$C$15, $E$9, 100%, $G$9) + CHOOSE(CONTROL!$C$38, 0.0278, 0)</f>
        <v>45.533699999999996</v>
      </c>
      <c r="C680" s="10">
        <f>41.9234 * CHOOSE(CONTROL!$C$15, $E$9, 100%, $G$9) + CHOOSE(CONTROL!$C$38, 0.0369, 0)</f>
        <v>41.960300000000004</v>
      </c>
      <c r="D680" s="10">
        <f>41.9156 * CHOOSE(CONTROL!$C$15, $E$9, 100%, $G$9) + CHOOSE(CONTROL!$C$38, 0.0369, 0)</f>
        <v>41.952500000000001</v>
      </c>
      <c r="E680" s="46">
        <f>45.3497 * CHOOSE(CONTROL!$C$15, $E$9, 100%, $G$9) + CHOOSE(CONTROL!$C$38, 0.0369, 0)</f>
        <v>45.386600000000001</v>
      </c>
      <c r="F680" s="45">
        <f>45.3497 * CHOOSE(CONTROL!$C$15, $E$9, 100%, $G$9) + CHOOSE(CONTROL!$C$38, 0.0278, 0)</f>
        <v>45.377499999999998</v>
      </c>
      <c r="G680" s="10">
        <f>41.9218 * CHOOSE(CONTROL!$C$15, $E$9, 100%, $G$9) + CHOOSE(CONTROL!$C$38, 0.0369, 0)</f>
        <v>41.9587</v>
      </c>
      <c r="H680" s="10">
        <f>41.9218 * CHOOSE(CONTROL!$C$15, $E$9, 100%, $G$9) + CHOOSE(CONTROL!$C$38, 0.0369, 0)</f>
        <v>41.9587</v>
      </c>
      <c r="I680" s="10">
        <f>41.9234 * CHOOSE(CONTROL!$C$15, $E$9, 100%, $G$9) + CHOOSE(CONTROL!$C$38, 0.0369, 0)</f>
        <v>41.960300000000004</v>
      </c>
      <c r="J680" s="44">
        <f>370.7584</f>
        <v>370.75839999999999</v>
      </c>
    </row>
    <row r="681" spans="1:10" ht="15.75" x14ac:dyDescent="0.25">
      <c r="A681" s="13">
        <v>61667</v>
      </c>
      <c r="B681" s="10">
        <f>45.7377 * CHOOSE(CONTROL!$C$15, $E$9, 100%, $G$9) + CHOOSE(CONTROL!$C$38, 0.0256, 0)</f>
        <v>45.763299999999994</v>
      </c>
      <c r="C681" s="10">
        <f>42.1552 * CHOOSE(CONTROL!$C$15, $E$9, 100%, $G$9) + CHOOSE(CONTROL!$C$38, 0.0347, 0)</f>
        <v>42.189900000000002</v>
      </c>
      <c r="D681" s="10">
        <f>42.1474 * CHOOSE(CONTROL!$C$15, $E$9, 100%, $G$9) + CHOOSE(CONTROL!$C$38, 0.0347, 0)</f>
        <v>42.182099999999998</v>
      </c>
      <c r="E681" s="46">
        <f>45.5815 * CHOOSE(CONTROL!$C$15, $E$9, 100%, $G$9) + CHOOSE(CONTROL!$C$38, 0.0347, 0)</f>
        <v>45.616199999999999</v>
      </c>
      <c r="F681" s="45">
        <f>45.5815 * CHOOSE(CONTROL!$C$15, $E$9, 100%, $G$9) + CHOOSE(CONTROL!$C$38, 0.0256, 0)</f>
        <v>45.607099999999996</v>
      </c>
      <c r="G681" s="10">
        <f>42.1536 * CHOOSE(CONTROL!$C$15, $E$9, 100%, $G$9) + CHOOSE(CONTROL!$C$38, 0.0347, 0)</f>
        <v>42.188299999999998</v>
      </c>
      <c r="H681" s="10">
        <f>42.1536 * CHOOSE(CONTROL!$C$15, $E$9, 100%, $G$9) + CHOOSE(CONTROL!$C$38, 0.0347, 0)</f>
        <v>42.188299999999998</v>
      </c>
      <c r="I681" s="10">
        <f>42.1552 * CHOOSE(CONTROL!$C$15, $E$9, 100%, $G$9) + CHOOSE(CONTROL!$C$38, 0.0347, 0)</f>
        <v>42.189900000000002</v>
      </c>
      <c r="J681" s="44">
        <f>357.9372</f>
        <v>357.93720000000002</v>
      </c>
    </row>
    <row r="682" spans="1:10" ht="15.75" x14ac:dyDescent="0.25">
      <c r="A682" s="13">
        <v>61697</v>
      </c>
      <c r="B682" s="10">
        <f>45.9312 * CHOOSE(CONTROL!$C$15, $E$9, 100%, $G$9) + CHOOSE(CONTROL!$C$38, 0.0256, 0)</f>
        <v>45.956799999999994</v>
      </c>
      <c r="C682" s="10">
        <f>42.3486 * CHOOSE(CONTROL!$C$15, $E$9, 100%, $G$9) + CHOOSE(CONTROL!$C$38, 0.0347, 0)</f>
        <v>42.383299999999998</v>
      </c>
      <c r="D682" s="10">
        <f>42.3408 * CHOOSE(CONTROL!$C$15, $E$9, 100%, $G$9) + CHOOSE(CONTROL!$C$38, 0.0347, 0)</f>
        <v>42.375500000000002</v>
      </c>
      <c r="E682" s="46">
        <f>45.7749 * CHOOSE(CONTROL!$C$15, $E$9, 100%, $G$9) + CHOOSE(CONTROL!$C$38, 0.0347, 0)</f>
        <v>45.809600000000003</v>
      </c>
      <c r="F682" s="45">
        <f>45.7749 * CHOOSE(CONTROL!$C$15, $E$9, 100%, $G$9) + CHOOSE(CONTROL!$C$38, 0.0256, 0)</f>
        <v>45.8005</v>
      </c>
      <c r="G682" s="10">
        <f>42.3471 * CHOOSE(CONTROL!$C$15, $E$9, 100%, $G$9) + CHOOSE(CONTROL!$C$38, 0.0347, 0)</f>
        <v>42.381799999999998</v>
      </c>
      <c r="H682" s="10">
        <f>42.3471 * CHOOSE(CONTROL!$C$15, $E$9, 100%, $G$9) + CHOOSE(CONTROL!$C$38, 0.0347, 0)</f>
        <v>42.381799999999998</v>
      </c>
      <c r="I682" s="10">
        <f>42.3486 * CHOOSE(CONTROL!$C$15, $E$9, 100%, $G$9) + CHOOSE(CONTROL!$C$38, 0.0347, 0)</f>
        <v>42.383299999999998</v>
      </c>
      <c r="J682" s="44">
        <f>355.3868</f>
        <v>355.38679999999999</v>
      </c>
    </row>
    <row r="683" spans="1:10" ht="15.75" x14ac:dyDescent="0.25">
      <c r="A683" s="13">
        <v>61728</v>
      </c>
      <c r="B683" s="10">
        <f>46.5272 * CHOOSE(CONTROL!$C$15, $E$9, 100%, $G$9) + CHOOSE(CONTROL!$C$38, 0.0256, 0)</f>
        <v>46.552799999999998</v>
      </c>
      <c r="C683" s="10">
        <f>42.9447 * CHOOSE(CONTROL!$C$15, $E$9, 100%, $G$9) + CHOOSE(CONTROL!$C$38, 0.0347, 0)</f>
        <v>42.979399999999998</v>
      </c>
      <c r="D683" s="10">
        <f>42.9369 * CHOOSE(CONTROL!$C$15, $E$9, 100%, $G$9) + CHOOSE(CONTROL!$C$38, 0.0347, 0)</f>
        <v>42.971600000000002</v>
      </c>
      <c r="E683" s="46">
        <f>46.371 * CHOOSE(CONTROL!$C$15, $E$9, 100%, $G$9) + CHOOSE(CONTROL!$C$38, 0.0347, 0)</f>
        <v>46.405700000000003</v>
      </c>
      <c r="F683" s="45">
        <f>46.371 * CHOOSE(CONTROL!$C$15, $E$9, 100%, $G$9) + CHOOSE(CONTROL!$C$38, 0.0256, 0)</f>
        <v>46.396599999999999</v>
      </c>
      <c r="G683" s="10">
        <f>42.9431 * CHOOSE(CONTROL!$C$15, $E$9, 100%, $G$9) + CHOOSE(CONTROL!$C$38, 0.0347, 0)</f>
        <v>42.977800000000002</v>
      </c>
      <c r="H683" s="10">
        <f>42.9431 * CHOOSE(CONTROL!$C$15, $E$9, 100%, $G$9) + CHOOSE(CONTROL!$C$38, 0.0347, 0)</f>
        <v>42.977800000000002</v>
      </c>
      <c r="I683" s="10">
        <f>42.9447 * CHOOSE(CONTROL!$C$15, $E$9, 100%, $G$9) + CHOOSE(CONTROL!$C$38, 0.0347, 0)</f>
        <v>42.979399999999998</v>
      </c>
      <c r="J683" s="44">
        <f>344.8407</f>
        <v>344.84070000000003</v>
      </c>
    </row>
    <row r="684" spans="1:10" ht="15.75" x14ac:dyDescent="0.25">
      <c r="A684" s="13">
        <v>61759</v>
      </c>
      <c r="B684" s="10">
        <f>47.7415 * CHOOSE(CONTROL!$C$15, $E$9, 100%, $G$9) + CHOOSE(CONTROL!$C$38, 0.0256, 0)</f>
        <v>47.767099999999999</v>
      </c>
      <c r="C684" s="10">
        <f>44.1027 * CHOOSE(CONTROL!$C$15, $E$9, 100%, $G$9) + CHOOSE(CONTROL!$C$38, 0.0347, 0)</f>
        <v>44.1374</v>
      </c>
      <c r="D684" s="10">
        <f>44.0949 * CHOOSE(CONTROL!$C$15, $E$9, 100%, $G$9) + CHOOSE(CONTROL!$C$38, 0.0347, 0)</f>
        <v>44.129600000000003</v>
      </c>
      <c r="E684" s="46">
        <f>47.5852 * CHOOSE(CONTROL!$C$15, $E$9, 100%, $G$9) + CHOOSE(CONTROL!$C$38, 0.0347, 0)</f>
        <v>47.619900000000001</v>
      </c>
      <c r="F684" s="45">
        <f>47.5852 * CHOOSE(CONTROL!$C$15, $E$9, 100%, $G$9) + CHOOSE(CONTROL!$C$38, 0.0256, 0)</f>
        <v>47.610799999999998</v>
      </c>
      <c r="G684" s="10">
        <f>44.1012 * CHOOSE(CONTROL!$C$15, $E$9, 100%, $G$9) + CHOOSE(CONTROL!$C$38, 0.0347, 0)</f>
        <v>44.135899999999999</v>
      </c>
      <c r="H684" s="10">
        <f>44.1012 * CHOOSE(CONTROL!$C$15, $E$9, 100%, $G$9) + CHOOSE(CONTROL!$C$38, 0.0347, 0)</f>
        <v>44.135899999999999</v>
      </c>
      <c r="I684" s="10">
        <f>44.1027 * CHOOSE(CONTROL!$C$15, $E$9, 100%, $G$9) + CHOOSE(CONTROL!$C$38, 0.0347, 0)</f>
        <v>44.1374</v>
      </c>
      <c r="J684" s="44">
        <f>344.1821</f>
        <v>344.18209999999999</v>
      </c>
    </row>
    <row r="685" spans="1:10" ht="15.75" x14ac:dyDescent="0.25">
      <c r="A685" s="13">
        <v>61787</v>
      </c>
      <c r="B685" s="10">
        <f>47.9622 * CHOOSE(CONTROL!$C$15, $E$9, 100%, $G$9) + CHOOSE(CONTROL!$C$38, 0.0256, 0)</f>
        <v>47.9878</v>
      </c>
      <c r="C685" s="10">
        <f>44.3235 * CHOOSE(CONTROL!$C$15, $E$9, 100%, $G$9) + CHOOSE(CONTROL!$C$38, 0.0347, 0)</f>
        <v>44.358200000000004</v>
      </c>
      <c r="D685" s="10">
        <f>44.3157 * CHOOSE(CONTROL!$C$15, $E$9, 100%, $G$9) + CHOOSE(CONTROL!$C$38, 0.0347, 0)</f>
        <v>44.3504</v>
      </c>
      <c r="E685" s="46">
        <f>47.806 * CHOOSE(CONTROL!$C$15, $E$9, 100%, $G$9) + CHOOSE(CONTROL!$C$38, 0.0347, 0)</f>
        <v>47.840699999999998</v>
      </c>
      <c r="F685" s="45">
        <f>47.806 * CHOOSE(CONTROL!$C$15, $E$9, 100%, $G$9) + CHOOSE(CONTROL!$C$38, 0.0256, 0)</f>
        <v>47.831599999999995</v>
      </c>
      <c r="G685" s="10">
        <f>44.3219 * CHOOSE(CONTROL!$C$15, $E$9, 100%, $G$9) + CHOOSE(CONTROL!$C$38, 0.0347, 0)</f>
        <v>44.3566</v>
      </c>
      <c r="H685" s="10">
        <f>44.3219 * CHOOSE(CONTROL!$C$15, $E$9, 100%, $G$9) + CHOOSE(CONTROL!$C$38, 0.0347, 0)</f>
        <v>44.3566</v>
      </c>
      <c r="I685" s="10">
        <f>44.3235 * CHOOSE(CONTROL!$C$15, $E$9, 100%, $G$9) + CHOOSE(CONTROL!$C$38, 0.0347, 0)</f>
        <v>44.358200000000004</v>
      </c>
      <c r="J685" s="44">
        <f>343.2254</f>
        <v>343.22539999999998</v>
      </c>
    </row>
    <row r="686" spans="1:10" ht="15.75" x14ac:dyDescent="0.25">
      <c r="A686" s="13">
        <v>61818</v>
      </c>
      <c r="B686" s="10">
        <f>47.4512 * CHOOSE(CONTROL!$C$15, $E$9, 100%, $G$9) + CHOOSE(CONTROL!$C$38, 0.0256, 0)</f>
        <v>47.476799999999997</v>
      </c>
      <c r="C686" s="10">
        <f>43.8125 * CHOOSE(CONTROL!$C$15, $E$9, 100%, $G$9) + CHOOSE(CONTROL!$C$38, 0.0347, 0)</f>
        <v>43.847200000000001</v>
      </c>
      <c r="D686" s="10">
        <f>43.8047 * CHOOSE(CONTROL!$C$15, $E$9, 100%, $G$9) + CHOOSE(CONTROL!$C$38, 0.0347, 0)</f>
        <v>43.839399999999998</v>
      </c>
      <c r="E686" s="46">
        <f>47.2949 * CHOOSE(CONTROL!$C$15, $E$9, 100%, $G$9) + CHOOSE(CONTROL!$C$38, 0.0347, 0)</f>
        <v>47.329599999999999</v>
      </c>
      <c r="F686" s="45">
        <f>47.2949 * CHOOSE(CONTROL!$C$15, $E$9, 100%, $G$9) + CHOOSE(CONTROL!$C$38, 0.0256, 0)</f>
        <v>47.320499999999996</v>
      </c>
      <c r="G686" s="10">
        <f>43.8109 * CHOOSE(CONTROL!$C$15, $E$9, 100%, $G$9) + CHOOSE(CONTROL!$C$38, 0.0347, 0)</f>
        <v>43.845599999999997</v>
      </c>
      <c r="H686" s="10">
        <f>43.8109 * CHOOSE(CONTROL!$C$15, $E$9, 100%, $G$9) + CHOOSE(CONTROL!$C$38, 0.0347, 0)</f>
        <v>43.845599999999997</v>
      </c>
      <c r="I686" s="10">
        <f>43.8125 * CHOOSE(CONTROL!$C$15, $E$9, 100%, $G$9) + CHOOSE(CONTROL!$C$38, 0.0347, 0)</f>
        <v>43.847200000000001</v>
      </c>
      <c r="J686" s="44">
        <f>361.3153</f>
        <v>361.31529999999998</v>
      </c>
    </row>
    <row r="687" spans="1:10" ht="15.75" x14ac:dyDescent="0.25">
      <c r="A687" s="13">
        <v>61848</v>
      </c>
      <c r="B687" s="10">
        <f>46.956 * CHOOSE(CONTROL!$C$15, $E$9, 100%, $G$9) + CHOOSE(CONTROL!$C$38, 0.0256, 0)</f>
        <v>46.9816</v>
      </c>
      <c r="C687" s="10">
        <f>43.3173 * CHOOSE(CONTROL!$C$15, $E$9, 100%, $G$9) + CHOOSE(CONTROL!$C$38, 0.0347, 0)</f>
        <v>43.352000000000004</v>
      </c>
      <c r="D687" s="10">
        <f>43.3095 * CHOOSE(CONTROL!$C$15, $E$9, 100%, $G$9) + CHOOSE(CONTROL!$C$38, 0.0347, 0)</f>
        <v>43.344200000000001</v>
      </c>
      <c r="E687" s="46">
        <f>46.7998 * CHOOSE(CONTROL!$C$15, $E$9, 100%, $G$9) + CHOOSE(CONTROL!$C$38, 0.0347, 0)</f>
        <v>46.834499999999998</v>
      </c>
      <c r="F687" s="45">
        <f>46.7998 * CHOOSE(CONTROL!$C$15, $E$9, 100%, $G$9) + CHOOSE(CONTROL!$C$38, 0.0256, 0)</f>
        <v>46.825399999999995</v>
      </c>
      <c r="G687" s="10">
        <f>43.3157 * CHOOSE(CONTROL!$C$15, $E$9, 100%, $G$9) + CHOOSE(CONTROL!$C$38, 0.0347, 0)</f>
        <v>43.3504</v>
      </c>
      <c r="H687" s="10">
        <f>43.3157 * CHOOSE(CONTROL!$C$15, $E$9, 100%, $G$9) + CHOOSE(CONTROL!$C$38, 0.0347, 0)</f>
        <v>43.3504</v>
      </c>
      <c r="I687" s="10">
        <f>43.3173 * CHOOSE(CONTROL!$C$15, $E$9, 100%, $G$9) + CHOOSE(CONTROL!$C$38, 0.0347, 0)</f>
        <v>43.352000000000004</v>
      </c>
      <c r="J687" s="44">
        <f>384.7737</f>
        <v>384.77370000000002</v>
      </c>
    </row>
    <row r="688" spans="1:10" ht="15.75" x14ac:dyDescent="0.25">
      <c r="A688" s="13">
        <v>61879</v>
      </c>
      <c r="B688" s="10">
        <f>46.4399 * CHOOSE(CONTROL!$C$15, $E$9, 100%, $G$9) + CHOOSE(CONTROL!$C$38, 0.0278, 0)</f>
        <v>46.467700000000001</v>
      </c>
      <c r="C688" s="10">
        <f>42.8012 * CHOOSE(CONTROL!$C$15, $E$9, 100%, $G$9) + CHOOSE(CONTROL!$C$38, 0.0369, 0)</f>
        <v>42.838100000000004</v>
      </c>
      <c r="D688" s="10">
        <f>42.7934 * CHOOSE(CONTROL!$C$15, $E$9, 100%, $G$9) + CHOOSE(CONTROL!$C$38, 0.0369, 0)</f>
        <v>42.830300000000001</v>
      </c>
      <c r="E688" s="46">
        <f>46.2836 * CHOOSE(CONTROL!$C$15, $E$9, 100%, $G$9) + CHOOSE(CONTROL!$C$38, 0.0369, 0)</f>
        <v>46.320500000000003</v>
      </c>
      <c r="F688" s="45">
        <f>46.2836 * CHOOSE(CONTROL!$C$15, $E$9, 100%, $G$9) + CHOOSE(CONTROL!$C$38, 0.0278, 0)</f>
        <v>46.311399999999999</v>
      </c>
      <c r="G688" s="10">
        <f>42.7996 * CHOOSE(CONTROL!$C$15, $E$9, 100%, $G$9) + CHOOSE(CONTROL!$C$38, 0.0369, 0)</f>
        <v>42.836500000000001</v>
      </c>
      <c r="H688" s="10">
        <f>42.7996 * CHOOSE(CONTROL!$C$15, $E$9, 100%, $G$9) + CHOOSE(CONTROL!$C$38, 0.0369, 0)</f>
        <v>42.836500000000001</v>
      </c>
      <c r="I688" s="10">
        <f>42.8012 * CHOOSE(CONTROL!$C$15, $E$9, 100%, $G$9) + CHOOSE(CONTROL!$C$38, 0.0369, 0)</f>
        <v>42.838100000000004</v>
      </c>
      <c r="J688" s="44">
        <f>397.6859</f>
        <v>397.6859</v>
      </c>
    </row>
    <row r="689" spans="1:10" ht="15.75" x14ac:dyDescent="0.25">
      <c r="A689" s="13">
        <v>61909</v>
      </c>
      <c r="B689" s="10">
        <f>46.0781 * CHOOSE(CONTROL!$C$15, $E$9, 100%, $G$9) + CHOOSE(CONTROL!$C$38, 0.0278, 0)</f>
        <v>46.105899999999998</v>
      </c>
      <c r="C689" s="10">
        <f>42.4393 * CHOOSE(CONTROL!$C$15, $E$9, 100%, $G$9) + CHOOSE(CONTROL!$C$38, 0.0369, 0)</f>
        <v>42.476200000000006</v>
      </c>
      <c r="D689" s="10">
        <f>42.4315 * CHOOSE(CONTROL!$C$15, $E$9, 100%, $G$9) + CHOOSE(CONTROL!$C$38, 0.0369, 0)</f>
        <v>42.468400000000003</v>
      </c>
      <c r="E689" s="46">
        <f>45.9218 * CHOOSE(CONTROL!$C$15, $E$9, 100%, $G$9) + CHOOSE(CONTROL!$C$38, 0.0369, 0)</f>
        <v>45.9587</v>
      </c>
      <c r="F689" s="45">
        <f>45.9218 * CHOOSE(CONTROL!$C$15, $E$9, 100%, $G$9) + CHOOSE(CONTROL!$C$38, 0.0278, 0)</f>
        <v>45.949599999999997</v>
      </c>
      <c r="G689" s="10">
        <f>42.4378 * CHOOSE(CONTROL!$C$15, $E$9, 100%, $G$9) + CHOOSE(CONTROL!$C$38, 0.0369, 0)</f>
        <v>42.474700000000006</v>
      </c>
      <c r="H689" s="10">
        <f>42.4378 * CHOOSE(CONTROL!$C$15, $E$9, 100%, $G$9) + CHOOSE(CONTROL!$C$38, 0.0369, 0)</f>
        <v>42.474700000000006</v>
      </c>
      <c r="I689" s="10">
        <f>42.4393 * CHOOSE(CONTROL!$C$15, $E$9, 100%, $G$9) + CHOOSE(CONTROL!$C$38, 0.0369, 0)</f>
        <v>42.476200000000006</v>
      </c>
      <c r="J689" s="44">
        <f>403.4162</f>
        <v>403.4162</v>
      </c>
    </row>
    <row r="690" spans="1:10" ht="15.75" x14ac:dyDescent="0.25">
      <c r="A690" s="13">
        <v>61940</v>
      </c>
      <c r="B690" s="10">
        <f>45.8716 * CHOOSE(CONTROL!$C$15, $E$9, 100%, $G$9) + CHOOSE(CONTROL!$C$38, 0.0278, 0)</f>
        <v>45.8994</v>
      </c>
      <c r="C690" s="10">
        <f>42.2329 * CHOOSE(CONTROL!$C$15, $E$9, 100%, $G$9) + CHOOSE(CONTROL!$C$38, 0.0369, 0)</f>
        <v>42.269800000000004</v>
      </c>
      <c r="D690" s="10">
        <f>42.225 * CHOOSE(CONTROL!$C$15, $E$9, 100%, $G$9) + CHOOSE(CONTROL!$C$38, 0.0369, 0)</f>
        <v>42.261900000000004</v>
      </c>
      <c r="E690" s="46">
        <f>45.7153 * CHOOSE(CONTROL!$C$15, $E$9, 100%, $G$9) + CHOOSE(CONTROL!$C$38, 0.0369, 0)</f>
        <v>45.752200000000002</v>
      </c>
      <c r="F690" s="45">
        <f>45.7153 * CHOOSE(CONTROL!$C$15, $E$9, 100%, $G$9) + CHOOSE(CONTROL!$C$38, 0.0278, 0)</f>
        <v>45.743099999999998</v>
      </c>
      <c r="G690" s="10">
        <f>42.2313 * CHOOSE(CONTROL!$C$15, $E$9, 100%, $G$9) + CHOOSE(CONTROL!$C$38, 0.0369, 0)</f>
        <v>42.2682</v>
      </c>
      <c r="H690" s="10">
        <f>42.2313 * CHOOSE(CONTROL!$C$15, $E$9, 100%, $G$9) + CHOOSE(CONTROL!$C$38, 0.0369, 0)</f>
        <v>42.2682</v>
      </c>
      <c r="I690" s="10">
        <f>42.2329 * CHOOSE(CONTROL!$C$15, $E$9, 100%, $G$9) + CHOOSE(CONTROL!$C$38, 0.0369, 0)</f>
        <v>42.269800000000004</v>
      </c>
      <c r="J690" s="44">
        <f>401.5295</f>
        <v>401.52949999999998</v>
      </c>
    </row>
    <row r="691" spans="1:10" ht="15.75" x14ac:dyDescent="0.25">
      <c r="A691" s="13">
        <v>61971</v>
      </c>
      <c r="B691" s="10">
        <f>45.9735 * CHOOSE(CONTROL!$C$15, $E$9, 100%, $G$9) + CHOOSE(CONTROL!$C$38, 0.0278, 0)</f>
        <v>46.001300000000001</v>
      </c>
      <c r="C691" s="10">
        <f>42.3348 * CHOOSE(CONTROL!$C$15, $E$9, 100%, $G$9) + CHOOSE(CONTROL!$C$38, 0.0369, 0)</f>
        <v>42.371700000000004</v>
      </c>
      <c r="D691" s="10">
        <f>42.3269 * CHOOSE(CONTROL!$C$15, $E$9, 100%, $G$9) + CHOOSE(CONTROL!$C$38, 0.0369, 0)</f>
        <v>42.363800000000005</v>
      </c>
      <c r="E691" s="46">
        <f>45.8172 * CHOOSE(CONTROL!$C$15, $E$9, 100%, $G$9) + CHOOSE(CONTROL!$C$38, 0.0369, 0)</f>
        <v>45.854100000000003</v>
      </c>
      <c r="F691" s="45">
        <f>45.8172 * CHOOSE(CONTROL!$C$15, $E$9, 100%, $G$9) + CHOOSE(CONTROL!$C$38, 0.0278, 0)</f>
        <v>45.844999999999999</v>
      </c>
      <c r="G691" s="10">
        <f>42.3332 * CHOOSE(CONTROL!$C$15, $E$9, 100%, $G$9) + CHOOSE(CONTROL!$C$38, 0.0369, 0)</f>
        <v>42.370100000000001</v>
      </c>
      <c r="H691" s="10">
        <f>42.3332 * CHOOSE(CONTROL!$C$15, $E$9, 100%, $G$9) + CHOOSE(CONTROL!$C$38, 0.0369, 0)</f>
        <v>42.370100000000001</v>
      </c>
      <c r="I691" s="10">
        <f>42.3348 * CHOOSE(CONTROL!$C$15, $E$9, 100%, $G$9) + CHOOSE(CONTROL!$C$38, 0.0369, 0)</f>
        <v>42.371700000000004</v>
      </c>
      <c r="J691" s="44">
        <f>392.1821</f>
        <v>392.18209999999999</v>
      </c>
    </row>
    <row r="692" spans="1:10" ht="15.75" x14ac:dyDescent="0.25">
      <c r="A692" s="13">
        <v>62001</v>
      </c>
      <c r="B692" s="10">
        <f>46.2503 * CHOOSE(CONTROL!$C$15, $E$9, 100%, $G$9) + CHOOSE(CONTROL!$C$38, 0.0278, 0)</f>
        <v>46.278100000000002</v>
      </c>
      <c r="C692" s="10">
        <f>42.6116 * CHOOSE(CONTROL!$C$15, $E$9, 100%, $G$9) + CHOOSE(CONTROL!$C$38, 0.0369, 0)</f>
        <v>42.648500000000006</v>
      </c>
      <c r="D692" s="10">
        <f>42.6037 * CHOOSE(CONTROL!$C$15, $E$9, 100%, $G$9) + CHOOSE(CONTROL!$C$38, 0.0369, 0)</f>
        <v>42.640600000000006</v>
      </c>
      <c r="E692" s="46">
        <f>46.094 * CHOOSE(CONTROL!$C$15, $E$9, 100%, $G$9) + CHOOSE(CONTROL!$C$38, 0.0369, 0)</f>
        <v>46.130900000000004</v>
      </c>
      <c r="F692" s="45">
        <f>46.094 * CHOOSE(CONTROL!$C$15, $E$9, 100%, $G$9) + CHOOSE(CONTROL!$C$38, 0.0278, 0)</f>
        <v>46.1218</v>
      </c>
      <c r="G692" s="10">
        <f>42.61 * CHOOSE(CONTROL!$C$15, $E$9, 100%, $G$9) + CHOOSE(CONTROL!$C$38, 0.0369, 0)</f>
        <v>42.646900000000002</v>
      </c>
      <c r="H692" s="10">
        <f>42.61 * CHOOSE(CONTROL!$C$15, $E$9, 100%, $G$9) + CHOOSE(CONTROL!$C$38, 0.0369, 0)</f>
        <v>42.646900000000002</v>
      </c>
      <c r="I692" s="10">
        <f>42.6116 * CHOOSE(CONTROL!$C$15, $E$9, 100%, $G$9) + CHOOSE(CONTROL!$C$38, 0.0369, 0)</f>
        <v>42.648500000000006</v>
      </c>
      <c r="J692" s="44">
        <f>379.1466</f>
        <v>379.14659999999998</v>
      </c>
    </row>
    <row r="693" spans="1:10" ht="15.75" x14ac:dyDescent="0.25">
      <c r="A693" s="13">
        <v>62032</v>
      </c>
      <c r="B693" s="10">
        <f>46.4821 * CHOOSE(CONTROL!$C$15, $E$9, 100%, $G$9) + CHOOSE(CONTROL!$C$38, 0.0256, 0)</f>
        <v>46.5077</v>
      </c>
      <c r="C693" s="10">
        <f>42.8434 * CHOOSE(CONTROL!$C$15, $E$9, 100%, $G$9) + CHOOSE(CONTROL!$C$38, 0.0347, 0)</f>
        <v>42.878100000000003</v>
      </c>
      <c r="D693" s="10">
        <f>42.8356 * CHOOSE(CONTROL!$C$15, $E$9, 100%, $G$9) + CHOOSE(CONTROL!$C$38, 0.0347, 0)</f>
        <v>42.8703</v>
      </c>
      <c r="E693" s="46">
        <f>46.3258 * CHOOSE(CONTROL!$C$15, $E$9, 100%, $G$9) + CHOOSE(CONTROL!$C$38, 0.0347, 0)</f>
        <v>46.360500000000002</v>
      </c>
      <c r="F693" s="45">
        <f>46.3258 * CHOOSE(CONTROL!$C$15, $E$9, 100%, $G$9) + CHOOSE(CONTROL!$C$38, 0.0256, 0)</f>
        <v>46.351399999999998</v>
      </c>
      <c r="G693" s="10">
        <f>42.8418 * CHOOSE(CONTROL!$C$15, $E$9, 100%, $G$9) + CHOOSE(CONTROL!$C$38, 0.0347, 0)</f>
        <v>42.8765</v>
      </c>
      <c r="H693" s="10">
        <f>42.8418 * CHOOSE(CONTROL!$C$15, $E$9, 100%, $G$9) + CHOOSE(CONTROL!$C$38, 0.0347, 0)</f>
        <v>42.8765</v>
      </c>
      <c r="I693" s="10">
        <f>42.8434 * CHOOSE(CONTROL!$C$15, $E$9, 100%, $G$9) + CHOOSE(CONTROL!$C$38, 0.0347, 0)</f>
        <v>42.878100000000003</v>
      </c>
      <c r="J693" s="44">
        <f>366.0353</f>
        <v>366.03530000000001</v>
      </c>
    </row>
    <row r="694" spans="1:10" ht="15.75" x14ac:dyDescent="0.25">
      <c r="A694" s="13">
        <v>62062</v>
      </c>
      <c r="B694" s="10">
        <f>46.6755 * CHOOSE(CONTROL!$C$15, $E$9, 100%, $G$9) + CHOOSE(CONTROL!$C$38, 0.0256, 0)</f>
        <v>46.701099999999997</v>
      </c>
      <c r="C694" s="10">
        <f>43.0368 * CHOOSE(CONTROL!$C$15, $E$9, 100%, $G$9) + CHOOSE(CONTROL!$C$38, 0.0347, 0)</f>
        <v>43.0715</v>
      </c>
      <c r="D694" s="10">
        <f>43.029 * CHOOSE(CONTROL!$C$15, $E$9, 100%, $G$9) + CHOOSE(CONTROL!$C$38, 0.0347, 0)</f>
        <v>43.063700000000004</v>
      </c>
      <c r="E694" s="46">
        <f>46.5193 * CHOOSE(CONTROL!$C$15, $E$9, 100%, $G$9) + CHOOSE(CONTROL!$C$38, 0.0347, 0)</f>
        <v>46.554000000000002</v>
      </c>
      <c r="F694" s="45">
        <f>46.5193 * CHOOSE(CONTROL!$C$15, $E$9, 100%, $G$9) + CHOOSE(CONTROL!$C$38, 0.0256, 0)</f>
        <v>46.544899999999998</v>
      </c>
      <c r="G694" s="10">
        <f>43.0353 * CHOOSE(CONTROL!$C$15, $E$9, 100%, $G$9) + CHOOSE(CONTROL!$C$38, 0.0347, 0)</f>
        <v>43.07</v>
      </c>
      <c r="H694" s="10">
        <f>43.0353 * CHOOSE(CONTROL!$C$15, $E$9, 100%, $G$9) + CHOOSE(CONTROL!$C$38, 0.0347, 0)</f>
        <v>43.07</v>
      </c>
      <c r="I694" s="10">
        <f>43.0368 * CHOOSE(CONTROL!$C$15, $E$9, 100%, $G$9) + CHOOSE(CONTROL!$C$38, 0.0347, 0)</f>
        <v>43.0715</v>
      </c>
      <c r="J694" s="44">
        <f>363.4272</f>
        <v>363.42720000000003</v>
      </c>
    </row>
    <row r="695" spans="1:10" ht="15.75" x14ac:dyDescent="0.25">
      <c r="A695" s="13">
        <v>62093</v>
      </c>
      <c r="B695" s="10">
        <f>47.2716 * CHOOSE(CONTROL!$C$15, $E$9, 100%, $G$9) + CHOOSE(CONTROL!$C$38, 0.0256, 0)</f>
        <v>47.297199999999997</v>
      </c>
      <c r="C695" s="10">
        <f>43.6329 * CHOOSE(CONTROL!$C$15, $E$9, 100%, $G$9) + CHOOSE(CONTROL!$C$38, 0.0347, 0)</f>
        <v>43.6676</v>
      </c>
      <c r="D695" s="10">
        <f>43.6251 * CHOOSE(CONTROL!$C$15, $E$9, 100%, $G$9) + CHOOSE(CONTROL!$C$38, 0.0347, 0)</f>
        <v>43.659800000000004</v>
      </c>
      <c r="E695" s="46">
        <f>47.1154 * CHOOSE(CONTROL!$C$15, $E$9, 100%, $G$9) + CHOOSE(CONTROL!$C$38, 0.0347, 0)</f>
        <v>47.150100000000002</v>
      </c>
      <c r="F695" s="45">
        <f>47.1154 * CHOOSE(CONTROL!$C$15, $E$9, 100%, $G$9) + CHOOSE(CONTROL!$C$38, 0.0256, 0)</f>
        <v>47.140999999999998</v>
      </c>
      <c r="G695" s="10">
        <f>43.6313 * CHOOSE(CONTROL!$C$15, $E$9, 100%, $G$9) + CHOOSE(CONTROL!$C$38, 0.0347, 0)</f>
        <v>43.666000000000004</v>
      </c>
      <c r="H695" s="10">
        <f>43.6313 * CHOOSE(CONTROL!$C$15, $E$9, 100%, $G$9) + CHOOSE(CONTROL!$C$38, 0.0347, 0)</f>
        <v>43.666000000000004</v>
      </c>
      <c r="I695" s="10">
        <f>43.6329 * CHOOSE(CONTROL!$C$15, $E$9, 100%, $G$9) + CHOOSE(CONTROL!$C$38, 0.0347, 0)</f>
        <v>43.6676</v>
      </c>
      <c r="J695" s="44">
        <f>352.6425</f>
        <v>352.64249999999998</v>
      </c>
    </row>
    <row r="696" spans="1:10" ht="15.75" x14ac:dyDescent="0.25">
      <c r="A696" s="13">
        <v>62124</v>
      </c>
      <c r="B696" s="10">
        <f>48.498 * CHOOSE(CONTROL!$C$15, $E$9, 100%, $G$9) + CHOOSE(CONTROL!$C$38, 0.0256, 0)</f>
        <v>48.523599999999995</v>
      </c>
      <c r="C696" s="10">
        <f>44.8022 * CHOOSE(CONTROL!$C$15, $E$9, 100%, $G$9) + CHOOSE(CONTROL!$C$38, 0.0347, 0)</f>
        <v>44.8369</v>
      </c>
      <c r="D696" s="10">
        <f>44.7944 * CHOOSE(CONTROL!$C$15, $E$9, 100%, $G$9) + CHOOSE(CONTROL!$C$38, 0.0347, 0)</f>
        <v>44.829100000000004</v>
      </c>
      <c r="E696" s="46">
        <f>48.3418 * CHOOSE(CONTROL!$C$15, $E$9, 100%, $G$9) + CHOOSE(CONTROL!$C$38, 0.0347, 0)</f>
        <v>48.3765</v>
      </c>
      <c r="F696" s="45">
        <f>48.3418 * CHOOSE(CONTROL!$C$15, $E$9, 100%, $G$9) + CHOOSE(CONTROL!$C$38, 0.0256, 0)</f>
        <v>48.367399999999996</v>
      </c>
      <c r="G696" s="10">
        <f>44.8006 * CHOOSE(CONTROL!$C$15, $E$9, 100%, $G$9) + CHOOSE(CONTROL!$C$38, 0.0347, 0)</f>
        <v>44.835300000000004</v>
      </c>
      <c r="H696" s="10">
        <f>44.8006 * CHOOSE(CONTROL!$C$15, $E$9, 100%, $G$9) + CHOOSE(CONTROL!$C$38, 0.0347, 0)</f>
        <v>44.835300000000004</v>
      </c>
      <c r="I696" s="10">
        <f>44.8022 * CHOOSE(CONTROL!$C$15, $E$9, 100%, $G$9) + CHOOSE(CONTROL!$C$38, 0.0347, 0)</f>
        <v>44.8369</v>
      </c>
      <c r="J696" s="44">
        <f>351.969</f>
        <v>351.96899999999999</v>
      </c>
    </row>
    <row r="697" spans="1:10" ht="15.75" x14ac:dyDescent="0.25">
      <c r="A697" s="13">
        <v>62152</v>
      </c>
      <c r="B697" s="10">
        <f>48.7188 * CHOOSE(CONTROL!$C$15, $E$9, 100%, $G$9) + CHOOSE(CONTROL!$C$38, 0.0256, 0)</f>
        <v>48.744399999999999</v>
      </c>
      <c r="C697" s="10">
        <f>45.023 * CHOOSE(CONTROL!$C$15, $E$9, 100%, $G$9) + CHOOSE(CONTROL!$C$38, 0.0347, 0)</f>
        <v>45.057700000000004</v>
      </c>
      <c r="D697" s="10">
        <f>45.0152 * CHOOSE(CONTROL!$C$15, $E$9, 100%, $G$9) + CHOOSE(CONTROL!$C$38, 0.0347, 0)</f>
        <v>45.049900000000001</v>
      </c>
      <c r="E697" s="46">
        <f>48.5625 * CHOOSE(CONTROL!$C$15, $E$9, 100%, $G$9) + CHOOSE(CONTROL!$C$38, 0.0347, 0)</f>
        <v>48.597200000000001</v>
      </c>
      <c r="F697" s="45">
        <f>48.5625 * CHOOSE(CONTROL!$C$15, $E$9, 100%, $G$9) + CHOOSE(CONTROL!$C$38, 0.0256, 0)</f>
        <v>48.588099999999997</v>
      </c>
      <c r="G697" s="10">
        <f>45.0214 * CHOOSE(CONTROL!$C$15, $E$9, 100%, $G$9) + CHOOSE(CONTROL!$C$38, 0.0347, 0)</f>
        <v>45.056100000000001</v>
      </c>
      <c r="H697" s="10">
        <f>45.0214 * CHOOSE(CONTROL!$C$15, $E$9, 100%, $G$9) + CHOOSE(CONTROL!$C$38, 0.0347, 0)</f>
        <v>45.056100000000001</v>
      </c>
      <c r="I697" s="10">
        <f>45.023 * CHOOSE(CONTROL!$C$15, $E$9, 100%, $G$9) + CHOOSE(CONTROL!$C$38, 0.0347, 0)</f>
        <v>45.057700000000004</v>
      </c>
      <c r="J697" s="44">
        <f>350.9907</f>
        <v>350.9907</v>
      </c>
    </row>
    <row r="698" spans="1:10" ht="15.75" x14ac:dyDescent="0.25">
      <c r="A698" s="13">
        <v>62183</v>
      </c>
      <c r="B698" s="10">
        <f>48.2077 * CHOOSE(CONTROL!$C$15, $E$9, 100%, $G$9) + CHOOSE(CONTROL!$C$38, 0.0256, 0)</f>
        <v>48.2333</v>
      </c>
      <c r="C698" s="10">
        <f>44.5119 * CHOOSE(CONTROL!$C$15, $E$9, 100%, $G$9) + CHOOSE(CONTROL!$C$38, 0.0347, 0)</f>
        <v>44.546599999999998</v>
      </c>
      <c r="D698" s="10">
        <f>44.5041 * CHOOSE(CONTROL!$C$15, $E$9, 100%, $G$9) + CHOOSE(CONTROL!$C$38, 0.0347, 0)</f>
        <v>44.538800000000002</v>
      </c>
      <c r="E698" s="46">
        <f>48.0515 * CHOOSE(CONTROL!$C$15, $E$9, 100%, $G$9) + CHOOSE(CONTROL!$C$38, 0.0347, 0)</f>
        <v>48.086199999999998</v>
      </c>
      <c r="F698" s="45">
        <f>48.0515 * CHOOSE(CONTROL!$C$15, $E$9, 100%, $G$9) + CHOOSE(CONTROL!$C$38, 0.0256, 0)</f>
        <v>48.077099999999994</v>
      </c>
      <c r="G698" s="10">
        <f>44.5104 * CHOOSE(CONTROL!$C$15, $E$9, 100%, $G$9) + CHOOSE(CONTROL!$C$38, 0.0347, 0)</f>
        <v>44.545099999999998</v>
      </c>
      <c r="H698" s="10">
        <f>44.5104 * CHOOSE(CONTROL!$C$15, $E$9, 100%, $G$9) + CHOOSE(CONTROL!$C$38, 0.0347, 0)</f>
        <v>44.545099999999998</v>
      </c>
      <c r="I698" s="10">
        <f>44.5119 * CHOOSE(CONTROL!$C$15, $E$9, 100%, $G$9) + CHOOSE(CONTROL!$C$38, 0.0347, 0)</f>
        <v>44.546599999999998</v>
      </c>
      <c r="J698" s="44">
        <f>369.4899</f>
        <v>369.48989999999998</v>
      </c>
    </row>
    <row r="699" spans="1:10" ht="15.75" x14ac:dyDescent="0.25">
      <c r="A699" s="13">
        <v>62213</v>
      </c>
      <c r="B699" s="10">
        <f>47.7126 * CHOOSE(CONTROL!$C$15, $E$9, 100%, $G$9) + CHOOSE(CONTROL!$C$38, 0.0256, 0)</f>
        <v>47.738199999999999</v>
      </c>
      <c r="C699" s="10">
        <f>44.0168 * CHOOSE(CONTROL!$C$15, $E$9, 100%, $G$9) + CHOOSE(CONTROL!$C$38, 0.0347, 0)</f>
        <v>44.051500000000004</v>
      </c>
      <c r="D699" s="10">
        <f>44.0089 * CHOOSE(CONTROL!$C$15, $E$9, 100%, $G$9) + CHOOSE(CONTROL!$C$38, 0.0347, 0)</f>
        <v>44.043599999999998</v>
      </c>
      <c r="E699" s="46">
        <f>47.5563 * CHOOSE(CONTROL!$C$15, $E$9, 100%, $G$9) + CHOOSE(CONTROL!$C$38, 0.0347, 0)</f>
        <v>47.591000000000001</v>
      </c>
      <c r="F699" s="45">
        <f>47.5563 * CHOOSE(CONTROL!$C$15, $E$9, 100%, $G$9) + CHOOSE(CONTROL!$C$38, 0.0256, 0)</f>
        <v>47.581899999999997</v>
      </c>
      <c r="G699" s="10">
        <f>44.0152 * CHOOSE(CONTROL!$C$15, $E$9, 100%, $G$9) + CHOOSE(CONTROL!$C$38, 0.0347, 0)</f>
        <v>44.049900000000001</v>
      </c>
      <c r="H699" s="10">
        <f>44.0152 * CHOOSE(CONTROL!$C$15, $E$9, 100%, $G$9) + CHOOSE(CONTROL!$C$38, 0.0347, 0)</f>
        <v>44.049900000000001</v>
      </c>
      <c r="I699" s="10">
        <f>44.0168 * CHOOSE(CONTROL!$C$15, $E$9, 100%, $G$9) + CHOOSE(CONTROL!$C$38, 0.0347, 0)</f>
        <v>44.051500000000004</v>
      </c>
      <c r="J699" s="44">
        <f>393.479</f>
        <v>393.47899999999998</v>
      </c>
    </row>
    <row r="700" spans="1:10" ht="15.75" x14ac:dyDescent="0.25">
      <c r="A700" s="13">
        <v>62244</v>
      </c>
      <c r="B700" s="10">
        <f>47.1965 * CHOOSE(CONTROL!$C$15, $E$9, 100%, $G$9) + CHOOSE(CONTROL!$C$38, 0.0278, 0)</f>
        <v>47.224299999999999</v>
      </c>
      <c r="C700" s="10">
        <f>43.5006 * CHOOSE(CONTROL!$C$15, $E$9, 100%, $G$9) + CHOOSE(CONTROL!$C$38, 0.0369, 0)</f>
        <v>43.537500000000001</v>
      </c>
      <c r="D700" s="10">
        <f>43.4928 * CHOOSE(CONTROL!$C$15, $E$9, 100%, $G$9) + CHOOSE(CONTROL!$C$38, 0.0369, 0)</f>
        <v>43.529700000000005</v>
      </c>
      <c r="E700" s="46">
        <f>47.0402 * CHOOSE(CONTROL!$C$15, $E$9, 100%, $G$9) + CHOOSE(CONTROL!$C$38, 0.0369, 0)</f>
        <v>47.077100000000002</v>
      </c>
      <c r="F700" s="45">
        <f>47.0402 * CHOOSE(CONTROL!$C$15, $E$9, 100%, $G$9) + CHOOSE(CONTROL!$C$38, 0.0278, 0)</f>
        <v>47.067999999999998</v>
      </c>
      <c r="G700" s="10">
        <f>43.4991 * CHOOSE(CONTROL!$C$15, $E$9, 100%, $G$9) + CHOOSE(CONTROL!$C$38, 0.0369, 0)</f>
        <v>43.536000000000001</v>
      </c>
      <c r="H700" s="10">
        <f>43.4991 * CHOOSE(CONTROL!$C$15, $E$9, 100%, $G$9) + CHOOSE(CONTROL!$C$38, 0.0369, 0)</f>
        <v>43.536000000000001</v>
      </c>
      <c r="I700" s="10">
        <f>43.5006 * CHOOSE(CONTROL!$C$15, $E$9, 100%, $G$9) + CHOOSE(CONTROL!$C$38, 0.0369, 0)</f>
        <v>43.537500000000001</v>
      </c>
      <c r="J700" s="44">
        <f>406.6834</f>
        <v>406.68340000000001</v>
      </c>
    </row>
    <row r="701" spans="1:10" ht="15.75" x14ac:dyDescent="0.25">
      <c r="A701" s="13">
        <v>62274</v>
      </c>
      <c r="B701" s="10">
        <f>46.8346 * CHOOSE(CONTROL!$C$15, $E$9, 100%, $G$9) + CHOOSE(CONTROL!$C$38, 0.0278, 0)</f>
        <v>46.862400000000001</v>
      </c>
      <c r="C701" s="10">
        <f>43.1388 * CHOOSE(CONTROL!$C$15, $E$9, 100%, $G$9) + CHOOSE(CONTROL!$C$38, 0.0369, 0)</f>
        <v>43.175700000000006</v>
      </c>
      <c r="D701" s="10">
        <f>43.131 * CHOOSE(CONTROL!$C$15, $E$9, 100%, $G$9) + CHOOSE(CONTROL!$C$38, 0.0369, 0)</f>
        <v>43.167900000000003</v>
      </c>
      <c r="E701" s="46">
        <f>46.6784 * CHOOSE(CONTROL!$C$15, $E$9, 100%, $G$9) + CHOOSE(CONTROL!$C$38, 0.0369, 0)</f>
        <v>46.715300000000006</v>
      </c>
      <c r="F701" s="45">
        <f>46.6784 * CHOOSE(CONTROL!$C$15, $E$9, 100%, $G$9) + CHOOSE(CONTROL!$C$38, 0.0278, 0)</f>
        <v>46.706200000000003</v>
      </c>
      <c r="G701" s="10">
        <f>43.1373 * CHOOSE(CONTROL!$C$15, $E$9, 100%, $G$9) + CHOOSE(CONTROL!$C$38, 0.0369, 0)</f>
        <v>43.174200000000006</v>
      </c>
      <c r="H701" s="10">
        <f>43.1373 * CHOOSE(CONTROL!$C$15, $E$9, 100%, $G$9) + CHOOSE(CONTROL!$C$38, 0.0369, 0)</f>
        <v>43.174200000000006</v>
      </c>
      <c r="I701" s="10">
        <f>43.1388 * CHOOSE(CONTROL!$C$15, $E$9, 100%, $G$9) + CHOOSE(CONTROL!$C$38, 0.0369, 0)</f>
        <v>43.175700000000006</v>
      </c>
      <c r="J701" s="44">
        <f>412.5433</f>
        <v>412.54329999999999</v>
      </c>
    </row>
    <row r="702" spans="1:10" ht="15.75" x14ac:dyDescent="0.25">
      <c r="A702" s="13">
        <v>62305</v>
      </c>
      <c r="B702" s="10">
        <f>46.6281 * CHOOSE(CONTROL!$C$15, $E$9, 100%, $G$9) + CHOOSE(CONTROL!$C$38, 0.0278, 0)</f>
        <v>46.655900000000003</v>
      </c>
      <c r="C702" s="10">
        <f>42.9323 * CHOOSE(CONTROL!$C$15, $E$9, 100%, $G$9) + CHOOSE(CONTROL!$C$38, 0.0369, 0)</f>
        <v>42.969200000000001</v>
      </c>
      <c r="D702" s="10">
        <f>42.9245 * CHOOSE(CONTROL!$C$15, $E$9, 100%, $G$9) + CHOOSE(CONTROL!$C$38, 0.0369, 0)</f>
        <v>42.961400000000005</v>
      </c>
      <c r="E702" s="46">
        <f>46.4719 * CHOOSE(CONTROL!$C$15, $E$9, 100%, $G$9) + CHOOSE(CONTROL!$C$38, 0.0369, 0)</f>
        <v>46.508800000000001</v>
      </c>
      <c r="F702" s="45">
        <f>46.4719 * CHOOSE(CONTROL!$C$15, $E$9, 100%, $G$9) + CHOOSE(CONTROL!$C$38, 0.0278, 0)</f>
        <v>46.499699999999997</v>
      </c>
      <c r="G702" s="10">
        <f>42.9308 * CHOOSE(CONTROL!$C$15, $E$9, 100%, $G$9) + CHOOSE(CONTROL!$C$38, 0.0369, 0)</f>
        <v>42.967700000000001</v>
      </c>
      <c r="H702" s="10">
        <f>42.9308 * CHOOSE(CONTROL!$C$15, $E$9, 100%, $G$9) + CHOOSE(CONTROL!$C$38, 0.0369, 0)</f>
        <v>42.967700000000001</v>
      </c>
      <c r="I702" s="10">
        <f>42.9323 * CHOOSE(CONTROL!$C$15, $E$9, 100%, $G$9) + CHOOSE(CONTROL!$C$38, 0.0369, 0)</f>
        <v>42.969200000000001</v>
      </c>
      <c r="J702" s="44">
        <f>410.6139</f>
        <v>410.6139</v>
      </c>
    </row>
    <row r="703" spans="1:10" ht="15.75" x14ac:dyDescent="0.25">
      <c r="A703" s="13">
        <v>62336</v>
      </c>
      <c r="B703" s="10">
        <f>46.73 * CHOOSE(CONTROL!$C$15, $E$9, 100%, $G$9) + CHOOSE(CONTROL!$C$38, 0.0278, 0)</f>
        <v>46.757799999999996</v>
      </c>
      <c r="C703" s="10">
        <f>43.0342 * CHOOSE(CONTROL!$C$15, $E$9, 100%, $G$9) + CHOOSE(CONTROL!$C$38, 0.0369, 0)</f>
        <v>43.071100000000001</v>
      </c>
      <c r="D703" s="10">
        <f>43.0264 * CHOOSE(CONTROL!$C$15, $E$9, 100%, $G$9) + CHOOSE(CONTROL!$C$38, 0.0369, 0)</f>
        <v>43.063300000000005</v>
      </c>
      <c r="E703" s="46">
        <f>46.5738 * CHOOSE(CONTROL!$C$15, $E$9, 100%, $G$9) + CHOOSE(CONTROL!$C$38, 0.0369, 0)</f>
        <v>46.610700000000001</v>
      </c>
      <c r="F703" s="45">
        <f>46.5738 * CHOOSE(CONTROL!$C$15, $E$9, 100%, $G$9) + CHOOSE(CONTROL!$C$38, 0.0278, 0)</f>
        <v>46.601599999999998</v>
      </c>
      <c r="G703" s="10">
        <f>43.0327 * CHOOSE(CONTROL!$C$15, $E$9, 100%, $G$9) + CHOOSE(CONTROL!$C$38, 0.0369, 0)</f>
        <v>43.069600000000001</v>
      </c>
      <c r="H703" s="10">
        <f>43.0327 * CHOOSE(CONTROL!$C$15, $E$9, 100%, $G$9) + CHOOSE(CONTROL!$C$38, 0.0369, 0)</f>
        <v>43.069600000000001</v>
      </c>
      <c r="I703" s="10">
        <f>43.0342 * CHOOSE(CONTROL!$C$15, $E$9, 100%, $G$9) + CHOOSE(CONTROL!$C$38, 0.0369, 0)</f>
        <v>43.071100000000001</v>
      </c>
      <c r="J703" s="44">
        <f>401.055</f>
        <v>401.05500000000001</v>
      </c>
    </row>
    <row r="704" spans="1:10" ht="15.75" x14ac:dyDescent="0.25">
      <c r="A704" s="13">
        <v>62366</v>
      </c>
      <c r="B704" s="10">
        <f>47.0068 * CHOOSE(CONTROL!$C$15, $E$9, 100%, $G$9) + CHOOSE(CONTROL!$C$38, 0.0278, 0)</f>
        <v>47.034599999999998</v>
      </c>
      <c r="C704" s="10">
        <f>43.311 * CHOOSE(CONTROL!$C$15, $E$9, 100%, $G$9) + CHOOSE(CONTROL!$C$38, 0.0369, 0)</f>
        <v>43.347900000000003</v>
      </c>
      <c r="D704" s="10">
        <f>43.3032 * CHOOSE(CONTROL!$C$15, $E$9, 100%, $G$9) + CHOOSE(CONTROL!$C$38, 0.0369, 0)</f>
        <v>43.3401</v>
      </c>
      <c r="E704" s="46">
        <f>46.8506 * CHOOSE(CONTROL!$C$15, $E$9, 100%, $G$9) + CHOOSE(CONTROL!$C$38, 0.0369, 0)</f>
        <v>46.887500000000003</v>
      </c>
      <c r="F704" s="45">
        <f>46.8506 * CHOOSE(CONTROL!$C$15, $E$9, 100%, $G$9) + CHOOSE(CONTROL!$C$38, 0.0278, 0)</f>
        <v>46.878399999999999</v>
      </c>
      <c r="G704" s="10">
        <f>43.3095 * CHOOSE(CONTROL!$C$15, $E$9, 100%, $G$9) + CHOOSE(CONTROL!$C$38, 0.0369, 0)</f>
        <v>43.346400000000003</v>
      </c>
      <c r="H704" s="10">
        <f>43.3095 * CHOOSE(CONTROL!$C$15, $E$9, 100%, $G$9) + CHOOSE(CONTROL!$C$38, 0.0369, 0)</f>
        <v>43.346400000000003</v>
      </c>
      <c r="I704" s="10">
        <f>43.311 * CHOOSE(CONTROL!$C$15, $E$9, 100%, $G$9) + CHOOSE(CONTROL!$C$38, 0.0369, 0)</f>
        <v>43.347900000000003</v>
      </c>
      <c r="J704" s="44">
        <f>387.7246</f>
        <v>387.72460000000001</v>
      </c>
    </row>
    <row r="705" spans="1:10" ht="15.75" x14ac:dyDescent="0.25">
      <c r="A705" s="13">
        <v>62397</v>
      </c>
      <c r="B705" s="10">
        <f>47.2387 * CHOOSE(CONTROL!$C$15, $E$9, 100%, $G$9) + CHOOSE(CONTROL!$C$38, 0.0256, 0)</f>
        <v>47.264299999999999</v>
      </c>
      <c r="C705" s="10">
        <f>43.5429 * CHOOSE(CONTROL!$C$15, $E$9, 100%, $G$9) + CHOOSE(CONTROL!$C$38, 0.0347, 0)</f>
        <v>43.577600000000004</v>
      </c>
      <c r="D705" s="10">
        <f>43.535 * CHOOSE(CONTROL!$C$15, $E$9, 100%, $G$9) + CHOOSE(CONTROL!$C$38, 0.0347, 0)</f>
        <v>43.569699999999997</v>
      </c>
      <c r="E705" s="46">
        <f>47.0824 * CHOOSE(CONTROL!$C$15, $E$9, 100%, $G$9) + CHOOSE(CONTROL!$C$38, 0.0347, 0)</f>
        <v>47.117100000000001</v>
      </c>
      <c r="F705" s="45">
        <f>47.0824 * CHOOSE(CONTROL!$C$15, $E$9, 100%, $G$9) + CHOOSE(CONTROL!$C$38, 0.0256, 0)</f>
        <v>47.107999999999997</v>
      </c>
      <c r="G705" s="10">
        <f>43.5413 * CHOOSE(CONTROL!$C$15, $E$9, 100%, $G$9) + CHOOSE(CONTROL!$C$38, 0.0347, 0)</f>
        <v>43.576000000000001</v>
      </c>
      <c r="H705" s="10">
        <f>43.5413 * CHOOSE(CONTROL!$C$15, $E$9, 100%, $G$9) + CHOOSE(CONTROL!$C$38, 0.0347, 0)</f>
        <v>43.576000000000001</v>
      </c>
      <c r="I705" s="10">
        <f>43.5429 * CHOOSE(CONTROL!$C$15, $E$9, 100%, $G$9) + CHOOSE(CONTROL!$C$38, 0.0347, 0)</f>
        <v>43.577600000000004</v>
      </c>
      <c r="J705" s="44">
        <f>374.3167</f>
        <v>374.31670000000003</v>
      </c>
    </row>
    <row r="706" spans="1:10" ht="15.75" x14ac:dyDescent="0.25">
      <c r="A706" s="13">
        <v>62427</v>
      </c>
      <c r="B706" s="10">
        <f>47.4321 * CHOOSE(CONTROL!$C$15, $E$9, 100%, $G$9) + CHOOSE(CONTROL!$C$38, 0.0256, 0)</f>
        <v>47.457699999999996</v>
      </c>
      <c r="C706" s="10">
        <f>43.7363 * CHOOSE(CONTROL!$C$15, $E$9, 100%, $G$9) + CHOOSE(CONTROL!$C$38, 0.0347, 0)</f>
        <v>43.771000000000001</v>
      </c>
      <c r="D706" s="10">
        <f>43.7285 * CHOOSE(CONTROL!$C$15, $E$9, 100%, $G$9) + CHOOSE(CONTROL!$C$38, 0.0347, 0)</f>
        <v>43.763199999999998</v>
      </c>
      <c r="E706" s="46">
        <f>47.2759 * CHOOSE(CONTROL!$C$15, $E$9, 100%, $G$9) + CHOOSE(CONTROL!$C$38, 0.0347, 0)</f>
        <v>47.310600000000001</v>
      </c>
      <c r="F706" s="45">
        <f>47.2759 * CHOOSE(CONTROL!$C$15, $E$9, 100%, $G$9) + CHOOSE(CONTROL!$C$38, 0.0256, 0)</f>
        <v>47.301499999999997</v>
      </c>
      <c r="G706" s="10">
        <f>43.7347 * CHOOSE(CONTROL!$C$15, $E$9, 100%, $G$9) + CHOOSE(CONTROL!$C$38, 0.0347, 0)</f>
        <v>43.769399999999997</v>
      </c>
      <c r="H706" s="10">
        <f>43.7347 * CHOOSE(CONTROL!$C$15, $E$9, 100%, $G$9) + CHOOSE(CONTROL!$C$38, 0.0347, 0)</f>
        <v>43.769399999999997</v>
      </c>
      <c r="I706" s="10">
        <f>43.7363 * CHOOSE(CONTROL!$C$15, $E$9, 100%, $G$9) + CHOOSE(CONTROL!$C$38, 0.0347, 0)</f>
        <v>43.771000000000001</v>
      </c>
      <c r="J706" s="44">
        <f>371.6496</f>
        <v>371.64960000000002</v>
      </c>
    </row>
    <row r="707" spans="1:10" ht="15.75" x14ac:dyDescent="0.25">
      <c r="A707" s="13">
        <v>62458</v>
      </c>
      <c r="B707" s="10">
        <f>48.0282 * CHOOSE(CONTROL!$C$15, $E$9, 100%, $G$9) + CHOOSE(CONTROL!$C$38, 0.0256, 0)</f>
        <v>48.053799999999995</v>
      </c>
      <c r="C707" s="10">
        <f>44.3324 * CHOOSE(CONTROL!$C$15, $E$9, 100%, $G$9) + CHOOSE(CONTROL!$C$38, 0.0347, 0)</f>
        <v>44.367100000000001</v>
      </c>
      <c r="D707" s="10">
        <f>44.3246 * CHOOSE(CONTROL!$C$15, $E$9, 100%, $G$9) + CHOOSE(CONTROL!$C$38, 0.0347, 0)</f>
        <v>44.359299999999998</v>
      </c>
      <c r="E707" s="46">
        <f>47.8719 * CHOOSE(CONTROL!$C$15, $E$9, 100%, $G$9) + CHOOSE(CONTROL!$C$38, 0.0347, 0)</f>
        <v>47.906599999999997</v>
      </c>
      <c r="F707" s="45">
        <f>47.8719 * CHOOSE(CONTROL!$C$15, $E$9, 100%, $G$9) + CHOOSE(CONTROL!$C$38, 0.0256, 0)</f>
        <v>47.897499999999994</v>
      </c>
      <c r="G707" s="10">
        <f>44.3308 * CHOOSE(CONTROL!$C$15, $E$9, 100%, $G$9) + CHOOSE(CONTROL!$C$38, 0.0347, 0)</f>
        <v>44.365500000000004</v>
      </c>
      <c r="H707" s="10">
        <f>44.3308 * CHOOSE(CONTROL!$C$15, $E$9, 100%, $G$9) + CHOOSE(CONTROL!$C$38, 0.0347, 0)</f>
        <v>44.365500000000004</v>
      </c>
      <c r="I707" s="10">
        <f>44.3324 * CHOOSE(CONTROL!$C$15, $E$9, 100%, $G$9) + CHOOSE(CONTROL!$C$38, 0.0347, 0)</f>
        <v>44.367100000000001</v>
      </c>
      <c r="J707" s="44">
        <f>360.6209</f>
        <v>360.62090000000001</v>
      </c>
    </row>
    <row r="708" spans="1:10" ht="15.75" x14ac:dyDescent="0.25">
      <c r="A708" s="13">
        <v>62489</v>
      </c>
      <c r="B708" s="10">
        <f>49.267 * CHOOSE(CONTROL!$C$15, $E$9, 100%, $G$9) + CHOOSE(CONTROL!$C$38, 0.0256, 0)</f>
        <v>49.2926</v>
      </c>
      <c r="C708" s="10">
        <f>45.5131 * CHOOSE(CONTROL!$C$15, $E$9, 100%, $G$9) + CHOOSE(CONTROL!$C$38, 0.0347, 0)</f>
        <v>45.547800000000002</v>
      </c>
      <c r="D708" s="10">
        <f>45.5053 * CHOOSE(CONTROL!$C$15, $E$9, 100%, $G$9) + CHOOSE(CONTROL!$C$38, 0.0347, 0)</f>
        <v>45.54</v>
      </c>
      <c r="E708" s="46">
        <f>49.1107 * CHOOSE(CONTROL!$C$15, $E$9, 100%, $G$9) + CHOOSE(CONTROL!$C$38, 0.0347, 0)</f>
        <v>49.145400000000002</v>
      </c>
      <c r="F708" s="45">
        <f>49.1107 * CHOOSE(CONTROL!$C$15, $E$9, 100%, $G$9) + CHOOSE(CONTROL!$C$38, 0.0256, 0)</f>
        <v>49.136299999999999</v>
      </c>
      <c r="G708" s="10">
        <f>45.5116 * CHOOSE(CONTROL!$C$15, $E$9, 100%, $G$9) + CHOOSE(CONTROL!$C$38, 0.0347, 0)</f>
        <v>45.546300000000002</v>
      </c>
      <c r="H708" s="10">
        <f>45.5116 * CHOOSE(CONTROL!$C$15, $E$9, 100%, $G$9) + CHOOSE(CONTROL!$C$38, 0.0347, 0)</f>
        <v>45.546300000000002</v>
      </c>
      <c r="I708" s="10">
        <f>45.5131 * CHOOSE(CONTROL!$C$15, $E$9, 100%, $G$9) + CHOOSE(CONTROL!$C$38, 0.0347, 0)</f>
        <v>45.547800000000002</v>
      </c>
      <c r="J708" s="44">
        <f>359.9322</f>
        <v>359.93220000000002</v>
      </c>
    </row>
    <row r="709" spans="1:10" ht="15.75" x14ac:dyDescent="0.25">
      <c r="A709" s="13">
        <v>62517</v>
      </c>
      <c r="B709" s="10">
        <f>49.4878 * CHOOSE(CONTROL!$C$15, $E$9, 100%, $G$9) + CHOOSE(CONTROL!$C$38, 0.0256, 0)</f>
        <v>49.513399999999997</v>
      </c>
      <c r="C709" s="10">
        <f>45.7339 * CHOOSE(CONTROL!$C$15, $E$9, 100%, $G$9) + CHOOSE(CONTROL!$C$38, 0.0347, 0)</f>
        <v>45.768599999999999</v>
      </c>
      <c r="D709" s="10">
        <f>45.7261 * CHOOSE(CONTROL!$C$15, $E$9, 100%, $G$9) + CHOOSE(CONTROL!$C$38, 0.0347, 0)</f>
        <v>45.760800000000003</v>
      </c>
      <c r="E709" s="46">
        <f>49.3315 * CHOOSE(CONTROL!$C$15, $E$9, 100%, $G$9) + CHOOSE(CONTROL!$C$38, 0.0347, 0)</f>
        <v>49.366199999999999</v>
      </c>
      <c r="F709" s="45">
        <f>49.3315 * CHOOSE(CONTROL!$C$15, $E$9, 100%, $G$9) + CHOOSE(CONTROL!$C$38, 0.0256, 0)</f>
        <v>49.357099999999996</v>
      </c>
      <c r="G709" s="10">
        <f>45.7324 * CHOOSE(CONTROL!$C$15, $E$9, 100%, $G$9) + CHOOSE(CONTROL!$C$38, 0.0347, 0)</f>
        <v>45.767099999999999</v>
      </c>
      <c r="H709" s="10">
        <f>45.7324 * CHOOSE(CONTROL!$C$15, $E$9, 100%, $G$9) + CHOOSE(CONTROL!$C$38, 0.0347, 0)</f>
        <v>45.767099999999999</v>
      </c>
      <c r="I709" s="10">
        <f>45.7339 * CHOOSE(CONTROL!$C$15, $E$9, 100%, $G$9) + CHOOSE(CONTROL!$C$38, 0.0347, 0)</f>
        <v>45.768599999999999</v>
      </c>
      <c r="J709" s="44">
        <f>358.9317</f>
        <v>358.93169999999998</v>
      </c>
    </row>
    <row r="710" spans="1:10" ht="15.75" x14ac:dyDescent="0.25">
      <c r="A710" s="13">
        <v>62548</v>
      </c>
      <c r="B710" s="10">
        <f>48.9767 * CHOOSE(CONTROL!$C$15, $E$9, 100%, $G$9) + CHOOSE(CONTROL!$C$38, 0.0256, 0)</f>
        <v>49.002299999999998</v>
      </c>
      <c r="C710" s="10">
        <f>45.2229 * CHOOSE(CONTROL!$C$15, $E$9, 100%, $G$9) + CHOOSE(CONTROL!$C$38, 0.0347, 0)</f>
        <v>45.257600000000004</v>
      </c>
      <c r="D710" s="10">
        <f>45.2151 * CHOOSE(CONTROL!$C$15, $E$9, 100%, $G$9) + CHOOSE(CONTROL!$C$38, 0.0347, 0)</f>
        <v>45.2498</v>
      </c>
      <c r="E710" s="46">
        <f>48.8205 * CHOOSE(CONTROL!$C$15, $E$9, 100%, $G$9) + CHOOSE(CONTROL!$C$38, 0.0347, 0)</f>
        <v>48.855200000000004</v>
      </c>
      <c r="F710" s="45">
        <f>48.8205 * CHOOSE(CONTROL!$C$15, $E$9, 100%, $G$9) + CHOOSE(CONTROL!$C$38, 0.0256, 0)</f>
        <v>48.8461</v>
      </c>
      <c r="G710" s="10">
        <f>45.2213 * CHOOSE(CONTROL!$C$15, $E$9, 100%, $G$9) + CHOOSE(CONTROL!$C$38, 0.0347, 0)</f>
        <v>45.256</v>
      </c>
      <c r="H710" s="10">
        <f>45.2213 * CHOOSE(CONTROL!$C$15, $E$9, 100%, $G$9) + CHOOSE(CONTROL!$C$38, 0.0347, 0)</f>
        <v>45.256</v>
      </c>
      <c r="I710" s="10">
        <f>45.2229 * CHOOSE(CONTROL!$C$15, $E$9, 100%, $G$9) + CHOOSE(CONTROL!$C$38, 0.0347, 0)</f>
        <v>45.257600000000004</v>
      </c>
      <c r="J710" s="44">
        <f>377.8494</f>
        <v>377.8494</v>
      </c>
    </row>
    <row r="711" spans="1:10" ht="15.75" x14ac:dyDescent="0.25">
      <c r="A711" s="13">
        <v>62578</v>
      </c>
      <c r="B711" s="10">
        <f>48.4815 * CHOOSE(CONTROL!$C$15, $E$9, 100%, $G$9) + CHOOSE(CONTROL!$C$38, 0.0256, 0)</f>
        <v>48.507099999999994</v>
      </c>
      <c r="C711" s="10">
        <f>44.7277 * CHOOSE(CONTROL!$C$15, $E$9, 100%, $G$9) + CHOOSE(CONTROL!$C$38, 0.0347, 0)</f>
        <v>44.7624</v>
      </c>
      <c r="D711" s="10">
        <f>44.7199 * CHOOSE(CONTROL!$C$15, $E$9, 100%, $G$9) + CHOOSE(CONTROL!$C$38, 0.0347, 0)</f>
        <v>44.754600000000003</v>
      </c>
      <c r="E711" s="46">
        <f>48.3253 * CHOOSE(CONTROL!$C$15, $E$9, 100%, $G$9) + CHOOSE(CONTROL!$C$38, 0.0347, 0)</f>
        <v>48.36</v>
      </c>
      <c r="F711" s="45">
        <f>48.3253 * CHOOSE(CONTROL!$C$15, $E$9, 100%, $G$9) + CHOOSE(CONTROL!$C$38, 0.0256, 0)</f>
        <v>48.350899999999996</v>
      </c>
      <c r="G711" s="10">
        <f>44.7261 * CHOOSE(CONTROL!$C$15, $E$9, 100%, $G$9) + CHOOSE(CONTROL!$C$38, 0.0347, 0)</f>
        <v>44.760800000000003</v>
      </c>
      <c r="H711" s="10">
        <f>44.7261 * CHOOSE(CONTROL!$C$15, $E$9, 100%, $G$9) + CHOOSE(CONTROL!$C$38, 0.0347, 0)</f>
        <v>44.760800000000003</v>
      </c>
      <c r="I711" s="10">
        <f>44.7277 * CHOOSE(CONTROL!$C$15, $E$9, 100%, $G$9) + CHOOSE(CONTROL!$C$38, 0.0347, 0)</f>
        <v>44.7624</v>
      </c>
      <c r="J711" s="44">
        <f>402.3813</f>
        <v>402.38130000000001</v>
      </c>
    </row>
    <row r="712" spans="1:10" ht="15.75" x14ac:dyDescent="0.25">
      <c r="A712" s="13">
        <v>62609</v>
      </c>
      <c r="B712" s="10">
        <f>47.9654 * CHOOSE(CONTROL!$C$15, $E$9, 100%, $G$9) + CHOOSE(CONTROL!$C$38, 0.0278, 0)</f>
        <v>47.993200000000002</v>
      </c>
      <c r="C712" s="10">
        <f>44.2116 * CHOOSE(CONTROL!$C$15, $E$9, 100%, $G$9) + CHOOSE(CONTROL!$C$38, 0.0369, 0)</f>
        <v>44.2485</v>
      </c>
      <c r="D712" s="10">
        <f>44.2038 * CHOOSE(CONTROL!$C$15, $E$9, 100%, $G$9) + CHOOSE(CONTROL!$C$38, 0.0369, 0)</f>
        <v>44.240700000000004</v>
      </c>
      <c r="E712" s="46">
        <f>47.8092 * CHOOSE(CONTROL!$C$15, $E$9, 100%, $G$9) + CHOOSE(CONTROL!$C$38, 0.0369, 0)</f>
        <v>47.8461</v>
      </c>
      <c r="F712" s="45">
        <f>47.8092 * CHOOSE(CONTROL!$C$15, $E$9, 100%, $G$9) + CHOOSE(CONTROL!$C$38, 0.0278, 0)</f>
        <v>47.836999999999996</v>
      </c>
      <c r="G712" s="10">
        <f>44.21 * CHOOSE(CONTROL!$C$15, $E$9, 100%, $G$9) + CHOOSE(CONTROL!$C$38, 0.0369, 0)</f>
        <v>44.246900000000004</v>
      </c>
      <c r="H712" s="10">
        <f>44.21 * CHOOSE(CONTROL!$C$15, $E$9, 100%, $G$9) + CHOOSE(CONTROL!$C$38, 0.0369, 0)</f>
        <v>44.246900000000004</v>
      </c>
      <c r="I712" s="10">
        <f>44.2116 * CHOOSE(CONTROL!$C$15, $E$9, 100%, $G$9) + CHOOSE(CONTROL!$C$38, 0.0369, 0)</f>
        <v>44.2485</v>
      </c>
      <c r="J712" s="44">
        <f>415.8844</f>
        <v>415.88440000000003</v>
      </c>
    </row>
    <row r="713" spans="1:10" ht="15.75" x14ac:dyDescent="0.25">
      <c r="A713" s="13">
        <v>62639</v>
      </c>
      <c r="B713" s="10">
        <f>47.6036 * CHOOSE(CONTROL!$C$15, $E$9, 100%, $G$9) + CHOOSE(CONTROL!$C$38, 0.0278, 0)</f>
        <v>47.631399999999999</v>
      </c>
      <c r="C713" s="10">
        <f>43.8498 * CHOOSE(CONTROL!$C$15, $E$9, 100%, $G$9) + CHOOSE(CONTROL!$C$38, 0.0369, 0)</f>
        <v>43.886700000000005</v>
      </c>
      <c r="D713" s="10">
        <f>43.8419 * CHOOSE(CONTROL!$C$15, $E$9, 100%, $G$9) + CHOOSE(CONTROL!$C$38, 0.0369, 0)</f>
        <v>43.878800000000005</v>
      </c>
      <c r="E713" s="46">
        <f>47.4473 * CHOOSE(CONTROL!$C$15, $E$9, 100%, $G$9) + CHOOSE(CONTROL!$C$38, 0.0369, 0)</f>
        <v>47.484200000000001</v>
      </c>
      <c r="F713" s="45">
        <f>47.4473 * CHOOSE(CONTROL!$C$15, $E$9, 100%, $G$9) + CHOOSE(CONTROL!$C$38, 0.0278, 0)</f>
        <v>47.475099999999998</v>
      </c>
      <c r="G713" s="10">
        <f>43.8482 * CHOOSE(CONTROL!$C$15, $E$9, 100%, $G$9) + CHOOSE(CONTROL!$C$38, 0.0369, 0)</f>
        <v>43.885100000000001</v>
      </c>
      <c r="H713" s="10">
        <f>43.8482 * CHOOSE(CONTROL!$C$15, $E$9, 100%, $G$9) + CHOOSE(CONTROL!$C$38, 0.0369, 0)</f>
        <v>43.885100000000001</v>
      </c>
      <c r="I713" s="10">
        <f>43.8498 * CHOOSE(CONTROL!$C$15, $E$9, 100%, $G$9) + CHOOSE(CONTROL!$C$38, 0.0369, 0)</f>
        <v>43.886700000000005</v>
      </c>
      <c r="J713" s="44">
        <f>421.8768</f>
        <v>421.8768</v>
      </c>
    </row>
    <row r="714" spans="1:10" ht="15.75" x14ac:dyDescent="0.25">
      <c r="A714" s="13">
        <v>62670</v>
      </c>
      <c r="B714" s="10">
        <f>47.3971 * CHOOSE(CONTROL!$C$15, $E$9, 100%, $G$9) + CHOOSE(CONTROL!$C$38, 0.0278, 0)</f>
        <v>47.424900000000001</v>
      </c>
      <c r="C714" s="10">
        <f>43.6433 * CHOOSE(CONTROL!$C$15, $E$9, 100%, $G$9) + CHOOSE(CONTROL!$C$38, 0.0369, 0)</f>
        <v>43.680200000000006</v>
      </c>
      <c r="D714" s="10">
        <f>43.6355 * CHOOSE(CONTROL!$C$15, $E$9, 100%, $G$9) + CHOOSE(CONTROL!$C$38, 0.0369, 0)</f>
        <v>43.672400000000003</v>
      </c>
      <c r="E714" s="46">
        <f>47.2409 * CHOOSE(CONTROL!$C$15, $E$9, 100%, $G$9) + CHOOSE(CONTROL!$C$38, 0.0369, 0)</f>
        <v>47.277800000000006</v>
      </c>
      <c r="F714" s="45">
        <f>47.2409 * CHOOSE(CONTROL!$C$15, $E$9, 100%, $G$9) + CHOOSE(CONTROL!$C$38, 0.0278, 0)</f>
        <v>47.268700000000003</v>
      </c>
      <c r="G714" s="10">
        <f>43.6417 * CHOOSE(CONTROL!$C$15, $E$9, 100%, $G$9) + CHOOSE(CONTROL!$C$38, 0.0369, 0)</f>
        <v>43.678600000000003</v>
      </c>
      <c r="H714" s="10">
        <f>43.6417 * CHOOSE(CONTROL!$C$15, $E$9, 100%, $G$9) + CHOOSE(CONTROL!$C$38, 0.0369, 0)</f>
        <v>43.678600000000003</v>
      </c>
      <c r="I714" s="10">
        <f>43.6433 * CHOOSE(CONTROL!$C$15, $E$9, 100%, $G$9) + CHOOSE(CONTROL!$C$38, 0.0369, 0)</f>
        <v>43.680200000000006</v>
      </c>
      <c r="J714" s="44">
        <f>419.9039</f>
        <v>419.90390000000002</v>
      </c>
    </row>
    <row r="715" spans="1:10" ht="15.75" x14ac:dyDescent="0.25">
      <c r="A715" s="13">
        <v>62701</v>
      </c>
      <c r="B715" s="10">
        <f>47.499 * CHOOSE(CONTROL!$C$15, $E$9, 100%, $G$9) + CHOOSE(CONTROL!$C$38, 0.0278, 0)</f>
        <v>47.526800000000001</v>
      </c>
      <c r="C715" s="10">
        <f>43.7452 * CHOOSE(CONTROL!$C$15, $E$9, 100%, $G$9) + CHOOSE(CONTROL!$C$38, 0.0369, 0)</f>
        <v>43.7821</v>
      </c>
      <c r="D715" s="10">
        <f>43.7374 * CHOOSE(CONTROL!$C$15, $E$9, 100%, $G$9) + CHOOSE(CONTROL!$C$38, 0.0369, 0)</f>
        <v>43.774300000000004</v>
      </c>
      <c r="E715" s="46">
        <f>47.3428 * CHOOSE(CONTROL!$C$15, $E$9, 100%, $G$9) + CHOOSE(CONTROL!$C$38, 0.0369, 0)</f>
        <v>47.3797</v>
      </c>
      <c r="F715" s="45">
        <f>47.3428 * CHOOSE(CONTROL!$C$15, $E$9, 100%, $G$9) + CHOOSE(CONTROL!$C$38, 0.0278, 0)</f>
        <v>47.370599999999996</v>
      </c>
      <c r="G715" s="10">
        <f>43.7436 * CHOOSE(CONTROL!$C$15, $E$9, 100%, $G$9) + CHOOSE(CONTROL!$C$38, 0.0369, 0)</f>
        <v>43.780500000000004</v>
      </c>
      <c r="H715" s="10">
        <f>43.7436 * CHOOSE(CONTROL!$C$15, $E$9, 100%, $G$9) + CHOOSE(CONTROL!$C$38, 0.0369, 0)</f>
        <v>43.780500000000004</v>
      </c>
      <c r="I715" s="10">
        <f>43.7452 * CHOOSE(CONTROL!$C$15, $E$9, 100%, $G$9) + CHOOSE(CONTROL!$C$38, 0.0369, 0)</f>
        <v>43.7821</v>
      </c>
      <c r="J715" s="44">
        <f>410.1287</f>
        <v>410.12869999999998</v>
      </c>
    </row>
    <row r="716" spans="1:10" ht="15.75" x14ac:dyDescent="0.25">
      <c r="A716" s="13">
        <v>62731</v>
      </c>
      <c r="B716" s="10">
        <f>47.7758 * CHOOSE(CONTROL!$C$15, $E$9, 100%, $G$9) + CHOOSE(CONTROL!$C$38, 0.0278, 0)</f>
        <v>47.803599999999996</v>
      </c>
      <c r="C716" s="10">
        <f>44.022 * CHOOSE(CONTROL!$C$15, $E$9, 100%, $G$9) + CHOOSE(CONTROL!$C$38, 0.0369, 0)</f>
        <v>44.058900000000001</v>
      </c>
      <c r="D716" s="10">
        <f>44.0142 * CHOOSE(CONTROL!$C$15, $E$9, 100%, $G$9) + CHOOSE(CONTROL!$C$38, 0.0369, 0)</f>
        <v>44.051100000000005</v>
      </c>
      <c r="E716" s="46">
        <f>47.6196 * CHOOSE(CONTROL!$C$15, $E$9, 100%, $G$9) + CHOOSE(CONTROL!$C$38, 0.0369, 0)</f>
        <v>47.656500000000001</v>
      </c>
      <c r="F716" s="45">
        <f>47.6196 * CHOOSE(CONTROL!$C$15, $E$9, 100%, $G$9) + CHOOSE(CONTROL!$C$38, 0.0278, 0)</f>
        <v>47.647399999999998</v>
      </c>
      <c r="G716" s="10">
        <f>44.0204 * CHOOSE(CONTROL!$C$15, $E$9, 100%, $G$9) + CHOOSE(CONTROL!$C$38, 0.0369, 0)</f>
        <v>44.057300000000005</v>
      </c>
      <c r="H716" s="10">
        <f>44.0204 * CHOOSE(CONTROL!$C$15, $E$9, 100%, $G$9) + CHOOSE(CONTROL!$C$38, 0.0369, 0)</f>
        <v>44.057300000000005</v>
      </c>
      <c r="I716" s="10">
        <f>44.022 * CHOOSE(CONTROL!$C$15, $E$9, 100%, $G$9) + CHOOSE(CONTROL!$C$38, 0.0369, 0)</f>
        <v>44.058900000000001</v>
      </c>
      <c r="J716" s="44">
        <f>396.4967</f>
        <v>396.49669999999998</v>
      </c>
    </row>
    <row r="717" spans="1:10" ht="15.75" x14ac:dyDescent="0.25">
      <c r="A717" s="13">
        <v>62762</v>
      </c>
      <c r="B717" s="10">
        <f>48.0076 * CHOOSE(CONTROL!$C$15, $E$9, 100%, $G$9) + CHOOSE(CONTROL!$C$38, 0.0256, 0)</f>
        <v>48.033199999999994</v>
      </c>
      <c r="C717" s="10">
        <f>44.2538 * CHOOSE(CONTROL!$C$15, $E$9, 100%, $G$9) + CHOOSE(CONTROL!$C$38, 0.0347, 0)</f>
        <v>44.288499999999999</v>
      </c>
      <c r="D717" s="10">
        <f>44.246 * CHOOSE(CONTROL!$C$15, $E$9, 100%, $G$9) + CHOOSE(CONTROL!$C$38, 0.0347, 0)</f>
        <v>44.280700000000003</v>
      </c>
      <c r="E717" s="46">
        <f>47.8514 * CHOOSE(CONTROL!$C$15, $E$9, 100%, $G$9) + CHOOSE(CONTROL!$C$38, 0.0347, 0)</f>
        <v>47.886099999999999</v>
      </c>
      <c r="F717" s="45">
        <f>47.8514 * CHOOSE(CONTROL!$C$15, $E$9, 100%, $G$9) + CHOOSE(CONTROL!$C$38, 0.0256, 0)</f>
        <v>47.876999999999995</v>
      </c>
      <c r="G717" s="10">
        <f>44.2522 * CHOOSE(CONTROL!$C$15, $E$9, 100%, $G$9) + CHOOSE(CONTROL!$C$38, 0.0347, 0)</f>
        <v>44.286900000000003</v>
      </c>
      <c r="H717" s="10">
        <f>44.2522 * CHOOSE(CONTROL!$C$15, $E$9, 100%, $G$9) + CHOOSE(CONTROL!$C$38, 0.0347, 0)</f>
        <v>44.286900000000003</v>
      </c>
      <c r="I717" s="10">
        <f>44.2538 * CHOOSE(CONTROL!$C$15, $E$9, 100%, $G$9) + CHOOSE(CONTROL!$C$38, 0.0347, 0)</f>
        <v>44.288499999999999</v>
      </c>
      <c r="J717" s="44">
        <f>382.7854</f>
        <v>382.78539999999998</v>
      </c>
    </row>
    <row r="718" spans="1:10" ht="15.75" x14ac:dyDescent="0.25">
      <c r="A718" s="13">
        <v>62792</v>
      </c>
      <c r="B718" s="10">
        <f>48.2011 * CHOOSE(CONTROL!$C$15, $E$9, 100%, $G$9) + CHOOSE(CONTROL!$C$38, 0.0256, 0)</f>
        <v>48.226699999999994</v>
      </c>
      <c r="C718" s="10">
        <f>44.4472 * CHOOSE(CONTROL!$C$15, $E$9, 100%, $G$9) + CHOOSE(CONTROL!$C$38, 0.0347, 0)</f>
        <v>44.481900000000003</v>
      </c>
      <c r="D718" s="10">
        <f>44.4394 * CHOOSE(CONTROL!$C$15, $E$9, 100%, $G$9) + CHOOSE(CONTROL!$C$38, 0.0347, 0)</f>
        <v>44.4741</v>
      </c>
      <c r="E718" s="46">
        <f>48.0448 * CHOOSE(CONTROL!$C$15, $E$9, 100%, $G$9) + CHOOSE(CONTROL!$C$38, 0.0347, 0)</f>
        <v>48.079500000000003</v>
      </c>
      <c r="F718" s="45">
        <f>48.0448 * CHOOSE(CONTROL!$C$15, $E$9, 100%, $G$9) + CHOOSE(CONTROL!$C$38, 0.0256, 0)</f>
        <v>48.070399999999999</v>
      </c>
      <c r="G718" s="10">
        <f>44.4457 * CHOOSE(CONTROL!$C$15, $E$9, 100%, $G$9) + CHOOSE(CONTROL!$C$38, 0.0347, 0)</f>
        <v>44.480400000000003</v>
      </c>
      <c r="H718" s="10">
        <f>44.4457 * CHOOSE(CONTROL!$C$15, $E$9, 100%, $G$9) + CHOOSE(CONTROL!$C$38, 0.0347, 0)</f>
        <v>44.480400000000003</v>
      </c>
      <c r="I718" s="10">
        <f>44.4472 * CHOOSE(CONTROL!$C$15, $E$9, 100%, $G$9) + CHOOSE(CONTROL!$C$38, 0.0347, 0)</f>
        <v>44.481900000000003</v>
      </c>
      <c r="J718" s="44">
        <f>380.058</f>
        <v>380.05799999999999</v>
      </c>
    </row>
    <row r="719" spans="1:10" ht="15.75" x14ac:dyDescent="0.25">
      <c r="A719" s="13">
        <v>62823</v>
      </c>
      <c r="B719" s="10">
        <f>48.7971 * CHOOSE(CONTROL!$C$15, $E$9, 100%, $G$9) + CHOOSE(CONTROL!$C$38, 0.0256, 0)</f>
        <v>48.822699999999998</v>
      </c>
      <c r="C719" s="10">
        <f>45.0433 * CHOOSE(CONTROL!$C$15, $E$9, 100%, $G$9) + CHOOSE(CONTROL!$C$38, 0.0347, 0)</f>
        <v>45.078000000000003</v>
      </c>
      <c r="D719" s="10">
        <f>45.0355 * CHOOSE(CONTROL!$C$15, $E$9, 100%, $G$9) + CHOOSE(CONTROL!$C$38, 0.0347, 0)</f>
        <v>45.0702</v>
      </c>
      <c r="E719" s="46">
        <f>48.6409 * CHOOSE(CONTROL!$C$15, $E$9, 100%, $G$9) + CHOOSE(CONTROL!$C$38, 0.0347, 0)</f>
        <v>48.675600000000003</v>
      </c>
      <c r="F719" s="45">
        <f>48.6409 * CHOOSE(CONTROL!$C$15, $E$9, 100%, $G$9) + CHOOSE(CONTROL!$C$38, 0.0256, 0)</f>
        <v>48.666499999999999</v>
      </c>
      <c r="G719" s="10">
        <f>45.0417 * CHOOSE(CONTROL!$C$15, $E$9, 100%, $G$9) + CHOOSE(CONTROL!$C$38, 0.0347, 0)</f>
        <v>45.0764</v>
      </c>
      <c r="H719" s="10">
        <f>45.0417 * CHOOSE(CONTROL!$C$15, $E$9, 100%, $G$9) + CHOOSE(CONTROL!$C$38, 0.0347, 0)</f>
        <v>45.0764</v>
      </c>
      <c r="I719" s="10">
        <f>45.0433 * CHOOSE(CONTROL!$C$15, $E$9, 100%, $G$9) + CHOOSE(CONTROL!$C$38, 0.0347, 0)</f>
        <v>45.078000000000003</v>
      </c>
      <c r="J719" s="44">
        <f>368.7797</f>
        <v>368.77969999999999</v>
      </c>
    </row>
    <row r="720" spans="1:10" ht="15.75" x14ac:dyDescent="0.25">
      <c r="A720" s="13">
        <v>62854</v>
      </c>
      <c r="B720" s="10">
        <f>50.0486 * CHOOSE(CONTROL!$C$15, $E$9, 100%, $G$9) + CHOOSE(CONTROL!$C$38, 0.0256, 0)</f>
        <v>50.074199999999998</v>
      </c>
      <c r="C720" s="10">
        <f>46.2357 * CHOOSE(CONTROL!$C$15, $E$9, 100%, $G$9) + CHOOSE(CONTROL!$C$38, 0.0347, 0)</f>
        <v>46.270400000000002</v>
      </c>
      <c r="D720" s="10">
        <f>46.2279 * CHOOSE(CONTROL!$C$15, $E$9, 100%, $G$9) + CHOOSE(CONTROL!$C$38, 0.0347, 0)</f>
        <v>46.262599999999999</v>
      </c>
      <c r="E720" s="46">
        <f>49.8923 * CHOOSE(CONTROL!$C$15, $E$9, 100%, $G$9) + CHOOSE(CONTROL!$C$38, 0.0347, 0)</f>
        <v>49.927</v>
      </c>
      <c r="F720" s="45">
        <f>49.8923 * CHOOSE(CONTROL!$C$15, $E$9, 100%, $G$9) + CHOOSE(CONTROL!$C$38, 0.0256, 0)</f>
        <v>49.917899999999996</v>
      </c>
      <c r="G720" s="10">
        <f>46.2342 * CHOOSE(CONTROL!$C$15, $E$9, 100%, $G$9) + CHOOSE(CONTROL!$C$38, 0.0347, 0)</f>
        <v>46.268900000000002</v>
      </c>
      <c r="H720" s="10">
        <f>46.2342 * CHOOSE(CONTROL!$C$15, $E$9, 100%, $G$9) + CHOOSE(CONTROL!$C$38, 0.0347, 0)</f>
        <v>46.268900000000002</v>
      </c>
      <c r="I720" s="10">
        <f>46.2357 * CHOOSE(CONTROL!$C$15, $E$9, 100%, $G$9) + CHOOSE(CONTROL!$C$38, 0.0347, 0)</f>
        <v>46.270400000000002</v>
      </c>
      <c r="J720" s="44">
        <f>368.0754</f>
        <v>368.0754</v>
      </c>
    </row>
    <row r="721" spans="1:10" ht="15.75" x14ac:dyDescent="0.25">
      <c r="A721" s="13">
        <v>62883</v>
      </c>
      <c r="B721" s="10">
        <f>50.2693 * CHOOSE(CONTROL!$C$15, $E$9, 100%, $G$9) + CHOOSE(CONTROL!$C$38, 0.0256, 0)</f>
        <v>50.294899999999998</v>
      </c>
      <c r="C721" s="10">
        <f>46.4565 * CHOOSE(CONTROL!$C$15, $E$9, 100%, $G$9) + CHOOSE(CONTROL!$C$38, 0.0347, 0)</f>
        <v>46.491199999999999</v>
      </c>
      <c r="D721" s="10">
        <f>46.4487 * CHOOSE(CONTROL!$C$15, $E$9, 100%, $G$9) + CHOOSE(CONTROL!$C$38, 0.0347, 0)</f>
        <v>46.483400000000003</v>
      </c>
      <c r="E721" s="46">
        <f>50.1131 * CHOOSE(CONTROL!$C$15, $E$9, 100%, $G$9) + CHOOSE(CONTROL!$C$38, 0.0347, 0)</f>
        <v>50.147800000000004</v>
      </c>
      <c r="F721" s="45">
        <f>50.1131 * CHOOSE(CONTROL!$C$15, $E$9, 100%, $G$9) + CHOOSE(CONTROL!$C$38, 0.0256, 0)</f>
        <v>50.1387</v>
      </c>
      <c r="G721" s="10">
        <f>46.4549 * CHOOSE(CONTROL!$C$15, $E$9, 100%, $G$9) + CHOOSE(CONTROL!$C$38, 0.0347, 0)</f>
        <v>46.489600000000003</v>
      </c>
      <c r="H721" s="10">
        <f>46.4549 * CHOOSE(CONTROL!$C$15, $E$9, 100%, $G$9) + CHOOSE(CONTROL!$C$38, 0.0347, 0)</f>
        <v>46.489600000000003</v>
      </c>
      <c r="I721" s="10">
        <f>46.4565 * CHOOSE(CONTROL!$C$15, $E$9, 100%, $G$9) + CHOOSE(CONTROL!$C$38, 0.0347, 0)</f>
        <v>46.491199999999999</v>
      </c>
      <c r="J721" s="44">
        <f>367.0523</f>
        <v>367.0523</v>
      </c>
    </row>
    <row r="722" spans="1:10" ht="15.75" x14ac:dyDescent="0.25">
      <c r="A722" s="13">
        <v>62914</v>
      </c>
      <c r="B722" s="10">
        <f>49.7583 * CHOOSE(CONTROL!$C$15, $E$9, 100%, $G$9) + CHOOSE(CONTROL!$C$38, 0.0256, 0)</f>
        <v>49.783899999999996</v>
      </c>
      <c r="C722" s="10">
        <f>45.9455 * CHOOSE(CONTROL!$C$15, $E$9, 100%, $G$9) + CHOOSE(CONTROL!$C$38, 0.0347, 0)</f>
        <v>45.980200000000004</v>
      </c>
      <c r="D722" s="10">
        <f>45.9377 * CHOOSE(CONTROL!$C$15, $E$9, 100%, $G$9) + CHOOSE(CONTROL!$C$38, 0.0347, 0)</f>
        <v>45.9724</v>
      </c>
      <c r="E722" s="46">
        <f>49.602 * CHOOSE(CONTROL!$C$15, $E$9, 100%, $G$9) + CHOOSE(CONTROL!$C$38, 0.0347, 0)</f>
        <v>49.636699999999998</v>
      </c>
      <c r="F722" s="45">
        <f>49.602 * CHOOSE(CONTROL!$C$15, $E$9, 100%, $G$9) + CHOOSE(CONTROL!$C$38, 0.0256, 0)</f>
        <v>49.627599999999994</v>
      </c>
      <c r="G722" s="10">
        <f>45.9439 * CHOOSE(CONTROL!$C$15, $E$9, 100%, $G$9) + CHOOSE(CONTROL!$C$38, 0.0347, 0)</f>
        <v>45.9786</v>
      </c>
      <c r="H722" s="10">
        <f>45.9439 * CHOOSE(CONTROL!$C$15, $E$9, 100%, $G$9) + CHOOSE(CONTROL!$C$38, 0.0347, 0)</f>
        <v>45.9786</v>
      </c>
      <c r="I722" s="10">
        <f>45.9455 * CHOOSE(CONTROL!$C$15, $E$9, 100%, $G$9) + CHOOSE(CONTROL!$C$38, 0.0347, 0)</f>
        <v>45.980200000000004</v>
      </c>
      <c r="J722" s="44">
        <f>386.3981</f>
        <v>386.3981</v>
      </c>
    </row>
    <row r="723" spans="1:10" ht="15.75" x14ac:dyDescent="0.25">
      <c r="A723" s="13">
        <v>62944</v>
      </c>
      <c r="B723" s="10">
        <f>49.2631 * CHOOSE(CONTROL!$C$15, $E$9, 100%, $G$9) + CHOOSE(CONTROL!$C$38, 0.0256, 0)</f>
        <v>49.288699999999999</v>
      </c>
      <c r="C723" s="10">
        <f>45.4503 * CHOOSE(CONTROL!$C$15, $E$9, 100%, $G$9) + CHOOSE(CONTROL!$C$38, 0.0347, 0)</f>
        <v>45.484999999999999</v>
      </c>
      <c r="D723" s="10">
        <f>45.4425 * CHOOSE(CONTROL!$C$15, $E$9, 100%, $G$9) + CHOOSE(CONTROL!$C$38, 0.0347, 0)</f>
        <v>45.477200000000003</v>
      </c>
      <c r="E723" s="46">
        <f>49.1069 * CHOOSE(CONTROL!$C$15, $E$9, 100%, $G$9) + CHOOSE(CONTROL!$C$38, 0.0347, 0)</f>
        <v>49.141600000000004</v>
      </c>
      <c r="F723" s="45">
        <f>49.1069 * CHOOSE(CONTROL!$C$15, $E$9, 100%, $G$9) + CHOOSE(CONTROL!$C$38, 0.0256, 0)</f>
        <v>49.1325</v>
      </c>
      <c r="G723" s="10">
        <f>45.4487 * CHOOSE(CONTROL!$C$15, $E$9, 100%, $G$9) + CHOOSE(CONTROL!$C$38, 0.0347, 0)</f>
        <v>45.483400000000003</v>
      </c>
      <c r="H723" s="10">
        <f>45.4487 * CHOOSE(CONTROL!$C$15, $E$9, 100%, $G$9) + CHOOSE(CONTROL!$C$38, 0.0347, 0)</f>
        <v>45.483400000000003</v>
      </c>
      <c r="I723" s="10">
        <f>45.4503 * CHOOSE(CONTROL!$C$15, $E$9, 100%, $G$9) + CHOOSE(CONTROL!$C$38, 0.0347, 0)</f>
        <v>45.484999999999999</v>
      </c>
      <c r="J723" s="44">
        <f>411.485</f>
        <v>411.48500000000001</v>
      </c>
    </row>
    <row r="724" spans="1:10" ht="15.75" x14ac:dyDescent="0.25">
      <c r="A724" s="13">
        <v>62975</v>
      </c>
      <c r="B724" s="10">
        <f>48.747 * CHOOSE(CONTROL!$C$15, $E$9, 100%, $G$9) + CHOOSE(CONTROL!$C$38, 0.0278, 0)</f>
        <v>48.774799999999999</v>
      </c>
      <c r="C724" s="10">
        <f>44.9342 * CHOOSE(CONTROL!$C$15, $E$9, 100%, $G$9) + CHOOSE(CONTROL!$C$38, 0.0369, 0)</f>
        <v>44.9711</v>
      </c>
      <c r="D724" s="10">
        <f>44.9264 * CHOOSE(CONTROL!$C$15, $E$9, 100%, $G$9) + CHOOSE(CONTROL!$C$38, 0.0369, 0)</f>
        <v>44.963300000000004</v>
      </c>
      <c r="E724" s="46">
        <f>48.5908 * CHOOSE(CONTROL!$C$15, $E$9, 100%, $G$9) + CHOOSE(CONTROL!$C$38, 0.0369, 0)</f>
        <v>48.627700000000004</v>
      </c>
      <c r="F724" s="45">
        <f>48.5908 * CHOOSE(CONTROL!$C$15, $E$9, 100%, $G$9) + CHOOSE(CONTROL!$C$38, 0.0278, 0)</f>
        <v>48.618600000000001</v>
      </c>
      <c r="G724" s="10">
        <f>44.9326 * CHOOSE(CONTROL!$C$15, $E$9, 100%, $G$9) + CHOOSE(CONTROL!$C$38, 0.0369, 0)</f>
        <v>44.969500000000004</v>
      </c>
      <c r="H724" s="10">
        <f>44.9326 * CHOOSE(CONTROL!$C$15, $E$9, 100%, $G$9) + CHOOSE(CONTROL!$C$38, 0.0369, 0)</f>
        <v>44.969500000000004</v>
      </c>
      <c r="I724" s="10">
        <f>44.9342 * CHOOSE(CONTROL!$C$15, $E$9, 100%, $G$9) + CHOOSE(CONTROL!$C$38, 0.0369, 0)</f>
        <v>44.9711</v>
      </c>
      <c r="J724" s="44">
        <f>425.2936</f>
        <v>425.29360000000003</v>
      </c>
    </row>
    <row r="725" spans="1:10" ht="15.75" x14ac:dyDescent="0.25">
      <c r="A725" s="13">
        <v>63005</v>
      </c>
      <c r="B725" s="10">
        <f>48.3852 * CHOOSE(CONTROL!$C$15, $E$9, 100%, $G$9) + CHOOSE(CONTROL!$C$38, 0.0278, 0)</f>
        <v>48.412999999999997</v>
      </c>
      <c r="C725" s="10">
        <f>44.5723 * CHOOSE(CONTROL!$C$15, $E$9, 100%, $G$9) + CHOOSE(CONTROL!$C$38, 0.0369, 0)</f>
        <v>44.609200000000001</v>
      </c>
      <c r="D725" s="10">
        <f>44.5645 * CHOOSE(CONTROL!$C$15, $E$9, 100%, $G$9) + CHOOSE(CONTROL!$C$38, 0.0369, 0)</f>
        <v>44.601400000000005</v>
      </c>
      <c r="E725" s="46">
        <f>48.2289 * CHOOSE(CONTROL!$C$15, $E$9, 100%, $G$9) + CHOOSE(CONTROL!$C$38, 0.0369, 0)</f>
        <v>48.265800000000006</v>
      </c>
      <c r="F725" s="45">
        <f>48.2289 * CHOOSE(CONTROL!$C$15, $E$9, 100%, $G$9) + CHOOSE(CONTROL!$C$38, 0.0278, 0)</f>
        <v>48.256700000000002</v>
      </c>
      <c r="G725" s="10">
        <f>44.5708 * CHOOSE(CONTROL!$C$15, $E$9, 100%, $G$9) + CHOOSE(CONTROL!$C$38, 0.0369, 0)</f>
        <v>44.607700000000001</v>
      </c>
      <c r="H725" s="10">
        <f>44.5708 * CHOOSE(CONTROL!$C$15, $E$9, 100%, $G$9) + CHOOSE(CONTROL!$C$38, 0.0369, 0)</f>
        <v>44.607700000000001</v>
      </c>
      <c r="I725" s="10">
        <f>44.5723 * CHOOSE(CONTROL!$C$15, $E$9, 100%, $G$9) + CHOOSE(CONTROL!$C$38, 0.0369, 0)</f>
        <v>44.609200000000001</v>
      </c>
      <c r="J725" s="44">
        <f>431.4216</f>
        <v>431.42160000000001</v>
      </c>
    </row>
    <row r="726" spans="1:10" ht="15.75" x14ac:dyDescent="0.25">
      <c r="A726" s="13">
        <v>63036</v>
      </c>
      <c r="B726" s="10">
        <f>48.1787 * CHOOSE(CONTROL!$C$15, $E$9, 100%, $G$9) + CHOOSE(CONTROL!$C$38, 0.0278, 0)</f>
        <v>48.206499999999998</v>
      </c>
      <c r="C726" s="10">
        <f>44.3659 * CHOOSE(CONTROL!$C$15, $E$9, 100%, $G$9) + CHOOSE(CONTROL!$C$38, 0.0369, 0)</f>
        <v>44.402800000000006</v>
      </c>
      <c r="D726" s="10">
        <f>44.358 * CHOOSE(CONTROL!$C$15, $E$9, 100%, $G$9) + CHOOSE(CONTROL!$C$38, 0.0369, 0)</f>
        <v>44.3949</v>
      </c>
      <c r="E726" s="46">
        <f>48.0224 * CHOOSE(CONTROL!$C$15, $E$9, 100%, $G$9) + CHOOSE(CONTROL!$C$38, 0.0369, 0)</f>
        <v>48.0593</v>
      </c>
      <c r="F726" s="45">
        <f>48.0224 * CHOOSE(CONTROL!$C$15, $E$9, 100%, $G$9) + CHOOSE(CONTROL!$C$38, 0.0278, 0)</f>
        <v>48.050199999999997</v>
      </c>
      <c r="G726" s="10">
        <f>44.3643 * CHOOSE(CONTROL!$C$15, $E$9, 100%, $G$9) + CHOOSE(CONTROL!$C$38, 0.0369, 0)</f>
        <v>44.401200000000003</v>
      </c>
      <c r="H726" s="10">
        <f>44.3643 * CHOOSE(CONTROL!$C$15, $E$9, 100%, $G$9) + CHOOSE(CONTROL!$C$38, 0.0369, 0)</f>
        <v>44.401200000000003</v>
      </c>
      <c r="I726" s="10">
        <f>44.3659 * CHOOSE(CONTROL!$C$15, $E$9, 100%, $G$9) + CHOOSE(CONTROL!$C$38, 0.0369, 0)</f>
        <v>44.402800000000006</v>
      </c>
      <c r="J726" s="44">
        <f>429.404</f>
        <v>429.404</v>
      </c>
    </row>
    <row r="727" spans="1:10" ht="15.75" x14ac:dyDescent="0.25">
      <c r="A727" s="13">
        <v>63067</v>
      </c>
      <c r="B727" s="10">
        <f>48.2806 * CHOOSE(CONTROL!$C$15, $E$9, 100%, $G$9) + CHOOSE(CONTROL!$C$38, 0.0278, 0)</f>
        <v>48.308399999999999</v>
      </c>
      <c r="C727" s="10">
        <f>44.4678 * CHOOSE(CONTROL!$C$15, $E$9, 100%, $G$9) + CHOOSE(CONTROL!$C$38, 0.0369, 0)</f>
        <v>44.5047</v>
      </c>
      <c r="D727" s="10">
        <f>44.46 * CHOOSE(CONTROL!$C$15, $E$9, 100%, $G$9) + CHOOSE(CONTROL!$C$38, 0.0369, 0)</f>
        <v>44.496900000000004</v>
      </c>
      <c r="E727" s="46">
        <f>48.1243 * CHOOSE(CONTROL!$C$15, $E$9, 100%, $G$9) + CHOOSE(CONTROL!$C$38, 0.0369, 0)</f>
        <v>48.161200000000001</v>
      </c>
      <c r="F727" s="45">
        <f>48.1243 * CHOOSE(CONTROL!$C$15, $E$9, 100%, $G$9) + CHOOSE(CONTROL!$C$38, 0.0278, 0)</f>
        <v>48.152099999999997</v>
      </c>
      <c r="G727" s="10">
        <f>44.4662 * CHOOSE(CONTROL!$C$15, $E$9, 100%, $G$9) + CHOOSE(CONTROL!$C$38, 0.0369, 0)</f>
        <v>44.503100000000003</v>
      </c>
      <c r="H727" s="10">
        <f>44.4662 * CHOOSE(CONTROL!$C$15, $E$9, 100%, $G$9) + CHOOSE(CONTROL!$C$38, 0.0369, 0)</f>
        <v>44.503100000000003</v>
      </c>
      <c r="I727" s="10">
        <f>44.4678 * CHOOSE(CONTROL!$C$15, $E$9, 100%, $G$9) + CHOOSE(CONTROL!$C$38, 0.0369, 0)</f>
        <v>44.5047</v>
      </c>
      <c r="J727" s="44">
        <f>419.4076</f>
        <v>419.4076</v>
      </c>
    </row>
    <row r="728" spans="1:10" ht="15.75" x14ac:dyDescent="0.25">
      <c r="A728" s="13">
        <v>63097</v>
      </c>
      <c r="B728" s="10">
        <f>48.5574 * CHOOSE(CONTROL!$C$15, $E$9, 100%, $G$9) + CHOOSE(CONTROL!$C$38, 0.0278, 0)</f>
        <v>48.5852</v>
      </c>
      <c r="C728" s="10">
        <f>44.7446 * CHOOSE(CONTROL!$C$15, $E$9, 100%, $G$9) + CHOOSE(CONTROL!$C$38, 0.0369, 0)</f>
        <v>44.781500000000001</v>
      </c>
      <c r="D728" s="10">
        <f>44.7368 * CHOOSE(CONTROL!$C$15, $E$9, 100%, $G$9) + CHOOSE(CONTROL!$C$38, 0.0369, 0)</f>
        <v>44.773700000000005</v>
      </c>
      <c r="E728" s="46">
        <f>48.4011 * CHOOSE(CONTROL!$C$15, $E$9, 100%, $G$9) + CHOOSE(CONTROL!$C$38, 0.0369, 0)</f>
        <v>48.438000000000002</v>
      </c>
      <c r="F728" s="45">
        <f>48.4011 * CHOOSE(CONTROL!$C$15, $E$9, 100%, $G$9) + CHOOSE(CONTROL!$C$38, 0.0278, 0)</f>
        <v>48.428899999999999</v>
      </c>
      <c r="G728" s="10">
        <f>44.743 * CHOOSE(CONTROL!$C$15, $E$9, 100%, $G$9) + CHOOSE(CONTROL!$C$38, 0.0369, 0)</f>
        <v>44.779900000000005</v>
      </c>
      <c r="H728" s="10">
        <f>44.743 * CHOOSE(CONTROL!$C$15, $E$9, 100%, $G$9) + CHOOSE(CONTROL!$C$38, 0.0369, 0)</f>
        <v>44.779900000000005</v>
      </c>
      <c r="I728" s="10">
        <f>44.7446 * CHOOSE(CONTROL!$C$15, $E$9, 100%, $G$9) + CHOOSE(CONTROL!$C$38, 0.0369, 0)</f>
        <v>44.781500000000001</v>
      </c>
      <c r="J728" s="44">
        <f>405.4672</f>
        <v>405.46719999999999</v>
      </c>
    </row>
    <row r="729" spans="1:10" ht="15.75" x14ac:dyDescent="0.25">
      <c r="A729" s="13">
        <v>63128</v>
      </c>
      <c r="B729" s="10">
        <f>48.7892 * CHOOSE(CONTROL!$C$15, $E$9, 100%, $G$9) + CHOOSE(CONTROL!$C$38, 0.0256, 0)</f>
        <v>48.814799999999998</v>
      </c>
      <c r="C729" s="10">
        <f>44.9764 * CHOOSE(CONTROL!$C$15, $E$9, 100%, $G$9) + CHOOSE(CONTROL!$C$38, 0.0347, 0)</f>
        <v>45.011099999999999</v>
      </c>
      <c r="D729" s="10">
        <f>44.9686 * CHOOSE(CONTROL!$C$15, $E$9, 100%, $G$9) + CHOOSE(CONTROL!$C$38, 0.0347, 0)</f>
        <v>45.003300000000003</v>
      </c>
      <c r="E729" s="46">
        <f>48.633 * CHOOSE(CONTROL!$C$15, $E$9, 100%, $G$9) + CHOOSE(CONTROL!$C$38, 0.0347, 0)</f>
        <v>48.667700000000004</v>
      </c>
      <c r="F729" s="45">
        <f>48.633 * CHOOSE(CONTROL!$C$15, $E$9, 100%, $G$9) + CHOOSE(CONTROL!$C$38, 0.0256, 0)</f>
        <v>48.6586</v>
      </c>
      <c r="G729" s="10">
        <f>44.9748 * CHOOSE(CONTROL!$C$15, $E$9, 100%, $G$9) + CHOOSE(CONTROL!$C$38, 0.0347, 0)</f>
        <v>45.009500000000003</v>
      </c>
      <c r="H729" s="10">
        <f>44.9748 * CHOOSE(CONTROL!$C$15, $E$9, 100%, $G$9) + CHOOSE(CONTROL!$C$38, 0.0347, 0)</f>
        <v>45.009500000000003</v>
      </c>
      <c r="I729" s="10">
        <f>44.9764 * CHOOSE(CONTROL!$C$15, $E$9, 100%, $G$9) + CHOOSE(CONTROL!$C$38, 0.0347, 0)</f>
        <v>45.011099999999999</v>
      </c>
      <c r="J729" s="44">
        <f>391.4458</f>
        <v>391.44580000000002</v>
      </c>
    </row>
    <row r="730" spans="1:10" ht="15.75" x14ac:dyDescent="0.25">
      <c r="A730" s="13">
        <v>63158</v>
      </c>
      <c r="B730" s="10">
        <f>48.9827 * CHOOSE(CONTROL!$C$15, $E$9, 100%, $G$9) + CHOOSE(CONTROL!$C$38, 0.0256, 0)</f>
        <v>49.008299999999998</v>
      </c>
      <c r="C730" s="10">
        <f>45.1698 * CHOOSE(CONTROL!$C$15, $E$9, 100%, $G$9) + CHOOSE(CONTROL!$C$38, 0.0347, 0)</f>
        <v>45.204500000000003</v>
      </c>
      <c r="D730" s="10">
        <f>45.162 * CHOOSE(CONTROL!$C$15, $E$9, 100%, $G$9) + CHOOSE(CONTROL!$C$38, 0.0347, 0)</f>
        <v>45.1967</v>
      </c>
      <c r="E730" s="46">
        <f>48.8264 * CHOOSE(CONTROL!$C$15, $E$9, 100%, $G$9) + CHOOSE(CONTROL!$C$38, 0.0347, 0)</f>
        <v>48.8611</v>
      </c>
      <c r="F730" s="45">
        <f>48.8264 * CHOOSE(CONTROL!$C$15, $E$9, 100%, $G$9) + CHOOSE(CONTROL!$C$38, 0.0256, 0)</f>
        <v>48.851999999999997</v>
      </c>
      <c r="G730" s="10">
        <f>45.1683 * CHOOSE(CONTROL!$C$15, $E$9, 100%, $G$9) + CHOOSE(CONTROL!$C$38, 0.0347, 0)</f>
        <v>45.203000000000003</v>
      </c>
      <c r="H730" s="10">
        <f>45.1683 * CHOOSE(CONTROL!$C$15, $E$9, 100%, $G$9) + CHOOSE(CONTROL!$C$38, 0.0347, 0)</f>
        <v>45.203000000000003</v>
      </c>
      <c r="I730" s="10">
        <f>45.1698 * CHOOSE(CONTROL!$C$15, $E$9, 100%, $G$9) + CHOOSE(CONTROL!$C$38, 0.0347, 0)</f>
        <v>45.204500000000003</v>
      </c>
      <c r="J730" s="44">
        <f>388.6566</f>
        <v>388.65660000000003</v>
      </c>
    </row>
    <row r="731" spans="1:10" ht="15.75" x14ac:dyDescent="0.25">
      <c r="A731" s="13">
        <v>63189</v>
      </c>
      <c r="B731" s="10">
        <f>49.5787 * CHOOSE(CONTROL!$C$15, $E$9, 100%, $G$9) + CHOOSE(CONTROL!$C$38, 0.0256, 0)</f>
        <v>49.604299999999995</v>
      </c>
      <c r="C731" s="10">
        <f>45.7659 * CHOOSE(CONTROL!$C$15, $E$9, 100%, $G$9) + CHOOSE(CONTROL!$C$38, 0.0347, 0)</f>
        <v>45.800600000000003</v>
      </c>
      <c r="D731" s="10">
        <f>45.7581 * CHOOSE(CONTROL!$C$15, $E$9, 100%, $G$9) + CHOOSE(CONTROL!$C$38, 0.0347, 0)</f>
        <v>45.7928</v>
      </c>
      <c r="E731" s="46">
        <f>49.4225 * CHOOSE(CONTROL!$C$15, $E$9, 100%, $G$9) + CHOOSE(CONTROL!$C$38, 0.0347, 0)</f>
        <v>49.4572</v>
      </c>
      <c r="F731" s="45">
        <f>49.4225 * CHOOSE(CONTROL!$C$15, $E$9, 100%, $G$9) + CHOOSE(CONTROL!$C$38, 0.0256, 0)</f>
        <v>49.448099999999997</v>
      </c>
      <c r="G731" s="10">
        <f>45.7643 * CHOOSE(CONTROL!$C$15, $E$9, 100%, $G$9) + CHOOSE(CONTROL!$C$38, 0.0347, 0)</f>
        <v>45.798999999999999</v>
      </c>
      <c r="H731" s="10">
        <f>45.7643 * CHOOSE(CONTROL!$C$15, $E$9, 100%, $G$9) + CHOOSE(CONTROL!$C$38, 0.0347, 0)</f>
        <v>45.798999999999999</v>
      </c>
      <c r="I731" s="10">
        <f>45.7659 * CHOOSE(CONTROL!$C$15, $E$9, 100%, $G$9) + CHOOSE(CONTROL!$C$38, 0.0347, 0)</f>
        <v>45.800600000000003</v>
      </c>
      <c r="J731" s="44">
        <f>377.1232</f>
        <v>377.1232</v>
      </c>
    </row>
    <row r="732" spans="1:10" ht="15.75" x14ac:dyDescent="0.25">
      <c r="A732" s="13">
        <v>63220</v>
      </c>
      <c r="B732" s="10">
        <f>50.843 * CHOOSE(CONTROL!$C$15, $E$9, 100%, $G$9) + CHOOSE(CONTROL!$C$38, 0.0256, 0)</f>
        <v>50.868600000000001</v>
      </c>
      <c r="C732" s="10">
        <f>46.9702 * CHOOSE(CONTROL!$C$15, $E$9, 100%, $G$9) + CHOOSE(CONTROL!$C$38, 0.0347, 0)</f>
        <v>47.004899999999999</v>
      </c>
      <c r="D732" s="10">
        <f>46.9624 * CHOOSE(CONTROL!$C$15, $E$9, 100%, $G$9) + CHOOSE(CONTROL!$C$38, 0.0347, 0)</f>
        <v>46.997100000000003</v>
      </c>
      <c r="E732" s="46">
        <f>50.6867 * CHOOSE(CONTROL!$C$15, $E$9, 100%, $G$9) + CHOOSE(CONTROL!$C$38, 0.0347, 0)</f>
        <v>50.721400000000003</v>
      </c>
      <c r="F732" s="45">
        <f>50.6867 * CHOOSE(CONTROL!$C$15, $E$9, 100%, $G$9) + CHOOSE(CONTROL!$C$38, 0.0256, 0)</f>
        <v>50.712299999999999</v>
      </c>
      <c r="G732" s="10">
        <f>46.9686 * CHOOSE(CONTROL!$C$15, $E$9, 100%, $G$9) + CHOOSE(CONTROL!$C$38, 0.0347, 0)</f>
        <v>47.003300000000003</v>
      </c>
      <c r="H732" s="10">
        <f>46.9686 * CHOOSE(CONTROL!$C$15, $E$9, 100%, $G$9) + CHOOSE(CONTROL!$C$38, 0.0347, 0)</f>
        <v>47.003300000000003</v>
      </c>
      <c r="I732" s="10">
        <f>46.9702 * CHOOSE(CONTROL!$C$15, $E$9, 100%, $G$9) + CHOOSE(CONTROL!$C$38, 0.0347, 0)</f>
        <v>47.004899999999999</v>
      </c>
      <c r="J732" s="44">
        <f>376.403</f>
        <v>376.40300000000002</v>
      </c>
    </row>
    <row r="733" spans="1:10" ht="15.75" x14ac:dyDescent="0.25">
      <c r="A733" s="13">
        <v>63248</v>
      </c>
      <c r="B733" s="10">
        <f>51.0637 * CHOOSE(CONTROL!$C$15, $E$9, 100%, $G$9) + CHOOSE(CONTROL!$C$38, 0.0256, 0)</f>
        <v>51.089299999999994</v>
      </c>
      <c r="C733" s="10">
        <f>47.191 * CHOOSE(CONTROL!$C$15, $E$9, 100%, $G$9) + CHOOSE(CONTROL!$C$38, 0.0347, 0)</f>
        <v>47.225700000000003</v>
      </c>
      <c r="D733" s="10">
        <f>47.1831 * CHOOSE(CONTROL!$C$15, $E$9, 100%, $G$9) + CHOOSE(CONTROL!$C$38, 0.0347, 0)</f>
        <v>47.217800000000004</v>
      </c>
      <c r="E733" s="46">
        <f>50.9075 * CHOOSE(CONTROL!$C$15, $E$9, 100%, $G$9) + CHOOSE(CONTROL!$C$38, 0.0347, 0)</f>
        <v>50.9422</v>
      </c>
      <c r="F733" s="45">
        <f>50.9075 * CHOOSE(CONTROL!$C$15, $E$9, 100%, $G$9) + CHOOSE(CONTROL!$C$38, 0.0256, 0)</f>
        <v>50.933099999999996</v>
      </c>
      <c r="G733" s="10">
        <f>47.1894 * CHOOSE(CONTROL!$C$15, $E$9, 100%, $G$9) + CHOOSE(CONTROL!$C$38, 0.0347, 0)</f>
        <v>47.2241</v>
      </c>
      <c r="H733" s="10">
        <f>47.1894 * CHOOSE(CONTROL!$C$15, $E$9, 100%, $G$9) + CHOOSE(CONTROL!$C$38, 0.0347, 0)</f>
        <v>47.2241</v>
      </c>
      <c r="I733" s="10">
        <f>47.191 * CHOOSE(CONTROL!$C$15, $E$9, 100%, $G$9) + CHOOSE(CONTROL!$C$38, 0.0347, 0)</f>
        <v>47.225700000000003</v>
      </c>
      <c r="J733" s="44">
        <f>375.3567</f>
        <v>375.35669999999999</v>
      </c>
    </row>
    <row r="734" spans="1:10" ht="15.75" x14ac:dyDescent="0.25">
      <c r="A734" s="13">
        <v>63279</v>
      </c>
      <c r="B734" s="10">
        <f>50.5527 * CHOOSE(CONTROL!$C$15, $E$9, 100%, $G$9) + CHOOSE(CONTROL!$C$38, 0.0256, 0)</f>
        <v>50.578299999999999</v>
      </c>
      <c r="C734" s="10">
        <f>46.6799 * CHOOSE(CONTROL!$C$15, $E$9, 100%, $G$9) + CHOOSE(CONTROL!$C$38, 0.0347, 0)</f>
        <v>46.714600000000004</v>
      </c>
      <c r="D734" s="10">
        <f>46.6721 * CHOOSE(CONTROL!$C$15, $E$9, 100%, $G$9) + CHOOSE(CONTROL!$C$38, 0.0347, 0)</f>
        <v>46.706800000000001</v>
      </c>
      <c r="E734" s="46">
        <f>50.3964 * CHOOSE(CONTROL!$C$15, $E$9, 100%, $G$9) + CHOOSE(CONTROL!$C$38, 0.0347, 0)</f>
        <v>50.431100000000001</v>
      </c>
      <c r="F734" s="45">
        <f>50.3964 * CHOOSE(CONTROL!$C$15, $E$9, 100%, $G$9) + CHOOSE(CONTROL!$C$38, 0.0256, 0)</f>
        <v>50.421999999999997</v>
      </c>
      <c r="G734" s="10">
        <f>46.6784 * CHOOSE(CONTROL!$C$15, $E$9, 100%, $G$9) + CHOOSE(CONTROL!$C$38, 0.0347, 0)</f>
        <v>46.713100000000004</v>
      </c>
      <c r="H734" s="10">
        <f>46.6784 * CHOOSE(CONTROL!$C$15, $E$9, 100%, $G$9) + CHOOSE(CONTROL!$C$38, 0.0347, 0)</f>
        <v>46.713100000000004</v>
      </c>
      <c r="I734" s="10">
        <f>46.6799 * CHOOSE(CONTROL!$C$15, $E$9, 100%, $G$9) + CHOOSE(CONTROL!$C$38, 0.0347, 0)</f>
        <v>46.714600000000004</v>
      </c>
      <c r="J734" s="44">
        <f>395.1402</f>
        <v>395.14019999999999</v>
      </c>
    </row>
    <row r="735" spans="1:10" ht="15.75" x14ac:dyDescent="0.25">
      <c r="A735" s="13">
        <v>63309</v>
      </c>
      <c r="B735" s="10">
        <f>50.0575 * CHOOSE(CONTROL!$C$15, $E$9, 100%, $G$9) + CHOOSE(CONTROL!$C$38, 0.0256, 0)</f>
        <v>50.083099999999995</v>
      </c>
      <c r="C735" s="10">
        <f>46.1847 * CHOOSE(CONTROL!$C$15, $E$9, 100%, $G$9) + CHOOSE(CONTROL!$C$38, 0.0347, 0)</f>
        <v>46.2194</v>
      </c>
      <c r="D735" s="10">
        <f>46.1769 * CHOOSE(CONTROL!$C$15, $E$9, 100%, $G$9) + CHOOSE(CONTROL!$C$38, 0.0347, 0)</f>
        <v>46.211600000000004</v>
      </c>
      <c r="E735" s="46">
        <f>49.9013 * CHOOSE(CONTROL!$C$15, $E$9, 100%, $G$9) + CHOOSE(CONTROL!$C$38, 0.0347, 0)</f>
        <v>49.936</v>
      </c>
      <c r="F735" s="45">
        <f>49.9013 * CHOOSE(CONTROL!$C$15, $E$9, 100%, $G$9) + CHOOSE(CONTROL!$C$38, 0.0256, 0)</f>
        <v>49.926899999999996</v>
      </c>
      <c r="G735" s="10">
        <f>46.1832 * CHOOSE(CONTROL!$C$15, $E$9, 100%, $G$9) + CHOOSE(CONTROL!$C$38, 0.0347, 0)</f>
        <v>46.2179</v>
      </c>
      <c r="H735" s="10">
        <f>46.1832 * CHOOSE(CONTROL!$C$15, $E$9, 100%, $G$9) + CHOOSE(CONTROL!$C$38, 0.0347, 0)</f>
        <v>46.2179</v>
      </c>
      <c r="I735" s="10">
        <f>46.1847 * CHOOSE(CONTROL!$C$15, $E$9, 100%, $G$9) + CHOOSE(CONTROL!$C$38, 0.0347, 0)</f>
        <v>46.2194</v>
      </c>
      <c r="J735" s="44">
        <f>420.7946</f>
        <v>420.7946</v>
      </c>
    </row>
    <row r="736" spans="1:10" ht="15.75" x14ac:dyDescent="0.25">
      <c r="A736" s="13">
        <v>63340</v>
      </c>
      <c r="B736" s="10">
        <f>49.5414 * CHOOSE(CONTROL!$C$15, $E$9, 100%, $G$9) + CHOOSE(CONTROL!$C$38, 0.0278, 0)</f>
        <v>49.569200000000002</v>
      </c>
      <c r="C736" s="10">
        <f>45.6686 * CHOOSE(CONTROL!$C$15, $E$9, 100%, $G$9) + CHOOSE(CONTROL!$C$38, 0.0369, 0)</f>
        <v>45.705500000000001</v>
      </c>
      <c r="D736" s="10">
        <f>45.6608 * CHOOSE(CONTROL!$C$15, $E$9, 100%, $G$9) + CHOOSE(CONTROL!$C$38, 0.0369, 0)</f>
        <v>45.697700000000005</v>
      </c>
      <c r="E736" s="46">
        <f>49.3851 * CHOOSE(CONTROL!$C$15, $E$9, 100%, $G$9) + CHOOSE(CONTROL!$C$38, 0.0369, 0)</f>
        <v>49.422000000000004</v>
      </c>
      <c r="F736" s="45">
        <f>49.3851 * CHOOSE(CONTROL!$C$15, $E$9, 100%, $G$9) + CHOOSE(CONTROL!$C$38, 0.0278, 0)</f>
        <v>49.4129</v>
      </c>
      <c r="G736" s="10">
        <f>45.6671 * CHOOSE(CONTROL!$C$15, $E$9, 100%, $G$9) + CHOOSE(CONTROL!$C$38, 0.0369, 0)</f>
        <v>45.704000000000001</v>
      </c>
      <c r="H736" s="10">
        <f>45.6671 * CHOOSE(CONTROL!$C$15, $E$9, 100%, $G$9) + CHOOSE(CONTROL!$C$38, 0.0369, 0)</f>
        <v>45.704000000000001</v>
      </c>
      <c r="I736" s="10">
        <f>45.6686 * CHOOSE(CONTROL!$C$15, $E$9, 100%, $G$9) + CHOOSE(CONTROL!$C$38, 0.0369, 0)</f>
        <v>45.705500000000001</v>
      </c>
      <c r="J736" s="44">
        <f>434.9156</f>
        <v>434.91559999999998</v>
      </c>
    </row>
    <row r="737" spans="1:10" ht="15.75" x14ac:dyDescent="0.25">
      <c r="A737" s="13">
        <v>63370</v>
      </c>
      <c r="B737" s="10">
        <f>49.1796 * CHOOSE(CONTROL!$C$15, $E$9, 100%, $G$9) + CHOOSE(CONTROL!$C$38, 0.0278, 0)</f>
        <v>49.2074</v>
      </c>
      <c r="C737" s="10">
        <f>45.3068 * CHOOSE(CONTROL!$C$15, $E$9, 100%, $G$9) + CHOOSE(CONTROL!$C$38, 0.0369, 0)</f>
        <v>45.343700000000005</v>
      </c>
      <c r="D737" s="10">
        <f>45.299 * CHOOSE(CONTROL!$C$15, $E$9, 100%, $G$9) + CHOOSE(CONTROL!$C$38, 0.0369, 0)</f>
        <v>45.335900000000002</v>
      </c>
      <c r="E737" s="46">
        <f>49.0233 * CHOOSE(CONTROL!$C$15, $E$9, 100%, $G$9) + CHOOSE(CONTROL!$C$38, 0.0369, 0)</f>
        <v>49.060200000000002</v>
      </c>
      <c r="F737" s="45">
        <f>49.0233 * CHOOSE(CONTROL!$C$15, $E$9, 100%, $G$9) + CHOOSE(CONTROL!$C$38, 0.0278, 0)</f>
        <v>49.051099999999998</v>
      </c>
      <c r="G737" s="10">
        <f>45.3052 * CHOOSE(CONTROL!$C$15, $E$9, 100%, $G$9) + CHOOSE(CONTROL!$C$38, 0.0369, 0)</f>
        <v>45.342100000000002</v>
      </c>
      <c r="H737" s="10">
        <f>45.3052 * CHOOSE(CONTROL!$C$15, $E$9, 100%, $G$9) + CHOOSE(CONTROL!$C$38, 0.0369, 0)</f>
        <v>45.342100000000002</v>
      </c>
      <c r="I737" s="10">
        <f>45.3068 * CHOOSE(CONTROL!$C$15, $E$9, 100%, $G$9) + CHOOSE(CONTROL!$C$38, 0.0369, 0)</f>
        <v>45.343700000000005</v>
      </c>
      <c r="J737" s="44">
        <f>441.1823</f>
        <v>441.1823</v>
      </c>
    </row>
    <row r="738" spans="1:10" ht="15.75" x14ac:dyDescent="0.25">
      <c r="A738" s="13">
        <v>63401</v>
      </c>
      <c r="B738" s="10">
        <f>48.9731 * CHOOSE(CONTROL!$C$15, $E$9, 100%, $G$9) + CHOOSE(CONTROL!$C$38, 0.0278, 0)</f>
        <v>49.000900000000001</v>
      </c>
      <c r="C738" s="10">
        <f>45.1003 * CHOOSE(CONTROL!$C$15, $E$9, 100%, $G$9) + CHOOSE(CONTROL!$C$38, 0.0369, 0)</f>
        <v>45.1372</v>
      </c>
      <c r="D738" s="10">
        <f>45.0925 * CHOOSE(CONTROL!$C$15, $E$9, 100%, $G$9) + CHOOSE(CONTROL!$C$38, 0.0369, 0)</f>
        <v>45.129400000000004</v>
      </c>
      <c r="E738" s="46">
        <f>48.8168 * CHOOSE(CONTROL!$C$15, $E$9, 100%, $G$9) + CHOOSE(CONTROL!$C$38, 0.0369, 0)</f>
        <v>48.853700000000003</v>
      </c>
      <c r="F738" s="45">
        <f>48.8168 * CHOOSE(CONTROL!$C$15, $E$9, 100%, $G$9) + CHOOSE(CONTROL!$C$38, 0.0278, 0)</f>
        <v>48.8446</v>
      </c>
      <c r="G738" s="10">
        <f>45.0987 * CHOOSE(CONTROL!$C$15, $E$9, 100%, $G$9) + CHOOSE(CONTROL!$C$38, 0.0369, 0)</f>
        <v>45.135600000000004</v>
      </c>
      <c r="H738" s="10">
        <f>45.0987 * CHOOSE(CONTROL!$C$15, $E$9, 100%, $G$9) + CHOOSE(CONTROL!$C$38, 0.0369, 0)</f>
        <v>45.135600000000004</v>
      </c>
      <c r="I738" s="10">
        <f>45.1003 * CHOOSE(CONTROL!$C$15, $E$9, 100%, $G$9) + CHOOSE(CONTROL!$C$38, 0.0369, 0)</f>
        <v>45.1372</v>
      </c>
      <c r="J738" s="44">
        <f>439.119</f>
        <v>439.11900000000003</v>
      </c>
    </row>
    <row r="739" spans="1:10" ht="15.75" x14ac:dyDescent="0.25">
      <c r="A739" s="13">
        <v>63432</v>
      </c>
      <c r="B739" s="10">
        <f>49.075 * CHOOSE(CONTROL!$C$15, $E$9, 100%, $G$9) + CHOOSE(CONTROL!$C$38, 0.0278, 0)</f>
        <v>49.102800000000002</v>
      </c>
      <c r="C739" s="10">
        <f>45.2022 * CHOOSE(CONTROL!$C$15, $E$9, 100%, $G$9) + CHOOSE(CONTROL!$C$38, 0.0369, 0)</f>
        <v>45.239100000000001</v>
      </c>
      <c r="D739" s="10">
        <f>45.1944 * CHOOSE(CONTROL!$C$15, $E$9, 100%, $G$9) + CHOOSE(CONTROL!$C$38, 0.0369, 0)</f>
        <v>45.231300000000005</v>
      </c>
      <c r="E739" s="46">
        <f>48.9187 * CHOOSE(CONTROL!$C$15, $E$9, 100%, $G$9) + CHOOSE(CONTROL!$C$38, 0.0369, 0)</f>
        <v>48.955600000000004</v>
      </c>
      <c r="F739" s="45">
        <f>48.9187 * CHOOSE(CONTROL!$C$15, $E$9, 100%, $G$9) + CHOOSE(CONTROL!$C$38, 0.0278, 0)</f>
        <v>48.9465</v>
      </c>
      <c r="G739" s="10">
        <f>45.2006 * CHOOSE(CONTROL!$C$15, $E$9, 100%, $G$9) + CHOOSE(CONTROL!$C$38, 0.0369, 0)</f>
        <v>45.237500000000004</v>
      </c>
      <c r="H739" s="10">
        <f>45.2006 * CHOOSE(CONTROL!$C$15, $E$9, 100%, $G$9) + CHOOSE(CONTROL!$C$38, 0.0369, 0)</f>
        <v>45.237500000000004</v>
      </c>
      <c r="I739" s="10">
        <f>45.2022 * CHOOSE(CONTROL!$C$15, $E$9, 100%, $G$9) + CHOOSE(CONTROL!$C$38, 0.0369, 0)</f>
        <v>45.239100000000001</v>
      </c>
      <c r="J739" s="44">
        <f>428.8965</f>
        <v>428.8965</v>
      </c>
    </row>
    <row r="740" spans="1:10" ht="15.75" x14ac:dyDescent="0.25">
      <c r="A740" s="13">
        <v>63462</v>
      </c>
      <c r="B740" s="10">
        <f>49.3518 * CHOOSE(CONTROL!$C$15, $E$9, 100%, $G$9) + CHOOSE(CONTROL!$C$38, 0.0278, 0)</f>
        <v>49.379599999999996</v>
      </c>
      <c r="C740" s="10">
        <f>45.479 * CHOOSE(CONTROL!$C$15, $E$9, 100%, $G$9) + CHOOSE(CONTROL!$C$38, 0.0369, 0)</f>
        <v>45.515900000000002</v>
      </c>
      <c r="D740" s="10">
        <f>45.4712 * CHOOSE(CONTROL!$C$15, $E$9, 100%, $G$9) + CHOOSE(CONTROL!$C$38, 0.0369, 0)</f>
        <v>45.508100000000006</v>
      </c>
      <c r="E740" s="46">
        <f>49.1955 * CHOOSE(CONTROL!$C$15, $E$9, 100%, $G$9) + CHOOSE(CONTROL!$C$38, 0.0369, 0)</f>
        <v>49.232400000000005</v>
      </c>
      <c r="F740" s="45">
        <f>49.1955 * CHOOSE(CONTROL!$C$15, $E$9, 100%, $G$9) + CHOOSE(CONTROL!$C$38, 0.0278, 0)</f>
        <v>49.223300000000002</v>
      </c>
      <c r="G740" s="10">
        <f>45.4774 * CHOOSE(CONTROL!$C$15, $E$9, 100%, $G$9) + CHOOSE(CONTROL!$C$38, 0.0369, 0)</f>
        <v>45.514300000000006</v>
      </c>
      <c r="H740" s="10">
        <f>45.4774 * CHOOSE(CONTROL!$C$15, $E$9, 100%, $G$9) + CHOOSE(CONTROL!$C$38, 0.0369, 0)</f>
        <v>45.514300000000006</v>
      </c>
      <c r="I740" s="10">
        <f>45.479 * CHOOSE(CONTROL!$C$15, $E$9, 100%, $G$9) + CHOOSE(CONTROL!$C$38, 0.0369, 0)</f>
        <v>45.515900000000002</v>
      </c>
      <c r="J740" s="44">
        <f>414.6407</f>
        <v>414.64069999999998</v>
      </c>
    </row>
    <row r="741" spans="1:10" ht="15.75" x14ac:dyDescent="0.25">
      <c r="A741" s="13">
        <v>63493</v>
      </c>
      <c r="B741" s="10">
        <f>49.5836 * CHOOSE(CONTROL!$C$15, $E$9, 100%, $G$9) + CHOOSE(CONTROL!$C$38, 0.0256, 0)</f>
        <v>49.609199999999994</v>
      </c>
      <c r="C741" s="10">
        <f>45.7108 * CHOOSE(CONTROL!$C$15, $E$9, 100%, $G$9) + CHOOSE(CONTROL!$C$38, 0.0347, 0)</f>
        <v>45.7455</v>
      </c>
      <c r="D741" s="10">
        <f>45.703 * CHOOSE(CONTROL!$C$15, $E$9, 100%, $G$9) + CHOOSE(CONTROL!$C$38, 0.0347, 0)</f>
        <v>45.737700000000004</v>
      </c>
      <c r="E741" s="46">
        <f>49.4274 * CHOOSE(CONTROL!$C$15, $E$9, 100%, $G$9) + CHOOSE(CONTROL!$C$38, 0.0347, 0)</f>
        <v>49.4621</v>
      </c>
      <c r="F741" s="45">
        <f>49.4274 * CHOOSE(CONTROL!$C$15, $E$9, 100%, $G$9) + CHOOSE(CONTROL!$C$38, 0.0256, 0)</f>
        <v>49.452999999999996</v>
      </c>
      <c r="G741" s="10">
        <f>45.7093 * CHOOSE(CONTROL!$C$15, $E$9, 100%, $G$9) + CHOOSE(CONTROL!$C$38, 0.0347, 0)</f>
        <v>45.744</v>
      </c>
      <c r="H741" s="10">
        <f>45.7093 * CHOOSE(CONTROL!$C$15, $E$9, 100%, $G$9) + CHOOSE(CONTROL!$C$38, 0.0347, 0)</f>
        <v>45.744</v>
      </c>
      <c r="I741" s="10">
        <f>45.7108 * CHOOSE(CONTROL!$C$15, $E$9, 100%, $G$9) + CHOOSE(CONTROL!$C$38, 0.0347, 0)</f>
        <v>45.7455</v>
      </c>
      <c r="J741" s="44">
        <f>400.302</f>
        <v>400.30200000000002</v>
      </c>
    </row>
    <row r="742" spans="1:10" ht="15.75" x14ac:dyDescent="0.25">
      <c r="A742" s="13">
        <v>63523</v>
      </c>
      <c r="B742" s="10">
        <f>49.777 * CHOOSE(CONTROL!$C$15, $E$9, 100%, $G$9) + CHOOSE(CONTROL!$C$38, 0.0256, 0)</f>
        <v>49.802599999999998</v>
      </c>
      <c r="C742" s="10">
        <f>45.9043 * CHOOSE(CONTROL!$C$15, $E$9, 100%, $G$9) + CHOOSE(CONTROL!$C$38, 0.0347, 0)</f>
        <v>45.939</v>
      </c>
      <c r="D742" s="10">
        <f>45.8965 * CHOOSE(CONTROL!$C$15, $E$9, 100%, $G$9) + CHOOSE(CONTROL!$C$38, 0.0347, 0)</f>
        <v>45.931200000000004</v>
      </c>
      <c r="E742" s="46">
        <f>49.6208 * CHOOSE(CONTROL!$C$15, $E$9, 100%, $G$9) + CHOOSE(CONTROL!$C$38, 0.0347, 0)</f>
        <v>49.655500000000004</v>
      </c>
      <c r="F742" s="45">
        <f>49.6208 * CHOOSE(CONTROL!$C$15, $E$9, 100%, $G$9) + CHOOSE(CONTROL!$C$38, 0.0256, 0)</f>
        <v>49.6464</v>
      </c>
      <c r="G742" s="10">
        <f>45.9027 * CHOOSE(CONTROL!$C$15, $E$9, 100%, $G$9) + CHOOSE(CONTROL!$C$38, 0.0347, 0)</f>
        <v>45.937400000000004</v>
      </c>
      <c r="H742" s="10">
        <f>45.9027 * CHOOSE(CONTROL!$C$15, $E$9, 100%, $G$9) + CHOOSE(CONTROL!$C$38, 0.0347, 0)</f>
        <v>45.937400000000004</v>
      </c>
      <c r="I742" s="10">
        <f>45.9043 * CHOOSE(CONTROL!$C$15, $E$9, 100%, $G$9) + CHOOSE(CONTROL!$C$38, 0.0347, 0)</f>
        <v>45.939</v>
      </c>
      <c r="J742" s="44">
        <f>397.4498</f>
        <v>397.44979999999998</v>
      </c>
    </row>
    <row r="743" spans="1:10" ht="15.75" x14ac:dyDescent="0.25">
      <c r="A743" s="13">
        <v>63554</v>
      </c>
      <c r="B743" s="10">
        <f>50.3731 * CHOOSE(CONTROL!$C$15, $E$9, 100%, $G$9) + CHOOSE(CONTROL!$C$38, 0.0256, 0)</f>
        <v>50.398699999999998</v>
      </c>
      <c r="C743" s="10">
        <f>46.5003 * CHOOSE(CONTROL!$C$15, $E$9, 100%, $G$9) + CHOOSE(CONTROL!$C$38, 0.0347, 0)</f>
        <v>46.535000000000004</v>
      </c>
      <c r="D743" s="10">
        <f>46.4925 * CHOOSE(CONTROL!$C$15, $E$9, 100%, $G$9) + CHOOSE(CONTROL!$C$38, 0.0347, 0)</f>
        <v>46.527200000000001</v>
      </c>
      <c r="E743" s="46">
        <f>50.2169 * CHOOSE(CONTROL!$C$15, $E$9, 100%, $G$9) + CHOOSE(CONTROL!$C$38, 0.0347, 0)</f>
        <v>50.251600000000003</v>
      </c>
      <c r="F743" s="45">
        <f>50.2169 * CHOOSE(CONTROL!$C$15, $E$9, 100%, $G$9) + CHOOSE(CONTROL!$C$38, 0.0256, 0)</f>
        <v>50.2425</v>
      </c>
      <c r="G743" s="10">
        <f>46.4988 * CHOOSE(CONTROL!$C$15, $E$9, 100%, $G$9) + CHOOSE(CONTROL!$C$38, 0.0347, 0)</f>
        <v>46.533500000000004</v>
      </c>
      <c r="H743" s="10">
        <f>46.4988 * CHOOSE(CONTROL!$C$15, $E$9, 100%, $G$9) + CHOOSE(CONTROL!$C$38, 0.0347, 0)</f>
        <v>46.533500000000004</v>
      </c>
      <c r="I743" s="10">
        <f>46.5003 * CHOOSE(CONTROL!$C$15, $E$9, 100%, $G$9) + CHOOSE(CONTROL!$C$38, 0.0347, 0)</f>
        <v>46.535000000000004</v>
      </c>
      <c r="J743" s="44">
        <f>385.6554</f>
        <v>385.65539999999999</v>
      </c>
    </row>
    <row r="744" spans="1:10" ht="15.75" x14ac:dyDescent="0.25">
      <c r="A744" s="13">
        <v>63585</v>
      </c>
      <c r="B744" s="10">
        <f>51.6504 * CHOOSE(CONTROL!$C$15, $E$9, 100%, $G$9) + CHOOSE(CONTROL!$C$38, 0.0256, 0)</f>
        <v>51.675999999999995</v>
      </c>
      <c r="C744" s="10">
        <f>47.7167 * CHOOSE(CONTROL!$C$15, $E$9, 100%, $G$9) + CHOOSE(CONTROL!$C$38, 0.0347, 0)</f>
        <v>47.751400000000004</v>
      </c>
      <c r="D744" s="10">
        <f>47.7089 * CHOOSE(CONTROL!$C$15, $E$9, 100%, $G$9) + CHOOSE(CONTROL!$C$38, 0.0347, 0)</f>
        <v>47.743600000000001</v>
      </c>
      <c r="E744" s="46">
        <f>51.4941 * CHOOSE(CONTROL!$C$15, $E$9, 100%, $G$9) + CHOOSE(CONTROL!$C$38, 0.0347, 0)</f>
        <v>51.528800000000004</v>
      </c>
      <c r="F744" s="45">
        <f>51.4941 * CHOOSE(CONTROL!$C$15, $E$9, 100%, $G$9) + CHOOSE(CONTROL!$C$38, 0.0256, 0)</f>
        <v>51.5197</v>
      </c>
      <c r="G744" s="10">
        <f>47.7151 * CHOOSE(CONTROL!$C$15, $E$9, 100%, $G$9) + CHOOSE(CONTROL!$C$38, 0.0347, 0)</f>
        <v>47.7498</v>
      </c>
      <c r="H744" s="10">
        <f>47.7151 * CHOOSE(CONTROL!$C$15, $E$9, 100%, $G$9) + CHOOSE(CONTROL!$C$38, 0.0347, 0)</f>
        <v>47.7498</v>
      </c>
      <c r="I744" s="10">
        <f>47.7167 * CHOOSE(CONTROL!$C$15, $E$9, 100%, $G$9) + CHOOSE(CONTROL!$C$38, 0.0347, 0)</f>
        <v>47.751400000000004</v>
      </c>
      <c r="J744" s="44">
        <f>384.9189</f>
        <v>384.91890000000001</v>
      </c>
    </row>
    <row r="745" spans="1:10" ht="15.75" x14ac:dyDescent="0.25">
      <c r="A745" s="13">
        <v>63613</v>
      </c>
      <c r="B745" s="10">
        <f>51.8711 * CHOOSE(CONTROL!$C$15, $E$9, 100%, $G$9) + CHOOSE(CONTROL!$C$38, 0.0256, 0)</f>
        <v>51.896699999999996</v>
      </c>
      <c r="C745" s="10">
        <f>47.9374 * CHOOSE(CONTROL!$C$15, $E$9, 100%, $G$9) + CHOOSE(CONTROL!$C$38, 0.0347, 0)</f>
        <v>47.972099999999998</v>
      </c>
      <c r="D745" s="10">
        <f>47.9296 * CHOOSE(CONTROL!$C$15, $E$9, 100%, $G$9) + CHOOSE(CONTROL!$C$38, 0.0347, 0)</f>
        <v>47.964300000000001</v>
      </c>
      <c r="E745" s="46">
        <f>51.7149 * CHOOSE(CONTROL!$C$15, $E$9, 100%, $G$9) + CHOOSE(CONTROL!$C$38, 0.0347, 0)</f>
        <v>51.749600000000001</v>
      </c>
      <c r="F745" s="45">
        <f>51.7149 * CHOOSE(CONTROL!$C$15, $E$9, 100%, $G$9) + CHOOSE(CONTROL!$C$38, 0.0256, 0)</f>
        <v>51.740499999999997</v>
      </c>
      <c r="G745" s="10">
        <f>47.9359 * CHOOSE(CONTROL!$C$15, $E$9, 100%, $G$9) + CHOOSE(CONTROL!$C$38, 0.0347, 0)</f>
        <v>47.970599999999997</v>
      </c>
      <c r="H745" s="10">
        <f>47.9359 * CHOOSE(CONTROL!$C$15, $E$9, 100%, $G$9) + CHOOSE(CONTROL!$C$38, 0.0347, 0)</f>
        <v>47.970599999999997</v>
      </c>
      <c r="I745" s="10">
        <f>47.9374 * CHOOSE(CONTROL!$C$15, $E$9, 100%, $G$9) + CHOOSE(CONTROL!$C$38, 0.0347, 0)</f>
        <v>47.972099999999998</v>
      </c>
      <c r="J745" s="44">
        <f>383.849</f>
        <v>383.84899999999999</v>
      </c>
    </row>
    <row r="746" spans="1:10" ht="15.75" x14ac:dyDescent="0.25">
      <c r="A746" s="13">
        <v>63644</v>
      </c>
      <c r="B746" s="10">
        <f>51.3601 * CHOOSE(CONTROL!$C$15, $E$9, 100%, $G$9) + CHOOSE(CONTROL!$C$38, 0.0256, 0)</f>
        <v>51.3857</v>
      </c>
      <c r="C746" s="10">
        <f>47.4264 * CHOOSE(CONTROL!$C$15, $E$9, 100%, $G$9) + CHOOSE(CONTROL!$C$38, 0.0347, 0)</f>
        <v>47.461100000000002</v>
      </c>
      <c r="D746" s="10">
        <f>47.4186 * CHOOSE(CONTROL!$C$15, $E$9, 100%, $G$9) + CHOOSE(CONTROL!$C$38, 0.0347, 0)</f>
        <v>47.453299999999999</v>
      </c>
      <c r="E746" s="46">
        <f>51.2039 * CHOOSE(CONTROL!$C$15, $E$9, 100%, $G$9) + CHOOSE(CONTROL!$C$38, 0.0347, 0)</f>
        <v>51.238599999999998</v>
      </c>
      <c r="F746" s="45">
        <f>51.2039 * CHOOSE(CONTROL!$C$15, $E$9, 100%, $G$9) + CHOOSE(CONTROL!$C$38, 0.0256, 0)</f>
        <v>51.229499999999994</v>
      </c>
      <c r="G746" s="10">
        <f>47.4248 * CHOOSE(CONTROL!$C$15, $E$9, 100%, $G$9) + CHOOSE(CONTROL!$C$38, 0.0347, 0)</f>
        <v>47.459499999999998</v>
      </c>
      <c r="H746" s="10">
        <f>47.4248 * CHOOSE(CONTROL!$C$15, $E$9, 100%, $G$9) + CHOOSE(CONTROL!$C$38, 0.0347, 0)</f>
        <v>47.459499999999998</v>
      </c>
      <c r="I746" s="10">
        <f>47.4264 * CHOOSE(CONTROL!$C$15, $E$9, 100%, $G$9) + CHOOSE(CONTROL!$C$38, 0.0347, 0)</f>
        <v>47.461100000000002</v>
      </c>
      <c r="J746" s="44">
        <f>404.08</f>
        <v>404.08</v>
      </c>
    </row>
    <row r="747" spans="1:10" ht="15.75" x14ac:dyDescent="0.25">
      <c r="A747" s="13">
        <v>63674</v>
      </c>
      <c r="B747" s="10">
        <f>50.8649 * CHOOSE(CONTROL!$C$15, $E$9, 100%, $G$9) + CHOOSE(CONTROL!$C$38, 0.0256, 0)</f>
        <v>50.890499999999996</v>
      </c>
      <c r="C747" s="10">
        <f>46.9312 * CHOOSE(CONTROL!$C$15, $E$9, 100%, $G$9) + CHOOSE(CONTROL!$C$38, 0.0347, 0)</f>
        <v>46.965899999999998</v>
      </c>
      <c r="D747" s="10">
        <f>46.9234 * CHOOSE(CONTROL!$C$15, $E$9, 100%, $G$9) + CHOOSE(CONTROL!$C$38, 0.0347, 0)</f>
        <v>46.958100000000002</v>
      </c>
      <c r="E747" s="46">
        <f>50.7087 * CHOOSE(CONTROL!$C$15, $E$9, 100%, $G$9) + CHOOSE(CONTROL!$C$38, 0.0347, 0)</f>
        <v>50.743400000000001</v>
      </c>
      <c r="F747" s="45">
        <f>50.7087 * CHOOSE(CONTROL!$C$15, $E$9, 100%, $G$9) + CHOOSE(CONTROL!$C$38, 0.0256, 0)</f>
        <v>50.734299999999998</v>
      </c>
      <c r="G747" s="10">
        <f>46.9297 * CHOOSE(CONTROL!$C$15, $E$9, 100%, $G$9) + CHOOSE(CONTROL!$C$38, 0.0347, 0)</f>
        <v>46.964399999999998</v>
      </c>
      <c r="H747" s="10">
        <f>46.9297 * CHOOSE(CONTROL!$C$15, $E$9, 100%, $G$9) + CHOOSE(CONTROL!$C$38, 0.0347, 0)</f>
        <v>46.964399999999998</v>
      </c>
      <c r="I747" s="10">
        <f>46.9312 * CHOOSE(CONTROL!$C$15, $E$9, 100%, $G$9) + CHOOSE(CONTROL!$C$38, 0.0347, 0)</f>
        <v>46.965899999999998</v>
      </c>
      <c r="J747" s="44">
        <f>430.3149</f>
        <v>430.31490000000002</v>
      </c>
    </row>
    <row r="748" spans="1:10" ht="15.75" x14ac:dyDescent="0.25">
      <c r="A748" s="13">
        <v>63705</v>
      </c>
      <c r="B748" s="10">
        <f>50.3488 * CHOOSE(CONTROL!$C$15, $E$9, 100%, $G$9) + CHOOSE(CONTROL!$C$38, 0.0278, 0)</f>
        <v>50.376599999999996</v>
      </c>
      <c r="C748" s="10">
        <f>46.4151 * CHOOSE(CONTROL!$C$15, $E$9, 100%, $G$9) + CHOOSE(CONTROL!$C$38, 0.0369, 0)</f>
        <v>46.452000000000005</v>
      </c>
      <c r="D748" s="10">
        <f>46.4073 * CHOOSE(CONTROL!$C$15, $E$9, 100%, $G$9) + CHOOSE(CONTROL!$C$38, 0.0369, 0)</f>
        <v>46.444200000000002</v>
      </c>
      <c r="E748" s="46">
        <f>50.1926 * CHOOSE(CONTROL!$C$15, $E$9, 100%, $G$9) + CHOOSE(CONTROL!$C$38, 0.0369, 0)</f>
        <v>50.229500000000002</v>
      </c>
      <c r="F748" s="45">
        <f>50.1926 * CHOOSE(CONTROL!$C$15, $E$9, 100%, $G$9) + CHOOSE(CONTROL!$C$38, 0.0278, 0)</f>
        <v>50.220399999999998</v>
      </c>
      <c r="G748" s="10">
        <f>46.4135 * CHOOSE(CONTROL!$C$15, $E$9, 100%, $G$9) + CHOOSE(CONTROL!$C$38, 0.0369, 0)</f>
        <v>46.450400000000002</v>
      </c>
      <c r="H748" s="10">
        <f>46.4135 * CHOOSE(CONTROL!$C$15, $E$9, 100%, $G$9) + CHOOSE(CONTROL!$C$38, 0.0369, 0)</f>
        <v>46.450400000000002</v>
      </c>
      <c r="I748" s="10">
        <f>46.4151 * CHOOSE(CONTROL!$C$15, $E$9, 100%, $G$9) + CHOOSE(CONTROL!$C$38, 0.0369, 0)</f>
        <v>46.452000000000005</v>
      </c>
      <c r="J748" s="44">
        <f>444.7554</f>
        <v>444.75540000000001</v>
      </c>
    </row>
    <row r="749" spans="1:10" ht="15.75" x14ac:dyDescent="0.25">
      <c r="A749" s="13">
        <v>63735</v>
      </c>
      <c r="B749" s="10">
        <f>49.987 * CHOOSE(CONTROL!$C$15, $E$9, 100%, $G$9) + CHOOSE(CONTROL!$C$38, 0.0278, 0)</f>
        <v>50.014800000000001</v>
      </c>
      <c r="C749" s="10">
        <f>46.0533 * CHOOSE(CONTROL!$C$15, $E$9, 100%, $G$9) + CHOOSE(CONTROL!$C$38, 0.0369, 0)</f>
        <v>46.090200000000003</v>
      </c>
      <c r="D749" s="10">
        <f>46.0455 * CHOOSE(CONTROL!$C$15, $E$9, 100%, $G$9) + CHOOSE(CONTROL!$C$38, 0.0369, 0)</f>
        <v>46.0824</v>
      </c>
      <c r="E749" s="46">
        <f>49.8307 * CHOOSE(CONTROL!$C$15, $E$9, 100%, $G$9) + CHOOSE(CONTROL!$C$38, 0.0369, 0)</f>
        <v>49.867600000000003</v>
      </c>
      <c r="F749" s="45">
        <f>49.8307 * CHOOSE(CONTROL!$C$15, $E$9, 100%, $G$9) + CHOOSE(CONTROL!$C$38, 0.0278, 0)</f>
        <v>49.858499999999999</v>
      </c>
      <c r="G749" s="10">
        <f>46.0517 * CHOOSE(CONTROL!$C$15, $E$9, 100%, $G$9) + CHOOSE(CONTROL!$C$38, 0.0369, 0)</f>
        <v>46.0886</v>
      </c>
      <c r="H749" s="10">
        <f>46.0517 * CHOOSE(CONTROL!$C$15, $E$9, 100%, $G$9) + CHOOSE(CONTROL!$C$38, 0.0369, 0)</f>
        <v>46.0886</v>
      </c>
      <c r="I749" s="10">
        <f>46.0533 * CHOOSE(CONTROL!$C$15, $E$9, 100%, $G$9) + CHOOSE(CONTROL!$C$38, 0.0369, 0)</f>
        <v>46.090200000000003</v>
      </c>
      <c r="J749" s="44">
        <f>451.1638</f>
        <v>451.16379999999998</v>
      </c>
    </row>
    <row r="750" spans="1:10" ht="15.75" x14ac:dyDescent="0.25">
      <c r="A750" s="13">
        <v>63766</v>
      </c>
      <c r="B750" s="10">
        <f>49.7805 * CHOOSE(CONTROL!$C$15, $E$9, 100%, $G$9) + CHOOSE(CONTROL!$C$38, 0.0278, 0)</f>
        <v>49.808300000000003</v>
      </c>
      <c r="C750" s="10">
        <f>45.8468 * CHOOSE(CONTROL!$C$15, $E$9, 100%, $G$9) + CHOOSE(CONTROL!$C$38, 0.0369, 0)</f>
        <v>45.883700000000005</v>
      </c>
      <c r="D750" s="10">
        <f>45.839 * CHOOSE(CONTROL!$C$15, $E$9, 100%, $G$9) + CHOOSE(CONTROL!$C$38, 0.0369, 0)</f>
        <v>45.875900000000001</v>
      </c>
      <c r="E750" s="46">
        <f>49.6242 * CHOOSE(CONTROL!$C$15, $E$9, 100%, $G$9) + CHOOSE(CONTROL!$C$38, 0.0369, 0)</f>
        <v>49.661100000000005</v>
      </c>
      <c r="F750" s="45">
        <f>49.6242 * CHOOSE(CONTROL!$C$15, $E$9, 100%, $G$9) + CHOOSE(CONTROL!$C$38, 0.0278, 0)</f>
        <v>49.652000000000001</v>
      </c>
      <c r="G750" s="10">
        <f>45.8452 * CHOOSE(CONTROL!$C$15, $E$9, 100%, $G$9) + CHOOSE(CONTROL!$C$38, 0.0369, 0)</f>
        <v>45.882100000000001</v>
      </c>
      <c r="H750" s="10">
        <f>45.8452 * CHOOSE(CONTROL!$C$15, $E$9, 100%, $G$9) + CHOOSE(CONTROL!$C$38, 0.0369, 0)</f>
        <v>45.882100000000001</v>
      </c>
      <c r="I750" s="10">
        <f>45.8468 * CHOOSE(CONTROL!$C$15, $E$9, 100%, $G$9) + CHOOSE(CONTROL!$C$38, 0.0369, 0)</f>
        <v>45.883700000000005</v>
      </c>
      <c r="J750" s="44">
        <f>449.0539</f>
        <v>449.0539</v>
      </c>
    </row>
    <row r="751" spans="1:10" ht="15.75" x14ac:dyDescent="0.25">
      <c r="A751" s="13">
        <v>63797</v>
      </c>
      <c r="B751" s="10">
        <f>49.8824 * CHOOSE(CONTROL!$C$15, $E$9, 100%, $G$9) + CHOOSE(CONTROL!$C$38, 0.0278, 0)</f>
        <v>49.910199999999996</v>
      </c>
      <c r="C751" s="10">
        <f>45.9487 * CHOOSE(CONTROL!$C$15, $E$9, 100%, $G$9) + CHOOSE(CONTROL!$C$38, 0.0369, 0)</f>
        <v>45.985600000000005</v>
      </c>
      <c r="D751" s="10">
        <f>45.9409 * CHOOSE(CONTROL!$C$15, $E$9, 100%, $G$9) + CHOOSE(CONTROL!$C$38, 0.0369, 0)</f>
        <v>45.977800000000002</v>
      </c>
      <c r="E751" s="46">
        <f>49.7261 * CHOOSE(CONTROL!$C$15, $E$9, 100%, $G$9) + CHOOSE(CONTROL!$C$38, 0.0369, 0)</f>
        <v>49.763000000000005</v>
      </c>
      <c r="F751" s="45">
        <f>49.7261 * CHOOSE(CONTROL!$C$15, $E$9, 100%, $G$9) + CHOOSE(CONTROL!$C$38, 0.0278, 0)</f>
        <v>49.753900000000002</v>
      </c>
      <c r="G751" s="10">
        <f>45.9471 * CHOOSE(CONTROL!$C$15, $E$9, 100%, $G$9) + CHOOSE(CONTROL!$C$38, 0.0369, 0)</f>
        <v>45.984000000000002</v>
      </c>
      <c r="H751" s="10">
        <f>45.9471 * CHOOSE(CONTROL!$C$15, $E$9, 100%, $G$9) + CHOOSE(CONTROL!$C$38, 0.0369, 0)</f>
        <v>45.984000000000002</v>
      </c>
      <c r="I751" s="10">
        <f>45.9487 * CHOOSE(CONTROL!$C$15, $E$9, 100%, $G$9) + CHOOSE(CONTROL!$C$38, 0.0369, 0)</f>
        <v>45.985600000000005</v>
      </c>
      <c r="J751" s="44">
        <f>438.6001</f>
        <v>438.6001</v>
      </c>
    </row>
    <row r="752" spans="1:10" ht="15.75" x14ac:dyDescent="0.25">
      <c r="A752" s="13">
        <v>63827</v>
      </c>
      <c r="B752" s="10">
        <f>50.1592 * CHOOSE(CONTROL!$C$15, $E$9, 100%, $G$9) + CHOOSE(CONTROL!$C$38, 0.0278, 0)</f>
        <v>50.186999999999998</v>
      </c>
      <c r="C752" s="10">
        <f>46.2255 * CHOOSE(CONTROL!$C$15, $E$9, 100%, $G$9) + CHOOSE(CONTROL!$C$38, 0.0369, 0)</f>
        <v>46.2624</v>
      </c>
      <c r="D752" s="10">
        <f>46.2177 * CHOOSE(CONTROL!$C$15, $E$9, 100%, $G$9) + CHOOSE(CONTROL!$C$38, 0.0369, 0)</f>
        <v>46.254600000000003</v>
      </c>
      <c r="E752" s="46">
        <f>50.0029 * CHOOSE(CONTROL!$C$15, $E$9, 100%, $G$9) + CHOOSE(CONTROL!$C$38, 0.0369, 0)</f>
        <v>50.0398</v>
      </c>
      <c r="F752" s="45">
        <f>50.0029 * CHOOSE(CONTROL!$C$15, $E$9, 100%, $G$9) + CHOOSE(CONTROL!$C$38, 0.0278, 0)</f>
        <v>50.030699999999996</v>
      </c>
      <c r="G752" s="10">
        <f>46.2239 * CHOOSE(CONTROL!$C$15, $E$9, 100%, $G$9) + CHOOSE(CONTROL!$C$38, 0.0369, 0)</f>
        <v>46.260800000000003</v>
      </c>
      <c r="H752" s="10">
        <f>46.2239 * CHOOSE(CONTROL!$C$15, $E$9, 100%, $G$9) + CHOOSE(CONTROL!$C$38, 0.0369, 0)</f>
        <v>46.260800000000003</v>
      </c>
      <c r="I752" s="10">
        <f>46.2255 * CHOOSE(CONTROL!$C$15, $E$9, 100%, $G$9) + CHOOSE(CONTROL!$C$38, 0.0369, 0)</f>
        <v>46.2624</v>
      </c>
      <c r="J752" s="44">
        <f>424.0218</f>
        <v>424.02179999999998</v>
      </c>
    </row>
    <row r="753" spans="1:10" ht="15.75" x14ac:dyDescent="0.25">
      <c r="A753" s="13">
        <v>63858</v>
      </c>
      <c r="B753" s="10">
        <f>50.391 * CHOOSE(CONTROL!$C$15, $E$9, 100%, $G$9) + CHOOSE(CONTROL!$C$38, 0.0256, 0)</f>
        <v>50.416599999999995</v>
      </c>
      <c r="C753" s="10">
        <f>46.4573 * CHOOSE(CONTROL!$C$15, $E$9, 100%, $G$9) + CHOOSE(CONTROL!$C$38, 0.0347, 0)</f>
        <v>46.491999999999997</v>
      </c>
      <c r="D753" s="10">
        <f>46.4495 * CHOOSE(CONTROL!$C$15, $E$9, 100%, $G$9) + CHOOSE(CONTROL!$C$38, 0.0347, 0)</f>
        <v>46.484200000000001</v>
      </c>
      <c r="E753" s="46">
        <f>50.2348 * CHOOSE(CONTROL!$C$15, $E$9, 100%, $G$9) + CHOOSE(CONTROL!$C$38, 0.0347, 0)</f>
        <v>50.269500000000001</v>
      </c>
      <c r="F753" s="45">
        <f>50.2348 * CHOOSE(CONTROL!$C$15, $E$9, 100%, $G$9) + CHOOSE(CONTROL!$C$38, 0.0256, 0)</f>
        <v>50.260399999999997</v>
      </c>
      <c r="G753" s="10">
        <f>46.4558 * CHOOSE(CONTROL!$C$15, $E$9, 100%, $G$9) + CHOOSE(CONTROL!$C$38, 0.0347, 0)</f>
        <v>46.490500000000004</v>
      </c>
      <c r="H753" s="10">
        <f>46.4558 * CHOOSE(CONTROL!$C$15, $E$9, 100%, $G$9) + CHOOSE(CONTROL!$C$38, 0.0347, 0)</f>
        <v>46.490500000000004</v>
      </c>
      <c r="I753" s="10">
        <f>46.4573 * CHOOSE(CONTROL!$C$15, $E$9, 100%, $G$9) + CHOOSE(CONTROL!$C$38, 0.0347, 0)</f>
        <v>46.491999999999997</v>
      </c>
      <c r="J753" s="44">
        <f>409.3587</f>
        <v>409.3587</v>
      </c>
    </row>
    <row r="754" spans="1:10" ht="15.75" x14ac:dyDescent="0.25">
      <c r="A754" s="13">
        <v>63888</v>
      </c>
      <c r="B754" s="10">
        <f>50.5845 * CHOOSE(CONTROL!$C$15, $E$9, 100%, $G$9) + CHOOSE(CONTROL!$C$38, 0.0256, 0)</f>
        <v>50.610099999999996</v>
      </c>
      <c r="C754" s="10">
        <f>46.6508 * CHOOSE(CONTROL!$C$15, $E$9, 100%, $G$9) + CHOOSE(CONTROL!$C$38, 0.0347, 0)</f>
        <v>46.685499999999998</v>
      </c>
      <c r="D754" s="10">
        <f>46.6429 * CHOOSE(CONTROL!$C$15, $E$9, 100%, $G$9) + CHOOSE(CONTROL!$C$38, 0.0347, 0)</f>
        <v>46.677599999999998</v>
      </c>
      <c r="E754" s="46">
        <f>50.4282 * CHOOSE(CONTROL!$C$15, $E$9, 100%, $G$9) + CHOOSE(CONTROL!$C$38, 0.0347, 0)</f>
        <v>50.462899999999998</v>
      </c>
      <c r="F754" s="45">
        <f>50.4282 * CHOOSE(CONTROL!$C$15, $E$9, 100%, $G$9) + CHOOSE(CONTROL!$C$38, 0.0256, 0)</f>
        <v>50.453799999999994</v>
      </c>
      <c r="G754" s="10">
        <f>46.6492 * CHOOSE(CONTROL!$C$15, $E$9, 100%, $G$9) + CHOOSE(CONTROL!$C$38, 0.0347, 0)</f>
        <v>46.683900000000001</v>
      </c>
      <c r="H754" s="10">
        <f>46.6492 * CHOOSE(CONTROL!$C$15, $E$9, 100%, $G$9) + CHOOSE(CONTROL!$C$38, 0.0347, 0)</f>
        <v>46.683900000000001</v>
      </c>
      <c r="I754" s="10">
        <f>46.6508 * CHOOSE(CONTROL!$C$15, $E$9, 100%, $G$9) + CHOOSE(CONTROL!$C$38, 0.0347, 0)</f>
        <v>46.685499999999998</v>
      </c>
      <c r="J754" s="44">
        <f>406.4419</f>
        <v>406.44189999999998</v>
      </c>
    </row>
    <row r="755" spans="1:10" ht="15.75" x14ac:dyDescent="0.25">
      <c r="A755" s="13">
        <v>63919</v>
      </c>
      <c r="B755" s="10">
        <f>51.1805 * CHOOSE(CONTROL!$C$15, $E$9, 100%, $G$9) + CHOOSE(CONTROL!$C$38, 0.0256, 0)</f>
        <v>51.206099999999999</v>
      </c>
      <c r="C755" s="10">
        <f>47.2468 * CHOOSE(CONTROL!$C$15, $E$9, 100%, $G$9) + CHOOSE(CONTROL!$C$38, 0.0347, 0)</f>
        <v>47.281500000000001</v>
      </c>
      <c r="D755" s="10">
        <f>47.239 * CHOOSE(CONTROL!$C$15, $E$9, 100%, $G$9) + CHOOSE(CONTROL!$C$38, 0.0347, 0)</f>
        <v>47.273699999999998</v>
      </c>
      <c r="E755" s="46">
        <f>51.0243 * CHOOSE(CONTROL!$C$15, $E$9, 100%, $G$9) + CHOOSE(CONTROL!$C$38, 0.0347, 0)</f>
        <v>51.058999999999997</v>
      </c>
      <c r="F755" s="45">
        <f>51.0243 * CHOOSE(CONTROL!$C$15, $E$9, 100%, $G$9) + CHOOSE(CONTROL!$C$38, 0.0256, 0)</f>
        <v>51.049899999999994</v>
      </c>
      <c r="G755" s="10">
        <f>47.2453 * CHOOSE(CONTROL!$C$15, $E$9, 100%, $G$9) + CHOOSE(CONTROL!$C$38, 0.0347, 0)</f>
        <v>47.28</v>
      </c>
      <c r="H755" s="10">
        <f>47.2453 * CHOOSE(CONTROL!$C$15, $E$9, 100%, $G$9) + CHOOSE(CONTROL!$C$38, 0.0347, 0)</f>
        <v>47.28</v>
      </c>
      <c r="I755" s="10">
        <f>47.2468 * CHOOSE(CONTROL!$C$15, $E$9, 100%, $G$9) + CHOOSE(CONTROL!$C$38, 0.0347, 0)</f>
        <v>47.281500000000001</v>
      </c>
      <c r="J755" s="44">
        <f>394.3807</f>
        <v>394.38069999999999</v>
      </c>
    </row>
    <row r="756" spans="1:10" ht="15.75" x14ac:dyDescent="0.25">
      <c r="A756" s="13">
        <v>63950</v>
      </c>
      <c r="B756" s="10">
        <f>52.471 * CHOOSE(CONTROL!$C$15, $E$9, 100%, $G$9) + CHOOSE(CONTROL!$C$38, 0.0256, 0)</f>
        <v>52.496599999999994</v>
      </c>
      <c r="C756" s="10">
        <f>48.4754 * CHOOSE(CONTROL!$C$15, $E$9, 100%, $G$9) + CHOOSE(CONTROL!$C$38, 0.0347, 0)</f>
        <v>48.510100000000001</v>
      </c>
      <c r="D756" s="10">
        <f>48.4676 * CHOOSE(CONTROL!$C$15, $E$9, 100%, $G$9) + CHOOSE(CONTROL!$C$38, 0.0347, 0)</f>
        <v>48.502299999999998</v>
      </c>
      <c r="E756" s="46">
        <f>52.3148 * CHOOSE(CONTROL!$C$15, $E$9, 100%, $G$9) + CHOOSE(CONTROL!$C$38, 0.0347, 0)</f>
        <v>52.349499999999999</v>
      </c>
      <c r="F756" s="45">
        <f>52.3148 * CHOOSE(CONTROL!$C$15, $E$9, 100%, $G$9) + CHOOSE(CONTROL!$C$38, 0.0256, 0)</f>
        <v>52.340399999999995</v>
      </c>
      <c r="G756" s="10">
        <f>48.4738 * CHOOSE(CONTROL!$C$15, $E$9, 100%, $G$9) + CHOOSE(CONTROL!$C$38, 0.0347, 0)</f>
        <v>48.508499999999998</v>
      </c>
      <c r="H756" s="10">
        <f>48.4738 * CHOOSE(CONTROL!$C$15, $E$9, 100%, $G$9) + CHOOSE(CONTROL!$C$38, 0.0347, 0)</f>
        <v>48.508499999999998</v>
      </c>
      <c r="I756" s="10">
        <f>48.4754 * CHOOSE(CONTROL!$C$15, $E$9, 100%, $G$9) + CHOOSE(CONTROL!$C$38, 0.0347, 0)</f>
        <v>48.510100000000001</v>
      </c>
      <c r="J756" s="44">
        <f>393.6275</f>
        <v>393.6275</v>
      </c>
    </row>
    <row r="757" spans="1:10" ht="15.75" x14ac:dyDescent="0.25">
      <c r="A757" s="13">
        <v>63978</v>
      </c>
      <c r="B757" s="10">
        <f>52.6918 * CHOOSE(CONTROL!$C$15, $E$9, 100%, $G$9) + CHOOSE(CONTROL!$C$38, 0.0256, 0)</f>
        <v>52.717399999999998</v>
      </c>
      <c r="C757" s="10">
        <f>48.6962 * CHOOSE(CONTROL!$C$15, $E$9, 100%, $G$9) + CHOOSE(CONTROL!$C$38, 0.0347, 0)</f>
        <v>48.730899999999998</v>
      </c>
      <c r="D757" s="10">
        <f>48.6883 * CHOOSE(CONTROL!$C$15, $E$9, 100%, $G$9) + CHOOSE(CONTROL!$C$38, 0.0347, 0)</f>
        <v>48.722999999999999</v>
      </c>
      <c r="E757" s="46">
        <f>52.5355 * CHOOSE(CONTROL!$C$15, $E$9, 100%, $G$9) + CHOOSE(CONTROL!$C$38, 0.0347, 0)</f>
        <v>52.5702</v>
      </c>
      <c r="F757" s="45">
        <f>52.5355 * CHOOSE(CONTROL!$C$15, $E$9, 100%, $G$9) + CHOOSE(CONTROL!$C$38, 0.0256, 0)</f>
        <v>52.561099999999996</v>
      </c>
      <c r="G757" s="10">
        <f>48.6946 * CHOOSE(CONTROL!$C$15, $E$9, 100%, $G$9) + CHOOSE(CONTROL!$C$38, 0.0347, 0)</f>
        <v>48.729300000000002</v>
      </c>
      <c r="H757" s="10">
        <f>48.6946 * CHOOSE(CONTROL!$C$15, $E$9, 100%, $G$9) + CHOOSE(CONTROL!$C$38, 0.0347, 0)</f>
        <v>48.729300000000002</v>
      </c>
      <c r="I757" s="10">
        <f>48.6962 * CHOOSE(CONTROL!$C$15, $E$9, 100%, $G$9) + CHOOSE(CONTROL!$C$38, 0.0347, 0)</f>
        <v>48.730899999999998</v>
      </c>
      <c r="J757" s="44">
        <f>392.5333</f>
        <v>392.5333</v>
      </c>
    </row>
    <row r="758" spans="1:10" ht="15.75" x14ac:dyDescent="0.25">
      <c r="A758" s="13">
        <v>64009</v>
      </c>
      <c r="B758" s="10">
        <f>52.1808 * CHOOSE(CONTROL!$C$15, $E$9, 100%, $G$9) + CHOOSE(CONTROL!$C$38, 0.0256, 0)</f>
        <v>52.206399999999995</v>
      </c>
      <c r="C758" s="10">
        <f>48.1851 * CHOOSE(CONTROL!$C$15, $E$9, 100%, $G$9) + CHOOSE(CONTROL!$C$38, 0.0347, 0)</f>
        <v>48.219799999999999</v>
      </c>
      <c r="D758" s="10">
        <f>48.1773 * CHOOSE(CONTROL!$C$15, $E$9, 100%, $G$9) + CHOOSE(CONTROL!$C$38, 0.0347, 0)</f>
        <v>48.212000000000003</v>
      </c>
      <c r="E758" s="46">
        <f>52.0245 * CHOOSE(CONTROL!$C$15, $E$9, 100%, $G$9) + CHOOSE(CONTROL!$C$38, 0.0347, 0)</f>
        <v>52.059200000000004</v>
      </c>
      <c r="F758" s="45">
        <f>52.0245 * CHOOSE(CONTROL!$C$15, $E$9, 100%, $G$9) + CHOOSE(CONTROL!$C$38, 0.0256, 0)</f>
        <v>52.0501</v>
      </c>
      <c r="G758" s="10">
        <f>48.1836 * CHOOSE(CONTROL!$C$15, $E$9, 100%, $G$9) + CHOOSE(CONTROL!$C$38, 0.0347, 0)</f>
        <v>48.218299999999999</v>
      </c>
      <c r="H758" s="10">
        <f>48.1836 * CHOOSE(CONTROL!$C$15, $E$9, 100%, $G$9) + CHOOSE(CONTROL!$C$38, 0.0347, 0)</f>
        <v>48.218299999999999</v>
      </c>
      <c r="I758" s="10">
        <f>48.1851 * CHOOSE(CONTROL!$C$15, $E$9, 100%, $G$9) + CHOOSE(CONTROL!$C$38, 0.0347, 0)</f>
        <v>48.219799999999999</v>
      </c>
      <c r="J758" s="44">
        <f>413.2221</f>
        <v>413.22210000000001</v>
      </c>
    </row>
    <row r="759" spans="1:10" ht="15.75" x14ac:dyDescent="0.25">
      <c r="A759" s="13">
        <v>64039</v>
      </c>
      <c r="B759" s="10">
        <f>51.6856 * CHOOSE(CONTROL!$C$15, $E$9, 100%, $G$9) + CHOOSE(CONTROL!$C$38, 0.0256, 0)</f>
        <v>51.711199999999998</v>
      </c>
      <c r="C759" s="10">
        <f>47.6899 * CHOOSE(CONTROL!$C$15, $E$9, 100%, $G$9) + CHOOSE(CONTROL!$C$38, 0.0347, 0)</f>
        <v>47.724600000000002</v>
      </c>
      <c r="D759" s="10">
        <f>47.6821 * CHOOSE(CONTROL!$C$15, $E$9, 100%, $G$9) + CHOOSE(CONTROL!$C$38, 0.0347, 0)</f>
        <v>47.716799999999999</v>
      </c>
      <c r="E759" s="46">
        <f>51.5293 * CHOOSE(CONTROL!$C$15, $E$9, 100%, $G$9) + CHOOSE(CONTROL!$C$38, 0.0347, 0)</f>
        <v>51.564</v>
      </c>
      <c r="F759" s="45">
        <f>51.5293 * CHOOSE(CONTROL!$C$15, $E$9, 100%, $G$9) + CHOOSE(CONTROL!$C$38, 0.0256, 0)</f>
        <v>51.554899999999996</v>
      </c>
      <c r="G759" s="10">
        <f>47.6884 * CHOOSE(CONTROL!$C$15, $E$9, 100%, $G$9) + CHOOSE(CONTROL!$C$38, 0.0347, 0)</f>
        <v>47.723100000000002</v>
      </c>
      <c r="H759" s="10">
        <f>47.6884 * CHOOSE(CONTROL!$C$15, $E$9, 100%, $G$9) + CHOOSE(CONTROL!$C$38, 0.0347, 0)</f>
        <v>47.723100000000002</v>
      </c>
      <c r="I759" s="10">
        <f>47.6899 * CHOOSE(CONTROL!$C$15, $E$9, 100%, $G$9) + CHOOSE(CONTROL!$C$38, 0.0347, 0)</f>
        <v>47.724600000000002</v>
      </c>
      <c r="J759" s="44">
        <f>440.0505</f>
        <v>440.0505</v>
      </c>
    </row>
    <row r="760" spans="1:10" ht="15.75" x14ac:dyDescent="0.25">
      <c r="A760" s="13">
        <v>64070</v>
      </c>
      <c r="B760" s="10">
        <f>51.1695 * CHOOSE(CONTROL!$C$15, $E$9, 100%, $G$9) + CHOOSE(CONTROL!$C$38, 0.0278, 0)</f>
        <v>51.197299999999998</v>
      </c>
      <c r="C760" s="10">
        <f>47.1738 * CHOOSE(CONTROL!$C$15, $E$9, 100%, $G$9) + CHOOSE(CONTROL!$C$38, 0.0369, 0)</f>
        <v>47.210700000000003</v>
      </c>
      <c r="D760" s="10">
        <f>47.166 * CHOOSE(CONTROL!$C$15, $E$9, 100%, $G$9) + CHOOSE(CONTROL!$C$38, 0.0369, 0)</f>
        <v>47.2029</v>
      </c>
      <c r="E760" s="46">
        <f>51.0132 * CHOOSE(CONTROL!$C$15, $E$9, 100%, $G$9) + CHOOSE(CONTROL!$C$38, 0.0369, 0)</f>
        <v>51.0501</v>
      </c>
      <c r="F760" s="45">
        <f>51.0132 * CHOOSE(CONTROL!$C$15, $E$9, 100%, $G$9) + CHOOSE(CONTROL!$C$38, 0.0278, 0)</f>
        <v>51.040999999999997</v>
      </c>
      <c r="G760" s="10">
        <f>47.1723 * CHOOSE(CONTROL!$C$15, $E$9, 100%, $G$9) + CHOOSE(CONTROL!$C$38, 0.0369, 0)</f>
        <v>47.209200000000003</v>
      </c>
      <c r="H760" s="10">
        <f>47.1723 * CHOOSE(CONTROL!$C$15, $E$9, 100%, $G$9) + CHOOSE(CONTROL!$C$38, 0.0369, 0)</f>
        <v>47.209200000000003</v>
      </c>
      <c r="I760" s="10">
        <f>47.1738 * CHOOSE(CONTROL!$C$15, $E$9, 100%, $G$9) + CHOOSE(CONTROL!$C$38, 0.0369, 0)</f>
        <v>47.210700000000003</v>
      </c>
      <c r="J760" s="44">
        <f>454.8177</f>
        <v>454.8177</v>
      </c>
    </row>
    <row r="761" spans="1:10" ht="15.75" x14ac:dyDescent="0.25">
      <c r="A761" s="13">
        <v>64100</v>
      </c>
      <c r="B761" s="10">
        <f>50.8076 * CHOOSE(CONTROL!$C$15, $E$9, 100%, $G$9) + CHOOSE(CONTROL!$C$38, 0.0278, 0)</f>
        <v>50.8354</v>
      </c>
      <c r="C761" s="10">
        <f>46.812 * CHOOSE(CONTROL!$C$15, $E$9, 100%, $G$9) + CHOOSE(CONTROL!$C$38, 0.0369, 0)</f>
        <v>46.8489</v>
      </c>
      <c r="D761" s="10">
        <f>46.8042 * CHOOSE(CONTROL!$C$15, $E$9, 100%, $G$9) + CHOOSE(CONTROL!$C$38, 0.0369, 0)</f>
        <v>46.841100000000004</v>
      </c>
      <c r="E761" s="46">
        <f>50.6514 * CHOOSE(CONTROL!$C$15, $E$9, 100%, $G$9) + CHOOSE(CONTROL!$C$38, 0.0369, 0)</f>
        <v>50.688300000000005</v>
      </c>
      <c r="F761" s="45">
        <f>50.6514 * CHOOSE(CONTROL!$C$15, $E$9, 100%, $G$9) + CHOOSE(CONTROL!$C$38, 0.0278, 0)</f>
        <v>50.679200000000002</v>
      </c>
      <c r="G761" s="10">
        <f>46.8104 * CHOOSE(CONTROL!$C$15, $E$9, 100%, $G$9) + CHOOSE(CONTROL!$C$38, 0.0369, 0)</f>
        <v>46.847300000000004</v>
      </c>
      <c r="H761" s="10">
        <f>46.8104 * CHOOSE(CONTROL!$C$15, $E$9, 100%, $G$9) + CHOOSE(CONTROL!$C$38, 0.0369, 0)</f>
        <v>46.847300000000004</v>
      </c>
      <c r="I761" s="10">
        <f>46.812 * CHOOSE(CONTROL!$C$15, $E$9, 100%, $G$9) + CHOOSE(CONTROL!$C$38, 0.0369, 0)</f>
        <v>46.8489</v>
      </c>
      <c r="J761" s="44">
        <f>461.3712</f>
        <v>461.37119999999999</v>
      </c>
    </row>
    <row r="762" spans="1:10" ht="15.75" x14ac:dyDescent="0.25">
      <c r="A762" s="13">
        <v>64131</v>
      </c>
      <c r="B762" s="10">
        <f>50.6011 * CHOOSE(CONTROL!$C$15, $E$9, 100%, $G$9) + CHOOSE(CONTROL!$C$38, 0.0278, 0)</f>
        <v>50.628900000000002</v>
      </c>
      <c r="C762" s="10">
        <f>46.6055 * CHOOSE(CONTROL!$C$15, $E$9, 100%, $G$9) + CHOOSE(CONTROL!$C$38, 0.0369, 0)</f>
        <v>46.642400000000002</v>
      </c>
      <c r="D762" s="10">
        <f>46.5977 * CHOOSE(CONTROL!$C$15, $E$9, 100%, $G$9) + CHOOSE(CONTROL!$C$38, 0.0369, 0)</f>
        <v>46.634600000000006</v>
      </c>
      <c r="E762" s="46">
        <f>50.4449 * CHOOSE(CONTROL!$C$15, $E$9, 100%, $G$9) + CHOOSE(CONTROL!$C$38, 0.0369, 0)</f>
        <v>50.4818</v>
      </c>
      <c r="F762" s="45">
        <f>50.4449 * CHOOSE(CONTROL!$C$15, $E$9, 100%, $G$9) + CHOOSE(CONTROL!$C$38, 0.0278, 0)</f>
        <v>50.472699999999996</v>
      </c>
      <c r="G762" s="10">
        <f>46.6039 * CHOOSE(CONTROL!$C$15, $E$9, 100%, $G$9) + CHOOSE(CONTROL!$C$38, 0.0369, 0)</f>
        <v>46.640800000000006</v>
      </c>
      <c r="H762" s="10">
        <f>46.6039 * CHOOSE(CONTROL!$C$15, $E$9, 100%, $G$9) + CHOOSE(CONTROL!$C$38, 0.0369, 0)</f>
        <v>46.640800000000006</v>
      </c>
      <c r="I762" s="10">
        <f>46.6055 * CHOOSE(CONTROL!$C$15, $E$9, 100%, $G$9) + CHOOSE(CONTROL!$C$38, 0.0369, 0)</f>
        <v>46.642400000000002</v>
      </c>
      <c r="J762" s="44">
        <f>459.2135</f>
        <v>459.21350000000001</v>
      </c>
    </row>
    <row r="763" spans="1:10" ht="15.75" x14ac:dyDescent="0.25">
      <c r="A763" s="13">
        <v>64162</v>
      </c>
      <c r="B763" s="10">
        <f>50.7031 * CHOOSE(CONTROL!$C$15, $E$9, 100%, $G$9) + CHOOSE(CONTROL!$C$38, 0.0278, 0)</f>
        <v>50.730899999999998</v>
      </c>
      <c r="C763" s="10">
        <f>46.7074 * CHOOSE(CONTROL!$C$15, $E$9, 100%, $G$9) + CHOOSE(CONTROL!$C$38, 0.0369, 0)</f>
        <v>46.744300000000003</v>
      </c>
      <c r="D763" s="10">
        <f>46.6996 * CHOOSE(CONTROL!$C$15, $E$9, 100%, $G$9) + CHOOSE(CONTROL!$C$38, 0.0369, 0)</f>
        <v>46.736499999999999</v>
      </c>
      <c r="E763" s="46">
        <f>50.5468 * CHOOSE(CONTROL!$C$15, $E$9, 100%, $G$9) + CHOOSE(CONTROL!$C$38, 0.0369, 0)</f>
        <v>50.5837</v>
      </c>
      <c r="F763" s="45">
        <f>50.5468 * CHOOSE(CONTROL!$C$15, $E$9, 100%, $G$9) + CHOOSE(CONTROL!$C$38, 0.0278, 0)</f>
        <v>50.574599999999997</v>
      </c>
      <c r="G763" s="10">
        <f>46.7059 * CHOOSE(CONTROL!$C$15, $E$9, 100%, $G$9) + CHOOSE(CONTROL!$C$38, 0.0369, 0)</f>
        <v>46.742800000000003</v>
      </c>
      <c r="H763" s="10">
        <f>46.7059 * CHOOSE(CONTROL!$C$15, $E$9, 100%, $G$9) + CHOOSE(CONTROL!$C$38, 0.0369, 0)</f>
        <v>46.742800000000003</v>
      </c>
      <c r="I763" s="10">
        <f>46.7074 * CHOOSE(CONTROL!$C$15, $E$9, 100%, $G$9) + CHOOSE(CONTROL!$C$38, 0.0369, 0)</f>
        <v>46.744300000000003</v>
      </c>
      <c r="J763" s="44">
        <f>448.5232</f>
        <v>448.52319999999997</v>
      </c>
    </row>
    <row r="764" spans="1:10" ht="15.75" x14ac:dyDescent="0.25">
      <c r="A764" s="13">
        <v>64192</v>
      </c>
      <c r="B764" s="10">
        <f>50.9799 * CHOOSE(CONTROL!$C$15, $E$9, 100%, $G$9) + CHOOSE(CONTROL!$C$38, 0.0278, 0)</f>
        <v>51.0077</v>
      </c>
      <c r="C764" s="10">
        <f>46.9842 * CHOOSE(CONTROL!$C$15, $E$9, 100%, $G$9) + CHOOSE(CONTROL!$C$38, 0.0369, 0)</f>
        <v>47.021100000000004</v>
      </c>
      <c r="D764" s="10">
        <f>46.9764 * CHOOSE(CONTROL!$C$15, $E$9, 100%, $G$9) + CHOOSE(CONTROL!$C$38, 0.0369, 0)</f>
        <v>47.013300000000001</v>
      </c>
      <c r="E764" s="46">
        <f>50.8236 * CHOOSE(CONTROL!$C$15, $E$9, 100%, $G$9) + CHOOSE(CONTROL!$C$38, 0.0369, 0)</f>
        <v>50.860500000000002</v>
      </c>
      <c r="F764" s="45">
        <f>50.8236 * CHOOSE(CONTROL!$C$15, $E$9, 100%, $G$9) + CHOOSE(CONTROL!$C$38, 0.0278, 0)</f>
        <v>50.851399999999998</v>
      </c>
      <c r="G764" s="10">
        <f>46.9827 * CHOOSE(CONTROL!$C$15, $E$9, 100%, $G$9) + CHOOSE(CONTROL!$C$38, 0.0369, 0)</f>
        <v>47.019600000000004</v>
      </c>
      <c r="H764" s="10">
        <f>46.9827 * CHOOSE(CONTROL!$C$15, $E$9, 100%, $G$9) + CHOOSE(CONTROL!$C$38, 0.0369, 0)</f>
        <v>47.019600000000004</v>
      </c>
      <c r="I764" s="10">
        <f>46.9842 * CHOOSE(CONTROL!$C$15, $E$9, 100%, $G$9) + CHOOSE(CONTROL!$C$38, 0.0369, 0)</f>
        <v>47.021100000000004</v>
      </c>
      <c r="J764" s="44">
        <f>433.615</f>
        <v>433.61500000000001</v>
      </c>
    </row>
    <row r="765" spans="1:10" ht="15.75" x14ac:dyDescent="0.25">
      <c r="A765" s="13">
        <v>64223</v>
      </c>
      <c r="B765" s="10">
        <f>51.2117 * CHOOSE(CONTROL!$C$15, $E$9, 100%, $G$9) + CHOOSE(CONTROL!$C$38, 0.0256, 0)</f>
        <v>51.237299999999998</v>
      </c>
      <c r="C765" s="10">
        <f>47.216 * CHOOSE(CONTROL!$C$15, $E$9, 100%, $G$9) + CHOOSE(CONTROL!$C$38, 0.0347, 0)</f>
        <v>47.250700000000002</v>
      </c>
      <c r="D765" s="10">
        <f>47.2082 * CHOOSE(CONTROL!$C$15, $E$9, 100%, $G$9) + CHOOSE(CONTROL!$C$38, 0.0347, 0)</f>
        <v>47.242899999999999</v>
      </c>
      <c r="E765" s="46">
        <f>51.0554 * CHOOSE(CONTROL!$C$15, $E$9, 100%, $G$9) + CHOOSE(CONTROL!$C$38, 0.0347, 0)</f>
        <v>51.0901</v>
      </c>
      <c r="F765" s="45">
        <f>51.0554 * CHOOSE(CONTROL!$C$15, $E$9, 100%, $G$9) + CHOOSE(CONTROL!$C$38, 0.0256, 0)</f>
        <v>51.080999999999996</v>
      </c>
      <c r="G765" s="10">
        <f>47.2145 * CHOOSE(CONTROL!$C$15, $E$9, 100%, $G$9) + CHOOSE(CONTROL!$C$38, 0.0347, 0)</f>
        <v>47.249200000000002</v>
      </c>
      <c r="H765" s="10">
        <f>47.2145 * CHOOSE(CONTROL!$C$15, $E$9, 100%, $G$9) + CHOOSE(CONTROL!$C$38, 0.0347, 0)</f>
        <v>47.249200000000002</v>
      </c>
      <c r="I765" s="10">
        <f>47.216 * CHOOSE(CONTROL!$C$15, $E$9, 100%, $G$9) + CHOOSE(CONTROL!$C$38, 0.0347, 0)</f>
        <v>47.250700000000002</v>
      </c>
      <c r="J765" s="44">
        <f>418.6202</f>
        <v>418.62020000000001</v>
      </c>
    </row>
    <row r="766" spans="1:10" ht="15.75" x14ac:dyDescent="0.25">
      <c r="A766" s="13">
        <v>64253</v>
      </c>
      <c r="B766" s="10">
        <f>51.4051 * CHOOSE(CONTROL!$C$15, $E$9, 100%, $G$9) + CHOOSE(CONTROL!$C$38, 0.0256, 0)</f>
        <v>51.430699999999995</v>
      </c>
      <c r="C766" s="10">
        <f>47.4095 * CHOOSE(CONTROL!$C$15, $E$9, 100%, $G$9) + CHOOSE(CONTROL!$C$38, 0.0347, 0)</f>
        <v>47.444200000000002</v>
      </c>
      <c r="D766" s="10">
        <f>47.4017 * CHOOSE(CONTROL!$C$15, $E$9, 100%, $G$9) + CHOOSE(CONTROL!$C$38, 0.0347, 0)</f>
        <v>47.436399999999999</v>
      </c>
      <c r="E766" s="46">
        <f>51.2489 * CHOOSE(CONTROL!$C$15, $E$9, 100%, $G$9) + CHOOSE(CONTROL!$C$38, 0.0347, 0)</f>
        <v>51.2836</v>
      </c>
      <c r="F766" s="45">
        <f>51.2489 * CHOOSE(CONTROL!$C$15, $E$9, 100%, $G$9) + CHOOSE(CONTROL!$C$38, 0.0256, 0)</f>
        <v>51.274499999999996</v>
      </c>
      <c r="G766" s="10">
        <f>47.4079 * CHOOSE(CONTROL!$C$15, $E$9, 100%, $G$9) + CHOOSE(CONTROL!$C$38, 0.0347, 0)</f>
        <v>47.442599999999999</v>
      </c>
      <c r="H766" s="10">
        <f>47.4079 * CHOOSE(CONTROL!$C$15, $E$9, 100%, $G$9) + CHOOSE(CONTROL!$C$38, 0.0347, 0)</f>
        <v>47.442599999999999</v>
      </c>
      <c r="I766" s="10">
        <f>47.4095 * CHOOSE(CONTROL!$C$15, $E$9, 100%, $G$9) + CHOOSE(CONTROL!$C$38, 0.0347, 0)</f>
        <v>47.444200000000002</v>
      </c>
      <c r="J766" s="44">
        <f>415.6374</f>
        <v>415.63740000000001</v>
      </c>
    </row>
    <row r="767" spans="1:10" ht="15.75" x14ac:dyDescent="0.25">
      <c r="A767" s="13">
        <v>64284</v>
      </c>
      <c r="B767" s="10">
        <f>52.0012 * CHOOSE(CONTROL!$C$15, $E$9, 100%, $G$9) + CHOOSE(CONTROL!$C$38, 0.0256, 0)</f>
        <v>52.026799999999994</v>
      </c>
      <c r="C767" s="10">
        <f>48.0055 * CHOOSE(CONTROL!$C$15, $E$9, 100%, $G$9) + CHOOSE(CONTROL!$C$38, 0.0347, 0)</f>
        <v>48.040199999999999</v>
      </c>
      <c r="D767" s="10">
        <f>47.9977 * CHOOSE(CONTROL!$C$15, $E$9, 100%, $G$9) + CHOOSE(CONTROL!$C$38, 0.0347, 0)</f>
        <v>48.032400000000003</v>
      </c>
      <c r="E767" s="46">
        <f>51.8449 * CHOOSE(CONTROL!$C$15, $E$9, 100%, $G$9) + CHOOSE(CONTROL!$C$38, 0.0347, 0)</f>
        <v>51.879600000000003</v>
      </c>
      <c r="F767" s="45">
        <f>51.8449 * CHOOSE(CONTROL!$C$15, $E$9, 100%, $G$9) + CHOOSE(CONTROL!$C$38, 0.0256, 0)</f>
        <v>51.8705</v>
      </c>
      <c r="G767" s="10">
        <f>48.004 * CHOOSE(CONTROL!$C$15, $E$9, 100%, $G$9) + CHOOSE(CONTROL!$C$38, 0.0347, 0)</f>
        <v>48.038699999999999</v>
      </c>
      <c r="H767" s="10">
        <f>48.004 * CHOOSE(CONTROL!$C$15, $E$9, 100%, $G$9) + CHOOSE(CONTROL!$C$38, 0.0347, 0)</f>
        <v>48.038699999999999</v>
      </c>
      <c r="I767" s="10">
        <f>48.0055 * CHOOSE(CONTROL!$C$15, $E$9, 100%, $G$9) + CHOOSE(CONTROL!$C$38, 0.0347, 0)</f>
        <v>48.040199999999999</v>
      </c>
      <c r="J767" s="44">
        <f>403.3033</f>
        <v>403.30329999999998</v>
      </c>
    </row>
    <row r="768" spans="1:10" ht="15.75" x14ac:dyDescent="0.25">
      <c r="A768" s="13">
        <v>64315</v>
      </c>
      <c r="B768" s="10">
        <f>53.3051 * CHOOSE(CONTROL!$C$15, $E$9, 100%, $G$9) + CHOOSE(CONTROL!$C$38, 0.0256, 0)</f>
        <v>53.3307</v>
      </c>
      <c r="C768" s="10">
        <f>49.2466 * CHOOSE(CONTROL!$C$15, $E$9, 100%, $G$9) + CHOOSE(CONTROL!$C$38, 0.0347, 0)</f>
        <v>49.281300000000002</v>
      </c>
      <c r="D768" s="10">
        <f>49.2387 * CHOOSE(CONTROL!$C$15, $E$9, 100%, $G$9) + CHOOSE(CONTROL!$C$38, 0.0347, 0)</f>
        <v>49.273400000000002</v>
      </c>
      <c r="E768" s="46">
        <f>53.1489 * CHOOSE(CONTROL!$C$15, $E$9, 100%, $G$9) + CHOOSE(CONTROL!$C$38, 0.0347, 0)</f>
        <v>53.183599999999998</v>
      </c>
      <c r="F768" s="45">
        <f>53.1489 * CHOOSE(CONTROL!$C$15, $E$9, 100%, $G$9) + CHOOSE(CONTROL!$C$38, 0.0256, 0)</f>
        <v>53.174499999999995</v>
      </c>
      <c r="G768" s="10">
        <f>49.245 * CHOOSE(CONTROL!$C$15, $E$9, 100%, $G$9) + CHOOSE(CONTROL!$C$38, 0.0347, 0)</f>
        <v>49.279699999999998</v>
      </c>
      <c r="H768" s="10">
        <f>49.245 * CHOOSE(CONTROL!$C$15, $E$9, 100%, $G$9) + CHOOSE(CONTROL!$C$38, 0.0347, 0)</f>
        <v>49.279699999999998</v>
      </c>
      <c r="I768" s="10">
        <f>49.2466 * CHOOSE(CONTROL!$C$15, $E$9, 100%, $G$9) + CHOOSE(CONTROL!$C$38, 0.0347, 0)</f>
        <v>49.281300000000002</v>
      </c>
      <c r="J768" s="44">
        <f>402.5331</f>
        <v>402.53309999999999</v>
      </c>
    </row>
    <row r="769" spans="1:10" ht="15.75" x14ac:dyDescent="0.25">
      <c r="A769" s="13">
        <v>64344</v>
      </c>
      <c r="B769" s="10">
        <f>53.5259 * CHOOSE(CONTROL!$C$15, $E$9, 100%, $G$9) + CHOOSE(CONTROL!$C$38, 0.0256, 0)</f>
        <v>53.551499999999997</v>
      </c>
      <c r="C769" s="10">
        <f>49.4673 * CHOOSE(CONTROL!$C$15, $E$9, 100%, $G$9) + CHOOSE(CONTROL!$C$38, 0.0347, 0)</f>
        <v>49.502000000000002</v>
      </c>
      <c r="D769" s="10">
        <f>49.4595 * CHOOSE(CONTROL!$C$15, $E$9, 100%, $G$9) + CHOOSE(CONTROL!$C$38, 0.0347, 0)</f>
        <v>49.494199999999999</v>
      </c>
      <c r="E769" s="46">
        <f>53.3697 * CHOOSE(CONTROL!$C$15, $E$9, 100%, $G$9) + CHOOSE(CONTROL!$C$38, 0.0347, 0)</f>
        <v>53.404400000000003</v>
      </c>
      <c r="F769" s="45">
        <f>53.3697 * CHOOSE(CONTROL!$C$15, $E$9, 100%, $G$9) + CHOOSE(CONTROL!$C$38, 0.0256, 0)</f>
        <v>53.395299999999999</v>
      </c>
      <c r="G769" s="10">
        <f>49.4658 * CHOOSE(CONTROL!$C$15, $E$9, 100%, $G$9) + CHOOSE(CONTROL!$C$38, 0.0347, 0)</f>
        <v>49.500500000000002</v>
      </c>
      <c r="H769" s="10">
        <f>49.4658 * CHOOSE(CONTROL!$C$15, $E$9, 100%, $G$9) + CHOOSE(CONTROL!$C$38, 0.0347, 0)</f>
        <v>49.500500000000002</v>
      </c>
      <c r="I769" s="10">
        <f>49.4673 * CHOOSE(CONTROL!$C$15, $E$9, 100%, $G$9) + CHOOSE(CONTROL!$C$38, 0.0347, 0)</f>
        <v>49.502000000000002</v>
      </c>
      <c r="J769" s="44">
        <f>401.4142</f>
        <v>401.41419999999999</v>
      </c>
    </row>
    <row r="770" spans="1:10" ht="15.75" x14ac:dyDescent="0.25">
      <c r="A770" s="13">
        <v>64375</v>
      </c>
      <c r="B770" s="10">
        <f>53.0149 * CHOOSE(CONTROL!$C$15, $E$9, 100%, $G$9) + CHOOSE(CONTROL!$C$38, 0.0256, 0)</f>
        <v>53.040499999999994</v>
      </c>
      <c r="C770" s="10">
        <f>48.9563 * CHOOSE(CONTROL!$C$15, $E$9, 100%, $G$9) + CHOOSE(CONTROL!$C$38, 0.0347, 0)</f>
        <v>48.991</v>
      </c>
      <c r="D770" s="10">
        <f>48.9485 * CHOOSE(CONTROL!$C$15, $E$9, 100%, $G$9) + CHOOSE(CONTROL!$C$38, 0.0347, 0)</f>
        <v>48.983200000000004</v>
      </c>
      <c r="E770" s="46">
        <f>52.8586 * CHOOSE(CONTROL!$C$15, $E$9, 100%, $G$9) + CHOOSE(CONTROL!$C$38, 0.0347, 0)</f>
        <v>52.893300000000004</v>
      </c>
      <c r="F770" s="45">
        <f>52.8586 * CHOOSE(CONTROL!$C$15, $E$9, 100%, $G$9) + CHOOSE(CONTROL!$C$38, 0.0256, 0)</f>
        <v>52.8842</v>
      </c>
      <c r="G770" s="10">
        <f>48.9547 * CHOOSE(CONTROL!$C$15, $E$9, 100%, $G$9) + CHOOSE(CONTROL!$C$38, 0.0347, 0)</f>
        <v>48.989400000000003</v>
      </c>
      <c r="H770" s="10">
        <f>48.9547 * CHOOSE(CONTROL!$C$15, $E$9, 100%, $G$9) + CHOOSE(CONTROL!$C$38, 0.0347, 0)</f>
        <v>48.989400000000003</v>
      </c>
      <c r="I770" s="10">
        <f>48.9563 * CHOOSE(CONTROL!$C$15, $E$9, 100%, $G$9) + CHOOSE(CONTROL!$C$38, 0.0347, 0)</f>
        <v>48.991</v>
      </c>
      <c r="J770" s="44">
        <f>422.5711</f>
        <v>422.5711</v>
      </c>
    </row>
    <row r="771" spans="1:10" ht="15.75" x14ac:dyDescent="0.25">
      <c r="A771" s="13">
        <v>64405</v>
      </c>
      <c r="B771" s="10">
        <f>52.5197 * CHOOSE(CONTROL!$C$15, $E$9, 100%, $G$9) + CHOOSE(CONTROL!$C$38, 0.0256, 0)</f>
        <v>52.545299999999997</v>
      </c>
      <c r="C771" s="10">
        <f>48.4611 * CHOOSE(CONTROL!$C$15, $E$9, 100%, $G$9) + CHOOSE(CONTROL!$C$38, 0.0347, 0)</f>
        <v>48.495800000000003</v>
      </c>
      <c r="D771" s="10">
        <f>48.4533 * CHOOSE(CONTROL!$C$15, $E$9, 100%, $G$9) + CHOOSE(CONTROL!$C$38, 0.0347, 0)</f>
        <v>48.488</v>
      </c>
      <c r="E771" s="46">
        <f>52.3634 * CHOOSE(CONTROL!$C$15, $E$9, 100%, $G$9) + CHOOSE(CONTROL!$C$38, 0.0347, 0)</f>
        <v>52.398099999999999</v>
      </c>
      <c r="F771" s="45">
        <f>52.3634 * CHOOSE(CONTROL!$C$15, $E$9, 100%, $G$9) + CHOOSE(CONTROL!$C$38, 0.0256, 0)</f>
        <v>52.388999999999996</v>
      </c>
      <c r="G771" s="10">
        <f>48.4595 * CHOOSE(CONTROL!$C$15, $E$9, 100%, $G$9) + CHOOSE(CONTROL!$C$38, 0.0347, 0)</f>
        <v>48.494199999999999</v>
      </c>
      <c r="H771" s="10">
        <f>48.4595 * CHOOSE(CONTROL!$C$15, $E$9, 100%, $G$9) + CHOOSE(CONTROL!$C$38, 0.0347, 0)</f>
        <v>48.494199999999999</v>
      </c>
      <c r="I771" s="10">
        <f>48.4611 * CHOOSE(CONTROL!$C$15, $E$9, 100%, $G$9) + CHOOSE(CONTROL!$C$38, 0.0347, 0)</f>
        <v>48.495800000000003</v>
      </c>
      <c r="J771" s="44">
        <f>450.0064</f>
        <v>450.00639999999999</v>
      </c>
    </row>
    <row r="772" spans="1:10" ht="15.75" x14ac:dyDescent="0.25">
      <c r="A772" s="13">
        <v>64436</v>
      </c>
      <c r="B772" s="10">
        <f>52.0036 * CHOOSE(CONTROL!$C$15, $E$9, 100%, $G$9) + CHOOSE(CONTROL!$C$38, 0.0278, 0)</f>
        <v>52.031399999999998</v>
      </c>
      <c r="C772" s="10">
        <f>47.945 * CHOOSE(CONTROL!$C$15, $E$9, 100%, $G$9) + CHOOSE(CONTROL!$C$38, 0.0369, 0)</f>
        <v>47.981900000000003</v>
      </c>
      <c r="D772" s="10">
        <f>47.9372 * CHOOSE(CONTROL!$C$15, $E$9, 100%, $G$9) + CHOOSE(CONTROL!$C$38, 0.0369, 0)</f>
        <v>47.9741</v>
      </c>
      <c r="E772" s="46">
        <f>51.8473 * CHOOSE(CONTROL!$C$15, $E$9, 100%, $G$9) + CHOOSE(CONTROL!$C$38, 0.0369, 0)</f>
        <v>51.8842</v>
      </c>
      <c r="F772" s="45">
        <f>51.8473 * CHOOSE(CONTROL!$C$15, $E$9, 100%, $G$9) + CHOOSE(CONTROL!$C$38, 0.0278, 0)</f>
        <v>51.875099999999996</v>
      </c>
      <c r="G772" s="10">
        <f>47.9434 * CHOOSE(CONTROL!$C$15, $E$9, 100%, $G$9) + CHOOSE(CONTROL!$C$38, 0.0369, 0)</f>
        <v>47.9803</v>
      </c>
      <c r="H772" s="10">
        <f>47.9434 * CHOOSE(CONTROL!$C$15, $E$9, 100%, $G$9) + CHOOSE(CONTROL!$C$38, 0.0369, 0)</f>
        <v>47.9803</v>
      </c>
      <c r="I772" s="10">
        <f>47.945 * CHOOSE(CONTROL!$C$15, $E$9, 100%, $G$9) + CHOOSE(CONTROL!$C$38, 0.0369, 0)</f>
        <v>47.981900000000003</v>
      </c>
      <c r="J772" s="44">
        <f>465.1078</f>
        <v>465.1078</v>
      </c>
    </row>
    <row r="773" spans="1:10" ht="15.75" x14ac:dyDescent="0.25">
      <c r="A773" s="13">
        <v>64466</v>
      </c>
      <c r="B773" s="10">
        <f>51.6417 * CHOOSE(CONTROL!$C$15, $E$9, 100%, $G$9) + CHOOSE(CONTROL!$C$38, 0.0278, 0)</f>
        <v>51.669499999999999</v>
      </c>
      <c r="C773" s="10">
        <f>47.5832 * CHOOSE(CONTROL!$C$15, $E$9, 100%, $G$9) + CHOOSE(CONTROL!$C$38, 0.0369, 0)</f>
        <v>47.620100000000001</v>
      </c>
      <c r="D773" s="10">
        <f>47.5753 * CHOOSE(CONTROL!$C$15, $E$9, 100%, $G$9) + CHOOSE(CONTROL!$C$38, 0.0369, 0)</f>
        <v>47.612200000000001</v>
      </c>
      <c r="E773" s="46">
        <f>51.4855 * CHOOSE(CONTROL!$C$15, $E$9, 100%, $G$9) + CHOOSE(CONTROL!$C$38, 0.0369, 0)</f>
        <v>51.522400000000005</v>
      </c>
      <c r="F773" s="45">
        <f>51.4855 * CHOOSE(CONTROL!$C$15, $E$9, 100%, $G$9) + CHOOSE(CONTROL!$C$38, 0.0278, 0)</f>
        <v>51.513300000000001</v>
      </c>
      <c r="G773" s="10">
        <f>47.5816 * CHOOSE(CONTROL!$C$15, $E$9, 100%, $G$9) + CHOOSE(CONTROL!$C$38, 0.0369, 0)</f>
        <v>47.618500000000004</v>
      </c>
      <c r="H773" s="10">
        <f>47.5816 * CHOOSE(CONTROL!$C$15, $E$9, 100%, $G$9) + CHOOSE(CONTROL!$C$38, 0.0369, 0)</f>
        <v>47.618500000000004</v>
      </c>
      <c r="I773" s="10">
        <f>47.5832 * CHOOSE(CONTROL!$C$15, $E$9, 100%, $G$9) + CHOOSE(CONTROL!$C$38, 0.0369, 0)</f>
        <v>47.620100000000001</v>
      </c>
      <c r="J773" s="44">
        <f>471.8095</f>
        <v>471.80950000000001</v>
      </c>
    </row>
    <row r="774" spans="1:10" ht="15.75" x14ac:dyDescent="0.25">
      <c r="A774" s="13">
        <v>64497</v>
      </c>
      <c r="B774" s="10">
        <f>51.4353 * CHOOSE(CONTROL!$C$15, $E$9, 100%, $G$9) + CHOOSE(CONTROL!$C$38, 0.0278, 0)</f>
        <v>51.463099999999997</v>
      </c>
      <c r="C774" s="10">
        <f>47.3767 * CHOOSE(CONTROL!$C$15, $E$9, 100%, $G$9) + CHOOSE(CONTROL!$C$38, 0.0369, 0)</f>
        <v>47.413600000000002</v>
      </c>
      <c r="D774" s="10">
        <f>47.3689 * CHOOSE(CONTROL!$C$15, $E$9, 100%, $G$9) + CHOOSE(CONTROL!$C$38, 0.0369, 0)</f>
        <v>47.405799999999999</v>
      </c>
      <c r="E774" s="46">
        <f>51.279 * CHOOSE(CONTROL!$C$15, $E$9, 100%, $G$9) + CHOOSE(CONTROL!$C$38, 0.0369, 0)</f>
        <v>51.315900000000006</v>
      </c>
      <c r="F774" s="45">
        <f>51.279 * CHOOSE(CONTROL!$C$15, $E$9, 100%, $G$9) + CHOOSE(CONTROL!$C$38, 0.0278, 0)</f>
        <v>51.306800000000003</v>
      </c>
      <c r="G774" s="10">
        <f>47.3751 * CHOOSE(CONTROL!$C$15, $E$9, 100%, $G$9) + CHOOSE(CONTROL!$C$38, 0.0369, 0)</f>
        <v>47.412000000000006</v>
      </c>
      <c r="H774" s="10">
        <f>47.3751 * CHOOSE(CONTROL!$C$15, $E$9, 100%, $G$9) + CHOOSE(CONTROL!$C$38, 0.0369, 0)</f>
        <v>47.412000000000006</v>
      </c>
      <c r="I774" s="10">
        <f>47.3767 * CHOOSE(CONTROL!$C$15, $E$9, 100%, $G$9) + CHOOSE(CONTROL!$C$38, 0.0369, 0)</f>
        <v>47.413600000000002</v>
      </c>
      <c r="J774" s="44">
        <f>469.603</f>
        <v>469.60300000000001</v>
      </c>
    </row>
    <row r="775" spans="1:10" ht="15.75" x14ac:dyDescent="0.25">
      <c r="A775" s="13">
        <v>64528</v>
      </c>
      <c r="B775" s="10">
        <f>51.5372 * CHOOSE(CONTROL!$C$15, $E$9, 100%, $G$9) + CHOOSE(CONTROL!$C$38, 0.0278, 0)</f>
        <v>51.564999999999998</v>
      </c>
      <c r="C775" s="10">
        <f>47.4786 * CHOOSE(CONTROL!$C$15, $E$9, 100%, $G$9) + CHOOSE(CONTROL!$C$38, 0.0369, 0)</f>
        <v>47.515500000000003</v>
      </c>
      <c r="D775" s="10">
        <f>47.4708 * CHOOSE(CONTROL!$C$15, $E$9, 100%, $G$9) + CHOOSE(CONTROL!$C$38, 0.0369, 0)</f>
        <v>47.5077</v>
      </c>
      <c r="E775" s="46">
        <f>51.3809 * CHOOSE(CONTROL!$C$15, $E$9, 100%, $G$9) + CHOOSE(CONTROL!$C$38, 0.0369, 0)</f>
        <v>51.4178</v>
      </c>
      <c r="F775" s="45">
        <f>51.3809 * CHOOSE(CONTROL!$C$15, $E$9, 100%, $G$9) + CHOOSE(CONTROL!$C$38, 0.0278, 0)</f>
        <v>51.408699999999996</v>
      </c>
      <c r="G775" s="10">
        <f>47.477 * CHOOSE(CONTROL!$C$15, $E$9, 100%, $G$9) + CHOOSE(CONTROL!$C$38, 0.0369, 0)</f>
        <v>47.5139</v>
      </c>
      <c r="H775" s="10">
        <f>47.477 * CHOOSE(CONTROL!$C$15, $E$9, 100%, $G$9) + CHOOSE(CONTROL!$C$38, 0.0369, 0)</f>
        <v>47.5139</v>
      </c>
      <c r="I775" s="10">
        <f>47.4786 * CHOOSE(CONTROL!$C$15, $E$9, 100%, $G$9) + CHOOSE(CONTROL!$C$38, 0.0369, 0)</f>
        <v>47.515500000000003</v>
      </c>
      <c r="J775" s="44">
        <f>458.6708</f>
        <v>458.67079999999999</v>
      </c>
    </row>
    <row r="776" spans="1:10" ht="15.75" x14ac:dyDescent="0.25">
      <c r="A776" s="13">
        <v>64558</v>
      </c>
      <c r="B776" s="10">
        <f>51.814 * CHOOSE(CONTROL!$C$15, $E$9, 100%, $G$9) + CHOOSE(CONTROL!$C$38, 0.0278, 0)</f>
        <v>51.841799999999999</v>
      </c>
      <c r="C776" s="10">
        <f>47.7554 * CHOOSE(CONTROL!$C$15, $E$9, 100%, $G$9) + CHOOSE(CONTROL!$C$38, 0.0369, 0)</f>
        <v>47.792300000000004</v>
      </c>
      <c r="D776" s="10">
        <f>47.7476 * CHOOSE(CONTROL!$C$15, $E$9, 100%, $G$9) + CHOOSE(CONTROL!$C$38, 0.0369, 0)</f>
        <v>47.784500000000001</v>
      </c>
      <c r="E776" s="46">
        <f>51.6577 * CHOOSE(CONTROL!$C$15, $E$9, 100%, $G$9) + CHOOSE(CONTROL!$C$38, 0.0369, 0)</f>
        <v>51.694600000000001</v>
      </c>
      <c r="F776" s="45">
        <f>51.6577 * CHOOSE(CONTROL!$C$15, $E$9, 100%, $G$9) + CHOOSE(CONTROL!$C$38, 0.0278, 0)</f>
        <v>51.685499999999998</v>
      </c>
      <c r="G776" s="10">
        <f>47.7538 * CHOOSE(CONTROL!$C$15, $E$9, 100%, $G$9) + CHOOSE(CONTROL!$C$38, 0.0369, 0)</f>
        <v>47.790700000000001</v>
      </c>
      <c r="H776" s="10">
        <f>47.7538 * CHOOSE(CONTROL!$C$15, $E$9, 100%, $G$9) + CHOOSE(CONTROL!$C$38, 0.0369, 0)</f>
        <v>47.790700000000001</v>
      </c>
      <c r="I776" s="10">
        <f>47.7554 * CHOOSE(CONTROL!$C$15, $E$9, 100%, $G$9) + CHOOSE(CONTROL!$C$38, 0.0369, 0)</f>
        <v>47.792300000000004</v>
      </c>
      <c r="J776" s="44">
        <f>443.4254</f>
        <v>443.42540000000002</v>
      </c>
    </row>
    <row r="777" spans="1:10" ht="15.75" x14ac:dyDescent="0.25">
      <c r="A777" s="13">
        <v>64589</v>
      </c>
      <c r="B777" s="10">
        <f>52.0458 * CHOOSE(CONTROL!$C$15, $E$9, 100%, $G$9) + CHOOSE(CONTROL!$C$38, 0.0256, 0)</f>
        <v>52.071399999999997</v>
      </c>
      <c r="C777" s="10">
        <f>47.9872 * CHOOSE(CONTROL!$C$15, $E$9, 100%, $G$9) + CHOOSE(CONTROL!$C$38, 0.0347, 0)</f>
        <v>48.021900000000002</v>
      </c>
      <c r="D777" s="10">
        <f>47.9794 * CHOOSE(CONTROL!$C$15, $E$9, 100%, $G$9) + CHOOSE(CONTROL!$C$38, 0.0347, 0)</f>
        <v>48.014099999999999</v>
      </c>
      <c r="E777" s="46">
        <f>51.8895 * CHOOSE(CONTROL!$C$15, $E$9, 100%, $G$9) + CHOOSE(CONTROL!$C$38, 0.0347, 0)</f>
        <v>51.924199999999999</v>
      </c>
      <c r="F777" s="45">
        <f>51.8895 * CHOOSE(CONTROL!$C$15, $E$9, 100%, $G$9) + CHOOSE(CONTROL!$C$38, 0.0256, 0)</f>
        <v>51.915099999999995</v>
      </c>
      <c r="G777" s="10">
        <f>47.9856 * CHOOSE(CONTROL!$C$15, $E$9, 100%, $G$9) + CHOOSE(CONTROL!$C$38, 0.0347, 0)</f>
        <v>48.020299999999999</v>
      </c>
      <c r="H777" s="10">
        <f>47.9856 * CHOOSE(CONTROL!$C$15, $E$9, 100%, $G$9) + CHOOSE(CONTROL!$C$38, 0.0347, 0)</f>
        <v>48.020299999999999</v>
      </c>
      <c r="I777" s="10">
        <f>47.9872 * CHOOSE(CONTROL!$C$15, $E$9, 100%, $G$9) + CHOOSE(CONTROL!$C$38, 0.0347, 0)</f>
        <v>48.021900000000002</v>
      </c>
      <c r="J777" s="44">
        <f>428.0913</f>
        <v>428.09129999999999</v>
      </c>
    </row>
    <row r="778" spans="1:10" ht="15.75" x14ac:dyDescent="0.25">
      <c r="A778" s="13">
        <v>64619</v>
      </c>
      <c r="B778" s="10">
        <f>52.2392 * CHOOSE(CONTROL!$C$15, $E$9, 100%, $G$9) + CHOOSE(CONTROL!$C$38, 0.0256, 0)</f>
        <v>52.264799999999994</v>
      </c>
      <c r="C778" s="10">
        <f>48.1806 * CHOOSE(CONTROL!$C$15, $E$9, 100%, $G$9) + CHOOSE(CONTROL!$C$38, 0.0347, 0)</f>
        <v>48.215299999999999</v>
      </c>
      <c r="D778" s="10">
        <f>48.1728 * CHOOSE(CONTROL!$C$15, $E$9, 100%, $G$9) + CHOOSE(CONTROL!$C$38, 0.0347, 0)</f>
        <v>48.207500000000003</v>
      </c>
      <c r="E778" s="46">
        <f>52.083 * CHOOSE(CONTROL!$C$15, $E$9, 100%, $G$9) + CHOOSE(CONTROL!$C$38, 0.0347, 0)</f>
        <v>52.117699999999999</v>
      </c>
      <c r="F778" s="45">
        <f>52.083 * CHOOSE(CONTROL!$C$15, $E$9, 100%, $G$9) + CHOOSE(CONTROL!$C$38, 0.0256, 0)</f>
        <v>52.108599999999996</v>
      </c>
      <c r="G778" s="10">
        <f>48.1791 * CHOOSE(CONTROL!$C$15, $E$9, 100%, $G$9) + CHOOSE(CONTROL!$C$38, 0.0347, 0)</f>
        <v>48.213799999999999</v>
      </c>
      <c r="H778" s="10">
        <f>48.1791 * CHOOSE(CONTROL!$C$15, $E$9, 100%, $G$9) + CHOOSE(CONTROL!$C$38, 0.0347, 0)</f>
        <v>48.213799999999999</v>
      </c>
      <c r="I778" s="10">
        <f>48.1806 * CHOOSE(CONTROL!$C$15, $E$9, 100%, $G$9) + CHOOSE(CONTROL!$C$38, 0.0347, 0)</f>
        <v>48.215299999999999</v>
      </c>
      <c r="J778" s="44">
        <f>425.041</f>
        <v>425.041</v>
      </c>
    </row>
    <row r="779" spans="1:10" ht="15.75" x14ac:dyDescent="0.25">
      <c r="A779" s="13">
        <v>64650</v>
      </c>
      <c r="B779" s="10">
        <f>52.8353 * CHOOSE(CONTROL!$C$15, $E$9, 100%, $G$9) + CHOOSE(CONTROL!$C$38, 0.0256, 0)</f>
        <v>52.860899999999994</v>
      </c>
      <c r="C779" s="10">
        <f>48.7767 * CHOOSE(CONTROL!$C$15, $E$9, 100%, $G$9) + CHOOSE(CONTROL!$C$38, 0.0347, 0)</f>
        <v>48.811399999999999</v>
      </c>
      <c r="D779" s="10">
        <f>48.7689 * CHOOSE(CONTROL!$C$15, $E$9, 100%, $G$9) + CHOOSE(CONTROL!$C$38, 0.0347, 0)</f>
        <v>48.803600000000003</v>
      </c>
      <c r="E779" s="46">
        <f>52.679 * CHOOSE(CONTROL!$C$15, $E$9, 100%, $G$9) + CHOOSE(CONTROL!$C$38, 0.0347, 0)</f>
        <v>52.713700000000003</v>
      </c>
      <c r="F779" s="45">
        <f>52.679 * CHOOSE(CONTROL!$C$15, $E$9, 100%, $G$9) + CHOOSE(CONTROL!$C$38, 0.0256, 0)</f>
        <v>52.704599999999999</v>
      </c>
      <c r="G779" s="10">
        <f>48.7751 * CHOOSE(CONTROL!$C$15, $E$9, 100%, $G$9) + CHOOSE(CONTROL!$C$38, 0.0347, 0)</f>
        <v>48.809800000000003</v>
      </c>
      <c r="H779" s="10">
        <f>48.7751 * CHOOSE(CONTROL!$C$15, $E$9, 100%, $G$9) + CHOOSE(CONTROL!$C$38, 0.0347, 0)</f>
        <v>48.809800000000003</v>
      </c>
      <c r="I779" s="10">
        <f>48.7767 * CHOOSE(CONTROL!$C$15, $E$9, 100%, $G$9) + CHOOSE(CONTROL!$C$38, 0.0347, 0)</f>
        <v>48.811399999999999</v>
      </c>
      <c r="J779" s="44">
        <f>412.4279</f>
        <v>412.42790000000002</v>
      </c>
    </row>
    <row r="780" spans="1:10" ht="15.75" x14ac:dyDescent="0.25">
      <c r="A780" s="13">
        <v>64681</v>
      </c>
      <c r="B780" s="10">
        <f>54.1529 * CHOOSE(CONTROL!$C$15, $E$9, 100%, $G$9) + CHOOSE(CONTROL!$C$38, 0.0256, 0)</f>
        <v>54.1785</v>
      </c>
      <c r="C780" s="10">
        <f>50.0304 * CHOOSE(CONTROL!$C$15, $E$9, 100%, $G$9) + CHOOSE(CONTROL!$C$38, 0.0347, 0)</f>
        <v>50.065100000000001</v>
      </c>
      <c r="D780" s="10">
        <f>50.0225 * CHOOSE(CONTROL!$C$15, $E$9, 100%, $G$9) + CHOOSE(CONTROL!$C$38, 0.0347, 0)</f>
        <v>50.057200000000002</v>
      </c>
      <c r="E780" s="46">
        <f>53.9967 * CHOOSE(CONTROL!$C$15, $E$9, 100%, $G$9) + CHOOSE(CONTROL!$C$38, 0.0347, 0)</f>
        <v>54.031399999999998</v>
      </c>
      <c r="F780" s="45">
        <f>53.9967 * CHOOSE(CONTROL!$C$15, $E$9, 100%, $G$9) + CHOOSE(CONTROL!$C$38, 0.0256, 0)</f>
        <v>54.022299999999994</v>
      </c>
      <c r="G780" s="10">
        <f>50.0288 * CHOOSE(CONTROL!$C$15, $E$9, 100%, $G$9) + CHOOSE(CONTROL!$C$38, 0.0347, 0)</f>
        <v>50.063499999999998</v>
      </c>
      <c r="H780" s="10">
        <f>50.0288 * CHOOSE(CONTROL!$C$15, $E$9, 100%, $G$9) + CHOOSE(CONTROL!$C$38, 0.0347, 0)</f>
        <v>50.063499999999998</v>
      </c>
      <c r="I780" s="10">
        <f>50.0304 * CHOOSE(CONTROL!$C$15, $E$9, 100%, $G$9) + CHOOSE(CONTROL!$C$38, 0.0347, 0)</f>
        <v>50.065100000000001</v>
      </c>
      <c r="J780" s="44">
        <f>411.6402</f>
        <v>411.64019999999999</v>
      </c>
    </row>
    <row r="781" spans="1:10" ht="15.75" x14ac:dyDescent="0.25">
      <c r="A781" s="13">
        <v>64709</v>
      </c>
      <c r="B781" s="10">
        <f>54.3737 * CHOOSE(CONTROL!$C$15, $E$9, 100%, $G$9) + CHOOSE(CONTROL!$C$38, 0.0256, 0)</f>
        <v>54.399299999999997</v>
      </c>
      <c r="C781" s="10">
        <f>50.2511 * CHOOSE(CONTROL!$C$15, $E$9, 100%, $G$9) + CHOOSE(CONTROL!$C$38, 0.0347, 0)</f>
        <v>50.285800000000002</v>
      </c>
      <c r="D781" s="10">
        <f>50.2433 * CHOOSE(CONTROL!$C$15, $E$9, 100%, $G$9) + CHOOSE(CONTROL!$C$38, 0.0347, 0)</f>
        <v>50.277999999999999</v>
      </c>
      <c r="E781" s="46">
        <f>54.2174 * CHOOSE(CONTROL!$C$15, $E$9, 100%, $G$9) + CHOOSE(CONTROL!$C$38, 0.0347, 0)</f>
        <v>54.252099999999999</v>
      </c>
      <c r="F781" s="45">
        <f>54.2174 * CHOOSE(CONTROL!$C$15, $E$9, 100%, $G$9) + CHOOSE(CONTROL!$C$38, 0.0256, 0)</f>
        <v>54.242999999999995</v>
      </c>
      <c r="G781" s="10">
        <f>50.2496 * CHOOSE(CONTROL!$C$15, $E$9, 100%, $G$9) + CHOOSE(CONTROL!$C$38, 0.0347, 0)</f>
        <v>50.284300000000002</v>
      </c>
      <c r="H781" s="10">
        <f>50.2496 * CHOOSE(CONTROL!$C$15, $E$9, 100%, $G$9) + CHOOSE(CONTROL!$C$38, 0.0347, 0)</f>
        <v>50.284300000000002</v>
      </c>
      <c r="I781" s="10">
        <f>50.2511 * CHOOSE(CONTROL!$C$15, $E$9, 100%, $G$9) + CHOOSE(CONTROL!$C$38, 0.0347, 0)</f>
        <v>50.285800000000002</v>
      </c>
      <c r="J781" s="44">
        <f>410.496</f>
        <v>410.49599999999998</v>
      </c>
    </row>
    <row r="782" spans="1:10" ht="15.75" x14ac:dyDescent="0.25">
      <c r="A782" s="13">
        <v>64740</v>
      </c>
      <c r="B782" s="10">
        <f>53.8627 * CHOOSE(CONTROL!$C$15, $E$9, 100%, $G$9) + CHOOSE(CONTROL!$C$38, 0.0256, 0)</f>
        <v>53.888299999999994</v>
      </c>
      <c r="C782" s="10">
        <f>49.7401 * CHOOSE(CONTROL!$C$15, $E$9, 100%, $G$9) + CHOOSE(CONTROL!$C$38, 0.0347, 0)</f>
        <v>49.774799999999999</v>
      </c>
      <c r="D782" s="10">
        <f>49.7323 * CHOOSE(CONTROL!$C$15, $E$9, 100%, $G$9) + CHOOSE(CONTROL!$C$38, 0.0347, 0)</f>
        <v>49.767000000000003</v>
      </c>
      <c r="E782" s="46">
        <f>53.7064 * CHOOSE(CONTROL!$C$15, $E$9, 100%, $G$9) + CHOOSE(CONTROL!$C$38, 0.0347, 0)</f>
        <v>53.741100000000003</v>
      </c>
      <c r="F782" s="45">
        <f>53.7064 * CHOOSE(CONTROL!$C$15, $E$9, 100%, $G$9) + CHOOSE(CONTROL!$C$38, 0.0256, 0)</f>
        <v>53.731999999999999</v>
      </c>
      <c r="G782" s="10">
        <f>49.7385 * CHOOSE(CONTROL!$C$15, $E$9, 100%, $G$9) + CHOOSE(CONTROL!$C$38, 0.0347, 0)</f>
        <v>49.773200000000003</v>
      </c>
      <c r="H782" s="10">
        <f>49.7385 * CHOOSE(CONTROL!$C$15, $E$9, 100%, $G$9) + CHOOSE(CONTROL!$C$38, 0.0347, 0)</f>
        <v>49.773200000000003</v>
      </c>
      <c r="I782" s="10">
        <f>49.7401 * CHOOSE(CONTROL!$C$15, $E$9, 100%, $G$9) + CHOOSE(CONTROL!$C$38, 0.0347, 0)</f>
        <v>49.774799999999999</v>
      </c>
      <c r="J782" s="44">
        <f>432.1315</f>
        <v>432.13150000000002</v>
      </c>
    </row>
    <row r="783" spans="1:10" ht="15.75" x14ac:dyDescent="0.25">
      <c r="A783" s="13">
        <v>64770</v>
      </c>
      <c r="B783" s="10">
        <f>53.3675 * CHOOSE(CONTROL!$C$15, $E$9, 100%, $G$9) + CHOOSE(CONTROL!$C$38, 0.0256, 0)</f>
        <v>53.393099999999997</v>
      </c>
      <c r="C783" s="10">
        <f>49.2449 * CHOOSE(CONTROL!$C$15, $E$9, 100%, $G$9) + CHOOSE(CONTROL!$C$38, 0.0347, 0)</f>
        <v>49.279600000000002</v>
      </c>
      <c r="D783" s="10">
        <f>49.2371 * CHOOSE(CONTROL!$C$15, $E$9, 100%, $G$9) + CHOOSE(CONTROL!$C$38, 0.0347, 0)</f>
        <v>49.271799999999999</v>
      </c>
      <c r="E783" s="46">
        <f>53.2112 * CHOOSE(CONTROL!$C$15, $E$9, 100%, $G$9) + CHOOSE(CONTROL!$C$38, 0.0347, 0)</f>
        <v>53.245899999999999</v>
      </c>
      <c r="F783" s="45">
        <f>53.2112 * CHOOSE(CONTROL!$C$15, $E$9, 100%, $G$9) + CHOOSE(CONTROL!$C$38, 0.0256, 0)</f>
        <v>53.236799999999995</v>
      </c>
      <c r="G783" s="10">
        <f>49.2433 * CHOOSE(CONTROL!$C$15, $E$9, 100%, $G$9) + CHOOSE(CONTROL!$C$38, 0.0347, 0)</f>
        <v>49.277999999999999</v>
      </c>
      <c r="H783" s="10">
        <f>49.2433 * CHOOSE(CONTROL!$C$15, $E$9, 100%, $G$9) + CHOOSE(CONTROL!$C$38, 0.0347, 0)</f>
        <v>49.277999999999999</v>
      </c>
      <c r="I783" s="10">
        <f>49.2449 * CHOOSE(CONTROL!$C$15, $E$9, 100%, $G$9) + CHOOSE(CONTROL!$C$38, 0.0347, 0)</f>
        <v>49.279600000000002</v>
      </c>
      <c r="J783" s="44">
        <f>460.1876</f>
        <v>460.18759999999997</v>
      </c>
    </row>
    <row r="784" spans="1:10" ht="15.75" x14ac:dyDescent="0.25">
      <c r="A784" s="13">
        <v>64801</v>
      </c>
      <c r="B784" s="10">
        <f>52.8514 * CHOOSE(CONTROL!$C$15, $E$9, 100%, $G$9) + CHOOSE(CONTROL!$C$38, 0.0278, 0)</f>
        <v>52.879199999999997</v>
      </c>
      <c r="C784" s="10">
        <f>48.7288 * CHOOSE(CONTROL!$C$15, $E$9, 100%, $G$9) + CHOOSE(CONTROL!$C$38, 0.0369, 0)</f>
        <v>48.765700000000002</v>
      </c>
      <c r="D784" s="10">
        <f>48.721 * CHOOSE(CONTROL!$C$15, $E$9, 100%, $G$9) + CHOOSE(CONTROL!$C$38, 0.0369, 0)</f>
        <v>48.757899999999999</v>
      </c>
      <c r="E784" s="46">
        <f>52.6951 * CHOOSE(CONTROL!$C$15, $E$9, 100%, $G$9) + CHOOSE(CONTROL!$C$38, 0.0369, 0)</f>
        <v>52.731999999999999</v>
      </c>
      <c r="F784" s="45">
        <f>52.6951 * CHOOSE(CONTROL!$C$15, $E$9, 100%, $G$9) + CHOOSE(CONTROL!$C$38, 0.0278, 0)</f>
        <v>52.722899999999996</v>
      </c>
      <c r="G784" s="10">
        <f>48.7272 * CHOOSE(CONTROL!$C$15, $E$9, 100%, $G$9) + CHOOSE(CONTROL!$C$38, 0.0369, 0)</f>
        <v>48.764100000000006</v>
      </c>
      <c r="H784" s="10">
        <f>48.7272 * CHOOSE(CONTROL!$C$15, $E$9, 100%, $G$9) + CHOOSE(CONTROL!$C$38, 0.0369, 0)</f>
        <v>48.764100000000006</v>
      </c>
      <c r="I784" s="10">
        <f>48.7288 * CHOOSE(CONTROL!$C$15, $E$9, 100%, $G$9) + CHOOSE(CONTROL!$C$38, 0.0369, 0)</f>
        <v>48.765700000000002</v>
      </c>
      <c r="J784" s="44">
        <f>475.6306</f>
        <v>475.63060000000002</v>
      </c>
    </row>
    <row r="785" spans="1:10" ht="15.75" x14ac:dyDescent="0.25">
      <c r="A785" s="13">
        <v>64831</v>
      </c>
      <c r="B785" s="10">
        <f>52.4895 * CHOOSE(CONTROL!$C$15, $E$9, 100%, $G$9) + CHOOSE(CONTROL!$C$38, 0.0278, 0)</f>
        <v>52.517299999999999</v>
      </c>
      <c r="C785" s="10">
        <f>48.367 * CHOOSE(CONTROL!$C$15, $E$9, 100%, $G$9) + CHOOSE(CONTROL!$C$38, 0.0369, 0)</f>
        <v>48.4039</v>
      </c>
      <c r="D785" s="10">
        <f>48.3592 * CHOOSE(CONTROL!$C$15, $E$9, 100%, $G$9) + CHOOSE(CONTROL!$C$38, 0.0369, 0)</f>
        <v>48.396100000000004</v>
      </c>
      <c r="E785" s="46">
        <f>52.3333 * CHOOSE(CONTROL!$C$15, $E$9, 100%, $G$9) + CHOOSE(CONTROL!$C$38, 0.0369, 0)</f>
        <v>52.370200000000004</v>
      </c>
      <c r="F785" s="45">
        <f>52.3333 * CHOOSE(CONTROL!$C$15, $E$9, 100%, $G$9) + CHOOSE(CONTROL!$C$38, 0.0278, 0)</f>
        <v>52.3611</v>
      </c>
      <c r="G785" s="10">
        <f>48.3654 * CHOOSE(CONTROL!$C$15, $E$9, 100%, $G$9) + CHOOSE(CONTROL!$C$38, 0.0369, 0)</f>
        <v>48.402300000000004</v>
      </c>
      <c r="H785" s="10">
        <f>48.3654 * CHOOSE(CONTROL!$C$15, $E$9, 100%, $G$9) + CHOOSE(CONTROL!$C$38, 0.0369, 0)</f>
        <v>48.402300000000004</v>
      </c>
      <c r="I785" s="10">
        <f>48.367 * CHOOSE(CONTROL!$C$15, $E$9, 100%, $G$9) + CHOOSE(CONTROL!$C$38, 0.0369, 0)</f>
        <v>48.4039</v>
      </c>
      <c r="J785" s="44">
        <f>482.4839</f>
        <v>482.48390000000001</v>
      </c>
    </row>
    <row r="786" spans="1:10" ht="15.75" x14ac:dyDescent="0.25">
      <c r="A786" s="13">
        <v>64862</v>
      </c>
      <c r="B786" s="10">
        <f>52.283 * CHOOSE(CONTROL!$C$15, $E$9, 100%, $G$9) + CHOOSE(CONTROL!$C$38, 0.0278, 0)</f>
        <v>52.3108</v>
      </c>
      <c r="C786" s="10">
        <f>48.1605 * CHOOSE(CONTROL!$C$15, $E$9, 100%, $G$9) + CHOOSE(CONTROL!$C$38, 0.0369, 0)</f>
        <v>48.197400000000002</v>
      </c>
      <c r="D786" s="10">
        <f>48.1527 * CHOOSE(CONTROL!$C$15, $E$9, 100%, $G$9) + CHOOSE(CONTROL!$C$38, 0.0369, 0)</f>
        <v>48.189600000000006</v>
      </c>
      <c r="E786" s="46">
        <f>52.1268 * CHOOSE(CONTROL!$C$15, $E$9, 100%, $G$9) + CHOOSE(CONTROL!$C$38, 0.0369, 0)</f>
        <v>52.163700000000006</v>
      </c>
      <c r="F786" s="45">
        <f>52.1268 * CHOOSE(CONTROL!$C$15, $E$9, 100%, $G$9) + CHOOSE(CONTROL!$C$38, 0.0278, 0)</f>
        <v>52.154600000000002</v>
      </c>
      <c r="G786" s="10">
        <f>48.1589 * CHOOSE(CONTROL!$C$15, $E$9, 100%, $G$9) + CHOOSE(CONTROL!$C$38, 0.0369, 0)</f>
        <v>48.195800000000006</v>
      </c>
      <c r="H786" s="10">
        <f>48.1589 * CHOOSE(CONTROL!$C$15, $E$9, 100%, $G$9) + CHOOSE(CONTROL!$C$38, 0.0369, 0)</f>
        <v>48.195800000000006</v>
      </c>
      <c r="I786" s="10">
        <f>48.1605 * CHOOSE(CONTROL!$C$15, $E$9, 100%, $G$9) + CHOOSE(CONTROL!$C$38, 0.0369, 0)</f>
        <v>48.197400000000002</v>
      </c>
      <c r="J786" s="44">
        <f>480.2275</f>
        <v>480.22750000000002</v>
      </c>
    </row>
    <row r="787" spans="1:10" ht="15.75" x14ac:dyDescent="0.25">
      <c r="A787" s="13">
        <v>64893</v>
      </c>
      <c r="B787" s="10">
        <f>52.3849 * CHOOSE(CONTROL!$C$15, $E$9, 100%, $G$9) + CHOOSE(CONTROL!$C$38, 0.0278, 0)</f>
        <v>52.412700000000001</v>
      </c>
      <c r="C787" s="10">
        <f>48.2624 * CHOOSE(CONTROL!$C$15, $E$9, 100%, $G$9) + CHOOSE(CONTROL!$C$38, 0.0369, 0)</f>
        <v>48.299300000000002</v>
      </c>
      <c r="D787" s="10">
        <f>48.2546 * CHOOSE(CONTROL!$C$15, $E$9, 100%, $G$9) + CHOOSE(CONTROL!$C$38, 0.0369, 0)</f>
        <v>48.291500000000006</v>
      </c>
      <c r="E787" s="46">
        <f>52.2287 * CHOOSE(CONTROL!$C$15, $E$9, 100%, $G$9) + CHOOSE(CONTROL!$C$38, 0.0369, 0)</f>
        <v>52.265600000000006</v>
      </c>
      <c r="F787" s="45">
        <f>52.2287 * CHOOSE(CONTROL!$C$15, $E$9, 100%, $G$9) + CHOOSE(CONTROL!$C$38, 0.0278, 0)</f>
        <v>52.256500000000003</v>
      </c>
      <c r="G787" s="10">
        <f>48.2608 * CHOOSE(CONTROL!$C$15, $E$9, 100%, $G$9) + CHOOSE(CONTROL!$C$38, 0.0369, 0)</f>
        <v>48.297700000000006</v>
      </c>
      <c r="H787" s="10">
        <f>48.2608 * CHOOSE(CONTROL!$C$15, $E$9, 100%, $G$9) + CHOOSE(CONTROL!$C$38, 0.0369, 0)</f>
        <v>48.297700000000006</v>
      </c>
      <c r="I787" s="10">
        <f>48.2624 * CHOOSE(CONTROL!$C$15, $E$9, 100%, $G$9) + CHOOSE(CONTROL!$C$38, 0.0369, 0)</f>
        <v>48.299300000000002</v>
      </c>
      <c r="J787" s="44">
        <f>469.048</f>
        <v>469.048</v>
      </c>
    </row>
    <row r="788" spans="1:10" ht="15.75" x14ac:dyDescent="0.25">
      <c r="A788" s="13">
        <v>64923</v>
      </c>
      <c r="B788" s="10">
        <f>52.6617 * CHOOSE(CONTROL!$C$15, $E$9, 100%, $G$9) + CHOOSE(CONTROL!$C$38, 0.0278, 0)</f>
        <v>52.689500000000002</v>
      </c>
      <c r="C788" s="10">
        <f>48.5392 * CHOOSE(CONTROL!$C$15, $E$9, 100%, $G$9) + CHOOSE(CONTROL!$C$38, 0.0369, 0)</f>
        <v>48.576100000000004</v>
      </c>
      <c r="D788" s="10">
        <f>48.5314 * CHOOSE(CONTROL!$C$15, $E$9, 100%, $G$9) + CHOOSE(CONTROL!$C$38, 0.0369, 0)</f>
        <v>48.568300000000001</v>
      </c>
      <c r="E788" s="46">
        <f>52.5055 * CHOOSE(CONTROL!$C$15, $E$9, 100%, $G$9) + CHOOSE(CONTROL!$C$38, 0.0369, 0)</f>
        <v>52.542400000000001</v>
      </c>
      <c r="F788" s="45">
        <f>52.5055 * CHOOSE(CONTROL!$C$15, $E$9, 100%, $G$9) + CHOOSE(CONTROL!$C$38, 0.0278, 0)</f>
        <v>52.533299999999997</v>
      </c>
      <c r="G788" s="10">
        <f>48.5376 * CHOOSE(CONTROL!$C$15, $E$9, 100%, $G$9) + CHOOSE(CONTROL!$C$38, 0.0369, 0)</f>
        <v>48.5745</v>
      </c>
      <c r="H788" s="10">
        <f>48.5376 * CHOOSE(CONTROL!$C$15, $E$9, 100%, $G$9) + CHOOSE(CONTROL!$C$38, 0.0369, 0)</f>
        <v>48.5745</v>
      </c>
      <c r="I788" s="10">
        <f>48.5392 * CHOOSE(CONTROL!$C$15, $E$9, 100%, $G$9) + CHOOSE(CONTROL!$C$38, 0.0369, 0)</f>
        <v>48.576100000000004</v>
      </c>
      <c r="J788" s="44">
        <f>453.4576</f>
        <v>453.45760000000001</v>
      </c>
    </row>
    <row r="789" spans="1:10" ht="15.75" x14ac:dyDescent="0.25">
      <c r="A789" s="13">
        <v>64954</v>
      </c>
      <c r="B789" s="10">
        <f>52.8936 * CHOOSE(CONTROL!$C$15, $E$9, 100%, $G$9) + CHOOSE(CONTROL!$C$38, 0.0256, 0)</f>
        <v>52.919199999999996</v>
      </c>
      <c r="C789" s="10">
        <f>48.771 * CHOOSE(CONTROL!$C$15, $E$9, 100%, $G$9) + CHOOSE(CONTROL!$C$38, 0.0347, 0)</f>
        <v>48.805700000000002</v>
      </c>
      <c r="D789" s="10">
        <f>48.7632 * CHOOSE(CONTROL!$C$15, $E$9, 100%, $G$9) + CHOOSE(CONTROL!$C$38, 0.0347, 0)</f>
        <v>48.797899999999998</v>
      </c>
      <c r="E789" s="46">
        <f>52.7373 * CHOOSE(CONTROL!$C$15, $E$9, 100%, $G$9) + CHOOSE(CONTROL!$C$38, 0.0347, 0)</f>
        <v>52.771999999999998</v>
      </c>
      <c r="F789" s="45">
        <f>52.7373 * CHOOSE(CONTROL!$C$15, $E$9, 100%, $G$9) + CHOOSE(CONTROL!$C$38, 0.0256, 0)</f>
        <v>52.762899999999995</v>
      </c>
      <c r="G789" s="10">
        <f>48.7694 * CHOOSE(CONTROL!$C$15, $E$9, 100%, $G$9) + CHOOSE(CONTROL!$C$38, 0.0347, 0)</f>
        <v>48.804099999999998</v>
      </c>
      <c r="H789" s="10">
        <f>48.7694 * CHOOSE(CONTROL!$C$15, $E$9, 100%, $G$9) + CHOOSE(CONTROL!$C$38, 0.0347, 0)</f>
        <v>48.804099999999998</v>
      </c>
      <c r="I789" s="10">
        <f>48.771 * CHOOSE(CONTROL!$C$15, $E$9, 100%, $G$9) + CHOOSE(CONTROL!$C$38, 0.0347, 0)</f>
        <v>48.805700000000002</v>
      </c>
      <c r="J789" s="44">
        <f>437.7766</f>
        <v>437.77659999999997</v>
      </c>
    </row>
    <row r="790" spans="1:10" ht="15.75" x14ac:dyDescent="0.25">
      <c r="A790" s="13">
        <v>64984</v>
      </c>
      <c r="B790" s="10">
        <f>53.087 * CHOOSE(CONTROL!$C$15, $E$9, 100%, $G$9) + CHOOSE(CONTROL!$C$38, 0.0256, 0)</f>
        <v>53.1126</v>
      </c>
      <c r="C790" s="10">
        <f>48.9644 * CHOOSE(CONTROL!$C$15, $E$9, 100%, $G$9) + CHOOSE(CONTROL!$C$38, 0.0347, 0)</f>
        <v>48.999099999999999</v>
      </c>
      <c r="D790" s="10">
        <f>48.9566 * CHOOSE(CONTROL!$C$15, $E$9, 100%, $G$9) + CHOOSE(CONTROL!$C$38, 0.0347, 0)</f>
        <v>48.991300000000003</v>
      </c>
      <c r="E790" s="46">
        <f>52.9308 * CHOOSE(CONTROL!$C$15, $E$9, 100%, $G$9) + CHOOSE(CONTROL!$C$38, 0.0347, 0)</f>
        <v>52.965499999999999</v>
      </c>
      <c r="F790" s="45">
        <f>52.9308 * CHOOSE(CONTROL!$C$15, $E$9, 100%, $G$9) + CHOOSE(CONTROL!$C$38, 0.0256, 0)</f>
        <v>52.956399999999995</v>
      </c>
      <c r="G790" s="10">
        <f>48.9629 * CHOOSE(CONTROL!$C$15, $E$9, 100%, $G$9) + CHOOSE(CONTROL!$C$38, 0.0347, 0)</f>
        <v>48.997599999999998</v>
      </c>
      <c r="H790" s="10">
        <f>48.9629 * CHOOSE(CONTROL!$C$15, $E$9, 100%, $G$9) + CHOOSE(CONTROL!$C$38, 0.0347, 0)</f>
        <v>48.997599999999998</v>
      </c>
      <c r="I790" s="10">
        <f>48.9644 * CHOOSE(CONTROL!$C$15, $E$9, 100%, $G$9) + CHOOSE(CONTROL!$C$38, 0.0347, 0)</f>
        <v>48.999099999999999</v>
      </c>
      <c r="J790" s="44">
        <f>434.6573</f>
        <v>434.65730000000002</v>
      </c>
    </row>
    <row r="791" spans="1:10" ht="15.75" x14ac:dyDescent="0.25">
      <c r="A791" s="13">
        <v>65015</v>
      </c>
      <c r="B791" s="10">
        <f>53.6831 * CHOOSE(CONTROL!$C$15, $E$9, 100%, $G$9) + CHOOSE(CONTROL!$C$38, 0.0256, 0)</f>
        <v>53.7087</v>
      </c>
      <c r="C791" s="10">
        <f>49.5605 * CHOOSE(CONTROL!$C$15, $E$9, 100%, $G$9) + CHOOSE(CONTROL!$C$38, 0.0347, 0)</f>
        <v>49.595199999999998</v>
      </c>
      <c r="D791" s="10">
        <f>49.5527 * CHOOSE(CONTROL!$C$15, $E$9, 100%, $G$9) + CHOOSE(CONTROL!$C$38, 0.0347, 0)</f>
        <v>49.587400000000002</v>
      </c>
      <c r="E791" s="46">
        <f>53.5268 * CHOOSE(CONTROL!$C$15, $E$9, 100%, $G$9) + CHOOSE(CONTROL!$C$38, 0.0347, 0)</f>
        <v>53.561500000000002</v>
      </c>
      <c r="F791" s="45">
        <f>53.5268 * CHOOSE(CONTROL!$C$15, $E$9, 100%, $G$9) + CHOOSE(CONTROL!$C$38, 0.0256, 0)</f>
        <v>53.552399999999999</v>
      </c>
      <c r="G791" s="10">
        <f>49.559 * CHOOSE(CONTROL!$C$15, $E$9, 100%, $G$9) + CHOOSE(CONTROL!$C$38, 0.0347, 0)</f>
        <v>49.593699999999998</v>
      </c>
      <c r="H791" s="10">
        <f>49.559 * CHOOSE(CONTROL!$C$15, $E$9, 100%, $G$9) + CHOOSE(CONTROL!$C$38, 0.0347, 0)</f>
        <v>49.593699999999998</v>
      </c>
      <c r="I791" s="10">
        <f>49.5605 * CHOOSE(CONTROL!$C$15, $E$9, 100%, $G$9) + CHOOSE(CONTROL!$C$38, 0.0347, 0)</f>
        <v>49.595199999999998</v>
      </c>
      <c r="J791" s="44">
        <f>421.7589</f>
        <v>421.75889999999998</v>
      </c>
    </row>
    <row r="792" spans="1:10" ht="15.75" x14ac:dyDescent="0.25">
      <c r="A792" s="13">
        <v>65046</v>
      </c>
      <c r="B792" s="10">
        <f>55.0146 * CHOOSE(CONTROL!$C$15, $E$9, 100%, $G$9) + CHOOSE(CONTROL!$C$38, 0.0256, 0)</f>
        <v>55.040199999999999</v>
      </c>
      <c r="C792" s="10">
        <f>50.827 * CHOOSE(CONTROL!$C$15, $E$9, 100%, $G$9) + CHOOSE(CONTROL!$C$38, 0.0347, 0)</f>
        <v>50.861699999999999</v>
      </c>
      <c r="D792" s="10">
        <f>50.8192 * CHOOSE(CONTROL!$C$15, $E$9, 100%, $G$9) + CHOOSE(CONTROL!$C$38, 0.0347, 0)</f>
        <v>50.853900000000003</v>
      </c>
      <c r="E792" s="46">
        <f>54.8584 * CHOOSE(CONTROL!$C$15, $E$9, 100%, $G$9) + CHOOSE(CONTROL!$C$38, 0.0347, 0)</f>
        <v>54.893100000000004</v>
      </c>
      <c r="F792" s="45">
        <f>54.8584 * CHOOSE(CONTROL!$C$15, $E$9, 100%, $G$9) + CHOOSE(CONTROL!$C$38, 0.0256, 0)</f>
        <v>54.884</v>
      </c>
      <c r="G792" s="10">
        <f>50.8255 * CHOOSE(CONTROL!$C$15, $E$9, 100%, $G$9) + CHOOSE(CONTROL!$C$38, 0.0347, 0)</f>
        <v>50.860199999999999</v>
      </c>
      <c r="H792" s="10">
        <f>50.8255 * CHOOSE(CONTROL!$C$15, $E$9, 100%, $G$9) + CHOOSE(CONTROL!$C$38, 0.0347, 0)</f>
        <v>50.860199999999999</v>
      </c>
      <c r="I792" s="10">
        <f>50.827 * CHOOSE(CONTROL!$C$15, $E$9, 100%, $G$9) + CHOOSE(CONTROL!$C$38, 0.0347, 0)</f>
        <v>50.861699999999999</v>
      </c>
      <c r="J792" s="44">
        <f>420.9534</f>
        <v>420.95339999999999</v>
      </c>
    </row>
    <row r="793" spans="1:10" ht="15.75" x14ac:dyDescent="0.25">
      <c r="A793" s="13">
        <v>65074</v>
      </c>
      <c r="B793" s="10">
        <f>55.2354 * CHOOSE(CONTROL!$C$15, $E$9, 100%, $G$9) + CHOOSE(CONTROL!$C$38, 0.0256, 0)</f>
        <v>55.260999999999996</v>
      </c>
      <c r="C793" s="10">
        <f>51.0478 * CHOOSE(CONTROL!$C$15, $E$9, 100%, $G$9) + CHOOSE(CONTROL!$C$38, 0.0347, 0)</f>
        <v>51.082500000000003</v>
      </c>
      <c r="D793" s="10">
        <f>51.04 * CHOOSE(CONTROL!$C$15, $E$9, 100%, $G$9) + CHOOSE(CONTROL!$C$38, 0.0347, 0)</f>
        <v>51.0747</v>
      </c>
      <c r="E793" s="46">
        <f>55.0791 * CHOOSE(CONTROL!$C$15, $E$9, 100%, $G$9) + CHOOSE(CONTROL!$C$38, 0.0347, 0)</f>
        <v>55.113799999999998</v>
      </c>
      <c r="F793" s="45">
        <f>55.0791 * CHOOSE(CONTROL!$C$15, $E$9, 100%, $G$9) + CHOOSE(CONTROL!$C$38, 0.0256, 0)</f>
        <v>55.104699999999994</v>
      </c>
      <c r="G793" s="10">
        <f>51.0462 * CHOOSE(CONTROL!$C$15, $E$9, 100%, $G$9) + CHOOSE(CONTROL!$C$38, 0.0347, 0)</f>
        <v>51.0809</v>
      </c>
      <c r="H793" s="10">
        <f>51.0462 * CHOOSE(CONTROL!$C$15, $E$9, 100%, $G$9) + CHOOSE(CONTROL!$C$38, 0.0347, 0)</f>
        <v>51.0809</v>
      </c>
      <c r="I793" s="10">
        <f>51.0478 * CHOOSE(CONTROL!$C$15, $E$9, 100%, $G$9) + CHOOSE(CONTROL!$C$38, 0.0347, 0)</f>
        <v>51.082500000000003</v>
      </c>
      <c r="J793" s="44">
        <f>419.7833</f>
        <v>419.7833</v>
      </c>
    </row>
    <row r="794" spans="1:10" ht="15.75" x14ac:dyDescent="0.25">
      <c r="A794" s="13">
        <v>65105</v>
      </c>
      <c r="B794" s="10">
        <f>54.7243 * CHOOSE(CONTROL!$C$15, $E$9, 100%, $G$9) + CHOOSE(CONTROL!$C$38, 0.0256, 0)</f>
        <v>54.749899999999997</v>
      </c>
      <c r="C794" s="10">
        <f>50.5367 * CHOOSE(CONTROL!$C$15, $E$9, 100%, $G$9) + CHOOSE(CONTROL!$C$38, 0.0347, 0)</f>
        <v>50.571400000000004</v>
      </c>
      <c r="D794" s="10">
        <f>50.5289 * CHOOSE(CONTROL!$C$15, $E$9, 100%, $G$9) + CHOOSE(CONTROL!$C$38, 0.0347, 0)</f>
        <v>50.563600000000001</v>
      </c>
      <c r="E794" s="46">
        <f>54.5681 * CHOOSE(CONTROL!$C$15, $E$9, 100%, $G$9) + CHOOSE(CONTROL!$C$38, 0.0347, 0)</f>
        <v>54.602800000000002</v>
      </c>
      <c r="F794" s="45">
        <f>54.5681 * CHOOSE(CONTROL!$C$15, $E$9, 100%, $G$9) + CHOOSE(CONTROL!$C$38, 0.0256, 0)</f>
        <v>54.593699999999998</v>
      </c>
      <c r="G794" s="10">
        <f>50.5352 * CHOOSE(CONTROL!$C$15, $E$9, 100%, $G$9) + CHOOSE(CONTROL!$C$38, 0.0347, 0)</f>
        <v>50.569900000000004</v>
      </c>
      <c r="H794" s="10">
        <f>50.5352 * CHOOSE(CONTROL!$C$15, $E$9, 100%, $G$9) + CHOOSE(CONTROL!$C$38, 0.0347, 0)</f>
        <v>50.569900000000004</v>
      </c>
      <c r="I794" s="10">
        <f>50.5367 * CHOOSE(CONTROL!$C$15, $E$9, 100%, $G$9) + CHOOSE(CONTROL!$C$38, 0.0347, 0)</f>
        <v>50.571400000000004</v>
      </c>
      <c r="J794" s="44">
        <f>441.9083</f>
        <v>441.9083</v>
      </c>
    </row>
    <row r="795" spans="1:10" ht="15.75" x14ac:dyDescent="0.25">
      <c r="A795" s="13">
        <v>65135</v>
      </c>
      <c r="B795" s="10">
        <f>54.2292 * CHOOSE(CONTROL!$C$15, $E$9, 100%, $G$9) + CHOOSE(CONTROL!$C$38, 0.0256, 0)</f>
        <v>54.254799999999996</v>
      </c>
      <c r="C795" s="10">
        <f>50.0416 * CHOOSE(CONTROL!$C$15, $E$9, 100%, $G$9) + CHOOSE(CONTROL!$C$38, 0.0347, 0)</f>
        <v>50.076300000000003</v>
      </c>
      <c r="D795" s="10">
        <f>50.0338 * CHOOSE(CONTROL!$C$15, $E$9, 100%, $G$9) + CHOOSE(CONTROL!$C$38, 0.0347, 0)</f>
        <v>50.0685</v>
      </c>
      <c r="E795" s="46">
        <f>54.0729 * CHOOSE(CONTROL!$C$15, $E$9, 100%, $G$9) + CHOOSE(CONTROL!$C$38, 0.0347, 0)</f>
        <v>54.107599999999998</v>
      </c>
      <c r="F795" s="45">
        <f>54.0729 * CHOOSE(CONTROL!$C$15, $E$9, 100%, $G$9) + CHOOSE(CONTROL!$C$38, 0.0256, 0)</f>
        <v>54.098499999999994</v>
      </c>
      <c r="G795" s="10">
        <f>50.04 * CHOOSE(CONTROL!$C$15, $E$9, 100%, $G$9) + CHOOSE(CONTROL!$C$38, 0.0347, 0)</f>
        <v>50.0747</v>
      </c>
      <c r="H795" s="10">
        <f>50.04 * CHOOSE(CONTROL!$C$15, $E$9, 100%, $G$9) + CHOOSE(CONTROL!$C$38, 0.0347, 0)</f>
        <v>50.0747</v>
      </c>
      <c r="I795" s="10">
        <f>50.0416 * CHOOSE(CONTROL!$C$15, $E$9, 100%, $G$9) + CHOOSE(CONTROL!$C$38, 0.0347, 0)</f>
        <v>50.076300000000003</v>
      </c>
      <c r="J795" s="44">
        <f>470.5991</f>
        <v>470.59910000000002</v>
      </c>
    </row>
    <row r="796" spans="1:10" ht="15.75" x14ac:dyDescent="0.25">
      <c r="A796" s="13">
        <v>65166</v>
      </c>
      <c r="B796" s="10">
        <f>53.713 * CHOOSE(CONTROL!$C$15, $E$9, 100%, $G$9) + CHOOSE(CONTROL!$C$38, 0.0278, 0)</f>
        <v>53.7408</v>
      </c>
      <c r="C796" s="10">
        <f>49.5255 * CHOOSE(CONTROL!$C$15, $E$9, 100%, $G$9) + CHOOSE(CONTROL!$C$38, 0.0369, 0)</f>
        <v>49.562400000000004</v>
      </c>
      <c r="D796" s="10">
        <f>49.5176 * CHOOSE(CONTROL!$C$15, $E$9, 100%, $G$9) + CHOOSE(CONTROL!$C$38, 0.0369, 0)</f>
        <v>49.554500000000004</v>
      </c>
      <c r="E796" s="46">
        <f>53.5568 * CHOOSE(CONTROL!$C$15, $E$9, 100%, $G$9) + CHOOSE(CONTROL!$C$38, 0.0369, 0)</f>
        <v>53.593700000000005</v>
      </c>
      <c r="F796" s="45">
        <f>53.5568 * CHOOSE(CONTROL!$C$15, $E$9, 100%, $G$9) + CHOOSE(CONTROL!$C$38, 0.0278, 0)</f>
        <v>53.584600000000002</v>
      </c>
      <c r="G796" s="10">
        <f>49.5239 * CHOOSE(CONTROL!$C$15, $E$9, 100%, $G$9) + CHOOSE(CONTROL!$C$38, 0.0369, 0)</f>
        <v>49.5608</v>
      </c>
      <c r="H796" s="10">
        <f>49.5239 * CHOOSE(CONTROL!$C$15, $E$9, 100%, $G$9) + CHOOSE(CONTROL!$C$38, 0.0369, 0)</f>
        <v>49.5608</v>
      </c>
      <c r="I796" s="10">
        <f>49.5255 * CHOOSE(CONTROL!$C$15, $E$9, 100%, $G$9) + CHOOSE(CONTROL!$C$38, 0.0369, 0)</f>
        <v>49.562400000000004</v>
      </c>
      <c r="J796" s="44">
        <f>486.3915</f>
        <v>486.39150000000001</v>
      </c>
    </row>
    <row r="797" spans="1:10" ht="15.75" x14ac:dyDescent="0.25">
      <c r="A797" s="13">
        <v>65196</v>
      </c>
      <c r="B797" s="10">
        <f>53.3512 * CHOOSE(CONTROL!$C$15, $E$9, 100%, $G$9) + CHOOSE(CONTROL!$C$38, 0.0278, 0)</f>
        <v>53.378999999999998</v>
      </c>
      <c r="C797" s="10">
        <f>49.1636 * CHOOSE(CONTROL!$C$15, $E$9, 100%, $G$9) + CHOOSE(CONTROL!$C$38, 0.0369, 0)</f>
        <v>49.200500000000005</v>
      </c>
      <c r="D797" s="10">
        <f>49.1558 * CHOOSE(CONTROL!$C$15, $E$9, 100%, $G$9) + CHOOSE(CONTROL!$C$38, 0.0369, 0)</f>
        <v>49.192700000000002</v>
      </c>
      <c r="E797" s="46">
        <f>53.195 * CHOOSE(CONTROL!$C$15, $E$9, 100%, $G$9) + CHOOSE(CONTROL!$C$38, 0.0369, 0)</f>
        <v>53.231900000000003</v>
      </c>
      <c r="F797" s="45">
        <f>53.195 * CHOOSE(CONTROL!$C$15, $E$9, 100%, $G$9) + CHOOSE(CONTROL!$C$38, 0.0278, 0)</f>
        <v>53.222799999999999</v>
      </c>
      <c r="G797" s="10">
        <f>49.1621 * CHOOSE(CONTROL!$C$15, $E$9, 100%, $G$9) + CHOOSE(CONTROL!$C$38, 0.0369, 0)</f>
        <v>49.199000000000005</v>
      </c>
      <c r="H797" s="10">
        <f>49.1621 * CHOOSE(CONTROL!$C$15, $E$9, 100%, $G$9) + CHOOSE(CONTROL!$C$38, 0.0369, 0)</f>
        <v>49.199000000000005</v>
      </c>
      <c r="I797" s="10">
        <f>49.1636 * CHOOSE(CONTROL!$C$15, $E$9, 100%, $G$9) + CHOOSE(CONTROL!$C$38, 0.0369, 0)</f>
        <v>49.200500000000005</v>
      </c>
      <c r="J797" s="44">
        <f>493.3999</f>
        <v>493.3999</v>
      </c>
    </row>
    <row r="798" spans="1:10" ht="15.75" x14ac:dyDescent="0.25">
      <c r="A798" s="13">
        <v>65227</v>
      </c>
      <c r="B798" s="10">
        <f>53.1447 * CHOOSE(CONTROL!$C$15, $E$9, 100%, $G$9) + CHOOSE(CONTROL!$C$38, 0.0278, 0)</f>
        <v>53.172499999999999</v>
      </c>
      <c r="C798" s="10">
        <f>48.9571 * CHOOSE(CONTROL!$C$15, $E$9, 100%, $G$9) + CHOOSE(CONTROL!$C$38, 0.0369, 0)</f>
        <v>48.994</v>
      </c>
      <c r="D798" s="10">
        <f>48.9493 * CHOOSE(CONTROL!$C$15, $E$9, 100%, $G$9) + CHOOSE(CONTROL!$C$38, 0.0369, 0)</f>
        <v>48.986200000000004</v>
      </c>
      <c r="E798" s="46">
        <f>52.9885 * CHOOSE(CONTROL!$C$15, $E$9, 100%, $G$9) + CHOOSE(CONTROL!$C$38, 0.0369, 0)</f>
        <v>53.025400000000005</v>
      </c>
      <c r="F798" s="45">
        <f>52.9885 * CHOOSE(CONTROL!$C$15, $E$9, 100%, $G$9) + CHOOSE(CONTROL!$C$38, 0.0278, 0)</f>
        <v>53.016300000000001</v>
      </c>
      <c r="G798" s="10">
        <f>48.9556 * CHOOSE(CONTROL!$C$15, $E$9, 100%, $G$9) + CHOOSE(CONTROL!$C$38, 0.0369, 0)</f>
        <v>48.9925</v>
      </c>
      <c r="H798" s="10">
        <f>48.9556 * CHOOSE(CONTROL!$C$15, $E$9, 100%, $G$9) + CHOOSE(CONTROL!$C$38, 0.0369, 0)</f>
        <v>48.9925</v>
      </c>
      <c r="I798" s="10">
        <f>48.9571 * CHOOSE(CONTROL!$C$15, $E$9, 100%, $G$9) + CHOOSE(CONTROL!$C$38, 0.0369, 0)</f>
        <v>48.994</v>
      </c>
      <c r="J798" s="44">
        <f>491.0924</f>
        <v>491.0924</v>
      </c>
    </row>
    <row r="799" spans="1:10" ht="15.75" x14ac:dyDescent="0.25">
      <c r="A799" s="13">
        <v>65258</v>
      </c>
      <c r="B799" s="10">
        <f>53.2466 * CHOOSE(CONTROL!$C$15, $E$9, 100%, $G$9) + CHOOSE(CONTROL!$C$38, 0.0278, 0)</f>
        <v>53.2744</v>
      </c>
      <c r="C799" s="10">
        <f>49.059 * CHOOSE(CONTROL!$C$15, $E$9, 100%, $G$9) + CHOOSE(CONTROL!$C$38, 0.0369, 0)</f>
        <v>49.0959</v>
      </c>
      <c r="D799" s="10">
        <f>49.0512 * CHOOSE(CONTROL!$C$15, $E$9, 100%, $G$9) + CHOOSE(CONTROL!$C$38, 0.0369, 0)</f>
        <v>49.088100000000004</v>
      </c>
      <c r="E799" s="46">
        <f>53.0904 * CHOOSE(CONTROL!$C$15, $E$9, 100%, $G$9) + CHOOSE(CONTROL!$C$38, 0.0369, 0)</f>
        <v>53.127300000000005</v>
      </c>
      <c r="F799" s="45">
        <f>53.0904 * CHOOSE(CONTROL!$C$15, $E$9, 100%, $G$9) + CHOOSE(CONTROL!$C$38, 0.0278, 0)</f>
        <v>53.118200000000002</v>
      </c>
      <c r="G799" s="10">
        <f>49.0575 * CHOOSE(CONTROL!$C$15, $E$9, 100%, $G$9) + CHOOSE(CONTROL!$C$38, 0.0369, 0)</f>
        <v>49.0944</v>
      </c>
      <c r="H799" s="10">
        <f>49.0575 * CHOOSE(CONTROL!$C$15, $E$9, 100%, $G$9) + CHOOSE(CONTROL!$C$38, 0.0369, 0)</f>
        <v>49.0944</v>
      </c>
      <c r="I799" s="10">
        <f>49.059 * CHOOSE(CONTROL!$C$15, $E$9, 100%, $G$9) + CHOOSE(CONTROL!$C$38, 0.0369, 0)</f>
        <v>49.0959</v>
      </c>
      <c r="J799" s="44">
        <f>479.66</f>
        <v>479.66</v>
      </c>
    </row>
    <row r="800" spans="1:10" ht="15.75" x14ac:dyDescent="0.25">
      <c r="A800" s="13">
        <v>65288</v>
      </c>
      <c r="B800" s="10">
        <f>53.5234 * CHOOSE(CONTROL!$C$15, $E$9, 100%, $G$9) + CHOOSE(CONTROL!$C$38, 0.0278, 0)</f>
        <v>53.551200000000001</v>
      </c>
      <c r="C800" s="10">
        <f>49.3358 * CHOOSE(CONTROL!$C$15, $E$9, 100%, $G$9) + CHOOSE(CONTROL!$C$38, 0.0369, 0)</f>
        <v>49.372700000000002</v>
      </c>
      <c r="D800" s="10">
        <f>49.328 * CHOOSE(CONTROL!$C$15, $E$9, 100%, $G$9) + CHOOSE(CONTROL!$C$38, 0.0369, 0)</f>
        <v>49.364900000000006</v>
      </c>
      <c r="E800" s="46">
        <f>53.3672 * CHOOSE(CONTROL!$C$15, $E$9, 100%, $G$9) + CHOOSE(CONTROL!$C$38, 0.0369, 0)</f>
        <v>53.4041</v>
      </c>
      <c r="F800" s="45">
        <f>53.3672 * CHOOSE(CONTROL!$C$15, $E$9, 100%, $G$9) + CHOOSE(CONTROL!$C$38, 0.0278, 0)</f>
        <v>53.394999999999996</v>
      </c>
      <c r="G800" s="10">
        <f>49.3343 * CHOOSE(CONTROL!$C$15, $E$9, 100%, $G$9) + CHOOSE(CONTROL!$C$38, 0.0369, 0)</f>
        <v>49.371200000000002</v>
      </c>
      <c r="H800" s="10">
        <f>49.3343 * CHOOSE(CONTROL!$C$15, $E$9, 100%, $G$9) + CHOOSE(CONTROL!$C$38, 0.0369, 0)</f>
        <v>49.371200000000002</v>
      </c>
      <c r="I800" s="10">
        <f>49.3358 * CHOOSE(CONTROL!$C$15, $E$9, 100%, $G$9) + CHOOSE(CONTROL!$C$38, 0.0369, 0)</f>
        <v>49.372700000000002</v>
      </c>
      <c r="J800" s="44">
        <f>463.7169</f>
        <v>463.71690000000001</v>
      </c>
    </row>
    <row r="801" spans="1:10" ht="15.75" x14ac:dyDescent="0.25">
      <c r="A801" s="13">
        <v>65319</v>
      </c>
      <c r="B801" s="10">
        <f>53.7553 * CHOOSE(CONTROL!$C$15, $E$9, 100%, $G$9) + CHOOSE(CONTROL!$C$38, 0.0256, 0)</f>
        <v>53.780899999999995</v>
      </c>
      <c r="C801" s="10">
        <f>49.5677 * CHOOSE(CONTROL!$C$15, $E$9, 100%, $G$9) + CHOOSE(CONTROL!$C$38, 0.0347, 0)</f>
        <v>49.602400000000003</v>
      </c>
      <c r="D801" s="10">
        <f>49.5598 * CHOOSE(CONTROL!$C$15, $E$9, 100%, $G$9) + CHOOSE(CONTROL!$C$38, 0.0347, 0)</f>
        <v>49.594500000000004</v>
      </c>
      <c r="E801" s="46">
        <f>53.599 * CHOOSE(CONTROL!$C$15, $E$9, 100%, $G$9) + CHOOSE(CONTROL!$C$38, 0.0347, 0)</f>
        <v>53.633699999999997</v>
      </c>
      <c r="F801" s="45">
        <f>53.599 * CHOOSE(CONTROL!$C$15, $E$9, 100%, $G$9) + CHOOSE(CONTROL!$C$38, 0.0256, 0)</f>
        <v>53.624599999999994</v>
      </c>
      <c r="G801" s="10">
        <f>49.5661 * CHOOSE(CONTROL!$C$15, $E$9, 100%, $G$9) + CHOOSE(CONTROL!$C$38, 0.0347, 0)</f>
        <v>49.6008</v>
      </c>
      <c r="H801" s="10">
        <f>49.5661 * CHOOSE(CONTROL!$C$15, $E$9, 100%, $G$9) + CHOOSE(CONTROL!$C$38, 0.0347, 0)</f>
        <v>49.6008</v>
      </c>
      <c r="I801" s="10">
        <f>49.5677 * CHOOSE(CONTROL!$C$15, $E$9, 100%, $G$9) + CHOOSE(CONTROL!$C$38, 0.0347, 0)</f>
        <v>49.602400000000003</v>
      </c>
      <c r="J801" s="44">
        <f>447.6811</f>
        <v>447.68110000000001</v>
      </c>
    </row>
    <row r="802" spans="1:10" ht="15.75" x14ac:dyDescent="0.25">
      <c r="A802" s="13">
        <v>65349</v>
      </c>
      <c r="B802" s="10">
        <f>53.9487 * CHOOSE(CONTROL!$C$15, $E$9, 100%, $G$9) + CHOOSE(CONTROL!$C$38, 0.0256, 0)</f>
        <v>53.974299999999999</v>
      </c>
      <c r="C802" s="10">
        <f>49.7611 * CHOOSE(CONTROL!$C$15, $E$9, 100%, $G$9) + CHOOSE(CONTROL!$C$38, 0.0347, 0)</f>
        <v>49.7958</v>
      </c>
      <c r="D802" s="10">
        <f>49.7533 * CHOOSE(CONTROL!$C$15, $E$9, 100%, $G$9) + CHOOSE(CONTROL!$C$38, 0.0347, 0)</f>
        <v>49.788000000000004</v>
      </c>
      <c r="E802" s="46">
        <f>53.7924 * CHOOSE(CONTROL!$C$15, $E$9, 100%, $G$9) + CHOOSE(CONTROL!$C$38, 0.0347, 0)</f>
        <v>53.827100000000002</v>
      </c>
      <c r="F802" s="45">
        <f>53.7924 * CHOOSE(CONTROL!$C$15, $E$9, 100%, $G$9) + CHOOSE(CONTROL!$C$38, 0.0256, 0)</f>
        <v>53.817999999999998</v>
      </c>
      <c r="G802" s="10">
        <f>49.7595 * CHOOSE(CONTROL!$C$15, $E$9, 100%, $G$9) + CHOOSE(CONTROL!$C$38, 0.0347, 0)</f>
        <v>49.794200000000004</v>
      </c>
      <c r="H802" s="10">
        <f>49.7595 * CHOOSE(CONTROL!$C$15, $E$9, 100%, $G$9) + CHOOSE(CONTROL!$C$38, 0.0347, 0)</f>
        <v>49.794200000000004</v>
      </c>
      <c r="I802" s="10">
        <f>49.7611 * CHOOSE(CONTROL!$C$15, $E$9, 100%, $G$9) + CHOOSE(CONTROL!$C$38, 0.0347, 0)</f>
        <v>49.7958</v>
      </c>
      <c r="J802" s="44">
        <f>444.4912</f>
        <v>444.49119999999999</v>
      </c>
    </row>
    <row r="803" spans="1:10" ht="15.75" x14ac:dyDescent="0.25">
      <c r="A803" s="13">
        <v>65380</v>
      </c>
      <c r="B803" s="10">
        <f>54.5448 * CHOOSE(CONTROL!$C$15, $E$9, 100%, $G$9) + CHOOSE(CONTROL!$C$38, 0.0256, 0)</f>
        <v>54.570399999999999</v>
      </c>
      <c r="C803" s="10">
        <f>50.3572 * CHOOSE(CONTROL!$C$15, $E$9, 100%, $G$9) + CHOOSE(CONTROL!$C$38, 0.0347, 0)</f>
        <v>50.3919</v>
      </c>
      <c r="D803" s="10">
        <f>50.3494 * CHOOSE(CONTROL!$C$15, $E$9, 100%, $G$9) + CHOOSE(CONTROL!$C$38, 0.0347, 0)</f>
        <v>50.384100000000004</v>
      </c>
      <c r="E803" s="46">
        <f>54.3885 * CHOOSE(CONTROL!$C$15, $E$9, 100%, $G$9) + CHOOSE(CONTROL!$C$38, 0.0347, 0)</f>
        <v>54.423200000000001</v>
      </c>
      <c r="F803" s="45">
        <f>54.3885 * CHOOSE(CONTROL!$C$15, $E$9, 100%, $G$9) + CHOOSE(CONTROL!$C$38, 0.0256, 0)</f>
        <v>54.414099999999998</v>
      </c>
      <c r="G803" s="10">
        <f>50.3556 * CHOOSE(CONTROL!$C$15, $E$9, 100%, $G$9) + CHOOSE(CONTROL!$C$38, 0.0347, 0)</f>
        <v>50.390300000000003</v>
      </c>
      <c r="H803" s="10">
        <f>50.3556 * CHOOSE(CONTROL!$C$15, $E$9, 100%, $G$9) + CHOOSE(CONTROL!$C$38, 0.0347, 0)</f>
        <v>50.390300000000003</v>
      </c>
      <c r="I803" s="10">
        <f>50.3572 * CHOOSE(CONTROL!$C$15, $E$9, 100%, $G$9) + CHOOSE(CONTROL!$C$38, 0.0347, 0)</f>
        <v>50.3919</v>
      </c>
      <c r="J803" s="44">
        <f>431.3009</f>
        <v>431.30090000000001</v>
      </c>
    </row>
    <row r="804" spans="1:10" ht="15.75" x14ac:dyDescent="0.25">
      <c r="A804" s="13">
        <v>65411</v>
      </c>
      <c r="B804" s="10">
        <f>55.8904 * CHOOSE(CONTROL!$C$15, $E$9, 100%, $G$9) + CHOOSE(CONTROL!$C$38, 0.0256, 0)</f>
        <v>55.915999999999997</v>
      </c>
      <c r="C804" s="10">
        <f>51.6367 * CHOOSE(CONTROL!$C$15, $E$9, 100%, $G$9) + CHOOSE(CONTROL!$C$38, 0.0347, 0)</f>
        <v>51.671399999999998</v>
      </c>
      <c r="D804" s="10">
        <f>51.6289 * CHOOSE(CONTROL!$C$15, $E$9, 100%, $G$9) + CHOOSE(CONTROL!$C$38, 0.0347, 0)</f>
        <v>51.663600000000002</v>
      </c>
      <c r="E804" s="46">
        <f>55.7342 * CHOOSE(CONTROL!$C$15, $E$9, 100%, $G$9) + CHOOSE(CONTROL!$C$38, 0.0347, 0)</f>
        <v>55.768900000000002</v>
      </c>
      <c r="F804" s="45">
        <f>55.7342 * CHOOSE(CONTROL!$C$15, $E$9, 100%, $G$9) + CHOOSE(CONTROL!$C$38, 0.0256, 0)</f>
        <v>55.759799999999998</v>
      </c>
      <c r="G804" s="10">
        <f>51.6352 * CHOOSE(CONTROL!$C$15, $E$9, 100%, $G$9) + CHOOSE(CONTROL!$C$38, 0.0347, 0)</f>
        <v>51.669899999999998</v>
      </c>
      <c r="H804" s="10">
        <f>51.6352 * CHOOSE(CONTROL!$C$15, $E$9, 100%, $G$9) + CHOOSE(CONTROL!$C$38, 0.0347, 0)</f>
        <v>51.669899999999998</v>
      </c>
      <c r="I804" s="10">
        <f>51.6367 * CHOOSE(CONTROL!$C$15, $E$9, 100%, $G$9) + CHOOSE(CONTROL!$C$38, 0.0347, 0)</f>
        <v>51.671399999999998</v>
      </c>
      <c r="J804" s="44">
        <f>430.4772</f>
        <v>430.47719999999998</v>
      </c>
    </row>
    <row r="805" spans="1:10" ht="15.75" x14ac:dyDescent="0.25">
      <c r="A805" s="13">
        <v>65439</v>
      </c>
      <c r="B805" s="10">
        <f>56.1112 * CHOOSE(CONTROL!$C$15, $E$9, 100%, $G$9) + CHOOSE(CONTROL!$C$38, 0.0256, 0)</f>
        <v>56.136799999999994</v>
      </c>
      <c r="C805" s="10">
        <f>51.8575 * CHOOSE(CONTROL!$C$15, $E$9, 100%, $G$9) + CHOOSE(CONTROL!$C$38, 0.0347, 0)</f>
        <v>51.892200000000003</v>
      </c>
      <c r="D805" s="10">
        <f>51.8497 * CHOOSE(CONTROL!$C$15, $E$9, 100%, $G$9) + CHOOSE(CONTROL!$C$38, 0.0347, 0)</f>
        <v>51.884399999999999</v>
      </c>
      <c r="E805" s="46">
        <f>55.9549 * CHOOSE(CONTROL!$C$15, $E$9, 100%, $G$9) + CHOOSE(CONTROL!$C$38, 0.0347, 0)</f>
        <v>55.989600000000003</v>
      </c>
      <c r="F805" s="45">
        <f>55.9549 * CHOOSE(CONTROL!$C$15, $E$9, 100%, $G$9) + CHOOSE(CONTROL!$C$38, 0.0256, 0)</f>
        <v>55.980499999999999</v>
      </c>
      <c r="G805" s="10">
        <f>51.8559 * CHOOSE(CONTROL!$C$15, $E$9, 100%, $G$9) + CHOOSE(CONTROL!$C$38, 0.0347, 0)</f>
        <v>51.890599999999999</v>
      </c>
      <c r="H805" s="10">
        <f>51.8559 * CHOOSE(CONTROL!$C$15, $E$9, 100%, $G$9) + CHOOSE(CONTROL!$C$38, 0.0347, 0)</f>
        <v>51.890599999999999</v>
      </c>
      <c r="I805" s="10">
        <f>51.8575 * CHOOSE(CONTROL!$C$15, $E$9, 100%, $G$9) + CHOOSE(CONTROL!$C$38, 0.0347, 0)</f>
        <v>51.892200000000003</v>
      </c>
      <c r="J805" s="44">
        <f>429.2807</f>
        <v>429.28070000000002</v>
      </c>
    </row>
    <row r="806" spans="1:10" ht="15.75" x14ac:dyDescent="0.25">
      <c r="A806" s="13">
        <v>65470</v>
      </c>
      <c r="B806" s="10">
        <f>55.6002 * CHOOSE(CONTROL!$C$15, $E$9, 100%, $G$9) + CHOOSE(CONTROL!$C$38, 0.0256, 0)</f>
        <v>55.625799999999998</v>
      </c>
      <c r="C806" s="10">
        <f>51.3465 * CHOOSE(CONTROL!$C$15, $E$9, 100%, $G$9) + CHOOSE(CONTROL!$C$38, 0.0347, 0)</f>
        <v>51.3812</v>
      </c>
      <c r="D806" s="10">
        <f>51.3387 * CHOOSE(CONTROL!$C$15, $E$9, 100%, $G$9) + CHOOSE(CONTROL!$C$38, 0.0347, 0)</f>
        <v>51.373400000000004</v>
      </c>
      <c r="E806" s="46">
        <f>55.4439 * CHOOSE(CONTROL!$C$15, $E$9, 100%, $G$9) + CHOOSE(CONTROL!$C$38, 0.0347, 0)</f>
        <v>55.4786</v>
      </c>
      <c r="F806" s="45">
        <f>55.4439 * CHOOSE(CONTROL!$C$15, $E$9, 100%, $G$9) + CHOOSE(CONTROL!$C$38, 0.0256, 0)</f>
        <v>55.469499999999996</v>
      </c>
      <c r="G806" s="10">
        <f>51.3449 * CHOOSE(CONTROL!$C$15, $E$9, 100%, $G$9) + CHOOSE(CONTROL!$C$38, 0.0347, 0)</f>
        <v>51.379600000000003</v>
      </c>
      <c r="H806" s="10">
        <f>51.3449 * CHOOSE(CONTROL!$C$15, $E$9, 100%, $G$9) + CHOOSE(CONTROL!$C$38, 0.0347, 0)</f>
        <v>51.379600000000003</v>
      </c>
      <c r="I806" s="10">
        <f>51.3465 * CHOOSE(CONTROL!$C$15, $E$9, 100%, $G$9) + CHOOSE(CONTROL!$C$38, 0.0347, 0)</f>
        <v>51.3812</v>
      </c>
      <c r="J806" s="44">
        <f>451.9062</f>
        <v>451.90620000000001</v>
      </c>
    </row>
    <row r="807" spans="1:10" ht="15.75" x14ac:dyDescent="0.25">
      <c r="A807" s="13">
        <v>65500</v>
      </c>
      <c r="B807" s="10">
        <f>55.105 * CHOOSE(CONTROL!$C$15, $E$9, 100%, $G$9) + CHOOSE(CONTROL!$C$38, 0.0256, 0)</f>
        <v>55.130599999999994</v>
      </c>
      <c r="C807" s="10">
        <f>50.8513 * CHOOSE(CONTROL!$C$15, $E$9, 100%, $G$9) + CHOOSE(CONTROL!$C$38, 0.0347, 0)</f>
        <v>50.886000000000003</v>
      </c>
      <c r="D807" s="10">
        <f>50.8435 * CHOOSE(CONTROL!$C$15, $E$9, 100%, $G$9) + CHOOSE(CONTROL!$C$38, 0.0347, 0)</f>
        <v>50.8782</v>
      </c>
      <c r="E807" s="46">
        <f>54.9487 * CHOOSE(CONTROL!$C$15, $E$9, 100%, $G$9) + CHOOSE(CONTROL!$C$38, 0.0347, 0)</f>
        <v>54.983400000000003</v>
      </c>
      <c r="F807" s="45">
        <f>54.9487 * CHOOSE(CONTROL!$C$15, $E$9, 100%, $G$9) + CHOOSE(CONTROL!$C$38, 0.0256, 0)</f>
        <v>54.974299999999999</v>
      </c>
      <c r="G807" s="10">
        <f>50.8497 * CHOOSE(CONTROL!$C$15, $E$9, 100%, $G$9) + CHOOSE(CONTROL!$C$38, 0.0347, 0)</f>
        <v>50.884399999999999</v>
      </c>
      <c r="H807" s="10">
        <f>50.8497 * CHOOSE(CONTROL!$C$15, $E$9, 100%, $G$9) + CHOOSE(CONTROL!$C$38, 0.0347, 0)</f>
        <v>50.884399999999999</v>
      </c>
      <c r="I807" s="10">
        <f>50.8513 * CHOOSE(CONTROL!$C$15, $E$9, 100%, $G$9) + CHOOSE(CONTROL!$C$38, 0.0347, 0)</f>
        <v>50.886000000000003</v>
      </c>
      <c r="J807" s="44">
        <f>481.2462</f>
        <v>481.24619999999999</v>
      </c>
    </row>
    <row r="808" spans="1:10" ht="15.75" x14ac:dyDescent="0.25">
      <c r="A808" s="13">
        <v>65531</v>
      </c>
      <c r="B808" s="10">
        <f>54.5889 * CHOOSE(CONTROL!$C$15, $E$9, 100%, $G$9) + CHOOSE(CONTROL!$C$38, 0.0278, 0)</f>
        <v>54.616700000000002</v>
      </c>
      <c r="C808" s="10">
        <f>50.3352 * CHOOSE(CONTROL!$C$15, $E$9, 100%, $G$9) + CHOOSE(CONTROL!$C$38, 0.0369, 0)</f>
        <v>50.372100000000003</v>
      </c>
      <c r="D808" s="10">
        <f>50.3274 * CHOOSE(CONTROL!$C$15, $E$9, 100%, $G$9) + CHOOSE(CONTROL!$C$38, 0.0369, 0)</f>
        <v>50.3643</v>
      </c>
      <c r="E808" s="46">
        <f>54.4326 * CHOOSE(CONTROL!$C$15, $E$9, 100%, $G$9) + CHOOSE(CONTROL!$C$38, 0.0369, 0)</f>
        <v>54.469500000000004</v>
      </c>
      <c r="F808" s="45">
        <f>54.4326 * CHOOSE(CONTROL!$C$15, $E$9, 100%, $G$9) + CHOOSE(CONTROL!$C$38, 0.0278, 0)</f>
        <v>54.4604</v>
      </c>
      <c r="G808" s="10">
        <f>50.3336 * CHOOSE(CONTROL!$C$15, $E$9, 100%, $G$9) + CHOOSE(CONTROL!$C$38, 0.0369, 0)</f>
        <v>50.3705</v>
      </c>
      <c r="H808" s="10">
        <f>50.3336 * CHOOSE(CONTROL!$C$15, $E$9, 100%, $G$9) + CHOOSE(CONTROL!$C$38, 0.0369, 0)</f>
        <v>50.3705</v>
      </c>
      <c r="I808" s="10">
        <f>50.3352 * CHOOSE(CONTROL!$C$15, $E$9, 100%, $G$9) + CHOOSE(CONTROL!$C$38, 0.0369, 0)</f>
        <v>50.372100000000003</v>
      </c>
      <c r="J808" s="44">
        <f>497.3959</f>
        <v>497.39589999999998</v>
      </c>
    </row>
    <row r="809" spans="1:10" ht="15.75" x14ac:dyDescent="0.25">
      <c r="A809" s="13">
        <v>65561</v>
      </c>
      <c r="B809" s="10">
        <f>54.227 * CHOOSE(CONTROL!$C$15, $E$9, 100%, $G$9) + CHOOSE(CONTROL!$C$38, 0.0278, 0)</f>
        <v>54.254799999999996</v>
      </c>
      <c r="C809" s="10">
        <f>49.9733 * CHOOSE(CONTROL!$C$15, $E$9, 100%, $G$9) + CHOOSE(CONTROL!$C$38, 0.0369, 0)</f>
        <v>50.010200000000005</v>
      </c>
      <c r="D809" s="10">
        <f>49.9655 * CHOOSE(CONTROL!$C$15, $E$9, 100%, $G$9) + CHOOSE(CONTROL!$C$38, 0.0369, 0)</f>
        <v>50.002400000000002</v>
      </c>
      <c r="E809" s="46">
        <f>54.0708 * CHOOSE(CONTROL!$C$15, $E$9, 100%, $G$9) + CHOOSE(CONTROL!$C$38, 0.0369, 0)</f>
        <v>54.107700000000001</v>
      </c>
      <c r="F809" s="45">
        <f>54.0708 * CHOOSE(CONTROL!$C$15, $E$9, 100%, $G$9) + CHOOSE(CONTROL!$C$38, 0.0278, 0)</f>
        <v>54.098599999999998</v>
      </c>
      <c r="G809" s="10">
        <f>49.9718 * CHOOSE(CONTROL!$C$15, $E$9, 100%, $G$9) + CHOOSE(CONTROL!$C$38, 0.0369, 0)</f>
        <v>50.008700000000005</v>
      </c>
      <c r="H809" s="10">
        <f>49.9718 * CHOOSE(CONTROL!$C$15, $E$9, 100%, $G$9) + CHOOSE(CONTROL!$C$38, 0.0369, 0)</f>
        <v>50.008700000000005</v>
      </c>
      <c r="I809" s="10">
        <f>49.9733 * CHOOSE(CONTROL!$C$15, $E$9, 100%, $G$9) + CHOOSE(CONTROL!$C$38, 0.0369, 0)</f>
        <v>50.010200000000005</v>
      </c>
      <c r="J809" s="44">
        <f>504.5628</f>
        <v>504.56279999999998</v>
      </c>
    </row>
    <row r="810" spans="1:10" ht="15.75" x14ac:dyDescent="0.25">
      <c r="A810" s="13">
        <v>65592</v>
      </c>
      <c r="B810" s="10">
        <f>54.0205 * CHOOSE(CONTROL!$C$15, $E$9, 100%, $G$9) + CHOOSE(CONTROL!$C$38, 0.0278, 0)</f>
        <v>54.048299999999998</v>
      </c>
      <c r="C810" s="10">
        <f>49.7668 * CHOOSE(CONTROL!$C$15, $E$9, 100%, $G$9) + CHOOSE(CONTROL!$C$38, 0.0369, 0)</f>
        <v>49.803700000000006</v>
      </c>
      <c r="D810" s="10">
        <f>49.759 * CHOOSE(CONTROL!$C$15, $E$9, 100%, $G$9) + CHOOSE(CONTROL!$C$38, 0.0369, 0)</f>
        <v>49.795900000000003</v>
      </c>
      <c r="E810" s="46">
        <f>53.8643 * CHOOSE(CONTROL!$C$15, $E$9, 100%, $G$9) + CHOOSE(CONTROL!$C$38, 0.0369, 0)</f>
        <v>53.901200000000003</v>
      </c>
      <c r="F810" s="45">
        <f>53.8643 * CHOOSE(CONTROL!$C$15, $E$9, 100%, $G$9) + CHOOSE(CONTROL!$C$38, 0.0278, 0)</f>
        <v>53.892099999999999</v>
      </c>
      <c r="G810" s="10">
        <f>49.7653 * CHOOSE(CONTROL!$C$15, $E$9, 100%, $G$9) + CHOOSE(CONTROL!$C$38, 0.0369, 0)</f>
        <v>49.802200000000006</v>
      </c>
      <c r="H810" s="10">
        <f>49.7653 * CHOOSE(CONTROL!$C$15, $E$9, 100%, $G$9) + CHOOSE(CONTROL!$C$38, 0.0369, 0)</f>
        <v>49.802200000000006</v>
      </c>
      <c r="I810" s="10">
        <f>49.7668 * CHOOSE(CONTROL!$C$15, $E$9, 100%, $G$9) + CHOOSE(CONTROL!$C$38, 0.0369, 0)</f>
        <v>49.803700000000006</v>
      </c>
      <c r="J810" s="44">
        <f>502.2031</f>
        <v>502.20310000000001</v>
      </c>
    </row>
    <row r="811" spans="1:10" ht="15.75" x14ac:dyDescent="0.25">
      <c r="A811" s="13">
        <v>65623</v>
      </c>
      <c r="B811" s="10">
        <f>54.1224 * CHOOSE(CONTROL!$C$15, $E$9, 100%, $G$9) + CHOOSE(CONTROL!$C$38, 0.0278, 0)</f>
        <v>54.150199999999998</v>
      </c>
      <c r="C811" s="10">
        <f>49.8688 * CHOOSE(CONTROL!$C$15, $E$9, 100%, $G$9) + CHOOSE(CONTROL!$C$38, 0.0369, 0)</f>
        <v>49.905700000000003</v>
      </c>
      <c r="D811" s="10">
        <f>49.8609 * CHOOSE(CONTROL!$C$15, $E$9, 100%, $G$9) + CHOOSE(CONTROL!$C$38, 0.0369, 0)</f>
        <v>49.897800000000004</v>
      </c>
      <c r="E811" s="46">
        <f>53.9662 * CHOOSE(CONTROL!$C$15, $E$9, 100%, $G$9) + CHOOSE(CONTROL!$C$38, 0.0369, 0)</f>
        <v>54.003100000000003</v>
      </c>
      <c r="F811" s="45">
        <f>53.9662 * CHOOSE(CONTROL!$C$15, $E$9, 100%, $G$9) + CHOOSE(CONTROL!$C$38, 0.0278, 0)</f>
        <v>53.994</v>
      </c>
      <c r="G811" s="10">
        <f>49.8672 * CHOOSE(CONTROL!$C$15, $E$9, 100%, $G$9) + CHOOSE(CONTROL!$C$38, 0.0369, 0)</f>
        <v>49.9041</v>
      </c>
      <c r="H811" s="10">
        <f>49.8672 * CHOOSE(CONTROL!$C$15, $E$9, 100%, $G$9) + CHOOSE(CONTROL!$C$38, 0.0369, 0)</f>
        <v>49.9041</v>
      </c>
      <c r="I811" s="10">
        <f>49.8688 * CHOOSE(CONTROL!$C$15, $E$9, 100%, $G$9) + CHOOSE(CONTROL!$C$38, 0.0369, 0)</f>
        <v>49.905700000000003</v>
      </c>
      <c r="J811" s="44">
        <f>490.512</f>
        <v>490.512</v>
      </c>
    </row>
    <row r="812" spans="1:10" ht="15.75" x14ac:dyDescent="0.25">
      <c r="A812" s="13">
        <v>65653</v>
      </c>
      <c r="B812" s="10">
        <f>54.3992 * CHOOSE(CONTROL!$C$15, $E$9, 100%, $G$9) + CHOOSE(CONTROL!$C$38, 0.0278, 0)</f>
        <v>54.427</v>
      </c>
      <c r="C812" s="10">
        <f>50.1456 * CHOOSE(CONTROL!$C$15, $E$9, 100%, $G$9) + CHOOSE(CONTROL!$C$38, 0.0369, 0)</f>
        <v>50.182500000000005</v>
      </c>
      <c r="D812" s="10">
        <f>50.1377 * CHOOSE(CONTROL!$C$15, $E$9, 100%, $G$9) + CHOOSE(CONTROL!$C$38, 0.0369, 0)</f>
        <v>50.174600000000005</v>
      </c>
      <c r="E812" s="46">
        <f>54.243 * CHOOSE(CONTROL!$C$15, $E$9, 100%, $G$9) + CHOOSE(CONTROL!$C$38, 0.0369, 0)</f>
        <v>54.279900000000005</v>
      </c>
      <c r="F812" s="45">
        <f>54.243 * CHOOSE(CONTROL!$C$15, $E$9, 100%, $G$9) + CHOOSE(CONTROL!$C$38, 0.0278, 0)</f>
        <v>54.270800000000001</v>
      </c>
      <c r="G812" s="10">
        <f>50.144 * CHOOSE(CONTROL!$C$15, $E$9, 100%, $G$9) + CHOOSE(CONTROL!$C$38, 0.0369, 0)</f>
        <v>50.180900000000001</v>
      </c>
      <c r="H812" s="10">
        <f>50.144 * CHOOSE(CONTROL!$C$15, $E$9, 100%, $G$9) + CHOOSE(CONTROL!$C$38, 0.0369, 0)</f>
        <v>50.180900000000001</v>
      </c>
      <c r="I812" s="10">
        <f>50.1456 * CHOOSE(CONTROL!$C$15, $E$9, 100%, $G$9) + CHOOSE(CONTROL!$C$38, 0.0369, 0)</f>
        <v>50.182500000000005</v>
      </c>
      <c r="J812" s="44">
        <f>474.2083</f>
        <v>474.20830000000001</v>
      </c>
    </row>
    <row r="813" spans="1:10" ht="15.75" x14ac:dyDescent="0.25">
      <c r="A813" s="13">
        <v>65684</v>
      </c>
      <c r="B813" s="10">
        <f>54.6311 * CHOOSE(CONTROL!$C$15, $E$9, 100%, $G$9) + CHOOSE(CONTROL!$C$38, 0.0256, 0)</f>
        <v>54.656700000000001</v>
      </c>
      <c r="C813" s="10">
        <f>50.3774 * CHOOSE(CONTROL!$C$15, $E$9, 100%, $G$9) + CHOOSE(CONTROL!$C$38, 0.0347, 0)</f>
        <v>50.412100000000002</v>
      </c>
      <c r="D813" s="10">
        <f>50.3696 * CHOOSE(CONTROL!$C$15, $E$9, 100%, $G$9) + CHOOSE(CONTROL!$C$38, 0.0347, 0)</f>
        <v>50.404299999999999</v>
      </c>
      <c r="E813" s="46">
        <f>54.4748 * CHOOSE(CONTROL!$C$15, $E$9, 100%, $G$9) + CHOOSE(CONTROL!$C$38, 0.0347, 0)</f>
        <v>54.509500000000003</v>
      </c>
      <c r="F813" s="45">
        <f>54.4748 * CHOOSE(CONTROL!$C$15, $E$9, 100%, $G$9) + CHOOSE(CONTROL!$C$38, 0.0256, 0)</f>
        <v>54.500399999999999</v>
      </c>
      <c r="G813" s="10">
        <f>50.3758 * CHOOSE(CONTROL!$C$15, $E$9, 100%, $G$9) + CHOOSE(CONTROL!$C$38, 0.0347, 0)</f>
        <v>50.410499999999999</v>
      </c>
      <c r="H813" s="10">
        <f>50.3758 * CHOOSE(CONTROL!$C$15, $E$9, 100%, $G$9) + CHOOSE(CONTROL!$C$38, 0.0347, 0)</f>
        <v>50.410499999999999</v>
      </c>
      <c r="I813" s="10">
        <f>50.3774 * CHOOSE(CONTROL!$C$15, $E$9, 100%, $G$9) + CHOOSE(CONTROL!$C$38, 0.0347, 0)</f>
        <v>50.412100000000002</v>
      </c>
      <c r="J813" s="44">
        <f>457.8097</f>
        <v>457.80970000000002</v>
      </c>
    </row>
    <row r="814" spans="1:10" ht="15.75" x14ac:dyDescent="0.25">
      <c r="A814" s="13">
        <v>65714</v>
      </c>
      <c r="B814" s="10">
        <f>54.8245 * CHOOSE(CONTROL!$C$15, $E$9, 100%, $G$9) + CHOOSE(CONTROL!$C$38, 0.0256, 0)</f>
        <v>54.850099999999998</v>
      </c>
      <c r="C814" s="10">
        <f>50.5708 * CHOOSE(CONTROL!$C$15, $E$9, 100%, $G$9) + CHOOSE(CONTROL!$C$38, 0.0347, 0)</f>
        <v>50.605499999999999</v>
      </c>
      <c r="D814" s="10">
        <f>50.563 * CHOOSE(CONTROL!$C$15, $E$9, 100%, $G$9) + CHOOSE(CONTROL!$C$38, 0.0347, 0)</f>
        <v>50.597700000000003</v>
      </c>
      <c r="E814" s="46">
        <f>54.6683 * CHOOSE(CONTROL!$C$15, $E$9, 100%, $G$9) + CHOOSE(CONTROL!$C$38, 0.0347, 0)</f>
        <v>54.703000000000003</v>
      </c>
      <c r="F814" s="45">
        <f>54.6683 * CHOOSE(CONTROL!$C$15, $E$9, 100%, $G$9) + CHOOSE(CONTROL!$C$38, 0.0256, 0)</f>
        <v>54.693899999999999</v>
      </c>
      <c r="G814" s="10">
        <f>50.5693 * CHOOSE(CONTROL!$C$15, $E$9, 100%, $G$9) + CHOOSE(CONTROL!$C$38, 0.0347, 0)</f>
        <v>50.603999999999999</v>
      </c>
      <c r="H814" s="10">
        <f>50.5693 * CHOOSE(CONTROL!$C$15, $E$9, 100%, $G$9) + CHOOSE(CONTROL!$C$38, 0.0347, 0)</f>
        <v>50.603999999999999</v>
      </c>
      <c r="I814" s="10">
        <f>50.5708 * CHOOSE(CONTROL!$C$15, $E$9, 100%, $G$9) + CHOOSE(CONTROL!$C$38, 0.0347, 0)</f>
        <v>50.605499999999999</v>
      </c>
      <c r="J814" s="44">
        <f>454.5476</f>
        <v>454.54759999999999</v>
      </c>
    </row>
    <row r="815" spans="1:10" ht="15.75" x14ac:dyDescent="0.25">
      <c r="A815" s="13">
        <v>65745</v>
      </c>
      <c r="B815" s="10">
        <f>55.4206 * CHOOSE(CONTROL!$C$15, $E$9, 100%, $G$9) + CHOOSE(CONTROL!$C$38, 0.0256, 0)</f>
        <v>55.446199999999997</v>
      </c>
      <c r="C815" s="10">
        <f>51.1669 * CHOOSE(CONTROL!$C$15, $E$9, 100%, $G$9) + CHOOSE(CONTROL!$C$38, 0.0347, 0)</f>
        <v>51.201599999999999</v>
      </c>
      <c r="D815" s="10">
        <f>51.1591 * CHOOSE(CONTROL!$C$15, $E$9, 100%, $G$9) + CHOOSE(CONTROL!$C$38, 0.0347, 0)</f>
        <v>51.193800000000003</v>
      </c>
      <c r="E815" s="46">
        <f>55.2643 * CHOOSE(CONTROL!$C$15, $E$9, 100%, $G$9) + CHOOSE(CONTROL!$C$38, 0.0347, 0)</f>
        <v>55.298999999999999</v>
      </c>
      <c r="F815" s="45">
        <f>55.2643 * CHOOSE(CONTROL!$C$15, $E$9, 100%, $G$9) + CHOOSE(CONTROL!$C$38, 0.0256, 0)</f>
        <v>55.289899999999996</v>
      </c>
      <c r="G815" s="10">
        <f>51.1653 * CHOOSE(CONTROL!$C$15, $E$9, 100%, $G$9) + CHOOSE(CONTROL!$C$38, 0.0347, 0)</f>
        <v>51.2</v>
      </c>
      <c r="H815" s="10">
        <f>51.1653 * CHOOSE(CONTROL!$C$15, $E$9, 100%, $G$9) + CHOOSE(CONTROL!$C$38, 0.0347, 0)</f>
        <v>51.2</v>
      </c>
      <c r="I815" s="10">
        <f>51.1669 * CHOOSE(CONTROL!$C$15, $E$9, 100%, $G$9) + CHOOSE(CONTROL!$C$38, 0.0347, 0)</f>
        <v>51.201599999999999</v>
      </c>
      <c r="J815" s="44">
        <f>441.0589</f>
        <v>441.05889999999999</v>
      </c>
    </row>
    <row r="816" spans="1:10" ht="15.75" x14ac:dyDescent="0.25">
      <c r="A816" s="13">
        <v>65776</v>
      </c>
      <c r="B816" s="10">
        <f>56.7806 * CHOOSE(CONTROL!$C$15, $E$9, 100%, $G$9) + CHOOSE(CONTROL!$C$38, 0.0256, 0)</f>
        <v>56.806199999999997</v>
      </c>
      <c r="C816" s="10">
        <f>52.4597 * CHOOSE(CONTROL!$C$15, $E$9, 100%, $G$9) + CHOOSE(CONTROL!$C$38, 0.0347, 0)</f>
        <v>52.494399999999999</v>
      </c>
      <c r="D816" s="10">
        <f>52.4519 * CHOOSE(CONTROL!$C$15, $E$9, 100%, $G$9) + CHOOSE(CONTROL!$C$38, 0.0347, 0)</f>
        <v>52.486600000000003</v>
      </c>
      <c r="E816" s="46">
        <f>56.6243 * CHOOSE(CONTROL!$C$15, $E$9, 100%, $G$9) + CHOOSE(CONTROL!$C$38, 0.0347, 0)</f>
        <v>56.658999999999999</v>
      </c>
      <c r="F816" s="45">
        <f>56.6243 * CHOOSE(CONTROL!$C$15, $E$9, 100%, $G$9) + CHOOSE(CONTROL!$C$38, 0.0256, 0)</f>
        <v>56.649899999999995</v>
      </c>
      <c r="G816" s="10">
        <f>52.4582 * CHOOSE(CONTROL!$C$15, $E$9, 100%, $G$9) + CHOOSE(CONTROL!$C$38, 0.0347, 0)</f>
        <v>52.492899999999999</v>
      </c>
      <c r="H816" s="10">
        <f>52.4582 * CHOOSE(CONTROL!$C$15, $E$9, 100%, $G$9) + CHOOSE(CONTROL!$C$38, 0.0347, 0)</f>
        <v>52.492899999999999</v>
      </c>
      <c r="I816" s="10">
        <f>52.4597 * CHOOSE(CONTROL!$C$15, $E$9, 100%, $G$9) + CHOOSE(CONTROL!$C$38, 0.0347, 0)</f>
        <v>52.494399999999999</v>
      </c>
      <c r="J816" s="44">
        <f>440.2166</f>
        <v>440.21660000000003</v>
      </c>
    </row>
    <row r="817" spans="1:10" ht="15.75" x14ac:dyDescent="0.25">
      <c r="A817" s="13">
        <v>65805</v>
      </c>
      <c r="B817" s="10">
        <f>57.0014 * CHOOSE(CONTROL!$C$15, $E$9, 100%, $G$9) + CHOOSE(CONTROL!$C$38, 0.0256, 0)</f>
        <v>57.026999999999994</v>
      </c>
      <c r="C817" s="10">
        <f>52.6805 * CHOOSE(CONTROL!$C$15, $E$9, 100%, $G$9) + CHOOSE(CONTROL!$C$38, 0.0347, 0)</f>
        <v>52.715200000000003</v>
      </c>
      <c r="D817" s="10">
        <f>52.6727 * CHOOSE(CONTROL!$C$15, $E$9, 100%, $G$9) + CHOOSE(CONTROL!$C$38, 0.0347, 0)</f>
        <v>52.7074</v>
      </c>
      <c r="E817" s="46">
        <f>56.8451 * CHOOSE(CONTROL!$C$15, $E$9, 100%, $G$9) + CHOOSE(CONTROL!$C$38, 0.0347, 0)</f>
        <v>56.879800000000003</v>
      </c>
      <c r="F817" s="45">
        <f>56.8451 * CHOOSE(CONTROL!$C$15, $E$9, 100%, $G$9) + CHOOSE(CONTROL!$C$38, 0.0256, 0)</f>
        <v>56.870699999999999</v>
      </c>
      <c r="G817" s="10">
        <f>52.6789 * CHOOSE(CONTROL!$C$15, $E$9, 100%, $G$9) + CHOOSE(CONTROL!$C$38, 0.0347, 0)</f>
        <v>52.7136</v>
      </c>
      <c r="H817" s="10">
        <f>52.6789 * CHOOSE(CONTROL!$C$15, $E$9, 100%, $G$9) + CHOOSE(CONTROL!$C$38, 0.0347, 0)</f>
        <v>52.7136</v>
      </c>
      <c r="I817" s="10">
        <f>52.6805 * CHOOSE(CONTROL!$C$15, $E$9, 100%, $G$9) + CHOOSE(CONTROL!$C$38, 0.0347, 0)</f>
        <v>52.715200000000003</v>
      </c>
      <c r="J817" s="44">
        <f>438.9929</f>
        <v>438.99290000000002</v>
      </c>
    </row>
    <row r="818" spans="1:10" ht="15.75" x14ac:dyDescent="0.25">
      <c r="A818" s="13">
        <v>65836</v>
      </c>
      <c r="B818" s="10">
        <f>56.4903 * CHOOSE(CONTROL!$C$15, $E$9, 100%, $G$9) + CHOOSE(CONTROL!$C$38, 0.0256, 0)</f>
        <v>56.515899999999995</v>
      </c>
      <c r="C818" s="10">
        <f>52.1695 * CHOOSE(CONTROL!$C$15, $E$9, 100%, $G$9) + CHOOSE(CONTROL!$C$38, 0.0347, 0)</f>
        <v>52.2042</v>
      </c>
      <c r="D818" s="10">
        <f>52.1616 * CHOOSE(CONTROL!$C$15, $E$9, 100%, $G$9) + CHOOSE(CONTROL!$C$38, 0.0347, 0)</f>
        <v>52.196300000000001</v>
      </c>
      <c r="E818" s="46">
        <f>56.3341 * CHOOSE(CONTROL!$C$15, $E$9, 100%, $G$9) + CHOOSE(CONTROL!$C$38, 0.0347, 0)</f>
        <v>56.3688</v>
      </c>
      <c r="F818" s="45">
        <f>56.3341 * CHOOSE(CONTROL!$C$15, $E$9, 100%, $G$9) + CHOOSE(CONTROL!$C$38, 0.0256, 0)</f>
        <v>56.359699999999997</v>
      </c>
      <c r="G818" s="10">
        <f>52.1679 * CHOOSE(CONTROL!$C$15, $E$9, 100%, $G$9) + CHOOSE(CONTROL!$C$38, 0.0347, 0)</f>
        <v>52.202600000000004</v>
      </c>
      <c r="H818" s="10">
        <f>52.1679 * CHOOSE(CONTROL!$C$15, $E$9, 100%, $G$9) + CHOOSE(CONTROL!$C$38, 0.0347, 0)</f>
        <v>52.202600000000004</v>
      </c>
      <c r="I818" s="10">
        <f>52.1695 * CHOOSE(CONTROL!$C$15, $E$9, 100%, $G$9) + CHOOSE(CONTROL!$C$38, 0.0347, 0)</f>
        <v>52.2042</v>
      </c>
      <c r="J818" s="44">
        <f>462.1304</f>
        <v>462.13040000000001</v>
      </c>
    </row>
    <row r="819" spans="1:10" ht="15.75" x14ac:dyDescent="0.25">
      <c r="A819" s="13">
        <v>65866</v>
      </c>
      <c r="B819" s="10">
        <f>55.9951 * CHOOSE(CONTROL!$C$15, $E$9, 100%, $G$9) + CHOOSE(CONTROL!$C$38, 0.0256, 0)</f>
        <v>56.020699999999998</v>
      </c>
      <c r="C819" s="10">
        <f>51.6743 * CHOOSE(CONTROL!$C$15, $E$9, 100%, $G$9) + CHOOSE(CONTROL!$C$38, 0.0347, 0)</f>
        <v>51.709000000000003</v>
      </c>
      <c r="D819" s="10">
        <f>51.6665 * CHOOSE(CONTROL!$C$15, $E$9, 100%, $G$9) + CHOOSE(CONTROL!$C$38, 0.0347, 0)</f>
        <v>51.7012</v>
      </c>
      <c r="E819" s="46">
        <f>55.8389 * CHOOSE(CONTROL!$C$15, $E$9, 100%, $G$9) + CHOOSE(CONTROL!$C$38, 0.0347, 0)</f>
        <v>55.873600000000003</v>
      </c>
      <c r="F819" s="45">
        <f>55.8389 * CHOOSE(CONTROL!$C$15, $E$9, 100%, $G$9) + CHOOSE(CONTROL!$C$38, 0.0256, 0)</f>
        <v>55.8645</v>
      </c>
      <c r="G819" s="10">
        <f>51.6727 * CHOOSE(CONTROL!$C$15, $E$9, 100%, $G$9) + CHOOSE(CONTROL!$C$38, 0.0347, 0)</f>
        <v>51.7074</v>
      </c>
      <c r="H819" s="10">
        <f>51.6727 * CHOOSE(CONTROL!$C$15, $E$9, 100%, $G$9) + CHOOSE(CONTROL!$C$38, 0.0347, 0)</f>
        <v>51.7074</v>
      </c>
      <c r="I819" s="10">
        <f>51.6743 * CHOOSE(CONTROL!$C$15, $E$9, 100%, $G$9) + CHOOSE(CONTROL!$C$38, 0.0347, 0)</f>
        <v>51.709000000000003</v>
      </c>
      <c r="J819" s="44">
        <f>492.1341</f>
        <v>492.13409999999999</v>
      </c>
    </row>
    <row r="820" spans="1:10" ht="15.75" x14ac:dyDescent="0.25">
      <c r="A820" s="13">
        <v>65897</v>
      </c>
      <c r="B820" s="10">
        <f>55.479 * CHOOSE(CONTROL!$C$15, $E$9, 100%, $G$9) + CHOOSE(CONTROL!$C$38, 0.0278, 0)</f>
        <v>55.506799999999998</v>
      </c>
      <c r="C820" s="10">
        <f>51.1582 * CHOOSE(CONTROL!$C$15, $E$9, 100%, $G$9) + CHOOSE(CONTROL!$C$38, 0.0369, 0)</f>
        <v>51.195100000000004</v>
      </c>
      <c r="D820" s="10">
        <f>51.1504 * CHOOSE(CONTROL!$C$15, $E$9, 100%, $G$9) + CHOOSE(CONTROL!$C$38, 0.0369, 0)</f>
        <v>51.1873</v>
      </c>
      <c r="E820" s="46">
        <f>55.3228 * CHOOSE(CONTROL!$C$15, $E$9, 100%, $G$9) + CHOOSE(CONTROL!$C$38, 0.0369, 0)</f>
        <v>55.359700000000004</v>
      </c>
      <c r="F820" s="45">
        <f>55.3228 * CHOOSE(CONTROL!$C$15, $E$9, 100%, $G$9) + CHOOSE(CONTROL!$C$38, 0.0278, 0)</f>
        <v>55.3506</v>
      </c>
      <c r="G820" s="10">
        <f>51.1566 * CHOOSE(CONTROL!$C$15, $E$9, 100%, $G$9) + CHOOSE(CONTROL!$C$38, 0.0369, 0)</f>
        <v>51.1935</v>
      </c>
      <c r="H820" s="10">
        <f>51.1566 * CHOOSE(CONTROL!$C$15, $E$9, 100%, $G$9) + CHOOSE(CONTROL!$C$38, 0.0369, 0)</f>
        <v>51.1935</v>
      </c>
      <c r="I820" s="10">
        <f>51.1582 * CHOOSE(CONTROL!$C$15, $E$9, 100%, $G$9) + CHOOSE(CONTROL!$C$38, 0.0369, 0)</f>
        <v>51.195100000000004</v>
      </c>
      <c r="J820" s="44">
        <f>508.6492</f>
        <v>508.64920000000001</v>
      </c>
    </row>
    <row r="821" spans="1:10" ht="15.75" x14ac:dyDescent="0.25">
      <c r="A821" s="13">
        <v>65927</v>
      </c>
      <c r="B821" s="10">
        <f>55.1172 * CHOOSE(CONTROL!$C$15, $E$9, 100%, $G$9) + CHOOSE(CONTROL!$C$38, 0.0278, 0)</f>
        <v>55.144999999999996</v>
      </c>
      <c r="C821" s="10">
        <f>50.7963 * CHOOSE(CONTROL!$C$15, $E$9, 100%, $G$9) + CHOOSE(CONTROL!$C$38, 0.0369, 0)</f>
        <v>50.833200000000005</v>
      </c>
      <c r="D821" s="10">
        <f>50.7885 * CHOOSE(CONTROL!$C$15, $E$9, 100%, $G$9) + CHOOSE(CONTROL!$C$38, 0.0369, 0)</f>
        <v>50.825400000000002</v>
      </c>
      <c r="E821" s="46">
        <f>54.9609 * CHOOSE(CONTROL!$C$15, $E$9, 100%, $G$9) + CHOOSE(CONTROL!$C$38, 0.0369, 0)</f>
        <v>54.997800000000005</v>
      </c>
      <c r="F821" s="45">
        <f>54.9609 * CHOOSE(CONTROL!$C$15, $E$9, 100%, $G$9) + CHOOSE(CONTROL!$C$38, 0.0278, 0)</f>
        <v>54.988700000000001</v>
      </c>
      <c r="G821" s="10">
        <f>50.7948 * CHOOSE(CONTROL!$C$15, $E$9, 100%, $G$9) + CHOOSE(CONTROL!$C$38, 0.0369, 0)</f>
        <v>50.831700000000005</v>
      </c>
      <c r="H821" s="10">
        <f>50.7948 * CHOOSE(CONTROL!$C$15, $E$9, 100%, $G$9) + CHOOSE(CONTROL!$C$38, 0.0369, 0)</f>
        <v>50.831700000000005</v>
      </c>
      <c r="I821" s="10">
        <f>50.7963 * CHOOSE(CONTROL!$C$15, $E$9, 100%, $G$9) + CHOOSE(CONTROL!$C$38, 0.0369, 0)</f>
        <v>50.833200000000005</v>
      </c>
      <c r="J821" s="44">
        <f>515.9783</f>
        <v>515.97829999999999</v>
      </c>
    </row>
    <row r="822" spans="1:10" ht="15.75" x14ac:dyDescent="0.25">
      <c r="A822" s="13">
        <v>65958</v>
      </c>
      <c r="B822" s="10">
        <f>54.9107 * CHOOSE(CONTROL!$C$15, $E$9, 100%, $G$9) + CHOOSE(CONTROL!$C$38, 0.0278, 0)</f>
        <v>54.938499999999998</v>
      </c>
      <c r="C822" s="10">
        <f>50.5898 * CHOOSE(CONTROL!$C$15, $E$9, 100%, $G$9) + CHOOSE(CONTROL!$C$38, 0.0369, 0)</f>
        <v>50.6267</v>
      </c>
      <c r="D822" s="10">
        <f>50.582 * CHOOSE(CONTROL!$C$15, $E$9, 100%, $G$9) + CHOOSE(CONTROL!$C$38, 0.0369, 0)</f>
        <v>50.618900000000004</v>
      </c>
      <c r="E822" s="46">
        <f>54.7545 * CHOOSE(CONTROL!$C$15, $E$9, 100%, $G$9) + CHOOSE(CONTROL!$C$38, 0.0369, 0)</f>
        <v>54.791400000000003</v>
      </c>
      <c r="F822" s="45">
        <f>54.7545 * CHOOSE(CONTROL!$C$15, $E$9, 100%, $G$9) + CHOOSE(CONTROL!$C$38, 0.0278, 0)</f>
        <v>54.782299999999999</v>
      </c>
      <c r="G822" s="10">
        <f>50.5883 * CHOOSE(CONTROL!$C$15, $E$9, 100%, $G$9) + CHOOSE(CONTROL!$C$38, 0.0369, 0)</f>
        <v>50.6252</v>
      </c>
      <c r="H822" s="10">
        <f>50.5883 * CHOOSE(CONTROL!$C$15, $E$9, 100%, $G$9) + CHOOSE(CONTROL!$C$38, 0.0369, 0)</f>
        <v>50.6252</v>
      </c>
      <c r="I822" s="10">
        <f>50.5898 * CHOOSE(CONTROL!$C$15, $E$9, 100%, $G$9) + CHOOSE(CONTROL!$C$38, 0.0369, 0)</f>
        <v>50.6267</v>
      </c>
      <c r="J822" s="44">
        <f>513.5652</f>
        <v>513.5652</v>
      </c>
    </row>
    <row r="823" spans="1:10" ht="15.75" x14ac:dyDescent="0.25">
      <c r="A823" s="13">
        <v>65989</v>
      </c>
      <c r="B823" s="10">
        <f>55.0126 * CHOOSE(CONTROL!$C$15, $E$9, 100%, $G$9) + CHOOSE(CONTROL!$C$38, 0.0278, 0)</f>
        <v>55.040399999999998</v>
      </c>
      <c r="C823" s="10">
        <f>50.6917 * CHOOSE(CONTROL!$C$15, $E$9, 100%, $G$9) + CHOOSE(CONTROL!$C$38, 0.0369, 0)</f>
        <v>50.7286</v>
      </c>
      <c r="D823" s="10">
        <f>50.6839 * CHOOSE(CONTROL!$C$15, $E$9, 100%, $G$9) + CHOOSE(CONTROL!$C$38, 0.0369, 0)</f>
        <v>50.720800000000004</v>
      </c>
      <c r="E823" s="46">
        <f>54.8564 * CHOOSE(CONTROL!$C$15, $E$9, 100%, $G$9) + CHOOSE(CONTROL!$C$38, 0.0369, 0)</f>
        <v>54.893300000000004</v>
      </c>
      <c r="F823" s="45">
        <f>54.8564 * CHOOSE(CONTROL!$C$15, $E$9, 100%, $G$9) + CHOOSE(CONTROL!$C$38, 0.0278, 0)</f>
        <v>54.8842</v>
      </c>
      <c r="G823" s="10">
        <f>50.6902 * CHOOSE(CONTROL!$C$15, $E$9, 100%, $G$9) + CHOOSE(CONTROL!$C$38, 0.0369, 0)</f>
        <v>50.7271</v>
      </c>
      <c r="H823" s="10">
        <f>50.6902 * CHOOSE(CONTROL!$C$15, $E$9, 100%, $G$9) + CHOOSE(CONTROL!$C$38, 0.0369, 0)</f>
        <v>50.7271</v>
      </c>
      <c r="I823" s="10">
        <f>50.6917 * CHOOSE(CONTROL!$C$15, $E$9, 100%, $G$9) + CHOOSE(CONTROL!$C$38, 0.0369, 0)</f>
        <v>50.7286</v>
      </c>
      <c r="J823" s="44">
        <f>501.6096</f>
        <v>501.6096</v>
      </c>
    </row>
    <row r="824" spans="1:10" ht="15.75" x14ac:dyDescent="0.25">
      <c r="A824" s="13">
        <v>66019</v>
      </c>
      <c r="B824" s="10">
        <f>55.2894 * CHOOSE(CONTROL!$C$15, $E$9, 100%, $G$9) + CHOOSE(CONTROL!$C$38, 0.0278, 0)</f>
        <v>55.3172</v>
      </c>
      <c r="C824" s="10">
        <f>50.9685 * CHOOSE(CONTROL!$C$15, $E$9, 100%, $G$9) + CHOOSE(CONTROL!$C$38, 0.0369, 0)</f>
        <v>51.005400000000002</v>
      </c>
      <c r="D824" s="10">
        <f>50.9607 * CHOOSE(CONTROL!$C$15, $E$9, 100%, $G$9) + CHOOSE(CONTROL!$C$38, 0.0369, 0)</f>
        <v>50.997600000000006</v>
      </c>
      <c r="E824" s="46">
        <f>55.1332 * CHOOSE(CONTROL!$C$15, $E$9, 100%, $G$9) + CHOOSE(CONTROL!$C$38, 0.0369, 0)</f>
        <v>55.170100000000005</v>
      </c>
      <c r="F824" s="45">
        <f>55.1332 * CHOOSE(CONTROL!$C$15, $E$9, 100%, $G$9) + CHOOSE(CONTROL!$C$38, 0.0278, 0)</f>
        <v>55.161000000000001</v>
      </c>
      <c r="G824" s="10">
        <f>50.967 * CHOOSE(CONTROL!$C$15, $E$9, 100%, $G$9) + CHOOSE(CONTROL!$C$38, 0.0369, 0)</f>
        <v>51.003900000000002</v>
      </c>
      <c r="H824" s="10">
        <f>50.967 * CHOOSE(CONTROL!$C$15, $E$9, 100%, $G$9) + CHOOSE(CONTROL!$C$38, 0.0369, 0)</f>
        <v>51.003900000000002</v>
      </c>
      <c r="I824" s="10">
        <f>50.9685 * CHOOSE(CONTROL!$C$15, $E$9, 100%, $G$9) + CHOOSE(CONTROL!$C$38, 0.0369, 0)</f>
        <v>51.005400000000002</v>
      </c>
      <c r="J824" s="44">
        <f>484.937</f>
        <v>484.93700000000001</v>
      </c>
    </row>
    <row r="825" spans="1:10" ht="15.75" x14ac:dyDescent="0.25">
      <c r="A825" s="13">
        <v>66050</v>
      </c>
      <c r="B825" s="10">
        <f>55.5212 * CHOOSE(CONTROL!$C$15, $E$9, 100%, $G$9) + CHOOSE(CONTROL!$C$38, 0.0256, 0)</f>
        <v>55.546799999999998</v>
      </c>
      <c r="C825" s="10">
        <f>51.2004 * CHOOSE(CONTROL!$C$15, $E$9, 100%, $G$9) + CHOOSE(CONTROL!$C$38, 0.0347, 0)</f>
        <v>51.235100000000003</v>
      </c>
      <c r="D825" s="10">
        <f>51.1926 * CHOOSE(CONTROL!$C$15, $E$9, 100%, $G$9) + CHOOSE(CONTROL!$C$38, 0.0347, 0)</f>
        <v>51.2273</v>
      </c>
      <c r="E825" s="46">
        <f>55.365 * CHOOSE(CONTROL!$C$15, $E$9, 100%, $G$9) + CHOOSE(CONTROL!$C$38, 0.0347, 0)</f>
        <v>55.399700000000003</v>
      </c>
      <c r="F825" s="45">
        <f>55.365 * CHOOSE(CONTROL!$C$15, $E$9, 100%, $G$9) + CHOOSE(CONTROL!$C$38, 0.0256, 0)</f>
        <v>55.390599999999999</v>
      </c>
      <c r="G825" s="10">
        <f>51.1988 * CHOOSE(CONTROL!$C$15, $E$9, 100%, $G$9) + CHOOSE(CONTROL!$C$38, 0.0347, 0)</f>
        <v>51.233499999999999</v>
      </c>
      <c r="H825" s="10">
        <f>51.1988 * CHOOSE(CONTROL!$C$15, $E$9, 100%, $G$9) + CHOOSE(CONTROL!$C$38, 0.0347, 0)</f>
        <v>51.233499999999999</v>
      </c>
      <c r="I825" s="10">
        <f>51.2004 * CHOOSE(CONTROL!$C$15, $E$9, 100%, $G$9) + CHOOSE(CONTROL!$C$38, 0.0347, 0)</f>
        <v>51.235100000000003</v>
      </c>
      <c r="J825" s="44">
        <f>468.1674</f>
        <v>468.16739999999999</v>
      </c>
    </row>
    <row r="826" spans="1:10" ht="15.75" x14ac:dyDescent="0.25">
      <c r="A826" s="13">
        <v>66080</v>
      </c>
      <c r="B826" s="10">
        <f>55.7147 * CHOOSE(CONTROL!$C$15, $E$9, 100%, $G$9) + CHOOSE(CONTROL!$C$38, 0.0256, 0)</f>
        <v>55.740299999999998</v>
      </c>
      <c r="C826" s="10">
        <f>51.3938 * CHOOSE(CONTROL!$C$15, $E$9, 100%, $G$9) + CHOOSE(CONTROL!$C$38, 0.0347, 0)</f>
        <v>51.4285</v>
      </c>
      <c r="D826" s="10">
        <f>51.386 * CHOOSE(CONTROL!$C$15, $E$9, 100%, $G$9) + CHOOSE(CONTROL!$C$38, 0.0347, 0)</f>
        <v>51.420700000000004</v>
      </c>
      <c r="E826" s="46">
        <f>55.5584 * CHOOSE(CONTROL!$C$15, $E$9, 100%, $G$9) + CHOOSE(CONTROL!$C$38, 0.0347, 0)</f>
        <v>55.5931</v>
      </c>
      <c r="F826" s="45">
        <f>55.5584 * CHOOSE(CONTROL!$C$15, $E$9, 100%, $G$9) + CHOOSE(CONTROL!$C$38, 0.0256, 0)</f>
        <v>55.583999999999996</v>
      </c>
      <c r="G826" s="10">
        <f>51.3922 * CHOOSE(CONTROL!$C$15, $E$9, 100%, $G$9) + CHOOSE(CONTROL!$C$38, 0.0347, 0)</f>
        <v>51.426900000000003</v>
      </c>
      <c r="H826" s="10">
        <f>51.3922 * CHOOSE(CONTROL!$C$15, $E$9, 100%, $G$9) + CHOOSE(CONTROL!$C$38, 0.0347, 0)</f>
        <v>51.426900000000003</v>
      </c>
      <c r="I826" s="10">
        <f>51.3938 * CHOOSE(CONTROL!$C$15, $E$9, 100%, $G$9) + CHOOSE(CONTROL!$C$38, 0.0347, 0)</f>
        <v>51.4285</v>
      </c>
      <c r="J826" s="44">
        <f>464.8316</f>
        <v>464.83159999999998</v>
      </c>
    </row>
    <row r="827" spans="1:10" ht="15.75" x14ac:dyDescent="0.25">
      <c r="A827" s="13">
        <v>66111</v>
      </c>
      <c r="B827" s="10">
        <f>56.3107 * CHOOSE(CONTROL!$C$15, $E$9, 100%, $G$9) + CHOOSE(CONTROL!$C$38, 0.0256, 0)</f>
        <v>56.336299999999994</v>
      </c>
      <c r="C827" s="10">
        <f>51.9899 * CHOOSE(CONTROL!$C$15, $E$9, 100%, $G$9) + CHOOSE(CONTROL!$C$38, 0.0347, 0)</f>
        <v>52.0246</v>
      </c>
      <c r="D827" s="10">
        <f>51.9821 * CHOOSE(CONTROL!$C$15, $E$9, 100%, $G$9) + CHOOSE(CONTROL!$C$38, 0.0347, 0)</f>
        <v>52.016800000000003</v>
      </c>
      <c r="E827" s="46">
        <f>56.1545 * CHOOSE(CONTROL!$C$15, $E$9, 100%, $G$9) + CHOOSE(CONTROL!$C$38, 0.0347, 0)</f>
        <v>56.1892</v>
      </c>
      <c r="F827" s="45">
        <f>56.1545 * CHOOSE(CONTROL!$C$15, $E$9, 100%, $G$9) + CHOOSE(CONTROL!$C$38, 0.0256, 0)</f>
        <v>56.180099999999996</v>
      </c>
      <c r="G827" s="10">
        <f>51.9883 * CHOOSE(CONTROL!$C$15, $E$9, 100%, $G$9) + CHOOSE(CONTROL!$C$38, 0.0347, 0)</f>
        <v>52.023000000000003</v>
      </c>
      <c r="H827" s="10">
        <f>51.9883 * CHOOSE(CONTROL!$C$15, $E$9, 100%, $G$9) + CHOOSE(CONTROL!$C$38, 0.0347, 0)</f>
        <v>52.023000000000003</v>
      </c>
      <c r="I827" s="10">
        <f>51.9899 * CHOOSE(CONTROL!$C$15, $E$9, 100%, $G$9) + CHOOSE(CONTROL!$C$38, 0.0347, 0)</f>
        <v>52.0246</v>
      </c>
      <c r="J827" s="44">
        <f>451.0376</f>
        <v>451.0376</v>
      </c>
    </row>
    <row r="828" spans="1:10" ht="15.75" x14ac:dyDescent="0.25">
      <c r="A828" s="13">
        <v>66142</v>
      </c>
      <c r="B828" s="10">
        <f>57.6854 * CHOOSE(CONTROL!$C$15, $E$9, 100%, $G$9) + CHOOSE(CONTROL!$C$38, 0.0256, 0)</f>
        <v>57.710999999999999</v>
      </c>
      <c r="C828" s="10">
        <f>53.2962 * CHOOSE(CONTROL!$C$15, $E$9, 100%, $G$9) + CHOOSE(CONTROL!$C$38, 0.0347, 0)</f>
        <v>53.3309</v>
      </c>
      <c r="D828" s="10">
        <f>53.2884 * CHOOSE(CONTROL!$C$15, $E$9, 100%, $G$9) + CHOOSE(CONTROL!$C$38, 0.0347, 0)</f>
        <v>53.323100000000004</v>
      </c>
      <c r="E828" s="46">
        <f>57.5291 * CHOOSE(CONTROL!$C$15, $E$9, 100%, $G$9) + CHOOSE(CONTROL!$C$38, 0.0347, 0)</f>
        <v>57.563800000000001</v>
      </c>
      <c r="F828" s="45">
        <f>57.5291 * CHOOSE(CONTROL!$C$15, $E$9, 100%, $G$9) + CHOOSE(CONTROL!$C$38, 0.0256, 0)</f>
        <v>57.554699999999997</v>
      </c>
      <c r="G828" s="10">
        <f>53.2947 * CHOOSE(CONTROL!$C$15, $E$9, 100%, $G$9) + CHOOSE(CONTROL!$C$38, 0.0347, 0)</f>
        <v>53.3294</v>
      </c>
      <c r="H828" s="10">
        <f>53.2947 * CHOOSE(CONTROL!$C$15, $E$9, 100%, $G$9) + CHOOSE(CONTROL!$C$38, 0.0347, 0)</f>
        <v>53.3294</v>
      </c>
      <c r="I828" s="10">
        <f>53.2962 * CHOOSE(CONTROL!$C$15, $E$9, 100%, $G$9) + CHOOSE(CONTROL!$C$38, 0.0347, 0)</f>
        <v>53.3309</v>
      </c>
      <c r="J828" s="44">
        <f>450.1763</f>
        <v>450.17630000000003</v>
      </c>
    </row>
    <row r="829" spans="1:10" ht="15.75" x14ac:dyDescent="0.25">
      <c r="A829" s="13">
        <v>66170</v>
      </c>
      <c r="B829" s="10">
        <f>57.9061 * CHOOSE(CONTROL!$C$15, $E$9, 100%, $G$9) + CHOOSE(CONTROL!$C$38, 0.0256, 0)</f>
        <v>57.931699999999999</v>
      </c>
      <c r="C829" s="10">
        <f>53.517 * CHOOSE(CONTROL!$C$15, $E$9, 100%, $G$9) + CHOOSE(CONTROL!$C$38, 0.0347, 0)</f>
        <v>53.551700000000004</v>
      </c>
      <c r="D829" s="10">
        <f>53.5092 * CHOOSE(CONTROL!$C$15, $E$9, 100%, $G$9) + CHOOSE(CONTROL!$C$38, 0.0347, 0)</f>
        <v>53.543900000000001</v>
      </c>
      <c r="E829" s="46">
        <f>57.7499 * CHOOSE(CONTROL!$C$15, $E$9, 100%, $G$9) + CHOOSE(CONTROL!$C$38, 0.0347, 0)</f>
        <v>57.784599999999998</v>
      </c>
      <c r="F829" s="45">
        <f>57.7499 * CHOOSE(CONTROL!$C$15, $E$9, 100%, $G$9) + CHOOSE(CONTROL!$C$38, 0.0256, 0)</f>
        <v>57.775499999999994</v>
      </c>
      <c r="G829" s="10">
        <f>53.5154 * CHOOSE(CONTROL!$C$15, $E$9, 100%, $G$9) + CHOOSE(CONTROL!$C$38, 0.0347, 0)</f>
        <v>53.5501</v>
      </c>
      <c r="H829" s="10">
        <f>53.5154 * CHOOSE(CONTROL!$C$15, $E$9, 100%, $G$9) + CHOOSE(CONTROL!$C$38, 0.0347, 0)</f>
        <v>53.5501</v>
      </c>
      <c r="I829" s="10">
        <f>53.517 * CHOOSE(CONTROL!$C$15, $E$9, 100%, $G$9) + CHOOSE(CONTROL!$C$38, 0.0347, 0)</f>
        <v>53.551700000000004</v>
      </c>
      <c r="J829" s="44">
        <f>448.9249</f>
        <v>448.92489999999998</v>
      </c>
    </row>
    <row r="830" spans="1:10" ht="15.75" x14ac:dyDescent="0.25">
      <c r="A830" s="13">
        <v>66201</v>
      </c>
      <c r="B830" s="10">
        <f>57.3951 * CHOOSE(CONTROL!$C$15, $E$9, 100%, $G$9) + CHOOSE(CONTROL!$C$38, 0.0256, 0)</f>
        <v>57.420699999999997</v>
      </c>
      <c r="C830" s="10">
        <f>53.0059 * CHOOSE(CONTROL!$C$15, $E$9, 100%, $G$9) + CHOOSE(CONTROL!$C$38, 0.0347, 0)</f>
        <v>53.040599999999998</v>
      </c>
      <c r="D830" s="10">
        <f>52.9981 * CHOOSE(CONTROL!$C$15, $E$9, 100%, $G$9) + CHOOSE(CONTROL!$C$38, 0.0347, 0)</f>
        <v>53.032800000000002</v>
      </c>
      <c r="E830" s="46">
        <f>57.2388 * CHOOSE(CONTROL!$C$15, $E$9, 100%, $G$9) + CHOOSE(CONTROL!$C$38, 0.0347, 0)</f>
        <v>57.273499999999999</v>
      </c>
      <c r="F830" s="45">
        <f>57.2388 * CHOOSE(CONTROL!$C$15, $E$9, 100%, $G$9) + CHOOSE(CONTROL!$C$38, 0.0256, 0)</f>
        <v>57.264399999999995</v>
      </c>
      <c r="G830" s="10">
        <f>53.0044 * CHOOSE(CONTROL!$C$15, $E$9, 100%, $G$9) + CHOOSE(CONTROL!$C$38, 0.0347, 0)</f>
        <v>53.039099999999998</v>
      </c>
      <c r="H830" s="10">
        <f>53.0044 * CHOOSE(CONTROL!$C$15, $E$9, 100%, $G$9) + CHOOSE(CONTROL!$C$38, 0.0347, 0)</f>
        <v>53.039099999999998</v>
      </c>
      <c r="I830" s="10">
        <f>53.0059 * CHOOSE(CONTROL!$C$15, $E$9, 100%, $G$9) + CHOOSE(CONTROL!$C$38, 0.0347, 0)</f>
        <v>53.040599999999998</v>
      </c>
      <c r="J830" s="44">
        <f>472.5859</f>
        <v>472.58589999999998</v>
      </c>
    </row>
    <row r="831" spans="1:10" ht="15.75" x14ac:dyDescent="0.25">
      <c r="A831" s="13">
        <v>66231</v>
      </c>
      <c r="B831" s="10">
        <f>56.8999 * CHOOSE(CONTROL!$C$15, $E$9, 100%, $G$9) + CHOOSE(CONTROL!$C$38, 0.0256, 0)</f>
        <v>56.9255</v>
      </c>
      <c r="C831" s="10">
        <f>52.5108 * CHOOSE(CONTROL!$C$15, $E$9, 100%, $G$9) + CHOOSE(CONTROL!$C$38, 0.0347, 0)</f>
        <v>52.545500000000004</v>
      </c>
      <c r="D831" s="10">
        <f>52.503 * CHOOSE(CONTROL!$C$15, $E$9, 100%, $G$9) + CHOOSE(CONTROL!$C$38, 0.0347, 0)</f>
        <v>52.537700000000001</v>
      </c>
      <c r="E831" s="46">
        <f>56.7437 * CHOOSE(CONTROL!$C$15, $E$9, 100%, $G$9) + CHOOSE(CONTROL!$C$38, 0.0347, 0)</f>
        <v>56.778399999999998</v>
      </c>
      <c r="F831" s="45">
        <f>56.7437 * CHOOSE(CONTROL!$C$15, $E$9, 100%, $G$9) + CHOOSE(CONTROL!$C$38, 0.0256, 0)</f>
        <v>56.769299999999994</v>
      </c>
      <c r="G831" s="10">
        <f>52.5092 * CHOOSE(CONTROL!$C$15, $E$9, 100%, $G$9) + CHOOSE(CONTROL!$C$38, 0.0347, 0)</f>
        <v>52.543900000000001</v>
      </c>
      <c r="H831" s="10">
        <f>52.5092 * CHOOSE(CONTROL!$C$15, $E$9, 100%, $G$9) + CHOOSE(CONTROL!$C$38, 0.0347, 0)</f>
        <v>52.543900000000001</v>
      </c>
      <c r="I831" s="10">
        <f>52.5108 * CHOOSE(CONTROL!$C$15, $E$9, 100%, $G$9) + CHOOSE(CONTROL!$C$38, 0.0347, 0)</f>
        <v>52.545500000000004</v>
      </c>
      <c r="J831" s="44">
        <f>503.2684</f>
        <v>503.26839999999999</v>
      </c>
    </row>
    <row r="832" spans="1:10" ht="15.75" x14ac:dyDescent="0.25">
      <c r="A832" s="13">
        <v>66262</v>
      </c>
      <c r="B832" s="10">
        <f>56.3838 * CHOOSE(CONTROL!$C$15, $E$9, 100%, $G$9) + CHOOSE(CONTROL!$C$38, 0.0278, 0)</f>
        <v>56.4116</v>
      </c>
      <c r="C832" s="10">
        <f>51.9947 * CHOOSE(CONTROL!$C$15, $E$9, 100%, $G$9) + CHOOSE(CONTROL!$C$38, 0.0369, 0)</f>
        <v>52.031600000000005</v>
      </c>
      <c r="D832" s="10">
        <f>51.9868 * CHOOSE(CONTROL!$C$15, $E$9, 100%, $G$9) + CHOOSE(CONTROL!$C$38, 0.0369, 0)</f>
        <v>52.023700000000005</v>
      </c>
      <c r="E832" s="46">
        <f>56.2275 * CHOOSE(CONTROL!$C$15, $E$9, 100%, $G$9) + CHOOSE(CONTROL!$C$38, 0.0369, 0)</f>
        <v>56.264400000000002</v>
      </c>
      <c r="F832" s="45">
        <f>56.2275 * CHOOSE(CONTROL!$C$15, $E$9, 100%, $G$9) + CHOOSE(CONTROL!$C$38, 0.0278, 0)</f>
        <v>56.255299999999998</v>
      </c>
      <c r="G832" s="10">
        <f>51.9931 * CHOOSE(CONTROL!$C$15, $E$9, 100%, $G$9) + CHOOSE(CONTROL!$C$38, 0.0369, 0)</f>
        <v>52.03</v>
      </c>
      <c r="H832" s="10">
        <f>51.9931 * CHOOSE(CONTROL!$C$15, $E$9, 100%, $G$9) + CHOOSE(CONTROL!$C$38, 0.0369, 0)</f>
        <v>52.03</v>
      </c>
      <c r="I832" s="10">
        <f>51.9947 * CHOOSE(CONTROL!$C$15, $E$9, 100%, $G$9) + CHOOSE(CONTROL!$C$38, 0.0369, 0)</f>
        <v>52.031600000000005</v>
      </c>
      <c r="J832" s="44">
        <f>520.1571</f>
        <v>520.15710000000001</v>
      </c>
    </row>
    <row r="833" spans="1:10" ht="15.75" x14ac:dyDescent="0.25">
      <c r="A833" s="13">
        <v>66292</v>
      </c>
      <c r="B833" s="10">
        <f>56.022 * CHOOSE(CONTROL!$C$15, $E$9, 100%, $G$9) + CHOOSE(CONTROL!$C$38, 0.0278, 0)</f>
        <v>56.049799999999998</v>
      </c>
      <c r="C833" s="10">
        <f>51.6328 * CHOOSE(CONTROL!$C$15, $E$9, 100%, $G$9) + CHOOSE(CONTROL!$C$38, 0.0369, 0)</f>
        <v>51.669700000000006</v>
      </c>
      <c r="D833" s="10">
        <f>51.625 * CHOOSE(CONTROL!$C$15, $E$9, 100%, $G$9) + CHOOSE(CONTROL!$C$38, 0.0369, 0)</f>
        <v>51.661900000000003</v>
      </c>
      <c r="E833" s="46">
        <f>55.8657 * CHOOSE(CONTROL!$C$15, $E$9, 100%, $G$9) + CHOOSE(CONTROL!$C$38, 0.0369, 0)</f>
        <v>55.9026</v>
      </c>
      <c r="F833" s="45">
        <f>55.8657 * CHOOSE(CONTROL!$C$15, $E$9, 100%, $G$9) + CHOOSE(CONTROL!$C$38, 0.0278, 0)</f>
        <v>55.893499999999996</v>
      </c>
      <c r="G833" s="10">
        <f>51.6313 * CHOOSE(CONTROL!$C$15, $E$9, 100%, $G$9) + CHOOSE(CONTROL!$C$38, 0.0369, 0)</f>
        <v>51.668200000000006</v>
      </c>
      <c r="H833" s="10">
        <f>51.6313 * CHOOSE(CONTROL!$C$15, $E$9, 100%, $G$9) + CHOOSE(CONTROL!$C$38, 0.0369, 0)</f>
        <v>51.668200000000006</v>
      </c>
      <c r="I833" s="10">
        <f>51.6328 * CHOOSE(CONTROL!$C$15, $E$9, 100%, $G$9) + CHOOSE(CONTROL!$C$38, 0.0369, 0)</f>
        <v>51.669700000000006</v>
      </c>
      <c r="J833" s="44">
        <f>527.652</f>
        <v>527.65200000000004</v>
      </c>
    </row>
    <row r="834" spans="1:10" ht="15.75" x14ac:dyDescent="0.25">
      <c r="A834" s="13">
        <v>66323</v>
      </c>
      <c r="B834" s="10">
        <f>55.8155 * CHOOSE(CONTROL!$C$15, $E$9, 100%, $G$9) + CHOOSE(CONTROL!$C$38, 0.0278, 0)</f>
        <v>55.843299999999999</v>
      </c>
      <c r="C834" s="10">
        <f>51.4263 * CHOOSE(CONTROL!$C$15, $E$9, 100%, $G$9) + CHOOSE(CONTROL!$C$38, 0.0369, 0)</f>
        <v>51.463200000000001</v>
      </c>
      <c r="D834" s="10">
        <f>51.4185 * CHOOSE(CONTROL!$C$15, $E$9, 100%, $G$9) + CHOOSE(CONTROL!$C$38, 0.0369, 0)</f>
        <v>51.455400000000004</v>
      </c>
      <c r="E834" s="46">
        <f>55.6592 * CHOOSE(CONTROL!$C$15, $E$9, 100%, $G$9) + CHOOSE(CONTROL!$C$38, 0.0369, 0)</f>
        <v>55.696100000000001</v>
      </c>
      <c r="F834" s="45">
        <f>55.6592 * CHOOSE(CONTROL!$C$15, $E$9, 100%, $G$9) + CHOOSE(CONTROL!$C$38, 0.0278, 0)</f>
        <v>55.686999999999998</v>
      </c>
      <c r="G834" s="10">
        <f>51.4248 * CHOOSE(CONTROL!$C$15, $E$9, 100%, $G$9) + CHOOSE(CONTROL!$C$38, 0.0369, 0)</f>
        <v>51.4617</v>
      </c>
      <c r="H834" s="10">
        <f>51.4248 * CHOOSE(CONTROL!$C$15, $E$9, 100%, $G$9) + CHOOSE(CONTROL!$C$38, 0.0369, 0)</f>
        <v>51.4617</v>
      </c>
      <c r="I834" s="10">
        <f>51.4263 * CHOOSE(CONTROL!$C$15, $E$9, 100%, $G$9) + CHOOSE(CONTROL!$C$38, 0.0369, 0)</f>
        <v>51.463200000000001</v>
      </c>
      <c r="J834" s="44">
        <f>525.1844</f>
        <v>525.18439999999998</v>
      </c>
    </row>
    <row r="835" spans="1:10" ht="15.75" x14ac:dyDescent="0.25">
      <c r="A835" s="13">
        <v>66354</v>
      </c>
      <c r="B835" s="10">
        <f>55.9174 * CHOOSE(CONTROL!$C$15, $E$9, 100%, $G$9) + CHOOSE(CONTROL!$C$38, 0.0278, 0)</f>
        <v>55.9452</v>
      </c>
      <c r="C835" s="10">
        <f>51.5282 * CHOOSE(CONTROL!$C$15, $E$9, 100%, $G$9) + CHOOSE(CONTROL!$C$38, 0.0369, 0)</f>
        <v>51.565100000000001</v>
      </c>
      <c r="D835" s="10">
        <f>51.5204 * CHOOSE(CONTROL!$C$15, $E$9, 100%, $G$9) + CHOOSE(CONTROL!$C$38, 0.0369, 0)</f>
        <v>51.557300000000005</v>
      </c>
      <c r="E835" s="46">
        <f>55.7611 * CHOOSE(CONTROL!$C$15, $E$9, 100%, $G$9) + CHOOSE(CONTROL!$C$38, 0.0369, 0)</f>
        <v>55.798000000000002</v>
      </c>
      <c r="F835" s="45">
        <f>55.7611 * CHOOSE(CONTROL!$C$15, $E$9, 100%, $G$9) + CHOOSE(CONTROL!$C$38, 0.0278, 0)</f>
        <v>55.788899999999998</v>
      </c>
      <c r="G835" s="10">
        <f>51.5267 * CHOOSE(CONTROL!$C$15, $E$9, 100%, $G$9) + CHOOSE(CONTROL!$C$38, 0.0369, 0)</f>
        <v>51.563600000000001</v>
      </c>
      <c r="H835" s="10">
        <f>51.5267 * CHOOSE(CONTROL!$C$15, $E$9, 100%, $G$9) + CHOOSE(CONTROL!$C$38, 0.0369, 0)</f>
        <v>51.563600000000001</v>
      </c>
      <c r="I835" s="10">
        <f>51.5282 * CHOOSE(CONTROL!$C$15, $E$9, 100%, $G$9) + CHOOSE(CONTROL!$C$38, 0.0369, 0)</f>
        <v>51.565100000000001</v>
      </c>
      <c r="J835" s="44">
        <f>512.9583</f>
        <v>512.95830000000001</v>
      </c>
    </row>
    <row r="836" spans="1:10" ht="15.75" x14ac:dyDescent="0.25">
      <c r="A836" s="13">
        <v>66384</v>
      </c>
      <c r="B836" s="10">
        <f>56.1942 * CHOOSE(CONTROL!$C$15, $E$9, 100%, $G$9) + CHOOSE(CONTROL!$C$38, 0.0278, 0)</f>
        <v>56.222000000000001</v>
      </c>
      <c r="C836" s="10">
        <f>51.805 * CHOOSE(CONTROL!$C$15, $E$9, 100%, $G$9) + CHOOSE(CONTROL!$C$38, 0.0369, 0)</f>
        <v>51.841900000000003</v>
      </c>
      <c r="D836" s="10">
        <f>51.7972 * CHOOSE(CONTROL!$C$15, $E$9, 100%, $G$9) + CHOOSE(CONTROL!$C$38, 0.0369, 0)</f>
        <v>51.834099999999999</v>
      </c>
      <c r="E836" s="46">
        <f>56.0379 * CHOOSE(CONTROL!$C$15, $E$9, 100%, $G$9) + CHOOSE(CONTROL!$C$38, 0.0369, 0)</f>
        <v>56.074800000000003</v>
      </c>
      <c r="F836" s="45">
        <f>56.0379 * CHOOSE(CONTROL!$C$15, $E$9, 100%, $G$9) + CHOOSE(CONTROL!$C$38, 0.0278, 0)</f>
        <v>56.0657</v>
      </c>
      <c r="G836" s="10">
        <f>51.8035 * CHOOSE(CONTROL!$C$15, $E$9, 100%, $G$9) + CHOOSE(CONTROL!$C$38, 0.0369, 0)</f>
        <v>51.840400000000002</v>
      </c>
      <c r="H836" s="10">
        <f>51.8035 * CHOOSE(CONTROL!$C$15, $E$9, 100%, $G$9) + CHOOSE(CONTROL!$C$38, 0.0369, 0)</f>
        <v>51.840400000000002</v>
      </c>
      <c r="I836" s="10">
        <f>51.805 * CHOOSE(CONTROL!$C$15, $E$9, 100%, $G$9) + CHOOSE(CONTROL!$C$38, 0.0369, 0)</f>
        <v>51.841900000000003</v>
      </c>
      <c r="J836" s="44">
        <f>495.9084</f>
        <v>495.90839999999997</v>
      </c>
    </row>
    <row r="837" spans="1:10" ht="15.75" x14ac:dyDescent="0.25">
      <c r="A837" s="13">
        <v>66415</v>
      </c>
      <c r="B837" s="10">
        <f>56.426 * CHOOSE(CONTROL!$C$15, $E$9, 100%, $G$9) + CHOOSE(CONTROL!$C$38, 0.0256, 0)</f>
        <v>56.451599999999999</v>
      </c>
      <c r="C837" s="10">
        <f>52.0369 * CHOOSE(CONTROL!$C$15, $E$9, 100%, $G$9) + CHOOSE(CONTROL!$C$38, 0.0347, 0)</f>
        <v>52.071600000000004</v>
      </c>
      <c r="D837" s="10">
        <f>52.029 * CHOOSE(CONTROL!$C$15, $E$9, 100%, $G$9) + CHOOSE(CONTROL!$C$38, 0.0347, 0)</f>
        <v>52.063700000000004</v>
      </c>
      <c r="E837" s="46">
        <f>56.2698 * CHOOSE(CONTROL!$C$15, $E$9, 100%, $G$9) + CHOOSE(CONTROL!$C$38, 0.0347, 0)</f>
        <v>56.304499999999997</v>
      </c>
      <c r="F837" s="45">
        <f>56.2698 * CHOOSE(CONTROL!$C$15, $E$9, 100%, $G$9) + CHOOSE(CONTROL!$C$38, 0.0256, 0)</f>
        <v>56.295399999999994</v>
      </c>
      <c r="G837" s="10">
        <f>52.0353 * CHOOSE(CONTROL!$C$15, $E$9, 100%, $G$9) + CHOOSE(CONTROL!$C$38, 0.0347, 0)</f>
        <v>52.07</v>
      </c>
      <c r="H837" s="10">
        <f>52.0353 * CHOOSE(CONTROL!$C$15, $E$9, 100%, $G$9) + CHOOSE(CONTROL!$C$38, 0.0347, 0)</f>
        <v>52.07</v>
      </c>
      <c r="I837" s="10">
        <f>52.0369 * CHOOSE(CONTROL!$C$15, $E$9, 100%, $G$9) + CHOOSE(CONTROL!$C$38, 0.0347, 0)</f>
        <v>52.071600000000004</v>
      </c>
      <c r="J837" s="44">
        <f>478.7594</f>
        <v>478.75940000000003</v>
      </c>
    </row>
    <row r="838" spans="1:10" ht="15.75" x14ac:dyDescent="0.25">
      <c r="A838" s="13">
        <v>66445</v>
      </c>
      <c r="B838" s="10">
        <f>56.6194 * CHOOSE(CONTROL!$C$15, $E$9, 100%, $G$9) + CHOOSE(CONTROL!$C$38, 0.0256, 0)</f>
        <v>56.644999999999996</v>
      </c>
      <c r="C838" s="10">
        <f>52.2303 * CHOOSE(CONTROL!$C$15, $E$9, 100%, $G$9) + CHOOSE(CONTROL!$C$38, 0.0347, 0)</f>
        <v>52.265000000000001</v>
      </c>
      <c r="D838" s="10">
        <f>52.2225 * CHOOSE(CONTROL!$C$15, $E$9, 100%, $G$9) + CHOOSE(CONTROL!$C$38, 0.0347, 0)</f>
        <v>52.257199999999997</v>
      </c>
      <c r="E838" s="46">
        <f>56.4632 * CHOOSE(CONTROL!$C$15, $E$9, 100%, $G$9) + CHOOSE(CONTROL!$C$38, 0.0347, 0)</f>
        <v>56.497900000000001</v>
      </c>
      <c r="F838" s="45">
        <f>56.4632 * CHOOSE(CONTROL!$C$15, $E$9, 100%, $G$9) + CHOOSE(CONTROL!$C$38, 0.0256, 0)</f>
        <v>56.488799999999998</v>
      </c>
      <c r="G838" s="10">
        <f>52.2287 * CHOOSE(CONTROL!$C$15, $E$9, 100%, $G$9) + CHOOSE(CONTROL!$C$38, 0.0347, 0)</f>
        <v>52.263400000000004</v>
      </c>
      <c r="H838" s="10">
        <f>52.2287 * CHOOSE(CONTROL!$C$15, $E$9, 100%, $G$9) + CHOOSE(CONTROL!$C$38, 0.0347, 0)</f>
        <v>52.263400000000004</v>
      </c>
      <c r="I838" s="10">
        <f>52.2303 * CHOOSE(CONTROL!$C$15, $E$9, 100%, $G$9) + CHOOSE(CONTROL!$C$38, 0.0347, 0)</f>
        <v>52.265000000000001</v>
      </c>
      <c r="J838" s="44">
        <f>475.3481</f>
        <v>475.34809999999999</v>
      </c>
    </row>
    <row r="839" spans="1:10" ht="15.75" x14ac:dyDescent="0.25">
      <c r="A839" s="13">
        <v>66476</v>
      </c>
      <c r="B839" s="10">
        <f>57.2155 * CHOOSE(CONTROL!$C$15, $E$9, 100%, $G$9) + CHOOSE(CONTROL!$C$38, 0.0256, 0)</f>
        <v>57.241099999999996</v>
      </c>
      <c r="C839" s="10">
        <f>52.8264 * CHOOSE(CONTROL!$C$15, $E$9, 100%, $G$9) + CHOOSE(CONTROL!$C$38, 0.0347, 0)</f>
        <v>52.8611</v>
      </c>
      <c r="D839" s="10">
        <f>52.8186 * CHOOSE(CONTROL!$C$15, $E$9, 100%, $G$9) + CHOOSE(CONTROL!$C$38, 0.0347, 0)</f>
        <v>52.853300000000004</v>
      </c>
      <c r="E839" s="46">
        <f>57.0593 * CHOOSE(CONTROL!$C$15, $E$9, 100%, $G$9) + CHOOSE(CONTROL!$C$38, 0.0347, 0)</f>
        <v>57.094000000000001</v>
      </c>
      <c r="F839" s="45">
        <f>57.0593 * CHOOSE(CONTROL!$C$15, $E$9, 100%, $G$9) + CHOOSE(CONTROL!$C$38, 0.0256, 0)</f>
        <v>57.084899999999998</v>
      </c>
      <c r="G839" s="10">
        <f>52.8248 * CHOOSE(CONTROL!$C$15, $E$9, 100%, $G$9) + CHOOSE(CONTROL!$C$38, 0.0347, 0)</f>
        <v>52.859500000000004</v>
      </c>
      <c r="H839" s="10">
        <f>52.8248 * CHOOSE(CONTROL!$C$15, $E$9, 100%, $G$9) + CHOOSE(CONTROL!$C$38, 0.0347, 0)</f>
        <v>52.859500000000004</v>
      </c>
      <c r="I839" s="10">
        <f>52.8264 * CHOOSE(CONTROL!$C$15, $E$9, 100%, $G$9) + CHOOSE(CONTROL!$C$38, 0.0347, 0)</f>
        <v>52.8611</v>
      </c>
      <c r="J839" s="44">
        <f>461.2421</f>
        <v>461.24209999999999</v>
      </c>
    </row>
    <row r="840" spans="1:10" ht="15.75" x14ac:dyDescent="0.25">
      <c r="A840" s="13">
        <v>66507</v>
      </c>
      <c r="B840" s="10">
        <f>58.605 * CHOOSE(CONTROL!$C$15, $E$9, 100%, $G$9) + CHOOSE(CONTROL!$C$38, 0.0256, 0)</f>
        <v>58.630599999999994</v>
      </c>
      <c r="C840" s="10">
        <f>54.1464 * CHOOSE(CONTROL!$C$15, $E$9, 100%, $G$9) + CHOOSE(CONTROL!$C$38, 0.0347, 0)</f>
        <v>54.181100000000001</v>
      </c>
      <c r="D840" s="10">
        <f>54.1386 * CHOOSE(CONTROL!$C$15, $E$9, 100%, $G$9) + CHOOSE(CONTROL!$C$38, 0.0347, 0)</f>
        <v>54.173299999999998</v>
      </c>
      <c r="E840" s="46">
        <f>58.4487 * CHOOSE(CONTROL!$C$15, $E$9, 100%, $G$9) + CHOOSE(CONTROL!$C$38, 0.0347, 0)</f>
        <v>58.483400000000003</v>
      </c>
      <c r="F840" s="45">
        <f>58.4487 * CHOOSE(CONTROL!$C$15, $E$9, 100%, $G$9) + CHOOSE(CONTROL!$C$38, 0.0256, 0)</f>
        <v>58.474299999999999</v>
      </c>
      <c r="G840" s="10">
        <f>54.1449 * CHOOSE(CONTROL!$C$15, $E$9, 100%, $G$9) + CHOOSE(CONTROL!$C$38, 0.0347, 0)</f>
        <v>54.179600000000001</v>
      </c>
      <c r="H840" s="10">
        <f>54.1449 * CHOOSE(CONTROL!$C$15, $E$9, 100%, $G$9) + CHOOSE(CONTROL!$C$38, 0.0347, 0)</f>
        <v>54.179600000000001</v>
      </c>
      <c r="I840" s="10">
        <f>54.1464 * CHOOSE(CONTROL!$C$15, $E$9, 100%, $G$9) + CHOOSE(CONTROL!$C$38, 0.0347, 0)</f>
        <v>54.181100000000001</v>
      </c>
      <c r="J840" s="44">
        <f>460.3613</f>
        <v>460.36130000000003</v>
      </c>
    </row>
    <row r="841" spans="1:10" ht="15.75" x14ac:dyDescent="0.25">
      <c r="A841" s="13">
        <v>66535</v>
      </c>
      <c r="B841" s="10">
        <f>58.8257 * CHOOSE(CONTROL!$C$15, $E$9, 100%, $G$9) + CHOOSE(CONTROL!$C$38, 0.0256, 0)</f>
        <v>58.851299999999995</v>
      </c>
      <c r="C841" s="10">
        <f>54.3672 * CHOOSE(CONTROL!$C$15, $E$9, 100%, $G$9) + CHOOSE(CONTROL!$C$38, 0.0347, 0)</f>
        <v>54.401899999999998</v>
      </c>
      <c r="D841" s="10">
        <f>54.3594 * CHOOSE(CONTROL!$C$15, $E$9, 100%, $G$9) + CHOOSE(CONTROL!$C$38, 0.0347, 0)</f>
        <v>54.394100000000002</v>
      </c>
      <c r="E841" s="46">
        <f>58.6695 * CHOOSE(CONTROL!$C$15, $E$9, 100%, $G$9) + CHOOSE(CONTROL!$C$38, 0.0347, 0)</f>
        <v>58.7042</v>
      </c>
      <c r="F841" s="45">
        <f>58.6695 * CHOOSE(CONTROL!$C$15, $E$9, 100%, $G$9) + CHOOSE(CONTROL!$C$38, 0.0256, 0)</f>
        <v>58.695099999999996</v>
      </c>
      <c r="G841" s="10">
        <f>54.3656 * CHOOSE(CONTROL!$C$15, $E$9, 100%, $G$9) + CHOOSE(CONTROL!$C$38, 0.0347, 0)</f>
        <v>54.400300000000001</v>
      </c>
      <c r="H841" s="10">
        <f>54.3656 * CHOOSE(CONTROL!$C$15, $E$9, 100%, $G$9) + CHOOSE(CONTROL!$C$38, 0.0347, 0)</f>
        <v>54.400300000000001</v>
      </c>
      <c r="I841" s="10">
        <f>54.3672 * CHOOSE(CONTROL!$C$15, $E$9, 100%, $G$9) + CHOOSE(CONTROL!$C$38, 0.0347, 0)</f>
        <v>54.401899999999998</v>
      </c>
      <c r="J841" s="44">
        <f>459.0816</f>
        <v>459.08159999999998</v>
      </c>
    </row>
    <row r="842" spans="1:10" ht="15.75" x14ac:dyDescent="0.25">
      <c r="A842" s="13">
        <v>66566</v>
      </c>
      <c r="B842" s="10">
        <f>58.3147 * CHOOSE(CONTROL!$C$15, $E$9, 100%, $G$9) + CHOOSE(CONTROL!$C$38, 0.0256, 0)</f>
        <v>58.340299999999999</v>
      </c>
      <c r="C842" s="10">
        <f>53.8561 * CHOOSE(CONTROL!$C$15, $E$9, 100%, $G$9) + CHOOSE(CONTROL!$C$38, 0.0347, 0)</f>
        <v>53.890799999999999</v>
      </c>
      <c r="D842" s="10">
        <f>53.8483 * CHOOSE(CONTROL!$C$15, $E$9, 100%, $G$9) + CHOOSE(CONTROL!$C$38, 0.0347, 0)</f>
        <v>53.883000000000003</v>
      </c>
      <c r="E842" s="46">
        <f>58.1584 * CHOOSE(CONTROL!$C$15, $E$9, 100%, $G$9) + CHOOSE(CONTROL!$C$38, 0.0347, 0)</f>
        <v>58.193100000000001</v>
      </c>
      <c r="F842" s="45">
        <f>58.1584 * CHOOSE(CONTROL!$C$15, $E$9, 100%, $G$9) + CHOOSE(CONTROL!$C$38, 0.0256, 0)</f>
        <v>58.183999999999997</v>
      </c>
      <c r="G842" s="10">
        <f>53.8546 * CHOOSE(CONTROL!$C$15, $E$9, 100%, $G$9) + CHOOSE(CONTROL!$C$38, 0.0347, 0)</f>
        <v>53.889299999999999</v>
      </c>
      <c r="H842" s="10">
        <f>53.8546 * CHOOSE(CONTROL!$C$15, $E$9, 100%, $G$9) + CHOOSE(CONTROL!$C$38, 0.0347, 0)</f>
        <v>53.889299999999999</v>
      </c>
      <c r="I842" s="10">
        <f>53.8561 * CHOOSE(CONTROL!$C$15, $E$9, 100%, $G$9) + CHOOSE(CONTROL!$C$38, 0.0347, 0)</f>
        <v>53.890799999999999</v>
      </c>
      <c r="J842" s="44">
        <f>483.2779</f>
        <v>483.27789999999999</v>
      </c>
    </row>
    <row r="843" spans="1:10" ht="15.75" x14ac:dyDescent="0.25">
      <c r="A843" s="13">
        <v>66596</v>
      </c>
      <c r="B843" s="10">
        <f>57.8195 * CHOOSE(CONTROL!$C$15, $E$9, 100%, $G$9) + CHOOSE(CONTROL!$C$38, 0.0256, 0)</f>
        <v>57.845099999999995</v>
      </c>
      <c r="C843" s="10">
        <f>53.361 * CHOOSE(CONTROL!$C$15, $E$9, 100%, $G$9) + CHOOSE(CONTROL!$C$38, 0.0347, 0)</f>
        <v>53.395699999999998</v>
      </c>
      <c r="D843" s="10">
        <f>53.3532 * CHOOSE(CONTROL!$C$15, $E$9, 100%, $G$9) + CHOOSE(CONTROL!$C$38, 0.0347, 0)</f>
        <v>53.387900000000002</v>
      </c>
      <c r="E843" s="46">
        <f>57.6633 * CHOOSE(CONTROL!$C$15, $E$9, 100%, $G$9) + CHOOSE(CONTROL!$C$38, 0.0347, 0)</f>
        <v>57.698</v>
      </c>
      <c r="F843" s="45">
        <f>57.6633 * CHOOSE(CONTROL!$C$15, $E$9, 100%, $G$9) + CHOOSE(CONTROL!$C$38, 0.0256, 0)</f>
        <v>57.688899999999997</v>
      </c>
      <c r="G843" s="10">
        <f>53.3594 * CHOOSE(CONTROL!$C$15, $E$9, 100%, $G$9) + CHOOSE(CONTROL!$C$38, 0.0347, 0)</f>
        <v>53.394100000000002</v>
      </c>
      <c r="H843" s="10">
        <f>53.3594 * CHOOSE(CONTROL!$C$15, $E$9, 100%, $G$9) + CHOOSE(CONTROL!$C$38, 0.0347, 0)</f>
        <v>53.394100000000002</v>
      </c>
      <c r="I843" s="10">
        <f>53.361 * CHOOSE(CONTROL!$C$15, $E$9, 100%, $G$9) + CHOOSE(CONTROL!$C$38, 0.0347, 0)</f>
        <v>53.395699999999998</v>
      </c>
      <c r="J843" s="44">
        <f>514.6546</f>
        <v>514.65459999999996</v>
      </c>
    </row>
    <row r="844" spans="1:10" ht="15.75" x14ac:dyDescent="0.25">
      <c r="A844" s="13">
        <v>66627</v>
      </c>
      <c r="B844" s="10">
        <f>57.3034 * CHOOSE(CONTROL!$C$15, $E$9, 100%, $G$9) + CHOOSE(CONTROL!$C$38, 0.0278, 0)</f>
        <v>57.331200000000003</v>
      </c>
      <c r="C844" s="10">
        <f>52.8449 * CHOOSE(CONTROL!$C$15, $E$9, 100%, $G$9) + CHOOSE(CONTROL!$C$38, 0.0369, 0)</f>
        <v>52.881800000000005</v>
      </c>
      <c r="D844" s="10">
        <f>52.837 * CHOOSE(CONTROL!$C$15, $E$9, 100%, $G$9) + CHOOSE(CONTROL!$C$38, 0.0369, 0)</f>
        <v>52.873900000000006</v>
      </c>
      <c r="E844" s="46">
        <f>57.1471 * CHOOSE(CONTROL!$C$15, $E$9, 100%, $G$9) + CHOOSE(CONTROL!$C$38, 0.0369, 0)</f>
        <v>57.184000000000005</v>
      </c>
      <c r="F844" s="45">
        <f>57.1471 * CHOOSE(CONTROL!$C$15, $E$9, 100%, $G$9) + CHOOSE(CONTROL!$C$38, 0.0278, 0)</f>
        <v>57.174900000000001</v>
      </c>
      <c r="G844" s="10">
        <f>52.8433 * CHOOSE(CONTROL!$C$15, $E$9, 100%, $G$9) + CHOOSE(CONTROL!$C$38, 0.0369, 0)</f>
        <v>52.880200000000002</v>
      </c>
      <c r="H844" s="10">
        <f>52.8433 * CHOOSE(CONTROL!$C$15, $E$9, 100%, $G$9) + CHOOSE(CONTROL!$C$38, 0.0369, 0)</f>
        <v>52.880200000000002</v>
      </c>
      <c r="I844" s="10">
        <f>52.8449 * CHOOSE(CONTROL!$C$15, $E$9, 100%, $G$9) + CHOOSE(CONTROL!$C$38, 0.0369, 0)</f>
        <v>52.881800000000005</v>
      </c>
      <c r="J844" s="44">
        <f>531.9254</f>
        <v>531.92539999999997</v>
      </c>
    </row>
    <row r="845" spans="1:10" ht="15.75" x14ac:dyDescent="0.25">
      <c r="A845" s="13">
        <v>66657</v>
      </c>
      <c r="B845" s="10">
        <f>56.9416 * CHOOSE(CONTROL!$C$15, $E$9, 100%, $G$9) + CHOOSE(CONTROL!$C$38, 0.0278, 0)</f>
        <v>56.9694</v>
      </c>
      <c r="C845" s="10">
        <f>52.483 * CHOOSE(CONTROL!$C$15, $E$9, 100%, $G$9) + CHOOSE(CONTROL!$C$38, 0.0369, 0)</f>
        <v>52.5199</v>
      </c>
      <c r="D845" s="10">
        <f>52.4752 * CHOOSE(CONTROL!$C$15, $E$9, 100%, $G$9) + CHOOSE(CONTROL!$C$38, 0.0369, 0)</f>
        <v>52.512100000000004</v>
      </c>
      <c r="E845" s="46">
        <f>56.7853 * CHOOSE(CONTROL!$C$15, $E$9, 100%, $G$9) + CHOOSE(CONTROL!$C$38, 0.0369, 0)</f>
        <v>56.822200000000002</v>
      </c>
      <c r="F845" s="45">
        <f>56.7853 * CHOOSE(CONTROL!$C$15, $E$9, 100%, $G$9) + CHOOSE(CONTROL!$C$38, 0.0278, 0)</f>
        <v>56.813099999999999</v>
      </c>
      <c r="G845" s="10">
        <f>52.4815 * CHOOSE(CONTROL!$C$15, $E$9, 100%, $G$9) + CHOOSE(CONTROL!$C$38, 0.0369, 0)</f>
        <v>52.5184</v>
      </c>
      <c r="H845" s="10">
        <f>52.4815 * CHOOSE(CONTROL!$C$15, $E$9, 100%, $G$9) + CHOOSE(CONTROL!$C$38, 0.0369, 0)</f>
        <v>52.5184</v>
      </c>
      <c r="I845" s="10">
        <f>52.483 * CHOOSE(CONTROL!$C$15, $E$9, 100%, $G$9) + CHOOSE(CONTROL!$C$38, 0.0369, 0)</f>
        <v>52.5199</v>
      </c>
      <c r="J845" s="44">
        <f>539.5899</f>
        <v>539.58989999999994</v>
      </c>
    </row>
    <row r="846" spans="1:10" ht="15.75" x14ac:dyDescent="0.25">
      <c r="A846" s="13">
        <v>66688</v>
      </c>
      <c r="B846" s="10">
        <f>56.7351 * CHOOSE(CONTROL!$C$15, $E$9, 100%, $G$9) + CHOOSE(CONTROL!$C$38, 0.0278, 0)</f>
        <v>56.762900000000002</v>
      </c>
      <c r="C846" s="10">
        <f>52.2765 * CHOOSE(CONTROL!$C$15, $E$9, 100%, $G$9) + CHOOSE(CONTROL!$C$38, 0.0369, 0)</f>
        <v>52.313400000000001</v>
      </c>
      <c r="D846" s="10">
        <f>52.2687 * CHOOSE(CONTROL!$C$15, $E$9, 100%, $G$9) + CHOOSE(CONTROL!$C$38, 0.0369, 0)</f>
        <v>52.305600000000005</v>
      </c>
      <c r="E846" s="46">
        <f>56.5788 * CHOOSE(CONTROL!$C$15, $E$9, 100%, $G$9) + CHOOSE(CONTROL!$C$38, 0.0369, 0)</f>
        <v>56.615700000000004</v>
      </c>
      <c r="F846" s="45">
        <f>56.5788 * CHOOSE(CONTROL!$C$15, $E$9, 100%, $G$9) + CHOOSE(CONTROL!$C$38, 0.0278, 0)</f>
        <v>56.6066</v>
      </c>
      <c r="G846" s="10">
        <f>52.275 * CHOOSE(CONTROL!$C$15, $E$9, 100%, $G$9) + CHOOSE(CONTROL!$C$38, 0.0369, 0)</f>
        <v>52.311900000000001</v>
      </c>
      <c r="H846" s="10">
        <f>52.275 * CHOOSE(CONTROL!$C$15, $E$9, 100%, $G$9) + CHOOSE(CONTROL!$C$38, 0.0369, 0)</f>
        <v>52.311900000000001</v>
      </c>
      <c r="I846" s="10">
        <f>52.2765 * CHOOSE(CONTROL!$C$15, $E$9, 100%, $G$9) + CHOOSE(CONTROL!$C$38, 0.0369, 0)</f>
        <v>52.313400000000001</v>
      </c>
      <c r="J846" s="44">
        <f>537.0664</f>
        <v>537.06640000000004</v>
      </c>
    </row>
    <row r="847" spans="1:10" ht="15.75" x14ac:dyDescent="0.25">
      <c r="A847" s="13">
        <v>66719</v>
      </c>
      <c r="B847" s="10">
        <f>56.837 * CHOOSE(CONTROL!$C$15, $E$9, 100%, $G$9) + CHOOSE(CONTROL!$C$38, 0.0278, 0)</f>
        <v>56.864800000000002</v>
      </c>
      <c r="C847" s="10">
        <f>52.3784 * CHOOSE(CONTROL!$C$15, $E$9, 100%, $G$9) + CHOOSE(CONTROL!$C$38, 0.0369, 0)</f>
        <v>52.415300000000002</v>
      </c>
      <c r="D847" s="10">
        <f>52.3706 * CHOOSE(CONTROL!$C$15, $E$9, 100%, $G$9) + CHOOSE(CONTROL!$C$38, 0.0369, 0)</f>
        <v>52.407500000000006</v>
      </c>
      <c r="E847" s="46">
        <f>56.6807 * CHOOSE(CONTROL!$C$15, $E$9, 100%, $G$9) + CHOOSE(CONTROL!$C$38, 0.0369, 0)</f>
        <v>56.717600000000004</v>
      </c>
      <c r="F847" s="45">
        <f>56.6807 * CHOOSE(CONTROL!$C$15, $E$9, 100%, $G$9) + CHOOSE(CONTROL!$C$38, 0.0278, 0)</f>
        <v>56.708500000000001</v>
      </c>
      <c r="G847" s="10">
        <f>52.3769 * CHOOSE(CONTROL!$C$15, $E$9, 100%, $G$9) + CHOOSE(CONTROL!$C$38, 0.0369, 0)</f>
        <v>52.413800000000002</v>
      </c>
      <c r="H847" s="10">
        <f>52.3769 * CHOOSE(CONTROL!$C$15, $E$9, 100%, $G$9) + CHOOSE(CONTROL!$C$38, 0.0369, 0)</f>
        <v>52.413800000000002</v>
      </c>
      <c r="I847" s="10">
        <f>52.3784 * CHOOSE(CONTROL!$C$15, $E$9, 100%, $G$9) + CHOOSE(CONTROL!$C$38, 0.0369, 0)</f>
        <v>52.415300000000002</v>
      </c>
      <c r="J847" s="44">
        <f>524.5637</f>
        <v>524.56370000000004</v>
      </c>
    </row>
    <row r="848" spans="1:10" ht="15.75" x14ac:dyDescent="0.25">
      <c r="A848" s="13">
        <v>66749</v>
      </c>
      <c r="B848" s="10">
        <f>57.1138 * CHOOSE(CONTROL!$C$15, $E$9, 100%, $G$9) + CHOOSE(CONTROL!$C$38, 0.0278, 0)</f>
        <v>57.141599999999997</v>
      </c>
      <c r="C848" s="10">
        <f>52.6552 * CHOOSE(CONTROL!$C$15, $E$9, 100%, $G$9) + CHOOSE(CONTROL!$C$38, 0.0369, 0)</f>
        <v>52.692100000000003</v>
      </c>
      <c r="D848" s="10">
        <f>52.6474 * CHOOSE(CONTROL!$C$15, $E$9, 100%, $G$9) + CHOOSE(CONTROL!$C$38, 0.0369, 0)</f>
        <v>52.6843</v>
      </c>
      <c r="E848" s="46">
        <f>56.9575 * CHOOSE(CONTROL!$C$15, $E$9, 100%, $G$9) + CHOOSE(CONTROL!$C$38, 0.0369, 0)</f>
        <v>56.994400000000006</v>
      </c>
      <c r="F848" s="45">
        <f>56.9575 * CHOOSE(CONTROL!$C$15, $E$9, 100%, $G$9) + CHOOSE(CONTROL!$C$38, 0.0278, 0)</f>
        <v>56.985300000000002</v>
      </c>
      <c r="G848" s="10">
        <f>52.6537 * CHOOSE(CONTROL!$C$15, $E$9, 100%, $G$9) + CHOOSE(CONTROL!$C$38, 0.0369, 0)</f>
        <v>52.690600000000003</v>
      </c>
      <c r="H848" s="10">
        <f>52.6537 * CHOOSE(CONTROL!$C$15, $E$9, 100%, $G$9) + CHOOSE(CONTROL!$C$38, 0.0369, 0)</f>
        <v>52.690600000000003</v>
      </c>
      <c r="I848" s="10">
        <f>52.6552 * CHOOSE(CONTROL!$C$15, $E$9, 100%, $G$9) + CHOOSE(CONTROL!$C$38, 0.0369, 0)</f>
        <v>52.692100000000003</v>
      </c>
      <c r="J848" s="44">
        <f>507.1281</f>
        <v>507.12810000000002</v>
      </c>
    </row>
    <row r="849" spans="1:10" ht="15.75" x14ac:dyDescent="0.25">
      <c r="A849" s="13">
        <v>66780</v>
      </c>
      <c r="B849" s="10">
        <f>57.3456 * CHOOSE(CONTROL!$C$15, $E$9, 100%, $G$9) + CHOOSE(CONTROL!$C$38, 0.0256, 0)</f>
        <v>57.371199999999995</v>
      </c>
      <c r="C849" s="10">
        <f>52.8871 * CHOOSE(CONTROL!$C$15, $E$9, 100%, $G$9) + CHOOSE(CONTROL!$C$38, 0.0347, 0)</f>
        <v>52.921799999999998</v>
      </c>
      <c r="D849" s="10">
        <f>52.8792 * CHOOSE(CONTROL!$C$15, $E$9, 100%, $G$9) + CHOOSE(CONTROL!$C$38, 0.0347, 0)</f>
        <v>52.913899999999998</v>
      </c>
      <c r="E849" s="46">
        <f>57.1894 * CHOOSE(CONTROL!$C$15, $E$9, 100%, $G$9) + CHOOSE(CONTROL!$C$38, 0.0347, 0)</f>
        <v>57.2241</v>
      </c>
      <c r="F849" s="45">
        <f>57.1894 * CHOOSE(CONTROL!$C$15, $E$9, 100%, $G$9) + CHOOSE(CONTROL!$C$38, 0.0256, 0)</f>
        <v>57.214999999999996</v>
      </c>
      <c r="G849" s="10">
        <f>52.8855 * CHOOSE(CONTROL!$C$15, $E$9, 100%, $G$9) + CHOOSE(CONTROL!$C$38, 0.0347, 0)</f>
        <v>52.920200000000001</v>
      </c>
      <c r="H849" s="10">
        <f>52.8855 * CHOOSE(CONTROL!$C$15, $E$9, 100%, $G$9) + CHOOSE(CONTROL!$C$38, 0.0347, 0)</f>
        <v>52.920200000000001</v>
      </c>
      <c r="I849" s="10">
        <f>52.8871 * CHOOSE(CONTROL!$C$15, $E$9, 100%, $G$9) + CHOOSE(CONTROL!$C$38, 0.0347, 0)</f>
        <v>52.921799999999998</v>
      </c>
      <c r="J849" s="44">
        <f>489.5911</f>
        <v>489.59109999999998</v>
      </c>
    </row>
    <row r="850" spans="1:10" ht="15.75" x14ac:dyDescent="0.25">
      <c r="A850" s="13">
        <v>66810</v>
      </c>
      <c r="B850" s="10">
        <f>57.539 * CHOOSE(CONTROL!$C$15, $E$9, 100%, $G$9) + CHOOSE(CONTROL!$C$38, 0.0256, 0)</f>
        <v>57.564599999999999</v>
      </c>
      <c r="C850" s="10">
        <f>53.0805 * CHOOSE(CONTROL!$C$15, $E$9, 100%, $G$9) + CHOOSE(CONTROL!$C$38, 0.0347, 0)</f>
        <v>53.115200000000002</v>
      </c>
      <c r="D850" s="10">
        <f>53.0727 * CHOOSE(CONTROL!$C$15, $E$9, 100%, $G$9) + CHOOSE(CONTROL!$C$38, 0.0347, 0)</f>
        <v>53.107399999999998</v>
      </c>
      <c r="E850" s="46">
        <f>57.3828 * CHOOSE(CONTROL!$C$15, $E$9, 100%, $G$9) + CHOOSE(CONTROL!$C$38, 0.0347, 0)</f>
        <v>57.417500000000004</v>
      </c>
      <c r="F850" s="45">
        <f>57.3828 * CHOOSE(CONTROL!$C$15, $E$9, 100%, $G$9) + CHOOSE(CONTROL!$C$38, 0.0256, 0)</f>
        <v>57.4084</v>
      </c>
      <c r="G850" s="10">
        <f>53.0789 * CHOOSE(CONTROL!$C$15, $E$9, 100%, $G$9) + CHOOSE(CONTROL!$C$38, 0.0347, 0)</f>
        <v>53.113599999999998</v>
      </c>
      <c r="H850" s="10">
        <f>53.0789 * CHOOSE(CONTROL!$C$15, $E$9, 100%, $G$9) + CHOOSE(CONTROL!$C$38, 0.0347, 0)</f>
        <v>53.113599999999998</v>
      </c>
      <c r="I850" s="10">
        <f>53.0805 * CHOOSE(CONTROL!$C$15, $E$9, 100%, $G$9) + CHOOSE(CONTROL!$C$38, 0.0347, 0)</f>
        <v>53.115200000000002</v>
      </c>
      <c r="J850" s="44">
        <f>486.1026</f>
        <v>486.1026</v>
      </c>
    </row>
    <row r="851" spans="1:10" ht="15.75" x14ac:dyDescent="0.25">
      <c r="A851" s="13">
        <v>66841</v>
      </c>
      <c r="B851" s="10">
        <f>58.1351 * CHOOSE(CONTROL!$C$15, $E$9, 100%, $G$9) + CHOOSE(CONTROL!$C$38, 0.0256, 0)</f>
        <v>58.160699999999999</v>
      </c>
      <c r="C851" s="10">
        <f>53.6766 * CHOOSE(CONTROL!$C$15, $E$9, 100%, $G$9) + CHOOSE(CONTROL!$C$38, 0.0347, 0)</f>
        <v>53.711300000000001</v>
      </c>
      <c r="D851" s="10">
        <f>53.6688 * CHOOSE(CONTROL!$C$15, $E$9, 100%, $G$9) + CHOOSE(CONTROL!$C$38, 0.0347, 0)</f>
        <v>53.703499999999998</v>
      </c>
      <c r="E851" s="46">
        <f>57.9789 * CHOOSE(CONTROL!$C$15, $E$9, 100%, $G$9) + CHOOSE(CONTROL!$C$38, 0.0347, 0)</f>
        <v>58.013600000000004</v>
      </c>
      <c r="F851" s="45">
        <f>57.9789 * CHOOSE(CONTROL!$C$15, $E$9, 100%, $G$9) + CHOOSE(CONTROL!$C$38, 0.0256, 0)</f>
        <v>58.0045</v>
      </c>
      <c r="G851" s="10">
        <f>53.675 * CHOOSE(CONTROL!$C$15, $E$9, 100%, $G$9) + CHOOSE(CONTROL!$C$38, 0.0347, 0)</f>
        <v>53.709699999999998</v>
      </c>
      <c r="H851" s="10">
        <f>53.675 * CHOOSE(CONTROL!$C$15, $E$9, 100%, $G$9) + CHOOSE(CONTROL!$C$38, 0.0347, 0)</f>
        <v>53.709699999999998</v>
      </c>
      <c r="I851" s="10">
        <f>53.6766 * CHOOSE(CONTROL!$C$15, $E$9, 100%, $G$9) + CHOOSE(CONTROL!$C$38, 0.0347, 0)</f>
        <v>53.711300000000001</v>
      </c>
      <c r="J851" s="44">
        <f>471.6775</f>
        <v>471.67750000000001</v>
      </c>
    </row>
    <row r="852" spans="1:10" ht="15.75" x14ac:dyDescent="0.25">
      <c r="A852" s="13">
        <v>66872</v>
      </c>
      <c r="B852" s="10">
        <f>59.5396 * CHOOSE(CONTROL!$C$15, $E$9, 100%, $G$9) + CHOOSE(CONTROL!$C$38, 0.0256, 0)</f>
        <v>59.565199999999997</v>
      </c>
      <c r="C852" s="10">
        <f>55.0106 * CHOOSE(CONTROL!$C$15, $E$9, 100%, $G$9) + CHOOSE(CONTROL!$C$38, 0.0347, 0)</f>
        <v>55.045299999999997</v>
      </c>
      <c r="D852" s="10">
        <f>55.0027 * CHOOSE(CONTROL!$C$15, $E$9, 100%, $G$9) + CHOOSE(CONTROL!$C$38, 0.0347, 0)</f>
        <v>55.037399999999998</v>
      </c>
      <c r="E852" s="46">
        <f>59.3834 * CHOOSE(CONTROL!$C$15, $E$9, 100%, $G$9) + CHOOSE(CONTROL!$C$38, 0.0347, 0)</f>
        <v>59.418100000000003</v>
      </c>
      <c r="F852" s="45">
        <f>59.3834 * CHOOSE(CONTROL!$C$15, $E$9, 100%, $G$9) + CHOOSE(CONTROL!$C$38, 0.0256, 0)</f>
        <v>59.408999999999999</v>
      </c>
      <c r="G852" s="10">
        <f>55.009 * CHOOSE(CONTROL!$C$15, $E$9, 100%, $G$9) + CHOOSE(CONTROL!$C$38, 0.0347, 0)</f>
        <v>55.043700000000001</v>
      </c>
      <c r="H852" s="10">
        <f>55.009 * CHOOSE(CONTROL!$C$15, $E$9, 100%, $G$9) + CHOOSE(CONTROL!$C$38, 0.0347, 0)</f>
        <v>55.043700000000001</v>
      </c>
      <c r="I852" s="10">
        <f>55.0106 * CHOOSE(CONTROL!$C$15, $E$9, 100%, $G$9) + CHOOSE(CONTROL!$C$38, 0.0347, 0)</f>
        <v>55.045299999999997</v>
      </c>
      <c r="J852" s="44">
        <f>470.7767</f>
        <v>470.77670000000001</v>
      </c>
    </row>
    <row r="853" spans="1:10" ht="15.75" x14ac:dyDescent="0.25">
      <c r="A853" s="13">
        <v>66900</v>
      </c>
      <c r="B853" s="10">
        <f>59.7604 * CHOOSE(CONTROL!$C$15, $E$9, 100%, $G$9) + CHOOSE(CONTROL!$C$38, 0.0256, 0)</f>
        <v>59.785999999999994</v>
      </c>
      <c r="C853" s="10">
        <f>55.2313 * CHOOSE(CONTROL!$C$15, $E$9, 100%, $G$9) + CHOOSE(CONTROL!$C$38, 0.0347, 0)</f>
        <v>55.265999999999998</v>
      </c>
      <c r="D853" s="10">
        <f>55.2235 * CHOOSE(CONTROL!$C$15, $E$9, 100%, $G$9) + CHOOSE(CONTROL!$C$38, 0.0347, 0)</f>
        <v>55.258200000000002</v>
      </c>
      <c r="E853" s="46">
        <f>59.6041 * CHOOSE(CONTROL!$C$15, $E$9, 100%, $G$9) + CHOOSE(CONTROL!$C$38, 0.0347, 0)</f>
        <v>59.638800000000003</v>
      </c>
      <c r="F853" s="45">
        <f>59.6041 * CHOOSE(CONTROL!$C$15, $E$9, 100%, $G$9) + CHOOSE(CONTROL!$C$38, 0.0256, 0)</f>
        <v>59.6297</v>
      </c>
      <c r="G853" s="10">
        <f>55.2298 * CHOOSE(CONTROL!$C$15, $E$9, 100%, $G$9) + CHOOSE(CONTROL!$C$38, 0.0347, 0)</f>
        <v>55.264499999999998</v>
      </c>
      <c r="H853" s="10">
        <f>55.2298 * CHOOSE(CONTROL!$C$15, $E$9, 100%, $G$9) + CHOOSE(CONTROL!$C$38, 0.0347, 0)</f>
        <v>55.264499999999998</v>
      </c>
      <c r="I853" s="10">
        <f>55.2313 * CHOOSE(CONTROL!$C$15, $E$9, 100%, $G$9) + CHOOSE(CONTROL!$C$38, 0.0347, 0)</f>
        <v>55.265999999999998</v>
      </c>
      <c r="J853" s="44">
        <f>469.4681</f>
        <v>469.46809999999999</v>
      </c>
    </row>
    <row r="854" spans="1:10" ht="15.75" x14ac:dyDescent="0.25">
      <c r="A854" s="13">
        <v>66931</v>
      </c>
      <c r="B854" s="10">
        <f>59.2494 * CHOOSE(CONTROL!$C$15, $E$9, 100%, $G$9) + CHOOSE(CONTROL!$C$38, 0.0256, 0)</f>
        <v>59.274999999999999</v>
      </c>
      <c r="C854" s="10">
        <f>54.7203 * CHOOSE(CONTROL!$C$15, $E$9, 100%, $G$9) + CHOOSE(CONTROL!$C$38, 0.0347, 0)</f>
        <v>54.755000000000003</v>
      </c>
      <c r="D854" s="10">
        <f>54.7125 * CHOOSE(CONTROL!$C$15, $E$9, 100%, $G$9) + CHOOSE(CONTROL!$C$38, 0.0347, 0)</f>
        <v>54.747199999999999</v>
      </c>
      <c r="E854" s="46">
        <f>59.0931 * CHOOSE(CONTROL!$C$15, $E$9, 100%, $G$9) + CHOOSE(CONTROL!$C$38, 0.0347, 0)</f>
        <v>59.127800000000001</v>
      </c>
      <c r="F854" s="45">
        <f>59.0931 * CHOOSE(CONTROL!$C$15, $E$9, 100%, $G$9) + CHOOSE(CONTROL!$C$38, 0.0256, 0)</f>
        <v>59.118699999999997</v>
      </c>
      <c r="G854" s="10">
        <f>54.7187 * CHOOSE(CONTROL!$C$15, $E$9, 100%, $G$9) + CHOOSE(CONTROL!$C$38, 0.0347, 0)</f>
        <v>54.753399999999999</v>
      </c>
      <c r="H854" s="10">
        <f>54.7187 * CHOOSE(CONTROL!$C$15, $E$9, 100%, $G$9) + CHOOSE(CONTROL!$C$38, 0.0347, 0)</f>
        <v>54.753399999999999</v>
      </c>
      <c r="I854" s="10">
        <f>54.7203 * CHOOSE(CONTROL!$C$15, $E$9, 100%, $G$9) + CHOOSE(CONTROL!$C$38, 0.0347, 0)</f>
        <v>54.755000000000003</v>
      </c>
      <c r="J854" s="44">
        <f>494.2118</f>
        <v>494.21179999999998</v>
      </c>
    </row>
    <row r="855" spans="1:10" ht="15.75" x14ac:dyDescent="0.25">
      <c r="A855" s="13">
        <v>66961</v>
      </c>
      <c r="B855" s="10">
        <f>58.7542 * CHOOSE(CONTROL!$C$15, $E$9, 100%, $G$9) + CHOOSE(CONTROL!$C$38, 0.0256, 0)</f>
        <v>58.779799999999994</v>
      </c>
      <c r="C855" s="10">
        <f>54.2251 * CHOOSE(CONTROL!$C$15, $E$9, 100%, $G$9) + CHOOSE(CONTROL!$C$38, 0.0347, 0)</f>
        <v>54.259799999999998</v>
      </c>
      <c r="D855" s="10">
        <f>54.2173 * CHOOSE(CONTROL!$C$15, $E$9, 100%, $G$9) + CHOOSE(CONTROL!$C$38, 0.0347, 0)</f>
        <v>54.252000000000002</v>
      </c>
      <c r="E855" s="46">
        <f>58.5979 * CHOOSE(CONTROL!$C$15, $E$9, 100%, $G$9) + CHOOSE(CONTROL!$C$38, 0.0347, 0)</f>
        <v>58.632600000000004</v>
      </c>
      <c r="F855" s="45">
        <f>58.5979 * CHOOSE(CONTROL!$C$15, $E$9, 100%, $G$9) + CHOOSE(CONTROL!$C$38, 0.0256, 0)</f>
        <v>58.6235</v>
      </c>
      <c r="G855" s="10">
        <f>54.2235 * CHOOSE(CONTROL!$C$15, $E$9, 100%, $G$9) + CHOOSE(CONTROL!$C$38, 0.0347, 0)</f>
        <v>54.258200000000002</v>
      </c>
      <c r="H855" s="10">
        <f>54.2235 * CHOOSE(CONTROL!$C$15, $E$9, 100%, $G$9) + CHOOSE(CONTROL!$C$38, 0.0347, 0)</f>
        <v>54.258200000000002</v>
      </c>
      <c r="I855" s="10">
        <f>54.2251 * CHOOSE(CONTROL!$C$15, $E$9, 100%, $G$9) + CHOOSE(CONTROL!$C$38, 0.0347, 0)</f>
        <v>54.259799999999998</v>
      </c>
      <c r="J855" s="44">
        <f>526.2984</f>
        <v>526.29840000000002</v>
      </c>
    </row>
    <row r="856" spans="1:10" ht="15.75" x14ac:dyDescent="0.25">
      <c r="A856" s="13">
        <v>66992</v>
      </c>
      <c r="B856" s="10">
        <f>58.2381 * CHOOSE(CONTROL!$C$15, $E$9, 100%, $G$9) + CHOOSE(CONTROL!$C$38, 0.0278, 0)</f>
        <v>58.265900000000002</v>
      </c>
      <c r="C856" s="10">
        <f>53.709 * CHOOSE(CONTROL!$C$15, $E$9, 100%, $G$9) + CHOOSE(CONTROL!$C$38, 0.0369, 0)</f>
        <v>53.745900000000006</v>
      </c>
      <c r="D856" s="10">
        <f>53.7012 * CHOOSE(CONTROL!$C$15, $E$9, 100%, $G$9) + CHOOSE(CONTROL!$C$38, 0.0369, 0)</f>
        <v>53.738100000000003</v>
      </c>
      <c r="E856" s="46">
        <f>58.0818 * CHOOSE(CONTROL!$C$15, $E$9, 100%, $G$9) + CHOOSE(CONTROL!$C$38, 0.0369, 0)</f>
        <v>58.118700000000004</v>
      </c>
      <c r="F856" s="45">
        <f>58.0818 * CHOOSE(CONTROL!$C$15, $E$9, 100%, $G$9) + CHOOSE(CONTROL!$C$38, 0.0278, 0)</f>
        <v>58.1096</v>
      </c>
      <c r="G856" s="10">
        <f>53.7074 * CHOOSE(CONTROL!$C$15, $E$9, 100%, $G$9) + CHOOSE(CONTROL!$C$38, 0.0369, 0)</f>
        <v>53.744300000000003</v>
      </c>
      <c r="H856" s="10">
        <f>53.7074 * CHOOSE(CONTROL!$C$15, $E$9, 100%, $G$9) + CHOOSE(CONTROL!$C$38, 0.0369, 0)</f>
        <v>53.744300000000003</v>
      </c>
      <c r="I856" s="10">
        <f>53.709 * CHOOSE(CONTROL!$C$15, $E$9, 100%, $G$9) + CHOOSE(CONTROL!$C$38, 0.0369, 0)</f>
        <v>53.745900000000006</v>
      </c>
      <c r="J856" s="44">
        <f>543.96</f>
        <v>543.96</v>
      </c>
    </row>
    <row r="857" spans="1:10" ht="15.75" x14ac:dyDescent="0.25">
      <c r="A857" s="13">
        <v>67022</v>
      </c>
      <c r="B857" s="10">
        <f>57.8762 * CHOOSE(CONTROL!$C$15, $E$9, 100%, $G$9) + CHOOSE(CONTROL!$C$38, 0.0278, 0)</f>
        <v>57.903999999999996</v>
      </c>
      <c r="C857" s="10">
        <f>53.3472 * CHOOSE(CONTROL!$C$15, $E$9, 100%, $G$9) + CHOOSE(CONTROL!$C$38, 0.0369, 0)</f>
        <v>53.384100000000004</v>
      </c>
      <c r="D857" s="10">
        <f>53.3393 * CHOOSE(CONTROL!$C$15, $E$9, 100%, $G$9) + CHOOSE(CONTROL!$C$38, 0.0369, 0)</f>
        <v>53.376200000000004</v>
      </c>
      <c r="E857" s="46">
        <f>57.72 * CHOOSE(CONTROL!$C$15, $E$9, 100%, $G$9) + CHOOSE(CONTROL!$C$38, 0.0369, 0)</f>
        <v>57.756900000000002</v>
      </c>
      <c r="F857" s="45">
        <f>57.72 * CHOOSE(CONTROL!$C$15, $E$9, 100%, $G$9) + CHOOSE(CONTROL!$C$38, 0.0278, 0)</f>
        <v>57.747799999999998</v>
      </c>
      <c r="G857" s="10">
        <f>53.3456 * CHOOSE(CONTROL!$C$15, $E$9, 100%, $G$9) + CHOOSE(CONTROL!$C$38, 0.0369, 0)</f>
        <v>53.3825</v>
      </c>
      <c r="H857" s="10">
        <f>53.3456 * CHOOSE(CONTROL!$C$15, $E$9, 100%, $G$9) + CHOOSE(CONTROL!$C$38, 0.0369, 0)</f>
        <v>53.3825</v>
      </c>
      <c r="I857" s="10">
        <f>53.3472 * CHOOSE(CONTROL!$C$15, $E$9, 100%, $G$9) + CHOOSE(CONTROL!$C$38, 0.0369, 0)</f>
        <v>53.384100000000004</v>
      </c>
      <c r="J857" s="44">
        <f>551.7978</f>
        <v>551.79780000000005</v>
      </c>
    </row>
    <row r="858" spans="1:10" ht="15.75" x14ac:dyDescent="0.25">
      <c r="A858" s="13">
        <v>67053</v>
      </c>
      <c r="B858" s="10">
        <f>57.6697 * CHOOSE(CONTROL!$C$15, $E$9, 100%, $G$9) + CHOOSE(CONTROL!$C$38, 0.0278, 0)</f>
        <v>57.697499999999998</v>
      </c>
      <c r="C858" s="10">
        <f>53.1407 * CHOOSE(CONTROL!$C$15, $E$9, 100%, $G$9) + CHOOSE(CONTROL!$C$38, 0.0369, 0)</f>
        <v>53.177600000000005</v>
      </c>
      <c r="D858" s="10">
        <f>53.1329 * CHOOSE(CONTROL!$C$15, $E$9, 100%, $G$9) + CHOOSE(CONTROL!$C$38, 0.0369, 0)</f>
        <v>53.169800000000002</v>
      </c>
      <c r="E858" s="46">
        <f>57.5135 * CHOOSE(CONTROL!$C$15, $E$9, 100%, $G$9) + CHOOSE(CONTROL!$C$38, 0.0369, 0)</f>
        <v>57.550400000000003</v>
      </c>
      <c r="F858" s="45">
        <f>57.5135 * CHOOSE(CONTROL!$C$15, $E$9, 100%, $G$9) + CHOOSE(CONTROL!$C$38, 0.0278, 0)</f>
        <v>57.5413</v>
      </c>
      <c r="G858" s="10">
        <f>53.1391 * CHOOSE(CONTROL!$C$15, $E$9, 100%, $G$9) + CHOOSE(CONTROL!$C$38, 0.0369, 0)</f>
        <v>53.176000000000002</v>
      </c>
      <c r="H858" s="10">
        <f>53.1391 * CHOOSE(CONTROL!$C$15, $E$9, 100%, $G$9) + CHOOSE(CONTROL!$C$38, 0.0369, 0)</f>
        <v>53.176000000000002</v>
      </c>
      <c r="I858" s="10">
        <f>53.1407 * CHOOSE(CONTROL!$C$15, $E$9, 100%, $G$9) + CHOOSE(CONTROL!$C$38, 0.0369, 0)</f>
        <v>53.177600000000005</v>
      </c>
      <c r="J858" s="44">
        <f>549.2173</f>
        <v>549.21730000000002</v>
      </c>
    </row>
    <row r="859" spans="1:10" ht="15.75" x14ac:dyDescent="0.25">
      <c r="A859" s="13">
        <v>67084</v>
      </c>
      <c r="B859" s="10">
        <f>57.7717 * CHOOSE(CONTROL!$C$15, $E$9, 100%, $G$9) + CHOOSE(CONTROL!$C$38, 0.0278, 0)</f>
        <v>57.799500000000002</v>
      </c>
      <c r="C859" s="10">
        <f>53.2426 * CHOOSE(CONTROL!$C$15, $E$9, 100%, $G$9) + CHOOSE(CONTROL!$C$38, 0.0369, 0)</f>
        <v>53.279500000000006</v>
      </c>
      <c r="D859" s="10">
        <f>53.2348 * CHOOSE(CONTROL!$C$15, $E$9, 100%, $G$9) + CHOOSE(CONTROL!$C$38, 0.0369, 0)</f>
        <v>53.271700000000003</v>
      </c>
      <c r="E859" s="46">
        <f>57.6154 * CHOOSE(CONTROL!$C$15, $E$9, 100%, $G$9) + CHOOSE(CONTROL!$C$38, 0.0369, 0)</f>
        <v>57.652300000000004</v>
      </c>
      <c r="F859" s="45">
        <f>57.6154 * CHOOSE(CONTROL!$C$15, $E$9, 100%, $G$9) + CHOOSE(CONTROL!$C$38, 0.0278, 0)</f>
        <v>57.6432</v>
      </c>
      <c r="G859" s="10">
        <f>53.241 * CHOOSE(CONTROL!$C$15, $E$9, 100%, $G$9) + CHOOSE(CONTROL!$C$38, 0.0369, 0)</f>
        <v>53.277900000000002</v>
      </c>
      <c r="H859" s="10">
        <f>53.241 * CHOOSE(CONTROL!$C$15, $E$9, 100%, $G$9) + CHOOSE(CONTROL!$C$38, 0.0369, 0)</f>
        <v>53.277900000000002</v>
      </c>
      <c r="I859" s="10">
        <f>53.2426 * CHOOSE(CONTROL!$C$15, $E$9, 100%, $G$9) + CHOOSE(CONTROL!$C$38, 0.0369, 0)</f>
        <v>53.279500000000006</v>
      </c>
      <c r="J859" s="44">
        <f>536.4317</f>
        <v>536.43169999999998</v>
      </c>
    </row>
    <row r="860" spans="1:10" ht="15.75" x14ac:dyDescent="0.25">
      <c r="A860" s="13">
        <v>67114</v>
      </c>
      <c r="B860" s="10">
        <f>58.0485 * CHOOSE(CONTROL!$C$15, $E$9, 100%, $G$9) + CHOOSE(CONTROL!$C$38, 0.0278, 0)</f>
        <v>58.076299999999996</v>
      </c>
      <c r="C860" s="10">
        <f>53.5194 * CHOOSE(CONTROL!$C$15, $E$9, 100%, $G$9) + CHOOSE(CONTROL!$C$38, 0.0369, 0)</f>
        <v>53.5563</v>
      </c>
      <c r="D860" s="10">
        <f>53.5116 * CHOOSE(CONTROL!$C$15, $E$9, 100%, $G$9) + CHOOSE(CONTROL!$C$38, 0.0369, 0)</f>
        <v>53.548500000000004</v>
      </c>
      <c r="E860" s="46">
        <f>57.8922 * CHOOSE(CONTROL!$C$15, $E$9, 100%, $G$9) + CHOOSE(CONTROL!$C$38, 0.0369, 0)</f>
        <v>57.929100000000005</v>
      </c>
      <c r="F860" s="45">
        <f>57.8922 * CHOOSE(CONTROL!$C$15, $E$9, 100%, $G$9) + CHOOSE(CONTROL!$C$38, 0.0278, 0)</f>
        <v>57.92</v>
      </c>
      <c r="G860" s="10">
        <f>53.5178 * CHOOSE(CONTROL!$C$15, $E$9, 100%, $G$9) + CHOOSE(CONTROL!$C$38, 0.0369, 0)</f>
        <v>53.554700000000004</v>
      </c>
      <c r="H860" s="10">
        <f>53.5178 * CHOOSE(CONTROL!$C$15, $E$9, 100%, $G$9) + CHOOSE(CONTROL!$C$38, 0.0369, 0)</f>
        <v>53.554700000000004</v>
      </c>
      <c r="I860" s="10">
        <f>53.5194 * CHOOSE(CONTROL!$C$15, $E$9, 100%, $G$9) + CHOOSE(CONTROL!$C$38, 0.0369, 0)</f>
        <v>53.5563</v>
      </c>
      <c r="J860" s="44">
        <f>518.6016</f>
        <v>518.60159999999996</v>
      </c>
    </row>
    <row r="861" spans="1:10" ht="15.75" x14ac:dyDescent="0.25">
      <c r="A861" s="13">
        <v>67145</v>
      </c>
      <c r="B861" s="10">
        <f>58.2803 * CHOOSE(CONTROL!$C$15, $E$9, 100%, $G$9) + CHOOSE(CONTROL!$C$38, 0.0256, 0)</f>
        <v>58.305899999999994</v>
      </c>
      <c r="C861" s="10">
        <f>53.7512 * CHOOSE(CONTROL!$C$15, $E$9, 100%, $G$9) + CHOOSE(CONTROL!$C$38, 0.0347, 0)</f>
        <v>53.785899999999998</v>
      </c>
      <c r="D861" s="10">
        <f>53.7434 * CHOOSE(CONTROL!$C$15, $E$9, 100%, $G$9) + CHOOSE(CONTROL!$C$38, 0.0347, 0)</f>
        <v>53.778100000000002</v>
      </c>
      <c r="E861" s="46">
        <f>58.124 * CHOOSE(CONTROL!$C$15, $E$9, 100%, $G$9) + CHOOSE(CONTROL!$C$38, 0.0347, 0)</f>
        <v>58.158700000000003</v>
      </c>
      <c r="F861" s="45">
        <f>58.124 * CHOOSE(CONTROL!$C$15, $E$9, 100%, $G$9) + CHOOSE(CONTROL!$C$38, 0.0256, 0)</f>
        <v>58.1496</v>
      </c>
      <c r="G861" s="10">
        <f>53.7496 * CHOOSE(CONTROL!$C$15, $E$9, 100%, $G$9) + CHOOSE(CONTROL!$C$38, 0.0347, 0)</f>
        <v>53.784300000000002</v>
      </c>
      <c r="H861" s="10">
        <f>53.7496 * CHOOSE(CONTROL!$C$15, $E$9, 100%, $G$9) + CHOOSE(CONTROL!$C$38, 0.0347, 0)</f>
        <v>53.784300000000002</v>
      </c>
      <c r="I861" s="10">
        <f>53.7512 * CHOOSE(CONTROL!$C$15, $E$9, 100%, $G$9) + CHOOSE(CONTROL!$C$38, 0.0347, 0)</f>
        <v>53.785899999999998</v>
      </c>
      <c r="J861" s="44">
        <f>500.6679</f>
        <v>500.66789999999997</v>
      </c>
    </row>
    <row r="862" spans="1:10" ht="15.75" x14ac:dyDescent="0.25">
      <c r="A862" s="13">
        <v>67175</v>
      </c>
      <c r="B862" s="10">
        <f>58.4737 * CHOOSE(CONTROL!$C$15, $E$9, 100%, $G$9) + CHOOSE(CONTROL!$C$38, 0.0256, 0)</f>
        <v>58.499299999999998</v>
      </c>
      <c r="C862" s="10">
        <f>53.9446 * CHOOSE(CONTROL!$C$15, $E$9, 100%, $G$9) + CHOOSE(CONTROL!$C$38, 0.0347, 0)</f>
        <v>53.979300000000002</v>
      </c>
      <c r="D862" s="10">
        <f>53.9368 * CHOOSE(CONTROL!$C$15, $E$9, 100%, $G$9) + CHOOSE(CONTROL!$C$38, 0.0347, 0)</f>
        <v>53.971499999999999</v>
      </c>
      <c r="E862" s="46">
        <f>58.3175 * CHOOSE(CONTROL!$C$15, $E$9, 100%, $G$9) + CHOOSE(CONTROL!$C$38, 0.0347, 0)</f>
        <v>58.352200000000003</v>
      </c>
      <c r="F862" s="45">
        <f>58.3175 * CHOOSE(CONTROL!$C$15, $E$9, 100%, $G$9) + CHOOSE(CONTROL!$C$38, 0.0256, 0)</f>
        <v>58.3431</v>
      </c>
      <c r="G862" s="10">
        <f>53.9431 * CHOOSE(CONTROL!$C$15, $E$9, 100%, $G$9) + CHOOSE(CONTROL!$C$38, 0.0347, 0)</f>
        <v>53.977800000000002</v>
      </c>
      <c r="H862" s="10">
        <f>53.9431 * CHOOSE(CONTROL!$C$15, $E$9, 100%, $G$9) + CHOOSE(CONTROL!$C$38, 0.0347, 0)</f>
        <v>53.977800000000002</v>
      </c>
      <c r="I862" s="10">
        <f>53.9446 * CHOOSE(CONTROL!$C$15, $E$9, 100%, $G$9) + CHOOSE(CONTROL!$C$38, 0.0347, 0)</f>
        <v>53.979300000000002</v>
      </c>
      <c r="J862" s="44">
        <f>497.1005</f>
        <v>497.10050000000001</v>
      </c>
    </row>
    <row r="863" spans="1:10" ht="15.75" x14ac:dyDescent="0.25">
      <c r="A863" s="13">
        <v>67206</v>
      </c>
      <c r="B863" s="10">
        <f>59.0698 * CHOOSE(CONTROL!$C$15, $E$9, 100%, $G$9) + CHOOSE(CONTROL!$C$38, 0.0256, 0)</f>
        <v>59.095399999999998</v>
      </c>
      <c r="C863" s="10">
        <f>54.5407 * CHOOSE(CONTROL!$C$15, $E$9, 100%, $G$9) + CHOOSE(CONTROL!$C$38, 0.0347, 0)</f>
        <v>54.575400000000002</v>
      </c>
      <c r="D863" s="10">
        <f>54.5329 * CHOOSE(CONTROL!$C$15, $E$9, 100%, $G$9) + CHOOSE(CONTROL!$C$38, 0.0347, 0)</f>
        <v>54.567599999999999</v>
      </c>
      <c r="E863" s="46">
        <f>58.9135 * CHOOSE(CONTROL!$C$15, $E$9, 100%, $G$9) + CHOOSE(CONTROL!$C$38, 0.0347, 0)</f>
        <v>58.9482</v>
      </c>
      <c r="F863" s="45">
        <f>58.9135 * CHOOSE(CONTROL!$C$15, $E$9, 100%, $G$9) + CHOOSE(CONTROL!$C$38, 0.0256, 0)</f>
        <v>58.939099999999996</v>
      </c>
      <c r="G863" s="10">
        <f>54.5391 * CHOOSE(CONTROL!$C$15, $E$9, 100%, $G$9) + CHOOSE(CONTROL!$C$38, 0.0347, 0)</f>
        <v>54.573799999999999</v>
      </c>
      <c r="H863" s="10">
        <f>54.5391 * CHOOSE(CONTROL!$C$15, $E$9, 100%, $G$9) + CHOOSE(CONTROL!$C$38, 0.0347, 0)</f>
        <v>54.573799999999999</v>
      </c>
      <c r="I863" s="10">
        <f>54.5407 * CHOOSE(CONTROL!$C$15, $E$9, 100%, $G$9) + CHOOSE(CONTROL!$C$38, 0.0347, 0)</f>
        <v>54.575400000000002</v>
      </c>
      <c r="J863" s="44">
        <f>482.349</f>
        <v>482.34899999999999</v>
      </c>
    </row>
    <row r="864" spans="1:10" ht="15.75" x14ac:dyDescent="0.25">
      <c r="A864" s="13">
        <v>67237</v>
      </c>
      <c r="B864" s="10">
        <f>60.4896 * CHOOSE(CONTROL!$C$15, $E$9, 100%, $G$9) + CHOOSE(CONTROL!$C$38, 0.0256, 0)</f>
        <v>60.5152</v>
      </c>
      <c r="C864" s="10">
        <f>55.8889 * CHOOSE(CONTROL!$C$15, $E$9, 100%, $G$9) + CHOOSE(CONTROL!$C$38, 0.0347, 0)</f>
        <v>55.9236</v>
      </c>
      <c r="D864" s="10">
        <f>55.881 * CHOOSE(CONTROL!$C$15, $E$9, 100%, $G$9) + CHOOSE(CONTROL!$C$38, 0.0347, 0)</f>
        <v>55.915700000000001</v>
      </c>
      <c r="E864" s="46">
        <f>60.3334 * CHOOSE(CONTROL!$C$15, $E$9, 100%, $G$9) + CHOOSE(CONTROL!$C$38, 0.0347, 0)</f>
        <v>60.368099999999998</v>
      </c>
      <c r="F864" s="45">
        <f>60.3334 * CHOOSE(CONTROL!$C$15, $E$9, 100%, $G$9) + CHOOSE(CONTROL!$C$38, 0.0256, 0)</f>
        <v>60.358999999999995</v>
      </c>
      <c r="G864" s="10">
        <f>55.8873 * CHOOSE(CONTROL!$C$15, $E$9, 100%, $G$9) + CHOOSE(CONTROL!$C$38, 0.0347, 0)</f>
        <v>55.922000000000004</v>
      </c>
      <c r="H864" s="10">
        <f>55.8873 * CHOOSE(CONTROL!$C$15, $E$9, 100%, $G$9) + CHOOSE(CONTROL!$C$38, 0.0347, 0)</f>
        <v>55.922000000000004</v>
      </c>
      <c r="I864" s="10">
        <f>55.8889 * CHOOSE(CONTROL!$C$15, $E$9, 100%, $G$9) + CHOOSE(CONTROL!$C$38, 0.0347, 0)</f>
        <v>55.9236</v>
      </c>
      <c r="J864" s="44">
        <f>481.4278</f>
        <v>481.42779999999999</v>
      </c>
    </row>
    <row r="865" spans="1:10" ht="15.75" x14ac:dyDescent="0.25">
      <c r="A865" s="13">
        <v>67266</v>
      </c>
      <c r="B865" s="10">
        <f>60.7104 * CHOOSE(CONTROL!$C$15, $E$9, 100%, $G$9) + CHOOSE(CONTROL!$C$38, 0.0256, 0)</f>
        <v>60.735999999999997</v>
      </c>
      <c r="C865" s="10">
        <f>56.1096 * CHOOSE(CONTROL!$C$15, $E$9, 100%, $G$9) + CHOOSE(CONTROL!$C$38, 0.0347, 0)</f>
        <v>56.144300000000001</v>
      </c>
      <c r="D865" s="10">
        <f>56.1018 * CHOOSE(CONTROL!$C$15, $E$9, 100%, $G$9) + CHOOSE(CONTROL!$C$38, 0.0347, 0)</f>
        <v>56.136499999999998</v>
      </c>
      <c r="E865" s="46">
        <f>60.5541 * CHOOSE(CONTROL!$C$15, $E$9, 100%, $G$9) + CHOOSE(CONTROL!$C$38, 0.0347, 0)</f>
        <v>60.588799999999999</v>
      </c>
      <c r="F865" s="45">
        <f>60.5541 * CHOOSE(CONTROL!$C$15, $E$9, 100%, $G$9) + CHOOSE(CONTROL!$C$38, 0.0256, 0)</f>
        <v>60.579699999999995</v>
      </c>
      <c r="G865" s="10">
        <f>56.1081 * CHOOSE(CONTROL!$C$15, $E$9, 100%, $G$9) + CHOOSE(CONTROL!$C$38, 0.0347, 0)</f>
        <v>56.142800000000001</v>
      </c>
      <c r="H865" s="10">
        <f>56.1081 * CHOOSE(CONTROL!$C$15, $E$9, 100%, $G$9) + CHOOSE(CONTROL!$C$38, 0.0347, 0)</f>
        <v>56.142800000000001</v>
      </c>
      <c r="I865" s="10">
        <f>56.1096 * CHOOSE(CONTROL!$C$15, $E$9, 100%, $G$9) + CHOOSE(CONTROL!$C$38, 0.0347, 0)</f>
        <v>56.144300000000001</v>
      </c>
      <c r="J865" s="44">
        <f>480.0896</f>
        <v>480.08960000000002</v>
      </c>
    </row>
    <row r="866" spans="1:10" ht="15.75" x14ac:dyDescent="0.25">
      <c r="A866" s="13">
        <v>67297</v>
      </c>
      <c r="B866" s="10">
        <f>60.1994 * CHOOSE(CONTROL!$C$15, $E$9, 100%, $G$9) + CHOOSE(CONTROL!$C$38, 0.0256, 0)</f>
        <v>60.224999999999994</v>
      </c>
      <c r="C866" s="10">
        <f>55.5986 * CHOOSE(CONTROL!$C$15, $E$9, 100%, $G$9) + CHOOSE(CONTROL!$C$38, 0.0347, 0)</f>
        <v>55.633299999999998</v>
      </c>
      <c r="D866" s="10">
        <f>55.5908 * CHOOSE(CONTROL!$C$15, $E$9, 100%, $G$9) + CHOOSE(CONTROL!$C$38, 0.0347, 0)</f>
        <v>55.625500000000002</v>
      </c>
      <c r="E866" s="46">
        <f>60.0431 * CHOOSE(CONTROL!$C$15, $E$9, 100%, $G$9) + CHOOSE(CONTROL!$C$38, 0.0347, 0)</f>
        <v>60.077800000000003</v>
      </c>
      <c r="F866" s="45">
        <f>60.0431 * CHOOSE(CONTROL!$C$15, $E$9, 100%, $G$9) + CHOOSE(CONTROL!$C$38, 0.0256, 0)</f>
        <v>60.0687</v>
      </c>
      <c r="G866" s="10">
        <f>55.597 * CHOOSE(CONTROL!$C$15, $E$9, 100%, $G$9) + CHOOSE(CONTROL!$C$38, 0.0347, 0)</f>
        <v>55.631700000000002</v>
      </c>
      <c r="H866" s="10">
        <f>55.597 * CHOOSE(CONTROL!$C$15, $E$9, 100%, $G$9) + CHOOSE(CONTROL!$C$38, 0.0347, 0)</f>
        <v>55.631700000000002</v>
      </c>
      <c r="I866" s="10">
        <f>55.5986 * CHOOSE(CONTROL!$C$15, $E$9, 100%, $G$9) + CHOOSE(CONTROL!$C$38, 0.0347, 0)</f>
        <v>55.633299999999998</v>
      </c>
      <c r="J866" s="44">
        <f>505.3931</f>
        <v>505.3931</v>
      </c>
    </row>
    <row r="867" spans="1:10" ht="15.75" x14ac:dyDescent="0.25">
      <c r="A867" s="13">
        <v>67327</v>
      </c>
      <c r="B867" s="10">
        <f>59.7042 * CHOOSE(CONTROL!$C$15, $E$9, 100%, $G$9) + CHOOSE(CONTROL!$C$38, 0.0256, 0)</f>
        <v>59.729799999999997</v>
      </c>
      <c r="C867" s="10">
        <f>55.1034 * CHOOSE(CONTROL!$C$15, $E$9, 100%, $G$9) + CHOOSE(CONTROL!$C$38, 0.0347, 0)</f>
        <v>55.138100000000001</v>
      </c>
      <c r="D867" s="10">
        <f>55.0956 * CHOOSE(CONTROL!$C$15, $E$9, 100%, $G$9) + CHOOSE(CONTROL!$C$38, 0.0347, 0)</f>
        <v>55.130299999999998</v>
      </c>
      <c r="E867" s="46">
        <f>59.5479 * CHOOSE(CONTROL!$C$15, $E$9, 100%, $G$9) + CHOOSE(CONTROL!$C$38, 0.0347, 0)</f>
        <v>59.582599999999999</v>
      </c>
      <c r="F867" s="45">
        <f>59.5479 * CHOOSE(CONTROL!$C$15, $E$9, 100%, $G$9) + CHOOSE(CONTROL!$C$38, 0.0256, 0)</f>
        <v>59.573499999999996</v>
      </c>
      <c r="G867" s="10">
        <f>55.1018 * CHOOSE(CONTROL!$C$15, $E$9, 100%, $G$9) + CHOOSE(CONTROL!$C$38, 0.0347, 0)</f>
        <v>55.136499999999998</v>
      </c>
      <c r="H867" s="10">
        <f>55.1018 * CHOOSE(CONTROL!$C$15, $E$9, 100%, $G$9) + CHOOSE(CONTROL!$C$38, 0.0347, 0)</f>
        <v>55.136499999999998</v>
      </c>
      <c r="I867" s="10">
        <f>55.1034 * CHOOSE(CONTROL!$C$15, $E$9, 100%, $G$9) + CHOOSE(CONTROL!$C$38, 0.0347, 0)</f>
        <v>55.138100000000001</v>
      </c>
      <c r="J867" s="44">
        <f>538.2057</f>
        <v>538.20569999999998</v>
      </c>
    </row>
    <row r="868" spans="1:10" ht="15.75" x14ac:dyDescent="0.25">
      <c r="A868" s="13">
        <v>67358</v>
      </c>
      <c r="B868" s="10">
        <f>59.1881 * CHOOSE(CONTROL!$C$15, $E$9, 100%, $G$9) + CHOOSE(CONTROL!$C$38, 0.0278, 0)</f>
        <v>59.215899999999998</v>
      </c>
      <c r="C868" s="10">
        <f>54.5873 * CHOOSE(CONTROL!$C$15, $E$9, 100%, $G$9) + CHOOSE(CONTROL!$C$38, 0.0369, 0)</f>
        <v>54.624200000000002</v>
      </c>
      <c r="D868" s="10">
        <f>54.5795 * CHOOSE(CONTROL!$C$15, $E$9, 100%, $G$9) + CHOOSE(CONTROL!$C$38, 0.0369, 0)</f>
        <v>54.616400000000006</v>
      </c>
      <c r="E868" s="46">
        <f>59.0318 * CHOOSE(CONTROL!$C$15, $E$9, 100%, $G$9) + CHOOSE(CONTROL!$C$38, 0.0369, 0)</f>
        <v>59.0687</v>
      </c>
      <c r="F868" s="45">
        <f>59.0318 * CHOOSE(CONTROL!$C$15, $E$9, 100%, $G$9) + CHOOSE(CONTROL!$C$38, 0.0278, 0)</f>
        <v>59.059599999999996</v>
      </c>
      <c r="G868" s="10">
        <f>54.5857 * CHOOSE(CONTROL!$C$15, $E$9, 100%, $G$9) + CHOOSE(CONTROL!$C$38, 0.0369, 0)</f>
        <v>54.622600000000006</v>
      </c>
      <c r="H868" s="10">
        <f>54.5857 * CHOOSE(CONTROL!$C$15, $E$9, 100%, $G$9) + CHOOSE(CONTROL!$C$38, 0.0369, 0)</f>
        <v>54.622600000000006</v>
      </c>
      <c r="I868" s="10">
        <f>54.5873 * CHOOSE(CONTROL!$C$15, $E$9, 100%, $G$9) + CHOOSE(CONTROL!$C$38, 0.0369, 0)</f>
        <v>54.624200000000002</v>
      </c>
      <c r="J868" s="44">
        <f>556.2668</f>
        <v>556.26679999999999</v>
      </c>
    </row>
    <row r="869" spans="1:10" ht="15.75" x14ac:dyDescent="0.25">
      <c r="A869" s="13">
        <v>67388</v>
      </c>
      <c r="B869" s="10">
        <f>58.8262 * CHOOSE(CONTROL!$C$15, $E$9, 100%, $G$9) + CHOOSE(CONTROL!$C$38, 0.0278, 0)</f>
        <v>58.853999999999999</v>
      </c>
      <c r="C869" s="10">
        <f>54.2255 * CHOOSE(CONTROL!$C$15, $E$9, 100%, $G$9) + CHOOSE(CONTROL!$C$38, 0.0369, 0)</f>
        <v>54.2624</v>
      </c>
      <c r="D869" s="10">
        <f>54.2177 * CHOOSE(CONTROL!$C$15, $E$9, 100%, $G$9) + CHOOSE(CONTROL!$C$38, 0.0369, 0)</f>
        <v>54.254600000000003</v>
      </c>
      <c r="E869" s="46">
        <f>58.67 * CHOOSE(CONTROL!$C$15, $E$9, 100%, $G$9) + CHOOSE(CONTROL!$C$38, 0.0369, 0)</f>
        <v>58.706900000000005</v>
      </c>
      <c r="F869" s="45">
        <f>58.67 * CHOOSE(CONTROL!$C$15, $E$9, 100%, $G$9) + CHOOSE(CONTROL!$C$38, 0.0278, 0)</f>
        <v>58.697800000000001</v>
      </c>
      <c r="G869" s="10">
        <f>54.2239 * CHOOSE(CONTROL!$C$15, $E$9, 100%, $G$9) + CHOOSE(CONTROL!$C$38, 0.0369, 0)</f>
        <v>54.260800000000003</v>
      </c>
      <c r="H869" s="10">
        <f>54.2239 * CHOOSE(CONTROL!$C$15, $E$9, 100%, $G$9) + CHOOSE(CONTROL!$C$38, 0.0369, 0)</f>
        <v>54.260800000000003</v>
      </c>
      <c r="I869" s="10">
        <f>54.2255 * CHOOSE(CONTROL!$C$15, $E$9, 100%, $G$9) + CHOOSE(CONTROL!$C$38, 0.0369, 0)</f>
        <v>54.2624</v>
      </c>
      <c r="J869" s="44">
        <f>564.282</f>
        <v>564.28200000000004</v>
      </c>
    </row>
    <row r="870" spans="1:10" ht="15.75" x14ac:dyDescent="0.25">
      <c r="A870" s="13">
        <v>67419</v>
      </c>
      <c r="B870" s="10">
        <f>58.6197 * CHOOSE(CONTROL!$C$15, $E$9, 100%, $G$9) + CHOOSE(CONTROL!$C$38, 0.0278, 0)</f>
        <v>58.647500000000001</v>
      </c>
      <c r="C870" s="10">
        <f>54.019 * CHOOSE(CONTROL!$C$15, $E$9, 100%, $G$9) + CHOOSE(CONTROL!$C$38, 0.0369, 0)</f>
        <v>54.055900000000001</v>
      </c>
      <c r="D870" s="10">
        <f>54.0112 * CHOOSE(CONTROL!$C$15, $E$9, 100%, $G$9) + CHOOSE(CONTROL!$C$38, 0.0369, 0)</f>
        <v>54.048100000000005</v>
      </c>
      <c r="E870" s="46">
        <f>58.4635 * CHOOSE(CONTROL!$C$15, $E$9, 100%, $G$9) + CHOOSE(CONTROL!$C$38, 0.0369, 0)</f>
        <v>58.500400000000006</v>
      </c>
      <c r="F870" s="45">
        <f>58.4635 * CHOOSE(CONTROL!$C$15, $E$9, 100%, $G$9) + CHOOSE(CONTROL!$C$38, 0.0278, 0)</f>
        <v>58.491300000000003</v>
      </c>
      <c r="G870" s="10">
        <f>54.0174 * CHOOSE(CONTROL!$C$15, $E$9, 100%, $G$9) + CHOOSE(CONTROL!$C$38, 0.0369, 0)</f>
        <v>54.054300000000005</v>
      </c>
      <c r="H870" s="10">
        <f>54.0174 * CHOOSE(CONTROL!$C$15, $E$9, 100%, $G$9) + CHOOSE(CONTROL!$C$38, 0.0369, 0)</f>
        <v>54.054300000000005</v>
      </c>
      <c r="I870" s="10">
        <f>54.019 * CHOOSE(CONTROL!$C$15, $E$9, 100%, $G$9) + CHOOSE(CONTROL!$C$38, 0.0369, 0)</f>
        <v>54.055900000000001</v>
      </c>
      <c r="J870" s="44">
        <f>561.643</f>
        <v>561.64300000000003</v>
      </c>
    </row>
    <row r="871" spans="1:10" ht="15.75" x14ac:dyDescent="0.25">
      <c r="A871" s="13">
        <v>67450</v>
      </c>
      <c r="B871" s="10">
        <f>58.7217 * CHOOSE(CONTROL!$C$15, $E$9, 100%, $G$9) + CHOOSE(CONTROL!$C$38, 0.0278, 0)</f>
        <v>58.749499999999998</v>
      </c>
      <c r="C871" s="10">
        <f>54.1209 * CHOOSE(CONTROL!$C$15, $E$9, 100%, $G$9) + CHOOSE(CONTROL!$C$38, 0.0369, 0)</f>
        <v>54.157800000000002</v>
      </c>
      <c r="D871" s="10">
        <f>54.1131 * CHOOSE(CONTROL!$C$15, $E$9, 100%, $G$9) + CHOOSE(CONTROL!$C$38, 0.0369, 0)</f>
        <v>54.150000000000006</v>
      </c>
      <c r="E871" s="46">
        <f>58.5654 * CHOOSE(CONTROL!$C$15, $E$9, 100%, $G$9) + CHOOSE(CONTROL!$C$38, 0.0369, 0)</f>
        <v>58.6023</v>
      </c>
      <c r="F871" s="45">
        <f>58.5654 * CHOOSE(CONTROL!$C$15, $E$9, 100%, $G$9) + CHOOSE(CONTROL!$C$38, 0.0278, 0)</f>
        <v>58.593199999999996</v>
      </c>
      <c r="G871" s="10">
        <f>54.1193 * CHOOSE(CONTROL!$C$15, $E$9, 100%, $G$9) + CHOOSE(CONTROL!$C$38, 0.0369, 0)</f>
        <v>54.156200000000005</v>
      </c>
      <c r="H871" s="10">
        <f>54.1193 * CHOOSE(CONTROL!$C$15, $E$9, 100%, $G$9) + CHOOSE(CONTROL!$C$38, 0.0369, 0)</f>
        <v>54.156200000000005</v>
      </c>
      <c r="I871" s="10">
        <f>54.1209 * CHOOSE(CONTROL!$C$15, $E$9, 100%, $G$9) + CHOOSE(CONTROL!$C$38, 0.0369, 0)</f>
        <v>54.157800000000002</v>
      </c>
      <c r="J871" s="44">
        <f>548.5682</f>
        <v>548.56820000000005</v>
      </c>
    </row>
    <row r="872" spans="1:10" ht="15.75" x14ac:dyDescent="0.25">
      <c r="A872" s="13">
        <v>67480</v>
      </c>
      <c r="B872" s="10">
        <f>58.9985 * CHOOSE(CONTROL!$C$15, $E$9, 100%, $G$9) + CHOOSE(CONTROL!$C$38, 0.0278, 0)</f>
        <v>59.026299999999999</v>
      </c>
      <c r="C872" s="10">
        <f>54.3977 * CHOOSE(CONTROL!$C$15, $E$9, 100%, $G$9) + CHOOSE(CONTROL!$C$38, 0.0369, 0)</f>
        <v>54.434600000000003</v>
      </c>
      <c r="D872" s="10">
        <f>54.3899 * CHOOSE(CONTROL!$C$15, $E$9, 100%, $G$9) + CHOOSE(CONTROL!$C$38, 0.0369, 0)</f>
        <v>54.4268</v>
      </c>
      <c r="E872" s="46">
        <f>58.8422 * CHOOSE(CONTROL!$C$15, $E$9, 100%, $G$9) + CHOOSE(CONTROL!$C$38, 0.0369, 0)</f>
        <v>58.879100000000001</v>
      </c>
      <c r="F872" s="45">
        <f>58.8422 * CHOOSE(CONTROL!$C$15, $E$9, 100%, $G$9) + CHOOSE(CONTROL!$C$38, 0.0278, 0)</f>
        <v>58.87</v>
      </c>
      <c r="G872" s="10">
        <f>54.3961 * CHOOSE(CONTROL!$C$15, $E$9, 100%, $G$9) + CHOOSE(CONTROL!$C$38, 0.0369, 0)</f>
        <v>54.433</v>
      </c>
      <c r="H872" s="10">
        <f>54.3961 * CHOOSE(CONTROL!$C$15, $E$9, 100%, $G$9) + CHOOSE(CONTROL!$C$38, 0.0369, 0)</f>
        <v>54.433</v>
      </c>
      <c r="I872" s="10">
        <f>54.3977 * CHOOSE(CONTROL!$C$15, $E$9, 100%, $G$9) + CHOOSE(CONTROL!$C$38, 0.0369, 0)</f>
        <v>54.434600000000003</v>
      </c>
      <c r="J872" s="44">
        <f>530.3347</f>
        <v>530.3347</v>
      </c>
    </row>
    <row r="873" spans="1:10" ht="15.75" x14ac:dyDescent="0.25">
      <c r="A873" s="13">
        <v>67511</v>
      </c>
      <c r="B873" s="10">
        <f>59.2303 * CHOOSE(CONTROL!$C$15, $E$9, 100%, $G$9) + CHOOSE(CONTROL!$C$38, 0.0256, 0)</f>
        <v>59.255899999999997</v>
      </c>
      <c r="C873" s="10">
        <f>54.6295 * CHOOSE(CONTROL!$C$15, $E$9, 100%, $G$9) + CHOOSE(CONTROL!$C$38, 0.0347, 0)</f>
        <v>54.664200000000001</v>
      </c>
      <c r="D873" s="10">
        <f>54.6217 * CHOOSE(CONTROL!$C$15, $E$9, 100%, $G$9) + CHOOSE(CONTROL!$C$38, 0.0347, 0)</f>
        <v>54.656399999999998</v>
      </c>
      <c r="E873" s="46">
        <f>59.074 * CHOOSE(CONTROL!$C$15, $E$9, 100%, $G$9) + CHOOSE(CONTROL!$C$38, 0.0347, 0)</f>
        <v>59.108699999999999</v>
      </c>
      <c r="F873" s="45">
        <f>59.074 * CHOOSE(CONTROL!$C$15, $E$9, 100%, $G$9) + CHOOSE(CONTROL!$C$38, 0.0256, 0)</f>
        <v>59.099599999999995</v>
      </c>
      <c r="G873" s="10">
        <f>54.6279 * CHOOSE(CONTROL!$C$15, $E$9, 100%, $G$9) + CHOOSE(CONTROL!$C$38, 0.0347, 0)</f>
        <v>54.662599999999998</v>
      </c>
      <c r="H873" s="10">
        <f>54.6279 * CHOOSE(CONTROL!$C$15, $E$9, 100%, $G$9) + CHOOSE(CONTROL!$C$38, 0.0347, 0)</f>
        <v>54.662599999999998</v>
      </c>
      <c r="I873" s="10">
        <f>54.6295 * CHOOSE(CONTROL!$C$15, $E$9, 100%, $G$9) + CHOOSE(CONTROL!$C$38, 0.0347, 0)</f>
        <v>54.664200000000001</v>
      </c>
      <c r="J873" s="44">
        <f>511.9952</f>
        <v>511.99520000000001</v>
      </c>
    </row>
    <row r="874" spans="1:10" ht="15.75" x14ac:dyDescent="0.25">
      <c r="A874" s="13">
        <v>67541</v>
      </c>
      <c r="B874" s="10">
        <f>59.4237 * CHOOSE(CONTROL!$C$15, $E$9, 100%, $G$9) + CHOOSE(CONTROL!$C$38, 0.0256, 0)</f>
        <v>59.449299999999994</v>
      </c>
      <c r="C874" s="10">
        <f>54.8229 * CHOOSE(CONTROL!$C$15, $E$9, 100%, $G$9) + CHOOSE(CONTROL!$C$38, 0.0347, 0)</f>
        <v>54.857599999999998</v>
      </c>
      <c r="D874" s="10">
        <f>54.8151 * CHOOSE(CONTROL!$C$15, $E$9, 100%, $G$9) + CHOOSE(CONTROL!$C$38, 0.0347, 0)</f>
        <v>54.849800000000002</v>
      </c>
      <c r="E874" s="46">
        <f>59.2675 * CHOOSE(CONTROL!$C$15, $E$9, 100%, $G$9) + CHOOSE(CONTROL!$C$38, 0.0347, 0)</f>
        <v>59.302199999999999</v>
      </c>
      <c r="F874" s="45">
        <f>59.2675 * CHOOSE(CONTROL!$C$15, $E$9, 100%, $G$9) + CHOOSE(CONTROL!$C$38, 0.0256, 0)</f>
        <v>59.293099999999995</v>
      </c>
      <c r="G874" s="10">
        <f>54.8214 * CHOOSE(CONTROL!$C$15, $E$9, 100%, $G$9) + CHOOSE(CONTROL!$C$38, 0.0347, 0)</f>
        <v>54.856099999999998</v>
      </c>
      <c r="H874" s="10">
        <f>54.8214 * CHOOSE(CONTROL!$C$15, $E$9, 100%, $G$9) + CHOOSE(CONTROL!$C$38, 0.0347, 0)</f>
        <v>54.856099999999998</v>
      </c>
      <c r="I874" s="10">
        <f>54.8229 * CHOOSE(CONTROL!$C$15, $E$9, 100%, $G$9) + CHOOSE(CONTROL!$C$38, 0.0347, 0)</f>
        <v>54.857599999999998</v>
      </c>
      <c r="J874" s="44">
        <f>508.3471</f>
        <v>508.34710000000001</v>
      </c>
    </row>
    <row r="875" spans="1:10" ht="15.75" x14ac:dyDescent="0.25">
      <c r="A875" s="13">
        <v>67572</v>
      </c>
      <c r="B875" s="10">
        <f>60.0198 * CHOOSE(CONTROL!$C$15, $E$9, 100%, $G$9) + CHOOSE(CONTROL!$C$38, 0.0256, 0)</f>
        <v>60.045399999999994</v>
      </c>
      <c r="C875" s="10">
        <f>55.419 * CHOOSE(CONTROL!$C$15, $E$9, 100%, $G$9) + CHOOSE(CONTROL!$C$38, 0.0347, 0)</f>
        <v>55.453699999999998</v>
      </c>
      <c r="D875" s="10">
        <f>55.4112 * CHOOSE(CONTROL!$C$15, $E$9, 100%, $G$9) + CHOOSE(CONTROL!$C$38, 0.0347, 0)</f>
        <v>55.445900000000002</v>
      </c>
      <c r="E875" s="46">
        <f>59.8635 * CHOOSE(CONTROL!$C$15, $E$9, 100%, $G$9) + CHOOSE(CONTROL!$C$38, 0.0347, 0)</f>
        <v>59.898200000000003</v>
      </c>
      <c r="F875" s="45">
        <f>59.8635 * CHOOSE(CONTROL!$C$15, $E$9, 100%, $G$9) + CHOOSE(CONTROL!$C$38, 0.0256, 0)</f>
        <v>59.889099999999999</v>
      </c>
      <c r="G875" s="10">
        <f>55.4175 * CHOOSE(CONTROL!$C$15, $E$9, 100%, $G$9) + CHOOSE(CONTROL!$C$38, 0.0347, 0)</f>
        <v>55.452199999999998</v>
      </c>
      <c r="H875" s="10">
        <f>55.4175 * CHOOSE(CONTROL!$C$15, $E$9, 100%, $G$9) + CHOOSE(CONTROL!$C$38, 0.0347, 0)</f>
        <v>55.452199999999998</v>
      </c>
      <c r="I875" s="10">
        <f>55.419 * CHOOSE(CONTROL!$C$15, $E$9, 100%, $G$9) + CHOOSE(CONTROL!$C$38, 0.0347, 0)</f>
        <v>55.453699999999998</v>
      </c>
      <c r="J875" s="44">
        <f>493.2619</f>
        <v>493.26190000000003</v>
      </c>
    </row>
    <row r="876" spans="1:10" ht="15.75" x14ac:dyDescent="0.25">
      <c r="A876" s="13">
        <v>67603</v>
      </c>
      <c r="B876" s="10">
        <f>61.4552 * CHOOSE(CONTROL!$C$15, $E$9, 100%, $G$9) + CHOOSE(CONTROL!$C$38, 0.0256, 0)</f>
        <v>61.480799999999995</v>
      </c>
      <c r="C876" s="10">
        <f>56.7816 * CHOOSE(CONTROL!$C$15, $E$9, 100%, $G$9) + CHOOSE(CONTROL!$C$38, 0.0347, 0)</f>
        <v>56.816299999999998</v>
      </c>
      <c r="D876" s="10">
        <f>56.7738 * CHOOSE(CONTROL!$C$15, $E$9, 100%, $G$9) + CHOOSE(CONTROL!$C$38, 0.0347, 0)</f>
        <v>56.808500000000002</v>
      </c>
      <c r="E876" s="46">
        <f>61.299 * CHOOSE(CONTROL!$C$15, $E$9, 100%, $G$9) + CHOOSE(CONTROL!$C$38, 0.0347, 0)</f>
        <v>61.3337</v>
      </c>
      <c r="F876" s="45">
        <f>61.299 * CHOOSE(CONTROL!$C$15, $E$9, 100%, $G$9) + CHOOSE(CONTROL!$C$38, 0.0256, 0)</f>
        <v>61.324599999999997</v>
      </c>
      <c r="G876" s="10">
        <f>56.78 * CHOOSE(CONTROL!$C$15, $E$9, 100%, $G$9) + CHOOSE(CONTROL!$C$38, 0.0347, 0)</f>
        <v>56.814700000000002</v>
      </c>
      <c r="H876" s="10">
        <f>56.78 * CHOOSE(CONTROL!$C$15, $E$9, 100%, $G$9) + CHOOSE(CONTROL!$C$38, 0.0347, 0)</f>
        <v>56.814700000000002</v>
      </c>
      <c r="I876" s="10">
        <f>56.7816 * CHOOSE(CONTROL!$C$15, $E$9, 100%, $G$9) + CHOOSE(CONTROL!$C$38, 0.0347, 0)</f>
        <v>56.816299999999998</v>
      </c>
      <c r="J876" s="44">
        <f>492.3199</f>
        <v>492.31990000000002</v>
      </c>
    </row>
    <row r="877" spans="1:10" ht="15.75" x14ac:dyDescent="0.25">
      <c r="A877" s="13">
        <v>67631</v>
      </c>
      <c r="B877" s="10">
        <f>61.676 * CHOOSE(CONTROL!$C$15, $E$9, 100%, $G$9) + CHOOSE(CONTROL!$C$38, 0.0256, 0)</f>
        <v>61.701599999999999</v>
      </c>
      <c r="C877" s="10">
        <f>57.0023 * CHOOSE(CONTROL!$C$15, $E$9, 100%, $G$9) + CHOOSE(CONTROL!$C$38, 0.0347, 0)</f>
        <v>57.036999999999999</v>
      </c>
      <c r="D877" s="10">
        <f>56.9945 * CHOOSE(CONTROL!$C$15, $E$9, 100%, $G$9) + CHOOSE(CONTROL!$C$38, 0.0347, 0)</f>
        <v>57.029200000000003</v>
      </c>
      <c r="E877" s="46">
        <f>61.5197 * CHOOSE(CONTROL!$C$15, $E$9, 100%, $G$9) + CHOOSE(CONTROL!$C$38, 0.0347, 0)</f>
        <v>61.554400000000001</v>
      </c>
      <c r="F877" s="45">
        <f>61.5197 * CHOOSE(CONTROL!$C$15, $E$9, 100%, $G$9) + CHOOSE(CONTROL!$C$38, 0.0256, 0)</f>
        <v>61.545299999999997</v>
      </c>
      <c r="G877" s="10">
        <f>57.0008 * CHOOSE(CONTROL!$C$15, $E$9, 100%, $G$9) + CHOOSE(CONTROL!$C$38, 0.0347, 0)</f>
        <v>57.035499999999999</v>
      </c>
      <c r="H877" s="10">
        <f>57.0008 * CHOOSE(CONTROL!$C$15, $E$9, 100%, $G$9) + CHOOSE(CONTROL!$C$38, 0.0347, 0)</f>
        <v>57.035499999999999</v>
      </c>
      <c r="I877" s="10">
        <f>57.0023 * CHOOSE(CONTROL!$C$15, $E$9, 100%, $G$9) + CHOOSE(CONTROL!$C$38, 0.0347, 0)</f>
        <v>57.036999999999999</v>
      </c>
      <c r="J877" s="44">
        <f>490.9514</f>
        <v>490.95139999999998</v>
      </c>
    </row>
    <row r="878" spans="1:10" ht="15.75" x14ac:dyDescent="0.25">
      <c r="A878" s="13">
        <v>67662</v>
      </c>
      <c r="B878" s="10">
        <f>61.1649 * CHOOSE(CONTROL!$C$15, $E$9, 100%, $G$9) + CHOOSE(CONTROL!$C$38, 0.0256, 0)</f>
        <v>61.1905</v>
      </c>
      <c r="C878" s="10">
        <f>56.4913 * CHOOSE(CONTROL!$C$15, $E$9, 100%, $G$9) + CHOOSE(CONTROL!$C$38, 0.0347, 0)</f>
        <v>56.526000000000003</v>
      </c>
      <c r="D878" s="10">
        <f>56.4835 * CHOOSE(CONTROL!$C$15, $E$9, 100%, $G$9) + CHOOSE(CONTROL!$C$38, 0.0347, 0)</f>
        <v>56.5182</v>
      </c>
      <c r="E878" s="46">
        <f>61.0087 * CHOOSE(CONTROL!$C$15, $E$9, 100%, $G$9) + CHOOSE(CONTROL!$C$38, 0.0347, 0)</f>
        <v>61.043399999999998</v>
      </c>
      <c r="F878" s="45">
        <f>61.0087 * CHOOSE(CONTROL!$C$15, $E$9, 100%, $G$9) + CHOOSE(CONTROL!$C$38, 0.0256, 0)</f>
        <v>61.034299999999995</v>
      </c>
      <c r="G878" s="10">
        <f>56.4897 * CHOOSE(CONTROL!$C$15, $E$9, 100%, $G$9) + CHOOSE(CONTROL!$C$38, 0.0347, 0)</f>
        <v>56.5244</v>
      </c>
      <c r="H878" s="10">
        <f>56.4897 * CHOOSE(CONTROL!$C$15, $E$9, 100%, $G$9) + CHOOSE(CONTROL!$C$38, 0.0347, 0)</f>
        <v>56.5244</v>
      </c>
      <c r="I878" s="10">
        <f>56.4913 * CHOOSE(CONTROL!$C$15, $E$9, 100%, $G$9) + CHOOSE(CONTROL!$C$38, 0.0347, 0)</f>
        <v>56.526000000000003</v>
      </c>
      <c r="J878" s="44">
        <f>516.8274</f>
        <v>516.82740000000001</v>
      </c>
    </row>
    <row r="879" spans="1:10" ht="15.75" x14ac:dyDescent="0.25">
      <c r="A879" s="13">
        <v>67692</v>
      </c>
      <c r="B879" s="10">
        <f>60.6698 * CHOOSE(CONTROL!$C$15, $E$9, 100%, $G$9) + CHOOSE(CONTROL!$C$38, 0.0256, 0)</f>
        <v>60.695399999999999</v>
      </c>
      <c r="C879" s="10">
        <f>55.9961 * CHOOSE(CONTROL!$C$15, $E$9, 100%, $G$9) + CHOOSE(CONTROL!$C$38, 0.0347, 0)</f>
        <v>56.030799999999999</v>
      </c>
      <c r="D879" s="10">
        <f>55.9883 * CHOOSE(CONTROL!$C$15, $E$9, 100%, $G$9) + CHOOSE(CONTROL!$C$38, 0.0347, 0)</f>
        <v>56.023000000000003</v>
      </c>
      <c r="E879" s="46">
        <f>60.5135 * CHOOSE(CONTROL!$C$15, $E$9, 100%, $G$9) + CHOOSE(CONTROL!$C$38, 0.0347, 0)</f>
        <v>60.548200000000001</v>
      </c>
      <c r="F879" s="45">
        <f>60.5135 * CHOOSE(CONTROL!$C$15, $E$9, 100%, $G$9) + CHOOSE(CONTROL!$C$38, 0.0256, 0)</f>
        <v>60.539099999999998</v>
      </c>
      <c r="G879" s="10">
        <f>55.9946 * CHOOSE(CONTROL!$C$15, $E$9, 100%, $G$9) + CHOOSE(CONTROL!$C$38, 0.0347, 0)</f>
        <v>56.029299999999999</v>
      </c>
      <c r="H879" s="10">
        <f>55.9946 * CHOOSE(CONTROL!$C$15, $E$9, 100%, $G$9) + CHOOSE(CONTROL!$C$38, 0.0347, 0)</f>
        <v>56.029299999999999</v>
      </c>
      <c r="I879" s="10">
        <f>55.9961 * CHOOSE(CONTROL!$C$15, $E$9, 100%, $G$9) + CHOOSE(CONTROL!$C$38, 0.0347, 0)</f>
        <v>56.030799999999999</v>
      </c>
      <c r="J879" s="44">
        <f>550.3823</f>
        <v>550.38229999999999</v>
      </c>
    </row>
    <row r="880" spans="1:10" ht="15.75" x14ac:dyDescent="0.25">
      <c r="A880" s="13">
        <v>67723</v>
      </c>
      <c r="B880" s="10">
        <f>60.1536 * CHOOSE(CONTROL!$C$15, $E$9, 100%, $G$9) + CHOOSE(CONTROL!$C$38, 0.0278, 0)</f>
        <v>60.181399999999996</v>
      </c>
      <c r="C880" s="10">
        <f>55.48 * CHOOSE(CONTROL!$C$15, $E$9, 100%, $G$9) + CHOOSE(CONTROL!$C$38, 0.0369, 0)</f>
        <v>55.5169</v>
      </c>
      <c r="D880" s="10">
        <f>55.4722 * CHOOSE(CONTROL!$C$15, $E$9, 100%, $G$9) + CHOOSE(CONTROL!$C$38, 0.0369, 0)</f>
        <v>55.509100000000004</v>
      </c>
      <c r="E880" s="46">
        <f>59.9974 * CHOOSE(CONTROL!$C$15, $E$9, 100%, $G$9) + CHOOSE(CONTROL!$C$38, 0.0369, 0)</f>
        <v>60.034300000000002</v>
      </c>
      <c r="F880" s="45">
        <f>59.9974 * CHOOSE(CONTROL!$C$15, $E$9, 100%, $G$9) + CHOOSE(CONTROL!$C$38, 0.0278, 0)</f>
        <v>60.025199999999998</v>
      </c>
      <c r="G880" s="10">
        <f>55.4784 * CHOOSE(CONTROL!$C$15, $E$9, 100%, $G$9) + CHOOSE(CONTROL!$C$38, 0.0369, 0)</f>
        <v>55.515300000000003</v>
      </c>
      <c r="H880" s="10">
        <f>55.4784 * CHOOSE(CONTROL!$C$15, $E$9, 100%, $G$9) + CHOOSE(CONTROL!$C$38, 0.0369, 0)</f>
        <v>55.515300000000003</v>
      </c>
      <c r="I880" s="10">
        <f>55.48 * CHOOSE(CONTROL!$C$15, $E$9, 100%, $G$9) + CHOOSE(CONTROL!$C$38, 0.0369, 0)</f>
        <v>55.5169</v>
      </c>
      <c r="J880" s="44">
        <f>568.852</f>
        <v>568.85199999999998</v>
      </c>
    </row>
    <row r="881" spans="1:10" ht="15.75" x14ac:dyDescent="0.25">
      <c r="A881" s="13">
        <v>67753</v>
      </c>
      <c r="B881" s="10">
        <f>59.7918 * CHOOSE(CONTROL!$C$15, $E$9, 100%, $G$9) + CHOOSE(CONTROL!$C$38, 0.0278, 0)</f>
        <v>59.819600000000001</v>
      </c>
      <c r="C881" s="10">
        <f>55.1182 * CHOOSE(CONTROL!$C$15, $E$9, 100%, $G$9) + CHOOSE(CONTROL!$C$38, 0.0369, 0)</f>
        <v>55.155100000000004</v>
      </c>
      <c r="D881" s="10">
        <f>55.1104 * CHOOSE(CONTROL!$C$15, $E$9, 100%, $G$9) + CHOOSE(CONTROL!$C$38, 0.0369, 0)</f>
        <v>55.147300000000001</v>
      </c>
      <c r="E881" s="46">
        <f>59.6356 * CHOOSE(CONTROL!$C$15, $E$9, 100%, $G$9) + CHOOSE(CONTROL!$C$38, 0.0369, 0)</f>
        <v>59.672499999999999</v>
      </c>
      <c r="F881" s="45">
        <f>59.6356 * CHOOSE(CONTROL!$C$15, $E$9, 100%, $G$9) + CHOOSE(CONTROL!$C$38, 0.0278, 0)</f>
        <v>59.663399999999996</v>
      </c>
      <c r="G881" s="10">
        <f>55.1166 * CHOOSE(CONTROL!$C$15, $E$9, 100%, $G$9) + CHOOSE(CONTROL!$C$38, 0.0369, 0)</f>
        <v>55.153500000000001</v>
      </c>
      <c r="H881" s="10">
        <f>55.1166 * CHOOSE(CONTROL!$C$15, $E$9, 100%, $G$9) + CHOOSE(CONTROL!$C$38, 0.0369, 0)</f>
        <v>55.153500000000001</v>
      </c>
      <c r="I881" s="10">
        <f>55.1182 * CHOOSE(CONTROL!$C$15, $E$9, 100%, $G$9) + CHOOSE(CONTROL!$C$38, 0.0369, 0)</f>
        <v>55.155100000000004</v>
      </c>
      <c r="J881" s="44">
        <f>577.0486</f>
        <v>577.04859999999996</v>
      </c>
    </row>
    <row r="882" spans="1:10" ht="15.75" x14ac:dyDescent="0.25">
      <c r="A882" s="13">
        <v>67784</v>
      </c>
      <c r="B882" s="10">
        <f>59.5853 * CHOOSE(CONTROL!$C$15, $E$9, 100%, $G$9) + CHOOSE(CONTROL!$C$38, 0.0278, 0)</f>
        <v>59.613099999999996</v>
      </c>
      <c r="C882" s="10">
        <f>54.9117 * CHOOSE(CONTROL!$C$15, $E$9, 100%, $G$9) + CHOOSE(CONTROL!$C$38, 0.0369, 0)</f>
        <v>54.948600000000006</v>
      </c>
      <c r="D882" s="10">
        <f>54.9039 * CHOOSE(CONTROL!$C$15, $E$9, 100%, $G$9) + CHOOSE(CONTROL!$C$38, 0.0369, 0)</f>
        <v>54.940800000000003</v>
      </c>
      <c r="E882" s="46">
        <f>59.4291 * CHOOSE(CONTROL!$C$15, $E$9, 100%, $G$9) + CHOOSE(CONTROL!$C$38, 0.0369, 0)</f>
        <v>59.466000000000001</v>
      </c>
      <c r="F882" s="45">
        <f>59.4291 * CHOOSE(CONTROL!$C$15, $E$9, 100%, $G$9) + CHOOSE(CONTROL!$C$38, 0.0278, 0)</f>
        <v>59.456899999999997</v>
      </c>
      <c r="G882" s="10">
        <f>54.9101 * CHOOSE(CONTROL!$C$15, $E$9, 100%, $G$9) + CHOOSE(CONTROL!$C$38, 0.0369, 0)</f>
        <v>54.947000000000003</v>
      </c>
      <c r="H882" s="10">
        <f>54.9101 * CHOOSE(CONTROL!$C$15, $E$9, 100%, $G$9) + CHOOSE(CONTROL!$C$38, 0.0369, 0)</f>
        <v>54.947000000000003</v>
      </c>
      <c r="I882" s="10">
        <f>54.9117 * CHOOSE(CONTROL!$C$15, $E$9, 100%, $G$9) + CHOOSE(CONTROL!$C$38, 0.0369, 0)</f>
        <v>54.948600000000006</v>
      </c>
      <c r="J882" s="44">
        <f>574.3499</f>
        <v>574.34990000000005</v>
      </c>
    </row>
    <row r="883" spans="1:10" ht="15.75" x14ac:dyDescent="0.25">
      <c r="A883" s="13">
        <v>67815</v>
      </c>
      <c r="B883" s="10">
        <f>59.6872 * CHOOSE(CONTROL!$C$15, $E$9, 100%, $G$9) + CHOOSE(CONTROL!$C$38, 0.0278, 0)</f>
        <v>59.714999999999996</v>
      </c>
      <c r="C883" s="10">
        <f>55.0136 * CHOOSE(CONTROL!$C$15, $E$9, 100%, $G$9) + CHOOSE(CONTROL!$C$38, 0.0369, 0)</f>
        <v>55.0505</v>
      </c>
      <c r="D883" s="10">
        <f>55.0058 * CHOOSE(CONTROL!$C$15, $E$9, 100%, $G$9) + CHOOSE(CONTROL!$C$38, 0.0369, 0)</f>
        <v>55.042700000000004</v>
      </c>
      <c r="E883" s="46">
        <f>59.531 * CHOOSE(CONTROL!$C$15, $E$9, 100%, $G$9) + CHOOSE(CONTROL!$C$38, 0.0369, 0)</f>
        <v>59.567900000000002</v>
      </c>
      <c r="F883" s="45">
        <f>59.531 * CHOOSE(CONTROL!$C$15, $E$9, 100%, $G$9) + CHOOSE(CONTROL!$C$38, 0.0278, 0)</f>
        <v>59.558799999999998</v>
      </c>
      <c r="G883" s="10">
        <f>55.012 * CHOOSE(CONTROL!$C$15, $E$9, 100%, $G$9) + CHOOSE(CONTROL!$C$38, 0.0369, 0)</f>
        <v>55.048900000000003</v>
      </c>
      <c r="H883" s="10">
        <f>55.012 * CHOOSE(CONTROL!$C$15, $E$9, 100%, $G$9) + CHOOSE(CONTROL!$C$38, 0.0369, 0)</f>
        <v>55.048900000000003</v>
      </c>
      <c r="I883" s="10">
        <f>55.0136 * CHOOSE(CONTROL!$C$15, $E$9, 100%, $G$9) + CHOOSE(CONTROL!$C$38, 0.0369, 0)</f>
        <v>55.0505</v>
      </c>
      <c r="J883" s="44">
        <f>560.9793</f>
        <v>560.97929999999997</v>
      </c>
    </row>
    <row r="884" spans="1:10" ht="15.75" x14ac:dyDescent="0.25">
      <c r="A884" s="13">
        <v>67845</v>
      </c>
      <c r="B884" s="10">
        <f>59.964 * CHOOSE(CONTROL!$C$15, $E$9, 100%, $G$9) + CHOOSE(CONTROL!$C$38, 0.0278, 0)</f>
        <v>59.991799999999998</v>
      </c>
      <c r="C884" s="10">
        <f>55.2904 * CHOOSE(CONTROL!$C$15, $E$9, 100%, $G$9) + CHOOSE(CONTROL!$C$38, 0.0369, 0)</f>
        <v>55.327300000000001</v>
      </c>
      <c r="D884" s="10">
        <f>55.2826 * CHOOSE(CONTROL!$C$15, $E$9, 100%, $G$9) + CHOOSE(CONTROL!$C$38, 0.0369, 0)</f>
        <v>55.319500000000005</v>
      </c>
      <c r="E884" s="46">
        <f>59.8078 * CHOOSE(CONTROL!$C$15, $E$9, 100%, $G$9) + CHOOSE(CONTROL!$C$38, 0.0369, 0)</f>
        <v>59.844700000000003</v>
      </c>
      <c r="F884" s="45">
        <f>59.8078 * CHOOSE(CONTROL!$C$15, $E$9, 100%, $G$9) + CHOOSE(CONTROL!$C$38, 0.0278, 0)</f>
        <v>59.835599999999999</v>
      </c>
      <c r="G884" s="10">
        <f>55.2888 * CHOOSE(CONTROL!$C$15, $E$9, 100%, $G$9) + CHOOSE(CONTROL!$C$38, 0.0369, 0)</f>
        <v>55.325700000000005</v>
      </c>
      <c r="H884" s="10">
        <f>55.2888 * CHOOSE(CONTROL!$C$15, $E$9, 100%, $G$9) + CHOOSE(CONTROL!$C$38, 0.0369, 0)</f>
        <v>55.325700000000005</v>
      </c>
      <c r="I884" s="10">
        <f>55.2904 * CHOOSE(CONTROL!$C$15, $E$9, 100%, $G$9) + CHOOSE(CONTROL!$C$38, 0.0369, 0)</f>
        <v>55.327300000000001</v>
      </c>
      <c r="J884" s="44">
        <f>542.3333</f>
        <v>542.33330000000001</v>
      </c>
    </row>
    <row r="885" spans="1:10" ht="15.75" x14ac:dyDescent="0.25">
      <c r="A885" s="13">
        <v>67876</v>
      </c>
      <c r="B885" s="10">
        <f>60.1959 * CHOOSE(CONTROL!$C$15, $E$9, 100%, $G$9) + CHOOSE(CONTROL!$C$38, 0.0256, 0)</f>
        <v>60.221499999999999</v>
      </c>
      <c r="C885" s="10">
        <f>55.5222 * CHOOSE(CONTROL!$C$15, $E$9, 100%, $G$9) + CHOOSE(CONTROL!$C$38, 0.0347, 0)</f>
        <v>55.556899999999999</v>
      </c>
      <c r="D885" s="10">
        <f>55.5144 * CHOOSE(CONTROL!$C$15, $E$9, 100%, $G$9) + CHOOSE(CONTROL!$C$38, 0.0347, 0)</f>
        <v>55.549100000000003</v>
      </c>
      <c r="E885" s="46">
        <f>60.0396 * CHOOSE(CONTROL!$C$15, $E$9, 100%, $G$9) + CHOOSE(CONTROL!$C$38, 0.0347, 0)</f>
        <v>60.074300000000001</v>
      </c>
      <c r="F885" s="45">
        <f>60.0396 * CHOOSE(CONTROL!$C$15, $E$9, 100%, $G$9) + CHOOSE(CONTROL!$C$38, 0.0256, 0)</f>
        <v>60.065199999999997</v>
      </c>
      <c r="G885" s="10">
        <f>55.5206 * CHOOSE(CONTROL!$C$15, $E$9, 100%, $G$9) + CHOOSE(CONTROL!$C$38, 0.0347, 0)</f>
        <v>55.555300000000003</v>
      </c>
      <c r="H885" s="10">
        <f>55.5206 * CHOOSE(CONTROL!$C$15, $E$9, 100%, $G$9) + CHOOSE(CONTROL!$C$38, 0.0347, 0)</f>
        <v>55.555300000000003</v>
      </c>
      <c r="I885" s="10">
        <f>55.5222 * CHOOSE(CONTROL!$C$15, $E$9, 100%, $G$9) + CHOOSE(CONTROL!$C$38, 0.0347, 0)</f>
        <v>55.556899999999999</v>
      </c>
      <c r="J885" s="44">
        <f>523.5789</f>
        <v>523.57889999999998</v>
      </c>
    </row>
    <row r="886" spans="1:10" ht="15.75" x14ac:dyDescent="0.25">
      <c r="A886" s="13">
        <v>67906</v>
      </c>
      <c r="B886" s="10">
        <f>60.3893 * CHOOSE(CONTROL!$C$15, $E$9, 100%, $G$9) + CHOOSE(CONTROL!$C$38, 0.0256, 0)</f>
        <v>60.414899999999996</v>
      </c>
      <c r="C886" s="10">
        <f>55.7157 * CHOOSE(CONTROL!$C$15, $E$9, 100%, $G$9) + CHOOSE(CONTROL!$C$38, 0.0347, 0)</f>
        <v>55.750399999999999</v>
      </c>
      <c r="D886" s="10">
        <f>55.7078 * CHOOSE(CONTROL!$C$15, $E$9, 100%, $G$9) + CHOOSE(CONTROL!$C$38, 0.0347, 0)</f>
        <v>55.7425</v>
      </c>
      <c r="E886" s="46">
        <f>60.233 * CHOOSE(CONTROL!$C$15, $E$9, 100%, $G$9) + CHOOSE(CONTROL!$C$38, 0.0347, 0)</f>
        <v>60.267699999999998</v>
      </c>
      <c r="F886" s="45">
        <f>60.233 * CHOOSE(CONTROL!$C$15, $E$9, 100%, $G$9) + CHOOSE(CONTROL!$C$38, 0.0256, 0)</f>
        <v>60.258599999999994</v>
      </c>
      <c r="G886" s="10">
        <f>55.7141 * CHOOSE(CONTROL!$C$15, $E$9, 100%, $G$9) + CHOOSE(CONTROL!$C$38, 0.0347, 0)</f>
        <v>55.748800000000003</v>
      </c>
      <c r="H886" s="10">
        <f>55.7141 * CHOOSE(CONTROL!$C$15, $E$9, 100%, $G$9) + CHOOSE(CONTROL!$C$38, 0.0347, 0)</f>
        <v>55.748800000000003</v>
      </c>
      <c r="I886" s="10">
        <f>55.7157 * CHOOSE(CONTROL!$C$15, $E$9, 100%, $G$9) + CHOOSE(CONTROL!$C$38, 0.0347, 0)</f>
        <v>55.750399999999999</v>
      </c>
      <c r="J886" s="44">
        <f>519.8482</f>
        <v>519.84820000000002</v>
      </c>
    </row>
    <row r="887" spans="1:10" ht="15.75" x14ac:dyDescent="0.25">
      <c r="A887" s="13">
        <v>67937</v>
      </c>
      <c r="B887" s="10">
        <f>60.9854 * CHOOSE(CONTROL!$C$15, $E$9, 100%, $G$9) + CHOOSE(CONTROL!$C$38, 0.0256, 0)</f>
        <v>61.010999999999996</v>
      </c>
      <c r="C887" s="10">
        <f>56.3117 * CHOOSE(CONTROL!$C$15, $E$9, 100%, $G$9) + CHOOSE(CONTROL!$C$38, 0.0347, 0)</f>
        <v>56.346400000000003</v>
      </c>
      <c r="D887" s="10">
        <f>56.3039 * CHOOSE(CONTROL!$C$15, $E$9, 100%, $G$9) + CHOOSE(CONTROL!$C$38, 0.0347, 0)</f>
        <v>56.3386</v>
      </c>
      <c r="E887" s="46">
        <f>60.8291 * CHOOSE(CONTROL!$C$15, $E$9, 100%, $G$9) + CHOOSE(CONTROL!$C$38, 0.0347, 0)</f>
        <v>60.863799999999998</v>
      </c>
      <c r="F887" s="45">
        <f>60.8291 * CHOOSE(CONTROL!$C$15, $E$9, 100%, $G$9) + CHOOSE(CONTROL!$C$38, 0.0256, 0)</f>
        <v>60.854699999999994</v>
      </c>
      <c r="G887" s="10">
        <f>56.3102 * CHOOSE(CONTROL!$C$15, $E$9, 100%, $G$9) + CHOOSE(CONTROL!$C$38, 0.0347, 0)</f>
        <v>56.344900000000003</v>
      </c>
      <c r="H887" s="10">
        <f>56.3102 * CHOOSE(CONTROL!$C$15, $E$9, 100%, $G$9) + CHOOSE(CONTROL!$C$38, 0.0347, 0)</f>
        <v>56.344900000000003</v>
      </c>
      <c r="I887" s="10">
        <f>56.3117 * CHOOSE(CONTROL!$C$15, $E$9, 100%, $G$9) + CHOOSE(CONTROL!$C$38, 0.0347, 0)</f>
        <v>56.346400000000003</v>
      </c>
      <c r="J887" s="44">
        <f>504.4217</f>
        <v>504.42169999999999</v>
      </c>
    </row>
    <row r="888" spans="1:10" ht="15.75" x14ac:dyDescent="0.25">
      <c r="A888" s="13">
        <v>67968</v>
      </c>
      <c r="B888" s="10">
        <f>62.4366 * CHOOSE(CONTROL!$C$15, $E$9, 100%, $G$9) + CHOOSE(CONTROL!$C$38, 0.0256, 0)</f>
        <v>62.462199999999996</v>
      </c>
      <c r="C888" s="10">
        <f>57.6889 * CHOOSE(CONTROL!$C$15, $E$9, 100%, $G$9) + CHOOSE(CONTROL!$C$38, 0.0347, 0)</f>
        <v>57.723599999999998</v>
      </c>
      <c r="D888" s="10">
        <f>57.6811 * CHOOSE(CONTROL!$C$15, $E$9, 100%, $G$9) + CHOOSE(CONTROL!$C$38, 0.0347, 0)</f>
        <v>57.715800000000002</v>
      </c>
      <c r="E888" s="46">
        <f>62.2804 * CHOOSE(CONTROL!$C$15, $E$9, 100%, $G$9) + CHOOSE(CONTROL!$C$38, 0.0347, 0)</f>
        <v>62.315100000000001</v>
      </c>
      <c r="F888" s="45">
        <f>62.2804 * CHOOSE(CONTROL!$C$15, $E$9, 100%, $G$9) + CHOOSE(CONTROL!$C$38, 0.0256, 0)</f>
        <v>62.305999999999997</v>
      </c>
      <c r="G888" s="10">
        <f>57.6873 * CHOOSE(CONTROL!$C$15, $E$9, 100%, $G$9) + CHOOSE(CONTROL!$C$38, 0.0347, 0)</f>
        <v>57.722000000000001</v>
      </c>
      <c r="H888" s="10">
        <f>57.6873 * CHOOSE(CONTROL!$C$15, $E$9, 100%, $G$9) + CHOOSE(CONTROL!$C$38, 0.0347, 0)</f>
        <v>57.722000000000001</v>
      </c>
      <c r="I888" s="10">
        <f>57.6889 * CHOOSE(CONTROL!$C$15, $E$9, 100%, $G$9) + CHOOSE(CONTROL!$C$38, 0.0347, 0)</f>
        <v>57.723599999999998</v>
      </c>
      <c r="J888" s="44">
        <f>503.4583</f>
        <v>503.45830000000001</v>
      </c>
    </row>
    <row r="889" spans="1:10" ht="15.75" x14ac:dyDescent="0.25">
      <c r="A889" s="13">
        <v>67996</v>
      </c>
      <c r="B889" s="10">
        <f>62.6574 * CHOOSE(CONTROL!$C$15, $E$9, 100%, $G$9) + CHOOSE(CONTROL!$C$38, 0.0256, 0)</f>
        <v>62.683</v>
      </c>
      <c r="C889" s="10">
        <f>57.9097 * CHOOSE(CONTROL!$C$15, $E$9, 100%, $G$9) + CHOOSE(CONTROL!$C$38, 0.0347, 0)</f>
        <v>57.944400000000002</v>
      </c>
      <c r="D889" s="10">
        <f>57.9019 * CHOOSE(CONTROL!$C$15, $E$9, 100%, $G$9) + CHOOSE(CONTROL!$C$38, 0.0347, 0)</f>
        <v>57.936599999999999</v>
      </c>
      <c r="E889" s="46">
        <f>62.5011 * CHOOSE(CONTROL!$C$15, $E$9, 100%, $G$9) + CHOOSE(CONTROL!$C$38, 0.0347, 0)</f>
        <v>62.535800000000002</v>
      </c>
      <c r="F889" s="45">
        <f>62.5011 * CHOOSE(CONTROL!$C$15, $E$9, 100%, $G$9) + CHOOSE(CONTROL!$C$38, 0.0256, 0)</f>
        <v>62.526699999999998</v>
      </c>
      <c r="G889" s="10">
        <f>57.9081 * CHOOSE(CONTROL!$C$15, $E$9, 100%, $G$9) + CHOOSE(CONTROL!$C$38, 0.0347, 0)</f>
        <v>57.942799999999998</v>
      </c>
      <c r="H889" s="10">
        <f>57.9081 * CHOOSE(CONTROL!$C$15, $E$9, 100%, $G$9) + CHOOSE(CONTROL!$C$38, 0.0347, 0)</f>
        <v>57.942799999999998</v>
      </c>
      <c r="I889" s="10">
        <f>57.9097 * CHOOSE(CONTROL!$C$15, $E$9, 100%, $G$9) + CHOOSE(CONTROL!$C$38, 0.0347, 0)</f>
        <v>57.944400000000002</v>
      </c>
      <c r="J889" s="44">
        <f>502.0589</f>
        <v>502.05889999999999</v>
      </c>
    </row>
    <row r="890" spans="1:10" ht="15.75" x14ac:dyDescent="0.25">
      <c r="A890" s="13">
        <v>68027</v>
      </c>
      <c r="B890" s="10">
        <f>62.1463 * CHOOSE(CONTROL!$C$15, $E$9, 100%, $G$9) + CHOOSE(CONTROL!$C$38, 0.0256, 0)</f>
        <v>62.171899999999994</v>
      </c>
      <c r="C890" s="10">
        <f>57.3986 * CHOOSE(CONTROL!$C$15, $E$9, 100%, $G$9) + CHOOSE(CONTROL!$C$38, 0.0347, 0)</f>
        <v>57.433300000000003</v>
      </c>
      <c r="D890" s="10">
        <f>57.3908 * CHOOSE(CONTROL!$C$15, $E$9, 100%, $G$9) + CHOOSE(CONTROL!$C$38, 0.0347, 0)</f>
        <v>57.4255</v>
      </c>
      <c r="E890" s="46">
        <f>61.9901 * CHOOSE(CONTROL!$C$15, $E$9, 100%, $G$9) + CHOOSE(CONTROL!$C$38, 0.0347, 0)</f>
        <v>62.024799999999999</v>
      </c>
      <c r="F890" s="45">
        <f>61.9901 * CHOOSE(CONTROL!$C$15, $E$9, 100%, $G$9) + CHOOSE(CONTROL!$C$38, 0.0256, 0)</f>
        <v>62.015699999999995</v>
      </c>
      <c r="G890" s="10">
        <f>57.3971 * CHOOSE(CONTROL!$C$15, $E$9, 100%, $G$9) + CHOOSE(CONTROL!$C$38, 0.0347, 0)</f>
        <v>57.431800000000003</v>
      </c>
      <c r="H890" s="10">
        <f>57.3971 * CHOOSE(CONTROL!$C$15, $E$9, 100%, $G$9) + CHOOSE(CONTROL!$C$38, 0.0347, 0)</f>
        <v>57.431800000000003</v>
      </c>
      <c r="I890" s="10">
        <f>57.3986 * CHOOSE(CONTROL!$C$15, $E$9, 100%, $G$9) + CHOOSE(CONTROL!$C$38, 0.0347, 0)</f>
        <v>57.433300000000003</v>
      </c>
      <c r="J890" s="44">
        <f>528.5203</f>
        <v>528.52030000000002</v>
      </c>
    </row>
    <row r="891" spans="1:10" ht="15.75" x14ac:dyDescent="0.25">
      <c r="A891" s="13">
        <v>68057</v>
      </c>
      <c r="B891" s="10">
        <f>61.6512 * CHOOSE(CONTROL!$C$15, $E$9, 100%, $G$9) + CHOOSE(CONTROL!$C$38, 0.0256, 0)</f>
        <v>61.6768</v>
      </c>
      <c r="C891" s="10">
        <f>56.9035 * CHOOSE(CONTROL!$C$15, $E$9, 100%, $G$9) + CHOOSE(CONTROL!$C$38, 0.0347, 0)</f>
        <v>56.938200000000002</v>
      </c>
      <c r="D891" s="10">
        <f>56.8956 * CHOOSE(CONTROL!$C$15, $E$9, 100%, $G$9) + CHOOSE(CONTROL!$C$38, 0.0347, 0)</f>
        <v>56.930300000000003</v>
      </c>
      <c r="E891" s="46">
        <f>61.4949 * CHOOSE(CONTROL!$C$15, $E$9, 100%, $G$9) + CHOOSE(CONTROL!$C$38, 0.0347, 0)</f>
        <v>61.529600000000002</v>
      </c>
      <c r="F891" s="45">
        <f>61.4949 * CHOOSE(CONTROL!$C$15, $E$9, 100%, $G$9) + CHOOSE(CONTROL!$C$38, 0.0256, 0)</f>
        <v>61.520499999999998</v>
      </c>
      <c r="G891" s="10">
        <f>56.9019 * CHOOSE(CONTROL!$C$15, $E$9, 100%, $G$9) + CHOOSE(CONTROL!$C$38, 0.0347, 0)</f>
        <v>56.936599999999999</v>
      </c>
      <c r="H891" s="10">
        <f>56.9019 * CHOOSE(CONTROL!$C$15, $E$9, 100%, $G$9) + CHOOSE(CONTROL!$C$38, 0.0347, 0)</f>
        <v>56.936599999999999</v>
      </c>
      <c r="I891" s="10">
        <f>56.9035 * CHOOSE(CONTROL!$C$15, $E$9, 100%, $G$9) + CHOOSE(CONTROL!$C$38, 0.0347, 0)</f>
        <v>56.938200000000002</v>
      </c>
      <c r="J891" s="44">
        <f>562.8344</f>
        <v>562.83439999999996</v>
      </c>
    </row>
    <row r="892" spans="1:10" ht="15.75" x14ac:dyDescent="0.25">
      <c r="A892" s="13">
        <v>68088</v>
      </c>
      <c r="B892" s="10">
        <f>61.1351 * CHOOSE(CONTROL!$C$15, $E$9, 100%, $G$9) + CHOOSE(CONTROL!$C$38, 0.0278, 0)</f>
        <v>61.1629</v>
      </c>
      <c r="C892" s="10">
        <f>56.3873 * CHOOSE(CONTROL!$C$15, $E$9, 100%, $G$9) + CHOOSE(CONTROL!$C$38, 0.0369, 0)</f>
        <v>56.424200000000006</v>
      </c>
      <c r="D892" s="10">
        <f>56.3795 * CHOOSE(CONTROL!$C$15, $E$9, 100%, $G$9) + CHOOSE(CONTROL!$C$38, 0.0369, 0)</f>
        <v>56.416400000000003</v>
      </c>
      <c r="E892" s="46">
        <f>60.9788 * CHOOSE(CONTROL!$C$15, $E$9, 100%, $G$9) + CHOOSE(CONTROL!$C$38, 0.0369, 0)</f>
        <v>61.015700000000002</v>
      </c>
      <c r="F892" s="45">
        <f>60.9788 * CHOOSE(CONTROL!$C$15, $E$9, 100%, $G$9) + CHOOSE(CONTROL!$C$38, 0.0278, 0)</f>
        <v>61.006599999999999</v>
      </c>
      <c r="G892" s="10">
        <f>56.3858 * CHOOSE(CONTROL!$C$15, $E$9, 100%, $G$9) + CHOOSE(CONTROL!$C$38, 0.0369, 0)</f>
        <v>56.422700000000006</v>
      </c>
      <c r="H892" s="10">
        <f>56.3858 * CHOOSE(CONTROL!$C$15, $E$9, 100%, $G$9) + CHOOSE(CONTROL!$C$38, 0.0369, 0)</f>
        <v>56.422700000000006</v>
      </c>
      <c r="I892" s="10">
        <f>56.3873 * CHOOSE(CONTROL!$C$15, $E$9, 100%, $G$9) + CHOOSE(CONTROL!$C$38, 0.0369, 0)</f>
        <v>56.424200000000006</v>
      </c>
      <c r="J892" s="44">
        <f>581.722</f>
        <v>581.72199999999998</v>
      </c>
    </row>
    <row r="893" spans="1:10" ht="15.75" x14ac:dyDescent="0.25">
      <c r="A893" s="13">
        <v>68118</v>
      </c>
      <c r="B893" s="10">
        <f>60.7732 * CHOOSE(CONTROL!$C$15, $E$9, 100%, $G$9) + CHOOSE(CONTROL!$C$38, 0.0278, 0)</f>
        <v>60.801000000000002</v>
      </c>
      <c r="C893" s="10">
        <f>56.0255 * CHOOSE(CONTROL!$C$15, $E$9, 100%, $G$9) + CHOOSE(CONTROL!$C$38, 0.0369, 0)</f>
        <v>56.062400000000004</v>
      </c>
      <c r="D893" s="10">
        <f>56.0177 * CHOOSE(CONTROL!$C$15, $E$9, 100%, $G$9) + CHOOSE(CONTROL!$C$38, 0.0369, 0)</f>
        <v>56.054600000000001</v>
      </c>
      <c r="E893" s="46">
        <f>60.617 * CHOOSE(CONTROL!$C$15, $E$9, 100%, $G$9) + CHOOSE(CONTROL!$C$38, 0.0369, 0)</f>
        <v>60.6539</v>
      </c>
      <c r="F893" s="45">
        <f>60.617 * CHOOSE(CONTROL!$C$15, $E$9, 100%, $G$9) + CHOOSE(CONTROL!$C$38, 0.0278, 0)</f>
        <v>60.644799999999996</v>
      </c>
      <c r="G893" s="10">
        <f>56.024 * CHOOSE(CONTROL!$C$15, $E$9, 100%, $G$9) + CHOOSE(CONTROL!$C$38, 0.0369, 0)</f>
        <v>56.060900000000004</v>
      </c>
      <c r="H893" s="10">
        <f>56.024 * CHOOSE(CONTROL!$C$15, $E$9, 100%, $G$9) + CHOOSE(CONTROL!$C$38, 0.0369, 0)</f>
        <v>56.060900000000004</v>
      </c>
      <c r="I893" s="10">
        <f>56.0255 * CHOOSE(CONTROL!$C$15, $E$9, 100%, $G$9) + CHOOSE(CONTROL!$C$38, 0.0369, 0)</f>
        <v>56.062400000000004</v>
      </c>
      <c r="J893" s="44">
        <f>590.104</f>
        <v>590.10400000000004</v>
      </c>
    </row>
    <row r="894" spans="1:10" ht="15.75" x14ac:dyDescent="0.25">
      <c r="A894" s="13">
        <v>68149</v>
      </c>
      <c r="B894" s="10">
        <f>60.5667 * CHOOSE(CONTROL!$C$15, $E$9, 100%, $G$9) + CHOOSE(CONTROL!$C$38, 0.0278, 0)</f>
        <v>60.594499999999996</v>
      </c>
      <c r="C894" s="10">
        <f>55.819 * CHOOSE(CONTROL!$C$15, $E$9, 100%, $G$9) + CHOOSE(CONTROL!$C$38, 0.0369, 0)</f>
        <v>55.855900000000005</v>
      </c>
      <c r="D894" s="10">
        <f>55.8112 * CHOOSE(CONTROL!$C$15, $E$9, 100%, $G$9) + CHOOSE(CONTROL!$C$38, 0.0369, 0)</f>
        <v>55.848100000000002</v>
      </c>
      <c r="E894" s="46">
        <f>60.4105 * CHOOSE(CONTROL!$C$15, $E$9, 100%, $G$9) + CHOOSE(CONTROL!$C$38, 0.0369, 0)</f>
        <v>60.447400000000002</v>
      </c>
      <c r="F894" s="45">
        <f>60.4105 * CHOOSE(CONTROL!$C$15, $E$9, 100%, $G$9) + CHOOSE(CONTROL!$C$38, 0.0278, 0)</f>
        <v>60.438299999999998</v>
      </c>
      <c r="G894" s="10">
        <f>55.8175 * CHOOSE(CONTROL!$C$15, $E$9, 100%, $G$9) + CHOOSE(CONTROL!$C$38, 0.0369, 0)</f>
        <v>55.854400000000005</v>
      </c>
      <c r="H894" s="10">
        <f>55.8175 * CHOOSE(CONTROL!$C$15, $E$9, 100%, $G$9) + CHOOSE(CONTROL!$C$38, 0.0369, 0)</f>
        <v>55.854400000000005</v>
      </c>
      <c r="I894" s="10">
        <f>55.819 * CHOOSE(CONTROL!$C$15, $E$9, 100%, $G$9) + CHOOSE(CONTROL!$C$38, 0.0369, 0)</f>
        <v>55.855900000000005</v>
      </c>
      <c r="J894" s="44">
        <f>587.3443</f>
        <v>587.34429999999998</v>
      </c>
    </row>
    <row r="895" spans="1:10" ht="15.75" x14ac:dyDescent="0.25">
      <c r="A895" s="13">
        <v>68180</v>
      </c>
      <c r="B895" s="10">
        <f>60.6686 * CHOOSE(CONTROL!$C$15, $E$9, 100%, $G$9) + CHOOSE(CONTROL!$C$38, 0.0278, 0)</f>
        <v>60.696399999999997</v>
      </c>
      <c r="C895" s="10">
        <f>55.9209 * CHOOSE(CONTROL!$C$15, $E$9, 100%, $G$9) + CHOOSE(CONTROL!$C$38, 0.0369, 0)</f>
        <v>55.957800000000006</v>
      </c>
      <c r="D895" s="10">
        <f>55.9131 * CHOOSE(CONTROL!$C$15, $E$9, 100%, $G$9) + CHOOSE(CONTROL!$C$38, 0.0369, 0)</f>
        <v>55.95</v>
      </c>
      <c r="E895" s="46">
        <f>60.5124 * CHOOSE(CONTROL!$C$15, $E$9, 100%, $G$9) + CHOOSE(CONTROL!$C$38, 0.0369, 0)</f>
        <v>60.549300000000002</v>
      </c>
      <c r="F895" s="45">
        <f>60.5124 * CHOOSE(CONTROL!$C$15, $E$9, 100%, $G$9) + CHOOSE(CONTROL!$C$38, 0.0278, 0)</f>
        <v>60.540199999999999</v>
      </c>
      <c r="G895" s="10">
        <f>55.9194 * CHOOSE(CONTROL!$C$15, $E$9, 100%, $G$9) + CHOOSE(CONTROL!$C$38, 0.0369, 0)</f>
        <v>55.956300000000006</v>
      </c>
      <c r="H895" s="10">
        <f>55.9194 * CHOOSE(CONTROL!$C$15, $E$9, 100%, $G$9) + CHOOSE(CONTROL!$C$38, 0.0369, 0)</f>
        <v>55.956300000000006</v>
      </c>
      <c r="I895" s="10">
        <f>55.9209 * CHOOSE(CONTROL!$C$15, $E$9, 100%, $G$9) + CHOOSE(CONTROL!$C$38, 0.0369, 0)</f>
        <v>55.957800000000006</v>
      </c>
      <c r="J895" s="44">
        <f>573.6712</f>
        <v>573.6712</v>
      </c>
    </row>
    <row r="896" spans="1:10" ht="15.75" x14ac:dyDescent="0.25">
      <c r="A896" s="13">
        <v>68210</v>
      </c>
      <c r="B896" s="10">
        <f>60.9454 * CHOOSE(CONTROL!$C$15, $E$9, 100%, $G$9) + CHOOSE(CONTROL!$C$38, 0.0278, 0)</f>
        <v>60.973199999999999</v>
      </c>
      <c r="C896" s="10">
        <f>56.1977 * CHOOSE(CONTROL!$C$15, $E$9, 100%, $G$9) + CHOOSE(CONTROL!$C$38, 0.0369, 0)</f>
        <v>56.2346</v>
      </c>
      <c r="D896" s="10">
        <f>56.1899 * CHOOSE(CONTROL!$C$15, $E$9, 100%, $G$9) + CHOOSE(CONTROL!$C$38, 0.0369, 0)</f>
        <v>56.226800000000004</v>
      </c>
      <c r="E896" s="46">
        <f>60.7892 * CHOOSE(CONTROL!$C$15, $E$9, 100%, $G$9) + CHOOSE(CONTROL!$C$38, 0.0369, 0)</f>
        <v>60.826100000000004</v>
      </c>
      <c r="F896" s="45">
        <f>60.7892 * CHOOSE(CONTROL!$C$15, $E$9, 100%, $G$9) + CHOOSE(CONTROL!$C$38, 0.0278, 0)</f>
        <v>60.817</v>
      </c>
      <c r="G896" s="10">
        <f>56.1962 * CHOOSE(CONTROL!$C$15, $E$9, 100%, $G$9) + CHOOSE(CONTROL!$C$38, 0.0369, 0)</f>
        <v>56.2331</v>
      </c>
      <c r="H896" s="10">
        <f>56.1962 * CHOOSE(CONTROL!$C$15, $E$9, 100%, $G$9) + CHOOSE(CONTROL!$C$38, 0.0369, 0)</f>
        <v>56.2331</v>
      </c>
      <c r="I896" s="10">
        <f>56.1977 * CHOOSE(CONTROL!$C$15, $E$9, 100%, $G$9) + CHOOSE(CONTROL!$C$38, 0.0369, 0)</f>
        <v>56.2346</v>
      </c>
      <c r="J896" s="44">
        <f>554.6033</f>
        <v>554.60329999999999</v>
      </c>
    </row>
    <row r="897" spans="1:10" ht="15.75" x14ac:dyDescent="0.25">
      <c r="A897" s="13">
        <v>68241</v>
      </c>
      <c r="B897" s="10">
        <f>61.1773 * CHOOSE(CONTROL!$C$15, $E$9, 100%, $G$9) + CHOOSE(CONTROL!$C$38, 0.0256, 0)</f>
        <v>61.2029</v>
      </c>
      <c r="C897" s="10">
        <f>56.4296 * CHOOSE(CONTROL!$C$15, $E$9, 100%, $G$9) + CHOOSE(CONTROL!$C$38, 0.0347, 0)</f>
        <v>56.464300000000001</v>
      </c>
      <c r="D897" s="10">
        <f>56.4217 * CHOOSE(CONTROL!$C$15, $E$9, 100%, $G$9) + CHOOSE(CONTROL!$C$38, 0.0347, 0)</f>
        <v>56.456400000000002</v>
      </c>
      <c r="E897" s="46">
        <f>61.021 * CHOOSE(CONTROL!$C$15, $E$9, 100%, $G$9) + CHOOSE(CONTROL!$C$38, 0.0347, 0)</f>
        <v>61.055700000000002</v>
      </c>
      <c r="F897" s="45">
        <f>61.021 * CHOOSE(CONTROL!$C$15, $E$9, 100%, $G$9) + CHOOSE(CONTROL!$C$38, 0.0256, 0)</f>
        <v>61.046599999999998</v>
      </c>
      <c r="G897" s="10">
        <f>56.428 * CHOOSE(CONTROL!$C$15, $E$9, 100%, $G$9) + CHOOSE(CONTROL!$C$38, 0.0347, 0)</f>
        <v>56.462699999999998</v>
      </c>
      <c r="H897" s="10">
        <f>56.428 * CHOOSE(CONTROL!$C$15, $E$9, 100%, $G$9) + CHOOSE(CONTROL!$C$38, 0.0347, 0)</f>
        <v>56.462699999999998</v>
      </c>
      <c r="I897" s="10">
        <f>56.4296 * CHOOSE(CONTROL!$C$15, $E$9, 100%, $G$9) + CHOOSE(CONTROL!$C$38, 0.0347, 0)</f>
        <v>56.464300000000001</v>
      </c>
      <c r="J897" s="44">
        <f>535.4246</f>
        <v>535.42460000000005</v>
      </c>
    </row>
    <row r="898" spans="1:10" ht="15.75" x14ac:dyDescent="0.25">
      <c r="A898" s="13">
        <v>68271</v>
      </c>
      <c r="B898" s="10">
        <f>61.3707 * CHOOSE(CONTROL!$C$15, $E$9, 100%, $G$9) + CHOOSE(CONTROL!$C$38, 0.0256, 0)</f>
        <v>61.396299999999997</v>
      </c>
      <c r="C898" s="10">
        <f>56.623 * CHOOSE(CONTROL!$C$15, $E$9, 100%, $G$9) + CHOOSE(CONTROL!$C$38, 0.0347, 0)</f>
        <v>56.657699999999998</v>
      </c>
      <c r="D898" s="10">
        <f>56.6152 * CHOOSE(CONTROL!$C$15, $E$9, 100%, $G$9) + CHOOSE(CONTROL!$C$38, 0.0347, 0)</f>
        <v>56.649900000000002</v>
      </c>
      <c r="E898" s="46">
        <f>61.2145 * CHOOSE(CONTROL!$C$15, $E$9, 100%, $G$9) + CHOOSE(CONTROL!$C$38, 0.0347, 0)</f>
        <v>61.249200000000002</v>
      </c>
      <c r="F898" s="45">
        <f>61.2145 * CHOOSE(CONTROL!$C$15, $E$9, 100%, $G$9) + CHOOSE(CONTROL!$C$38, 0.0256, 0)</f>
        <v>61.240099999999998</v>
      </c>
      <c r="G898" s="10">
        <f>56.6214 * CHOOSE(CONTROL!$C$15, $E$9, 100%, $G$9) + CHOOSE(CONTROL!$C$38, 0.0347, 0)</f>
        <v>56.656100000000002</v>
      </c>
      <c r="H898" s="10">
        <f>56.6214 * CHOOSE(CONTROL!$C$15, $E$9, 100%, $G$9) + CHOOSE(CONTROL!$C$38, 0.0347, 0)</f>
        <v>56.656100000000002</v>
      </c>
      <c r="I898" s="10">
        <f>56.623 * CHOOSE(CONTROL!$C$15, $E$9, 100%, $G$9) + CHOOSE(CONTROL!$C$38, 0.0347, 0)</f>
        <v>56.657699999999998</v>
      </c>
      <c r="J898" s="44">
        <f>531.6095</f>
        <v>531.60950000000003</v>
      </c>
    </row>
    <row r="899" spans="1:10" ht="15.75" x14ac:dyDescent="0.25">
      <c r="A899" s="13">
        <v>68302</v>
      </c>
      <c r="B899" s="10">
        <f>61.9668 * CHOOSE(CONTROL!$C$15, $E$9, 100%, $G$9) + CHOOSE(CONTROL!$C$38, 0.0256, 0)</f>
        <v>61.992399999999996</v>
      </c>
      <c r="C899" s="10">
        <f>57.2191 * CHOOSE(CONTROL!$C$15, $E$9, 100%, $G$9) + CHOOSE(CONTROL!$C$38, 0.0347, 0)</f>
        <v>57.253799999999998</v>
      </c>
      <c r="D899" s="10">
        <f>57.2113 * CHOOSE(CONTROL!$C$15, $E$9, 100%, $G$9) + CHOOSE(CONTROL!$C$38, 0.0347, 0)</f>
        <v>57.246000000000002</v>
      </c>
      <c r="E899" s="46">
        <f>61.8105 * CHOOSE(CONTROL!$C$15, $E$9, 100%, $G$9) + CHOOSE(CONTROL!$C$38, 0.0347, 0)</f>
        <v>61.845199999999998</v>
      </c>
      <c r="F899" s="45">
        <f>61.8105 * CHOOSE(CONTROL!$C$15, $E$9, 100%, $G$9) + CHOOSE(CONTROL!$C$38, 0.0256, 0)</f>
        <v>61.836099999999995</v>
      </c>
      <c r="G899" s="10">
        <f>57.2175 * CHOOSE(CONTROL!$C$15, $E$9, 100%, $G$9) + CHOOSE(CONTROL!$C$38, 0.0347, 0)</f>
        <v>57.252200000000002</v>
      </c>
      <c r="H899" s="10">
        <f>57.2175 * CHOOSE(CONTROL!$C$15, $E$9, 100%, $G$9) + CHOOSE(CONTROL!$C$38, 0.0347, 0)</f>
        <v>57.252200000000002</v>
      </c>
      <c r="I899" s="10">
        <f>57.2191 * CHOOSE(CONTROL!$C$15, $E$9, 100%, $G$9) + CHOOSE(CONTROL!$C$38, 0.0347, 0)</f>
        <v>57.253799999999998</v>
      </c>
      <c r="J899" s="44">
        <f>515.834</f>
        <v>515.83399999999995</v>
      </c>
    </row>
    <row r="900" spans="1:10" ht="15.75" x14ac:dyDescent="0.25">
      <c r="A900" s="13">
        <v>68333</v>
      </c>
      <c r="B900" s="10">
        <f>63.4341 * CHOOSE(CONTROL!$C$15, $E$9, 100%, $G$9) + CHOOSE(CONTROL!$C$38, 0.0256, 0)</f>
        <v>63.459699999999998</v>
      </c>
      <c r="C900" s="10">
        <f>58.6111 * CHOOSE(CONTROL!$C$15, $E$9, 100%, $G$9) + CHOOSE(CONTROL!$C$38, 0.0347, 0)</f>
        <v>58.645800000000001</v>
      </c>
      <c r="D900" s="10">
        <f>58.6033 * CHOOSE(CONTROL!$C$15, $E$9, 100%, $G$9) + CHOOSE(CONTROL!$C$38, 0.0347, 0)</f>
        <v>58.637999999999998</v>
      </c>
      <c r="E900" s="46">
        <f>63.2779 * CHOOSE(CONTROL!$C$15, $E$9, 100%, $G$9) + CHOOSE(CONTROL!$C$38, 0.0347, 0)</f>
        <v>63.312600000000003</v>
      </c>
      <c r="F900" s="45">
        <f>63.2779 * CHOOSE(CONTROL!$C$15, $E$9, 100%, $G$9) + CHOOSE(CONTROL!$C$38, 0.0256, 0)</f>
        <v>63.3035</v>
      </c>
      <c r="G900" s="10">
        <f>58.6096 * CHOOSE(CONTROL!$C$15, $E$9, 100%, $G$9) + CHOOSE(CONTROL!$C$38, 0.0347, 0)</f>
        <v>58.644300000000001</v>
      </c>
      <c r="H900" s="10">
        <f>58.6096 * CHOOSE(CONTROL!$C$15, $E$9, 100%, $G$9) + CHOOSE(CONTROL!$C$38, 0.0347, 0)</f>
        <v>58.644300000000001</v>
      </c>
      <c r="I900" s="10">
        <f>58.6111 * CHOOSE(CONTROL!$C$15, $E$9, 100%, $G$9) + CHOOSE(CONTROL!$C$38, 0.0347, 0)</f>
        <v>58.645800000000001</v>
      </c>
      <c r="J900" s="44">
        <f>514.8488</f>
        <v>514.84879999999998</v>
      </c>
    </row>
    <row r="901" spans="1:10" ht="15.75" x14ac:dyDescent="0.25">
      <c r="A901" s="13">
        <v>68361</v>
      </c>
      <c r="B901" s="10">
        <f>63.6549 * CHOOSE(CONTROL!$C$15, $E$9, 100%, $G$9) + CHOOSE(CONTROL!$C$38, 0.0256, 0)</f>
        <v>63.680499999999995</v>
      </c>
      <c r="C901" s="10">
        <f>58.8319 * CHOOSE(CONTROL!$C$15, $E$9, 100%, $G$9) + CHOOSE(CONTROL!$C$38, 0.0347, 0)</f>
        <v>58.866599999999998</v>
      </c>
      <c r="D901" s="10">
        <f>58.8241 * CHOOSE(CONTROL!$C$15, $E$9, 100%, $G$9) + CHOOSE(CONTROL!$C$38, 0.0347, 0)</f>
        <v>58.858800000000002</v>
      </c>
      <c r="E901" s="46">
        <f>63.4986 * CHOOSE(CONTROL!$C$15, $E$9, 100%, $G$9) + CHOOSE(CONTROL!$C$38, 0.0347, 0)</f>
        <v>63.533300000000004</v>
      </c>
      <c r="F901" s="45">
        <f>63.4986 * CHOOSE(CONTROL!$C$15, $E$9, 100%, $G$9) + CHOOSE(CONTROL!$C$38, 0.0256, 0)</f>
        <v>63.5242</v>
      </c>
      <c r="G901" s="10">
        <f>58.8303 * CHOOSE(CONTROL!$C$15, $E$9, 100%, $G$9) + CHOOSE(CONTROL!$C$38, 0.0347, 0)</f>
        <v>58.865000000000002</v>
      </c>
      <c r="H901" s="10">
        <f>58.8303 * CHOOSE(CONTROL!$C$15, $E$9, 100%, $G$9) + CHOOSE(CONTROL!$C$38, 0.0347, 0)</f>
        <v>58.865000000000002</v>
      </c>
      <c r="I901" s="10">
        <f>58.8319 * CHOOSE(CONTROL!$C$15, $E$9, 100%, $G$9) + CHOOSE(CONTROL!$C$38, 0.0347, 0)</f>
        <v>58.866599999999998</v>
      </c>
      <c r="J901" s="44">
        <f>513.4177</f>
        <v>513.41769999999997</v>
      </c>
    </row>
    <row r="902" spans="1:10" ht="15.75" x14ac:dyDescent="0.25">
      <c r="A902" s="13">
        <v>68392</v>
      </c>
      <c r="B902" s="10">
        <f>63.1438 * CHOOSE(CONTROL!$C$15, $E$9, 100%, $G$9) + CHOOSE(CONTROL!$C$38, 0.0256, 0)</f>
        <v>63.169399999999996</v>
      </c>
      <c r="C902" s="10">
        <f>58.3209 * CHOOSE(CONTROL!$C$15, $E$9, 100%, $G$9) + CHOOSE(CONTROL!$C$38, 0.0347, 0)</f>
        <v>58.355600000000003</v>
      </c>
      <c r="D902" s="10">
        <f>58.313 * CHOOSE(CONTROL!$C$15, $E$9, 100%, $G$9) + CHOOSE(CONTROL!$C$38, 0.0347, 0)</f>
        <v>58.347700000000003</v>
      </c>
      <c r="E902" s="46">
        <f>62.9876 * CHOOSE(CONTROL!$C$15, $E$9, 100%, $G$9) + CHOOSE(CONTROL!$C$38, 0.0347, 0)</f>
        <v>63.022300000000001</v>
      </c>
      <c r="F902" s="45">
        <f>62.9876 * CHOOSE(CONTROL!$C$15, $E$9, 100%, $G$9) + CHOOSE(CONTROL!$C$38, 0.0256, 0)</f>
        <v>63.013199999999998</v>
      </c>
      <c r="G902" s="10">
        <f>58.3193 * CHOOSE(CONTROL!$C$15, $E$9, 100%, $G$9) + CHOOSE(CONTROL!$C$38, 0.0347, 0)</f>
        <v>58.353999999999999</v>
      </c>
      <c r="H902" s="10">
        <f>58.3193 * CHOOSE(CONTROL!$C$15, $E$9, 100%, $G$9) + CHOOSE(CONTROL!$C$38, 0.0347, 0)</f>
        <v>58.353999999999999</v>
      </c>
      <c r="I902" s="10">
        <f>58.3209 * CHOOSE(CONTROL!$C$15, $E$9, 100%, $G$9) + CHOOSE(CONTROL!$C$38, 0.0347, 0)</f>
        <v>58.355600000000003</v>
      </c>
      <c r="J902" s="44">
        <f>540.4778</f>
        <v>540.4778</v>
      </c>
    </row>
    <row r="903" spans="1:10" ht="15.75" x14ac:dyDescent="0.25">
      <c r="A903" s="13">
        <v>68422</v>
      </c>
      <c r="B903" s="10">
        <f>62.6487 * CHOOSE(CONTROL!$C$15, $E$9, 100%, $G$9) + CHOOSE(CONTROL!$C$38, 0.0256, 0)</f>
        <v>62.674299999999995</v>
      </c>
      <c r="C903" s="10">
        <f>57.8257 * CHOOSE(CONTROL!$C$15, $E$9, 100%, $G$9) + CHOOSE(CONTROL!$C$38, 0.0347, 0)</f>
        <v>57.860399999999998</v>
      </c>
      <c r="D903" s="10">
        <f>57.8179 * CHOOSE(CONTROL!$C$15, $E$9, 100%, $G$9) + CHOOSE(CONTROL!$C$38, 0.0347, 0)</f>
        <v>57.852600000000002</v>
      </c>
      <c r="E903" s="46">
        <f>62.4924 * CHOOSE(CONTROL!$C$15, $E$9, 100%, $G$9) + CHOOSE(CONTROL!$C$38, 0.0347, 0)</f>
        <v>62.527100000000004</v>
      </c>
      <c r="F903" s="45">
        <f>62.4924 * CHOOSE(CONTROL!$C$15, $E$9, 100%, $G$9) + CHOOSE(CONTROL!$C$38, 0.0256, 0)</f>
        <v>62.518000000000001</v>
      </c>
      <c r="G903" s="10">
        <f>57.8241 * CHOOSE(CONTROL!$C$15, $E$9, 100%, $G$9) + CHOOSE(CONTROL!$C$38, 0.0347, 0)</f>
        <v>57.858800000000002</v>
      </c>
      <c r="H903" s="10">
        <f>57.8241 * CHOOSE(CONTROL!$C$15, $E$9, 100%, $G$9) + CHOOSE(CONTROL!$C$38, 0.0347, 0)</f>
        <v>57.858800000000002</v>
      </c>
      <c r="I903" s="10">
        <f>57.8257 * CHOOSE(CONTROL!$C$15, $E$9, 100%, $G$9) + CHOOSE(CONTROL!$C$38, 0.0347, 0)</f>
        <v>57.860399999999998</v>
      </c>
      <c r="J903" s="44">
        <f>575.5683</f>
        <v>575.56830000000002</v>
      </c>
    </row>
    <row r="904" spans="1:10" ht="15.75" x14ac:dyDescent="0.25">
      <c r="A904" s="13">
        <v>68453</v>
      </c>
      <c r="B904" s="10">
        <f>62.1326 * CHOOSE(CONTROL!$C$15, $E$9, 100%, $G$9) + CHOOSE(CONTROL!$C$38, 0.0278, 0)</f>
        <v>62.160399999999996</v>
      </c>
      <c r="C904" s="10">
        <f>57.3096 * CHOOSE(CONTROL!$C$15, $E$9, 100%, $G$9) + CHOOSE(CONTROL!$C$38, 0.0369, 0)</f>
        <v>57.346500000000006</v>
      </c>
      <c r="D904" s="10">
        <f>57.3018 * CHOOSE(CONTROL!$C$15, $E$9, 100%, $G$9) + CHOOSE(CONTROL!$C$38, 0.0369, 0)</f>
        <v>57.338700000000003</v>
      </c>
      <c r="E904" s="46">
        <f>61.9763 * CHOOSE(CONTROL!$C$15, $E$9, 100%, $G$9) + CHOOSE(CONTROL!$C$38, 0.0369, 0)</f>
        <v>62.013200000000005</v>
      </c>
      <c r="F904" s="45">
        <f>61.9763 * CHOOSE(CONTROL!$C$15, $E$9, 100%, $G$9) + CHOOSE(CONTROL!$C$38, 0.0278, 0)</f>
        <v>62.004100000000001</v>
      </c>
      <c r="G904" s="10">
        <f>57.308 * CHOOSE(CONTROL!$C$15, $E$9, 100%, $G$9) + CHOOSE(CONTROL!$C$38, 0.0369, 0)</f>
        <v>57.344900000000003</v>
      </c>
      <c r="H904" s="10">
        <f>57.308 * CHOOSE(CONTROL!$C$15, $E$9, 100%, $G$9) + CHOOSE(CONTROL!$C$38, 0.0369, 0)</f>
        <v>57.344900000000003</v>
      </c>
      <c r="I904" s="10">
        <f>57.3096 * CHOOSE(CONTROL!$C$15, $E$9, 100%, $G$9) + CHOOSE(CONTROL!$C$38, 0.0369, 0)</f>
        <v>57.346500000000006</v>
      </c>
      <c r="J904" s="44">
        <f>594.8832</f>
        <v>594.88319999999999</v>
      </c>
    </row>
    <row r="905" spans="1:10" ht="15.75" x14ac:dyDescent="0.25">
      <c r="A905" s="13">
        <v>68483</v>
      </c>
      <c r="B905" s="10">
        <f>61.7707 * CHOOSE(CONTROL!$C$15, $E$9, 100%, $G$9) + CHOOSE(CONTROL!$C$38, 0.0278, 0)</f>
        <v>61.798499999999997</v>
      </c>
      <c r="C905" s="10">
        <f>56.9477 * CHOOSE(CONTROL!$C$15, $E$9, 100%, $G$9) + CHOOSE(CONTROL!$C$38, 0.0369, 0)</f>
        <v>56.9846</v>
      </c>
      <c r="D905" s="10">
        <f>56.9399 * CHOOSE(CONTROL!$C$15, $E$9, 100%, $G$9) + CHOOSE(CONTROL!$C$38, 0.0369, 0)</f>
        <v>56.976800000000004</v>
      </c>
      <c r="E905" s="46">
        <f>61.6145 * CHOOSE(CONTROL!$C$15, $E$9, 100%, $G$9) + CHOOSE(CONTROL!$C$38, 0.0369, 0)</f>
        <v>61.651400000000002</v>
      </c>
      <c r="F905" s="45">
        <f>61.6145 * CHOOSE(CONTROL!$C$15, $E$9, 100%, $G$9) + CHOOSE(CONTROL!$C$38, 0.0278, 0)</f>
        <v>61.642299999999999</v>
      </c>
      <c r="G905" s="10">
        <f>56.9462 * CHOOSE(CONTROL!$C$15, $E$9, 100%, $G$9) + CHOOSE(CONTROL!$C$38, 0.0369, 0)</f>
        <v>56.9831</v>
      </c>
      <c r="H905" s="10">
        <f>56.9462 * CHOOSE(CONTROL!$C$15, $E$9, 100%, $G$9) + CHOOSE(CONTROL!$C$38, 0.0369, 0)</f>
        <v>56.9831</v>
      </c>
      <c r="I905" s="10">
        <f>56.9477 * CHOOSE(CONTROL!$C$15, $E$9, 100%, $G$9) + CHOOSE(CONTROL!$C$38, 0.0369, 0)</f>
        <v>56.9846</v>
      </c>
      <c r="J905" s="44">
        <f>603.4548</f>
        <v>603.45479999999998</v>
      </c>
    </row>
    <row r="906" spans="1:10" ht="15.75" x14ac:dyDescent="0.25">
      <c r="A906" s="13">
        <v>68514</v>
      </c>
      <c r="B906" s="10">
        <f>61.5642 * CHOOSE(CONTROL!$C$15, $E$9, 100%, $G$9) + CHOOSE(CONTROL!$C$38, 0.0278, 0)</f>
        <v>61.591999999999999</v>
      </c>
      <c r="C906" s="10">
        <f>56.7412 * CHOOSE(CONTROL!$C$15, $E$9, 100%, $G$9) + CHOOSE(CONTROL!$C$38, 0.0369, 0)</f>
        <v>56.778100000000002</v>
      </c>
      <c r="D906" s="10">
        <f>56.7334 * CHOOSE(CONTROL!$C$15, $E$9, 100%, $G$9) + CHOOSE(CONTROL!$C$38, 0.0369, 0)</f>
        <v>56.770300000000006</v>
      </c>
      <c r="E906" s="46">
        <f>61.408 * CHOOSE(CONTROL!$C$15, $E$9, 100%, $G$9) + CHOOSE(CONTROL!$C$38, 0.0369, 0)</f>
        <v>61.444900000000004</v>
      </c>
      <c r="F906" s="45">
        <f>61.408 * CHOOSE(CONTROL!$C$15, $E$9, 100%, $G$9) + CHOOSE(CONTROL!$C$38, 0.0278, 0)</f>
        <v>61.4358</v>
      </c>
      <c r="G906" s="10">
        <f>56.7397 * CHOOSE(CONTROL!$C$15, $E$9, 100%, $G$9) + CHOOSE(CONTROL!$C$38, 0.0369, 0)</f>
        <v>56.776600000000002</v>
      </c>
      <c r="H906" s="10">
        <f>56.7397 * CHOOSE(CONTROL!$C$15, $E$9, 100%, $G$9) + CHOOSE(CONTROL!$C$38, 0.0369, 0)</f>
        <v>56.776600000000002</v>
      </c>
      <c r="I906" s="10">
        <f>56.7412 * CHOOSE(CONTROL!$C$15, $E$9, 100%, $G$9) + CHOOSE(CONTROL!$C$38, 0.0369, 0)</f>
        <v>56.778100000000002</v>
      </c>
      <c r="J906" s="44">
        <f>600.6327</f>
        <v>600.6327</v>
      </c>
    </row>
    <row r="907" spans="1:10" ht="15.75" x14ac:dyDescent="0.25">
      <c r="A907" s="13">
        <v>68545</v>
      </c>
      <c r="B907" s="10">
        <f>61.6661 * CHOOSE(CONTROL!$C$15, $E$9, 100%, $G$9) + CHOOSE(CONTROL!$C$38, 0.0278, 0)</f>
        <v>61.693899999999999</v>
      </c>
      <c r="C907" s="10">
        <f>56.8432 * CHOOSE(CONTROL!$C$15, $E$9, 100%, $G$9) + CHOOSE(CONTROL!$C$38, 0.0369, 0)</f>
        <v>56.880100000000006</v>
      </c>
      <c r="D907" s="10">
        <f>56.8353 * CHOOSE(CONTROL!$C$15, $E$9, 100%, $G$9) + CHOOSE(CONTROL!$C$38, 0.0369, 0)</f>
        <v>56.872199999999999</v>
      </c>
      <c r="E907" s="46">
        <f>61.5099 * CHOOSE(CONTROL!$C$15, $E$9, 100%, $G$9) + CHOOSE(CONTROL!$C$38, 0.0369, 0)</f>
        <v>61.546800000000005</v>
      </c>
      <c r="F907" s="45">
        <f>61.5099 * CHOOSE(CONTROL!$C$15, $E$9, 100%, $G$9) + CHOOSE(CONTROL!$C$38, 0.0278, 0)</f>
        <v>61.537700000000001</v>
      </c>
      <c r="G907" s="10">
        <f>56.8416 * CHOOSE(CONTROL!$C$15, $E$9, 100%, $G$9) + CHOOSE(CONTROL!$C$38, 0.0369, 0)</f>
        <v>56.878500000000003</v>
      </c>
      <c r="H907" s="10">
        <f>56.8416 * CHOOSE(CONTROL!$C$15, $E$9, 100%, $G$9) + CHOOSE(CONTROL!$C$38, 0.0369, 0)</f>
        <v>56.878500000000003</v>
      </c>
      <c r="I907" s="10">
        <f>56.8432 * CHOOSE(CONTROL!$C$15, $E$9, 100%, $G$9) + CHOOSE(CONTROL!$C$38, 0.0369, 0)</f>
        <v>56.880100000000006</v>
      </c>
      <c r="J907" s="44">
        <f>586.6502</f>
        <v>586.65020000000004</v>
      </c>
    </row>
    <row r="908" spans="1:10" ht="15.75" x14ac:dyDescent="0.25">
      <c r="A908" s="13">
        <v>68575</v>
      </c>
      <c r="B908" s="10">
        <f>61.9429 * CHOOSE(CONTROL!$C$15, $E$9, 100%, $G$9) + CHOOSE(CONTROL!$C$38, 0.0278, 0)</f>
        <v>61.970700000000001</v>
      </c>
      <c r="C908" s="10">
        <f>57.1199 * CHOOSE(CONTROL!$C$15, $E$9, 100%, $G$9) + CHOOSE(CONTROL!$C$38, 0.0369, 0)</f>
        <v>57.156800000000004</v>
      </c>
      <c r="D908" s="10">
        <f>57.1121 * CHOOSE(CONTROL!$C$15, $E$9, 100%, $G$9) + CHOOSE(CONTROL!$C$38, 0.0369, 0)</f>
        <v>57.149000000000001</v>
      </c>
      <c r="E908" s="46">
        <f>61.7867 * CHOOSE(CONTROL!$C$15, $E$9, 100%, $G$9) + CHOOSE(CONTROL!$C$38, 0.0369, 0)</f>
        <v>61.823600000000006</v>
      </c>
      <c r="F908" s="45">
        <f>61.7867 * CHOOSE(CONTROL!$C$15, $E$9, 100%, $G$9) + CHOOSE(CONTROL!$C$38, 0.0278, 0)</f>
        <v>61.814500000000002</v>
      </c>
      <c r="G908" s="10">
        <f>57.1184 * CHOOSE(CONTROL!$C$15, $E$9, 100%, $G$9) + CHOOSE(CONTROL!$C$38, 0.0369, 0)</f>
        <v>57.155300000000004</v>
      </c>
      <c r="H908" s="10">
        <f>57.1184 * CHOOSE(CONTROL!$C$15, $E$9, 100%, $G$9) + CHOOSE(CONTROL!$C$38, 0.0369, 0)</f>
        <v>57.155300000000004</v>
      </c>
      <c r="I908" s="10">
        <f>57.1199 * CHOOSE(CONTROL!$C$15, $E$9, 100%, $G$9) + CHOOSE(CONTROL!$C$38, 0.0369, 0)</f>
        <v>57.156800000000004</v>
      </c>
      <c r="J908" s="44">
        <f>567.1509</f>
        <v>567.15089999999998</v>
      </c>
    </row>
    <row r="909" spans="1:10" ht="15.75" x14ac:dyDescent="0.25">
      <c r="A909" s="13">
        <v>68606</v>
      </c>
      <c r="B909" s="10">
        <f>62.1748 * CHOOSE(CONTROL!$C$15, $E$9, 100%, $G$9) + CHOOSE(CONTROL!$C$38, 0.0256, 0)</f>
        <v>62.200399999999995</v>
      </c>
      <c r="C909" s="10">
        <f>57.3518 * CHOOSE(CONTROL!$C$15, $E$9, 100%, $G$9) + CHOOSE(CONTROL!$C$38, 0.0347, 0)</f>
        <v>57.386499999999998</v>
      </c>
      <c r="D909" s="10">
        <f>57.344 * CHOOSE(CONTROL!$C$15, $E$9, 100%, $G$9) + CHOOSE(CONTROL!$C$38, 0.0347, 0)</f>
        <v>57.378700000000002</v>
      </c>
      <c r="E909" s="46">
        <f>62.0185 * CHOOSE(CONTROL!$C$15, $E$9, 100%, $G$9) + CHOOSE(CONTROL!$C$38, 0.0347, 0)</f>
        <v>62.053200000000004</v>
      </c>
      <c r="F909" s="45">
        <f>62.0185 * CHOOSE(CONTROL!$C$15, $E$9, 100%, $G$9) + CHOOSE(CONTROL!$C$38, 0.0256, 0)</f>
        <v>62.0441</v>
      </c>
      <c r="G909" s="10">
        <f>57.3502 * CHOOSE(CONTROL!$C$15, $E$9, 100%, $G$9) + CHOOSE(CONTROL!$C$38, 0.0347, 0)</f>
        <v>57.384900000000002</v>
      </c>
      <c r="H909" s="10">
        <f>57.3502 * CHOOSE(CONTROL!$C$15, $E$9, 100%, $G$9) + CHOOSE(CONTROL!$C$38, 0.0347, 0)</f>
        <v>57.384900000000002</v>
      </c>
      <c r="I909" s="10">
        <f>57.3518 * CHOOSE(CONTROL!$C$15, $E$9, 100%, $G$9) + CHOOSE(CONTROL!$C$38, 0.0347, 0)</f>
        <v>57.386499999999998</v>
      </c>
      <c r="J909" s="44">
        <f>547.5383</f>
        <v>547.53830000000005</v>
      </c>
    </row>
    <row r="910" spans="1:10" ht="15.75" x14ac:dyDescent="0.25">
      <c r="A910" s="13">
        <v>68636</v>
      </c>
      <c r="B910" s="10">
        <f>62.3682 * CHOOSE(CONTROL!$C$15, $E$9, 100%, $G$9) + CHOOSE(CONTROL!$C$38, 0.0256, 0)</f>
        <v>62.393799999999999</v>
      </c>
      <c r="C910" s="10">
        <f>57.5452 * CHOOSE(CONTROL!$C$15, $E$9, 100%, $G$9) + CHOOSE(CONTROL!$C$38, 0.0347, 0)</f>
        <v>57.579900000000002</v>
      </c>
      <c r="D910" s="10">
        <f>57.5374 * CHOOSE(CONTROL!$C$15, $E$9, 100%, $G$9) + CHOOSE(CONTROL!$C$38, 0.0347, 0)</f>
        <v>57.572099999999999</v>
      </c>
      <c r="E910" s="46">
        <f>62.212 * CHOOSE(CONTROL!$C$15, $E$9, 100%, $G$9) + CHOOSE(CONTROL!$C$38, 0.0347, 0)</f>
        <v>62.246700000000004</v>
      </c>
      <c r="F910" s="45">
        <f>62.212 * CHOOSE(CONTROL!$C$15, $E$9, 100%, $G$9) + CHOOSE(CONTROL!$C$38, 0.0256, 0)</f>
        <v>62.2376</v>
      </c>
      <c r="G910" s="10">
        <f>57.5437 * CHOOSE(CONTROL!$C$15, $E$9, 100%, $G$9) + CHOOSE(CONTROL!$C$38, 0.0347, 0)</f>
        <v>57.578400000000002</v>
      </c>
      <c r="H910" s="10">
        <f>57.5437 * CHOOSE(CONTROL!$C$15, $E$9, 100%, $G$9) + CHOOSE(CONTROL!$C$38, 0.0347, 0)</f>
        <v>57.578400000000002</v>
      </c>
      <c r="I910" s="10">
        <f>57.5452 * CHOOSE(CONTROL!$C$15, $E$9, 100%, $G$9) + CHOOSE(CONTROL!$C$38, 0.0347, 0)</f>
        <v>57.579900000000002</v>
      </c>
      <c r="J910" s="44">
        <f>543.6369</f>
        <v>543.63689999999997</v>
      </c>
    </row>
    <row r="911" spans="1:10" ht="15.75" x14ac:dyDescent="0.25">
      <c r="A911" s="13">
        <v>68667</v>
      </c>
      <c r="B911" s="10">
        <f>62.9643 * CHOOSE(CONTROL!$C$15, $E$9, 100%, $G$9) + CHOOSE(CONTROL!$C$38, 0.0256, 0)</f>
        <v>62.989899999999999</v>
      </c>
      <c r="C911" s="10">
        <f>58.1413 * CHOOSE(CONTROL!$C$15, $E$9, 100%, $G$9) + CHOOSE(CONTROL!$C$38, 0.0347, 0)</f>
        <v>58.176000000000002</v>
      </c>
      <c r="D911" s="10">
        <f>58.1335 * CHOOSE(CONTROL!$C$15, $E$9, 100%, $G$9) + CHOOSE(CONTROL!$C$38, 0.0347, 0)</f>
        <v>58.168199999999999</v>
      </c>
      <c r="E911" s="46">
        <f>62.808 * CHOOSE(CONTROL!$C$15, $E$9, 100%, $G$9) + CHOOSE(CONTROL!$C$38, 0.0347, 0)</f>
        <v>62.842700000000001</v>
      </c>
      <c r="F911" s="45">
        <f>62.808 * CHOOSE(CONTROL!$C$15, $E$9, 100%, $G$9) + CHOOSE(CONTROL!$C$38, 0.0256, 0)</f>
        <v>62.833599999999997</v>
      </c>
      <c r="G911" s="10">
        <f>58.1397 * CHOOSE(CONTROL!$C$15, $E$9, 100%, $G$9) + CHOOSE(CONTROL!$C$38, 0.0347, 0)</f>
        <v>58.174399999999999</v>
      </c>
      <c r="H911" s="10">
        <f>58.1397 * CHOOSE(CONTROL!$C$15, $E$9, 100%, $G$9) + CHOOSE(CONTROL!$C$38, 0.0347, 0)</f>
        <v>58.174399999999999</v>
      </c>
      <c r="I911" s="10">
        <f>58.1413 * CHOOSE(CONTROL!$C$15, $E$9, 100%, $G$9) + CHOOSE(CONTROL!$C$38, 0.0347, 0)</f>
        <v>58.176000000000002</v>
      </c>
      <c r="J911" s="44">
        <f>527.5045</f>
        <v>527.50450000000001</v>
      </c>
    </row>
    <row r="912" spans="1:10" ht="15.75" x14ac:dyDescent="0.25">
      <c r="A912" s="13">
        <v>68698</v>
      </c>
      <c r="B912" s="10">
        <f>64.448 * CHOOSE(CONTROL!$C$15, $E$9, 100%, $G$9) + CHOOSE(CONTROL!$C$38, 0.0256, 0)</f>
        <v>64.47359999999999</v>
      </c>
      <c r="C912" s="10">
        <f>59.5485 * CHOOSE(CONTROL!$C$15, $E$9, 100%, $G$9) + CHOOSE(CONTROL!$C$38, 0.0347, 0)</f>
        <v>59.583199999999998</v>
      </c>
      <c r="D912" s="10">
        <f>59.5407 * CHOOSE(CONTROL!$C$15, $E$9, 100%, $G$9) + CHOOSE(CONTROL!$C$38, 0.0347, 0)</f>
        <v>59.575400000000002</v>
      </c>
      <c r="E912" s="46">
        <f>64.2917 * CHOOSE(CONTROL!$C$15, $E$9, 100%, $G$9) + CHOOSE(CONTROL!$C$38, 0.0347, 0)</f>
        <v>64.326400000000007</v>
      </c>
      <c r="F912" s="45">
        <f>64.2917 * CHOOSE(CONTROL!$C$15, $E$9, 100%, $G$9) + CHOOSE(CONTROL!$C$38, 0.0256, 0)</f>
        <v>64.317300000000003</v>
      </c>
      <c r="G912" s="10">
        <f>59.5469 * CHOOSE(CONTROL!$C$15, $E$9, 100%, $G$9) + CHOOSE(CONTROL!$C$38, 0.0347, 0)</f>
        <v>59.581600000000002</v>
      </c>
      <c r="H912" s="10">
        <f>59.5469 * CHOOSE(CONTROL!$C$15, $E$9, 100%, $G$9) + CHOOSE(CONTROL!$C$38, 0.0347, 0)</f>
        <v>59.581600000000002</v>
      </c>
      <c r="I912" s="10">
        <f>59.5485 * CHOOSE(CONTROL!$C$15, $E$9, 100%, $G$9) + CHOOSE(CONTROL!$C$38, 0.0347, 0)</f>
        <v>59.583199999999998</v>
      </c>
      <c r="J912" s="44">
        <f>526.497</f>
        <v>526.49699999999996</v>
      </c>
    </row>
    <row r="913" spans="1:10" ht="15.75" x14ac:dyDescent="0.25">
      <c r="A913" s="13">
        <v>68727</v>
      </c>
      <c r="B913" s="10">
        <f>64.6687 * CHOOSE(CONTROL!$C$15, $E$9, 100%, $G$9) + CHOOSE(CONTROL!$C$38, 0.0256, 0)</f>
        <v>64.694299999999998</v>
      </c>
      <c r="C913" s="10">
        <f>59.7692 * CHOOSE(CONTROL!$C$15, $E$9, 100%, $G$9) + CHOOSE(CONTROL!$C$38, 0.0347, 0)</f>
        <v>59.803899999999999</v>
      </c>
      <c r="D913" s="10">
        <f>59.7614 * CHOOSE(CONTROL!$C$15, $E$9, 100%, $G$9) + CHOOSE(CONTROL!$C$38, 0.0347, 0)</f>
        <v>59.796100000000003</v>
      </c>
      <c r="E913" s="46">
        <f>64.5125 * CHOOSE(CONTROL!$C$15, $E$9, 100%, $G$9) + CHOOSE(CONTROL!$C$38, 0.0347, 0)</f>
        <v>64.547200000000004</v>
      </c>
      <c r="F913" s="45">
        <f>64.5125 * CHOOSE(CONTROL!$C$15, $E$9, 100%, $G$9) + CHOOSE(CONTROL!$C$38, 0.0256, 0)</f>
        <v>64.5381</v>
      </c>
      <c r="G913" s="10">
        <f>59.7677 * CHOOSE(CONTROL!$C$15, $E$9, 100%, $G$9) + CHOOSE(CONTROL!$C$38, 0.0347, 0)</f>
        <v>59.802399999999999</v>
      </c>
      <c r="H913" s="10">
        <f>59.7677 * CHOOSE(CONTROL!$C$15, $E$9, 100%, $G$9) + CHOOSE(CONTROL!$C$38, 0.0347, 0)</f>
        <v>59.802399999999999</v>
      </c>
      <c r="I913" s="10">
        <f>59.7692 * CHOOSE(CONTROL!$C$15, $E$9, 100%, $G$9) + CHOOSE(CONTROL!$C$38, 0.0347, 0)</f>
        <v>59.803899999999999</v>
      </c>
      <c r="J913" s="44">
        <f>525.0336</f>
        <v>525.03359999999998</v>
      </c>
    </row>
    <row r="914" spans="1:10" ht="15.75" x14ac:dyDescent="0.25">
      <c r="A914" s="13">
        <v>68758</v>
      </c>
      <c r="B914" s="10">
        <f>64.1577 * CHOOSE(CONTROL!$C$15, $E$9, 100%, $G$9) + CHOOSE(CONTROL!$C$38, 0.0256, 0)</f>
        <v>64.183300000000003</v>
      </c>
      <c r="C914" s="10">
        <f>59.2582 * CHOOSE(CONTROL!$C$15, $E$9, 100%, $G$9) + CHOOSE(CONTROL!$C$38, 0.0347, 0)</f>
        <v>59.292900000000003</v>
      </c>
      <c r="D914" s="10">
        <f>59.2504 * CHOOSE(CONTROL!$C$15, $E$9, 100%, $G$9) + CHOOSE(CONTROL!$C$38, 0.0347, 0)</f>
        <v>59.2851</v>
      </c>
      <c r="E914" s="46">
        <f>64.0014 * CHOOSE(CONTROL!$C$15, $E$9, 100%, $G$9) + CHOOSE(CONTROL!$C$38, 0.0347, 0)</f>
        <v>64.036100000000005</v>
      </c>
      <c r="F914" s="45">
        <f>64.0014 * CHOOSE(CONTROL!$C$15, $E$9, 100%, $G$9) + CHOOSE(CONTROL!$C$38, 0.0256, 0)</f>
        <v>64.027000000000001</v>
      </c>
      <c r="G914" s="10">
        <f>59.2566 * CHOOSE(CONTROL!$C$15, $E$9, 100%, $G$9) + CHOOSE(CONTROL!$C$38, 0.0347, 0)</f>
        <v>59.2913</v>
      </c>
      <c r="H914" s="10">
        <f>59.2566 * CHOOSE(CONTROL!$C$15, $E$9, 100%, $G$9) + CHOOSE(CONTROL!$C$38, 0.0347, 0)</f>
        <v>59.2913</v>
      </c>
      <c r="I914" s="10">
        <f>59.2582 * CHOOSE(CONTROL!$C$15, $E$9, 100%, $G$9) + CHOOSE(CONTROL!$C$38, 0.0347, 0)</f>
        <v>59.292900000000003</v>
      </c>
      <c r="J914" s="44">
        <f>552.7059</f>
        <v>552.70590000000004</v>
      </c>
    </row>
    <row r="915" spans="1:10" ht="15.75" x14ac:dyDescent="0.25">
      <c r="A915" s="13">
        <v>68788</v>
      </c>
      <c r="B915" s="10">
        <f>63.6625 * CHOOSE(CONTROL!$C$15, $E$9, 100%, $G$9) + CHOOSE(CONTROL!$C$38, 0.0256, 0)</f>
        <v>63.688099999999999</v>
      </c>
      <c r="C915" s="10">
        <f>58.763 * CHOOSE(CONTROL!$C$15, $E$9, 100%, $G$9) + CHOOSE(CONTROL!$C$38, 0.0347, 0)</f>
        <v>58.797699999999999</v>
      </c>
      <c r="D915" s="10">
        <f>58.7552 * CHOOSE(CONTROL!$C$15, $E$9, 100%, $G$9) + CHOOSE(CONTROL!$C$38, 0.0347, 0)</f>
        <v>58.789900000000003</v>
      </c>
      <c r="E915" s="46">
        <f>63.5063 * CHOOSE(CONTROL!$C$15, $E$9, 100%, $G$9) + CHOOSE(CONTROL!$C$38, 0.0347, 0)</f>
        <v>63.541000000000004</v>
      </c>
      <c r="F915" s="45">
        <f>63.5063 * CHOOSE(CONTROL!$C$15, $E$9, 100%, $G$9) + CHOOSE(CONTROL!$C$38, 0.0256, 0)</f>
        <v>63.5319</v>
      </c>
      <c r="G915" s="10">
        <f>58.7615 * CHOOSE(CONTROL!$C$15, $E$9, 100%, $G$9) + CHOOSE(CONTROL!$C$38, 0.0347, 0)</f>
        <v>58.796199999999999</v>
      </c>
      <c r="H915" s="10">
        <f>58.7615 * CHOOSE(CONTROL!$C$15, $E$9, 100%, $G$9) + CHOOSE(CONTROL!$C$38, 0.0347, 0)</f>
        <v>58.796199999999999</v>
      </c>
      <c r="I915" s="10">
        <f>58.763 * CHOOSE(CONTROL!$C$15, $E$9, 100%, $G$9) + CHOOSE(CONTROL!$C$38, 0.0347, 0)</f>
        <v>58.797699999999999</v>
      </c>
      <c r="J915" s="44">
        <f>588.5902</f>
        <v>588.59019999999998</v>
      </c>
    </row>
    <row r="916" spans="1:10" ht="15.75" x14ac:dyDescent="0.25">
      <c r="A916" s="13">
        <v>68819</v>
      </c>
      <c r="B916" s="10">
        <f>63.1464 * CHOOSE(CONTROL!$C$15, $E$9, 100%, $G$9) + CHOOSE(CONTROL!$C$38, 0.0278, 0)</f>
        <v>63.174199999999999</v>
      </c>
      <c r="C916" s="10">
        <f>58.2469 * CHOOSE(CONTROL!$C$15, $E$9, 100%, $G$9) + CHOOSE(CONTROL!$C$38, 0.0369, 0)</f>
        <v>58.283799999999999</v>
      </c>
      <c r="D916" s="10">
        <f>58.2391 * CHOOSE(CONTROL!$C$15, $E$9, 100%, $G$9) + CHOOSE(CONTROL!$C$38, 0.0369, 0)</f>
        <v>58.276000000000003</v>
      </c>
      <c r="E916" s="46">
        <f>62.9902 * CHOOSE(CONTROL!$C$15, $E$9, 100%, $G$9) + CHOOSE(CONTROL!$C$38, 0.0369, 0)</f>
        <v>63.027100000000004</v>
      </c>
      <c r="F916" s="45">
        <f>62.9902 * CHOOSE(CONTROL!$C$15, $E$9, 100%, $G$9) + CHOOSE(CONTROL!$C$38, 0.0278, 0)</f>
        <v>63.018000000000001</v>
      </c>
      <c r="G916" s="10">
        <f>58.2453 * CHOOSE(CONTROL!$C$15, $E$9, 100%, $G$9) + CHOOSE(CONTROL!$C$38, 0.0369, 0)</f>
        <v>58.282200000000003</v>
      </c>
      <c r="H916" s="10">
        <f>58.2453 * CHOOSE(CONTROL!$C$15, $E$9, 100%, $G$9) + CHOOSE(CONTROL!$C$38, 0.0369, 0)</f>
        <v>58.282200000000003</v>
      </c>
      <c r="I916" s="10">
        <f>58.2469 * CHOOSE(CONTROL!$C$15, $E$9, 100%, $G$9) + CHOOSE(CONTROL!$C$38, 0.0369, 0)</f>
        <v>58.283799999999999</v>
      </c>
      <c r="J916" s="44">
        <f>608.3421</f>
        <v>608.34209999999996</v>
      </c>
    </row>
    <row r="917" spans="1:10" ht="15.75" x14ac:dyDescent="0.25">
      <c r="A917" s="13">
        <v>68849</v>
      </c>
      <c r="B917" s="10">
        <f>62.7846 * CHOOSE(CONTROL!$C$15, $E$9, 100%, $G$9) + CHOOSE(CONTROL!$C$38, 0.0278, 0)</f>
        <v>62.812399999999997</v>
      </c>
      <c r="C917" s="10">
        <f>57.8851 * CHOOSE(CONTROL!$C$15, $E$9, 100%, $G$9) + CHOOSE(CONTROL!$C$38, 0.0369, 0)</f>
        <v>57.922000000000004</v>
      </c>
      <c r="D917" s="10">
        <f>57.8773 * CHOOSE(CONTROL!$C$15, $E$9, 100%, $G$9) + CHOOSE(CONTROL!$C$38, 0.0369, 0)</f>
        <v>57.914200000000001</v>
      </c>
      <c r="E917" s="46">
        <f>62.6283 * CHOOSE(CONTROL!$C$15, $E$9, 100%, $G$9) + CHOOSE(CONTROL!$C$38, 0.0369, 0)</f>
        <v>62.665200000000006</v>
      </c>
      <c r="F917" s="45">
        <f>62.6283 * CHOOSE(CONTROL!$C$15, $E$9, 100%, $G$9) + CHOOSE(CONTROL!$C$38, 0.0278, 0)</f>
        <v>62.656100000000002</v>
      </c>
      <c r="G917" s="10">
        <f>57.8835 * CHOOSE(CONTROL!$C$15, $E$9, 100%, $G$9) + CHOOSE(CONTROL!$C$38, 0.0369, 0)</f>
        <v>57.920400000000001</v>
      </c>
      <c r="H917" s="10">
        <f>57.8835 * CHOOSE(CONTROL!$C$15, $E$9, 100%, $G$9) + CHOOSE(CONTROL!$C$38, 0.0369, 0)</f>
        <v>57.920400000000001</v>
      </c>
      <c r="I917" s="10">
        <f>57.8851 * CHOOSE(CONTROL!$C$15, $E$9, 100%, $G$9) + CHOOSE(CONTROL!$C$38, 0.0369, 0)</f>
        <v>57.922000000000004</v>
      </c>
      <c r="J917" s="44">
        <f>617.1077</f>
        <v>617.10770000000002</v>
      </c>
    </row>
    <row r="918" spans="1:10" ht="15.75" x14ac:dyDescent="0.25">
      <c r="A918" s="13">
        <v>68880</v>
      </c>
      <c r="B918" s="10">
        <f>62.5781 * CHOOSE(CONTROL!$C$15, $E$9, 100%, $G$9) + CHOOSE(CONTROL!$C$38, 0.0278, 0)</f>
        <v>62.605899999999998</v>
      </c>
      <c r="C918" s="10">
        <f>57.6786 * CHOOSE(CONTROL!$C$15, $E$9, 100%, $G$9) + CHOOSE(CONTROL!$C$38, 0.0369, 0)</f>
        <v>57.715500000000006</v>
      </c>
      <c r="D918" s="10">
        <f>57.6708 * CHOOSE(CONTROL!$C$15, $E$9, 100%, $G$9) + CHOOSE(CONTROL!$C$38, 0.0369, 0)</f>
        <v>57.707700000000003</v>
      </c>
      <c r="E918" s="46">
        <f>62.4218 * CHOOSE(CONTROL!$C$15, $E$9, 100%, $G$9) + CHOOSE(CONTROL!$C$38, 0.0369, 0)</f>
        <v>62.4587</v>
      </c>
      <c r="F918" s="45">
        <f>62.4218 * CHOOSE(CONTROL!$C$15, $E$9, 100%, $G$9) + CHOOSE(CONTROL!$C$38, 0.0278, 0)</f>
        <v>62.449599999999997</v>
      </c>
      <c r="G918" s="10">
        <f>57.677 * CHOOSE(CONTROL!$C$15, $E$9, 100%, $G$9) + CHOOSE(CONTROL!$C$38, 0.0369, 0)</f>
        <v>57.713900000000002</v>
      </c>
      <c r="H918" s="10">
        <f>57.677 * CHOOSE(CONTROL!$C$15, $E$9, 100%, $G$9) + CHOOSE(CONTROL!$C$38, 0.0369, 0)</f>
        <v>57.713900000000002</v>
      </c>
      <c r="I918" s="10">
        <f>57.6786 * CHOOSE(CONTROL!$C$15, $E$9, 100%, $G$9) + CHOOSE(CONTROL!$C$38, 0.0369, 0)</f>
        <v>57.715500000000006</v>
      </c>
      <c r="J918" s="44">
        <f>614.2217</f>
        <v>614.22170000000006</v>
      </c>
    </row>
    <row r="919" spans="1:10" ht="15.75" x14ac:dyDescent="0.25">
      <c r="A919" s="13">
        <v>68911</v>
      </c>
      <c r="B919" s="10">
        <f>62.68 * CHOOSE(CONTROL!$C$15, $E$9, 100%, $G$9) + CHOOSE(CONTROL!$C$38, 0.0278, 0)</f>
        <v>62.707799999999999</v>
      </c>
      <c r="C919" s="10">
        <f>57.7805 * CHOOSE(CONTROL!$C$15, $E$9, 100%, $G$9) + CHOOSE(CONTROL!$C$38, 0.0369, 0)</f>
        <v>57.817400000000006</v>
      </c>
      <c r="D919" s="10">
        <f>57.7727 * CHOOSE(CONTROL!$C$15, $E$9, 100%, $G$9) + CHOOSE(CONTROL!$C$38, 0.0369, 0)</f>
        <v>57.809600000000003</v>
      </c>
      <c r="E919" s="46">
        <f>62.5237 * CHOOSE(CONTROL!$C$15, $E$9, 100%, $G$9) + CHOOSE(CONTROL!$C$38, 0.0369, 0)</f>
        <v>62.560600000000001</v>
      </c>
      <c r="F919" s="45">
        <f>62.5237 * CHOOSE(CONTROL!$C$15, $E$9, 100%, $G$9) + CHOOSE(CONTROL!$C$38, 0.0278, 0)</f>
        <v>62.551499999999997</v>
      </c>
      <c r="G919" s="10">
        <f>57.7789 * CHOOSE(CONTROL!$C$15, $E$9, 100%, $G$9) + CHOOSE(CONTROL!$C$38, 0.0369, 0)</f>
        <v>57.815800000000003</v>
      </c>
      <c r="H919" s="10">
        <f>57.7789 * CHOOSE(CONTROL!$C$15, $E$9, 100%, $G$9) + CHOOSE(CONTROL!$C$38, 0.0369, 0)</f>
        <v>57.815800000000003</v>
      </c>
      <c r="I919" s="10">
        <f>57.7805 * CHOOSE(CONTROL!$C$15, $E$9, 100%, $G$9) + CHOOSE(CONTROL!$C$38, 0.0369, 0)</f>
        <v>57.817400000000006</v>
      </c>
      <c r="J919" s="44">
        <f>599.9228</f>
        <v>599.92280000000005</v>
      </c>
    </row>
    <row r="920" spans="1:10" ht="15.75" x14ac:dyDescent="0.25">
      <c r="A920" s="13">
        <v>68941</v>
      </c>
      <c r="B920" s="10">
        <f>62.9568 * CHOOSE(CONTROL!$C$15, $E$9, 100%, $G$9) + CHOOSE(CONTROL!$C$38, 0.0278, 0)</f>
        <v>62.9846</v>
      </c>
      <c r="C920" s="10">
        <f>58.0573 * CHOOSE(CONTROL!$C$15, $E$9, 100%, $G$9) + CHOOSE(CONTROL!$C$38, 0.0369, 0)</f>
        <v>58.094200000000001</v>
      </c>
      <c r="D920" s="10">
        <f>58.0495 * CHOOSE(CONTROL!$C$15, $E$9, 100%, $G$9) + CHOOSE(CONTROL!$C$38, 0.0369, 0)</f>
        <v>58.086400000000005</v>
      </c>
      <c r="E920" s="46">
        <f>62.8005 * CHOOSE(CONTROL!$C$15, $E$9, 100%, $G$9) + CHOOSE(CONTROL!$C$38, 0.0369, 0)</f>
        <v>62.837400000000002</v>
      </c>
      <c r="F920" s="45">
        <f>62.8005 * CHOOSE(CONTROL!$C$15, $E$9, 100%, $G$9) + CHOOSE(CONTROL!$C$38, 0.0278, 0)</f>
        <v>62.828299999999999</v>
      </c>
      <c r="G920" s="10">
        <f>58.0557 * CHOOSE(CONTROL!$C$15, $E$9, 100%, $G$9) + CHOOSE(CONTROL!$C$38, 0.0369, 0)</f>
        <v>58.092600000000004</v>
      </c>
      <c r="H920" s="10">
        <f>58.0557 * CHOOSE(CONTROL!$C$15, $E$9, 100%, $G$9) + CHOOSE(CONTROL!$C$38, 0.0369, 0)</f>
        <v>58.092600000000004</v>
      </c>
      <c r="I920" s="10">
        <f>58.0573 * CHOOSE(CONTROL!$C$15, $E$9, 100%, $G$9) + CHOOSE(CONTROL!$C$38, 0.0369, 0)</f>
        <v>58.094200000000001</v>
      </c>
      <c r="J920" s="44">
        <f>579.9824</f>
        <v>579.98239999999998</v>
      </c>
    </row>
    <row r="921" spans="1:10" ht="15.75" x14ac:dyDescent="0.25">
      <c r="A921" s="13">
        <v>68972</v>
      </c>
      <c r="B921" s="10">
        <f>63.1886 * CHOOSE(CONTROL!$C$15, $E$9, 100%, $G$9) + CHOOSE(CONTROL!$C$38, 0.0256, 0)</f>
        <v>63.214199999999998</v>
      </c>
      <c r="C921" s="10">
        <f>58.2891 * CHOOSE(CONTROL!$C$15, $E$9, 100%, $G$9) + CHOOSE(CONTROL!$C$38, 0.0347, 0)</f>
        <v>58.323799999999999</v>
      </c>
      <c r="D921" s="10">
        <f>58.2813 * CHOOSE(CONTROL!$C$15, $E$9, 100%, $G$9) + CHOOSE(CONTROL!$C$38, 0.0347, 0)</f>
        <v>58.316000000000003</v>
      </c>
      <c r="E921" s="46">
        <f>63.0324 * CHOOSE(CONTROL!$C$15, $E$9, 100%, $G$9) + CHOOSE(CONTROL!$C$38, 0.0347, 0)</f>
        <v>63.067100000000003</v>
      </c>
      <c r="F921" s="45">
        <f>63.0324 * CHOOSE(CONTROL!$C$15, $E$9, 100%, $G$9) + CHOOSE(CONTROL!$C$38, 0.0256, 0)</f>
        <v>63.058</v>
      </c>
      <c r="G921" s="10">
        <f>58.2875 * CHOOSE(CONTROL!$C$15, $E$9, 100%, $G$9) + CHOOSE(CONTROL!$C$38, 0.0347, 0)</f>
        <v>58.322200000000002</v>
      </c>
      <c r="H921" s="10">
        <f>58.2875 * CHOOSE(CONTROL!$C$15, $E$9, 100%, $G$9) + CHOOSE(CONTROL!$C$38, 0.0347, 0)</f>
        <v>58.322200000000002</v>
      </c>
      <c r="I921" s="10">
        <f>58.2891 * CHOOSE(CONTROL!$C$15, $E$9, 100%, $G$9) + CHOOSE(CONTROL!$C$38, 0.0347, 0)</f>
        <v>58.323799999999999</v>
      </c>
      <c r="J921" s="44">
        <f>559.9261</f>
        <v>559.92610000000002</v>
      </c>
    </row>
    <row r="922" spans="1:10" ht="15.75" x14ac:dyDescent="0.25">
      <c r="A922" s="13">
        <v>69002</v>
      </c>
      <c r="B922" s="10">
        <f>63.3821 * CHOOSE(CONTROL!$C$15, $E$9, 100%, $G$9) + CHOOSE(CONTROL!$C$38, 0.0256, 0)</f>
        <v>63.407699999999998</v>
      </c>
      <c r="C922" s="10">
        <f>58.4826 * CHOOSE(CONTROL!$C$15, $E$9, 100%, $G$9) + CHOOSE(CONTROL!$C$38, 0.0347, 0)</f>
        <v>58.517299999999999</v>
      </c>
      <c r="D922" s="10">
        <f>58.4747 * CHOOSE(CONTROL!$C$15, $E$9, 100%, $G$9) + CHOOSE(CONTROL!$C$38, 0.0347, 0)</f>
        <v>58.509399999999999</v>
      </c>
      <c r="E922" s="46">
        <f>63.2258 * CHOOSE(CONTROL!$C$15, $E$9, 100%, $G$9) + CHOOSE(CONTROL!$C$38, 0.0347, 0)</f>
        <v>63.2605</v>
      </c>
      <c r="F922" s="45">
        <f>63.2258 * CHOOSE(CONTROL!$C$15, $E$9, 100%, $G$9) + CHOOSE(CONTROL!$C$38, 0.0256, 0)</f>
        <v>63.251399999999997</v>
      </c>
      <c r="G922" s="10">
        <f>58.481 * CHOOSE(CONTROL!$C$15, $E$9, 100%, $G$9) + CHOOSE(CONTROL!$C$38, 0.0347, 0)</f>
        <v>58.515700000000002</v>
      </c>
      <c r="H922" s="10">
        <f>58.481 * CHOOSE(CONTROL!$C$15, $E$9, 100%, $G$9) + CHOOSE(CONTROL!$C$38, 0.0347, 0)</f>
        <v>58.515700000000002</v>
      </c>
      <c r="I922" s="10">
        <f>58.4826 * CHOOSE(CONTROL!$C$15, $E$9, 100%, $G$9) + CHOOSE(CONTROL!$C$38, 0.0347, 0)</f>
        <v>58.517299999999999</v>
      </c>
      <c r="J922" s="44">
        <f>555.9364</f>
        <v>555.93640000000005</v>
      </c>
    </row>
    <row r="923" spans="1:10" ht="15.75" x14ac:dyDescent="0.25">
      <c r="A923" s="13">
        <v>69033</v>
      </c>
      <c r="B923" s="10">
        <f>63.9781 * CHOOSE(CONTROL!$C$15, $E$9, 100%, $G$9) + CHOOSE(CONTROL!$C$38, 0.0256, 0)</f>
        <v>64.003699999999995</v>
      </c>
      <c r="C923" s="10">
        <f>59.0786 * CHOOSE(CONTROL!$C$15, $E$9, 100%, $G$9) + CHOOSE(CONTROL!$C$38, 0.0347, 0)</f>
        <v>59.113300000000002</v>
      </c>
      <c r="D923" s="10">
        <f>59.0708 * CHOOSE(CONTROL!$C$15, $E$9, 100%, $G$9) + CHOOSE(CONTROL!$C$38, 0.0347, 0)</f>
        <v>59.105499999999999</v>
      </c>
      <c r="E923" s="46">
        <f>63.8219 * CHOOSE(CONTROL!$C$15, $E$9, 100%, $G$9) + CHOOSE(CONTROL!$C$38, 0.0347, 0)</f>
        <v>63.8566</v>
      </c>
      <c r="F923" s="45">
        <f>63.8219 * CHOOSE(CONTROL!$C$15, $E$9, 100%, $G$9) + CHOOSE(CONTROL!$C$38, 0.0256, 0)</f>
        <v>63.847499999999997</v>
      </c>
      <c r="G923" s="10">
        <f>59.0771 * CHOOSE(CONTROL!$C$15, $E$9, 100%, $G$9) + CHOOSE(CONTROL!$C$38, 0.0347, 0)</f>
        <v>59.111800000000002</v>
      </c>
      <c r="H923" s="10">
        <f>59.0771 * CHOOSE(CONTROL!$C$15, $E$9, 100%, $G$9) + CHOOSE(CONTROL!$C$38, 0.0347, 0)</f>
        <v>59.111800000000002</v>
      </c>
      <c r="I923" s="10">
        <f>59.0786 * CHOOSE(CONTROL!$C$15, $E$9, 100%, $G$9) + CHOOSE(CONTROL!$C$38, 0.0347, 0)</f>
        <v>59.113300000000002</v>
      </c>
      <c r="J923" s="44">
        <f>539.439</f>
        <v>539.43899999999996</v>
      </c>
    </row>
    <row r="924" spans="1:10" ht="15.75" x14ac:dyDescent="0.25">
      <c r="A924" s="13">
        <v>69064</v>
      </c>
      <c r="B924" s="10">
        <f>65.4784 * CHOOSE(CONTROL!$C$15, $E$9, 100%, $G$9) + CHOOSE(CONTROL!$C$38, 0.0256, 0)</f>
        <v>65.503999999999991</v>
      </c>
      <c r="C924" s="10">
        <f>60.5012 * CHOOSE(CONTROL!$C$15, $E$9, 100%, $G$9) + CHOOSE(CONTROL!$C$38, 0.0347, 0)</f>
        <v>60.535899999999998</v>
      </c>
      <c r="D924" s="10">
        <f>60.4934 * CHOOSE(CONTROL!$C$15, $E$9, 100%, $G$9) + CHOOSE(CONTROL!$C$38, 0.0347, 0)</f>
        <v>60.528100000000002</v>
      </c>
      <c r="E924" s="46">
        <f>65.3222 * CHOOSE(CONTROL!$C$15, $E$9, 100%, $G$9) + CHOOSE(CONTROL!$C$38, 0.0347, 0)</f>
        <v>65.356899999999996</v>
      </c>
      <c r="F924" s="45">
        <f>65.3222 * CHOOSE(CONTROL!$C$15, $E$9, 100%, $G$9) + CHOOSE(CONTROL!$C$38, 0.0256, 0)</f>
        <v>65.347799999999992</v>
      </c>
      <c r="G924" s="10">
        <f>60.4996 * CHOOSE(CONTROL!$C$15, $E$9, 100%, $G$9) + CHOOSE(CONTROL!$C$38, 0.0347, 0)</f>
        <v>60.534300000000002</v>
      </c>
      <c r="H924" s="10">
        <f>60.4996 * CHOOSE(CONTROL!$C$15, $E$9, 100%, $G$9) + CHOOSE(CONTROL!$C$38, 0.0347, 0)</f>
        <v>60.534300000000002</v>
      </c>
      <c r="I924" s="10">
        <f>60.5012 * CHOOSE(CONTROL!$C$15, $E$9, 100%, $G$9) + CHOOSE(CONTROL!$C$38, 0.0347, 0)</f>
        <v>60.535899999999998</v>
      </c>
      <c r="J924" s="44">
        <f>538.4088</f>
        <v>538.40880000000004</v>
      </c>
    </row>
    <row r="925" spans="1:10" ht="15.75" x14ac:dyDescent="0.25">
      <c r="A925" s="13">
        <v>69092</v>
      </c>
      <c r="B925" s="10">
        <f>65.6992 * CHOOSE(CONTROL!$C$15, $E$9, 100%, $G$9) + CHOOSE(CONTROL!$C$38, 0.0256, 0)</f>
        <v>65.724800000000002</v>
      </c>
      <c r="C925" s="10">
        <f>60.7219 * CHOOSE(CONTROL!$C$15, $E$9, 100%, $G$9) + CHOOSE(CONTROL!$C$38, 0.0347, 0)</f>
        <v>60.756599999999999</v>
      </c>
      <c r="D925" s="10">
        <f>60.7141 * CHOOSE(CONTROL!$C$15, $E$9, 100%, $G$9) + CHOOSE(CONTROL!$C$38, 0.0347, 0)</f>
        <v>60.748800000000003</v>
      </c>
      <c r="E925" s="46">
        <f>65.543 * CHOOSE(CONTROL!$C$15, $E$9, 100%, $G$9) + CHOOSE(CONTROL!$C$38, 0.0347, 0)</f>
        <v>65.577700000000007</v>
      </c>
      <c r="F925" s="45">
        <f>65.543 * CHOOSE(CONTROL!$C$15, $E$9, 100%, $G$9) + CHOOSE(CONTROL!$C$38, 0.0256, 0)</f>
        <v>65.568600000000004</v>
      </c>
      <c r="G925" s="10">
        <f>60.7204 * CHOOSE(CONTROL!$C$15, $E$9, 100%, $G$9) + CHOOSE(CONTROL!$C$38, 0.0347, 0)</f>
        <v>60.755099999999999</v>
      </c>
      <c r="H925" s="10">
        <f>60.7204 * CHOOSE(CONTROL!$C$15, $E$9, 100%, $G$9) + CHOOSE(CONTROL!$C$38, 0.0347, 0)</f>
        <v>60.755099999999999</v>
      </c>
      <c r="I925" s="10">
        <f>60.7219 * CHOOSE(CONTROL!$C$15, $E$9, 100%, $G$9) + CHOOSE(CONTROL!$C$38, 0.0347, 0)</f>
        <v>60.756599999999999</v>
      </c>
      <c r="J925" s="44">
        <f>536.9122</f>
        <v>536.91219999999998</v>
      </c>
    </row>
    <row r="926" spans="1:10" ht="15.75" x14ac:dyDescent="0.25">
      <c r="A926" s="13">
        <v>69123</v>
      </c>
      <c r="B926" s="10">
        <f>65.1882 * CHOOSE(CONTROL!$C$15, $E$9, 100%, $G$9) + CHOOSE(CONTROL!$C$38, 0.0256, 0)</f>
        <v>65.213799999999992</v>
      </c>
      <c r="C926" s="10">
        <f>60.2109 * CHOOSE(CONTROL!$C$15, $E$9, 100%, $G$9) + CHOOSE(CONTROL!$C$38, 0.0347, 0)</f>
        <v>60.245600000000003</v>
      </c>
      <c r="D926" s="10">
        <f>60.2031 * CHOOSE(CONTROL!$C$15, $E$9, 100%, $G$9) + CHOOSE(CONTROL!$C$38, 0.0347, 0)</f>
        <v>60.2378</v>
      </c>
      <c r="E926" s="46">
        <f>65.0319 * CHOOSE(CONTROL!$C$15, $E$9, 100%, $G$9) + CHOOSE(CONTROL!$C$38, 0.0347, 0)</f>
        <v>65.066599999999994</v>
      </c>
      <c r="F926" s="45">
        <f>65.0319 * CHOOSE(CONTROL!$C$15, $E$9, 100%, $G$9) + CHOOSE(CONTROL!$C$38, 0.0256, 0)</f>
        <v>65.05749999999999</v>
      </c>
      <c r="G926" s="10">
        <f>60.2093 * CHOOSE(CONTROL!$C$15, $E$9, 100%, $G$9) + CHOOSE(CONTROL!$C$38, 0.0347, 0)</f>
        <v>60.244</v>
      </c>
      <c r="H926" s="10">
        <f>60.2093 * CHOOSE(CONTROL!$C$15, $E$9, 100%, $G$9) + CHOOSE(CONTROL!$C$38, 0.0347, 0)</f>
        <v>60.244</v>
      </c>
      <c r="I926" s="10">
        <f>60.2109 * CHOOSE(CONTROL!$C$15, $E$9, 100%, $G$9) + CHOOSE(CONTROL!$C$38, 0.0347, 0)</f>
        <v>60.245600000000003</v>
      </c>
      <c r="J926" s="44">
        <f>565.2106</f>
        <v>565.2106</v>
      </c>
    </row>
    <row r="927" spans="1:10" ht="15.75" x14ac:dyDescent="0.25">
      <c r="A927" s="13">
        <v>69153</v>
      </c>
      <c r="B927" s="10">
        <f>64.693 * CHOOSE(CONTROL!$C$15, $E$9, 100%, $G$9) + CHOOSE(CONTROL!$C$38, 0.0256, 0)</f>
        <v>64.718599999999995</v>
      </c>
      <c r="C927" s="10">
        <f>59.7157 * CHOOSE(CONTROL!$C$15, $E$9, 100%, $G$9) + CHOOSE(CONTROL!$C$38, 0.0347, 0)</f>
        <v>59.750399999999999</v>
      </c>
      <c r="D927" s="10">
        <f>59.7079 * CHOOSE(CONTROL!$C$15, $E$9, 100%, $G$9) + CHOOSE(CONTROL!$C$38, 0.0347, 0)</f>
        <v>59.742600000000003</v>
      </c>
      <c r="E927" s="46">
        <f>64.5367 * CHOOSE(CONTROL!$C$15, $E$9, 100%, $G$9) + CHOOSE(CONTROL!$C$38, 0.0347, 0)</f>
        <v>64.571399999999997</v>
      </c>
      <c r="F927" s="45">
        <f>64.5367 * CHOOSE(CONTROL!$C$15, $E$9, 100%, $G$9) + CHOOSE(CONTROL!$C$38, 0.0256, 0)</f>
        <v>64.562299999999993</v>
      </c>
      <c r="G927" s="10">
        <f>59.7142 * CHOOSE(CONTROL!$C$15, $E$9, 100%, $G$9) + CHOOSE(CONTROL!$C$38, 0.0347, 0)</f>
        <v>59.748899999999999</v>
      </c>
      <c r="H927" s="10">
        <f>59.7142 * CHOOSE(CONTROL!$C$15, $E$9, 100%, $G$9) + CHOOSE(CONTROL!$C$38, 0.0347, 0)</f>
        <v>59.748899999999999</v>
      </c>
      <c r="I927" s="10">
        <f>59.7157 * CHOOSE(CONTROL!$C$15, $E$9, 100%, $G$9) + CHOOSE(CONTROL!$C$38, 0.0347, 0)</f>
        <v>59.750399999999999</v>
      </c>
      <c r="J927" s="44">
        <f>601.9068</f>
        <v>601.90679999999998</v>
      </c>
    </row>
    <row r="928" spans="1:10" ht="15.75" x14ac:dyDescent="0.25">
      <c r="A928" s="13">
        <v>69184</v>
      </c>
      <c r="B928" s="10">
        <f>64.1769 * CHOOSE(CONTROL!$C$15, $E$9, 100%, $G$9) + CHOOSE(CONTROL!$C$38, 0.0278, 0)</f>
        <v>64.204700000000003</v>
      </c>
      <c r="C928" s="10">
        <f>59.1996 * CHOOSE(CONTROL!$C$15, $E$9, 100%, $G$9) + CHOOSE(CONTROL!$C$38, 0.0369, 0)</f>
        <v>59.236499999999999</v>
      </c>
      <c r="D928" s="10">
        <f>59.1918 * CHOOSE(CONTROL!$C$15, $E$9, 100%, $G$9) + CHOOSE(CONTROL!$C$38, 0.0369, 0)</f>
        <v>59.228700000000003</v>
      </c>
      <c r="E928" s="46">
        <f>64.0206 * CHOOSE(CONTROL!$C$15, $E$9, 100%, $G$9) + CHOOSE(CONTROL!$C$38, 0.0369, 0)</f>
        <v>64.057500000000005</v>
      </c>
      <c r="F928" s="45">
        <f>64.0206 * CHOOSE(CONTROL!$C$15, $E$9, 100%, $G$9) + CHOOSE(CONTROL!$C$38, 0.0278, 0)</f>
        <v>64.048400000000001</v>
      </c>
      <c r="G928" s="10">
        <f>59.1981 * CHOOSE(CONTROL!$C$15, $E$9, 100%, $G$9) + CHOOSE(CONTROL!$C$38, 0.0369, 0)</f>
        <v>59.234999999999999</v>
      </c>
      <c r="H928" s="10">
        <f>59.1981 * CHOOSE(CONTROL!$C$15, $E$9, 100%, $G$9) + CHOOSE(CONTROL!$C$38, 0.0369, 0)</f>
        <v>59.234999999999999</v>
      </c>
      <c r="I928" s="10">
        <f>59.1996 * CHOOSE(CONTROL!$C$15, $E$9, 100%, $G$9) + CHOOSE(CONTROL!$C$38, 0.0369, 0)</f>
        <v>59.236499999999999</v>
      </c>
      <c r="J928" s="44">
        <f>622.1056</f>
        <v>622.10559999999998</v>
      </c>
    </row>
    <row r="929" spans="1:10" ht="15.75" x14ac:dyDescent="0.25">
      <c r="A929" s="13">
        <v>69214</v>
      </c>
      <c r="B929" s="10">
        <f>63.815 * CHOOSE(CONTROL!$C$15, $E$9, 100%, $G$9) + CHOOSE(CONTROL!$C$38, 0.0278, 0)</f>
        <v>63.842799999999997</v>
      </c>
      <c r="C929" s="10">
        <f>58.8378 * CHOOSE(CONTROL!$C$15, $E$9, 100%, $G$9) + CHOOSE(CONTROL!$C$38, 0.0369, 0)</f>
        <v>58.874700000000004</v>
      </c>
      <c r="D929" s="10">
        <f>58.83 * CHOOSE(CONTROL!$C$15, $E$9, 100%, $G$9) + CHOOSE(CONTROL!$C$38, 0.0369, 0)</f>
        <v>58.866900000000001</v>
      </c>
      <c r="E929" s="46">
        <f>63.6588 * CHOOSE(CONTROL!$C$15, $E$9, 100%, $G$9) + CHOOSE(CONTROL!$C$38, 0.0369, 0)</f>
        <v>63.695700000000002</v>
      </c>
      <c r="F929" s="45">
        <f>63.6588 * CHOOSE(CONTROL!$C$15, $E$9, 100%, $G$9) + CHOOSE(CONTROL!$C$38, 0.0278, 0)</f>
        <v>63.686599999999999</v>
      </c>
      <c r="G929" s="10">
        <f>58.8362 * CHOOSE(CONTROL!$C$15, $E$9, 100%, $G$9) + CHOOSE(CONTROL!$C$38, 0.0369, 0)</f>
        <v>58.873100000000001</v>
      </c>
      <c r="H929" s="10">
        <f>58.8362 * CHOOSE(CONTROL!$C$15, $E$9, 100%, $G$9) + CHOOSE(CONTROL!$C$38, 0.0369, 0)</f>
        <v>58.873100000000001</v>
      </c>
      <c r="I929" s="10">
        <f>58.8378 * CHOOSE(CONTROL!$C$15, $E$9, 100%, $G$9) + CHOOSE(CONTROL!$C$38, 0.0369, 0)</f>
        <v>58.874700000000004</v>
      </c>
      <c r="J929" s="44">
        <f>631.0695</f>
        <v>631.06949999999995</v>
      </c>
    </row>
    <row r="930" spans="1:10" ht="15.75" x14ac:dyDescent="0.25">
      <c r="A930" s="13">
        <v>69245</v>
      </c>
      <c r="B930" s="10">
        <f>63.6086 * CHOOSE(CONTROL!$C$15, $E$9, 100%, $G$9) + CHOOSE(CONTROL!$C$38, 0.0278, 0)</f>
        <v>63.636400000000002</v>
      </c>
      <c r="C930" s="10">
        <f>58.6313 * CHOOSE(CONTROL!$C$15, $E$9, 100%, $G$9) + CHOOSE(CONTROL!$C$38, 0.0369, 0)</f>
        <v>58.668200000000006</v>
      </c>
      <c r="D930" s="10">
        <f>58.6235 * CHOOSE(CONTROL!$C$15, $E$9, 100%, $G$9) + CHOOSE(CONTROL!$C$38, 0.0369, 0)</f>
        <v>58.660400000000003</v>
      </c>
      <c r="E930" s="46">
        <f>63.4523 * CHOOSE(CONTROL!$C$15, $E$9, 100%, $G$9) + CHOOSE(CONTROL!$C$38, 0.0369, 0)</f>
        <v>63.489200000000004</v>
      </c>
      <c r="F930" s="45">
        <f>63.4523 * CHOOSE(CONTROL!$C$15, $E$9, 100%, $G$9) + CHOOSE(CONTROL!$C$38, 0.0278, 0)</f>
        <v>63.4801</v>
      </c>
      <c r="G930" s="10">
        <f>58.6297 * CHOOSE(CONTROL!$C$15, $E$9, 100%, $G$9) + CHOOSE(CONTROL!$C$38, 0.0369, 0)</f>
        <v>58.666600000000003</v>
      </c>
      <c r="H930" s="10">
        <f>58.6297 * CHOOSE(CONTROL!$C$15, $E$9, 100%, $G$9) + CHOOSE(CONTROL!$C$38, 0.0369, 0)</f>
        <v>58.666600000000003</v>
      </c>
      <c r="I930" s="10">
        <f>58.6313 * CHOOSE(CONTROL!$C$15, $E$9, 100%, $G$9) + CHOOSE(CONTROL!$C$38, 0.0369, 0)</f>
        <v>58.668200000000006</v>
      </c>
      <c r="J930" s="44">
        <f>628.1181</f>
        <v>628.11810000000003</v>
      </c>
    </row>
    <row r="931" spans="1:10" ht="15.75" x14ac:dyDescent="0.25">
      <c r="A931" s="13">
        <v>69276</v>
      </c>
      <c r="B931" s="10">
        <f>63.7105 * CHOOSE(CONTROL!$C$15, $E$9, 100%, $G$9) + CHOOSE(CONTROL!$C$38, 0.0278, 0)</f>
        <v>63.738300000000002</v>
      </c>
      <c r="C931" s="10">
        <f>58.7332 * CHOOSE(CONTROL!$C$15, $E$9, 100%, $G$9) + CHOOSE(CONTROL!$C$38, 0.0369, 0)</f>
        <v>58.770099999999999</v>
      </c>
      <c r="D931" s="10">
        <f>58.7254 * CHOOSE(CONTROL!$C$15, $E$9, 100%, $G$9) + CHOOSE(CONTROL!$C$38, 0.0369, 0)</f>
        <v>58.762300000000003</v>
      </c>
      <c r="E931" s="46">
        <f>63.5542 * CHOOSE(CONTROL!$C$15, $E$9, 100%, $G$9) + CHOOSE(CONTROL!$C$38, 0.0369, 0)</f>
        <v>63.591100000000004</v>
      </c>
      <c r="F931" s="45">
        <f>63.5542 * CHOOSE(CONTROL!$C$15, $E$9, 100%, $G$9) + CHOOSE(CONTROL!$C$38, 0.0278, 0)</f>
        <v>63.582000000000001</v>
      </c>
      <c r="G931" s="10">
        <f>58.7316 * CHOOSE(CONTROL!$C$15, $E$9, 100%, $G$9) + CHOOSE(CONTROL!$C$38, 0.0369, 0)</f>
        <v>58.768500000000003</v>
      </c>
      <c r="H931" s="10">
        <f>58.7316 * CHOOSE(CONTROL!$C$15, $E$9, 100%, $G$9) + CHOOSE(CONTROL!$C$38, 0.0369, 0)</f>
        <v>58.768500000000003</v>
      </c>
      <c r="I931" s="10">
        <f>58.7332 * CHOOSE(CONTROL!$C$15, $E$9, 100%, $G$9) + CHOOSE(CONTROL!$C$38, 0.0369, 0)</f>
        <v>58.770099999999999</v>
      </c>
      <c r="J931" s="44">
        <f>613.4958</f>
        <v>613.49580000000003</v>
      </c>
    </row>
    <row r="932" spans="1:10" ht="15.75" x14ac:dyDescent="0.25">
      <c r="A932" s="13">
        <v>69306</v>
      </c>
      <c r="B932" s="10">
        <f>63.9873 * CHOOSE(CONTROL!$C$15, $E$9, 100%, $G$9) + CHOOSE(CONTROL!$C$38, 0.0278, 0)</f>
        <v>64.015100000000004</v>
      </c>
      <c r="C932" s="10">
        <f>59.01 * CHOOSE(CONTROL!$C$15, $E$9, 100%, $G$9) + CHOOSE(CONTROL!$C$38, 0.0369, 0)</f>
        <v>59.046900000000001</v>
      </c>
      <c r="D932" s="10">
        <f>59.0022 * CHOOSE(CONTROL!$C$15, $E$9, 100%, $G$9) + CHOOSE(CONTROL!$C$38, 0.0369, 0)</f>
        <v>59.039100000000005</v>
      </c>
      <c r="E932" s="46">
        <f>63.831 * CHOOSE(CONTROL!$C$15, $E$9, 100%, $G$9) + CHOOSE(CONTROL!$C$38, 0.0369, 0)</f>
        <v>63.867900000000006</v>
      </c>
      <c r="F932" s="45">
        <f>63.831 * CHOOSE(CONTROL!$C$15, $E$9, 100%, $G$9) + CHOOSE(CONTROL!$C$38, 0.0278, 0)</f>
        <v>63.858800000000002</v>
      </c>
      <c r="G932" s="10">
        <f>59.0084 * CHOOSE(CONTROL!$C$15, $E$9, 100%, $G$9) + CHOOSE(CONTROL!$C$38, 0.0369, 0)</f>
        <v>59.045300000000005</v>
      </c>
      <c r="H932" s="10">
        <f>59.0084 * CHOOSE(CONTROL!$C$15, $E$9, 100%, $G$9) + CHOOSE(CONTROL!$C$38, 0.0369, 0)</f>
        <v>59.045300000000005</v>
      </c>
      <c r="I932" s="10">
        <f>59.01 * CHOOSE(CONTROL!$C$15, $E$9, 100%, $G$9) + CHOOSE(CONTROL!$C$38, 0.0369, 0)</f>
        <v>59.046900000000001</v>
      </c>
      <c r="J932" s="44">
        <f>593.1043</f>
        <v>593.10429999999997</v>
      </c>
    </row>
    <row r="933" spans="1:10" ht="15.75" x14ac:dyDescent="0.25">
      <c r="A933" s="13">
        <v>69337</v>
      </c>
      <c r="B933" s="10">
        <f>64.2191 * CHOOSE(CONTROL!$C$15, $E$9, 100%, $G$9) + CHOOSE(CONTROL!$C$38, 0.0256, 0)</f>
        <v>64.244699999999995</v>
      </c>
      <c r="C933" s="10">
        <f>59.2418 * CHOOSE(CONTROL!$C$15, $E$9, 100%, $G$9) + CHOOSE(CONTROL!$C$38, 0.0347, 0)</f>
        <v>59.276499999999999</v>
      </c>
      <c r="D933" s="10">
        <f>59.234 * CHOOSE(CONTROL!$C$15, $E$9, 100%, $G$9) + CHOOSE(CONTROL!$C$38, 0.0347, 0)</f>
        <v>59.268700000000003</v>
      </c>
      <c r="E933" s="46">
        <f>64.0628 * CHOOSE(CONTROL!$C$15, $E$9, 100%, $G$9) + CHOOSE(CONTROL!$C$38, 0.0347, 0)</f>
        <v>64.097499999999997</v>
      </c>
      <c r="F933" s="45">
        <f>64.0628 * CHOOSE(CONTROL!$C$15, $E$9, 100%, $G$9) + CHOOSE(CONTROL!$C$38, 0.0256, 0)</f>
        <v>64.088399999999993</v>
      </c>
      <c r="G933" s="10">
        <f>59.2403 * CHOOSE(CONTROL!$C$15, $E$9, 100%, $G$9) + CHOOSE(CONTROL!$C$38, 0.0347, 0)</f>
        <v>59.274999999999999</v>
      </c>
      <c r="H933" s="10">
        <f>59.2403 * CHOOSE(CONTROL!$C$15, $E$9, 100%, $G$9) + CHOOSE(CONTROL!$C$38, 0.0347, 0)</f>
        <v>59.274999999999999</v>
      </c>
      <c r="I933" s="10">
        <f>59.2418 * CHOOSE(CONTROL!$C$15, $E$9, 100%, $G$9) + CHOOSE(CONTROL!$C$38, 0.0347, 0)</f>
        <v>59.276499999999999</v>
      </c>
      <c r="J933" s="44">
        <f>572.5941</f>
        <v>572.59410000000003</v>
      </c>
    </row>
    <row r="934" spans="1:10" ht="15.75" x14ac:dyDescent="0.25">
      <c r="A934" s="13">
        <v>69367</v>
      </c>
      <c r="B934" s="10">
        <f>64.4125 * CHOOSE(CONTROL!$C$15, $E$9, 100%, $G$9) + CHOOSE(CONTROL!$C$38, 0.0256, 0)</f>
        <v>64.438099999999991</v>
      </c>
      <c r="C934" s="10">
        <f>59.4353 * CHOOSE(CONTROL!$C$15, $E$9, 100%, $G$9) + CHOOSE(CONTROL!$C$38, 0.0347, 0)</f>
        <v>59.47</v>
      </c>
      <c r="D934" s="10">
        <f>59.4274 * CHOOSE(CONTROL!$C$15, $E$9, 100%, $G$9) + CHOOSE(CONTROL!$C$38, 0.0347, 0)</f>
        <v>59.4621</v>
      </c>
      <c r="E934" s="46">
        <f>64.2563 * CHOOSE(CONTROL!$C$15, $E$9, 100%, $G$9) + CHOOSE(CONTROL!$C$38, 0.0347, 0)</f>
        <v>64.290999999999997</v>
      </c>
      <c r="F934" s="45">
        <f>64.2563 * CHOOSE(CONTROL!$C$15, $E$9, 100%, $G$9) + CHOOSE(CONTROL!$C$38, 0.0256, 0)</f>
        <v>64.281899999999993</v>
      </c>
      <c r="G934" s="10">
        <f>59.4337 * CHOOSE(CONTROL!$C$15, $E$9, 100%, $G$9) + CHOOSE(CONTROL!$C$38, 0.0347, 0)</f>
        <v>59.468400000000003</v>
      </c>
      <c r="H934" s="10">
        <f>59.4337 * CHOOSE(CONTROL!$C$15, $E$9, 100%, $G$9) + CHOOSE(CONTROL!$C$38, 0.0347, 0)</f>
        <v>59.468400000000003</v>
      </c>
      <c r="I934" s="10">
        <f>59.4353 * CHOOSE(CONTROL!$C$15, $E$9, 100%, $G$9) + CHOOSE(CONTROL!$C$38, 0.0347, 0)</f>
        <v>59.47</v>
      </c>
      <c r="J934" s="44">
        <f>568.5142</f>
        <v>568.51419999999996</v>
      </c>
    </row>
    <row r="935" spans="1:10" ht="15.75" x14ac:dyDescent="0.25">
      <c r="A935" s="13">
        <v>69398</v>
      </c>
      <c r="B935" s="10">
        <f>65.0086 * CHOOSE(CONTROL!$C$15, $E$9, 100%, $G$9) + CHOOSE(CONTROL!$C$38, 0.0256, 0)</f>
        <v>65.034199999999998</v>
      </c>
      <c r="C935" s="10">
        <f>60.0313 * CHOOSE(CONTROL!$C$15, $E$9, 100%, $G$9) + CHOOSE(CONTROL!$C$38, 0.0347, 0)</f>
        <v>60.066000000000003</v>
      </c>
      <c r="D935" s="10">
        <f>60.0235 * CHOOSE(CONTROL!$C$15, $E$9, 100%, $G$9) + CHOOSE(CONTROL!$C$38, 0.0347, 0)</f>
        <v>60.058199999999999</v>
      </c>
      <c r="E935" s="46">
        <f>64.8523 * CHOOSE(CONTROL!$C$15, $E$9, 100%, $G$9) + CHOOSE(CONTROL!$C$38, 0.0347, 0)</f>
        <v>64.887</v>
      </c>
      <c r="F935" s="45">
        <f>64.8523 * CHOOSE(CONTROL!$C$15, $E$9, 100%, $G$9) + CHOOSE(CONTROL!$C$38, 0.0256, 0)</f>
        <v>64.877899999999997</v>
      </c>
      <c r="G935" s="10">
        <f>60.0298 * CHOOSE(CONTROL!$C$15, $E$9, 100%, $G$9) + CHOOSE(CONTROL!$C$38, 0.0347, 0)</f>
        <v>60.064500000000002</v>
      </c>
      <c r="H935" s="10">
        <f>60.0298 * CHOOSE(CONTROL!$C$15, $E$9, 100%, $G$9) + CHOOSE(CONTROL!$C$38, 0.0347, 0)</f>
        <v>60.064500000000002</v>
      </c>
      <c r="I935" s="10">
        <f>60.0313 * CHOOSE(CONTROL!$C$15, $E$9, 100%, $G$9) + CHOOSE(CONTROL!$C$38, 0.0347, 0)</f>
        <v>60.066000000000003</v>
      </c>
      <c r="J935" s="44">
        <f>551.6435</f>
        <v>551.64350000000002</v>
      </c>
    </row>
    <row r="936" spans="1:10" ht="15.75" x14ac:dyDescent="0.25">
      <c r="A936" s="13">
        <v>69429</v>
      </c>
      <c r="B936" s="10">
        <f>66.5258 * CHOOSE(CONTROL!$C$15, $E$9, 100%, $G$9) + CHOOSE(CONTROL!$C$38, 0.0256, 0)</f>
        <v>66.551400000000001</v>
      </c>
      <c r="C936" s="10">
        <f>61.4695 * CHOOSE(CONTROL!$C$15, $E$9, 100%, $G$9) + CHOOSE(CONTROL!$C$38, 0.0347, 0)</f>
        <v>61.504199999999997</v>
      </c>
      <c r="D936" s="10">
        <f>61.4617 * CHOOSE(CONTROL!$C$15, $E$9, 100%, $G$9) + CHOOSE(CONTROL!$C$38, 0.0347, 0)</f>
        <v>61.496400000000001</v>
      </c>
      <c r="E936" s="46">
        <f>66.3696 * CHOOSE(CONTROL!$C$15, $E$9, 100%, $G$9) + CHOOSE(CONTROL!$C$38, 0.0347, 0)</f>
        <v>66.404300000000006</v>
      </c>
      <c r="F936" s="45">
        <f>66.3696 * CHOOSE(CONTROL!$C$15, $E$9, 100%, $G$9) + CHOOSE(CONTROL!$C$38, 0.0256, 0)</f>
        <v>66.395200000000003</v>
      </c>
      <c r="G936" s="10">
        <f>61.4679 * CHOOSE(CONTROL!$C$15, $E$9, 100%, $G$9) + CHOOSE(CONTROL!$C$38, 0.0347, 0)</f>
        <v>61.502600000000001</v>
      </c>
      <c r="H936" s="10">
        <f>61.4679 * CHOOSE(CONTROL!$C$15, $E$9, 100%, $G$9) + CHOOSE(CONTROL!$C$38, 0.0347, 0)</f>
        <v>61.502600000000001</v>
      </c>
      <c r="I936" s="10">
        <f>61.4695 * CHOOSE(CONTROL!$C$15, $E$9, 100%, $G$9) + CHOOSE(CONTROL!$C$38, 0.0347, 0)</f>
        <v>61.504199999999997</v>
      </c>
      <c r="J936" s="44">
        <f>550.59</f>
        <v>550.59</v>
      </c>
    </row>
    <row r="937" spans="1:10" ht="15.75" x14ac:dyDescent="0.25">
      <c r="A937" s="13">
        <v>69457</v>
      </c>
      <c r="B937" s="10">
        <f>66.7466 * CHOOSE(CONTROL!$C$15, $E$9, 100%, $G$9) + CHOOSE(CONTROL!$C$38, 0.0256, 0)</f>
        <v>66.772199999999998</v>
      </c>
      <c r="C937" s="10">
        <f>61.6903 * CHOOSE(CONTROL!$C$15, $E$9, 100%, $G$9) + CHOOSE(CONTROL!$C$38, 0.0347, 0)</f>
        <v>61.725000000000001</v>
      </c>
      <c r="D937" s="10">
        <f>61.6825 * CHOOSE(CONTROL!$C$15, $E$9, 100%, $G$9) + CHOOSE(CONTROL!$C$38, 0.0347, 0)</f>
        <v>61.717199999999998</v>
      </c>
      <c r="E937" s="46">
        <f>66.5903 * CHOOSE(CONTROL!$C$15, $E$9, 100%, $G$9) + CHOOSE(CONTROL!$C$38, 0.0347, 0)</f>
        <v>66.625</v>
      </c>
      <c r="F937" s="45">
        <f>66.5903 * CHOOSE(CONTROL!$C$15, $E$9, 100%, $G$9) + CHOOSE(CONTROL!$C$38, 0.0256, 0)</f>
        <v>66.615899999999996</v>
      </c>
      <c r="G937" s="10">
        <f>61.6887 * CHOOSE(CONTROL!$C$15, $E$9, 100%, $G$9) + CHOOSE(CONTROL!$C$38, 0.0347, 0)</f>
        <v>61.723399999999998</v>
      </c>
      <c r="H937" s="10">
        <f>61.6887 * CHOOSE(CONTROL!$C$15, $E$9, 100%, $G$9) + CHOOSE(CONTROL!$C$38, 0.0347, 0)</f>
        <v>61.723399999999998</v>
      </c>
      <c r="I937" s="10">
        <f>61.6903 * CHOOSE(CONTROL!$C$15, $E$9, 100%, $G$9) + CHOOSE(CONTROL!$C$38, 0.0347, 0)</f>
        <v>61.725000000000001</v>
      </c>
      <c r="J937" s="44">
        <f>549.0595</f>
        <v>549.05949999999996</v>
      </c>
    </row>
    <row r="938" spans="1:10" ht="15.75" x14ac:dyDescent="0.25">
      <c r="A938" s="13">
        <v>69488</v>
      </c>
      <c r="B938" s="10">
        <f>66.2355 * CHOOSE(CONTROL!$C$15, $E$9, 100%, $G$9) + CHOOSE(CONTROL!$C$38, 0.0256, 0)</f>
        <v>66.261099999999999</v>
      </c>
      <c r="C938" s="10">
        <f>61.1792 * CHOOSE(CONTROL!$C$15, $E$9, 100%, $G$9) + CHOOSE(CONTROL!$C$38, 0.0347, 0)</f>
        <v>61.213900000000002</v>
      </c>
      <c r="D938" s="10">
        <f>61.1714 * CHOOSE(CONTROL!$C$15, $E$9, 100%, $G$9) + CHOOSE(CONTROL!$C$38, 0.0347, 0)</f>
        <v>61.206099999999999</v>
      </c>
      <c r="E938" s="46">
        <f>66.0793 * CHOOSE(CONTROL!$C$15, $E$9, 100%, $G$9) + CHOOSE(CONTROL!$C$38, 0.0347, 0)</f>
        <v>66.114000000000004</v>
      </c>
      <c r="F938" s="45">
        <f>66.0793 * CHOOSE(CONTROL!$C$15, $E$9, 100%, $G$9) + CHOOSE(CONTROL!$C$38, 0.0256, 0)</f>
        <v>66.104900000000001</v>
      </c>
      <c r="G938" s="10">
        <f>61.1777 * CHOOSE(CONTROL!$C$15, $E$9, 100%, $G$9) + CHOOSE(CONTROL!$C$38, 0.0347, 0)</f>
        <v>61.212400000000002</v>
      </c>
      <c r="H938" s="10">
        <f>61.1777 * CHOOSE(CONTROL!$C$15, $E$9, 100%, $G$9) + CHOOSE(CONTROL!$C$38, 0.0347, 0)</f>
        <v>61.212400000000002</v>
      </c>
      <c r="I938" s="10">
        <f>61.1792 * CHOOSE(CONTROL!$C$15, $E$9, 100%, $G$9) + CHOOSE(CONTROL!$C$38, 0.0347, 0)</f>
        <v>61.213900000000002</v>
      </c>
      <c r="J938" s="44">
        <f>577.9982</f>
        <v>577.9982</v>
      </c>
    </row>
    <row r="939" spans="1:10" ht="15.75" x14ac:dyDescent="0.25">
      <c r="A939" s="13">
        <v>69518</v>
      </c>
      <c r="B939" s="10">
        <f>65.7404 * CHOOSE(CONTROL!$C$15, $E$9, 100%, $G$9) + CHOOSE(CONTROL!$C$38, 0.0256, 0)</f>
        <v>65.765999999999991</v>
      </c>
      <c r="C939" s="10">
        <f>60.6841 * CHOOSE(CONTROL!$C$15, $E$9, 100%, $G$9) + CHOOSE(CONTROL!$C$38, 0.0347, 0)</f>
        <v>60.718800000000002</v>
      </c>
      <c r="D939" s="10">
        <f>60.6762 * CHOOSE(CONTROL!$C$15, $E$9, 100%, $G$9) + CHOOSE(CONTROL!$C$38, 0.0347, 0)</f>
        <v>60.710900000000002</v>
      </c>
      <c r="E939" s="46">
        <f>65.5841 * CHOOSE(CONTROL!$C$15, $E$9, 100%, $G$9) + CHOOSE(CONTROL!$C$38, 0.0347, 0)</f>
        <v>65.618800000000007</v>
      </c>
      <c r="F939" s="45">
        <f>65.5841 * CHOOSE(CONTROL!$C$15, $E$9, 100%, $G$9) + CHOOSE(CONTROL!$C$38, 0.0256, 0)</f>
        <v>65.609700000000004</v>
      </c>
      <c r="G939" s="10">
        <f>60.6825 * CHOOSE(CONTROL!$C$15, $E$9, 100%, $G$9) + CHOOSE(CONTROL!$C$38, 0.0347, 0)</f>
        <v>60.717199999999998</v>
      </c>
      <c r="H939" s="10">
        <f>60.6825 * CHOOSE(CONTROL!$C$15, $E$9, 100%, $G$9) + CHOOSE(CONTROL!$C$38, 0.0347, 0)</f>
        <v>60.717199999999998</v>
      </c>
      <c r="I939" s="10">
        <f>60.6841 * CHOOSE(CONTROL!$C$15, $E$9, 100%, $G$9) + CHOOSE(CONTROL!$C$38, 0.0347, 0)</f>
        <v>60.718800000000002</v>
      </c>
      <c r="J939" s="44">
        <f>615.5246</f>
        <v>615.52459999999996</v>
      </c>
    </row>
    <row r="940" spans="1:10" ht="15.75" x14ac:dyDescent="0.25">
      <c r="A940" s="13">
        <v>69549</v>
      </c>
      <c r="B940" s="10">
        <f>65.2242 * CHOOSE(CONTROL!$C$15, $E$9, 100%, $G$9) + CHOOSE(CONTROL!$C$38, 0.0278, 0)</f>
        <v>65.251999999999995</v>
      </c>
      <c r="C940" s="10">
        <f>60.1679 * CHOOSE(CONTROL!$C$15, $E$9, 100%, $G$9) + CHOOSE(CONTROL!$C$38, 0.0369, 0)</f>
        <v>60.204800000000006</v>
      </c>
      <c r="D940" s="10">
        <f>60.1601 * CHOOSE(CONTROL!$C$15, $E$9, 100%, $G$9) + CHOOSE(CONTROL!$C$38, 0.0369, 0)</f>
        <v>60.197000000000003</v>
      </c>
      <c r="E940" s="46">
        <f>65.068 * CHOOSE(CONTROL!$C$15, $E$9, 100%, $G$9) + CHOOSE(CONTROL!$C$38, 0.0369, 0)</f>
        <v>65.104900000000001</v>
      </c>
      <c r="F940" s="45">
        <f>65.068 * CHOOSE(CONTROL!$C$15, $E$9, 100%, $G$9) + CHOOSE(CONTROL!$C$38, 0.0278, 0)</f>
        <v>65.095799999999997</v>
      </c>
      <c r="G940" s="10">
        <f>60.1664 * CHOOSE(CONTROL!$C$15, $E$9, 100%, $G$9) + CHOOSE(CONTROL!$C$38, 0.0369, 0)</f>
        <v>60.203300000000006</v>
      </c>
      <c r="H940" s="10">
        <f>60.1664 * CHOOSE(CONTROL!$C$15, $E$9, 100%, $G$9) + CHOOSE(CONTROL!$C$38, 0.0369, 0)</f>
        <v>60.203300000000006</v>
      </c>
      <c r="I940" s="10">
        <f>60.1679 * CHOOSE(CONTROL!$C$15, $E$9, 100%, $G$9) + CHOOSE(CONTROL!$C$38, 0.0369, 0)</f>
        <v>60.204800000000006</v>
      </c>
      <c r="J940" s="44">
        <f>636.1804</f>
        <v>636.18039999999996</v>
      </c>
    </row>
    <row r="941" spans="1:10" ht="15.75" x14ac:dyDescent="0.25">
      <c r="A941" s="13">
        <v>69579</v>
      </c>
      <c r="B941" s="10">
        <f>64.8624 * CHOOSE(CONTROL!$C$15, $E$9, 100%, $G$9) + CHOOSE(CONTROL!$C$38, 0.0278, 0)</f>
        <v>64.890199999999993</v>
      </c>
      <c r="C941" s="10">
        <f>59.8061 * CHOOSE(CONTROL!$C$15, $E$9, 100%, $G$9) + CHOOSE(CONTROL!$C$38, 0.0369, 0)</f>
        <v>59.843000000000004</v>
      </c>
      <c r="D941" s="10">
        <f>59.7983 * CHOOSE(CONTROL!$C$15, $E$9, 100%, $G$9) + CHOOSE(CONTROL!$C$38, 0.0369, 0)</f>
        <v>59.8352</v>
      </c>
      <c r="E941" s="46">
        <f>64.7062 * CHOOSE(CONTROL!$C$15, $E$9, 100%, $G$9) + CHOOSE(CONTROL!$C$38, 0.0369, 0)</f>
        <v>64.743099999999998</v>
      </c>
      <c r="F941" s="45">
        <f>64.7062 * CHOOSE(CONTROL!$C$15, $E$9, 100%, $G$9) + CHOOSE(CONTROL!$C$38, 0.0278, 0)</f>
        <v>64.733999999999995</v>
      </c>
      <c r="G941" s="10">
        <f>59.8045 * CHOOSE(CONTROL!$C$15, $E$9, 100%, $G$9) + CHOOSE(CONTROL!$C$38, 0.0369, 0)</f>
        <v>59.8414</v>
      </c>
      <c r="H941" s="10">
        <f>59.8045 * CHOOSE(CONTROL!$C$15, $E$9, 100%, $G$9) + CHOOSE(CONTROL!$C$38, 0.0369, 0)</f>
        <v>59.8414</v>
      </c>
      <c r="I941" s="10">
        <f>59.8061 * CHOOSE(CONTROL!$C$15, $E$9, 100%, $G$9) + CHOOSE(CONTROL!$C$38, 0.0369, 0)</f>
        <v>59.843000000000004</v>
      </c>
      <c r="J941" s="44">
        <f>645.3471</f>
        <v>645.34709999999995</v>
      </c>
    </row>
    <row r="942" spans="1:10" ht="15.75" x14ac:dyDescent="0.25">
      <c r="A942" s="13">
        <v>69610</v>
      </c>
      <c r="B942" s="10">
        <f>64.6559 * CHOOSE(CONTROL!$C$15, $E$9, 100%, $G$9) + CHOOSE(CONTROL!$C$38, 0.0278, 0)</f>
        <v>64.683700000000002</v>
      </c>
      <c r="C942" s="10">
        <f>59.5996 * CHOOSE(CONTROL!$C$15, $E$9, 100%, $G$9) + CHOOSE(CONTROL!$C$38, 0.0369, 0)</f>
        <v>59.636500000000005</v>
      </c>
      <c r="D942" s="10">
        <f>59.5918 * CHOOSE(CONTROL!$C$15, $E$9, 100%, $G$9) + CHOOSE(CONTROL!$C$38, 0.0369, 0)</f>
        <v>59.628700000000002</v>
      </c>
      <c r="E942" s="46">
        <f>64.4997 * CHOOSE(CONTROL!$C$15, $E$9, 100%, $G$9) + CHOOSE(CONTROL!$C$38, 0.0369, 0)</f>
        <v>64.536600000000007</v>
      </c>
      <c r="F942" s="45">
        <f>64.4997 * CHOOSE(CONTROL!$C$15, $E$9, 100%, $G$9) + CHOOSE(CONTROL!$C$38, 0.0278, 0)</f>
        <v>64.527500000000003</v>
      </c>
      <c r="G942" s="10">
        <f>59.5981 * CHOOSE(CONTROL!$C$15, $E$9, 100%, $G$9) + CHOOSE(CONTROL!$C$38, 0.0369, 0)</f>
        <v>59.635000000000005</v>
      </c>
      <c r="H942" s="10">
        <f>59.5981 * CHOOSE(CONTROL!$C$15, $E$9, 100%, $G$9) + CHOOSE(CONTROL!$C$38, 0.0369, 0)</f>
        <v>59.635000000000005</v>
      </c>
      <c r="I942" s="10">
        <f>59.5996 * CHOOSE(CONTROL!$C$15, $E$9, 100%, $G$9) + CHOOSE(CONTROL!$C$38, 0.0369, 0)</f>
        <v>59.636500000000005</v>
      </c>
      <c r="J942" s="44">
        <f>642.329</f>
        <v>642.32899999999995</v>
      </c>
    </row>
    <row r="943" spans="1:10" ht="15.75" x14ac:dyDescent="0.25">
      <c r="A943" s="13">
        <v>69641</v>
      </c>
      <c r="B943" s="10">
        <f>64.7578 * CHOOSE(CONTROL!$C$15, $E$9, 100%, $G$9) + CHOOSE(CONTROL!$C$38, 0.0278, 0)</f>
        <v>64.785600000000002</v>
      </c>
      <c r="C943" s="10">
        <f>59.7015 * CHOOSE(CONTROL!$C$15, $E$9, 100%, $G$9) + CHOOSE(CONTROL!$C$38, 0.0369, 0)</f>
        <v>59.738400000000006</v>
      </c>
      <c r="D943" s="10">
        <f>59.6937 * CHOOSE(CONTROL!$C$15, $E$9, 100%, $G$9) + CHOOSE(CONTROL!$C$38, 0.0369, 0)</f>
        <v>59.730600000000003</v>
      </c>
      <c r="E943" s="46">
        <f>64.6016 * CHOOSE(CONTROL!$C$15, $E$9, 100%, $G$9) + CHOOSE(CONTROL!$C$38, 0.0369, 0)</f>
        <v>64.638500000000008</v>
      </c>
      <c r="F943" s="45">
        <f>64.6016 * CHOOSE(CONTROL!$C$15, $E$9, 100%, $G$9) + CHOOSE(CONTROL!$C$38, 0.0278, 0)</f>
        <v>64.629400000000004</v>
      </c>
      <c r="G943" s="10">
        <f>59.7 * CHOOSE(CONTROL!$C$15, $E$9, 100%, $G$9) + CHOOSE(CONTROL!$C$38, 0.0369, 0)</f>
        <v>59.736900000000006</v>
      </c>
      <c r="H943" s="10">
        <f>59.7 * CHOOSE(CONTROL!$C$15, $E$9, 100%, $G$9) + CHOOSE(CONTROL!$C$38, 0.0369, 0)</f>
        <v>59.736900000000006</v>
      </c>
      <c r="I943" s="10">
        <f>59.7015 * CHOOSE(CONTROL!$C$15, $E$9, 100%, $G$9) + CHOOSE(CONTROL!$C$38, 0.0369, 0)</f>
        <v>59.738400000000006</v>
      </c>
      <c r="J943" s="44">
        <f>627.3758</f>
        <v>627.37580000000003</v>
      </c>
    </row>
    <row r="944" spans="1:10" ht="15.75" x14ac:dyDescent="0.25">
      <c r="A944" s="13">
        <v>69671</v>
      </c>
      <c r="B944" s="10">
        <f>65.0346 * CHOOSE(CONTROL!$C$15, $E$9, 100%, $G$9) + CHOOSE(CONTROL!$C$38, 0.0278, 0)</f>
        <v>65.062399999999997</v>
      </c>
      <c r="C944" s="10">
        <f>59.9783 * CHOOSE(CONTROL!$C$15, $E$9, 100%, $G$9) + CHOOSE(CONTROL!$C$38, 0.0369, 0)</f>
        <v>60.0152</v>
      </c>
      <c r="D944" s="10">
        <f>59.9705 * CHOOSE(CONTROL!$C$15, $E$9, 100%, $G$9) + CHOOSE(CONTROL!$C$38, 0.0369, 0)</f>
        <v>60.007400000000004</v>
      </c>
      <c r="E944" s="46">
        <f>64.8784 * CHOOSE(CONTROL!$C$15, $E$9, 100%, $G$9) + CHOOSE(CONTROL!$C$38, 0.0369, 0)</f>
        <v>64.915300000000002</v>
      </c>
      <c r="F944" s="45">
        <f>64.8784 * CHOOSE(CONTROL!$C$15, $E$9, 100%, $G$9) + CHOOSE(CONTROL!$C$38, 0.0278, 0)</f>
        <v>64.906199999999998</v>
      </c>
      <c r="G944" s="10">
        <f>59.9768 * CHOOSE(CONTROL!$C$15, $E$9, 100%, $G$9) + CHOOSE(CONTROL!$C$38, 0.0369, 0)</f>
        <v>60.0137</v>
      </c>
      <c r="H944" s="10">
        <f>59.9768 * CHOOSE(CONTROL!$C$15, $E$9, 100%, $G$9) + CHOOSE(CONTROL!$C$38, 0.0369, 0)</f>
        <v>60.0137</v>
      </c>
      <c r="I944" s="10">
        <f>59.9783 * CHOOSE(CONTROL!$C$15, $E$9, 100%, $G$9) + CHOOSE(CONTROL!$C$38, 0.0369, 0)</f>
        <v>60.0152</v>
      </c>
      <c r="J944" s="44">
        <f>606.5229</f>
        <v>606.52290000000005</v>
      </c>
    </row>
    <row r="945" spans="1:10" ht="15.75" x14ac:dyDescent="0.25">
      <c r="A945" s="13">
        <v>69702</v>
      </c>
      <c r="B945" s="10">
        <f>65.2665 * CHOOSE(CONTROL!$C$15, $E$9, 100%, $G$9) + CHOOSE(CONTROL!$C$38, 0.0256, 0)</f>
        <v>65.292099999999991</v>
      </c>
      <c r="C945" s="10">
        <f>60.2101 * CHOOSE(CONTROL!$C$15, $E$9, 100%, $G$9) + CHOOSE(CONTROL!$C$38, 0.0347, 0)</f>
        <v>60.244799999999998</v>
      </c>
      <c r="D945" s="10">
        <f>60.2023 * CHOOSE(CONTROL!$C$15, $E$9, 100%, $G$9) + CHOOSE(CONTROL!$C$38, 0.0347, 0)</f>
        <v>60.237000000000002</v>
      </c>
      <c r="E945" s="46">
        <f>65.1102 * CHOOSE(CONTROL!$C$15, $E$9, 100%, $G$9) + CHOOSE(CONTROL!$C$38, 0.0347, 0)</f>
        <v>65.144900000000007</v>
      </c>
      <c r="F945" s="45">
        <f>65.1102 * CHOOSE(CONTROL!$C$15, $E$9, 100%, $G$9) + CHOOSE(CONTROL!$C$38, 0.0256, 0)</f>
        <v>65.135800000000003</v>
      </c>
      <c r="G945" s="10">
        <f>60.2086 * CHOOSE(CONTROL!$C$15, $E$9, 100%, $G$9) + CHOOSE(CONTROL!$C$38, 0.0347, 0)</f>
        <v>60.243299999999998</v>
      </c>
      <c r="H945" s="10">
        <f>60.2086 * CHOOSE(CONTROL!$C$15, $E$9, 100%, $G$9) + CHOOSE(CONTROL!$C$38, 0.0347, 0)</f>
        <v>60.243299999999998</v>
      </c>
      <c r="I945" s="10">
        <f>60.2101 * CHOOSE(CONTROL!$C$15, $E$9, 100%, $G$9) + CHOOSE(CONTROL!$C$38, 0.0347, 0)</f>
        <v>60.244799999999998</v>
      </c>
      <c r="J945" s="44">
        <f>585.5488</f>
        <v>585.54880000000003</v>
      </c>
    </row>
    <row r="946" spans="1:10" ht="15.75" x14ac:dyDescent="0.25">
      <c r="A946" s="13">
        <v>69732</v>
      </c>
      <c r="B946" s="10">
        <f>65.4599 * CHOOSE(CONTROL!$C$15, $E$9, 100%, $G$9) + CHOOSE(CONTROL!$C$38, 0.0256, 0)</f>
        <v>65.485500000000002</v>
      </c>
      <c r="C946" s="10">
        <f>60.4036 * CHOOSE(CONTROL!$C$15, $E$9, 100%, $G$9) + CHOOSE(CONTROL!$C$38, 0.0347, 0)</f>
        <v>60.438299999999998</v>
      </c>
      <c r="D946" s="10">
        <f>60.3958 * CHOOSE(CONTROL!$C$15, $E$9, 100%, $G$9) + CHOOSE(CONTROL!$C$38, 0.0347, 0)</f>
        <v>60.430500000000002</v>
      </c>
      <c r="E946" s="46">
        <f>65.3036 * CHOOSE(CONTROL!$C$15, $E$9, 100%, $G$9) + CHOOSE(CONTROL!$C$38, 0.0347, 0)</f>
        <v>65.338300000000004</v>
      </c>
      <c r="F946" s="45">
        <f>65.3036 * CHOOSE(CONTROL!$C$15, $E$9, 100%, $G$9) + CHOOSE(CONTROL!$C$38, 0.0256, 0)</f>
        <v>65.3292</v>
      </c>
      <c r="G946" s="10">
        <f>60.402 * CHOOSE(CONTROL!$C$15, $E$9, 100%, $G$9) + CHOOSE(CONTROL!$C$38, 0.0347, 0)</f>
        <v>60.436700000000002</v>
      </c>
      <c r="H946" s="10">
        <f>60.402 * CHOOSE(CONTROL!$C$15, $E$9, 100%, $G$9) + CHOOSE(CONTROL!$C$38, 0.0347, 0)</f>
        <v>60.436700000000002</v>
      </c>
      <c r="I946" s="10">
        <f>60.4036 * CHOOSE(CONTROL!$C$15, $E$9, 100%, $G$9) + CHOOSE(CONTROL!$C$38, 0.0347, 0)</f>
        <v>60.438299999999998</v>
      </c>
      <c r="J946" s="44">
        <f>581.3766</f>
        <v>581.37660000000005</v>
      </c>
    </row>
    <row r="947" spans="1:10" ht="15.75" x14ac:dyDescent="0.25">
      <c r="A947" s="13">
        <v>69763</v>
      </c>
      <c r="B947" s="10">
        <f>66.056 * CHOOSE(CONTROL!$C$15, $E$9, 100%, $G$9) + CHOOSE(CONTROL!$C$38, 0.0256, 0)</f>
        <v>66.081599999999995</v>
      </c>
      <c r="C947" s="10">
        <f>60.9997 * CHOOSE(CONTROL!$C$15, $E$9, 100%, $G$9) + CHOOSE(CONTROL!$C$38, 0.0347, 0)</f>
        <v>61.034399999999998</v>
      </c>
      <c r="D947" s="10">
        <f>60.9918 * CHOOSE(CONTROL!$C$15, $E$9, 100%, $G$9) + CHOOSE(CONTROL!$C$38, 0.0347, 0)</f>
        <v>61.026499999999999</v>
      </c>
      <c r="E947" s="46">
        <f>65.8997 * CHOOSE(CONTROL!$C$15, $E$9, 100%, $G$9) + CHOOSE(CONTROL!$C$38, 0.0347, 0)</f>
        <v>65.934399999999997</v>
      </c>
      <c r="F947" s="45">
        <f>65.8997 * CHOOSE(CONTROL!$C$15, $E$9, 100%, $G$9) + CHOOSE(CONTROL!$C$38, 0.0256, 0)</f>
        <v>65.925299999999993</v>
      </c>
      <c r="G947" s="10">
        <f>60.9981 * CHOOSE(CONTROL!$C$15, $E$9, 100%, $G$9) + CHOOSE(CONTROL!$C$38, 0.0347, 0)</f>
        <v>61.032800000000002</v>
      </c>
      <c r="H947" s="10">
        <f>60.9981 * CHOOSE(CONTROL!$C$15, $E$9, 100%, $G$9) + CHOOSE(CONTROL!$C$38, 0.0347, 0)</f>
        <v>61.032800000000002</v>
      </c>
      <c r="I947" s="10">
        <f>60.9997 * CHOOSE(CONTROL!$C$15, $E$9, 100%, $G$9) + CHOOSE(CONTROL!$C$38, 0.0347, 0)</f>
        <v>61.034399999999998</v>
      </c>
      <c r="J947" s="44">
        <f>564.1242</f>
        <v>564.12419999999997</v>
      </c>
    </row>
    <row r="948" spans="1:10" ht="15.75" x14ac:dyDescent="0.25">
      <c r="A948" s="13">
        <v>69794</v>
      </c>
      <c r="B948" s="10">
        <f>67.5904 * CHOOSE(CONTROL!$C$15, $E$9, 100%, $G$9) + CHOOSE(CONTROL!$C$38, 0.0256, 0)</f>
        <v>67.616</v>
      </c>
      <c r="C948" s="10">
        <f>62.4537 * CHOOSE(CONTROL!$C$15, $E$9, 100%, $G$9) + CHOOSE(CONTROL!$C$38, 0.0347, 0)</f>
        <v>62.488399999999999</v>
      </c>
      <c r="D948" s="10">
        <f>62.4459 * CHOOSE(CONTROL!$C$15, $E$9, 100%, $G$9) + CHOOSE(CONTROL!$C$38, 0.0347, 0)</f>
        <v>62.480600000000003</v>
      </c>
      <c r="E948" s="46">
        <f>67.4341 * CHOOSE(CONTROL!$C$15, $E$9, 100%, $G$9) + CHOOSE(CONTROL!$C$38, 0.0347, 0)</f>
        <v>67.468800000000002</v>
      </c>
      <c r="F948" s="45">
        <f>67.4341 * CHOOSE(CONTROL!$C$15, $E$9, 100%, $G$9) + CHOOSE(CONTROL!$C$38, 0.0256, 0)</f>
        <v>67.459699999999998</v>
      </c>
      <c r="G948" s="10">
        <f>62.4521 * CHOOSE(CONTROL!$C$15, $E$9, 100%, $G$9) + CHOOSE(CONTROL!$C$38, 0.0347, 0)</f>
        <v>62.486800000000002</v>
      </c>
      <c r="H948" s="10">
        <f>62.4521 * CHOOSE(CONTROL!$C$15, $E$9, 100%, $G$9) + CHOOSE(CONTROL!$C$38, 0.0347, 0)</f>
        <v>62.486800000000002</v>
      </c>
      <c r="I948" s="10">
        <f>62.4537 * CHOOSE(CONTROL!$C$15, $E$9, 100%, $G$9) + CHOOSE(CONTROL!$C$38, 0.0347, 0)</f>
        <v>62.488399999999999</v>
      </c>
      <c r="J948" s="44">
        <f>563.0468</f>
        <v>563.04679999999996</v>
      </c>
    </row>
    <row r="949" spans="1:10" ht="15.75" x14ac:dyDescent="0.25">
      <c r="A949" s="13">
        <v>69822</v>
      </c>
      <c r="B949" s="10">
        <f>67.8111 * CHOOSE(CONTROL!$C$15, $E$9, 100%, $G$9) + CHOOSE(CONTROL!$C$38, 0.0256, 0)</f>
        <v>67.836699999999993</v>
      </c>
      <c r="C949" s="10">
        <f>62.6745 * CHOOSE(CONTROL!$C$15, $E$9, 100%, $G$9) + CHOOSE(CONTROL!$C$38, 0.0347, 0)</f>
        <v>62.709200000000003</v>
      </c>
      <c r="D949" s="10">
        <f>62.6667 * CHOOSE(CONTROL!$C$15, $E$9, 100%, $G$9) + CHOOSE(CONTROL!$C$38, 0.0347, 0)</f>
        <v>62.7014</v>
      </c>
      <c r="E949" s="46">
        <f>67.6549 * CHOOSE(CONTROL!$C$15, $E$9, 100%, $G$9) + CHOOSE(CONTROL!$C$38, 0.0347, 0)</f>
        <v>67.689599999999999</v>
      </c>
      <c r="F949" s="45">
        <f>67.6549 * CHOOSE(CONTROL!$C$15, $E$9, 100%, $G$9) + CHOOSE(CONTROL!$C$38, 0.0256, 0)</f>
        <v>67.680499999999995</v>
      </c>
      <c r="G949" s="10">
        <f>62.6729 * CHOOSE(CONTROL!$C$15, $E$9, 100%, $G$9) + CHOOSE(CONTROL!$C$38, 0.0347, 0)</f>
        <v>62.707599999999999</v>
      </c>
      <c r="H949" s="10">
        <f>62.6729 * CHOOSE(CONTROL!$C$15, $E$9, 100%, $G$9) + CHOOSE(CONTROL!$C$38, 0.0347, 0)</f>
        <v>62.707599999999999</v>
      </c>
      <c r="I949" s="10">
        <f>62.6745 * CHOOSE(CONTROL!$C$15, $E$9, 100%, $G$9) + CHOOSE(CONTROL!$C$38, 0.0347, 0)</f>
        <v>62.709200000000003</v>
      </c>
      <c r="J949" s="44">
        <f>561.4817</f>
        <v>561.48170000000005</v>
      </c>
    </row>
    <row r="950" spans="1:10" ht="15.75" x14ac:dyDescent="0.25">
      <c r="A950" s="13">
        <v>69853</v>
      </c>
      <c r="B950" s="10">
        <f>67.3001 * CHOOSE(CONTROL!$C$15, $E$9, 100%, $G$9) + CHOOSE(CONTROL!$C$38, 0.0256, 0)</f>
        <v>67.325699999999998</v>
      </c>
      <c r="C950" s="10">
        <f>62.1634 * CHOOSE(CONTROL!$C$15, $E$9, 100%, $G$9) + CHOOSE(CONTROL!$C$38, 0.0347, 0)</f>
        <v>62.198100000000004</v>
      </c>
      <c r="D950" s="10">
        <f>62.1556 * CHOOSE(CONTROL!$C$15, $E$9, 100%, $G$9) + CHOOSE(CONTROL!$C$38, 0.0347, 0)</f>
        <v>62.190300000000001</v>
      </c>
      <c r="E950" s="46">
        <f>67.1438 * CHOOSE(CONTROL!$C$15, $E$9, 100%, $G$9) + CHOOSE(CONTROL!$C$38, 0.0347, 0)</f>
        <v>67.1785</v>
      </c>
      <c r="F950" s="45">
        <f>67.1438 * CHOOSE(CONTROL!$C$15, $E$9, 100%, $G$9) + CHOOSE(CONTROL!$C$38, 0.0256, 0)</f>
        <v>67.169399999999996</v>
      </c>
      <c r="G950" s="10">
        <f>62.1619 * CHOOSE(CONTROL!$C$15, $E$9, 100%, $G$9) + CHOOSE(CONTROL!$C$38, 0.0347, 0)</f>
        <v>62.196600000000004</v>
      </c>
      <c r="H950" s="10">
        <f>62.1619 * CHOOSE(CONTROL!$C$15, $E$9, 100%, $G$9) + CHOOSE(CONTROL!$C$38, 0.0347, 0)</f>
        <v>62.196600000000004</v>
      </c>
      <c r="I950" s="10">
        <f>62.1634 * CHOOSE(CONTROL!$C$15, $E$9, 100%, $G$9) + CHOOSE(CONTROL!$C$38, 0.0347, 0)</f>
        <v>62.198100000000004</v>
      </c>
      <c r="J950" s="44">
        <f>591.0751</f>
        <v>591.07510000000002</v>
      </c>
    </row>
    <row r="951" spans="1:10" ht="15.75" x14ac:dyDescent="0.25">
      <c r="A951" s="13">
        <v>69883</v>
      </c>
      <c r="B951" s="10">
        <f>66.8049 * CHOOSE(CONTROL!$C$15, $E$9, 100%, $G$9) + CHOOSE(CONTROL!$C$38, 0.0256, 0)</f>
        <v>66.830500000000001</v>
      </c>
      <c r="C951" s="10">
        <f>61.6683 * CHOOSE(CONTROL!$C$15, $E$9, 100%, $G$9) + CHOOSE(CONTROL!$C$38, 0.0347, 0)</f>
        <v>61.703000000000003</v>
      </c>
      <c r="D951" s="10">
        <f>61.6604 * CHOOSE(CONTROL!$C$15, $E$9, 100%, $G$9) + CHOOSE(CONTROL!$C$38, 0.0347, 0)</f>
        <v>61.695100000000004</v>
      </c>
      <c r="E951" s="46">
        <f>66.6487 * CHOOSE(CONTROL!$C$15, $E$9, 100%, $G$9) + CHOOSE(CONTROL!$C$38, 0.0347, 0)</f>
        <v>66.683400000000006</v>
      </c>
      <c r="F951" s="45">
        <f>66.6487 * CHOOSE(CONTROL!$C$15, $E$9, 100%, $G$9) + CHOOSE(CONTROL!$C$38, 0.0256, 0)</f>
        <v>66.674300000000002</v>
      </c>
      <c r="G951" s="10">
        <f>61.6667 * CHOOSE(CONTROL!$C$15, $E$9, 100%, $G$9) + CHOOSE(CONTROL!$C$38, 0.0347, 0)</f>
        <v>61.7014</v>
      </c>
      <c r="H951" s="10">
        <f>61.6667 * CHOOSE(CONTROL!$C$15, $E$9, 100%, $G$9) + CHOOSE(CONTROL!$C$38, 0.0347, 0)</f>
        <v>61.7014</v>
      </c>
      <c r="I951" s="10">
        <f>61.6683 * CHOOSE(CONTROL!$C$15, $E$9, 100%, $G$9) + CHOOSE(CONTROL!$C$38, 0.0347, 0)</f>
        <v>61.703000000000003</v>
      </c>
      <c r="J951" s="44">
        <f>629.4506</f>
        <v>629.45060000000001</v>
      </c>
    </row>
    <row r="952" spans="1:10" ht="15.75" x14ac:dyDescent="0.25">
      <c r="A952" s="13">
        <v>69914</v>
      </c>
      <c r="B952" s="10">
        <f>66.2888 * CHOOSE(CONTROL!$C$15, $E$9, 100%, $G$9) + CHOOSE(CONTROL!$C$38, 0.0278, 0)</f>
        <v>66.316599999999994</v>
      </c>
      <c r="C952" s="10">
        <f>61.1521 * CHOOSE(CONTROL!$C$15, $E$9, 100%, $G$9) + CHOOSE(CONTROL!$C$38, 0.0369, 0)</f>
        <v>61.189</v>
      </c>
      <c r="D952" s="10">
        <f>61.1443 * CHOOSE(CONTROL!$C$15, $E$9, 100%, $G$9) + CHOOSE(CONTROL!$C$38, 0.0369, 0)</f>
        <v>61.181200000000004</v>
      </c>
      <c r="E952" s="46">
        <f>66.1325 * CHOOSE(CONTROL!$C$15, $E$9, 100%, $G$9) + CHOOSE(CONTROL!$C$38, 0.0369, 0)</f>
        <v>66.169399999999996</v>
      </c>
      <c r="F952" s="45">
        <f>66.1325 * CHOOSE(CONTROL!$C$15, $E$9, 100%, $G$9) + CHOOSE(CONTROL!$C$38, 0.0278, 0)</f>
        <v>66.160299999999992</v>
      </c>
      <c r="G952" s="10">
        <f>61.1506 * CHOOSE(CONTROL!$C$15, $E$9, 100%, $G$9) + CHOOSE(CONTROL!$C$38, 0.0369, 0)</f>
        <v>61.1875</v>
      </c>
      <c r="H952" s="10">
        <f>61.1506 * CHOOSE(CONTROL!$C$15, $E$9, 100%, $G$9) + CHOOSE(CONTROL!$C$38, 0.0369, 0)</f>
        <v>61.1875</v>
      </c>
      <c r="I952" s="10">
        <f>61.1521 * CHOOSE(CONTROL!$C$15, $E$9, 100%, $G$9) + CHOOSE(CONTROL!$C$38, 0.0369, 0)</f>
        <v>61.189</v>
      </c>
      <c r="J952" s="44">
        <f>650.5737</f>
        <v>650.57370000000003</v>
      </c>
    </row>
    <row r="953" spans="1:10" ht="15.75" x14ac:dyDescent="0.25">
      <c r="A953" s="13">
        <v>69944</v>
      </c>
      <c r="B953" s="10">
        <f>65.927 * CHOOSE(CONTROL!$C$15, $E$9, 100%, $G$9) + CHOOSE(CONTROL!$C$38, 0.0278, 0)</f>
        <v>65.954800000000006</v>
      </c>
      <c r="C953" s="10">
        <f>60.7903 * CHOOSE(CONTROL!$C$15, $E$9, 100%, $G$9) + CHOOSE(CONTROL!$C$38, 0.0369, 0)</f>
        <v>60.827200000000005</v>
      </c>
      <c r="D953" s="10">
        <f>60.7825 * CHOOSE(CONTROL!$C$15, $E$9, 100%, $G$9) + CHOOSE(CONTROL!$C$38, 0.0369, 0)</f>
        <v>60.819400000000002</v>
      </c>
      <c r="E953" s="46">
        <f>65.7707 * CHOOSE(CONTROL!$C$15, $E$9, 100%, $G$9) + CHOOSE(CONTROL!$C$38, 0.0369, 0)</f>
        <v>65.807600000000008</v>
      </c>
      <c r="F953" s="45">
        <f>65.7707 * CHOOSE(CONTROL!$C$15, $E$9, 100%, $G$9) + CHOOSE(CONTROL!$C$38, 0.0278, 0)</f>
        <v>65.798500000000004</v>
      </c>
      <c r="G953" s="10">
        <f>60.7887 * CHOOSE(CONTROL!$C$15, $E$9, 100%, $G$9) + CHOOSE(CONTROL!$C$38, 0.0369, 0)</f>
        <v>60.825600000000001</v>
      </c>
      <c r="H953" s="10">
        <f>60.7887 * CHOOSE(CONTROL!$C$15, $E$9, 100%, $G$9) + CHOOSE(CONTROL!$C$38, 0.0369, 0)</f>
        <v>60.825600000000001</v>
      </c>
      <c r="I953" s="10">
        <f>60.7903 * CHOOSE(CONTROL!$C$15, $E$9, 100%, $G$9) + CHOOSE(CONTROL!$C$38, 0.0369, 0)</f>
        <v>60.827200000000005</v>
      </c>
      <c r="J953" s="44">
        <f>659.9477</f>
        <v>659.94770000000005</v>
      </c>
    </row>
    <row r="954" spans="1:10" ht="15.75" x14ac:dyDescent="0.25">
      <c r="A954" s="13">
        <v>69975</v>
      </c>
      <c r="B954" s="10">
        <f>65.7205 * CHOOSE(CONTROL!$C$15, $E$9, 100%, $G$9) + CHOOSE(CONTROL!$C$38, 0.0278, 0)</f>
        <v>65.7483</v>
      </c>
      <c r="C954" s="10">
        <f>60.5838 * CHOOSE(CONTROL!$C$15, $E$9, 100%, $G$9) + CHOOSE(CONTROL!$C$38, 0.0369, 0)</f>
        <v>60.620699999999999</v>
      </c>
      <c r="D954" s="10">
        <f>60.576 * CHOOSE(CONTROL!$C$15, $E$9, 100%, $G$9) + CHOOSE(CONTROL!$C$38, 0.0369, 0)</f>
        <v>60.612900000000003</v>
      </c>
      <c r="E954" s="46">
        <f>65.5642 * CHOOSE(CONTROL!$C$15, $E$9, 100%, $G$9) + CHOOSE(CONTROL!$C$38, 0.0369, 0)</f>
        <v>65.601100000000002</v>
      </c>
      <c r="F954" s="45">
        <f>65.5642 * CHOOSE(CONTROL!$C$15, $E$9, 100%, $G$9) + CHOOSE(CONTROL!$C$38, 0.0278, 0)</f>
        <v>65.591999999999999</v>
      </c>
      <c r="G954" s="10">
        <f>60.5823 * CHOOSE(CONTROL!$C$15, $E$9, 100%, $G$9) + CHOOSE(CONTROL!$C$38, 0.0369, 0)</f>
        <v>60.619199999999999</v>
      </c>
      <c r="H954" s="10">
        <f>60.5823 * CHOOSE(CONTROL!$C$15, $E$9, 100%, $G$9) + CHOOSE(CONTROL!$C$38, 0.0369, 0)</f>
        <v>60.619199999999999</v>
      </c>
      <c r="I954" s="10">
        <f>60.5838 * CHOOSE(CONTROL!$C$15, $E$9, 100%, $G$9) + CHOOSE(CONTROL!$C$38, 0.0369, 0)</f>
        <v>60.620699999999999</v>
      </c>
      <c r="J954" s="44">
        <f>656.8614</f>
        <v>656.8614</v>
      </c>
    </row>
    <row r="955" spans="1:10" ht="15.75" x14ac:dyDescent="0.25">
      <c r="A955" s="13">
        <v>70006</v>
      </c>
      <c r="B955" s="10">
        <f>65.8224 * CHOOSE(CONTROL!$C$15, $E$9, 100%, $G$9) + CHOOSE(CONTROL!$C$38, 0.0278, 0)</f>
        <v>65.850200000000001</v>
      </c>
      <c r="C955" s="10">
        <f>60.6857 * CHOOSE(CONTROL!$C$15, $E$9, 100%, $G$9) + CHOOSE(CONTROL!$C$38, 0.0369, 0)</f>
        <v>60.7226</v>
      </c>
      <c r="D955" s="10">
        <f>60.6779 * CHOOSE(CONTROL!$C$15, $E$9, 100%, $G$9) + CHOOSE(CONTROL!$C$38, 0.0369, 0)</f>
        <v>60.714800000000004</v>
      </c>
      <c r="E955" s="46">
        <f>65.6661 * CHOOSE(CONTROL!$C$15, $E$9, 100%, $G$9) + CHOOSE(CONTROL!$C$38, 0.0369, 0)</f>
        <v>65.703000000000003</v>
      </c>
      <c r="F955" s="45">
        <f>65.6661 * CHOOSE(CONTROL!$C$15, $E$9, 100%, $G$9) + CHOOSE(CONTROL!$C$38, 0.0278, 0)</f>
        <v>65.693899999999999</v>
      </c>
      <c r="G955" s="10">
        <f>60.6842 * CHOOSE(CONTROL!$C$15, $E$9, 100%, $G$9) + CHOOSE(CONTROL!$C$38, 0.0369, 0)</f>
        <v>60.7211</v>
      </c>
      <c r="H955" s="10">
        <f>60.6842 * CHOOSE(CONTROL!$C$15, $E$9, 100%, $G$9) + CHOOSE(CONTROL!$C$38, 0.0369, 0)</f>
        <v>60.7211</v>
      </c>
      <c r="I955" s="10">
        <f>60.6857 * CHOOSE(CONTROL!$C$15, $E$9, 100%, $G$9) + CHOOSE(CONTROL!$C$38, 0.0369, 0)</f>
        <v>60.7226</v>
      </c>
      <c r="J955" s="44">
        <f>641.5699</f>
        <v>641.56989999999996</v>
      </c>
    </row>
    <row r="956" spans="1:10" ht="15.75" x14ac:dyDescent="0.25">
      <c r="A956" s="13">
        <v>70036</v>
      </c>
      <c r="B956" s="10">
        <f>66.0992 * CHOOSE(CONTROL!$C$15, $E$9, 100%, $G$9) + CHOOSE(CONTROL!$C$38, 0.0278, 0)</f>
        <v>66.126999999999995</v>
      </c>
      <c r="C956" s="10">
        <f>60.9625 * CHOOSE(CONTROL!$C$15, $E$9, 100%, $G$9) + CHOOSE(CONTROL!$C$38, 0.0369, 0)</f>
        <v>60.999400000000001</v>
      </c>
      <c r="D956" s="10">
        <f>60.9547 * CHOOSE(CONTROL!$C$15, $E$9, 100%, $G$9) + CHOOSE(CONTROL!$C$38, 0.0369, 0)</f>
        <v>60.991600000000005</v>
      </c>
      <c r="E956" s="46">
        <f>65.9429 * CHOOSE(CONTROL!$C$15, $E$9, 100%, $G$9) + CHOOSE(CONTROL!$C$38, 0.0369, 0)</f>
        <v>65.979799999999997</v>
      </c>
      <c r="F956" s="45">
        <f>65.9429 * CHOOSE(CONTROL!$C$15, $E$9, 100%, $G$9) + CHOOSE(CONTROL!$C$38, 0.0278, 0)</f>
        <v>65.970699999999994</v>
      </c>
      <c r="G956" s="10">
        <f>60.961 * CHOOSE(CONTROL!$C$15, $E$9, 100%, $G$9) + CHOOSE(CONTROL!$C$38, 0.0369, 0)</f>
        <v>60.997900000000001</v>
      </c>
      <c r="H956" s="10">
        <f>60.961 * CHOOSE(CONTROL!$C$15, $E$9, 100%, $G$9) + CHOOSE(CONTROL!$C$38, 0.0369, 0)</f>
        <v>60.997900000000001</v>
      </c>
      <c r="I956" s="10">
        <f>60.9625 * CHOOSE(CONTROL!$C$15, $E$9, 100%, $G$9) + CHOOSE(CONTROL!$C$38, 0.0369, 0)</f>
        <v>60.999400000000001</v>
      </c>
      <c r="J956" s="44">
        <f>620.2452</f>
        <v>620.24519999999995</v>
      </c>
    </row>
    <row r="957" spans="1:10" ht="15.75" x14ac:dyDescent="0.25">
      <c r="A957" s="13">
        <v>70067</v>
      </c>
      <c r="B957" s="10">
        <f>66.331 * CHOOSE(CONTROL!$C$15, $E$9, 100%, $G$9) + CHOOSE(CONTROL!$C$38, 0.0256, 0)</f>
        <v>66.3566</v>
      </c>
      <c r="C957" s="10">
        <f>61.1943 * CHOOSE(CONTROL!$C$15, $E$9, 100%, $G$9) + CHOOSE(CONTROL!$C$38, 0.0347, 0)</f>
        <v>61.228999999999999</v>
      </c>
      <c r="D957" s="10">
        <f>61.1865 * CHOOSE(CONTROL!$C$15, $E$9, 100%, $G$9) + CHOOSE(CONTROL!$C$38, 0.0347, 0)</f>
        <v>61.221200000000003</v>
      </c>
      <c r="E957" s="46">
        <f>66.1747 * CHOOSE(CONTROL!$C$15, $E$9, 100%, $G$9) + CHOOSE(CONTROL!$C$38, 0.0347, 0)</f>
        <v>66.209400000000002</v>
      </c>
      <c r="F957" s="45">
        <f>66.1747 * CHOOSE(CONTROL!$C$15, $E$9, 100%, $G$9) + CHOOSE(CONTROL!$C$38, 0.0256, 0)</f>
        <v>66.200299999999999</v>
      </c>
      <c r="G957" s="10">
        <f>61.1928 * CHOOSE(CONTROL!$C$15, $E$9, 100%, $G$9) + CHOOSE(CONTROL!$C$38, 0.0347, 0)</f>
        <v>61.227499999999999</v>
      </c>
      <c r="H957" s="10">
        <f>61.1928 * CHOOSE(CONTROL!$C$15, $E$9, 100%, $G$9) + CHOOSE(CONTROL!$C$38, 0.0347, 0)</f>
        <v>61.227499999999999</v>
      </c>
      <c r="I957" s="10">
        <f>61.1943 * CHOOSE(CONTROL!$C$15, $E$9, 100%, $G$9) + CHOOSE(CONTROL!$C$38, 0.0347, 0)</f>
        <v>61.228999999999999</v>
      </c>
      <c r="J957" s="44">
        <f>598.7965</f>
        <v>598.79650000000004</v>
      </c>
    </row>
    <row r="958" spans="1:10" ht="15.75" x14ac:dyDescent="0.25">
      <c r="A958" s="13">
        <v>70097</v>
      </c>
      <c r="B958" s="10">
        <f>66.5244 * CHOOSE(CONTROL!$C$15, $E$9, 100%, $G$9) + CHOOSE(CONTROL!$C$38, 0.0256, 0)</f>
        <v>66.55</v>
      </c>
      <c r="C958" s="10">
        <f>61.3878 * CHOOSE(CONTROL!$C$15, $E$9, 100%, $G$9) + CHOOSE(CONTROL!$C$38, 0.0347, 0)</f>
        <v>61.422499999999999</v>
      </c>
      <c r="D958" s="10">
        <f>61.38 * CHOOSE(CONTROL!$C$15, $E$9, 100%, $G$9) + CHOOSE(CONTROL!$C$38, 0.0347, 0)</f>
        <v>61.414700000000003</v>
      </c>
      <c r="E958" s="46">
        <f>66.3682 * CHOOSE(CONTROL!$C$15, $E$9, 100%, $G$9) + CHOOSE(CONTROL!$C$38, 0.0347, 0)</f>
        <v>66.402900000000002</v>
      </c>
      <c r="F958" s="45">
        <f>66.3682 * CHOOSE(CONTROL!$C$15, $E$9, 100%, $G$9) + CHOOSE(CONTROL!$C$38, 0.0256, 0)</f>
        <v>66.393799999999999</v>
      </c>
      <c r="G958" s="10">
        <f>61.3862 * CHOOSE(CONTROL!$C$15, $E$9, 100%, $G$9) + CHOOSE(CONTROL!$C$38, 0.0347, 0)</f>
        <v>61.420900000000003</v>
      </c>
      <c r="H958" s="10">
        <f>61.3862 * CHOOSE(CONTROL!$C$15, $E$9, 100%, $G$9) + CHOOSE(CONTROL!$C$38, 0.0347, 0)</f>
        <v>61.420900000000003</v>
      </c>
      <c r="I958" s="10">
        <f>61.3878 * CHOOSE(CONTROL!$C$15, $E$9, 100%, $G$9) + CHOOSE(CONTROL!$C$38, 0.0347, 0)</f>
        <v>61.422499999999999</v>
      </c>
      <c r="J958" s="44">
        <f>594.5299</f>
        <v>594.5299</v>
      </c>
    </row>
    <row r="959" spans="1:10" ht="15.75" x14ac:dyDescent="0.25">
      <c r="A959" s="13">
        <v>70128</v>
      </c>
      <c r="B959" s="10">
        <f>67.1205 * CHOOSE(CONTROL!$C$15, $E$9, 100%, $G$9) + CHOOSE(CONTROL!$C$38, 0.0256, 0)</f>
        <v>67.146100000000004</v>
      </c>
      <c r="C959" s="10">
        <f>61.9839 * CHOOSE(CONTROL!$C$15, $E$9, 100%, $G$9) + CHOOSE(CONTROL!$C$38, 0.0347, 0)</f>
        <v>62.018599999999999</v>
      </c>
      <c r="D959" s="10">
        <f>61.976 * CHOOSE(CONTROL!$C$15, $E$9, 100%, $G$9) + CHOOSE(CONTROL!$C$38, 0.0347, 0)</f>
        <v>62.0107</v>
      </c>
      <c r="E959" s="46">
        <f>66.9643 * CHOOSE(CONTROL!$C$15, $E$9, 100%, $G$9) + CHOOSE(CONTROL!$C$38, 0.0347, 0)</f>
        <v>66.998999999999995</v>
      </c>
      <c r="F959" s="45">
        <f>66.9643 * CHOOSE(CONTROL!$C$15, $E$9, 100%, $G$9) + CHOOSE(CONTROL!$C$38, 0.0256, 0)</f>
        <v>66.989899999999992</v>
      </c>
      <c r="G959" s="10">
        <f>61.9823 * CHOOSE(CONTROL!$C$15, $E$9, 100%, $G$9) + CHOOSE(CONTROL!$C$38, 0.0347, 0)</f>
        <v>62.017000000000003</v>
      </c>
      <c r="H959" s="10">
        <f>61.9823 * CHOOSE(CONTROL!$C$15, $E$9, 100%, $G$9) + CHOOSE(CONTROL!$C$38, 0.0347, 0)</f>
        <v>62.017000000000003</v>
      </c>
      <c r="I959" s="10">
        <f>61.9839 * CHOOSE(CONTROL!$C$15, $E$9, 100%, $G$9) + CHOOSE(CONTROL!$C$38, 0.0347, 0)</f>
        <v>62.018599999999999</v>
      </c>
      <c r="J959" s="44">
        <f>576.8872</f>
        <v>576.88720000000001</v>
      </c>
    </row>
    <row r="960" spans="1:10" ht="15.75" x14ac:dyDescent="0.25">
      <c r="A960" s="13">
        <v>70159</v>
      </c>
      <c r="B960" s="10">
        <f>68.6723 * CHOOSE(CONTROL!$C$15, $E$9, 100%, $G$9) + CHOOSE(CONTROL!$C$38, 0.0256, 0)</f>
        <v>68.697900000000004</v>
      </c>
      <c r="C960" s="10">
        <f>63.454 * CHOOSE(CONTROL!$C$15, $E$9, 100%, $G$9) + CHOOSE(CONTROL!$C$38, 0.0347, 0)</f>
        <v>63.488700000000001</v>
      </c>
      <c r="D960" s="10">
        <f>63.4462 * CHOOSE(CONTROL!$C$15, $E$9, 100%, $G$9) + CHOOSE(CONTROL!$C$38, 0.0347, 0)</f>
        <v>63.480899999999998</v>
      </c>
      <c r="E960" s="46">
        <f>68.5161 * CHOOSE(CONTROL!$C$15, $E$9, 100%, $G$9) + CHOOSE(CONTROL!$C$38, 0.0347, 0)</f>
        <v>68.550799999999995</v>
      </c>
      <c r="F960" s="45">
        <f>68.5161 * CHOOSE(CONTROL!$C$15, $E$9, 100%, $G$9) + CHOOSE(CONTROL!$C$38, 0.0256, 0)</f>
        <v>68.541699999999992</v>
      </c>
      <c r="G960" s="10">
        <f>63.4525 * CHOOSE(CONTROL!$C$15, $E$9, 100%, $G$9) + CHOOSE(CONTROL!$C$38, 0.0347, 0)</f>
        <v>63.487200000000001</v>
      </c>
      <c r="H960" s="10">
        <f>63.4525 * CHOOSE(CONTROL!$C$15, $E$9, 100%, $G$9) + CHOOSE(CONTROL!$C$38, 0.0347, 0)</f>
        <v>63.487200000000001</v>
      </c>
      <c r="I960" s="10">
        <f>63.454 * CHOOSE(CONTROL!$C$15, $E$9, 100%, $G$9) + CHOOSE(CONTROL!$C$38, 0.0347, 0)</f>
        <v>63.488700000000001</v>
      </c>
      <c r="J960" s="44">
        <f>575.7855</f>
        <v>575.78549999999996</v>
      </c>
    </row>
    <row r="961" spans="1:10" ht="15.75" x14ac:dyDescent="0.25">
      <c r="A961" s="13">
        <v>70188</v>
      </c>
      <c r="B961" s="10">
        <f>68.8931 * CHOOSE(CONTROL!$C$15, $E$9, 100%, $G$9) + CHOOSE(CONTROL!$C$38, 0.0256, 0)</f>
        <v>68.918700000000001</v>
      </c>
      <c r="C961" s="10">
        <f>63.6748 * CHOOSE(CONTROL!$C$15, $E$9, 100%, $G$9) + CHOOSE(CONTROL!$C$38, 0.0347, 0)</f>
        <v>63.709499999999998</v>
      </c>
      <c r="D961" s="10">
        <f>63.667 * CHOOSE(CONTROL!$C$15, $E$9, 100%, $G$9) + CHOOSE(CONTROL!$C$38, 0.0347, 0)</f>
        <v>63.701700000000002</v>
      </c>
      <c r="E961" s="46">
        <f>68.7369 * CHOOSE(CONTROL!$C$15, $E$9, 100%, $G$9) + CHOOSE(CONTROL!$C$38, 0.0347, 0)</f>
        <v>68.771600000000007</v>
      </c>
      <c r="F961" s="45">
        <f>68.7369 * CHOOSE(CONTROL!$C$15, $E$9, 100%, $G$9) + CHOOSE(CONTROL!$C$38, 0.0256, 0)</f>
        <v>68.762500000000003</v>
      </c>
      <c r="G961" s="10">
        <f>63.6732 * CHOOSE(CONTROL!$C$15, $E$9, 100%, $G$9) + CHOOSE(CONTROL!$C$38, 0.0347, 0)</f>
        <v>63.707900000000002</v>
      </c>
      <c r="H961" s="10">
        <f>63.6732 * CHOOSE(CONTROL!$C$15, $E$9, 100%, $G$9) + CHOOSE(CONTROL!$C$38, 0.0347, 0)</f>
        <v>63.707900000000002</v>
      </c>
      <c r="I961" s="10">
        <f>63.6748 * CHOOSE(CONTROL!$C$15, $E$9, 100%, $G$9) + CHOOSE(CONTROL!$C$38, 0.0347, 0)</f>
        <v>63.709499999999998</v>
      </c>
      <c r="J961" s="44">
        <f>574.185</f>
        <v>574.18499999999995</v>
      </c>
    </row>
    <row r="962" spans="1:10" ht="15.75" x14ac:dyDescent="0.25">
      <c r="A962" s="13">
        <v>70219</v>
      </c>
      <c r="B962" s="10">
        <f>68.3821 * CHOOSE(CONTROL!$C$15, $E$9, 100%, $G$9) + CHOOSE(CONTROL!$C$38, 0.0256, 0)</f>
        <v>68.407699999999991</v>
      </c>
      <c r="C962" s="10">
        <f>63.1638 * CHOOSE(CONTROL!$C$15, $E$9, 100%, $G$9) + CHOOSE(CONTROL!$C$38, 0.0347, 0)</f>
        <v>63.198500000000003</v>
      </c>
      <c r="D962" s="10">
        <f>63.156 * CHOOSE(CONTROL!$C$15, $E$9, 100%, $G$9) + CHOOSE(CONTROL!$C$38, 0.0347, 0)</f>
        <v>63.1907</v>
      </c>
      <c r="E962" s="46">
        <f>68.2258 * CHOOSE(CONTROL!$C$15, $E$9, 100%, $G$9) + CHOOSE(CONTROL!$C$38, 0.0347, 0)</f>
        <v>68.260500000000008</v>
      </c>
      <c r="F962" s="45">
        <f>68.2258 * CHOOSE(CONTROL!$C$15, $E$9, 100%, $G$9) + CHOOSE(CONTROL!$C$38, 0.0256, 0)</f>
        <v>68.251400000000004</v>
      </c>
      <c r="G962" s="10">
        <f>63.1622 * CHOOSE(CONTROL!$C$15, $E$9, 100%, $G$9) + CHOOSE(CONTROL!$C$38, 0.0347, 0)</f>
        <v>63.196899999999999</v>
      </c>
      <c r="H962" s="10">
        <f>63.1622 * CHOOSE(CONTROL!$C$15, $E$9, 100%, $G$9) + CHOOSE(CONTROL!$C$38, 0.0347, 0)</f>
        <v>63.196899999999999</v>
      </c>
      <c r="I962" s="10">
        <f>63.1638 * CHOOSE(CONTROL!$C$15, $E$9, 100%, $G$9) + CHOOSE(CONTROL!$C$38, 0.0347, 0)</f>
        <v>63.198500000000003</v>
      </c>
      <c r="J962" s="44">
        <f>604.4479</f>
        <v>604.4479</v>
      </c>
    </row>
    <row r="963" spans="1:10" ht="15.75" x14ac:dyDescent="0.25">
      <c r="A963" s="13">
        <v>70249</v>
      </c>
      <c r="B963" s="10">
        <f>67.8869 * CHOOSE(CONTROL!$C$15, $E$9, 100%, $G$9) + CHOOSE(CONTROL!$C$38, 0.0256, 0)</f>
        <v>67.912499999999994</v>
      </c>
      <c r="C963" s="10">
        <f>62.6686 * CHOOSE(CONTROL!$C$15, $E$9, 100%, $G$9) + CHOOSE(CONTROL!$C$38, 0.0347, 0)</f>
        <v>62.703299999999999</v>
      </c>
      <c r="D963" s="10">
        <f>62.6608 * CHOOSE(CONTROL!$C$15, $E$9, 100%, $G$9) + CHOOSE(CONTROL!$C$38, 0.0347, 0)</f>
        <v>62.695500000000003</v>
      </c>
      <c r="E963" s="46">
        <f>67.7306 * CHOOSE(CONTROL!$C$15, $E$9, 100%, $G$9) + CHOOSE(CONTROL!$C$38, 0.0347, 0)</f>
        <v>67.765299999999996</v>
      </c>
      <c r="F963" s="45">
        <f>67.7306 * CHOOSE(CONTROL!$C$15, $E$9, 100%, $G$9) + CHOOSE(CONTROL!$C$38, 0.0256, 0)</f>
        <v>67.756199999999993</v>
      </c>
      <c r="G963" s="10">
        <f>62.667 * CHOOSE(CONTROL!$C$15, $E$9, 100%, $G$9) + CHOOSE(CONTROL!$C$38, 0.0347, 0)</f>
        <v>62.701700000000002</v>
      </c>
      <c r="H963" s="10">
        <f>62.667 * CHOOSE(CONTROL!$C$15, $E$9, 100%, $G$9) + CHOOSE(CONTROL!$C$38, 0.0347, 0)</f>
        <v>62.701700000000002</v>
      </c>
      <c r="I963" s="10">
        <f>62.6686 * CHOOSE(CONTROL!$C$15, $E$9, 100%, $G$9) + CHOOSE(CONTROL!$C$38, 0.0347, 0)</f>
        <v>62.703299999999999</v>
      </c>
      <c r="J963" s="44">
        <f>643.6916</f>
        <v>643.69159999999999</v>
      </c>
    </row>
    <row r="964" spans="1:10" ht="15.75" x14ac:dyDescent="0.25">
      <c r="A964" s="13">
        <v>70280</v>
      </c>
      <c r="B964" s="10">
        <f>67.3708 * CHOOSE(CONTROL!$C$15, $E$9, 100%, $G$9) + CHOOSE(CONTROL!$C$38, 0.0278, 0)</f>
        <v>67.398600000000002</v>
      </c>
      <c r="C964" s="10">
        <f>62.1525 * CHOOSE(CONTROL!$C$15, $E$9, 100%, $G$9) + CHOOSE(CONTROL!$C$38, 0.0369, 0)</f>
        <v>62.189400000000006</v>
      </c>
      <c r="D964" s="10">
        <f>62.1447 * CHOOSE(CONTROL!$C$15, $E$9, 100%, $G$9) + CHOOSE(CONTROL!$C$38, 0.0369, 0)</f>
        <v>62.181600000000003</v>
      </c>
      <c r="E964" s="46">
        <f>67.2145 * CHOOSE(CONTROL!$C$15, $E$9, 100%, $G$9) + CHOOSE(CONTROL!$C$38, 0.0369, 0)</f>
        <v>67.251400000000004</v>
      </c>
      <c r="F964" s="45">
        <f>67.2145 * CHOOSE(CONTROL!$C$15, $E$9, 100%, $G$9) + CHOOSE(CONTROL!$C$38, 0.0278, 0)</f>
        <v>67.2423</v>
      </c>
      <c r="G964" s="10">
        <f>62.1509 * CHOOSE(CONTROL!$C$15, $E$9, 100%, $G$9) + CHOOSE(CONTROL!$C$38, 0.0369, 0)</f>
        <v>62.187800000000003</v>
      </c>
      <c r="H964" s="10">
        <f>62.1509 * CHOOSE(CONTROL!$C$15, $E$9, 100%, $G$9) + CHOOSE(CONTROL!$C$38, 0.0369, 0)</f>
        <v>62.187800000000003</v>
      </c>
      <c r="I964" s="10">
        <f>62.1525 * CHOOSE(CONTROL!$C$15, $E$9, 100%, $G$9) + CHOOSE(CONTROL!$C$38, 0.0369, 0)</f>
        <v>62.189400000000006</v>
      </c>
      <c r="J964" s="44">
        <f>665.2926</f>
        <v>665.29259999999999</v>
      </c>
    </row>
    <row r="965" spans="1:10" ht="15.75" x14ac:dyDescent="0.25">
      <c r="A965" s="13">
        <v>70310</v>
      </c>
      <c r="B965" s="10">
        <f>67.0089 * CHOOSE(CONTROL!$C$15, $E$9, 100%, $G$9) + CHOOSE(CONTROL!$C$38, 0.0278, 0)</f>
        <v>67.036699999999996</v>
      </c>
      <c r="C965" s="10">
        <f>61.7906 * CHOOSE(CONTROL!$C$15, $E$9, 100%, $G$9) + CHOOSE(CONTROL!$C$38, 0.0369, 0)</f>
        <v>61.827500000000001</v>
      </c>
      <c r="D965" s="10">
        <f>61.7828 * CHOOSE(CONTROL!$C$15, $E$9, 100%, $G$9) + CHOOSE(CONTROL!$C$38, 0.0369, 0)</f>
        <v>61.819700000000005</v>
      </c>
      <c r="E965" s="46">
        <f>66.8527 * CHOOSE(CONTROL!$C$15, $E$9, 100%, $G$9) + CHOOSE(CONTROL!$C$38, 0.0369, 0)</f>
        <v>66.889600000000002</v>
      </c>
      <c r="F965" s="45">
        <f>66.8527 * CHOOSE(CONTROL!$C$15, $E$9, 100%, $G$9) + CHOOSE(CONTROL!$C$38, 0.0278, 0)</f>
        <v>66.880499999999998</v>
      </c>
      <c r="G965" s="10">
        <f>61.7891 * CHOOSE(CONTROL!$C$15, $E$9, 100%, $G$9) + CHOOSE(CONTROL!$C$38, 0.0369, 0)</f>
        <v>61.826000000000001</v>
      </c>
      <c r="H965" s="10">
        <f>61.7891 * CHOOSE(CONTROL!$C$15, $E$9, 100%, $G$9) + CHOOSE(CONTROL!$C$38, 0.0369, 0)</f>
        <v>61.826000000000001</v>
      </c>
      <c r="I965" s="10">
        <f>61.7906 * CHOOSE(CONTROL!$C$15, $E$9, 100%, $G$9) + CHOOSE(CONTROL!$C$38, 0.0369, 0)</f>
        <v>61.827500000000001</v>
      </c>
      <c r="J965" s="44">
        <f>674.8787</f>
        <v>674.87869999999998</v>
      </c>
    </row>
    <row r="966" spans="1:10" ht="15.75" x14ac:dyDescent="0.25">
      <c r="A966" s="13">
        <v>70341</v>
      </c>
      <c r="B966" s="10">
        <f>66.8025 * CHOOSE(CONTROL!$C$15, $E$9, 100%, $G$9) + CHOOSE(CONTROL!$C$38, 0.0278, 0)</f>
        <v>66.830299999999994</v>
      </c>
      <c r="C966" s="10">
        <f>61.5842 * CHOOSE(CONTROL!$C$15, $E$9, 100%, $G$9) + CHOOSE(CONTROL!$C$38, 0.0369, 0)</f>
        <v>61.621100000000006</v>
      </c>
      <c r="D966" s="10">
        <f>61.5763 * CHOOSE(CONTROL!$C$15, $E$9, 100%, $G$9) + CHOOSE(CONTROL!$C$38, 0.0369, 0)</f>
        <v>61.613200000000006</v>
      </c>
      <c r="E966" s="46">
        <f>66.6462 * CHOOSE(CONTROL!$C$15, $E$9, 100%, $G$9) + CHOOSE(CONTROL!$C$38, 0.0369, 0)</f>
        <v>66.683099999999996</v>
      </c>
      <c r="F966" s="45">
        <f>66.6462 * CHOOSE(CONTROL!$C$15, $E$9, 100%, $G$9) + CHOOSE(CONTROL!$C$38, 0.0278, 0)</f>
        <v>66.673999999999992</v>
      </c>
      <c r="G966" s="10">
        <f>61.5826 * CHOOSE(CONTROL!$C$15, $E$9, 100%, $G$9) + CHOOSE(CONTROL!$C$38, 0.0369, 0)</f>
        <v>61.619500000000002</v>
      </c>
      <c r="H966" s="10">
        <f>61.5826 * CHOOSE(CONTROL!$C$15, $E$9, 100%, $G$9) + CHOOSE(CONTROL!$C$38, 0.0369, 0)</f>
        <v>61.619500000000002</v>
      </c>
      <c r="I966" s="10">
        <f>61.5842 * CHOOSE(CONTROL!$C$15, $E$9, 100%, $G$9) + CHOOSE(CONTROL!$C$38, 0.0369, 0)</f>
        <v>61.621100000000006</v>
      </c>
      <c r="J966" s="44">
        <f>671.7225</f>
        <v>671.72249999999997</v>
      </c>
    </row>
    <row r="967" spans="1:10" ht="15.75" x14ac:dyDescent="0.25">
      <c r="A967" s="13">
        <v>70372</v>
      </c>
      <c r="B967" s="10">
        <f>66.9044 * CHOOSE(CONTROL!$C$15, $E$9, 100%, $G$9) + CHOOSE(CONTROL!$C$38, 0.0278, 0)</f>
        <v>66.932199999999995</v>
      </c>
      <c r="C967" s="10">
        <f>61.6861 * CHOOSE(CONTROL!$C$15, $E$9, 100%, $G$9) + CHOOSE(CONTROL!$C$38, 0.0369, 0)</f>
        <v>61.723000000000006</v>
      </c>
      <c r="D967" s="10">
        <f>61.6783 * CHOOSE(CONTROL!$C$15, $E$9, 100%, $G$9) + CHOOSE(CONTROL!$C$38, 0.0369, 0)</f>
        <v>61.715200000000003</v>
      </c>
      <c r="E967" s="46">
        <f>66.7481 * CHOOSE(CONTROL!$C$15, $E$9, 100%, $G$9) + CHOOSE(CONTROL!$C$38, 0.0369, 0)</f>
        <v>66.784999999999997</v>
      </c>
      <c r="F967" s="45">
        <f>66.7481 * CHOOSE(CONTROL!$C$15, $E$9, 100%, $G$9) + CHOOSE(CONTROL!$C$38, 0.0278, 0)</f>
        <v>66.775899999999993</v>
      </c>
      <c r="G967" s="10">
        <f>61.6845 * CHOOSE(CONTROL!$C$15, $E$9, 100%, $G$9) + CHOOSE(CONTROL!$C$38, 0.0369, 0)</f>
        <v>61.721400000000003</v>
      </c>
      <c r="H967" s="10">
        <f>61.6845 * CHOOSE(CONTROL!$C$15, $E$9, 100%, $G$9) + CHOOSE(CONTROL!$C$38, 0.0369, 0)</f>
        <v>61.721400000000003</v>
      </c>
      <c r="I967" s="10">
        <f>61.6861 * CHOOSE(CONTROL!$C$15, $E$9, 100%, $G$9) + CHOOSE(CONTROL!$C$38, 0.0369, 0)</f>
        <v>61.723000000000006</v>
      </c>
      <c r="J967" s="44">
        <f>656.0851</f>
        <v>656.08510000000001</v>
      </c>
    </row>
    <row r="968" spans="1:10" ht="15.75" x14ac:dyDescent="0.25">
      <c r="A968" s="13">
        <v>70402</v>
      </c>
      <c r="B968" s="10">
        <f>67.1812 * CHOOSE(CONTROL!$C$15, $E$9, 100%, $G$9) + CHOOSE(CONTROL!$C$38, 0.0278, 0)</f>
        <v>67.209000000000003</v>
      </c>
      <c r="C968" s="10">
        <f>61.9629 * CHOOSE(CONTROL!$C$15, $E$9, 100%, $G$9) + CHOOSE(CONTROL!$C$38, 0.0369, 0)</f>
        <v>61.9998</v>
      </c>
      <c r="D968" s="10">
        <f>61.9551 * CHOOSE(CONTROL!$C$15, $E$9, 100%, $G$9) + CHOOSE(CONTROL!$C$38, 0.0369, 0)</f>
        <v>61.992000000000004</v>
      </c>
      <c r="E968" s="46">
        <f>67.0249 * CHOOSE(CONTROL!$C$15, $E$9, 100%, $G$9) + CHOOSE(CONTROL!$C$38, 0.0369, 0)</f>
        <v>67.061800000000005</v>
      </c>
      <c r="F968" s="45">
        <f>67.0249 * CHOOSE(CONTROL!$C$15, $E$9, 100%, $G$9) + CHOOSE(CONTROL!$C$38, 0.0278, 0)</f>
        <v>67.052700000000002</v>
      </c>
      <c r="G968" s="10">
        <f>61.9613 * CHOOSE(CONTROL!$C$15, $E$9, 100%, $G$9) + CHOOSE(CONTROL!$C$38, 0.0369, 0)</f>
        <v>61.998200000000004</v>
      </c>
      <c r="H968" s="10">
        <f>61.9613 * CHOOSE(CONTROL!$C$15, $E$9, 100%, $G$9) + CHOOSE(CONTROL!$C$38, 0.0369, 0)</f>
        <v>61.998200000000004</v>
      </c>
      <c r="I968" s="10">
        <f>61.9629 * CHOOSE(CONTROL!$C$15, $E$9, 100%, $G$9) + CHOOSE(CONTROL!$C$38, 0.0369, 0)</f>
        <v>61.9998</v>
      </c>
      <c r="J968" s="44">
        <f>634.278</f>
        <v>634.27800000000002</v>
      </c>
    </row>
    <row r="969" spans="1:10" ht="15.75" x14ac:dyDescent="0.25">
      <c r="A969" s="13">
        <v>70433</v>
      </c>
      <c r="B969" s="10">
        <f>67.413 * CHOOSE(CONTROL!$C$15, $E$9, 100%, $G$9) + CHOOSE(CONTROL!$C$38, 0.0256, 0)</f>
        <v>67.438599999999994</v>
      </c>
      <c r="C969" s="10">
        <f>62.1947 * CHOOSE(CONTROL!$C$15, $E$9, 100%, $G$9) + CHOOSE(CONTROL!$C$38, 0.0347, 0)</f>
        <v>62.229399999999998</v>
      </c>
      <c r="D969" s="10">
        <f>62.1869 * CHOOSE(CONTROL!$C$15, $E$9, 100%, $G$9) + CHOOSE(CONTROL!$C$38, 0.0347, 0)</f>
        <v>62.221600000000002</v>
      </c>
      <c r="E969" s="46">
        <f>67.2567 * CHOOSE(CONTROL!$C$15, $E$9, 100%, $G$9) + CHOOSE(CONTROL!$C$38, 0.0347, 0)</f>
        <v>67.291399999999996</v>
      </c>
      <c r="F969" s="45">
        <f>67.2567 * CHOOSE(CONTROL!$C$15, $E$9, 100%, $G$9) + CHOOSE(CONTROL!$C$38, 0.0256, 0)</f>
        <v>67.282299999999992</v>
      </c>
      <c r="G969" s="10">
        <f>62.1931 * CHOOSE(CONTROL!$C$15, $E$9, 100%, $G$9) + CHOOSE(CONTROL!$C$38, 0.0347, 0)</f>
        <v>62.227800000000002</v>
      </c>
      <c r="H969" s="10">
        <f>62.1931 * CHOOSE(CONTROL!$C$15, $E$9, 100%, $G$9) + CHOOSE(CONTROL!$C$38, 0.0347, 0)</f>
        <v>62.227800000000002</v>
      </c>
      <c r="I969" s="10">
        <f>62.1947 * CHOOSE(CONTROL!$C$15, $E$9, 100%, $G$9) + CHOOSE(CONTROL!$C$38, 0.0347, 0)</f>
        <v>62.229399999999998</v>
      </c>
      <c r="J969" s="44">
        <f>612.344</f>
        <v>612.34400000000005</v>
      </c>
    </row>
    <row r="970" spans="1:10" ht="15.75" x14ac:dyDescent="0.25">
      <c r="A970" s="13">
        <v>70463</v>
      </c>
      <c r="B970" s="10">
        <f>67.6064 * CHOOSE(CONTROL!$C$15, $E$9, 100%, $G$9) + CHOOSE(CONTROL!$C$38, 0.0256, 0)</f>
        <v>67.631999999999991</v>
      </c>
      <c r="C970" s="10">
        <f>62.3881 * CHOOSE(CONTROL!$C$15, $E$9, 100%, $G$9) + CHOOSE(CONTROL!$C$38, 0.0347, 0)</f>
        <v>62.422800000000002</v>
      </c>
      <c r="D970" s="10">
        <f>62.3803 * CHOOSE(CONTROL!$C$15, $E$9, 100%, $G$9) + CHOOSE(CONTROL!$C$38, 0.0347, 0)</f>
        <v>62.414999999999999</v>
      </c>
      <c r="E970" s="46">
        <f>67.4502 * CHOOSE(CONTROL!$C$15, $E$9, 100%, $G$9) + CHOOSE(CONTROL!$C$38, 0.0347, 0)</f>
        <v>67.484899999999996</v>
      </c>
      <c r="F970" s="45">
        <f>67.4502 * CHOOSE(CONTROL!$C$15, $E$9, 100%, $G$9) + CHOOSE(CONTROL!$C$38, 0.0256, 0)</f>
        <v>67.475799999999992</v>
      </c>
      <c r="G970" s="10">
        <f>62.3866 * CHOOSE(CONTROL!$C$15, $E$9, 100%, $G$9) + CHOOSE(CONTROL!$C$38, 0.0347, 0)</f>
        <v>62.421300000000002</v>
      </c>
      <c r="H970" s="10">
        <f>62.3866 * CHOOSE(CONTROL!$C$15, $E$9, 100%, $G$9) + CHOOSE(CONTROL!$C$38, 0.0347, 0)</f>
        <v>62.421300000000002</v>
      </c>
      <c r="I970" s="10">
        <f>62.3881 * CHOOSE(CONTROL!$C$15, $E$9, 100%, $G$9) + CHOOSE(CONTROL!$C$38, 0.0347, 0)</f>
        <v>62.422800000000002</v>
      </c>
      <c r="J970" s="44">
        <f>607.9809</f>
        <v>607.98090000000002</v>
      </c>
    </row>
    <row r="971" spans="1:10" ht="15.75" x14ac:dyDescent="0.25">
      <c r="A971" s="13">
        <v>70494</v>
      </c>
      <c r="B971" s="10">
        <f>68.2025 * CHOOSE(CONTROL!$C$15, $E$9, 100%, $G$9) + CHOOSE(CONTROL!$C$38, 0.0256, 0)</f>
        <v>68.228099999999998</v>
      </c>
      <c r="C971" s="10">
        <f>62.9842 * CHOOSE(CONTROL!$C$15, $E$9, 100%, $G$9) + CHOOSE(CONTROL!$C$38, 0.0347, 0)</f>
        <v>63.018900000000002</v>
      </c>
      <c r="D971" s="10">
        <f>62.9764 * CHOOSE(CONTROL!$C$15, $E$9, 100%, $G$9) + CHOOSE(CONTROL!$C$38, 0.0347, 0)</f>
        <v>63.011099999999999</v>
      </c>
      <c r="E971" s="46">
        <f>68.0462 * CHOOSE(CONTROL!$C$15, $E$9, 100%, $G$9) + CHOOSE(CONTROL!$C$38, 0.0347, 0)</f>
        <v>68.0809</v>
      </c>
      <c r="F971" s="45">
        <f>68.0462 * CHOOSE(CONTROL!$C$15, $E$9, 100%, $G$9) + CHOOSE(CONTROL!$C$38, 0.0256, 0)</f>
        <v>68.071799999999996</v>
      </c>
      <c r="G971" s="10">
        <f>62.9826 * CHOOSE(CONTROL!$C$15, $E$9, 100%, $G$9) + CHOOSE(CONTROL!$C$38, 0.0347, 0)</f>
        <v>63.017299999999999</v>
      </c>
      <c r="H971" s="10">
        <f>62.9826 * CHOOSE(CONTROL!$C$15, $E$9, 100%, $G$9) + CHOOSE(CONTROL!$C$38, 0.0347, 0)</f>
        <v>63.017299999999999</v>
      </c>
      <c r="I971" s="10">
        <f>62.9842 * CHOOSE(CONTROL!$C$15, $E$9, 100%, $G$9) + CHOOSE(CONTROL!$C$38, 0.0347, 0)</f>
        <v>63.018900000000002</v>
      </c>
      <c r="J971" s="44">
        <f>589.939</f>
        <v>589.93899999999996</v>
      </c>
    </row>
    <row r="972" spans="1:10" ht="15.75" x14ac:dyDescent="0.25">
      <c r="A972" s="13">
        <v>70525</v>
      </c>
      <c r="B972" s="10">
        <f>69.7721 * CHOOSE(CONTROL!$C$15, $E$9, 100%, $G$9) + CHOOSE(CONTROL!$C$38, 0.0256, 0)</f>
        <v>69.797699999999992</v>
      </c>
      <c r="C972" s="10">
        <f>64.4708 * CHOOSE(CONTROL!$C$15, $E$9, 100%, $G$9) + CHOOSE(CONTROL!$C$38, 0.0347, 0)</f>
        <v>64.505499999999998</v>
      </c>
      <c r="D972" s="10">
        <f>64.463 * CHOOSE(CONTROL!$C$15, $E$9, 100%, $G$9) + CHOOSE(CONTROL!$C$38, 0.0347, 0)</f>
        <v>64.497699999999995</v>
      </c>
      <c r="E972" s="46">
        <f>69.6158 * CHOOSE(CONTROL!$C$15, $E$9, 100%, $G$9) + CHOOSE(CONTROL!$C$38, 0.0347, 0)</f>
        <v>69.650499999999994</v>
      </c>
      <c r="F972" s="45">
        <f>69.6158 * CHOOSE(CONTROL!$C$15, $E$9, 100%, $G$9) + CHOOSE(CONTROL!$C$38, 0.0256, 0)</f>
        <v>69.64139999999999</v>
      </c>
      <c r="G972" s="10">
        <f>64.4692 * CHOOSE(CONTROL!$C$15, $E$9, 100%, $G$9) + CHOOSE(CONTROL!$C$38, 0.0347, 0)</f>
        <v>64.503900000000002</v>
      </c>
      <c r="H972" s="10">
        <f>64.4692 * CHOOSE(CONTROL!$C$15, $E$9, 100%, $G$9) + CHOOSE(CONTROL!$C$38, 0.0347, 0)</f>
        <v>64.503900000000002</v>
      </c>
      <c r="I972" s="10">
        <f>64.4708 * CHOOSE(CONTROL!$C$15, $E$9, 100%, $G$9) + CHOOSE(CONTROL!$C$38, 0.0347, 0)</f>
        <v>64.505499999999998</v>
      </c>
      <c r="J972" s="44">
        <f>588.8123</f>
        <v>588.81230000000005</v>
      </c>
    </row>
    <row r="973" spans="1:10" ht="15.75" x14ac:dyDescent="0.25">
      <c r="A973" s="13">
        <v>70553</v>
      </c>
      <c r="B973" s="10">
        <f>69.9928 * CHOOSE(CONTROL!$C$15, $E$9, 100%, $G$9) + CHOOSE(CONTROL!$C$38, 0.0256, 0)</f>
        <v>70.0184</v>
      </c>
      <c r="C973" s="10">
        <f>64.6915 * CHOOSE(CONTROL!$C$15, $E$9, 100%, $G$9) + CHOOSE(CONTROL!$C$38, 0.0347, 0)</f>
        <v>64.726200000000006</v>
      </c>
      <c r="D973" s="10">
        <f>64.6837 * CHOOSE(CONTROL!$C$15, $E$9, 100%, $G$9) + CHOOSE(CONTROL!$C$38, 0.0347, 0)</f>
        <v>64.718400000000003</v>
      </c>
      <c r="E973" s="46">
        <f>69.8366 * CHOOSE(CONTROL!$C$15, $E$9, 100%, $G$9) + CHOOSE(CONTROL!$C$38, 0.0347, 0)</f>
        <v>69.871300000000005</v>
      </c>
      <c r="F973" s="45">
        <f>69.8366 * CHOOSE(CONTROL!$C$15, $E$9, 100%, $G$9) + CHOOSE(CONTROL!$C$38, 0.0256, 0)</f>
        <v>69.862200000000001</v>
      </c>
      <c r="G973" s="10">
        <f>64.69 * CHOOSE(CONTROL!$C$15, $E$9, 100%, $G$9) + CHOOSE(CONTROL!$C$38, 0.0347, 0)</f>
        <v>64.724699999999999</v>
      </c>
      <c r="H973" s="10">
        <f>64.69 * CHOOSE(CONTROL!$C$15, $E$9, 100%, $G$9) + CHOOSE(CONTROL!$C$38, 0.0347, 0)</f>
        <v>64.724699999999999</v>
      </c>
      <c r="I973" s="10">
        <f>64.6915 * CHOOSE(CONTROL!$C$15, $E$9, 100%, $G$9) + CHOOSE(CONTROL!$C$38, 0.0347, 0)</f>
        <v>64.726200000000006</v>
      </c>
      <c r="J973" s="44">
        <f>587.1756</f>
        <v>587.17560000000003</v>
      </c>
    </row>
    <row r="974" spans="1:10" ht="15.75" x14ac:dyDescent="0.25">
      <c r="A974" s="13">
        <v>70584</v>
      </c>
      <c r="B974" s="10">
        <f>69.4818 * CHOOSE(CONTROL!$C$15, $E$9, 100%, $G$9) + CHOOSE(CONTROL!$C$38, 0.0256, 0)</f>
        <v>69.507400000000004</v>
      </c>
      <c r="C974" s="10">
        <f>64.1805 * CHOOSE(CONTROL!$C$15, $E$9, 100%, $G$9) + CHOOSE(CONTROL!$C$38, 0.0347, 0)</f>
        <v>64.215199999999996</v>
      </c>
      <c r="D974" s="10">
        <f>64.1727 * CHOOSE(CONTROL!$C$15, $E$9, 100%, $G$9) + CHOOSE(CONTROL!$C$38, 0.0347, 0)</f>
        <v>64.207400000000007</v>
      </c>
      <c r="E974" s="46">
        <f>69.3256 * CHOOSE(CONTROL!$C$15, $E$9, 100%, $G$9) + CHOOSE(CONTROL!$C$38, 0.0347, 0)</f>
        <v>69.360299999999995</v>
      </c>
      <c r="F974" s="45">
        <f>69.3256 * CHOOSE(CONTROL!$C$15, $E$9, 100%, $G$9) + CHOOSE(CONTROL!$C$38, 0.0256, 0)</f>
        <v>69.351199999999992</v>
      </c>
      <c r="G974" s="10">
        <f>64.179 * CHOOSE(CONTROL!$C$15, $E$9, 100%, $G$9) + CHOOSE(CONTROL!$C$38, 0.0347, 0)</f>
        <v>64.213700000000003</v>
      </c>
      <c r="H974" s="10">
        <f>64.179 * CHOOSE(CONTROL!$C$15, $E$9, 100%, $G$9) + CHOOSE(CONTROL!$C$38, 0.0347, 0)</f>
        <v>64.213700000000003</v>
      </c>
      <c r="I974" s="10">
        <f>64.1805 * CHOOSE(CONTROL!$C$15, $E$9, 100%, $G$9) + CHOOSE(CONTROL!$C$38, 0.0347, 0)</f>
        <v>64.215199999999996</v>
      </c>
      <c r="J974" s="44">
        <f>618.1232</f>
        <v>618.1232</v>
      </c>
    </row>
    <row r="975" spans="1:10" ht="15.75" x14ac:dyDescent="0.25">
      <c r="A975" s="13">
        <v>70614</v>
      </c>
      <c r="B975" s="10">
        <f>68.9866 * CHOOSE(CONTROL!$C$15, $E$9, 100%, $G$9) + CHOOSE(CONTROL!$C$38, 0.0256, 0)</f>
        <v>69.012199999999993</v>
      </c>
      <c r="C975" s="10">
        <f>63.6853 * CHOOSE(CONTROL!$C$15, $E$9, 100%, $G$9) + CHOOSE(CONTROL!$C$38, 0.0347, 0)</f>
        <v>63.72</v>
      </c>
      <c r="D975" s="10">
        <f>63.6775 * CHOOSE(CONTROL!$C$15, $E$9, 100%, $G$9) + CHOOSE(CONTROL!$C$38, 0.0347, 0)</f>
        <v>63.712200000000003</v>
      </c>
      <c r="E975" s="46">
        <f>68.8304 * CHOOSE(CONTROL!$C$15, $E$9, 100%, $G$9) + CHOOSE(CONTROL!$C$38, 0.0347, 0)</f>
        <v>68.865099999999998</v>
      </c>
      <c r="F975" s="45">
        <f>68.8304 * CHOOSE(CONTROL!$C$15, $E$9, 100%, $G$9) + CHOOSE(CONTROL!$C$38, 0.0256, 0)</f>
        <v>68.855999999999995</v>
      </c>
      <c r="G975" s="10">
        <f>63.6838 * CHOOSE(CONTROL!$C$15, $E$9, 100%, $G$9) + CHOOSE(CONTROL!$C$38, 0.0347, 0)</f>
        <v>63.718499999999999</v>
      </c>
      <c r="H975" s="10">
        <f>63.6838 * CHOOSE(CONTROL!$C$15, $E$9, 100%, $G$9) + CHOOSE(CONTROL!$C$38, 0.0347, 0)</f>
        <v>63.718499999999999</v>
      </c>
      <c r="I975" s="10">
        <f>63.6853 * CHOOSE(CONTROL!$C$15, $E$9, 100%, $G$9) + CHOOSE(CONTROL!$C$38, 0.0347, 0)</f>
        <v>63.72</v>
      </c>
      <c r="J975" s="44">
        <f>658.2548</f>
        <v>658.25480000000005</v>
      </c>
    </row>
    <row r="976" spans="1:10" ht="15.75" x14ac:dyDescent="0.25">
      <c r="A976" s="13">
        <v>70645</v>
      </c>
      <c r="B976" s="10">
        <f>68.4705 * CHOOSE(CONTROL!$C$15, $E$9, 100%, $G$9) + CHOOSE(CONTROL!$C$38, 0.0278, 0)</f>
        <v>68.4983</v>
      </c>
      <c r="C976" s="10">
        <f>63.1692 * CHOOSE(CONTROL!$C$15, $E$9, 100%, $G$9) + CHOOSE(CONTROL!$C$38, 0.0369, 0)</f>
        <v>63.206099999999999</v>
      </c>
      <c r="D976" s="10">
        <f>63.1614 * CHOOSE(CONTROL!$C$15, $E$9, 100%, $G$9) + CHOOSE(CONTROL!$C$38, 0.0369, 0)</f>
        <v>63.198300000000003</v>
      </c>
      <c r="E976" s="46">
        <f>68.3143 * CHOOSE(CONTROL!$C$15, $E$9, 100%, $G$9) + CHOOSE(CONTROL!$C$38, 0.0369, 0)</f>
        <v>68.351200000000006</v>
      </c>
      <c r="F976" s="45">
        <f>68.3143 * CHOOSE(CONTROL!$C$15, $E$9, 100%, $G$9) + CHOOSE(CONTROL!$C$38, 0.0278, 0)</f>
        <v>68.342100000000002</v>
      </c>
      <c r="G976" s="10">
        <f>63.1677 * CHOOSE(CONTROL!$C$15, $E$9, 100%, $G$9) + CHOOSE(CONTROL!$C$38, 0.0369, 0)</f>
        <v>63.204600000000006</v>
      </c>
      <c r="H976" s="10">
        <f>63.1677 * CHOOSE(CONTROL!$C$15, $E$9, 100%, $G$9) + CHOOSE(CONTROL!$C$38, 0.0369, 0)</f>
        <v>63.204600000000006</v>
      </c>
      <c r="I976" s="10">
        <f>63.1692 * CHOOSE(CONTROL!$C$15, $E$9, 100%, $G$9) + CHOOSE(CONTROL!$C$38, 0.0369, 0)</f>
        <v>63.206099999999999</v>
      </c>
      <c r="J976" s="44">
        <f>680.3445</f>
        <v>680.34450000000004</v>
      </c>
    </row>
    <row r="977" spans="1:10" ht="15.75" x14ac:dyDescent="0.25">
      <c r="A977" s="13">
        <v>70675</v>
      </c>
      <c r="B977" s="10">
        <f>68.1087 * CHOOSE(CONTROL!$C$15, $E$9, 100%, $G$9) + CHOOSE(CONTROL!$C$38, 0.0278, 0)</f>
        <v>68.136499999999998</v>
      </c>
      <c r="C977" s="10">
        <f>62.8074 * CHOOSE(CONTROL!$C$15, $E$9, 100%, $G$9) + CHOOSE(CONTROL!$C$38, 0.0369, 0)</f>
        <v>62.844300000000004</v>
      </c>
      <c r="D977" s="10">
        <f>62.7996 * CHOOSE(CONTROL!$C$15, $E$9, 100%, $G$9) + CHOOSE(CONTROL!$C$38, 0.0369, 0)</f>
        <v>62.836500000000001</v>
      </c>
      <c r="E977" s="46">
        <f>67.9524 * CHOOSE(CONTROL!$C$15, $E$9, 100%, $G$9) + CHOOSE(CONTROL!$C$38, 0.0369, 0)</f>
        <v>67.9893</v>
      </c>
      <c r="F977" s="45">
        <f>67.9524 * CHOOSE(CONTROL!$C$15, $E$9, 100%, $G$9) + CHOOSE(CONTROL!$C$38, 0.0278, 0)</f>
        <v>67.980199999999996</v>
      </c>
      <c r="G977" s="10">
        <f>62.8058 * CHOOSE(CONTROL!$C$15, $E$9, 100%, $G$9) + CHOOSE(CONTROL!$C$38, 0.0369, 0)</f>
        <v>62.842700000000001</v>
      </c>
      <c r="H977" s="10">
        <f>62.8058 * CHOOSE(CONTROL!$C$15, $E$9, 100%, $G$9) + CHOOSE(CONTROL!$C$38, 0.0369, 0)</f>
        <v>62.842700000000001</v>
      </c>
      <c r="I977" s="10">
        <f>62.8074 * CHOOSE(CONTROL!$C$15, $E$9, 100%, $G$9) + CHOOSE(CONTROL!$C$38, 0.0369, 0)</f>
        <v>62.844300000000004</v>
      </c>
      <c r="J977" s="44">
        <f>690.1475</f>
        <v>690.14750000000004</v>
      </c>
    </row>
    <row r="978" spans="1:10" ht="15.75" x14ac:dyDescent="0.25">
      <c r="A978" s="13">
        <v>70706</v>
      </c>
      <c r="B978" s="10">
        <f>67.9022 * CHOOSE(CONTROL!$C$15, $E$9, 100%, $G$9) + CHOOSE(CONTROL!$C$38, 0.0278, 0)</f>
        <v>67.929999999999993</v>
      </c>
      <c r="C978" s="10">
        <f>62.6009 * CHOOSE(CONTROL!$C$15, $E$9, 100%, $G$9) + CHOOSE(CONTROL!$C$38, 0.0369, 0)</f>
        <v>62.637800000000006</v>
      </c>
      <c r="D978" s="10">
        <f>62.5931 * CHOOSE(CONTROL!$C$15, $E$9, 100%, $G$9) + CHOOSE(CONTROL!$C$38, 0.0369, 0)</f>
        <v>62.63</v>
      </c>
      <c r="E978" s="46">
        <f>67.7459 * CHOOSE(CONTROL!$C$15, $E$9, 100%, $G$9) + CHOOSE(CONTROL!$C$38, 0.0369, 0)</f>
        <v>67.782800000000009</v>
      </c>
      <c r="F978" s="45">
        <f>67.7459 * CHOOSE(CONTROL!$C$15, $E$9, 100%, $G$9) + CHOOSE(CONTROL!$C$38, 0.0278, 0)</f>
        <v>67.773700000000005</v>
      </c>
      <c r="G978" s="10">
        <f>62.5993 * CHOOSE(CONTROL!$C$15, $E$9, 100%, $G$9) + CHOOSE(CONTROL!$C$38, 0.0369, 0)</f>
        <v>62.636200000000002</v>
      </c>
      <c r="H978" s="10">
        <f>62.5993 * CHOOSE(CONTROL!$C$15, $E$9, 100%, $G$9) + CHOOSE(CONTROL!$C$38, 0.0369, 0)</f>
        <v>62.636200000000002</v>
      </c>
      <c r="I978" s="10">
        <f>62.6009 * CHOOSE(CONTROL!$C$15, $E$9, 100%, $G$9) + CHOOSE(CONTROL!$C$38, 0.0369, 0)</f>
        <v>62.637800000000006</v>
      </c>
      <c r="J978" s="44">
        <f>686.9199</f>
        <v>686.91989999999998</v>
      </c>
    </row>
    <row r="979" spans="1:10" ht="15.75" x14ac:dyDescent="0.25">
      <c r="A979" s="13">
        <v>70737</v>
      </c>
      <c r="B979" s="10">
        <f>68.0041 * CHOOSE(CONTROL!$C$15, $E$9, 100%, $G$9) + CHOOSE(CONTROL!$C$38, 0.0278, 0)</f>
        <v>68.031899999999993</v>
      </c>
      <c r="C979" s="10">
        <f>62.7028 * CHOOSE(CONTROL!$C$15, $E$9, 100%, $G$9) + CHOOSE(CONTROL!$C$38, 0.0369, 0)</f>
        <v>62.739700000000006</v>
      </c>
      <c r="D979" s="10">
        <f>62.695 * CHOOSE(CONTROL!$C$15, $E$9, 100%, $G$9) + CHOOSE(CONTROL!$C$38, 0.0369, 0)</f>
        <v>62.731900000000003</v>
      </c>
      <c r="E979" s="46">
        <f>67.8479 * CHOOSE(CONTROL!$C$15, $E$9, 100%, $G$9) + CHOOSE(CONTROL!$C$38, 0.0369, 0)</f>
        <v>67.884799999999998</v>
      </c>
      <c r="F979" s="45">
        <f>67.8479 * CHOOSE(CONTROL!$C$15, $E$9, 100%, $G$9) + CHOOSE(CONTROL!$C$38, 0.0278, 0)</f>
        <v>67.875699999999995</v>
      </c>
      <c r="G979" s="10">
        <f>62.7012 * CHOOSE(CONTROL!$C$15, $E$9, 100%, $G$9) + CHOOSE(CONTROL!$C$38, 0.0369, 0)</f>
        <v>62.738100000000003</v>
      </c>
      <c r="H979" s="10">
        <f>62.7012 * CHOOSE(CONTROL!$C$15, $E$9, 100%, $G$9) + CHOOSE(CONTROL!$C$38, 0.0369, 0)</f>
        <v>62.738100000000003</v>
      </c>
      <c r="I979" s="10">
        <f>62.7028 * CHOOSE(CONTROL!$C$15, $E$9, 100%, $G$9) + CHOOSE(CONTROL!$C$38, 0.0369, 0)</f>
        <v>62.739700000000006</v>
      </c>
      <c r="J979" s="44">
        <f>670.9287</f>
        <v>670.92870000000005</v>
      </c>
    </row>
    <row r="980" spans="1:10" ht="15.75" x14ac:dyDescent="0.25">
      <c r="A980" s="13">
        <v>70767</v>
      </c>
      <c r="B980" s="10">
        <f>68.2809 * CHOOSE(CONTROL!$C$15, $E$9, 100%, $G$9) + CHOOSE(CONTROL!$C$38, 0.0278, 0)</f>
        <v>68.308700000000002</v>
      </c>
      <c r="C980" s="10">
        <f>62.9796 * CHOOSE(CONTROL!$C$15, $E$9, 100%, $G$9) + CHOOSE(CONTROL!$C$38, 0.0369, 0)</f>
        <v>63.016500000000001</v>
      </c>
      <c r="D980" s="10">
        <f>62.9718 * CHOOSE(CONTROL!$C$15, $E$9, 100%, $G$9) + CHOOSE(CONTROL!$C$38, 0.0369, 0)</f>
        <v>63.008700000000005</v>
      </c>
      <c r="E980" s="46">
        <f>68.1246 * CHOOSE(CONTROL!$C$15, $E$9, 100%, $G$9) + CHOOSE(CONTROL!$C$38, 0.0369, 0)</f>
        <v>68.161500000000004</v>
      </c>
      <c r="F980" s="45">
        <f>68.1246 * CHOOSE(CONTROL!$C$15, $E$9, 100%, $G$9) + CHOOSE(CONTROL!$C$38, 0.0278, 0)</f>
        <v>68.1524</v>
      </c>
      <c r="G980" s="10">
        <f>62.978 * CHOOSE(CONTROL!$C$15, $E$9, 100%, $G$9) + CHOOSE(CONTROL!$C$38, 0.0369, 0)</f>
        <v>63.014900000000004</v>
      </c>
      <c r="H980" s="10">
        <f>62.978 * CHOOSE(CONTROL!$C$15, $E$9, 100%, $G$9) + CHOOSE(CONTROL!$C$38, 0.0369, 0)</f>
        <v>63.014900000000004</v>
      </c>
      <c r="I980" s="10">
        <f>62.9796 * CHOOSE(CONTROL!$C$15, $E$9, 100%, $G$9) + CHOOSE(CONTROL!$C$38, 0.0369, 0)</f>
        <v>63.016500000000001</v>
      </c>
      <c r="J980" s="44">
        <f>648.6282</f>
        <v>648.62819999999999</v>
      </c>
    </row>
    <row r="981" spans="1:10" ht="15.75" x14ac:dyDescent="0.25">
      <c r="A981" s="13">
        <v>70798</v>
      </c>
      <c r="B981" s="10">
        <f>68.5127 * CHOOSE(CONTROL!$C$15, $E$9, 100%, $G$9) + CHOOSE(CONTROL!$C$38, 0.0256, 0)</f>
        <v>68.538299999999992</v>
      </c>
      <c r="C981" s="10">
        <f>63.2114 * CHOOSE(CONTROL!$C$15, $E$9, 100%, $G$9) + CHOOSE(CONTROL!$C$38, 0.0347, 0)</f>
        <v>63.246099999999998</v>
      </c>
      <c r="D981" s="10">
        <f>63.2036 * CHOOSE(CONTROL!$C$15, $E$9, 100%, $G$9) + CHOOSE(CONTROL!$C$38, 0.0347, 0)</f>
        <v>63.238300000000002</v>
      </c>
      <c r="E981" s="46">
        <f>68.3565 * CHOOSE(CONTROL!$C$15, $E$9, 100%, $G$9) + CHOOSE(CONTROL!$C$38, 0.0347, 0)</f>
        <v>68.391199999999998</v>
      </c>
      <c r="F981" s="45">
        <f>68.3565 * CHOOSE(CONTROL!$C$15, $E$9, 100%, $G$9) + CHOOSE(CONTROL!$C$38, 0.0256, 0)</f>
        <v>68.382099999999994</v>
      </c>
      <c r="G981" s="10">
        <f>63.2099 * CHOOSE(CONTROL!$C$15, $E$9, 100%, $G$9) + CHOOSE(CONTROL!$C$38, 0.0347, 0)</f>
        <v>63.244599999999998</v>
      </c>
      <c r="H981" s="10">
        <f>63.2099 * CHOOSE(CONTROL!$C$15, $E$9, 100%, $G$9) + CHOOSE(CONTROL!$C$38, 0.0347, 0)</f>
        <v>63.244599999999998</v>
      </c>
      <c r="I981" s="10">
        <f>63.2114 * CHOOSE(CONTROL!$C$15, $E$9, 100%, $G$9) + CHOOSE(CONTROL!$C$38, 0.0347, 0)</f>
        <v>63.246099999999998</v>
      </c>
      <c r="J981" s="44">
        <f>626.1979</f>
        <v>626.1979</v>
      </c>
    </row>
    <row r="982" spans="1:10" ht="15.75" x14ac:dyDescent="0.25">
      <c r="A982" s="13">
        <v>70828</v>
      </c>
      <c r="B982" s="10">
        <f>68.7062 * CHOOSE(CONTROL!$C$15, $E$9, 100%, $G$9) + CHOOSE(CONTROL!$C$38, 0.0256, 0)</f>
        <v>68.731799999999993</v>
      </c>
      <c r="C982" s="10">
        <f>63.4049 * CHOOSE(CONTROL!$C$15, $E$9, 100%, $G$9) + CHOOSE(CONTROL!$C$38, 0.0347, 0)</f>
        <v>63.439599999999999</v>
      </c>
      <c r="D982" s="10">
        <f>63.3971 * CHOOSE(CONTROL!$C$15, $E$9, 100%, $G$9) + CHOOSE(CONTROL!$C$38, 0.0347, 0)</f>
        <v>63.431800000000003</v>
      </c>
      <c r="E982" s="46">
        <f>68.5499 * CHOOSE(CONTROL!$C$15, $E$9, 100%, $G$9) + CHOOSE(CONTROL!$C$38, 0.0347, 0)</f>
        <v>68.584599999999995</v>
      </c>
      <c r="F982" s="45">
        <f>68.5499 * CHOOSE(CONTROL!$C$15, $E$9, 100%, $G$9) + CHOOSE(CONTROL!$C$38, 0.0256, 0)</f>
        <v>68.575499999999991</v>
      </c>
      <c r="G982" s="10">
        <f>63.4033 * CHOOSE(CONTROL!$C$15, $E$9, 100%, $G$9) + CHOOSE(CONTROL!$C$38, 0.0347, 0)</f>
        <v>63.438000000000002</v>
      </c>
      <c r="H982" s="10">
        <f>63.4033 * CHOOSE(CONTROL!$C$15, $E$9, 100%, $G$9) + CHOOSE(CONTROL!$C$38, 0.0347, 0)</f>
        <v>63.438000000000002</v>
      </c>
      <c r="I982" s="10">
        <f>63.4049 * CHOOSE(CONTROL!$C$15, $E$9, 100%, $G$9) + CHOOSE(CONTROL!$C$38, 0.0347, 0)</f>
        <v>63.439599999999999</v>
      </c>
      <c r="J982" s="44">
        <f>621.7361</f>
        <v>621.73609999999996</v>
      </c>
    </row>
    <row r="983" spans="1:10" ht="15.75" x14ac:dyDescent="0.25">
      <c r="A983" s="13">
        <v>70859</v>
      </c>
      <c r="B983" s="10">
        <f>69.3022 * CHOOSE(CONTROL!$C$15, $E$9, 100%, $G$9) + CHOOSE(CONTROL!$C$38, 0.0256, 0)</f>
        <v>69.327799999999996</v>
      </c>
      <c r="C983" s="10">
        <f>64.0009 * CHOOSE(CONTROL!$C$15, $E$9, 100%, $G$9) + CHOOSE(CONTROL!$C$38, 0.0347, 0)</f>
        <v>64.035600000000002</v>
      </c>
      <c r="D983" s="10">
        <f>63.9931 * CHOOSE(CONTROL!$C$15, $E$9, 100%, $G$9) + CHOOSE(CONTROL!$C$38, 0.0347, 0)</f>
        <v>64.027799999999999</v>
      </c>
      <c r="E983" s="46">
        <f>69.146 * CHOOSE(CONTROL!$C$15, $E$9, 100%, $G$9) + CHOOSE(CONTROL!$C$38, 0.0347, 0)</f>
        <v>69.180700000000002</v>
      </c>
      <c r="F983" s="45">
        <f>69.146 * CHOOSE(CONTROL!$C$15, $E$9, 100%, $G$9) + CHOOSE(CONTROL!$C$38, 0.0256, 0)</f>
        <v>69.171599999999998</v>
      </c>
      <c r="G983" s="10">
        <f>63.9994 * CHOOSE(CONTROL!$C$15, $E$9, 100%, $G$9) + CHOOSE(CONTROL!$C$38, 0.0347, 0)</f>
        <v>64.034099999999995</v>
      </c>
      <c r="H983" s="10">
        <f>63.9994 * CHOOSE(CONTROL!$C$15, $E$9, 100%, $G$9) + CHOOSE(CONTROL!$C$38, 0.0347, 0)</f>
        <v>64.034099999999995</v>
      </c>
      <c r="I983" s="10">
        <f>64.0009 * CHOOSE(CONTROL!$C$15, $E$9, 100%, $G$9) + CHOOSE(CONTROL!$C$38, 0.0347, 0)</f>
        <v>64.035600000000002</v>
      </c>
      <c r="J983" s="44">
        <f>603.2861</f>
        <v>603.28610000000003</v>
      </c>
    </row>
    <row r="984" spans="1:10" ht="15.75" x14ac:dyDescent="0.25">
      <c r="A984" s="13">
        <v>70890</v>
      </c>
      <c r="B984" s="10">
        <f>70.8898 * CHOOSE(CONTROL!$C$15, $E$9, 100%, $G$9) + CHOOSE(CONTROL!$C$38, 0.0256, 0)</f>
        <v>70.915399999999991</v>
      </c>
      <c r="C984" s="10">
        <f>65.5042 * CHOOSE(CONTROL!$C$15, $E$9, 100%, $G$9) + CHOOSE(CONTROL!$C$38, 0.0347, 0)</f>
        <v>65.538899999999998</v>
      </c>
      <c r="D984" s="10">
        <f>65.4964 * CHOOSE(CONTROL!$C$15, $E$9, 100%, $G$9) + CHOOSE(CONTROL!$C$38, 0.0347, 0)</f>
        <v>65.531099999999995</v>
      </c>
      <c r="E984" s="46">
        <f>70.7336 * CHOOSE(CONTROL!$C$15, $E$9, 100%, $G$9) + CHOOSE(CONTROL!$C$38, 0.0347, 0)</f>
        <v>70.768299999999996</v>
      </c>
      <c r="F984" s="45">
        <f>70.7336 * CHOOSE(CONTROL!$C$15, $E$9, 100%, $G$9) + CHOOSE(CONTROL!$C$38, 0.0256, 0)</f>
        <v>70.759199999999993</v>
      </c>
      <c r="G984" s="10">
        <f>65.5026 * CHOOSE(CONTROL!$C$15, $E$9, 100%, $G$9) + CHOOSE(CONTROL!$C$38, 0.0347, 0)</f>
        <v>65.537300000000002</v>
      </c>
      <c r="H984" s="10">
        <f>65.5026 * CHOOSE(CONTROL!$C$15, $E$9, 100%, $G$9) + CHOOSE(CONTROL!$C$38, 0.0347, 0)</f>
        <v>65.537300000000002</v>
      </c>
      <c r="I984" s="10">
        <f>65.5042 * CHOOSE(CONTROL!$C$15, $E$9, 100%, $G$9) + CHOOSE(CONTROL!$C$38, 0.0347, 0)</f>
        <v>65.538899999999998</v>
      </c>
      <c r="J984" s="44">
        <f>602.1339</f>
        <v>602.13390000000004</v>
      </c>
    </row>
    <row r="985" spans="1:10" ht="15.75" x14ac:dyDescent="0.25">
      <c r="A985" s="13">
        <v>70918</v>
      </c>
      <c r="B985" s="10">
        <f>71.1106 * CHOOSE(CONTROL!$C$15, $E$9, 100%, $G$9) + CHOOSE(CONTROL!$C$38, 0.0256, 0)</f>
        <v>71.136200000000002</v>
      </c>
      <c r="C985" s="10">
        <f>65.725 * CHOOSE(CONTROL!$C$15, $E$9, 100%, $G$9) + CHOOSE(CONTROL!$C$38, 0.0347, 0)</f>
        <v>65.759699999999995</v>
      </c>
      <c r="D985" s="10">
        <f>65.7171 * CHOOSE(CONTROL!$C$15, $E$9, 100%, $G$9) + CHOOSE(CONTROL!$C$38, 0.0347, 0)</f>
        <v>65.751800000000003</v>
      </c>
      <c r="E985" s="46">
        <f>70.9544 * CHOOSE(CONTROL!$C$15, $E$9, 100%, $G$9) + CHOOSE(CONTROL!$C$38, 0.0347, 0)</f>
        <v>70.989100000000008</v>
      </c>
      <c r="F985" s="45">
        <f>70.9544 * CHOOSE(CONTROL!$C$15, $E$9, 100%, $G$9) + CHOOSE(CONTROL!$C$38, 0.0256, 0)</f>
        <v>70.98</v>
      </c>
      <c r="G985" s="10">
        <f>65.7234 * CHOOSE(CONTROL!$C$15, $E$9, 100%, $G$9) + CHOOSE(CONTROL!$C$38, 0.0347, 0)</f>
        <v>65.758099999999999</v>
      </c>
      <c r="H985" s="10">
        <f>65.7234 * CHOOSE(CONTROL!$C$15, $E$9, 100%, $G$9) + CHOOSE(CONTROL!$C$38, 0.0347, 0)</f>
        <v>65.758099999999999</v>
      </c>
      <c r="I985" s="10">
        <f>65.725 * CHOOSE(CONTROL!$C$15, $E$9, 100%, $G$9) + CHOOSE(CONTROL!$C$38, 0.0347, 0)</f>
        <v>65.759699999999995</v>
      </c>
      <c r="J985" s="44">
        <f>600.4602</f>
        <v>600.46019999999999</v>
      </c>
    </row>
    <row r="986" spans="1:10" ht="15.75" x14ac:dyDescent="0.25">
      <c r="A986" s="13">
        <v>70949</v>
      </c>
      <c r="B986" s="10">
        <f>70.5996 * CHOOSE(CONTROL!$C$15, $E$9, 100%, $G$9) + CHOOSE(CONTROL!$C$38, 0.0256, 0)</f>
        <v>70.625199999999992</v>
      </c>
      <c r="C986" s="10">
        <f>65.2139 * CHOOSE(CONTROL!$C$15, $E$9, 100%, $G$9) + CHOOSE(CONTROL!$C$38, 0.0347, 0)</f>
        <v>65.248599999999996</v>
      </c>
      <c r="D986" s="10">
        <f>65.2061 * CHOOSE(CONTROL!$C$15, $E$9, 100%, $G$9) + CHOOSE(CONTROL!$C$38, 0.0347, 0)</f>
        <v>65.240800000000007</v>
      </c>
      <c r="E986" s="46">
        <f>70.4433 * CHOOSE(CONTROL!$C$15, $E$9, 100%, $G$9) + CHOOSE(CONTROL!$C$38, 0.0347, 0)</f>
        <v>70.477999999999994</v>
      </c>
      <c r="F986" s="45">
        <f>70.4433 * CHOOSE(CONTROL!$C$15, $E$9, 100%, $G$9) + CHOOSE(CONTROL!$C$38, 0.0256, 0)</f>
        <v>70.468899999999991</v>
      </c>
      <c r="G986" s="10">
        <f>65.2124 * CHOOSE(CONTROL!$C$15, $E$9, 100%, $G$9) + CHOOSE(CONTROL!$C$38, 0.0347, 0)</f>
        <v>65.247100000000003</v>
      </c>
      <c r="H986" s="10">
        <f>65.2124 * CHOOSE(CONTROL!$C$15, $E$9, 100%, $G$9) + CHOOSE(CONTROL!$C$38, 0.0347, 0)</f>
        <v>65.247100000000003</v>
      </c>
      <c r="I986" s="10">
        <f>65.2139 * CHOOSE(CONTROL!$C$15, $E$9, 100%, $G$9) + CHOOSE(CONTROL!$C$38, 0.0347, 0)</f>
        <v>65.248599999999996</v>
      </c>
      <c r="J986" s="44">
        <f>632.1079</f>
        <v>632.10789999999997</v>
      </c>
    </row>
    <row r="987" spans="1:10" ht="15.75" x14ac:dyDescent="0.25">
      <c r="A987" s="13">
        <v>70979</v>
      </c>
      <c r="B987" s="10">
        <f>70.1044 * CHOOSE(CONTROL!$C$15, $E$9, 100%, $G$9) + CHOOSE(CONTROL!$C$38, 0.0256, 0)</f>
        <v>70.13</v>
      </c>
      <c r="C987" s="10">
        <f>64.7187 * CHOOSE(CONTROL!$C$15, $E$9, 100%, $G$9) + CHOOSE(CONTROL!$C$38, 0.0347, 0)</f>
        <v>64.753399999999999</v>
      </c>
      <c r="D987" s="10">
        <f>64.7109 * CHOOSE(CONTROL!$C$15, $E$9, 100%, $G$9) + CHOOSE(CONTROL!$C$38, 0.0347, 0)</f>
        <v>64.745599999999996</v>
      </c>
      <c r="E987" s="46">
        <f>69.9481 * CHOOSE(CONTROL!$C$15, $E$9, 100%, $G$9) + CHOOSE(CONTROL!$C$38, 0.0347, 0)</f>
        <v>69.982799999999997</v>
      </c>
      <c r="F987" s="45">
        <f>69.9481 * CHOOSE(CONTROL!$C$15, $E$9, 100%, $G$9) + CHOOSE(CONTROL!$C$38, 0.0256, 0)</f>
        <v>69.973699999999994</v>
      </c>
      <c r="G987" s="10">
        <f>64.7172 * CHOOSE(CONTROL!$C$15, $E$9, 100%, $G$9) + CHOOSE(CONTROL!$C$38, 0.0347, 0)</f>
        <v>64.751900000000006</v>
      </c>
      <c r="H987" s="10">
        <f>64.7172 * CHOOSE(CONTROL!$C$15, $E$9, 100%, $G$9) + CHOOSE(CONTROL!$C$38, 0.0347, 0)</f>
        <v>64.751900000000006</v>
      </c>
      <c r="I987" s="10">
        <f>64.7187 * CHOOSE(CONTROL!$C$15, $E$9, 100%, $G$9) + CHOOSE(CONTROL!$C$38, 0.0347, 0)</f>
        <v>64.753399999999999</v>
      </c>
      <c r="J987" s="44">
        <f>673.1474</f>
        <v>673.14739999999995</v>
      </c>
    </row>
    <row r="988" spans="1:10" ht="15.75" x14ac:dyDescent="0.25">
      <c r="A988" s="13">
        <v>71010</v>
      </c>
      <c r="B988" s="10">
        <f>69.5883 * CHOOSE(CONTROL!$C$15, $E$9, 100%, $G$9) + CHOOSE(CONTROL!$C$38, 0.0278, 0)</f>
        <v>69.616100000000003</v>
      </c>
      <c r="C988" s="10">
        <f>64.2026 * CHOOSE(CONTROL!$C$15, $E$9, 100%, $G$9) + CHOOSE(CONTROL!$C$38, 0.0369, 0)</f>
        <v>64.239500000000007</v>
      </c>
      <c r="D988" s="10">
        <f>64.1948 * CHOOSE(CONTROL!$C$15, $E$9, 100%, $G$9) + CHOOSE(CONTROL!$C$38, 0.0369, 0)</f>
        <v>64.231700000000004</v>
      </c>
      <c r="E988" s="46">
        <f>69.432 * CHOOSE(CONTROL!$C$15, $E$9, 100%, $G$9) + CHOOSE(CONTROL!$C$38, 0.0369, 0)</f>
        <v>69.468900000000005</v>
      </c>
      <c r="F988" s="45">
        <f>69.432 * CHOOSE(CONTROL!$C$15, $E$9, 100%, $G$9) + CHOOSE(CONTROL!$C$38, 0.0278, 0)</f>
        <v>69.459800000000001</v>
      </c>
      <c r="G988" s="10">
        <f>64.2011 * CHOOSE(CONTROL!$C$15, $E$9, 100%, $G$9) + CHOOSE(CONTROL!$C$38, 0.0369, 0)</f>
        <v>64.238</v>
      </c>
      <c r="H988" s="10">
        <f>64.2011 * CHOOSE(CONTROL!$C$15, $E$9, 100%, $G$9) + CHOOSE(CONTROL!$C$38, 0.0369, 0)</f>
        <v>64.238</v>
      </c>
      <c r="I988" s="10">
        <f>64.2026 * CHOOSE(CONTROL!$C$15, $E$9, 100%, $G$9) + CHOOSE(CONTROL!$C$38, 0.0369, 0)</f>
        <v>64.239500000000007</v>
      </c>
      <c r="J988" s="44">
        <f>695.7369</f>
        <v>695.73689999999999</v>
      </c>
    </row>
    <row r="989" spans="1:10" ht="15.75" x14ac:dyDescent="0.25">
      <c r="A989" s="13">
        <v>71040</v>
      </c>
      <c r="B989" s="10">
        <f>69.2264 * CHOOSE(CONTROL!$C$15, $E$9, 100%, $G$9) + CHOOSE(CONTROL!$C$38, 0.0278, 0)</f>
        <v>69.254199999999997</v>
      </c>
      <c r="C989" s="10">
        <f>63.8408 * CHOOSE(CONTROL!$C$15, $E$9, 100%, $G$9) + CHOOSE(CONTROL!$C$38, 0.0369, 0)</f>
        <v>63.877700000000004</v>
      </c>
      <c r="D989" s="10">
        <f>63.833 * CHOOSE(CONTROL!$C$15, $E$9, 100%, $G$9) + CHOOSE(CONTROL!$C$38, 0.0369, 0)</f>
        <v>63.869900000000001</v>
      </c>
      <c r="E989" s="46">
        <f>69.0702 * CHOOSE(CONTROL!$C$15, $E$9, 100%, $G$9) + CHOOSE(CONTROL!$C$38, 0.0369, 0)</f>
        <v>69.107100000000003</v>
      </c>
      <c r="F989" s="45">
        <f>69.0702 * CHOOSE(CONTROL!$C$15, $E$9, 100%, $G$9) + CHOOSE(CONTROL!$C$38, 0.0278, 0)</f>
        <v>69.097999999999999</v>
      </c>
      <c r="G989" s="10">
        <f>63.8392 * CHOOSE(CONTROL!$C$15, $E$9, 100%, $G$9) + CHOOSE(CONTROL!$C$38, 0.0369, 0)</f>
        <v>63.876100000000001</v>
      </c>
      <c r="H989" s="10">
        <f>63.8392 * CHOOSE(CONTROL!$C$15, $E$9, 100%, $G$9) + CHOOSE(CONTROL!$C$38, 0.0369, 0)</f>
        <v>63.876100000000001</v>
      </c>
      <c r="I989" s="10">
        <f>63.8408 * CHOOSE(CONTROL!$C$15, $E$9, 100%, $G$9) + CHOOSE(CONTROL!$C$38, 0.0369, 0)</f>
        <v>63.877700000000004</v>
      </c>
      <c r="J989" s="44">
        <f>705.7618</f>
        <v>705.76179999999999</v>
      </c>
    </row>
    <row r="990" spans="1:10" ht="15.75" x14ac:dyDescent="0.25">
      <c r="A990" s="13">
        <v>71071</v>
      </c>
      <c r="B990" s="10">
        <f>69.02 * CHOOSE(CONTROL!$C$15, $E$9, 100%, $G$9) + CHOOSE(CONTROL!$C$38, 0.0278, 0)</f>
        <v>69.047799999999995</v>
      </c>
      <c r="C990" s="10">
        <f>63.6343 * CHOOSE(CONTROL!$C$15, $E$9, 100%, $G$9) + CHOOSE(CONTROL!$C$38, 0.0369, 0)</f>
        <v>63.671200000000006</v>
      </c>
      <c r="D990" s="10">
        <f>63.6265 * CHOOSE(CONTROL!$C$15, $E$9, 100%, $G$9) + CHOOSE(CONTROL!$C$38, 0.0369, 0)</f>
        <v>63.663400000000003</v>
      </c>
      <c r="E990" s="46">
        <f>68.8637 * CHOOSE(CONTROL!$C$15, $E$9, 100%, $G$9) + CHOOSE(CONTROL!$C$38, 0.0369, 0)</f>
        <v>68.900599999999997</v>
      </c>
      <c r="F990" s="45">
        <f>68.8637 * CHOOSE(CONTROL!$C$15, $E$9, 100%, $G$9) + CHOOSE(CONTROL!$C$38, 0.0278, 0)</f>
        <v>68.891499999999994</v>
      </c>
      <c r="G990" s="10">
        <f>63.6327 * CHOOSE(CONTROL!$C$15, $E$9, 100%, $G$9) + CHOOSE(CONTROL!$C$38, 0.0369, 0)</f>
        <v>63.669600000000003</v>
      </c>
      <c r="H990" s="10">
        <f>63.6327 * CHOOSE(CONTROL!$C$15, $E$9, 100%, $G$9) + CHOOSE(CONTROL!$C$38, 0.0369, 0)</f>
        <v>63.669600000000003</v>
      </c>
      <c r="I990" s="10">
        <f>63.6343 * CHOOSE(CONTROL!$C$15, $E$9, 100%, $G$9) + CHOOSE(CONTROL!$C$38, 0.0369, 0)</f>
        <v>63.671200000000006</v>
      </c>
      <c r="J990" s="44">
        <f>702.4611</f>
        <v>702.46109999999999</v>
      </c>
    </row>
    <row r="991" spans="1:10" ht="15.75" x14ac:dyDescent="0.25">
      <c r="A991" s="13">
        <v>71102</v>
      </c>
      <c r="B991" s="10">
        <f>69.1219 * CHOOSE(CONTROL!$C$15, $E$9, 100%, $G$9) + CHOOSE(CONTROL!$C$38, 0.0278, 0)</f>
        <v>69.149699999999996</v>
      </c>
      <c r="C991" s="10">
        <f>63.7362 * CHOOSE(CONTROL!$C$15, $E$9, 100%, $G$9) + CHOOSE(CONTROL!$C$38, 0.0369, 0)</f>
        <v>63.773099999999999</v>
      </c>
      <c r="D991" s="10">
        <f>63.7284 * CHOOSE(CONTROL!$C$15, $E$9, 100%, $G$9) + CHOOSE(CONTROL!$C$38, 0.0369, 0)</f>
        <v>63.765300000000003</v>
      </c>
      <c r="E991" s="46">
        <f>68.9656 * CHOOSE(CONTROL!$C$15, $E$9, 100%, $G$9) + CHOOSE(CONTROL!$C$38, 0.0369, 0)</f>
        <v>69.002499999999998</v>
      </c>
      <c r="F991" s="45">
        <f>68.9656 * CHOOSE(CONTROL!$C$15, $E$9, 100%, $G$9) + CHOOSE(CONTROL!$C$38, 0.0278, 0)</f>
        <v>68.993399999999994</v>
      </c>
      <c r="G991" s="10">
        <f>63.7347 * CHOOSE(CONTROL!$C$15, $E$9, 100%, $G$9) + CHOOSE(CONTROL!$C$38, 0.0369, 0)</f>
        <v>63.771599999999999</v>
      </c>
      <c r="H991" s="10">
        <f>63.7347 * CHOOSE(CONTROL!$C$15, $E$9, 100%, $G$9) + CHOOSE(CONTROL!$C$38, 0.0369, 0)</f>
        <v>63.771599999999999</v>
      </c>
      <c r="I991" s="10">
        <f>63.7362 * CHOOSE(CONTROL!$C$15, $E$9, 100%, $G$9) + CHOOSE(CONTROL!$C$38, 0.0369, 0)</f>
        <v>63.773099999999999</v>
      </c>
      <c r="J991" s="44">
        <f>686.1081</f>
        <v>686.10810000000004</v>
      </c>
    </row>
    <row r="992" spans="1:10" ht="15.75" x14ac:dyDescent="0.25">
      <c r="A992" s="13">
        <v>71132</v>
      </c>
      <c r="B992" s="10">
        <f>69.3987 * CHOOSE(CONTROL!$C$15, $E$9, 100%, $G$9) + CHOOSE(CONTROL!$C$38, 0.0278, 0)</f>
        <v>69.426500000000004</v>
      </c>
      <c r="C992" s="10">
        <f>64.013 * CHOOSE(CONTROL!$C$15, $E$9, 100%, $G$9) + CHOOSE(CONTROL!$C$38, 0.0369, 0)</f>
        <v>64.049900000000008</v>
      </c>
      <c r="D992" s="10">
        <f>64.0052 * CHOOSE(CONTROL!$C$15, $E$9, 100%, $G$9) + CHOOSE(CONTROL!$C$38, 0.0369, 0)</f>
        <v>64.042100000000005</v>
      </c>
      <c r="E992" s="46">
        <f>69.2424 * CHOOSE(CONTROL!$C$15, $E$9, 100%, $G$9) + CHOOSE(CONTROL!$C$38, 0.0369, 0)</f>
        <v>69.279300000000006</v>
      </c>
      <c r="F992" s="45">
        <f>69.2424 * CHOOSE(CONTROL!$C$15, $E$9, 100%, $G$9) + CHOOSE(CONTROL!$C$38, 0.0278, 0)</f>
        <v>69.270200000000003</v>
      </c>
      <c r="G992" s="10">
        <f>64.0115 * CHOOSE(CONTROL!$C$15, $E$9, 100%, $G$9) + CHOOSE(CONTROL!$C$38, 0.0369, 0)</f>
        <v>64.048400000000001</v>
      </c>
      <c r="H992" s="10">
        <f>64.0115 * CHOOSE(CONTROL!$C$15, $E$9, 100%, $G$9) + CHOOSE(CONTROL!$C$38, 0.0369, 0)</f>
        <v>64.048400000000001</v>
      </c>
      <c r="I992" s="10">
        <f>64.013 * CHOOSE(CONTROL!$C$15, $E$9, 100%, $G$9) + CHOOSE(CONTROL!$C$38, 0.0369, 0)</f>
        <v>64.049900000000008</v>
      </c>
      <c r="J992" s="44">
        <f>663.3031</f>
        <v>663.30309999999997</v>
      </c>
    </row>
    <row r="993" spans="1:10" ht="15.75" x14ac:dyDescent="0.25">
      <c r="A993" s="13">
        <v>71163</v>
      </c>
      <c r="B993" s="10">
        <f>69.6305 * CHOOSE(CONTROL!$C$15, $E$9, 100%, $G$9) + CHOOSE(CONTROL!$C$38, 0.0256, 0)</f>
        <v>69.656099999999995</v>
      </c>
      <c r="C993" s="10">
        <f>64.2448 * CHOOSE(CONTROL!$C$15, $E$9, 100%, $G$9) + CHOOSE(CONTROL!$C$38, 0.0347, 0)</f>
        <v>64.279499999999999</v>
      </c>
      <c r="D993" s="10">
        <f>64.237 * CHOOSE(CONTROL!$C$15, $E$9, 100%, $G$9) + CHOOSE(CONTROL!$C$38, 0.0347, 0)</f>
        <v>64.271699999999996</v>
      </c>
      <c r="E993" s="46">
        <f>69.4742 * CHOOSE(CONTROL!$C$15, $E$9, 100%, $G$9) + CHOOSE(CONTROL!$C$38, 0.0347, 0)</f>
        <v>69.508899999999997</v>
      </c>
      <c r="F993" s="45">
        <f>69.4742 * CHOOSE(CONTROL!$C$15, $E$9, 100%, $G$9) + CHOOSE(CONTROL!$C$38, 0.0256, 0)</f>
        <v>69.499799999999993</v>
      </c>
      <c r="G993" s="10">
        <f>64.2433 * CHOOSE(CONTROL!$C$15, $E$9, 100%, $G$9) + CHOOSE(CONTROL!$C$38, 0.0347, 0)</f>
        <v>64.278000000000006</v>
      </c>
      <c r="H993" s="10">
        <f>64.2433 * CHOOSE(CONTROL!$C$15, $E$9, 100%, $G$9) + CHOOSE(CONTROL!$C$38, 0.0347, 0)</f>
        <v>64.278000000000006</v>
      </c>
      <c r="I993" s="10">
        <f>64.2448 * CHOOSE(CONTROL!$C$15, $E$9, 100%, $G$9) + CHOOSE(CONTROL!$C$38, 0.0347, 0)</f>
        <v>64.279499999999999</v>
      </c>
      <c r="J993" s="44">
        <f>640.3654</f>
        <v>640.36540000000002</v>
      </c>
    </row>
    <row r="994" spans="1:10" ht="15.75" x14ac:dyDescent="0.25">
      <c r="A994" s="13">
        <v>71193</v>
      </c>
      <c r="B994" s="10">
        <f>69.8239 * CHOOSE(CONTROL!$C$15, $E$9, 100%, $G$9) + CHOOSE(CONTROL!$C$38, 0.0256, 0)</f>
        <v>69.849499999999992</v>
      </c>
      <c r="C994" s="10">
        <f>64.4383 * CHOOSE(CONTROL!$C$15, $E$9, 100%, $G$9) + CHOOSE(CONTROL!$C$38, 0.0347, 0)</f>
        <v>64.472999999999999</v>
      </c>
      <c r="D994" s="10">
        <f>64.4305 * CHOOSE(CONTROL!$C$15, $E$9, 100%, $G$9) + CHOOSE(CONTROL!$C$38, 0.0347, 0)</f>
        <v>64.465199999999996</v>
      </c>
      <c r="E994" s="46">
        <f>69.6677 * CHOOSE(CONTROL!$C$15, $E$9, 100%, $G$9) + CHOOSE(CONTROL!$C$38, 0.0347, 0)</f>
        <v>69.702399999999997</v>
      </c>
      <c r="F994" s="45">
        <f>69.6677 * CHOOSE(CONTROL!$C$15, $E$9, 100%, $G$9) + CHOOSE(CONTROL!$C$38, 0.0256, 0)</f>
        <v>69.693299999999994</v>
      </c>
      <c r="G994" s="10">
        <f>64.4367 * CHOOSE(CONTROL!$C$15, $E$9, 100%, $G$9) + CHOOSE(CONTROL!$C$38, 0.0347, 0)</f>
        <v>64.471400000000003</v>
      </c>
      <c r="H994" s="10">
        <f>64.4367 * CHOOSE(CONTROL!$C$15, $E$9, 100%, $G$9) + CHOOSE(CONTROL!$C$38, 0.0347, 0)</f>
        <v>64.471400000000003</v>
      </c>
      <c r="I994" s="10">
        <f>64.4383 * CHOOSE(CONTROL!$C$15, $E$9, 100%, $G$9) + CHOOSE(CONTROL!$C$38, 0.0347, 0)</f>
        <v>64.472999999999999</v>
      </c>
      <c r="J994" s="44">
        <f>635.8026</f>
        <v>635.80259999999998</v>
      </c>
    </row>
    <row r="995" spans="1:10" ht="15.75" x14ac:dyDescent="0.25">
      <c r="A995" s="13">
        <v>71224</v>
      </c>
      <c r="B995" s="10">
        <f>70.42 * CHOOSE(CONTROL!$C$15, $E$9, 100%, $G$9) + CHOOSE(CONTROL!$C$38, 0.0256, 0)</f>
        <v>70.445599999999999</v>
      </c>
      <c r="C995" s="10">
        <f>65.0344 * CHOOSE(CONTROL!$C$15, $E$9, 100%, $G$9) + CHOOSE(CONTROL!$C$38, 0.0347, 0)</f>
        <v>65.069100000000006</v>
      </c>
      <c r="D995" s="10">
        <f>65.0265 * CHOOSE(CONTROL!$C$15, $E$9, 100%, $G$9) + CHOOSE(CONTROL!$C$38, 0.0347, 0)</f>
        <v>65.061199999999999</v>
      </c>
      <c r="E995" s="46">
        <f>70.2637 * CHOOSE(CONTROL!$C$15, $E$9, 100%, $G$9) + CHOOSE(CONTROL!$C$38, 0.0347, 0)</f>
        <v>70.298400000000001</v>
      </c>
      <c r="F995" s="45">
        <f>70.2637 * CHOOSE(CONTROL!$C$15, $E$9, 100%, $G$9) + CHOOSE(CONTROL!$C$38, 0.0256, 0)</f>
        <v>70.289299999999997</v>
      </c>
      <c r="G995" s="10">
        <f>65.0328 * CHOOSE(CONTROL!$C$15, $E$9, 100%, $G$9) + CHOOSE(CONTROL!$C$38, 0.0347, 0)</f>
        <v>65.067499999999995</v>
      </c>
      <c r="H995" s="10">
        <f>65.0328 * CHOOSE(CONTROL!$C$15, $E$9, 100%, $G$9) + CHOOSE(CONTROL!$C$38, 0.0347, 0)</f>
        <v>65.067499999999995</v>
      </c>
      <c r="I995" s="10">
        <f>65.0344 * CHOOSE(CONTROL!$C$15, $E$9, 100%, $G$9) + CHOOSE(CONTROL!$C$38, 0.0347, 0)</f>
        <v>65.069100000000006</v>
      </c>
      <c r="J995" s="44">
        <f>616.9351</f>
        <v>616.93510000000003</v>
      </c>
    </row>
    <row r="996" spans="1:10" ht="15.75" x14ac:dyDescent="0.25">
      <c r="A996" s="13">
        <v>71255</v>
      </c>
      <c r="B996" s="10">
        <f>72.0259 * CHOOSE(CONTROL!$C$15, $E$9, 100%, $G$9) + CHOOSE(CONTROL!$C$38, 0.0256, 0)</f>
        <v>72.05149999999999</v>
      </c>
      <c r="C996" s="10">
        <f>66.5545 * CHOOSE(CONTROL!$C$15, $E$9, 100%, $G$9) + CHOOSE(CONTROL!$C$38, 0.0347, 0)</f>
        <v>66.589200000000005</v>
      </c>
      <c r="D996" s="10">
        <f>66.5467 * CHOOSE(CONTROL!$C$15, $E$9, 100%, $G$9) + CHOOSE(CONTROL!$C$38, 0.0347, 0)</f>
        <v>66.581400000000002</v>
      </c>
      <c r="E996" s="46">
        <f>71.8697 * CHOOSE(CONTROL!$C$15, $E$9, 100%, $G$9) + CHOOSE(CONTROL!$C$38, 0.0347, 0)</f>
        <v>71.904399999999995</v>
      </c>
      <c r="F996" s="45">
        <f>71.8697 * CHOOSE(CONTROL!$C$15, $E$9, 100%, $G$9) + CHOOSE(CONTROL!$C$38, 0.0256, 0)</f>
        <v>71.895299999999992</v>
      </c>
      <c r="G996" s="10">
        <f>66.553 * CHOOSE(CONTROL!$C$15, $E$9, 100%, $G$9) + CHOOSE(CONTROL!$C$38, 0.0347, 0)</f>
        <v>66.587699999999998</v>
      </c>
      <c r="H996" s="10">
        <f>66.553 * CHOOSE(CONTROL!$C$15, $E$9, 100%, $G$9) + CHOOSE(CONTROL!$C$38, 0.0347, 0)</f>
        <v>66.587699999999998</v>
      </c>
      <c r="I996" s="10">
        <f>66.5545 * CHOOSE(CONTROL!$C$15, $E$9, 100%, $G$9) + CHOOSE(CONTROL!$C$38, 0.0347, 0)</f>
        <v>66.589200000000005</v>
      </c>
      <c r="J996" s="44">
        <f>615.7569</f>
        <v>615.75689999999997</v>
      </c>
    </row>
    <row r="997" spans="1:10" ht="15.75" x14ac:dyDescent="0.25">
      <c r="A997" s="13">
        <v>71283</v>
      </c>
      <c r="B997" s="10">
        <f>72.2467 * CHOOSE(CONTROL!$C$15, $E$9, 100%, $G$9) + CHOOSE(CONTROL!$C$38, 0.0256, 0)</f>
        <v>72.272300000000001</v>
      </c>
      <c r="C997" s="10">
        <f>66.7753 * CHOOSE(CONTROL!$C$15, $E$9, 100%, $G$9) + CHOOSE(CONTROL!$C$38, 0.0347, 0)</f>
        <v>66.81</v>
      </c>
      <c r="D997" s="10">
        <f>66.7675 * CHOOSE(CONTROL!$C$15, $E$9, 100%, $G$9) + CHOOSE(CONTROL!$C$38, 0.0347, 0)</f>
        <v>66.802199999999999</v>
      </c>
      <c r="E997" s="46">
        <f>72.0904 * CHOOSE(CONTROL!$C$15, $E$9, 100%, $G$9) + CHOOSE(CONTROL!$C$38, 0.0347, 0)</f>
        <v>72.125100000000003</v>
      </c>
      <c r="F997" s="45">
        <f>72.0904 * CHOOSE(CONTROL!$C$15, $E$9, 100%, $G$9) + CHOOSE(CONTROL!$C$38, 0.0256, 0)</f>
        <v>72.116</v>
      </c>
      <c r="G997" s="10">
        <f>66.7737 * CHOOSE(CONTROL!$C$15, $E$9, 100%, $G$9) + CHOOSE(CONTROL!$C$38, 0.0347, 0)</f>
        <v>66.808400000000006</v>
      </c>
      <c r="H997" s="10">
        <f>66.7737 * CHOOSE(CONTROL!$C$15, $E$9, 100%, $G$9) + CHOOSE(CONTROL!$C$38, 0.0347, 0)</f>
        <v>66.808400000000006</v>
      </c>
      <c r="I997" s="10">
        <f>66.7753 * CHOOSE(CONTROL!$C$15, $E$9, 100%, $G$9) + CHOOSE(CONTROL!$C$38, 0.0347, 0)</f>
        <v>66.81</v>
      </c>
      <c r="J997" s="44">
        <f>614.0453</f>
        <v>614.0453</v>
      </c>
    </row>
    <row r="998" spans="1:10" ht="15.75" x14ac:dyDescent="0.25">
      <c r="A998" s="13">
        <v>71314</v>
      </c>
      <c r="B998" s="10">
        <f>71.7357 * CHOOSE(CONTROL!$C$15, $E$9, 100%, $G$9) + CHOOSE(CONTROL!$C$38, 0.0256, 0)</f>
        <v>71.761299999999991</v>
      </c>
      <c r="C998" s="10">
        <f>66.2643 * CHOOSE(CONTROL!$C$15, $E$9, 100%, $G$9) + CHOOSE(CONTROL!$C$38, 0.0347, 0)</f>
        <v>66.299000000000007</v>
      </c>
      <c r="D998" s="10">
        <f>66.2565 * CHOOSE(CONTROL!$C$15, $E$9, 100%, $G$9) + CHOOSE(CONTROL!$C$38, 0.0347, 0)</f>
        <v>66.291200000000003</v>
      </c>
      <c r="E998" s="46">
        <f>71.5794 * CHOOSE(CONTROL!$C$15, $E$9, 100%, $G$9) + CHOOSE(CONTROL!$C$38, 0.0347, 0)</f>
        <v>71.614100000000008</v>
      </c>
      <c r="F998" s="45">
        <f>71.5794 * CHOOSE(CONTROL!$C$15, $E$9, 100%, $G$9) + CHOOSE(CONTROL!$C$38, 0.0256, 0)</f>
        <v>71.605000000000004</v>
      </c>
      <c r="G998" s="10">
        <f>66.2627 * CHOOSE(CONTROL!$C$15, $E$9, 100%, $G$9) + CHOOSE(CONTROL!$C$38, 0.0347, 0)</f>
        <v>66.297399999999996</v>
      </c>
      <c r="H998" s="10">
        <f>66.2627 * CHOOSE(CONTROL!$C$15, $E$9, 100%, $G$9) + CHOOSE(CONTROL!$C$38, 0.0347, 0)</f>
        <v>66.297399999999996</v>
      </c>
      <c r="I998" s="10">
        <f>66.2643 * CHOOSE(CONTROL!$C$15, $E$9, 100%, $G$9) + CHOOSE(CONTROL!$C$38, 0.0347, 0)</f>
        <v>66.299000000000007</v>
      </c>
      <c r="J998" s="44">
        <f>646.409</f>
        <v>646.40899999999999</v>
      </c>
    </row>
    <row r="999" spans="1:10" ht="15.75" x14ac:dyDescent="0.25">
      <c r="A999" s="13">
        <v>71344</v>
      </c>
      <c r="B999" s="10">
        <f>71.2405 * CHOOSE(CONTROL!$C$15, $E$9, 100%, $G$9) + CHOOSE(CONTROL!$C$38, 0.0256, 0)</f>
        <v>71.266099999999994</v>
      </c>
      <c r="C999" s="10">
        <f>65.7691 * CHOOSE(CONTROL!$C$15, $E$9, 100%, $G$9) + CHOOSE(CONTROL!$C$38, 0.0347, 0)</f>
        <v>65.803799999999995</v>
      </c>
      <c r="D999" s="10">
        <f>65.7613 * CHOOSE(CONTROL!$C$15, $E$9, 100%, $G$9) + CHOOSE(CONTROL!$C$38, 0.0347, 0)</f>
        <v>65.796000000000006</v>
      </c>
      <c r="E999" s="46">
        <f>71.0842 * CHOOSE(CONTROL!$C$15, $E$9, 100%, $G$9) + CHOOSE(CONTROL!$C$38, 0.0347, 0)</f>
        <v>71.118899999999996</v>
      </c>
      <c r="F999" s="45">
        <f>71.0842 * CHOOSE(CONTROL!$C$15, $E$9, 100%, $G$9) + CHOOSE(CONTROL!$C$38, 0.0256, 0)</f>
        <v>71.109799999999993</v>
      </c>
      <c r="G999" s="10">
        <f>65.7675 * CHOOSE(CONTROL!$C$15, $E$9, 100%, $G$9) + CHOOSE(CONTROL!$C$38, 0.0347, 0)</f>
        <v>65.802199999999999</v>
      </c>
      <c r="H999" s="10">
        <f>65.7675 * CHOOSE(CONTROL!$C$15, $E$9, 100%, $G$9) + CHOOSE(CONTROL!$C$38, 0.0347, 0)</f>
        <v>65.802199999999999</v>
      </c>
      <c r="I999" s="10">
        <f>65.7691 * CHOOSE(CONTROL!$C$15, $E$9, 100%, $G$9) + CHOOSE(CONTROL!$C$38, 0.0347, 0)</f>
        <v>65.803799999999995</v>
      </c>
      <c r="J999" s="44">
        <f>688.3771</f>
        <v>688.37710000000004</v>
      </c>
    </row>
    <row r="1000" spans="1:10" ht="15.75" x14ac:dyDescent="0.25">
      <c r="A1000" s="13">
        <v>71375</v>
      </c>
      <c r="B1000" s="10">
        <f>70.7244 * CHOOSE(CONTROL!$C$15, $E$9, 100%, $G$9) + CHOOSE(CONTROL!$C$38, 0.0278, 0)</f>
        <v>70.752200000000002</v>
      </c>
      <c r="C1000" s="10">
        <f>65.253 * CHOOSE(CONTROL!$C$15, $E$9, 100%, $G$9) + CHOOSE(CONTROL!$C$38, 0.0369, 0)</f>
        <v>65.289900000000003</v>
      </c>
      <c r="D1000" s="10">
        <f>65.2452 * CHOOSE(CONTROL!$C$15, $E$9, 100%, $G$9) + CHOOSE(CONTROL!$C$38, 0.0369, 0)</f>
        <v>65.2821</v>
      </c>
      <c r="E1000" s="46">
        <f>70.5681 * CHOOSE(CONTROL!$C$15, $E$9, 100%, $G$9) + CHOOSE(CONTROL!$C$38, 0.0369, 0)</f>
        <v>70.605000000000004</v>
      </c>
      <c r="F1000" s="45">
        <f>70.5681 * CHOOSE(CONTROL!$C$15, $E$9, 100%, $G$9) + CHOOSE(CONTROL!$C$38, 0.0278, 0)</f>
        <v>70.5959</v>
      </c>
      <c r="G1000" s="10">
        <f>65.2514 * CHOOSE(CONTROL!$C$15, $E$9, 100%, $G$9) + CHOOSE(CONTROL!$C$38, 0.0369, 0)</f>
        <v>65.288300000000007</v>
      </c>
      <c r="H1000" s="10">
        <f>65.2514 * CHOOSE(CONTROL!$C$15, $E$9, 100%, $G$9) + CHOOSE(CONTROL!$C$38, 0.0369, 0)</f>
        <v>65.288300000000007</v>
      </c>
      <c r="I1000" s="10">
        <f>65.253 * CHOOSE(CONTROL!$C$15, $E$9, 100%, $G$9) + CHOOSE(CONTROL!$C$38, 0.0369, 0)</f>
        <v>65.289900000000003</v>
      </c>
      <c r="J1000" s="44">
        <f>711.4776</f>
        <v>711.47760000000005</v>
      </c>
    </row>
    <row r="1001" spans="1:10" ht="15.75" x14ac:dyDescent="0.25">
      <c r="A1001" s="13">
        <v>71405</v>
      </c>
      <c r="B1001" s="10">
        <f>70.3625 * CHOOSE(CONTROL!$C$15, $E$9, 100%, $G$9) + CHOOSE(CONTROL!$C$38, 0.0278, 0)</f>
        <v>70.390299999999996</v>
      </c>
      <c r="C1001" s="10">
        <f>64.8912 * CHOOSE(CONTROL!$C$15, $E$9, 100%, $G$9) + CHOOSE(CONTROL!$C$38, 0.0369, 0)</f>
        <v>64.928100000000001</v>
      </c>
      <c r="D1001" s="10">
        <f>64.8833 * CHOOSE(CONTROL!$C$15, $E$9, 100%, $G$9) + CHOOSE(CONTROL!$C$38, 0.0369, 0)</f>
        <v>64.920200000000008</v>
      </c>
      <c r="E1001" s="46">
        <f>70.2063 * CHOOSE(CONTROL!$C$15, $E$9, 100%, $G$9) + CHOOSE(CONTROL!$C$38, 0.0369, 0)</f>
        <v>70.243200000000002</v>
      </c>
      <c r="F1001" s="45">
        <f>70.2063 * CHOOSE(CONTROL!$C$15, $E$9, 100%, $G$9) + CHOOSE(CONTROL!$C$38, 0.0278, 0)</f>
        <v>70.234099999999998</v>
      </c>
      <c r="G1001" s="10">
        <f>64.8896 * CHOOSE(CONTROL!$C$15, $E$9, 100%, $G$9) + CHOOSE(CONTROL!$C$38, 0.0369, 0)</f>
        <v>64.926500000000004</v>
      </c>
      <c r="H1001" s="10">
        <f>64.8896 * CHOOSE(CONTROL!$C$15, $E$9, 100%, $G$9) + CHOOSE(CONTROL!$C$38, 0.0369, 0)</f>
        <v>64.926500000000004</v>
      </c>
      <c r="I1001" s="10">
        <f>64.8912 * CHOOSE(CONTROL!$C$15, $E$9, 100%, $G$9) + CHOOSE(CONTROL!$C$38, 0.0369, 0)</f>
        <v>64.928100000000001</v>
      </c>
      <c r="J1001" s="44">
        <f>721.7293</f>
        <v>721.72929999999997</v>
      </c>
    </row>
    <row r="1002" spans="1:10" ht="15.75" x14ac:dyDescent="0.25">
      <c r="A1002" s="13">
        <v>71436</v>
      </c>
      <c r="B1002" s="10">
        <f>70.156 * CHOOSE(CONTROL!$C$15, $E$9, 100%, $G$9) + CHOOSE(CONTROL!$C$38, 0.0278, 0)</f>
        <v>70.183800000000005</v>
      </c>
      <c r="C1002" s="10">
        <f>64.6847 * CHOOSE(CONTROL!$C$15, $E$9, 100%, $G$9) + CHOOSE(CONTROL!$C$38, 0.0369, 0)</f>
        <v>64.721600000000009</v>
      </c>
      <c r="D1002" s="10">
        <f>64.6769 * CHOOSE(CONTROL!$C$15, $E$9, 100%, $G$9) + CHOOSE(CONTROL!$C$38, 0.0369, 0)</f>
        <v>64.713800000000006</v>
      </c>
      <c r="E1002" s="46">
        <f>69.9998 * CHOOSE(CONTROL!$C$15, $E$9, 100%, $G$9) + CHOOSE(CONTROL!$C$38, 0.0369, 0)</f>
        <v>70.036699999999996</v>
      </c>
      <c r="F1002" s="45">
        <f>69.9998 * CHOOSE(CONTROL!$C$15, $E$9, 100%, $G$9) + CHOOSE(CONTROL!$C$38, 0.0278, 0)</f>
        <v>70.027599999999993</v>
      </c>
      <c r="G1002" s="10">
        <f>64.6831 * CHOOSE(CONTROL!$C$15, $E$9, 100%, $G$9) + CHOOSE(CONTROL!$C$38, 0.0369, 0)</f>
        <v>64.72</v>
      </c>
      <c r="H1002" s="10">
        <f>64.6831 * CHOOSE(CONTROL!$C$15, $E$9, 100%, $G$9) + CHOOSE(CONTROL!$C$38, 0.0369, 0)</f>
        <v>64.72</v>
      </c>
      <c r="I1002" s="10">
        <f>64.6847 * CHOOSE(CONTROL!$C$15, $E$9, 100%, $G$9) + CHOOSE(CONTROL!$C$38, 0.0369, 0)</f>
        <v>64.721600000000009</v>
      </c>
      <c r="J1002" s="44">
        <f>718.3539</f>
        <v>718.35389999999995</v>
      </c>
    </row>
    <row r="1003" spans="1:10" ht="15.75" x14ac:dyDescent="0.25">
      <c r="A1003" s="13">
        <v>71467</v>
      </c>
      <c r="B1003" s="10">
        <f>70.258 * CHOOSE(CONTROL!$C$15, $E$9, 100%, $G$9) + CHOOSE(CONTROL!$C$38, 0.0278, 0)</f>
        <v>70.285799999999995</v>
      </c>
      <c r="C1003" s="10">
        <f>64.7866 * CHOOSE(CONTROL!$C$15, $E$9, 100%, $G$9) + CHOOSE(CONTROL!$C$38, 0.0369, 0)</f>
        <v>64.82350000000001</v>
      </c>
      <c r="D1003" s="10">
        <f>64.7788 * CHOOSE(CONTROL!$C$15, $E$9, 100%, $G$9) + CHOOSE(CONTROL!$C$38, 0.0369, 0)</f>
        <v>64.815700000000007</v>
      </c>
      <c r="E1003" s="46">
        <f>70.1017 * CHOOSE(CONTROL!$C$15, $E$9, 100%, $G$9) + CHOOSE(CONTROL!$C$38, 0.0369, 0)</f>
        <v>70.138599999999997</v>
      </c>
      <c r="F1003" s="45">
        <f>70.1017 * CHOOSE(CONTROL!$C$15, $E$9, 100%, $G$9) + CHOOSE(CONTROL!$C$38, 0.0278, 0)</f>
        <v>70.129499999999993</v>
      </c>
      <c r="G1003" s="10">
        <f>64.785 * CHOOSE(CONTROL!$C$15, $E$9, 100%, $G$9) + CHOOSE(CONTROL!$C$38, 0.0369, 0)</f>
        <v>64.821899999999999</v>
      </c>
      <c r="H1003" s="10">
        <f>64.785 * CHOOSE(CONTROL!$C$15, $E$9, 100%, $G$9) + CHOOSE(CONTROL!$C$38, 0.0369, 0)</f>
        <v>64.821899999999999</v>
      </c>
      <c r="I1003" s="10">
        <f>64.7866 * CHOOSE(CONTROL!$C$15, $E$9, 100%, $G$9) + CHOOSE(CONTROL!$C$38, 0.0369, 0)</f>
        <v>64.82350000000001</v>
      </c>
      <c r="J1003" s="44">
        <f>701.631</f>
        <v>701.63099999999997</v>
      </c>
    </row>
    <row r="1004" spans="1:10" ht="15.75" x14ac:dyDescent="0.25">
      <c r="A1004" s="13">
        <v>71497</v>
      </c>
      <c r="B1004" s="10">
        <f>70.5348 * CHOOSE(CONTROL!$C$15, $E$9, 100%, $G$9) + CHOOSE(CONTROL!$C$38, 0.0278, 0)</f>
        <v>70.562600000000003</v>
      </c>
      <c r="C1004" s="10">
        <f>65.0634 * CHOOSE(CONTROL!$C$15, $E$9, 100%, $G$9) + CHOOSE(CONTROL!$C$38, 0.0369, 0)</f>
        <v>65.100300000000004</v>
      </c>
      <c r="D1004" s="10">
        <f>65.0556 * CHOOSE(CONTROL!$C$15, $E$9, 100%, $G$9) + CHOOSE(CONTROL!$C$38, 0.0369, 0)</f>
        <v>65.092500000000001</v>
      </c>
      <c r="E1004" s="46">
        <f>70.3785 * CHOOSE(CONTROL!$C$15, $E$9, 100%, $G$9) + CHOOSE(CONTROL!$C$38, 0.0369, 0)</f>
        <v>70.415400000000005</v>
      </c>
      <c r="F1004" s="45">
        <f>70.3785 * CHOOSE(CONTROL!$C$15, $E$9, 100%, $G$9) + CHOOSE(CONTROL!$C$38, 0.0278, 0)</f>
        <v>70.406300000000002</v>
      </c>
      <c r="G1004" s="10">
        <f>65.0618 * CHOOSE(CONTROL!$C$15, $E$9, 100%, $G$9) + CHOOSE(CONTROL!$C$38, 0.0369, 0)</f>
        <v>65.098700000000008</v>
      </c>
      <c r="H1004" s="10">
        <f>65.0618 * CHOOSE(CONTROL!$C$15, $E$9, 100%, $G$9) + CHOOSE(CONTROL!$C$38, 0.0369, 0)</f>
        <v>65.098700000000008</v>
      </c>
      <c r="I1004" s="10">
        <f>65.0634 * CHOOSE(CONTROL!$C$15, $E$9, 100%, $G$9) + CHOOSE(CONTROL!$C$38, 0.0369, 0)</f>
        <v>65.100300000000004</v>
      </c>
      <c r="J1004" s="44">
        <f>678.31</f>
        <v>678.31</v>
      </c>
    </row>
    <row r="1005" spans="1:10" ht="15.75" x14ac:dyDescent="0.25">
      <c r="A1005" s="13">
        <v>71528</v>
      </c>
      <c r="B1005" s="10">
        <f>70.7666 * CHOOSE(CONTROL!$C$15, $E$9, 100%, $G$9) + CHOOSE(CONTROL!$C$38, 0.0256, 0)</f>
        <v>70.792199999999994</v>
      </c>
      <c r="C1005" s="10">
        <f>65.2952 * CHOOSE(CONTROL!$C$15, $E$9, 100%, $G$9) + CHOOSE(CONTROL!$C$38, 0.0347, 0)</f>
        <v>65.329899999999995</v>
      </c>
      <c r="D1005" s="10">
        <f>65.2874 * CHOOSE(CONTROL!$C$15, $E$9, 100%, $G$9) + CHOOSE(CONTROL!$C$38, 0.0347, 0)</f>
        <v>65.322100000000006</v>
      </c>
      <c r="E1005" s="46">
        <f>70.6103 * CHOOSE(CONTROL!$C$15, $E$9, 100%, $G$9) + CHOOSE(CONTROL!$C$38, 0.0347, 0)</f>
        <v>70.644999999999996</v>
      </c>
      <c r="F1005" s="45">
        <f>70.6103 * CHOOSE(CONTROL!$C$15, $E$9, 100%, $G$9) + CHOOSE(CONTROL!$C$38, 0.0256, 0)</f>
        <v>70.635899999999992</v>
      </c>
      <c r="G1005" s="10">
        <f>65.2936 * CHOOSE(CONTROL!$C$15, $E$9, 100%, $G$9) + CHOOSE(CONTROL!$C$38, 0.0347, 0)</f>
        <v>65.328299999999999</v>
      </c>
      <c r="H1005" s="10">
        <f>65.2936 * CHOOSE(CONTROL!$C$15, $E$9, 100%, $G$9) + CHOOSE(CONTROL!$C$38, 0.0347, 0)</f>
        <v>65.328299999999999</v>
      </c>
      <c r="I1005" s="10">
        <f>65.2952 * CHOOSE(CONTROL!$C$15, $E$9, 100%, $G$9) + CHOOSE(CONTROL!$C$38, 0.0347, 0)</f>
        <v>65.329899999999995</v>
      </c>
      <c r="J1005" s="44">
        <f>654.8533</f>
        <v>654.85329999999999</v>
      </c>
    </row>
    <row r="1006" spans="1:10" ht="15.75" x14ac:dyDescent="0.25">
      <c r="A1006" s="13">
        <v>71558</v>
      </c>
      <c r="B1006" s="10">
        <f>70.96 * CHOOSE(CONTROL!$C$15, $E$9, 100%, $G$9) + CHOOSE(CONTROL!$C$38, 0.0256, 0)</f>
        <v>70.985599999999991</v>
      </c>
      <c r="C1006" s="10">
        <f>65.4886 * CHOOSE(CONTROL!$C$15, $E$9, 100%, $G$9) + CHOOSE(CONTROL!$C$38, 0.0347, 0)</f>
        <v>65.523300000000006</v>
      </c>
      <c r="D1006" s="10">
        <f>65.4808 * CHOOSE(CONTROL!$C$15, $E$9, 100%, $G$9) + CHOOSE(CONTROL!$C$38, 0.0347, 0)</f>
        <v>65.515500000000003</v>
      </c>
      <c r="E1006" s="46">
        <f>70.8038 * CHOOSE(CONTROL!$C$15, $E$9, 100%, $G$9) + CHOOSE(CONTROL!$C$38, 0.0347, 0)</f>
        <v>70.838499999999996</v>
      </c>
      <c r="F1006" s="45">
        <f>70.8038 * CHOOSE(CONTROL!$C$15, $E$9, 100%, $G$9) + CHOOSE(CONTROL!$C$38, 0.0256, 0)</f>
        <v>70.829399999999993</v>
      </c>
      <c r="G1006" s="10">
        <f>65.4871 * CHOOSE(CONTROL!$C$15, $E$9, 100%, $G$9) + CHOOSE(CONTROL!$C$38, 0.0347, 0)</f>
        <v>65.521799999999999</v>
      </c>
      <c r="H1006" s="10">
        <f>65.4871 * CHOOSE(CONTROL!$C$15, $E$9, 100%, $G$9) + CHOOSE(CONTROL!$C$38, 0.0347, 0)</f>
        <v>65.521799999999999</v>
      </c>
      <c r="I1006" s="10">
        <f>65.4886 * CHOOSE(CONTROL!$C$15, $E$9, 100%, $G$9) + CHOOSE(CONTROL!$C$38, 0.0347, 0)</f>
        <v>65.523300000000006</v>
      </c>
      <c r="J1006" s="44">
        <f>650.1873</f>
        <v>650.18730000000005</v>
      </c>
    </row>
    <row r="1007" spans="1:10" ht="15.75" x14ac:dyDescent="0.25">
      <c r="A1007" s="13">
        <v>71589</v>
      </c>
      <c r="B1007" s="10">
        <f>71.5561 * CHOOSE(CONTROL!$C$15, $E$9, 100%, $G$9) + CHOOSE(CONTROL!$C$38, 0.0256, 0)</f>
        <v>71.581699999999998</v>
      </c>
      <c r="C1007" s="10">
        <f>66.0847 * CHOOSE(CONTROL!$C$15, $E$9, 100%, $G$9) + CHOOSE(CONTROL!$C$38, 0.0347, 0)</f>
        <v>66.119399999999999</v>
      </c>
      <c r="D1007" s="10">
        <f>66.0769 * CHOOSE(CONTROL!$C$15, $E$9, 100%, $G$9) + CHOOSE(CONTROL!$C$38, 0.0347, 0)</f>
        <v>66.111599999999996</v>
      </c>
      <c r="E1007" s="46">
        <f>71.3998 * CHOOSE(CONTROL!$C$15, $E$9, 100%, $G$9) + CHOOSE(CONTROL!$C$38, 0.0347, 0)</f>
        <v>71.4345</v>
      </c>
      <c r="F1007" s="45">
        <f>71.3998 * CHOOSE(CONTROL!$C$15, $E$9, 100%, $G$9) + CHOOSE(CONTROL!$C$38, 0.0256, 0)</f>
        <v>71.425399999999996</v>
      </c>
      <c r="G1007" s="10">
        <f>66.0831 * CHOOSE(CONTROL!$C$15, $E$9, 100%, $G$9) + CHOOSE(CONTROL!$C$38, 0.0347, 0)</f>
        <v>66.117800000000003</v>
      </c>
      <c r="H1007" s="10">
        <f>66.0831 * CHOOSE(CONTROL!$C$15, $E$9, 100%, $G$9) + CHOOSE(CONTROL!$C$38, 0.0347, 0)</f>
        <v>66.117800000000003</v>
      </c>
      <c r="I1007" s="10">
        <f>66.0847 * CHOOSE(CONTROL!$C$15, $E$9, 100%, $G$9) + CHOOSE(CONTROL!$C$38, 0.0347, 0)</f>
        <v>66.119399999999999</v>
      </c>
      <c r="J1007" s="44">
        <f>630.893</f>
        <v>630.89300000000003</v>
      </c>
    </row>
    <row r="1008" spans="1:10" ht="15.75" x14ac:dyDescent="0.25">
      <c r="A1008" s="13">
        <v>71620</v>
      </c>
      <c r="B1008" s="10">
        <f>73.1806 * CHOOSE(CONTROL!$C$15, $E$9, 100%, $G$9) + CHOOSE(CONTROL!$C$38, 0.0256, 0)</f>
        <v>73.206199999999995</v>
      </c>
      <c r="C1008" s="10">
        <f>67.6221 * CHOOSE(CONTROL!$C$15, $E$9, 100%, $G$9) + CHOOSE(CONTROL!$C$38, 0.0347, 0)</f>
        <v>67.656800000000004</v>
      </c>
      <c r="D1008" s="10">
        <f>67.6143 * CHOOSE(CONTROL!$C$15, $E$9, 100%, $G$9) + CHOOSE(CONTROL!$C$38, 0.0347, 0)</f>
        <v>67.649000000000001</v>
      </c>
      <c r="E1008" s="46">
        <f>73.0244 * CHOOSE(CONTROL!$C$15, $E$9, 100%, $G$9) + CHOOSE(CONTROL!$C$38, 0.0347, 0)</f>
        <v>73.059100000000001</v>
      </c>
      <c r="F1008" s="45">
        <f>73.0244 * CHOOSE(CONTROL!$C$15, $E$9, 100%, $G$9) + CHOOSE(CONTROL!$C$38, 0.0256, 0)</f>
        <v>73.05</v>
      </c>
      <c r="G1008" s="10">
        <f>67.6206 * CHOOSE(CONTROL!$C$15, $E$9, 100%, $G$9) + CHOOSE(CONTROL!$C$38, 0.0347, 0)</f>
        <v>67.655299999999997</v>
      </c>
      <c r="H1008" s="10">
        <f>67.6206 * CHOOSE(CONTROL!$C$15, $E$9, 100%, $G$9) + CHOOSE(CONTROL!$C$38, 0.0347, 0)</f>
        <v>67.655299999999997</v>
      </c>
      <c r="I1008" s="10">
        <f>67.6221 * CHOOSE(CONTROL!$C$15, $E$9, 100%, $G$9) + CHOOSE(CONTROL!$C$38, 0.0347, 0)</f>
        <v>67.656800000000004</v>
      </c>
      <c r="J1008" s="44">
        <f>629.6881</f>
        <v>629.68809999999996</v>
      </c>
    </row>
    <row r="1009" spans="1:10" ht="15.75" x14ac:dyDescent="0.25">
      <c r="A1009" s="13">
        <v>71649</v>
      </c>
      <c r="B1009" s="10">
        <f>73.4014 * CHOOSE(CONTROL!$C$15, $E$9, 100%, $G$9) + CHOOSE(CONTROL!$C$38, 0.0256, 0)</f>
        <v>73.426999999999992</v>
      </c>
      <c r="C1009" s="10">
        <f>67.8429 * CHOOSE(CONTROL!$C$15, $E$9, 100%, $G$9) + CHOOSE(CONTROL!$C$38, 0.0347, 0)</f>
        <v>67.877600000000001</v>
      </c>
      <c r="D1009" s="10">
        <f>67.8351 * CHOOSE(CONTROL!$C$15, $E$9, 100%, $G$9) + CHOOSE(CONTROL!$C$38, 0.0347, 0)</f>
        <v>67.869799999999998</v>
      </c>
      <c r="E1009" s="46">
        <f>73.2452 * CHOOSE(CONTROL!$C$15, $E$9, 100%, $G$9) + CHOOSE(CONTROL!$C$38, 0.0347, 0)</f>
        <v>73.279899999999998</v>
      </c>
      <c r="F1009" s="45">
        <f>73.2452 * CHOOSE(CONTROL!$C$15, $E$9, 100%, $G$9) + CHOOSE(CONTROL!$C$38, 0.0256, 0)</f>
        <v>73.270799999999994</v>
      </c>
      <c r="G1009" s="10">
        <f>67.8413 * CHOOSE(CONTROL!$C$15, $E$9, 100%, $G$9) + CHOOSE(CONTROL!$C$38, 0.0347, 0)</f>
        <v>67.876000000000005</v>
      </c>
      <c r="H1009" s="10">
        <f>67.8413 * CHOOSE(CONTROL!$C$15, $E$9, 100%, $G$9) + CHOOSE(CONTROL!$C$38, 0.0347, 0)</f>
        <v>67.876000000000005</v>
      </c>
      <c r="I1009" s="10">
        <f>67.8429 * CHOOSE(CONTROL!$C$15, $E$9, 100%, $G$9) + CHOOSE(CONTROL!$C$38, 0.0347, 0)</f>
        <v>67.877600000000001</v>
      </c>
      <c r="J1009" s="44">
        <f>627.9378</f>
        <v>627.93780000000004</v>
      </c>
    </row>
    <row r="1010" spans="1:10" ht="15.75" x14ac:dyDescent="0.25">
      <c r="A1010" s="13">
        <v>71680</v>
      </c>
      <c r="B1010" s="10">
        <f>72.8904 * CHOOSE(CONTROL!$C$15, $E$9, 100%, $G$9) + CHOOSE(CONTROL!$C$38, 0.0256, 0)</f>
        <v>72.915999999999997</v>
      </c>
      <c r="C1010" s="10">
        <f>67.3319 * CHOOSE(CONTROL!$C$15, $E$9, 100%, $G$9) + CHOOSE(CONTROL!$C$38, 0.0347, 0)</f>
        <v>67.366600000000005</v>
      </c>
      <c r="D1010" s="10">
        <f>67.324 * CHOOSE(CONTROL!$C$15, $E$9, 100%, $G$9) + CHOOSE(CONTROL!$C$38, 0.0347, 0)</f>
        <v>67.358699999999999</v>
      </c>
      <c r="E1010" s="46">
        <f>72.7341 * CHOOSE(CONTROL!$C$15, $E$9, 100%, $G$9) + CHOOSE(CONTROL!$C$38, 0.0347, 0)</f>
        <v>72.768799999999999</v>
      </c>
      <c r="F1010" s="45">
        <f>72.7341 * CHOOSE(CONTROL!$C$15, $E$9, 100%, $G$9) + CHOOSE(CONTROL!$C$38, 0.0256, 0)</f>
        <v>72.759699999999995</v>
      </c>
      <c r="G1010" s="10">
        <f>67.3303 * CHOOSE(CONTROL!$C$15, $E$9, 100%, $G$9) + CHOOSE(CONTROL!$C$38, 0.0347, 0)</f>
        <v>67.364999999999995</v>
      </c>
      <c r="H1010" s="10">
        <f>67.3303 * CHOOSE(CONTROL!$C$15, $E$9, 100%, $G$9) + CHOOSE(CONTROL!$C$38, 0.0347, 0)</f>
        <v>67.364999999999995</v>
      </c>
      <c r="I1010" s="10">
        <f>67.3319 * CHOOSE(CONTROL!$C$15, $E$9, 100%, $G$9) + CHOOSE(CONTROL!$C$38, 0.0347, 0)</f>
        <v>67.366600000000005</v>
      </c>
      <c r="J1010" s="44">
        <f>661.0337</f>
        <v>661.03369999999995</v>
      </c>
    </row>
    <row r="1011" spans="1:10" ht="15.75" x14ac:dyDescent="0.25">
      <c r="A1011" s="13">
        <v>71710</v>
      </c>
      <c r="B1011" s="10">
        <f>72.3952 * CHOOSE(CONTROL!$C$15, $E$9, 100%, $G$9) + CHOOSE(CONTROL!$C$38, 0.0256, 0)</f>
        <v>72.4208</v>
      </c>
      <c r="C1011" s="10">
        <f>66.8367 * CHOOSE(CONTROL!$C$15, $E$9, 100%, $G$9) + CHOOSE(CONTROL!$C$38, 0.0347, 0)</f>
        <v>66.871399999999994</v>
      </c>
      <c r="D1011" s="10">
        <f>66.8289 * CHOOSE(CONTROL!$C$15, $E$9, 100%, $G$9) + CHOOSE(CONTROL!$C$38, 0.0347, 0)</f>
        <v>66.863600000000005</v>
      </c>
      <c r="E1011" s="46">
        <f>72.2389 * CHOOSE(CONTROL!$C$15, $E$9, 100%, $G$9) + CHOOSE(CONTROL!$C$38, 0.0347, 0)</f>
        <v>72.273600000000002</v>
      </c>
      <c r="F1011" s="45">
        <f>72.2389 * CHOOSE(CONTROL!$C$15, $E$9, 100%, $G$9) + CHOOSE(CONTROL!$C$38, 0.0256, 0)</f>
        <v>72.264499999999998</v>
      </c>
      <c r="G1011" s="10">
        <f>66.8351 * CHOOSE(CONTROL!$C$15, $E$9, 100%, $G$9) + CHOOSE(CONTROL!$C$38, 0.0347, 0)</f>
        <v>66.869799999999998</v>
      </c>
      <c r="H1011" s="10">
        <f>66.8351 * CHOOSE(CONTROL!$C$15, $E$9, 100%, $G$9) + CHOOSE(CONTROL!$C$38, 0.0347, 0)</f>
        <v>66.869799999999998</v>
      </c>
      <c r="I1011" s="10">
        <f>66.8367 * CHOOSE(CONTROL!$C$15, $E$9, 100%, $G$9) + CHOOSE(CONTROL!$C$38, 0.0347, 0)</f>
        <v>66.871399999999994</v>
      </c>
      <c r="J1011" s="44">
        <f>703.9513</f>
        <v>703.95129999999995</v>
      </c>
    </row>
    <row r="1012" spans="1:10" ht="15.75" x14ac:dyDescent="0.25">
      <c r="A1012" s="13">
        <v>71741</v>
      </c>
      <c r="B1012" s="10">
        <f>71.8791 * CHOOSE(CONTROL!$C$15, $E$9, 100%, $G$9) + CHOOSE(CONTROL!$C$38, 0.0278, 0)</f>
        <v>71.906899999999993</v>
      </c>
      <c r="C1012" s="10">
        <f>66.3206 * CHOOSE(CONTROL!$C$15, $E$9, 100%, $G$9) + CHOOSE(CONTROL!$C$38, 0.0369, 0)</f>
        <v>66.357500000000002</v>
      </c>
      <c r="D1012" s="10">
        <f>66.3127 * CHOOSE(CONTROL!$C$15, $E$9, 100%, $G$9) + CHOOSE(CONTROL!$C$38, 0.0369, 0)</f>
        <v>66.349600000000009</v>
      </c>
      <c r="E1012" s="46">
        <f>71.7228 * CHOOSE(CONTROL!$C$15, $E$9, 100%, $G$9) + CHOOSE(CONTROL!$C$38, 0.0369, 0)</f>
        <v>71.759700000000009</v>
      </c>
      <c r="F1012" s="45">
        <f>71.7228 * CHOOSE(CONTROL!$C$15, $E$9, 100%, $G$9) + CHOOSE(CONTROL!$C$38, 0.0278, 0)</f>
        <v>71.750600000000006</v>
      </c>
      <c r="G1012" s="10">
        <f>66.319 * CHOOSE(CONTROL!$C$15, $E$9, 100%, $G$9) + CHOOSE(CONTROL!$C$38, 0.0369, 0)</f>
        <v>66.355900000000005</v>
      </c>
      <c r="H1012" s="10">
        <f>66.319 * CHOOSE(CONTROL!$C$15, $E$9, 100%, $G$9) + CHOOSE(CONTROL!$C$38, 0.0369, 0)</f>
        <v>66.355900000000005</v>
      </c>
      <c r="I1012" s="10">
        <f>66.3206 * CHOOSE(CONTROL!$C$15, $E$9, 100%, $G$9) + CHOOSE(CONTROL!$C$38, 0.0369, 0)</f>
        <v>66.357500000000002</v>
      </c>
      <c r="J1012" s="44">
        <f>727.5745</f>
        <v>727.57449999999994</v>
      </c>
    </row>
    <row r="1013" spans="1:10" ht="15.75" x14ac:dyDescent="0.25">
      <c r="A1013" s="13">
        <v>71771</v>
      </c>
      <c r="B1013" s="10">
        <f>71.5173 * CHOOSE(CONTROL!$C$15, $E$9, 100%, $G$9) + CHOOSE(CONTROL!$C$38, 0.0278, 0)</f>
        <v>71.545100000000005</v>
      </c>
      <c r="C1013" s="10">
        <f>65.9587 * CHOOSE(CONTROL!$C$15, $E$9, 100%, $G$9) + CHOOSE(CONTROL!$C$38, 0.0369, 0)</f>
        <v>65.995599999999996</v>
      </c>
      <c r="D1013" s="10">
        <f>65.9509 * CHOOSE(CONTROL!$C$15, $E$9, 100%, $G$9) + CHOOSE(CONTROL!$C$38, 0.0369, 0)</f>
        <v>65.987800000000007</v>
      </c>
      <c r="E1013" s="46">
        <f>71.361 * CHOOSE(CONTROL!$C$15, $E$9, 100%, $G$9) + CHOOSE(CONTROL!$C$38, 0.0369, 0)</f>
        <v>71.397900000000007</v>
      </c>
      <c r="F1013" s="45">
        <f>71.361 * CHOOSE(CONTROL!$C$15, $E$9, 100%, $G$9) + CHOOSE(CONTROL!$C$38, 0.0278, 0)</f>
        <v>71.388800000000003</v>
      </c>
      <c r="G1013" s="10">
        <f>65.9572 * CHOOSE(CONTROL!$C$15, $E$9, 100%, $G$9) + CHOOSE(CONTROL!$C$38, 0.0369, 0)</f>
        <v>65.994100000000003</v>
      </c>
      <c r="H1013" s="10">
        <f>65.9572 * CHOOSE(CONTROL!$C$15, $E$9, 100%, $G$9) + CHOOSE(CONTROL!$C$38, 0.0369, 0)</f>
        <v>65.994100000000003</v>
      </c>
      <c r="I1013" s="10">
        <f>65.9587 * CHOOSE(CONTROL!$C$15, $E$9, 100%, $G$9) + CHOOSE(CONTROL!$C$38, 0.0369, 0)</f>
        <v>65.995599999999996</v>
      </c>
      <c r="J1013" s="44">
        <f>738.058</f>
        <v>738.05799999999999</v>
      </c>
    </row>
    <row r="1014" spans="1:10" ht="15.75" x14ac:dyDescent="0.25">
      <c r="A1014" s="13">
        <v>71802</v>
      </c>
      <c r="B1014" s="10">
        <f>71.3108 * CHOOSE(CONTROL!$C$15, $E$9, 100%, $G$9) + CHOOSE(CONTROL!$C$38, 0.0278, 0)</f>
        <v>71.3386</v>
      </c>
      <c r="C1014" s="10">
        <f>65.7522 * CHOOSE(CONTROL!$C$15, $E$9, 100%, $G$9) + CHOOSE(CONTROL!$C$38, 0.0369, 0)</f>
        <v>65.789100000000005</v>
      </c>
      <c r="D1014" s="10">
        <f>65.7444 * CHOOSE(CONTROL!$C$15, $E$9, 100%, $G$9) + CHOOSE(CONTROL!$C$38, 0.0369, 0)</f>
        <v>65.781300000000002</v>
      </c>
      <c r="E1014" s="46">
        <f>71.1545 * CHOOSE(CONTROL!$C$15, $E$9, 100%, $G$9) + CHOOSE(CONTROL!$C$38, 0.0369, 0)</f>
        <v>71.191400000000002</v>
      </c>
      <c r="F1014" s="45">
        <f>71.1545 * CHOOSE(CONTROL!$C$15, $E$9, 100%, $G$9) + CHOOSE(CONTROL!$C$38, 0.0278, 0)</f>
        <v>71.182299999999998</v>
      </c>
      <c r="G1014" s="10">
        <f>65.7507 * CHOOSE(CONTROL!$C$15, $E$9, 100%, $G$9) + CHOOSE(CONTROL!$C$38, 0.0369, 0)</f>
        <v>65.787599999999998</v>
      </c>
      <c r="H1014" s="10">
        <f>65.7507 * CHOOSE(CONTROL!$C$15, $E$9, 100%, $G$9) + CHOOSE(CONTROL!$C$38, 0.0369, 0)</f>
        <v>65.787599999999998</v>
      </c>
      <c r="I1014" s="10">
        <f>65.7522 * CHOOSE(CONTROL!$C$15, $E$9, 100%, $G$9) + CHOOSE(CONTROL!$C$38, 0.0369, 0)</f>
        <v>65.789100000000005</v>
      </c>
      <c r="J1014" s="44">
        <f>734.6063</f>
        <v>734.60630000000003</v>
      </c>
    </row>
    <row r="1015" spans="1:10" ht="15.75" x14ac:dyDescent="0.25">
      <c r="A1015" s="13">
        <v>71833</v>
      </c>
      <c r="B1015" s="10">
        <f>71.4127 * CHOOSE(CONTROL!$C$15, $E$9, 100%, $G$9) + CHOOSE(CONTROL!$C$38, 0.0278, 0)</f>
        <v>71.4405</v>
      </c>
      <c r="C1015" s="10">
        <f>65.8541 * CHOOSE(CONTROL!$C$15, $E$9, 100%, $G$9) + CHOOSE(CONTROL!$C$38, 0.0369, 0)</f>
        <v>65.891000000000005</v>
      </c>
      <c r="D1015" s="10">
        <f>65.8463 * CHOOSE(CONTROL!$C$15, $E$9, 100%, $G$9) + CHOOSE(CONTROL!$C$38, 0.0369, 0)</f>
        <v>65.883200000000002</v>
      </c>
      <c r="E1015" s="46">
        <f>71.2564 * CHOOSE(CONTROL!$C$15, $E$9, 100%, $G$9) + CHOOSE(CONTROL!$C$38, 0.0369, 0)</f>
        <v>71.293300000000002</v>
      </c>
      <c r="F1015" s="45">
        <f>71.2564 * CHOOSE(CONTROL!$C$15, $E$9, 100%, $G$9) + CHOOSE(CONTROL!$C$38, 0.0278, 0)</f>
        <v>71.284199999999998</v>
      </c>
      <c r="G1015" s="10">
        <f>65.8526 * CHOOSE(CONTROL!$C$15, $E$9, 100%, $G$9) + CHOOSE(CONTROL!$C$38, 0.0369, 0)</f>
        <v>65.889499999999998</v>
      </c>
      <c r="H1015" s="10">
        <f>65.8526 * CHOOSE(CONTROL!$C$15, $E$9, 100%, $G$9) + CHOOSE(CONTROL!$C$38, 0.0369, 0)</f>
        <v>65.889499999999998</v>
      </c>
      <c r="I1015" s="10">
        <f>65.8541 * CHOOSE(CONTROL!$C$15, $E$9, 100%, $G$9) + CHOOSE(CONTROL!$C$38, 0.0369, 0)</f>
        <v>65.891000000000005</v>
      </c>
      <c r="J1015" s="44">
        <f>717.505</f>
        <v>717.505</v>
      </c>
    </row>
    <row r="1016" spans="1:10" ht="15.75" x14ac:dyDescent="0.25">
      <c r="A1016" s="13">
        <v>71863</v>
      </c>
      <c r="B1016" s="10">
        <f>71.6895 * CHOOSE(CONTROL!$C$15, $E$9, 100%, $G$9) + CHOOSE(CONTROL!$C$38, 0.0278, 0)</f>
        <v>71.717299999999994</v>
      </c>
      <c r="C1016" s="10">
        <f>66.1309 * CHOOSE(CONTROL!$C$15, $E$9, 100%, $G$9) + CHOOSE(CONTROL!$C$38, 0.0369, 0)</f>
        <v>66.1678</v>
      </c>
      <c r="D1016" s="10">
        <f>66.1231 * CHOOSE(CONTROL!$C$15, $E$9, 100%, $G$9) + CHOOSE(CONTROL!$C$38, 0.0369, 0)</f>
        <v>66.16</v>
      </c>
      <c r="E1016" s="46">
        <f>71.5332 * CHOOSE(CONTROL!$C$15, $E$9, 100%, $G$9) + CHOOSE(CONTROL!$C$38, 0.0369, 0)</f>
        <v>71.570099999999996</v>
      </c>
      <c r="F1016" s="45">
        <f>71.5332 * CHOOSE(CONTROL!$C$15, $E$9, 100%, $G$9) + CHOOSE(CONTROL!$C$38, 0.0278, 0)</f>
        <v>71.560999999999993</v>
      </c>
      <c r="G1016" s="10">
        <f>66.1294 * CHOOSE(CONTROL!$C$15, $E$9, 100%, $G$9) + CHOOSE(CONTROL!$C$38, 0.0369, 0)</f>
        <v>66.166300000000007</v>
      </c>
      <c r="H1016" s="10">
        <f>66.1294 * CHOOSE(CONTROL!$C$15, $E$9, 100%, $G$9) + CHOOSE(CONTROL!$C$38, 0.0369, 0)</f>
        <v>66.166300000000007</v>
      </c>
      <c r="I1016" s="10">
        <f>66.1309 * CHOOSE(CONTROL!$C$15, $E$9, 100%, $G$9) + CHOOSE(CONTROL!$C$38, 0.0369, 0)</f>
        <v>66.1678</v>
      </c>
      <c r="J1016" s="44">
        <f>693.6564</f>
        <v>693.65639999999996</v>
      </c>
    </row>
    <row r="1017" spans="1:10" ht="15.75" x14ac:dyDescent="0.25">
      <c r="A1017" s="13">
        <v>71894</v>
      </c>
      <c r="B1017" s="10">
        <f>71.9213 * CHOOSE(CONTROL!$C$15, $E$9, 100%, $G$9) + CHOOSE(CONTROL!$C$38, 0.0256, 0)</f>
        <v>71.946899999999999</v>
      </c>
      <c r="C1017" s="10">
        <f>66.3628 * CHOOSE(CONTROL!$C$15, $E$9, 100%, $G$9) + CHOOSE(CONTROL!$C$38, 0.0347, 0)</f>
        <v>66.397499999999994</v>
      </c>
      <c r="D1017" s="10">
        <f>66.355 * CHOOSE(CONTROL!$C$15, $E$9, 100%, $G$9) + CHOOSE(CONTROL!$C$38, 0.0347, 0)</f>
        <v>66.389700000000005</v>
      </c>
      <c r="E1017" s="46">
        <f>71.765 * CHOOSE(CONTROL!$C$15, $E$9, 100%, $G$9) + CHOOSE(CONTROL!$C$38, 0.0347, 0)</f>
        <v>71.799700000000001</v>
      </c>
      <c r="F1017" s="45">
        <f>71.765 * CHOOSE(CONTROL!$C$15, $E$9, 100%, $G$9) + CHOOSE(CONTROL!$C$38, 0.0256, 0)</f>
        <v>71.790599999999998</v>
      </c>
      <c r="G1017" s="10">
        <f>66.3612 * CHOOSE(CONTROL!$C$15, $E$9, 100%, $G$9) + CHOOSE(CONTROL!$C$38, 0.0347, 0)</f>
        <v>66.395899999999997</v>
      </c>
      <c r="H1017" s="10">
        <f>66.3612 * CHOOSE(CONTROL!$C$15, $E$9, 100%, $G$9) + CHOOSE(CONTROL!$C$38, 0.0347, 0)</f>
        <v>66.395899999999997</v>
      </c>
      <c r="I1017" s="10">
        <f>66.3628 * CHOOSE(CONTROL!$C$15, $E$9, 100%, $G$9) + CHOOSE(CONTROL!$C$38, 0.0347, 0)</f>
        <v>66.397499999999994</v>
      </c>
      <c r="J1017" s="44">
        <f>669.669</f>
        <v>669.66899999999998</v>
      </c>
    </row>
    <row r="1018" spans="1:10" ht="15.75" x14ac:dyDescent="0.25">
      <c r="A1018" s="13">
        <v>71924</v>
      </c>
      <c r="B1018" s="10">
        <f>72.1147 * CHOOSE(CONTROL!$C$15, $E$9, 100%, $G$9) + CHOOSE(CONTROL!$C$38, 0.0256, 0)</f>
        <v>72.140299999999996</v>
      </c>
      <c r="C1018" s="10">
        <f>66.5562 * CHOOSE(CONTROL!$C$15, $E$9, 100%, $G$9) + CHOOSE(CONTROL!$C$38, 0.0347, 0)</f>
        <v>66.590900000000005</v>
      </c>
      <c r="D1018" s="10">
        <f>66.5484 * CHOOSE(CONTROL!$C$15, $E$9, 100%, $G$9) + CHOOSE(CONTROL!$C$38, 0.0347, 0)</f>
        <v>66.583100000000002</v>
      </c>
      <c r="E1018" s="46">
        <f>71.9585 * CHOOSE(CONTROL!$C$15, $E$9, 100%, $G$9) + CHOOSE(CONTROL!$C$38, 0.0347, 0)</f>
        <v>71.993200000000002</v>
      </c>
      <c r="F1018" s="45">
        <f>71.9585 * CHOOSE(CONTROL!$C$15, $E$9, 100%, $G$9) + CHOOSE(CONTROL!$C$38, 0.0256, 0)</f>
        <v>71.984099999999998</v>
      </c>
      <c r="G1018" s="10">
        <f>66.5546 * CHOOSE(CONTROL!$C$15, $E$9, 100%, $G$9) + CHOOSE(CONTROL!$C$38, 0.0347, 0)</f>
        <v>66.589299999999994</v>
      </c>
      <c r="H1018" s="10">
        <f>66.5546 * CHOOSE(CONTROL!$C$15, $E$9, 100%, $G$9) + CHOOSE(CONTROL!$C$38, 0.0347, 0)</f>
        <v>66.589299999999994</v>
      </c>
      <c r="I1018" s="10">
        <f>66.5562 * CHOOSE(CONTROL!$C$15, $E$9, 100%, $G$9) + CHOOSE(CONTROL!$C$38, 0.0347, 0)</f>
        <v>66.590900000000005</v>
      </c>
      <c r="J1018" s="44">
        <f>664.8975</f>
        <v>664.89750000000004</v>
      </c>
    </row>
    <row r="1019" spans="1:10" ht="15.75" x14ac:dyDescent="0.25">
      <c r="A1019" s="13">
        <v>71955</v>
      </c>
      <c r="B1019" s="10">
        <f>72.7108 * CHOOSE(CONTROL!$C$15, $E$9, 100%, $G$9) + CHOOSE(CONTROL!$C$38, 0.0256, 0)</f>
        <v>72.736400000000003</v>
      </c>
      <c r="C1019" s="10">
        <f>67.1523 * CHOOSE(CONTROL!$C$15, $E$9, 100%, $G$9) + CHOOSE(CONTROL!$C$38, 0.0347, 0)</f>
        <v>67.186999999999998</v>
      </c>
      <c r="D1019" s="10">
        <f>67.1445 * CHOOSE(CONTROL!$C$15, $E$9, 100%, $G$9) + CHOOSE(CONTROL!$C$38, 0.0347, 0)</f>
        <v>67.179199999999994</v>
      </c>
      <c r="E1019" s="46">
        <f>72.5546 * CHOOSE(CONTROL!$C$15, $E$9, 100%, $G$9) + CHOOSE(CONTROL!$C$38, 0.0347, 0)</f>
        <v>72.589299999999994</v>
      </c>
      <c r="F1019" s="45">
        <f>72.5546 * CHOOSE(CONTROL!$C$15, $E$9, 100%, $G$9) + CHOOSE(CONTROL!$C$38, 0.0256, 0)</f>
        <v>72.580199999999991</v>
      </c>
      <c r="G1019" s="10">
        <f>67.1507 * CHOOSE(CONTROL!$C$15, $E$9, 100%, $G$9) + CHOOSE(CONTROL!$C$38, 0.0347, 0)</f>
        <v>67.185400000000001</v>
      </c>
      <c r="H1019" s="10">
        <f>67.1507 * CHOOSE(CONTROL!$C$15, $E$9, 100%, $G$9) + CHOOSE(CONTROL!$C$38, 0.0347, 0)</f>
        <v>67.185400000000001</v>
      </c>
      <c r="I1019" s="10">
        <f>67.1523 * CHOOSE(CONTROL!$C$15, $E$9, 100%, $G$9) + CHOOSE(CONTROL!$C$38, 0.0347, 0)</f>
        <v>67.186999999999998</v>
      </c>
      <c r="J1019" s="44">
        <f>645.1666</f>
        <v>645.16660000000002</v>
      </c>
    </row>
    <row r="1020" spans="1:10" ht="15.75" x14ac:dyDescent="0.25">
      <c r="A1020" s="13">
        <v>71986</v>
      </c>
      <c r="B1020" s="10">
        <f>74.3543 * CHOOSE(CONTROL!$C$15, $E$9, 100%, $G$9) + CHOOSE(CONTROL!$C$38, 0.0256, 0)</f>
        <v>74.379899999999992</v>
      </c>
      <c r="C1020" s="10">
        <f>68.7072 * CHOOSE(CONTROL!$C$15, $E$9, 100%, $G$9) + CHOOSE(CONTROL!$C$38, 0.0347, 0)</f>
        <v>68.741900000000001</v>
      </c>
      <c r="D1020" s="10">
        <f>68.6994 * CHOOSE(CONTROL!$C$15, $E$9, 100%, $G$9) + CHOOSE(CONTROL!$C$38, 0.0347, 0)</f>
        <v>68.734099999999998</v>
      </c>
      <c r="E1020" s="46">
        <f>74.198 * CHOOSE(CONTROL!$C$15, $E$9, 100%, $G$9) + CHOOSE(CONTROL!$C$38, 0.0347, 0)</f>
        <v>74.232699999999994</v>
      </c>
      <c r="F1020" s="45">
        <f>74.198 * CHOOSE(CONTROL!$C$15, $E$9, 100%, $G$9) + CHOOSE(CONTROL!$C$38, 0.0256, 0)</f>
        <v>74.22359999999999</v>
      </c>
      <c r="G1020" s="10">
        <f>68.7056 * CHOOSE(CONTROL!$C$15, $E$9, 100%, $G$9) + CHOOSE(CONTROL!$C$38, 0.0347, 0)</f>
        <v>68.740300000000005</v>
      </c>
      <c r="H1020" s="10">
        <f>68.7056 * CHOOSE(CONTROL!$C$15, $E$9, 100%, $G$9) + CHOOSE(CONTROL!$C$38, 0.0347, 0)</f>
        <v>68.740300000000005</v>
      </c>
      <c r="I1020" s="10">
        <f>68.7072 * CHOOSE(CONTROL!$C$15, $E$9, 100%, $G$9) + CHOOSE(CONTROL!$C$38, 0.0347, 0)</f>
        <v>68.741900000000001</v>
      </c>
      <c r="J1020" s="44">
        <f>643.9345</f>
        <v>643.93449999999996</v>
      </c>
    </row>
    <row r="1021" spans="1:10" ht="15.75" x14ac:dyDescent="0.25">
      <c r="A1021" s="13">
        <v>72014</v>
      </c>
      <c r="B1021" s="10">
        <f>74.5751 * CHOOSE(CONTROL!$C$15, $E$9, 100%, $G$9) + CHOOSE(CONTROL!$C$38, 0.0256, 0)</f>
        <v>74.600700000000003</v>
      </c>
      <c r="C1021" s="10">
        <f>68.928 * CHOOSE(CONTROL!$C$15, $E$9, 100%, $G$9) + CHOOSE(CONTROL!$C$38, 0.0347, 0)</f>
        <v>68.962699999999998</v>
      </c>
      <c r="D1021" s="10">
        <f>68.9202 * CHOOSE(CONTROL!$C$15, $E$9, 100%, $G$9) + CHOOSE(CONTROL!$C$38, 0.0347, 0)</f>
        <v>68.954899999999995</v>
      </c>
      <c r="E1021" s="46">
        <f>74.4188 * CHOOSE(CONTROL!$C$15, $E$9, 100%, $G$9) + CHOOSE(CONTROL!$C$38, 0.0347, 0)</f>
        <v>74.453500000000005</v>
      </c>
      <c r="F1021" s="45">
        <f>74.4188 * CHOOSE(CONTROL!$C$15, $E$9, 100%, $G$9) + CHOOSE(CONTROL!$C$38, 0.0256, 0)</f>
        <v>74.444400000000002</v>
      </c>
      <c r="G1021" s="10">
        <f>68.9264 * CHOOSE(CONTROL!$C$15, $E$9, 100%, $G$9) + CHOOSE(CONTROL!$C$38, 0.0347, 0)</f>
        <v>68.961100000000002</v>
      </c>
      <c r="H1021" s="10">
        <f>68.9264 * CHOOSE(CONTROL!$C$15, $E$9, 100%, $G$9) + CHOOSE(CONTROL!$C$38, 0.0347, 0)</f>
        <v>68.961100000000002</v>
      </c>
      <c r="I1021" s="10">
        <f>68.928 * CHOOSE(CONTROL!$C$15, $E$9, 100%, $G$9) + CHOOSE(CONTROL!$C$38, 0.0347, 0)</f>
        <v>68.962699999999998</v>
      </c>
      <c r="J1021" s="44">
        <f>642.1445</f>
        <v>642.14449999999999</v>
      </c>
    </row>
    <row r="1022" spans="1:10" ht="15.75" x14ac:dyDescent="0.25">
      <c r="A1022" s="13">
        <v>72045</v>
      </c>
      <c r="B1022" s="10">
        <f>74.064 * CHOOSE(CONTROL!$C$15, $E$9, 100%, $G$9) + CHOOSE(CONTROL!$C$38, 0.0256, 0)</f>
        <v>74.08959999999999</v>
      </c>
      <c r="C1022" s="10">
        <f>68.4169 * CHOOSE(CONTROL!$C$15, $E$9, 100%, $G$9) + CHOOSE(CONTROL!$C$38, 0.0347, 0)</f>
        <v>68.451599999999999</v>
      </c>
      <c r="D1022" s="10">
        <f>68.4091 * CHOOSE(CONTROL!$C$15, $E$9, 100%, $G$9) + CHOOSE(CONTROL!$C$38, 0.0347, 0)</f>
        <v>68.443799999999996</v>
      </c>
      <c r="E1022" s="46">
        <f>73.9078 * CHOOSE(CONTROL!$C$15, $E$9, 100%, $G$9) + CHOOSE(CONTROL!$C$38, 0.0347, 0)</f>
        <v>73.942499999999995</v>
      </c>
      <c r="F1022" s="45">
        <f>73.9078 * CHOOSE(CONTROL!$C$15, $E$9, 100%, $G$9) + CHOOSE(CONTROL!$C$38, 0.0256, 0)</f>
        <v>73.933399999999992</v>
      </c>
      <c r="G1022" s="10">
        <f>68.4154 * CHOOSE(CONTROL!$C$15, $E$9, 100%, $G$9) + CHOOSE(CONTROL!$C$38, 0.0347, 0)</f>
        <v>68.450100000000006</v>
      </c>
      <c r="H1022" s="10">
        <f>68.4154 * CHOOSE(CONTROL!$C$15, $E$9, 100%, $G$9) + CHOOSE(CONTROL!$C$38, 0.0347, 0)</f>
        <v>68.450100000000006</v>
      </c>
      <c r="I1022" s="10">
        <f>68.4169 * CHOOSE(CONTROL!$C$15, $E$9, 100%, $G$9) + CHOOSE(CONTROL!$C$38, 0.0347, 0)</f>
        <v>68.451599999999999</v>
      </c>
      <c r="J1022" s="44">
        <f>675.9893</f>
        <v>675.98929999999996</v>
      </c>
    </row>
    <row r="1023" spans="1:10" ht="15.75" x14ac:dyDescent="0.25">
      <c r="A1023" s="13">
        <v>72075</v>
      </c>
      <c r="B1023" s="10">
        <f>73.5688 * CHOOSE(CONTROL!$C$15, $E$9, 100%, $G$9) + CHOOSE(CONTROL!$C$38, 0.0256, 0)</f>
        <v>73.594399999999993</v>
      </c>
      <c r="C1023" s="10">
        <f>67.9218 * CHOOSE(CONTROL!$C$15, $E$9, 100%, $G$9) + CHOOSE(CONTROL!$C$38, 0.0347, 0)</f>
        <v>67.956500000000005</v>
      </c>
      <c r="D1023" s="10">
        <f>67.9139 * CHOOSE(CONTROL!$C$15, $E$9, 100%, $G$9) + CHOOSE(CONTROL!$C$38, 0.0347, 0)</f>
        <v>67.948599999999999</v>
      </c>
      <c r="E1023" s="46">
        <f>73.4126 * CHOOSE(CONTROL!$C$15, $E$9, 100%, $G$9) + CHOOSE(CONTROL!$C$38, 0.0347, 0)</f>
        <v>73.447299999999998</v>
      </c>
      <c r="F1023" s="45">
        <f>73.4126 * CHOOSE(CONTROL!$C$15, $E$9, 100%, $G$9) + CHOOSE(CONTROL!$C$38, 0.0256, 0)</f>
        <v>73.438199999999995</v>
      </c>
      <c r="G1023" s="10">
        <f>67.9202 * CHOOSE(CONTROL!$C$15, $E$9, 100%, $G$9) + CHOOSE(CONTROL!$C$38, 0.0347, 0)</f>
        <v>67.954899999999995</v>
      </c>
      <c r="H1023" s="10">
        <f>67.9202 * CHOOSE(CONTROL!$C$15, $E$9, 100%, $G$9) + CHOOSE(CONTROL!$C$38, 0.0347, 0)</f>
        <v>67.954899999999995</v>
      </c>
      <c r="I1023" s="10">
        <f>67.9218 * CHOOSE(CONTROL!$C$15, $E$9, 100%, $G$9) + CHOOSE(CONTROL!$C$38, 0.0347, 0)</f>
        <v>67.956500000000005</v>
      </c>
      <c r="J1023" s="44">
        <f>719.8778</f>
        <v>719.87779999999998</v>
      </c>
    </row>
    <row r="1024" spans="1:10" ht="15.75" x14ac:dyDescent="0.25">
      <c r="A1024" s="13">
        <v>72106</v>
      </c>
      <c r="B1024" s="10">
        <f>73.0527 * CHOOSE(CONTROL!$C$15, $E$9, 100%, $G$9) + CHOOSE(CONTROL!$C$38, 0.0278, 0)</f>
        <v>73.080500000000001</v>
      </c>
      <c r="C1024" s="10">
        <f>67.4056 * CHOOSE(CONTROL!$C$15, $E$9, 100%, $G$9) + CHOOSE(CONTROL!$C$38, 0.0369, 0)</f>
        <v>67.44250000000001</v>
      </c>
      <c r="D1024" s="10">
        <f>67.3978 * CHOOSE(CONTROL!$C$15, $E$9, 100%, $G$9) + CHOOSE(CONTROL!$C$38, 0.0369, 0)</f>
        <v>67.434700000000007</v>
      </c>
      <c r="E1024" s="46">
        <f>72.8965 * CHOOSE(CONTROL!$C$15, $E$9, 100%, $G$9) + CHOOSE(CONTROL!$C$38, 0.0369, 0)</f>
        <v>72.933400000000006</v>
      </c>
      <c r="F1024" s="45">
        <f>72.8965 * CHOOSE(CONTROL!$C$15, $E$9, 100%, $G$9) + CHOOSE(CONTROL!$C$38, 0.0278, 0)</f>
        <v>72.924300000000002</v>
      </c>
      <c r="G1024" s="10">
        <f>67.4041 * CHOOSE(CONTROL!$C$15, $E$9, 100%, $G$9) + CHOOSE(CONTROL!$C$38, 0.0369, 0)</f>
        <v>67.441000000000003</v>
      </c>
      <c r="H1024" s="10">
        <f>67.4041 * CHOOSE(CONTROL!$C$15, $E$9, 100%, $G$9) + CHOOSE(CONTROL!$C$38, 0.0369, 0)</f>
        <v>67.441000000000003</v>
      </c>
      <c r="I1024" s="10">
        <f>67.4056 * CHOOSE(CONTROL!$C$15, $E$9, 100%, $G$9) + CHOOSE(CONTROL!$C$38, 0.0369, 0)</f>
        <v>67.44250000000001</v>
      </c>
      <c r="J1024" s="44">
        <f>744.0355</f>
        <v>744.03549999999996</v>
      </c>
    </row>
    <row r="1025" spans="1:10" ht="15.75" x14ac:dyDescent="0.25">
      <c r="A1025" s="13">
        <v>72136</v>
      </c>
      <c r="B1025" s="10">
        <f>72.6909 * CHOOSE(CONTROL!$C$15, $E$9, 100%, $G$9) + CHOOSE(CONTROL!$C$38, 0.0278, 0)</f>
        <v>72.718699999999998</v>
      </c>
      <c r="C1025" s="10">
        <f>67.0438 * CHOOSE(CONTROL!$C$15, $E$9, 100%, $G$9) + CHOOSE(CONTROL!$C$38, 0.0369, 0)</f>
        <v>67.080700000000007</v>
      </c>
      <c r="D1025" s="10">
        <f>67.036 * CHOOSE(CONTROL!$C$15, $E$9, 100%, $G$9) + CHOOSE(CONTROL!$C$38, 0.0369, 0)</f>
        <v>67.072900000000004</v>
      </c>
      <c r="E1025" s="46">
        <f>72.5347 * CHOOSE(CONTROL!$C$15, $E$9, 100%, $G$9) + CHOOSE(CONTROL!$C$38, 0.0369, 0)</f>
        <v>72.571600000000004</v>
      </c>
      <c r="F1025" s="45">
        <f>72.5347 * CHOOSE(CONTROL!$C$15, $E$9, 100%, $G$9) + CHOOSE(CONTROL!$C$38, 0.0278, 0)</f>
        <v>72.5625</v>
      </c>
      <c r="G1025" s="10">
        <f>67.0422 * CHOOSE(CONTROL!$C$15, $E$9, 100%, $G$9) + CHOOSE(CONTROL!$C$38, 0.0369, 0)</f>
        <v>67.079099999999997</v>
      </c>
      <c r="H1025" s="10">
        <f>67.0422 * CHOOSE(CONTROL!$C$15, $E$9, 100%, $G$9) + CHOOSE(CONTROL!$C$38, 0.0369, 0)</f>
        <v>67.079099999999997</v>
      </c>
      <c r="I1025" s="10">
        <f>67.0438 * CHOOSE(CONTROL!$C$15, $E$9, 100%, $G$9) + CHOOSE(CONTROL!$C$38, 0.0369, 0)</f>
        <v>67.080700000000007</v>
      </c>
      <c r="J1025" s="44">
        <f>754.7562</f>
        <v>754.75620000000004</v>
      </c>
    </row>
    <row r="1026" spans="1:10" ht="15.75" x14ac:dyDescent="0.25">
      <c r="A1026" s="13">
        <v>72167</v>
      </c>
      <c r="B1026" s="10">
        <f>72.4844 * CHOOSE(CONTROL!$C$15, $E$9, 100%, $G$9) + CHOOSE(CONTROL!$C$38, 0.0278, 0)</f>
        <v>72.512199999999993</v>
      </c>
      <c r="C1026" s="10">
        <f>66.8373 * CHOOSE(CONTROL!$C$15, $E$9, 100%, $G$9) + CHOOSE(CONTROL!$C$38, 0.0369, 0)</f>
        <v>66.874200000000002</v>
      </c>
      <c r="D1026" s="10">
        <f>66.8295 * CHOOSE(CONTROL!$C$15, $E$9, 100%, $G$9) + CHOOSE(CONTROL!$C$38, 0.0369, 0)</f>
        <v>66.866399999999999</v>
      </c>
      <c r="E1026" s="46">
        <f>72.3282 * CHOOSE(CONTROL!$C$15, $E$9, 100%, $G$9) + CHOOSE(CONTROL!$C$38, 0.0369, 0)</f>
        <v>72.365099999999998</v>
      </c>
      <c r="F1026" s="45">
        <f>72.3282 * CHOOSE(CONTROL!$C$15, $E$9, 100%, $G$9) + CHOOSE(CONTROL!$C$38, 0.0278, 0)</f>
        <v>72.355999999999995</v>
      </c>
      <c r="G1026" s="10">
        <f>66.8358 * CHOOSE(CONTROL!$C$15, $E$9, 100%, $G$9) + CHOOSE(CONTROL!$C$38, 0.0369, 0)</f>
        <v>66.872700000000009</v>
      </c>
      <c r="H1026" s="10">
        <f>66.8358 * CHOOSE(CONTROL!$C$15, $E$9, 100%, $G$9) + CHOOSE(CONTROL!$C$38, 0.0369, 0)</f>
        <v>66.872700000000009</v>
      </c>
      <c r="I1026" s="10">
        <f>66.8373 * CHOOSE(CONTROL!$C$15, $E$9, 100%, $G$9) + CHOOSE(CONTROL!$C$38, 0.0369, 0)</f>
        <v>66.874200000000002</v>
      </c>
      <c r="J1026" s="44">
        <f>751.2264</f>
        <v>751.22640000000001</v>
      </c>
    </row>
    <row r="1027" spans="1:10" ht="15.75" x14ac:dyDescent="0.25">
      <c r="A1027" s="13">
        <v>72198</v>
      </c>
      <c r="B1027" s="10">
        <f>72.5863 * CHOOSE(CONTROL!$C$15, $E$9, 100%, $G$9) + CHOOSE(CONTROL!$C$38, 0.0278, 0)</f>
        <v>72.614099999999993</v>
      </c>
      <c r="C1027" s="10">
        <f>66.9392 * CHOOSE(CONTROL!$C$15, $E$9, 100%, $G$9) + CHOOSE(CONTROL!$C$38, 0.0369, 0)</f>
        <v>66.976100000000002</v>
      </c>
      <c r="D1027" s="10">
        <f>66.9314 * CHOOSE(CONTROL!$C$15, $E$9, 100%, $G$9) + CHOOSE(CONTROL!$C$38, 0.0369, 0)</f>
        <v>66.968299999999999</v>
      </c>
      <c r="E1027" s="46">
        <f>72.4301 * CHOOSE(CONTROL!$C$15, $E$9, 100%, $G$9) + CHOOSE(CONTROL!$C$38, 0.0369, 0)</f>
        <v>72.466999999999999</v>
      </c>
      <c r="F1027" s="45">
        <f>72.4301 * CHOOSE(CONTROL!$C$15, $E$9, 100%, $G$9) + CHOOSE(CONTROL!$C$38, 0.0278, 0)</f>
        <v>72.457899999999995</v>
      </c>
      <c r="G1027" s="10">
        <f>66.9377 * CHOOSE(CONTROL!$C$15, $E$9, 100%, $G$9) + CHOOSE(CONTROL!$C$38, 0.0369, 0)</f>
        <v>66.974600000000009</v>
      </c>
      <c r="H1027" s="10">
        <f>66.9377 * CHOOSE(CONTROL!$C$15, $E$9, 100%, $G$9) + CHOOSE(CONTROL!$C$38, 0.0369, 0)</f>
        <v>66.974600000000009</v>
      </c>
      <c r="I1027" s="10">
        <f>66.9392 * CHOOSE(CONTROL!$C$15, $E$9, 100%, $G$9) + CHOOSE(CONTROL!$C$38, 0.0369, 0)</f>
        <v>66.976100000000002</v>
      </c>
      <c r="J1027" s="44">
        <f>733.7382</f>
        <v>733.73820000000001</v>
      </c>
    </row>
    <row r="1028" spans="1:10" ht="15.75" x14ac:dyDescent="0.25">
      <c r="A1028" s="13">
        <v>72228</v>
      </c>
      <c r="B1028" s="10">
        <f>72.8631 * CHOOSE(CONTROL!$C$15, $E$9, 100%, $G$9) + CHOOSE(CONTROL!$C$38, 0.0278, 0)</f>
        <v>72.890900000000002</v>
      </c>
      <c r="C1028" s="10">
        <f>67.216 * CHOOSE(CONTROL!$C$15, $E$9, 100%, $G$9) + CHOOSE(CONTROL!$C$38, 0.0369, 0)</f>
        <v>67.252899999999997</v>
      </c>
      <c r="D1028" s="10">
        <f>67.2082 * CHOOSE(CONTROL!$C$15, $E$9, 100%, $G$9) + CHOOSE(CONTROL!$C$38, 0.0369, 0)</f>
        <v>67.245100000000008</v>
      </c>
      <c r="E1028" s="46">
        <f>72.7069 * CHOOSE(CONTROL!$C$15, $E$9, 100%, $G$9) + CHOOSE(CONTROL!$C$38, 0.0369, 0)</f>
        <v>72.743800000000007</v>
      </c>
      <c r="F1028" s="45">
        <f>72.7069 * CHOOSE(CONTROL!$C$15, $E$9, 100%, $G$9) + CHOOSE(CONTROL!$C$38, 0.0278, 0)</f>
        <v>72.734700000000004</v>
      </c>
      <c r="G1028" s="10">
        <f>67.2145 * CHOOSE(CONTROL!$C$15, $E$9, 100%, $G$9) + CHOOSE(CONTROL!$C$38, 0.0369, 0)</f>
        <v>67.251400000000004</v>
      </c>
      <c r="H1028" s="10">
        <f>67.2145 * CHOOSE(CONTROL!$C$15, $E$9, 100%, $G$9) + CHOOSE(CONTROL!$C$38, 0.0369, 0)</f>
        <v>67.251400000000004</v>
      </c>
      <c r="I1028" s="10">
        <f>67.216 * CHOOSE(CONTROL!$C$15, $E$9, 100%, $G$9) + CHOOSE(CONTROL!$C$38, 0.0369, 0)</f>
        <v>67.252899999999997</v>
      </c>
      <c r="J1028" s="44">
        <f>709.35</f>
        <v>709.35</v>
      </c>
    </row>
    <row r="1029" spans="1:10" ht="15.75" x14ac:dyDescent="0.25">
      <c r="A1029" s="13">
        <v>72259</v>
      </c>
      <c r="B1029" s="10">
        <f>73.0949 * CHOOSE(CONTROL!$C$15, $E$9, 100%, $G$9) + CHOOSE(CONTROL!$C$38, 0.0256, 0)</f>
        <v>73.120499999999993</v>
      </c>
      <c r="C1029" s="10">
        <f>67.4478 * CHOOSE(CONTROL!$C$15, $E$9, 100%, $G$9) + CHOOSE(CONTROL!$C$38, 0.0347, 0)</f>
        <v>67.482500000000002</v>
      </c>
      <c r="D1029" s="10">
        <f>67.44 * CHOOSE(CONTROL!$C$15, $E$9, 100%, $G$9) + CHOOSE(CONTROL!$C$38, 0.0347, 0)</f>
        <v>67.474699999999999</v>
      </c>
      <c r="E1029" s="46">
        <f>72.9387 * CHOOSE(CONTROL!$C$15, $E$9, 100%, $G$9) + CHOOSE(CONTROL!$C$38, 0.0347, 0)</f>
        <v>72.973399999999998</v>
      </c>
      <c r="F1029" s="45">
        <f>72.9387 * CHOOSE(CONTROL!$C$15, $E$9, 100%, $G$9) + CHOOSE(CONTROL!$C$38, 0.0256, 0)</f>
        <v>72.964299999999994</v>
      </c>
      <c r="G1029" s="10">
        <f>67.4463 * CHOOSE(CONTROL!$C$15, $E$9, 100%, $G$9) + CHOOSE(CONTROL!$C$38, 0.0347, 0)</f>
        <v>67.480999999999995</v>
      </c>
      <c r="H1029" s="10">
        <f>67.4463 * CHOOSE(CONTROL!$C$15, $E$9, 100%, $G$9) + CHOOSE(CONTROL!$C$38, 0.0347, 0)</f>
        <v>67.480999999999995</v>
      </c>
      <c r="I1029" s="10">
        <f>67.4478 * CHOOSE(CONTROL!$C$15, $E$9, 100%, $G$9) + CHOOSE(CONTROL!$C$38, 0.0347, 0)</f>
        <v>67.482500000000002</v>
      </c>
      <c r="J1029" s="44">
        <f>684.82</f>
        <v>684.82</v>
      </c>
    </row>
    <row r="1030" spans="1:10" ht="15.75" x14ac:dyDescent="0.25">
      <c r="A1030" s="13">
        <v>72289</v>
      </c>
      <c r="B1030" s="10">
        <f>73.2884 * CHOOSE(CONTROL!$C$15, $E$9, 100%, $G$9) + CHOOSE(CONTROL!$C$38, 0.0256, 0)</f>
        <v>73.313999999999993</v>
      </c>
      <c r="C1030" s="10">
        <f>67.6413 * CHOOSE(CONTROL!$C$15, $E$9, 100%, $G$9) + CHOOSE(CONTROL!$C$38, 0.0347, 0)</f>
        <v>67.676000000000002</v>
      </c>
      <c r="D1030" s="10">
        <f>67.6335 * CHOOSE(CONTROL!$C$15, $E$9, 100%, $G$9) + CHOOSE(CONTROL!$C$38, 0.0347, 0)</f>
        <v>67.668199999999999</v>
      </c>
      <c r="E1030" s="46">
        <f>73.1321 * CHOOSE(CONTROL!$C$15, $E$9, 100%, $G$9) + CHOOSE(CONTROL!$C$38, 0.0347, 0)</f>
        <v>73.166799999999995</v>
      </c>
      <c r="F1030" s="45">
        <f>73.1321 * CHOOSE(CONTROL!$C$15, $E$9, 100%, $G$9) + CHOOSE(CONTROL!$C$38, 0.0256, 0)</f>
        <v>73.157699999999991</v>
      </c>
      <c r="G1030" s="10">
        <f>67.6397 * CHOOSE(CONTROL!$C$15, $E$9, 100%, $G$9) + CHOOSE(CONTROL!$C$38, 0.0347, 0)</f>
        <v>67.674400000000006</v>
      </c>
      <c r="H1030" s="10">
        <f>67.6397 * CHOOSE(CONTROL!$C$15, $E$9, 100%, $G$9) + CHOOSE(CONTROL!$C$38, 0.0347, 0)</f>
        <v>67.674400000000006</v>
      </c>
      <c r="I1030" s="10">
        <f>67.6413 * CHOOSE(CONTROL!$C$15, $E$9, 100%, $G$9) + CHOOSE(CONTROL!$C$38, 0.0347, 0)</f>
        <v>67.676000000000002</v>
      </c>
      <c r="J1030" s="44">
        <f>679.9404</f>
        <v>679.94039999999995</v>
      </c>
    </row>
    <row r="1031" spans="1:10" ht="15.75" x14ac:dyDescent="0.25">
      <c r="A1031" s="13">
        <v>72320</v>
      </c>
      <c r="B1031" s="10">
        <f>73.8845 * CHOOSE(CONTROL!$C$15, $E$9, 100%, $G$9) + CHOOSE(CONTROL!$C$38, 0.0256, 0)</f>
        <v>73.9101</v>
      </c>
      <c r="C1031" s="10">
        <f>68.2374 * CHOOSE(CONTROL!$C$15, $E$9, 100%, $G$9) + CHOOSE(CONTROL!$C$38, 0.0347, 0)</f>
        <v>68.272099999999995</v>
      </c>
      <c r="D1031" s="10">
        <f>68.2295 * CHOOSE(CONTROL!$C$15, $E$9, 100%, $G$9) + CHOOSE(CONTROL!$C$38, 0.0347, 0)</f>
        <v>68.264200000000002</v>
      </c>
      <c r="E1031" s="46">
        <f>73.7282 * CHOOSE(CONTROL!$C$15, $E$9, 100%, $G$9) + CHOOSE(CONTROL!$C$38, 0.0347, 0)</f>
        <v>73.762900000000002</v>
      </c>
      <c r="F1031" s="45">
        <f>73.7282 * CHOOSE(CONTROL!$C$15, $E$9, 100%, $G$9) + CHOOSE(CONTROL!$C$38, 0.0256, 0)</f>
        <v>73.753799999999998</v>
      </c>
      <c r="G1031" s="10">
        <f>68.2358 * CHOOSE(CONTROL!$C$15, $E$9, 100%, $G$9) + CHOOSE(CONTROL!$C$38, 0.0347, 0)</f>
        <v>68.270499999999998</v>
      </c>
      <c r="H1031" s="10">
        <f>68.2358 * CHOOSE(CONTROL!$C$15, $E$9, 100%, $G$9) + CHOOSE(CONTROL!$C$38, 0.0347, 0)</f>
        <v>68.270499999999998</v>
      </c>
      <c r="I1031" s="10">
        <f>68.2374 * CHOOSE(CONTROL!$C$15, $E$9, 100%, $G$9) + CHOOSE(CONTROL!$C$38, 0.0347, 0)</f>
        <v>68.272099999999995</v>
      </c>
      <c r="J1031" s="44">
        <f>659.7632</f>
        <v>659.76319999999998</v>
      </c>
    </row>
    <row r="1032" spans="1:10" ht="15.75" x14ac:dyDescent="0.25">
      <c r="A1032" s="13">
        <v>72351</v>
      </c>
      <c r="B1032" s="10">
        <f>75.5472 * CHOOSE(CONTROL!$C$15, $E$9, 100%, $G$9) + CHOOSE(CONTROL!$C$38, 0.0256, 0)</f>
        <v>75.572800000000001</v>
      </c>
      <c r="C1032" s="10">
        <f>69.8101 * CHOOSE(CONTROL!$C$15, $E$9, 100%, $G$9) + CHOOSE(CONTROL!$C$38, 0.0347, 0)</f>
        <v>69.844800000000006</v>
      </c>
      <c r="D1032" s="10">
        <f>69.8023 * CHOOSE(CONTROL!$C$15, $E$9, 100%, $G$9) + CHOOSE(CONTROL!$C$38, 0.0347, 0)</f>
        <v>69.837000000000003</v>
      </c>
      <c r="E1032" s="46">
        <f>75.3909 * CHOOSE(CONTROL!$C$15, $E$9, 100%, $G$9) + CHOOSE(CONTROL!$C$38, 0.0347, 0)</f>
        <v>75.425600000000003</v>
      </c>
      <c r="F1032" s="45">
        <f>75.3909 * CHOOSE(CONTROL!$C$15, $E$9, 100%, $G$9) + CHOOSE(CONTROL!$C$38, 0.0256, 0)</f>
        <v>75.416499999999999</v>
      </c>
      <c r="G1032" s="10">
        <f>69.8085 * CHOOSE(CONTROL!$C$15, $E$9, 100%, $G$9) + CHOOSE(CONTROL!$C$38, 0.0347, 0)</f>
        <v>69.843199999999996</v>
      </c>
      <c r="H1032" s="10">
        <f>69.8085 * CHOOSE(CONTROL!$C$15, $E$9, 100%, $G$9) + CHOOSE(CONTROL!$C$38, 0.0347, 0)</f>
        <v>69.843199999999996</v>
      </c>
      <c r="I1032" s="10">
        <f>69.8101 * CHOOSE(CONTROL!$C$15, $E$9, 100%, $G$9) + CHOOSE(CONTROL!$C$38, 0.0347, 0)</f>
        <v>69.844800000000006</v>
      </c>
      <c r="J1032" s="44">
        <f>658.5032</f>
        <v>658.50319999999999</v>
      </c>
    </row>
    <row r="1033" spans="1:10" ht="15.75" x14ac:dyDescent="0.25">
      <c r="A1033" s="13">
        <v>72379</v>
      </c>
      <c r="B1033" s="10">
        <f>75.768 * CHOOSE(CONTROL!$C$15, $E$9, 100%, $G$9) + CHOOSE(CONTROL!$C$38, 0.0256, 0)</f>
        <v>75.793599999999998</v>
      </c>
      <c r="C1033" s="10">
        <f>70.0308 * CHOOSE(CONTROL!$C$15, $E$9, 100%, $G$9) + CHOOSE(CONTROL!$C$38, 0.0347, 0)</f>
        <v>70.0655</v>
      </c>
      <c r="D1033" s="10">
        <f>70.023 * CHOOSE(CONTROL!$C$15, $E$9, 100%, $G$9) + CHOOSE(CONTROL!$C$38, 0.0347, 0)</f>
        <v>70.057699999999997</v>
      </c>
      <c r="E1033" s="46">
        <f>75.6117 * CHOOSE(CONTROL!$C$15, $E$9, 100%, $G$9) + CHOOSE(CONTROL!$C$38, 0.0347, 0)</f>
        <v>75.6464</v>
      </c>
      <c r="F1033" s="45">
        <f>75.6117 * CHOOSE(CONTROL!$C$15, $E$9, 100%, $G$9) + CHOOSE(CONTROL!$C$38, 0.0256, 0)</f>
        <v>75.637299999999996</v>
      </c>
      <c r="G1033" s="10">
        <f>70.0293 * CHOOSE(CONTROL!$C$15, $E$9, 100%, $G$9) + CHOOSE(CONTROL!$C$38, 0.0347, 0)</f>
        <v>70.064000000000007</v>
      </c>
      <c r="H1033" s="10">
        <f>70.0293 * CHOOSE(CONTROL!$C$15, $E$9, 100%, $G$9) + CHOOSE(CONTROL!$C$38, 0.0347, 0)</f>
        <v>70.064000000000007</v>
      </c>
      <c r="I1033" s="10">
        <f>70.0308 * CHOOSE(CONTROL!$C$15, $E$9, 100%, $G$9) + CHOOSE(CONTROL!$C$38, 0.0347, 0)</f>
        <v>70.0655</v>
      </c>
      <c r="J1033" s="44">
        <f>656.6727</f>
        <v>656.67269999999996</v>
      </c>
    </row>
    <row r="1034" spans="1:10" ht="15.75" x14ac:dyDescent="0.25">
      <c r="A1034" s="13">
        <v>72410</v>
      </c>
      <c r="B1034" s="10">
        <f>75.2569 * CHOOSE(CONTROL!$C$15, $E$9, 100%, $G$9) + CHOOSE(CONTROL!$C$38, 0.0256, 0)</f>
        <v>75.282499999999999</v>
      </c>
      <c r="C1034" s="10">
        <f>69.5198 * CHOOSE(CONTROL!$C$15, $E$9, 100%, $G$9) + CHOOSE(CONTROL!$C$38, 0.0347, 0)</f>
        <v>69.554500000000004</v>
      </c>
      <c r="D1034" s="10">
        <f>69.512 * CHOOSE(CONTROL!$C$15, $E$9, 100%, $G$9) + CHOOSE(CONTROL!$C$38, 0.0347, 0)</f>
        <v>69.546700000000001</v>
      </c>
      <c r="E1034" s="46">
        <f>75.1007 * CHOOSE(CONTROL!$C$15, $E$9, 100%, $G$9) + CHOOSE(CONTROL!$C$38, 0.0347, 0)</f>
        <v>75.135400000000004</v>
      </c>
      <c r="F1034" s="45">
        <f>75.1007 * CHOOSE(CONTROL!$C$15, $E$9, 100%, $G$9) + CHOOSE(CONTROL!$C$38, 0.0256, 0)</f>
        <v>75.126300000000001</v>
      </c>
      <c r="G1034" s="10">
        <f>69.5182 * CHOOSE(CONTROL!$C$15, $E$9, 100%, $G$9) + CHOOSE(CONTROL!$C$38, 0.0347, 0)</f>
        <v>69.552899999999994</v>
      </c>
      <c r="H1034" s="10">
        <f>69.5182 * CHOOSE(CONTROL!$C$15, $E$9, 100%, $G$9) + CHOOSE(CONTROL!$C$38, 0.0347, 0)</f>
        <v>69.552899999999994</v>
      </c>
      <c r="I1034" s="10">
        <f>69.5198 * CHOOSE(CONTROL!$C$15, $E$9, 100%, $G$9) + CHOOSE(CONTROL!$C$38, 0.0347, 0)</f>
        <v>69.554500000000004</v>
      </c>
      <c r="J1034" s="44">
        <f>691.2832</f>
        <v>691.28319999999997</v>
      </c>
    </row>
    <row r="1035" spans="1:10" ht="15.75" x14ac:dyDescent="0.25">
      <c r="A1035" s="13">
        <v>72440</v>
      </c>
      <c r="B1035" s="10">
        <f>74.7617 * CHOOSE(CONTROL!$C$15, $E$9, 100%, $G$9) + CHOOSE(CONTROL!$C$38, 0.0256, 0)</f>
        <v>74.787300000000002</v>
      </c>
      <c r="C1035" s="10">
        <f>69.0246 * CHOOSE(CONTROL!$C$15, $E$9, 100%, $G$9) + CHOOSE(CONTROL!$C$38, 0.0347, 0)</f>
        <v>69.059300000000007</v>
      </c>
      <c r="D1035" s="10">
        <f>69.0168 * CHOOSE(CONTROL!$C$15, $E$9, 100%, $G$9) + CHOOSE(CONTROL!$C$38, 0.0347, 0)</f>
        <v>69.051500000000004</v>
      </c>
      <c r="E1035" s="46">
        <f>74.6055 * CHOOSE(CONTROL!$C$15, $E$9, 100%, $G$9) + CHOOSE(CONTROL!$C$38, 0.0347, 0)</f>
        <v>74.640200000000007</v>
      </c>
      <c r="F1035" s="45">
        <f>74.6055 * CHOOSE(CONTROL!$C$15, $E$9, 100%, $G$9) + CHOOSE(CONTROL!$C$38, 0.0256, 0)</f>
        <v>74.631100000000004</v>
      </c>
      <c r="G1035" s="10">
        <f>69.0231 * CHOOSE(CONTROL!$C$15, $E$9, 100%, $G$9) + CHOOSE(CONTROL!$C$38, 0.0347, 0)</f>
        <v>69.0578</v>
      </c>
      <c r="H1035" s="10">
        <f>69.0231 * CHOOSE(CONTROL!$C$15, $E$9, 100%, $G$9) + CHOOSE(CONTROL!$C$38, 0.0347, 0)</f>
        <v>69.0578</v>
      </c>
      <c r="I1035" s="10">
        <f>69.0246 * CHOOSE(CONTROL!$C$15, $E$9, 100%, $G$9) + CHOOSE(CONTROL!$C$38, 0.0347, 0)</f>
        <v>69.059300000000007</v>
      </c>
      <c r="J1035" s="44">
        <f>736.1647</f>
        <v>736.16470000000004</v>
      </c>
    </row>
    <row r="1036" spans="1:10" ht="15.75" x14ac:dyDescent="0.25">
      <c r="A1036" s="13">
        <v>72471</v>
      </c>
      <c r="B1036" s="10">
        <f>74.2456 * CHOOSE(CONTROL!$C$15, $E$9, 100%, $G$9) + CHOOSE(CONTROL!$C$38, 0.0278, 0)</f>
        <v>74.273399999999995</v>
      </c>
      <c r="C1036" s="10">
        <f>68.5085 * CHOOSE(CONTROL!$C$15, $E$9, 100%, $G$9) + CHOOSE(CONTROL!$C$38, 0.0369, 0)</f>
        <v>68.545400000000001</v>
      </c>
      <c r="D1036" s="10">
        <f>68.5007 * CHOOSE(CONTROL!$C$15, $E$9, 100%, $G$9) + CHOOSE(CONTROL!$C$38, 0.0369, 0)</f>
        <v>68.537599999999998</v>
      </c>
      <c r="E1036" s="46">
        <f>74.0894 * CHOOSE(CONTROL!$C$15, $E$9, 100%, $G$9) + CHOOSE(CONTROL!$C$38, 0.0369, 0)</f>
        <v>74.126300000000001</v>
      </c>
      <c r="F1036" s="45">
        <f>74.0894 * CHOOSE(CONTROL!$C$15, $E$9, 100%, $G$9) + CHOOSE(CONTROL!$C$38, 0.0278, 0)</f>
        <v>74.117199999999997</v>
      </c>
      <c r="G1036" s="10">
        <f>68.5069 * CHOOSE(CONTROL!$C$15, $E$9, 100%, $G$9) + CHOOSE(CONTROL!$C$38, 0.0369, 0)</f>
        <v>68.543800000000005</v>
      </c>
      <c r="H1036" s="10">
        <f>68.5069 * CHOOSE(CONTROL!$C$15, $E$9, 100%, $G$9) + CHOOSE(CONTROL!$C$38, 0.0369, 0)</f>
        <v>68.543800000000005</v>
      </c>
      <c r="I1036" s="10">
        <f>68.5085 * CHOOSE(CONTROL!$C$15, $E$9, 100%, $G$9) + CHOOSE(CONTROL!$C$38, 0.0369, 0)</f>
        <v>68.545400000000001</v>
      </c>
      <c r="J1036" s="44">
        <f>760.8689</f>
        <v>760.86890000000005</v>
      </c>
    </row>
    <row r="1037" spans="1:10" ht="15.75" x14ac:dyDescent="0.25">
      <c r="A1037" s="13">
        <v>72501</v>
      </c>
      <c r="B1037" s="10">
        <f>73.8838 * CHOOSE(CONTROL!$C$15, $E$9, 100%, $G$9) + CHOOSE(CONTROL!$C$38, 0.0278, 0)</f>
        <v>73.911599999999993</v>
      </c>
      <c r="C1037" s="10">
        <f>68.1467 * CHOOSE(CONTROL!$C$15, $E$9, 100%, $G$9) + CHOOSE(CONTROL!$C$38, 0.0369, 0)</f>
        <v>68.183599999999998</v>
      </c>
      <c r="D1037" s="10">
        <f>68.1389 * CHOOSE(CONTROL!$C$15, $E$9, 100%, $G$9) + CHOOSE(CONTROL!$C$38, 0.0369, 0)</f>
        <v>68.17580000000001</v>
      </c>
      <c r="E1037" s="46">
        <f>73.7275 * CHOOSE(CONTROL!$C$15, $E$9, 100%, $G$9) + CHOOSE(CONTROL!$C$38, 0.0369, 0)</f>
        <v>73.764400000000009</v>
      </c>
      <c r="F1037" s="45">
        <f>73.7275 * CHOOSE(CONTROL!$C$15, $E$9, 100%, $G$9) + CHOOSE(CONTROL!$C$38, 0.0278, 0)</f>
        <v>73.755300000000005</v>
      </c>
      <c r="G1037" s="10">
        <f>68.1451 * CHOOSE(CONTROL!$C$15, $E$9, 100%, $G$9) + CHOOSE(CONTROL!$C$38, 0.0369, 0)</f>
        <v>68.182000000000002</v>
      </c>
      <c r="H1037" s="10">
        <f>68.1451 * CHOOSE(CONTROL!$C$15, $E$9, 100%, $G$9) + CHOOSE(CONTROL!$C$38, 0.0369, 0)</f>
        <v>68.182000000000002</v>
      </c>
      <c r="I1037" s="10">
        <f>68.1467 * CHOOSE(CONTROL!$C$15, $E$9, 100%, $G$9) + CHOOSE(CONTROL!$C$38, 0.0369, 0)</f>
        <v>68.183599999999998</v>
      </c>
      <c r="J1037" s="44">
        <f>771.8322</f>
        <v>771.83219999999994</v>
      </c>
    </row>
    <row r="1038" spans="1:10" ht="15.75" x14ac:dyDescent="0.25">
      <c r="A1038" s="13">
        <v>72532</v>
      </c>
      <c r="B1038" s="10">
        <f>73.6773 * CHOOSE(CONTROL!$C$15, $E$9, 100%, $G$9) + CHOOSE(CONTROL!$C$38, 0.0278, 0)</f>
        <v>73.705100000000002</v>
      </c>
      <c r="C1038" s="10">
        <f>67.9402 * CHOOSE(CONTROL!$C$15, $E$9, 100%, $G$9) + CHOOSE(CONTROL!$C$38, 0.0369, 0)</f>
        <v>67.977100000000007</v>
      </c>
      <c r="D1038" s="10">
        <f>67.9324 * CHOOSE(CONTROL!$C$15, $E$9, 100%, $G$9) + CHOOSE(CONTROL!$C$38, 0.0369, 0)</f>
        <v>67.969300000000004</v>
      </c>
      <c r="E1038" s="46">
        <f>73.5211 * CHOOSE(CONTROL!$C$15, $E$9, 100%, $G$9) + CHOOSE(CONTROL!$C$38, 0.0369, 0)</f>
        <v>73.558000000000007</v>
      </c>
      <c r="F1038" s="45">
        <f>73.5211 * CHOOSE(CONTROL!$C$15, $E$9, 100%, $G$9) + CHOOSE(CONTROL!$C$38, 0.0278, 0)</f>
        <v>73.548900000000003</v>
      </c>
      <c r="G1038" s="10">
        <f>67.9386 * CHOOSE(CONTROL!$C$15, $E$9, 100%, $G$9) + CHOOSE(CONTROL!$C$38, 0.0369, 0)</f>
        <v>67.975499999999997</v>
      </c>
      <c r="H1038" s="10">
        <f>67.9386 * CHOOSE(CONTROL!$C$15, $E$9, 100%, $G$9) + CHOOSE(CONTROL!$C$38, 0.0369, 0)</f>
        <v>67.975499999999997</v>
      </c>
      <c r="I1038" s="10">
        <f>67.9402 * CHOOSE(CONTROL!$C$15, $E$9, 100%, $G$9) + CHOOSE(CONTROL!$C$38, 0.0369, 0)</f>
        <v>67.977100000000007</v>
      </c>
      <c r="J1038" s="44">
        <f>768.2226</f>
        <v>768.22260000000006</v>
      </c>
    </row>
    <row r="1039" spans="1:10" ht="15.75" x14ac:dyDescent="0.25">
      <c r="A1039" s="13">
        <v>72563</v>
      </c>
      <c r="B1039" s="10">
        <f>73.7792 * CHOOSE(CONTROL!$C$15, $E$9, 100%, $G$9) + CHOOSE(CONTROL!$C$38, 0.0278, 0)</f>
        <v>73.807000000000002</v>
      </c>
      <c r="C1039" s="10">
        <f>68.0421 * CHOOSE(CONTROL!$C$15, $E$9, 100%, $G$9) + CHOOSE(CONTROL!$C$38, 0.0369, 0)</f>
        <v>68.079000000000008</v>
      </c>
      <c r="D1039" s="10">
        <f>68.0343 * CHOOSE(CONTROL!$C$15, $E$9, 100%, $G$9) + CHOOSE(CONTROL!$C$38, 0.0369, 0)</f>
        <v>68.071200000000005</v>
      </c>
      <c r="E1039" s="46">
        <f>73.623 * CHOOSE(CONTROL!$C$15, $E$9, 100%, $G$9) + CHOOSE(CONTROL!$C$38, 0.0369, 0)</f>
        <v>73.659900000000007</v>
      </c>
      <c r="F1039" s="45">
        <f>73.623 * CHOOSE(CONTROL!$C$15, $E$9, 100%, $G$9) + CHOOSE(CONTROL!$C$38, 0.0278, 0)</f>
        <v>73.650800000000004</v>
      </c>
      <c r="G1039" s="10">
        <f>68.0405 * CHOOSE(CONTROL!$C$15, $E$9, 100%, $G$9) + CHOOSE(CONTROL!$C$38, 0.0369, 0)</f>
        <v>68.077399999999997</v>
      </c>
      <c r="H1039" s="10">
        <f>68.0405 * CHOOSE(CONTROL!$C$15, $E$9, 100%, $G$9) + CHOOSE(CONTROL!$C$38, 0.0369, 0)</f>
        <v>68.077399999999997</v>
      </c>
      <c r="I1039" s="10">
        <f>68.0421 * CHOOSE(CONTROL!$C$15, $E$9, 100%, $G$9) + CHOOSE(CONTROL!$C$38, 0.0369, 0)</f>
        <v>68.079000000000008</v>
      </c>
      <c r="J1039" s="44">
        <f>750.3387</f>
        <v>750.33870000000002</v>
      </c>
    </row>
    <row r="1040" spans="1:10" ht="15.75" x14ac:dyDescent="0.25">
      <c r="A1040" s="13">
        <v>72593</v>
      </c>
      <c r="B1040" s="10">
        <f>74.056 * CHOOSE(CONTROL!$C$15, $E$9, 100%, $G$9) + CHOOSE(CONTROL!$C$38, 0.0278, 0)</f>
        <v>74.083799999999997</v>
      </c>
      <c r="C1040" s="10">
        <f>68.3189 * CHOOSE(CONTROL!$C$15, $E$9, 100%, $G$9) + CHOOSE(CONTROL!$C$38, 0.0369, 0)</f>
        <v>68.355800000000002</v>
      </c>
      <c r="D1040" s="10">
        <f>68.3111 * CHOOSE(CONTROL!$C$15, $E$9, 100%, $G$9) + CHOOSE(CONTROL!$C$38, 0.0369, 0)</f>
        <v>68.347999999999999</v>
      </c>
      <c r="E1040" s="46">
        <f>73.8998 * CHOOSE(CONTROL!$C$15, $E$9, 100%, $G$9) + CHOOSE(CONTROL!$C$38, 0.0369, 0)</f>
        <v>73.936700000000002</v>
      </c>
      <c r="F1040" s="45">
        <f>73.8998 * CHOOSE(CONTROL!$C$15, $E$9, 100%, $G$9) + CHOOSE(CONTROL!$C$38, 0.0278, 0)</f>
        <v>73.927599999999998</v>
      </c>
      <c r="G1040" s="10">
        <f>68.3173 * CHOOSE(CONTROL!$C$15, $E$9, 100%, $G$9) + CHOOSE(CONTROL!$C$38, 0.0369, 0)</f>
        <v>68.354200000000006</v>
      </c>
      <c r="H1040" s="10">
        <f>68.3173 * CHOOSE(CONTROL!$C$15, $E$9, 100%, $G$9) + CHOOSE(CONTROL!$C$38, 0.0369, 0)</f>
        <v>68.354200000000006</v>
      </c>
      <c r="I1040" s="10">
        <f>68.3189 * CHOOSE(CONTROL!$C$15, $E$9, 100%, $G$9) + CHOOSE(CONTROL!$C$38, 0.0369, 0)</f>
        <v>68.355800000000002</v>
      </c>
      <c r="J1040" s="44">
        <f>725.3987</f>
        <v>725.39869999999996</v>
      </c>
    </row>
    <row r="1041" spans="1:10" ht="15.75" x14ac:dyDescent="0.25">
      <c r="A1041" s="13">
        <v>72624</v>
      </c>
      <c r="B1041" s="10">
        <f>74.2878 * CHOOSE(CONTROL!$C$15, $E$9, 100%, $G$9) + CHOOSE(CONTROL!$C$38, 0.0256, 0)</f>
        <v>74.313400000000001</v>
      </c>
      <c r="C1041" s="10">
        <f>68.5507 * CHOOSE(CONTROL!$C$15, $E$9, 100%, $G$9) + CHOOSE(CONTROL!$C$38, 0.0347, 0)</f>
        <v>68.585400000000007</v>
      </c>
      <c r="D1041" s="10">
        <f>68.5429 * CHOOSE(CONTROL!$C$15, $E$9, 100%, $G$9) + CHOOSE(CONTROL!$C$38, 0.0347, 0)</f>
        <v>68.577600000000004</v>
      </c>
      <c r="E1041" s="46">
        <f>74.1316 * CHOOSE(CONTROL!$C$15, $E$9, 100%, $G$9) + CHOOSE(CONTROL!$C$38, 0.0347, 0)</f>
        <v>74.166300000000007</v>
      </c>
      <c r="F1041" s="45">
        <f>74.1316 * CHOOSE(CONTROL!$C$15, $E$9, 100%, $G$9) + CHOOSE(CONTROL!$C$38, 0.0256, 0)</f>
        <v>74.157200000000003</v>
      </c>
      <c r="G1041" s="10">
        <f>68.5491 * CHOOSE(CONTROL!$C$15, $E$9, 100%, $G$9) + CHOOSE(CONTROL!$C$38, 0.0347, 0)</f>
        <v>68.583799999999997</v>
      </c>
      <c r="H1041" s="10">
        <f>68.5491 * CHOOSE(CONTROL!$C$15, $E$9, 100%, $G$9) + CHOOSE(CONTROL!$C$38, 0.0347, 0)</f>
        <v>68.583799999999997</v>
      </c>
      <c r="I1041" s="10">
        <f>68.5507 * CHOOSE(CONTROL!$C$15, $E$9, 100%, $G$9) + CHOOSE(CONTROL!$C$38, 0.0347, 0)</f>
        <v>68.585400000000007</v>
      </c>
      <c r="J1041" s="44">
        <f>700.3137</f>
        <v>700.31370000000004</v>
      </c>
    </row>
    <row r="1042" spans="1:10" ht="15.75" x14ac:dyDescent="0.25">
      <c r="A1042" s="13">
        <v>72654</v>
      </c>
      <c r="B1042" s="10">
        <f>74.4813 * CHOOSE(CONTROL!$C$15, $E$9, 100%, $G$9) + CHOOSE(CONTROL!$C$38, 0.0256, 0)</f>
        <v>74.506900000000002</v>
      </c>
      <c r="C1042" s="10">
        <f>68.7442 * CHOOSE(CONTROL!$C$15, $E$9, 100%, $G$9) + CHOOSE(CONTROL!$C$38, 0.0347, 0)</f>
        <v>68.778900000000007</v>
      </c>
      <c r="D1042" s="10">
        <f>68.7363 * CHOOSE(CONTROL!$C$15, $E$9, 100%, $G$9) + CHOOSE(CONTROL!$C$38, 0.0347, 0)</f>
        <v>68.771000000000001</v>
      </c>
      <c r="E1042" s="46">
        <f>74.325 * CHOOSE(CONTROL!$C$15, $E$9, 100%, $G$9) + CHOOSE(CONTROL!$C$38, 0.0347, 0)</f>
        <v>74.359700000000004</v>
      </c>
      <c r="F1042" s="45">
        <f>74.325 * CHOOSE(CONTROL!$C$15, $E$9, 100%, $G$9) + CHOOSE(CONTROL!$C$38, 0.0256, 0)</f>
        <v>74.3506</v>
      </c>
      <c r="G1042" s="10">
        <f>68.7426 * CHOOSE(CONTROL!$C$15, $E$9, 100%, $G$9) + CHOOSE(CONTROL!$C$38, 0.0347, 0)</f>
        <v>68.777299999999997</v>
      </c>
      <c r="H1042" s="10">
        <f>68.7426 * CHOOSE(CONTROL!$C$15, $E$9, 100%, $G$9) + CHOOSE(CONTROL!$C$38, 0.0347, 0)</f>
        <v>68.777299999999997</v>
      </c>
      <c r="I1042" s="10">
        <f>68.7442 * CHOOSE(CONTROL!$C$15, $E$9, 100%, $G$9) + CHOOSE(CONTROL!$C$38, 0.0347, 0)</f>
        <v>68.778900000000007</v>
      </c>
      <c r="J1042" s="44">
        <f>695.3238</f>
        <v>695.32380000000001</v>
      </c>
    </row>
    <row r="1043" spans="1:10" ht="15.75" x14ac:dyDescent="0.25">
      <c r="A1043" s="13">
        <v>72685</v>
      </c>
      <c r="B1043" s="10">
        <f>75.0773 * CHOOSE(CONTROL!$C$15, $E$9, 100%, $G$9) + CHOOSE(CONTROL!$C$38, 0.0256, 0)</f>
        <v>75.102899999999991</v>
      </c>
      <c r="C1043" s="10">
        <f>69.3402 * CHOOSE(CONTROL!$C$15, $E$9, 100%, $G$9) + CHOOSE(CONTROL!$C$38, 0.0347, 0)</f>
        <v>69.374899999999997</v>
      </c>
      <c r="D1043" s="10">
        <f>69.3324 * CHOOSE(CONTROL!$C$15, $E$9, 100%, $G$9) + CHOOSE(CONTROL!$C$38, 0.0347, 0)</f>
        <v>69.367100000000008</v>
      </c>
      <c r="E1043" s="46">
        <f>74.9211 * CHOOSE(CONTROL!$C$15, $E$9, 100%, $G$9) + CHOOSE(CONTROL!$C$38, 0.0347, 0)</f>
        <v>74.955799999999996</v>
      </c>
      <c r="F1043" s="45">
        <f>74.9211 * CHOOSE(CONTROL!$C$15, $E$9, 100%, $G$9) + CHOOSE(CONTROL!$C$38, 0.0256, 0)</f>
        <v>74.946699999999993</v>
      </c>
      <c r="G1043" s="10">
        <f>69.3387 * CHOOSE(CONTROL!$C$15, $E$9, 100%, $G$9) + CHOOSE(CONTROL!$C$38, 0.0347, 0)</f>
        <v>69.373400000000004</v>
      </c>
      <c r="H1043" s="10">
        <f>69.3387 * CHOOSE(CONTROL!$C$15, $E$9, 100%, $G$9) + CHOOSE(CONTROL!$C$38, 0.0347, 0)</f>
        <v>69.373400000000004</v>
      </c>
      <c r="I1043" s="10">
        <f>69.3402 * CHOOSE(CONTROL!$C$15, $E$9, 100%, $G$9) + CHOOSE(CONTROL!$C$38, 0.0347, 0)</f>
        <v>69.374899999999997</v>
      </c>
      <c r="J1043" s="44">
        <f>674.69</f>
        <v>674.69</v>
      </c>
    </row>
    <row r="1044" spans="1:10" ht="15.75" x14ac:dyDescent="0.25">
      <c r="A1044" s="13">
        <v>72716</v>
      </c>
      <c r="B1044" s="10">
        <f>76.7596 * CHOOSE(CONTROL!$C$15, $E$9, 100%, $G$9) + CHOOSE(CONTROL!$C$38, 0.0256, 0)</f>
        <v>76.785200000000003</v>
      </c>
      <c r="C1044" s="10">
        <f>70.931 * CHOOSE(CONTROL!$C$15, $E$9, 100%, $G$9) + CHOOSE(CONTROL!$C$38, 0.0347, 0)</f>
        <v>70.965699999999998</v>
      </c>
      <c r="D1044" s="10">
        <f>70.9232 * CHOOSE(CONTROL!$C$15, $E$9, 100%, $G$9) + CHOOSE(CONTROL!$C$38, 0.0347, 0)</f>
        <v>70.957899999999995</v>
      </c>
      <c r="E1044" s="46">
        <f>76.6034 * CHOOSE(CONTROL!$C$15, $E$9, 100%, $G$9) + CHOOSE(CONTROL!$C$38, 0.0347, 0)</f>
        <v>76.638099999999994</v>
      </c>
      <c r="F1044" s="45">
        <f>76.6034 * CHOOSE(CONTROL!$C$15, $E$9, 100%, $G$9) + CHOOSE(CONTROL!$C$38, 0.0256, 0)</f>
        <v>76.628999999999991</v>
      </c>
      <c r="G1044" s="10">
        <f>70.9295 * CHOOSE(CONTROL!$C$15, $E$9, 100%, $G$9) + CHOOSE(CONTROL!$C$38, 0.0347, 0)</f>
        <v>70.964200000000005</v>
      </c>
      <c r="H1044" s="10">
        <f>70.9295 * CHOOSE(CONTROL!$C$15, $E$9, 100%, $G$9) + CHOOSE(CONTROL!$C$38, 0.0347, 0)</f>
        <v>70.964200000000005</v>
      </c>
      <c r="I1044" s="10">
        <f>70.931 * CHOOSE(CONTROL!$C$15, $E$9, 100%, $G$9) + CHOOSE(CONTROL!$C$38, 0.0347, 0)</f>
        <v>70.965699999999998</v>
      </c>
      <c r="J1044" s="44">
        <f>673.4015</f>
        <v>673.40150000000006</v>
      </c>
    </row>
    <row r="1045" spans="1:10" ht="15.75" x14ac:dyDescent="0.25">
      <c r="A1045" s="13">
        <v>72744</v>
      </c>
      <c r="B1045" s="10">
        <f>76.9804 * CHOOSE(CONTROL!$C$15, $E$9, 100%, $G$9) + CHOOSE(CONTROL!$C$38, 0.0256, 0)</f>
        <v>77.006</v>
      </c>
      <c r="C1045" s="10">
        <f>71.1518 * CHOOSE(CONTROL!$C$15, $E$9, 100%, $G$9) + CHOOSE(CONTROL!$C$38, 0.0347, 0)</f>
        <v>71.186499999999995</v>
      </c>
      <c r="D1045" s="10">
        <f>71.144 * CHOOSE(CONTROL!$C$15, $E$9, 100%, $G$9) + CHOOSE(CONTROL!$C$38, 0.0347, 0)</f>
        <v>71.178700000000006</v>
      </c>
      <c r="E1045" s="46">
        <f>76.8241 * CHOOSE(CONTROL!$C$15, $E$9, 100%, $G$9) + CHOOSE(CONTROL!$C$38, 0.0347, 0)</f>
        <v>76.858800000000002</v>
      </c>
      <c r="F1045" s="45">
        <f>76.8241 * CHOOSE(CONTROL!$C$15, $E$9, 100%, $G$9) + CHOOSE(CONTROL!$C$38, 0.0256, 0)</f>
        <v>76.849699999999999</v>
      </c>
      <c r="G1045" s="10">
        <f>71.1502 * CHOOSE(CONTROL!$C$15, $E$9, 100%, $G$9) + CHOOSE(CONTROL!$C$38, 0.0347, 0)</f>
        <v>71.184899999999999</v>
      </c>
      <c r="H1045" s="10">
        <f>71.1502 * CHOOSE(CONTROL!$C$15, $E$9, 100%, $G$9) + CHOOSE(CONTROL!$C$38, 0.0347, 0)</f>
        <v>71.184899999999999</v>
      </c>
      <c r="I1045" s="10">
        <f>71.1518 * CHOOSE(CONTROL!$C$15, $E$9, 100%, $G$9) + CHOOSE(CONTROL!$C$38, 0.0347, 0)</f>
        <v>71.186499999999995</v>
      </c>
      <c r="J1045" s="44">
        <f>671.5296</f>
        <v>671.52959999999996</v>
      </c>
    </row>
    <row r="1046" spans="1:10" ht="15.75" x14ac:dyDescent="0.25">
      <c r="A1046" s="13">
        <v>72775</v>
      </c>
      <c r="B1046" s="10">
        <f>76.4694 * CHOOSE(CONTROL!$C$15, $E$9, 100%, $G$9) + CHOOSE(CONTROL!$C$38, 0.0256, 0)</f>
        <v>76.49499999999999</v>
      </c>
      <c r="C1046" s="10">
        <f>70.6407 * CHOOSE(CONTROL!$C$15, $E$9, 100%, $G$9) + CHOOSE(CONTROL!$C$38, 0.0347, 0)</f>
        <v>70.675399999999996</v>
      </c>
      <c r="D1046" s="10">
        <f>70.6329 * CHOOSE(CONTROL!$C$15, $E$9, 100%, $G$9) + CHOOSE(CONTROL!$C$38, 0.0347, 0)</f>
        <v>70.667600000000007</v>
      </c>
      <c r="E1046" s="46">
        <f>76.3131 * CHOOSE(CONTROL!$C$15, $E$9, 100%, $G$9) + CHOOSE(CONTROL!$C$38, 0.0347, 0)</f>
        <v>76.347800000000007</v>
      </c>
      <c r="F1046" s="45">
        <f>76.3131 * CHOOSE(CONTROL!$C$15, $E$9, 100%, $G$9) + CHOOSE(CONTROL!$C$38, 0.0256, 0)</f>
        <v>76.338700000000003</v>
      </c>
      <c r="G1046" s="10">
        <f>70.6392 * CHOOSE(CONTROL!$C$15, $E$9, 100%, $G$9) + CHOOSE(CONTROL!$C$38, 0.0347, 0)</f>
        <v>70.673900000000003</v>
      </c>
      <c r="H1046" s="10">
        <f>70.6392 * CHOOSE(CONTROL!$C$15, $E$9, 100%, $G$9) + CHOOSE(CONTROL!$C$38, 0.0347, 0)</f>
        <v>70.673900000000003</v>
      </c>
      <c r="I1046" s="10">
        <f>70.6407 * CHOOSE(CONTROL!$C$15, $E$9, 100%, $G$9) + CHOOSE(CONTROL!$C$38, 0.0347, 0)</f>
        <v>70.675399999999996</v>
      </c>
      <c r="J1046" s="44">
        <f>706.9231</f>
        <v>706.92309999999998</v>
      </c>
    </row>
    <row r="1047" spans="1:10" ht="15.75" x14ac:dyDescent="0.25">
      <c r="A1047" s="13">
        <v>72805</v>
      </c>
      <c r="B1047" s="10">
        <f>75.9742 * CHOOSE(CONTROL!$C$15, $E$9, 100%, $G$9) + CHOOSE(CONTROL!$C$38, 0.0256, 0)</f>
        <v>75.999799999999993</v>
      </c>
      <c r="C1047" s="10">
        <f>70.1456 * CHOOSE(CONTROL!$C$15, $E$9, 100%, $G$9) + CHOOSE(CONTROL!$C$38, 0.0347, 0)</f>
        <v>70.180300000000003</v>
      </c>
      <c r="D1047" s="10">
        <f>70.1378 * CHOOSE(CONTROL!$C$15, $E$9, 100%, $G$9) + CHOOSE(CONTROL!$C$38, 0.0347, 0)</f>
        <v>70.172499999999999</v>
      </c>
      <c r="E1047" s="46">
        <f>75.8179 * CHOOSE(CONTROL!$C$15, $E$9, 100%, $G$9) + CHOOSE(CONTROL!$C$38, 0.0347, 0)</f>
        <v>75.852599999999995</v>
      </c>
      <c r="F1047" s="45">
        <f>75.8179 * CHOOSE(CONTROL!$C$15, $E$9, 100%, $G$9) + CHOOSE(CONTROL!$C$38, 0.0256, 0)</f>
        <v>75.843499999999992</v>
      </c>
      <c r="G1047" s="10">
        <f>70.144 * CHOOSE(CONTROL!$C$15, $E$9, 100%, $G$9) + CHOOSE(CONTROL!$C$38, 0.0347, 0)</f>
        <v>70.178700000000006</v>
      </c>
      <c r="H1047" s="10">
        <f>70.144 * CHOOSE(CONTROL!$C$15, $E$9, 100%, $G$9) + CHOOSE(CONTROL!$C$38, 0.0347, 0)</f>
        <v>70.178700000000006</v>
      </c>
      <c r="I1047" s="10">
        <f>70.1456 * CHOOSE(CONTROL!$C$15, $E$9, 100%, $G$9) + CHOOSE(CONTROL!$C$38, 0.0347, 0)</f>
        <v>70.180300000000003</v>
      </c>
      <c r="J1047" s="44">
        <f>752.82</f>
        <v>752.82</v>
      </c>
    </row>
    <row r="1048" spans="1:10" ht="15.75" x14ac:dyDescent="0.25">
      <c r="A1048" s="13">
        <v>72836</v>
      </c>
      <c r="B1048" s="10">
        <f>75.4581 * CHOOSE(CONTROL!$C$15, $E$9, 100%, $G$9) + CHOOSE(CONTROL!$C$38, 0.0278, 0)</f>
        <v>75.485900000000001</v>
      </c>
      <c r="C1048" s="10">
        <f>69.6295 * CHOOSE(CONTROL!$C$15, $E$9, 100%, $G$9) + CHOOSE(CONTROL!$C$38, 0.0369, 0)</f>
        <v>69.666399999999996</v>
      </c>
      <c r="D1048" s="10">
        <f>69.6216 * CHOOSE(CONTROL!$C$15, $E$9, 100%, $G$9) + CHOOSE(CONTROL!$C$38, 0.0369, 0)</f>
        <v>69.658500000000004</v>
      </c>
      <c r="E1048" s="46">
        <f>75.3018 * CHOOSE(CONTROL!$C$15, $E$9, 100%, $G$9) + CHOOSE(CONTROL!$C$38, 0.0369, 0)</f>
        <v>75.338700000000003</v>
      </c>
      <c r="F1048" s="45">
        <f>75.3018 * CHOOSE(CONTROL!$C$15, $E$9, 100%, $G$9) + CHOOSE(CONTROL!$C$38, 0.0278, 0)</f>
        <v>75.329599999999999</v>
      </c>
      <c r="G1048" s="10">
        <f>69.6279 * CHOOSE(CONTROL!$C$15, $E$9, 100%, $G$9) + CHOOSE(CONTROL!$C$38, 0.0369, 0)</f>
        <v>69.6648</v>
      </c>
      <c r="H1048" s="10">
        <f>69.6279 * CHOOSE(CONTROL!$C$15, $E$9, 100%, $G$9) + CHOOSE(CONTROL!$C$38, 0.0369, 0)</f>
        <v>69.6648</v>
      </c>
      <c r="I1048" s="10">
        <f>69.6295 * CHOOSE(CONTROL!$C$15, $E$9, 100%, $G$9) + CHOOSE(CONTROL!$C$38, 0.0369, 0)</f>
        <v>69.666399999999996</v>
      </c>
      <c r="J1048" s="44">
        <f>778.0832</f>
        <v>778.08320000000003</v>
      </c>
    </row>
    <row r="1049" spans="1:10" ht="15.75" x14ac:dyDescent="0.25">
      <c r="A1049" s="13">
        <v>72866</v>
      </c>
      <c r="B1049" s="10">
        <f>75.0962 * CHOOSE(CONTROL!$C$15, $E$9, 100%, $G$9) + CHOOSE(CONTROL!$C$38, 0.0278, 0)</f>
        <v>75.123999999999995</v>
      </c>
      <c r="C1049" s="10">
        <f>69.2676 * CHOOSE(CONTROL!$C$15, $E$9, 100%, $G$9) + CHOOSE(CONTROL!$C$38, 0.0369, 0)</f>
        <v>69.304500000000004</v>
      </c>
      <c r="D1049" s="10">
        <f>69.2598 * CHOOSE(CONTROL!$C$15, $E$9, 100%, $G$9) + CHOOSE(CONTROL!$C$38, 0.0369, 0)</f>
        <v>69.296700000000001</v>
      </c>
      <c r="E1049" s="46">
        <f>74.94 * CHOOSE(CONTROL!$C$15, $E$9, 100%, $G$9) + CHOOSE(CONTROL!$C$38, 0.0369, 0)</f>
        <v>74.976900000000001</v>
      </c>
      <c r="F1049" s="45">
        <f>74.94 * CHOOSE(CONTROL!$C$15, $E$9, 100%, $G$9) + CHOOSE(CONTROL!$C$38, 0.0278, 0)</f>
        <v>74.967799999999997</v>
      </c>
      <c r="G1049" s="10">
        <f>69.2661 * CHOOSE(CONTROL!$C$15, $E$9, 100%, $G$9) + CHOOSE(CONTROL!$C$38, 0.0369, 0)</f>
        <v>69.302999999999997</v>
      </c>
      <c r="H1049" s="10">
        <f>69.2661 * CHOOSE(CONTROL!$C$15, $E$9, 100%, $G$9) + CHOOSE(CONTROL!$C$38, 0.0369, 0)</f>
        <v>69.302999999999997</v>
      </c>
      <c r="I1049" s="10">
        <f>69.2676 * CHOOSE(CONTROL!$C$15, $E$9, 100%, $G$9) + CHOOSE(CONTROL!$C$38, 0.0369, 0)</f>
        <v>69.304500000000004</v>
      </c>
      <c r="J1049" s="44">
        <f>789.2945</f>
        <v>789.29449999999997</v>
      </c>
    </row>
    <row r="1050" spans="1:10" ht="15.75" x14ac:dyDescent="0.25">
      <c r="A1050" s="13">
        <v>72897</v>
      </c>
      <c r="B1050" s="10">
        <f>74.8897 * CHOOSE(CONTROL!$C$15, $E$9, 100%, $G$9) + CHOOSE(CONTROL!$C$38, 0.0278, 0)</f>
        <v>74.917500000000004</v>
      </c>
      <c r="C1050" s="10">
        <f>69.0611 * CHOOSE(CONTROL!$C$15, $E$9, 100%, $G$9) + CHOOSE(CONTROL!$C$38, 0.0369, 0)</f>
        <v>69.097999999999999</v>
      </c>
      <c r="D1050" s="10">
        <f>69.0533 * CHOOSE(CONTROL!$C$15, $E$9, 100%, $G$9) + CHOOSE(CONTROL!$C$38, 0.0369, 0)</f>
        <v>69.090199999999996</v>
      </c>
      <c r="E1050" s="46">
        <f>74.7335 * CHOOSE(CONTROL!$C$15, $E$9, 100%, $G$9) + CHOOSE(CONTROL!$C$38, 0.0369, 0)</f>
        <v>74.770400000000009</v>
      </c>
      <c r="F1050" s="45">
        <f>74.7335 * CHOOSE(CONTROL!$C$15, $E$9, 100%, $G$9) + CHOOSE(CONTROL!$C$38, 0.0278, 0)</f>
        <v>74.761300000000006</v>
      </c>
      <c r="G1050" s="10">
        <f>69.0596 * CHOOSE(CONTROL!$C$15, $E$9, 100%, $G$9) + CHOOSE(CONTROL!$C$38, 0.0369, 0)</f>
        <v>69.096500000000006</v>
      </c>
      <c r="H1050" s="10">
        <f>69.0596 * CHOOSE(CONTROL!$C$15, $E$9, 100%, $G$9) + CHOOSE(CONTROL!$C$38, 0.0369, 0)</f>
        <v>69.096500000000006</v>
      </c>
      <c r="I1050" s="10">
        <f>69.0611 * CHOOSE(CONTROL!$C$15, $E$9, 100%, $G$9) + CHOOSE(CONTROL!$C$38, 0.0369, 0)</f>
        <v>69.097999999999999</v>
      </c>
      <c r="J1050" s="44">
        <f>785.6032</f>
        <v>785.60320000000002</v>
      </c>
    </row>
    <row r="1051" spans="1:10" ht="15.75" x14ac:dyDescent="0.25">
      <c r="A1051" s="13">
        <v>72928</v>
      </c>
      <c r="B1051" s="10">
        <f>74.9917 * CHOOSE(CONTROL!$C$15, $E$9, 100%, $G$9) + CHOOSE(CONTROL!$C$38, 0.0278, 0)</f>
        <v>75.019499999999994</v>
      </c>
      <c r="C1051" s="10">
        <f>69.163 * CHOOSE(CONTROL!$C$15, $E$9, 100%, $G$9) + CHOOSE(CONTROL!$C$38, 0.0369, 0)</f>
        <v>69.1999</v>
      </c>
      <c r="D1051" s="10">
        <f>69.1552 * CHOOSE(CONTROL!$C$15, $E$9, 100%, $G$9) + CHOOSE(CONTROL!$C$38, 0.0369, 0)</f>
        <v>69.192099999999996</v>
      </c>
      <c r="E1051" s="46">
        <f>74.8354 * CHOOSE(CONTROL!$C$15, $E$9, 100%, $G$9) + CHOOSE(CONTROL!$C$38, 0.0369, 0)</f>
        <v>74.87230000000001</v>
      </c>
      <c r="F1051" s="45">
        <f>74.8354 * CHOOSE(CONTROL!$C$15, $E$9, 100%, $G$9) + CHOOSE(CONTROL!$C$38, 0.0278, 0)</f>
        <v>74.863200000000006</v>
      </c>
      <c r="G1051" s="10">
        <f>69.1615 * CHOOSE(CONTROL!$C$15, $E$9, 100%, $G$9) + CHOOSE(CONTROL!$C$38, 0.0369, 0)</f>
        <v>69.198400000000007</v>
      </c>
      <c r="H1051" s="10">
        <f>69.1615 * CHOOSE(CONTROL!$C$15, $E$9, 100%, $G$9) + CHOOSE(CONTROL!$C$38, 0.0369, 0)</f>
        <v>69.198400000000007</v>
      </c>
      <c r="I1051" s="10">
        <f>69.163 * CHOOSE(CONTROL!$C$15, $E$9, 100%, $G$9) + CHOOSE(CONTROL!$C$38, 0.0369, 0)</f>
        <v>69.1999</v>
      </c>
      <c r="J1051" s="44">
        <f>767.3147</f>
        <v>767.31470000000002</v>
      </c>
    </row>
    <row r="1052" spans="1:10" ht="15.75" x14ac:dyDescent="0.25">
      <c r="A1052" s="13">
        <v>72958</v>
      </c>
      <c r="B1052" s="10">
        <f>75.2685 * CHOOSE(CONTROL!$C$15, $E$9, 100%, $G$9) + CHOOSE(CONTROL!$C$38, 0.0278, 0)</f>
        <v>75.296300000000002</v>
      </c>
      <c r="C1052" s="10">
        <f>69.4398 * CHOOSE(CONTROL!$C$15, $E$9, 100%, $G$9) + CHOOSE(CONTROL!$C$38, 0.0369, 0)</f>
        <v>69.476700000000008</v>
      </c>
      <c r="D1052" s="10">
        <f>69.432 * CHOOSE(CONTROL!$C$15, $E$9, 100%, $G$9) + CHOOSE(CONTROL!$C$38, 0.0369, 0)</f>
        <v>69.468900000000005</v>
      </c>
      <c r="E1052" s="46">
        <f>75.1122 * CHOOSE(CONTROL!$C$15, $E$9, 100%, $G$9) + CHOOSE(CONTROL!$C$38, 0.0369, 0)</f>
        <v>75.149100000000004</v>
      </c>
      <c r="F1052" s="45">
        <f>75.1122 * CHOOSE(CONTROL!$C$15, $E$9, 100%, $G$9) + CHOOSE(CONTROL!$C$38, 0.0278, 0)</f>
        <v>75.14</v>
      </c>
      <c r="G1052" s="10">
        <f>69.4383 * CHOOSE(CONTROL!$C$15, $E$9, 100%, $G$9) + CHOOSE(CONTROL!$C$38, 0.0369, 0)</f>
        <v>69.475200000000001</v>
      </c>
      <c r="H1052" s="10">
        <f>69.4383 * CHOOSE(CONTROL!$C$15, $E$9, 100%, $G$9) + CHOOSE(CONTROL!$C$38, 0.0369, 0)</f>
        <v>69.475200000000001</v>
      </c>
      <c r="I1052" s="10">
        <f>69.4398 * CHOOSE(CONTROL!$C$15, $E$9, 100%, $G$9) + CHOOSE(CONTROL!$C$38, 0.0369, 0)</f>
        <v>69.476700000000008</v>
      </c>
      <c r="J1052" s="44">
        <f>741.8105</f>
        <v>741.81050000000005</v>
      </c>
    </row>
    <row r="1053" spans="1:10" ht="15.75" x14ac:dyDescent="0.25">
      <c r="A1053" s="13">
        <v>72989</v>
      </c>
      <c r="B1053" s="10">
        <f>75.5003 * CHOOSE(CONTROL!$C$15, $E$9, 100%, $G$9) + CHOOSE(CONTROL!$C$38, 0.0256, 0)</f>
        <v>75.525899999999993</v>
      </c>
      <c r="C1053" s="10">
        <f>69.6717 * CHOOSE(CONTROL!$C$15, $E$9, 100%, $G$9) + CHOOSE(CONTROL!$C$38, 0.0347, 0)</f>
        <v>69.706400000000002</v>
      </c>
      <c r="D1053" s="10">
        <f>69.6638 * CHOOSE(CONTROL!$C$15, $E$9, 100%, $G$9) + CHOOSE(CONTROL!$C$38, 0.0347, 0)</f>
        <v>69.698499999999996</v>
      </c>
      <c r="E1053" s="46">
        <f>75.344 * CHOOSE(CONTROL!$C$15, $E$9, 100%, $G$9) + CHOOSE(CONTROL!$C$38, 0.0347, 0)</f>
        <v>75.378699999999995</v>
      </c>
      <c r="F1053" s="45">
        <f>75.344 * CHOOSE(CONTROL!$C$15, $E$9, 100%, $G$9) + CHOOSE(CONTROL!$C$38, 0.0256, 0)</f>
        <v>75.369599999999991</v>
      </c>
      <c r="G1053" s="10">
        <f>69.6701 * CHOOSE(CONTROL!$C$15, $E$9, 100%, $G$9) + CHOOSE(CONTROL!$C$38, 0.0347, 0)</f>
        <v>69.704800000000006</v>
      </c>
      <c r="H1053" s="10">
        <f>69.6701 * CHOOSE(CONTROL!$C$15, $E$9, 100%, $G$9) + CHOOSE(CONTROL!$C$38, 0.0347, 0)</f>
        <v>69.704800000000006</v>
      </c>
      <c r="I1053" s="10">
        <f>69.6717 * CHOOSE(CONTROL!$C$15, $E$9, 100%, $G$9) + CHOOSE(CONTROL!$C$38, 0.0347, 0)</f>
        <v>69.706400000000002</v>
      </c>
      <c r="J1053" s="44">
        <f>716.1579</f>
        <v>716.15790000000004</v>
      </c>
    </row>
    <row r="1054" spans="1:10" ht="15.75" x14ac:dyDescent="0.25">
      <c r="A1054" s="13">
        <v>73019</v>
      </c>
      <c r="B1054" s="10">
        <f>75.6937 * CHOOSE(CONTROL!$C$15, $E$9, 100%, $G$9) + CHOOSE(CONTROL!$C$38, 0.0256, 0)</f>
        <v>75.719300000000004</v>
      </c>
      <c r="C1054" s="10">
        <f>69.8651 * CHOOSE(CONTROL!$C$15, $E$9, 100%, $G$9) + CHOOSE(CONTROL!$C$38, 0.0347, 0)</f>
        <v>69.899799999999999</v>
      </c>
      <c r="D1054" s="10">
        <f>69.8573 * CHOOSE(CONTROL!$C$15, $E$9, 100%, $G$9) + CHOOSE(CONTROL!$C$38, 0.0347, 0)</f>
        <v>69.891999999999996</v>
      </c>
      <c r="E1054" s="46">
        <f>75.5375 * CHOOSE(CONTROL!$C$15, $E$9, 100%, $G$9) + CHOOSE(CONTROL!$C$38, 0.0347, 0)</f>
        <v>75.572199999999995</v>
      </c>
      <c r="F1054" s="45">
        <f>75.5375 * CHOOSE(CONTROL!$C$15, $E$9, 100%, $G$9) + CHOOSE(CONTROL!$C$38, 0.0256, 0)</f>
        <v>75.563099999999991</v>
      </c>
      <c r="G1054" s="10">
        <f>69.8635 * CHOOSE(CONTROL!$C$15, $E$9, 100%, $G$9) + CHOOSE(CONTROL!$C$38, 0.0347, 0)</f>
        <v>69.898200000000003</v>
      </c>
      <c r="H1054" s="10">
        <f>69.8635 * CHOOSE(CONTROL!$C$15, $E$9, 100%, $G$9) + CHOOSE(CONTROL!$C$38, 0.0347, 0)</f>
        <v>69.898200000000003</v>
      </c>
      <c r="I1054" s="10">
        <f>69.8651 * CHOOSE(CONTROL!$C$15, $E$9, 100%, $G$9) + CHOOSE(CONTROL!$C$38, 0.0347, 0)</f>
        <v>69.899799999999999</v>
      </c>
      <c r="J1054" s="44">
        <f>711.0551</f>
        <v>711.05510000000004</v>
      </c>
    </row>
    <row r="1055" spans="1:10" ht="15.75" x14ac:dyDescent="0.25">
      <c r="A1055" s="13">
        <v>73050</v>
      </c>
      <c r="B1055" s="10">
        <f>76.2898 * CHOOSE(CONTROL!$C$15, $E$9, 100%, $G$9) + CHOOSE(CONTROL!$C$38, 0.0256, 0)</f>
        <v>76.315399999999997</v>
      </c>
      <c r="C1055" s="10">
        <f>70.4612 * CHOOSE(CONTROL!$C$15, $E$9, 100%, $G$9) + CHOOSE(CONTROL!$C$38, 0.0347, 0)</f>
        <v>70.495900000000006</v>
      </c>
      <c r="D1055" s="10">
        <f>70.4534 * CHOOSE(CONTROL!$C$15, $E$9, 100%, $G$9) + CHOOSE(CONTROL!$C$38, 0.0347, 0)</f>
        <v>70.488100000000003</v>
      </c>
      <c r="E1055" s="46">
        <f>76.1335 * CHOOSE(CONTROL!$C$15, $E$9, 100%, $G$9) + CHOOSE(CONTROL!$C$38, 0.0347, 0)</f>
        <v>76.168199999999999</v>
      </c>
      <c r="F1055" s="45">
        <f>76.1335 * CHOOSE(CONTROL!$C$15, $E$9, 100%, $G$9) + CHOOSE(CONTROL!$C$38, 0.0256, 0)</f>
        <v>76.159099999999995</v>
      </c>
      <c r="G1055" s="10">
        <f>70.4596 * CHOOSE(CONTROL!$C$15, $E$9, 100%, $G$9) + CHOOSE(CONTROL!$C$38, 0.0347, 0)</f>
        <v>70.494299999999996</v>
      </c>
      <c r="H1055" s="10">
        <f>70.4596 * CHOOSE(CONTROL!$C$15, $E$9, 100%, $G$9) + CHOOSE(CONTROL!$C$38, 0.0347, 0)</f>
        <v>70.494299999999996</v>
      </c>
      <c r="I1055" s="10">
        <f>70.4612 * CHOOSE(CONTROL!$C$15, $E$9, 100%, $G$9) + CHOOSE(CONTROL!$C$38, 0.0347, 0)</f>
        <v>70.495900000000006</v>
      </c>
      <c r="J1055" s="44">
        <f>689.9545</f>
        <v>689.95450000000005</v>
      </c>
    </row>
    <row r="1056" spans="1:10" ht="15.75" x14ac:dyDescent="0.25">
      <c r="A1056" s="13">
        <v>73081</v>
      </c>
      <c r="B1056" s="10">
        <f>77.992 * CHOOSE(CONTROL!$C$15, $E$9, 100%, $G$9) + CHOOSE(CONTROL!$C$38, 0.0256, 0)</f>
        <v>78.017600000000002</v>
      </c>
      <c r="C1056" s="10">
        <f>72.0703 * CHOOSE(CONTROL!$C$15, $E$9, 100%, $G$9) + CHOOSE(CONTROL!$C$38, 0.0347, 0)</f>
        <v>72.105000000000004</v>
      </c>
      <c r="D1056" s="10">
        <f>72.0625 * CHOOSE(CONTROL!$C$15, $E$9, 100%, $G$9) + CHOOSE(CONTROL!$C$38, 0.0347, 0)</f>
        <v>72.097200000000001</v>
      </c>
      <c r="E1056" s="46">
        <f>77.8357 * CHOOSE(CONTROL!$C$15, $E$9, 100%, $G$9) + CHOOSE(CONTROL!$C$38, 0.0347, 0)</f>
        <v>77.870400000000004</v>
      </c>
      <c r="F1056" s="45">
        <f>77.8357 * CHOOSE(CONTROL!$C$15, $E$9, 100%, $G$9) + CHOOSE(CONTROL!$C$38, 0.0256, 0)</f>
        <v>77.8613</v>
      </c>
      <c r="G1056" s="10">
        <f>72.0688 * CHOOSE(CONTROL!$C$15, $E$9, 100%, $G$9) + CHOOSE(CONTROL!$C$38, 0.0347, 0)</f>
        <v>72.103499999999997</v>
      </c>
      <c r="H1056" s="10">
        <f>72.0688 * CHOOSE(CONTROL!$C$15, $E$9, 100%, $G$9) + CHOOSE(CONTROL!$C$38, 0.0347, 0)</f>
        <v>72.103499999999997</v>
      </c>
      <c r="I1056" s="10">
        <f>72.0703 * CHOOSE(CONTROL!$C$15, $E$9, 100%, $G$9) + CHOOSE(CONTROL!$C$38, 0.0347, 0)</f>
        <v>72.105000000000004</v>
      </c>
      <c r="J1056" s="44">
        <f>688.6368</f>
        <v>688.63679999999999</v>
      </c>
    </row>
    <row r="1057" spans="1:11" ht="15.75" x14ac:dyDescent="0.25">
      <c r="A1057" s="13">
        <v>73109</v>
      </c>
      <c r="B1057" s="10">
        <f>78.2127 * CHOOSE(CONTROL!$C$15, $E$9, 100%, $G$9) + CHOOSE(CONTROL!$C$38, 0.0256, 0)</f>
        <v>78.238299999999995</v>
      </c>
      <c r="C1057" s="10">
        <f>72.2911 * CHOOSE(CONTROL!$C$15, $E$9, 100%, $G$9) + CHOOSE(CONTROL!$C$38, 0.0347, 0)</f>
        <v>72.325800000000001</v>
      </c>
      <c r="D1057" s="10">
        <f>72.2833 * CHOOSE(CONTROL!$C$15, $E$9, 100%, $G$9) + CHOOSE(CONTROL!$C$38, 0.0347, 0)</f>
        <v>72.317999999999998</v>
      </c>
      <c r="E1057" s="46">
        <f>78.0565 * CHOOSE(CONTROL!$C$15, $E$9, 100%, $G$9) + CHOOSE(CONTROL!$C$38, 0.0347, 0)</f>
        <v>78.091200000000001</v>
      </c>
      <c r="F1057" s="45">
        <f>78.0565 * CHOOSE(CONTROL!$C$15, $E$9, 100%, $G$9) + CHOOSE(CONTROL!$C$38, 0.0256, 0)</f>
        <v>78.082099999999997</v>
      </c>
      <c r="G1057" s="10">
        <f>72.2895 * CHOOSE(CONTROL!$C$15, $E$9, 100%, $G$9) + CHOOSE(CONTROL!$C$38, 0.0347, 0)</f>
        <v>72.324200000000005</v>
      </c>
      <c r="H1057" s="10">
        <f>72.2895 * CHOOSE(CONTROL!$C$15, $E$9, 100%, $G$9) + CHOOSE(CONTROL!$C$38, 0.0347, 0)</f>
        <v>72.324200000000005</v>
      </c>
      <c r="I1057" s="10">
        <f>72.2911 * CHOOSE(CONTROL!$C$15, $E$9, 100%, $G$9) + CHOOSE(CONTROL!$C$38, 0.0347, 0)</f>
        <v>72.325800000000001</v>
      </c>
      <c r="J1057" s="44">
        <f>686.7226</f>
        <v>686.72260000000006</v>
      </c>
    </row>
    <row r="1058" spans="1:11" ht="15.75" x14ac:dyDescent="0.25">
      <c r="A1058" s="13">
        <v>73140</v>
      </c>
      <c r="B1058" s="10">
        <f>77.7017 * CHOOSE(CONTROL!$C$15, $E$9, 100%, $G$9) + CHOOSE(CONTROL!$C$38, 0.0256, 0)</f>
        <v>77.7273</v>
      </c>
      <c r="C1058" s="10">
        <f>71.7801 * CHOOSE(CONTROL!$C$15, $E$9, 100%, $G$9) + CHOOSE(CONTROL!$C$38, 0.0347, 0)</f>
        <v>71.814800000000005</v>
      </c>
      <c r="D1058" s="10">
        <f>71.7723 * CHOOSE(CONTROL!$C$15, $E$9, 100%, $G$9) + CHOOSE(CONTROL!$C$38, 0.0347, 0)</f>
        <v>71.807000000000002</v>
      </c>
      <c r="E1058" s="46">
        <f>77.5454 * CHOOSE(CONTROL!$C$15, $E$9, 100%, $G$9) + CHOOSE(CONTROL!$C$38, 0.0347, 0)</f>
        <v>77.580100000000002</v>
      </c>
      <c r="F1058" s="45">
        <f>77.5454 * CHOOSE(CONTROL!$C$15, $E$9, 100%, $G$9) + CHOOSE(CONTROL!$C$38, 0.0256, 0)</f>
        <v>77.570999999999998</v>
      </c>
      <c r="G1058" s="10">
        <f>71.7785 * CHOOSE(CONTROL!$C$15, $E$9, 100%, $G$9) + CHOOSE(CONTROL!$C$38, 0.0347, 0)</f>
        <v>71.813199999999995</v>
      </c>
      <c r="H1058" s="10">
        <f>71.7785 * CHOOSE(CONTROL!$C$15, $E$9, 100%, $G$9) + CHOOSE(CONTROL!$C$38, 0.0347, 0)</f>
        <v>71.813199999999995</v>
      </c>
      <c r="I1058" s="10">
        <f>71.7801 * CHOOSE(CONTROL!$C$15, $E$9, 100%, $G$9) + CHOOSE(CONTROL!$C$38, 0.0347, 0)</f>
        <v>71.814800000000005</v>
      </c>
      <c r="J1058" s="44">
        <f>722.9169</f>
        <v>722.91690000000006</v>
      </c>
    </row>
    <row r="1059" spans="1:11" ht="15.75" x14ac:dyDescent="0.25">
      <c r="A1059" s="13">
        <v>73170</v>
      </c>
      <c r="B1059" s="10">
        <f>77.2065 * CHOOSE(CONTROL!$C$15, $E$9, 100%, $G$9) + CHOOSE(CONTROL!$C$38, 0.0256, 0)</f>
        <v>77.232100000000003</v>
      </c>
      <c r="C1059" s="10">
        <f>71.2849 * CHOOSE(CONTROL!$C$15, $E$9, 100%, $G$9) + CHOOSE(CONTROL!$C$38, 0.0347, 0)</f>
        <v>71.319599999999994</v>
      </c>
      <c r="D1059" s="10">
        <f>71.2771 * CHOOSE(CONTROL!$C$15, $E$9, 100%, $G$9) + CHOOSE(CONTROL!$C$38, 0.0347, 0)</f>
        <v>71.311800000000005</v>
      </c>
      <c r="E1059" s="46">
        <f>77.0503 * CHOOSE(CONTROL!$C$15, $E$9, 100%, $G$9) + CHOOSE(CONTROL!$C$38, 0.0347, 0)</f>
        <v>77.084999999999994</v>
      </c>
      <c r="F1059" s="45">
        <f>77.0503 * CHOOSE(CONTROL!$C$15, $E$9, 100%, $G$9) + CHOOSE(CONTROL!$C$38, 0.0256, 0)</f>
        <v>77.07589999999999</v>
      </c>
      <c r="G1059" s="10">
        <f>71.2833 * CHOOSE(CONTROL!$C$15, $E$9, 100%, $G$9) + CHOOSE(CONTROL!$C$38, 0.0347, 0)</f>
        <v>71.317999999999998</v>
      </c>
      <c r="H1059" s="10">
        <f>71.2833 * CHOOSE(CONTROL!$C$15, $E$9, 100%, $G$9) + CHOOSE(CONTROL!$C$38, 0.0347, 0)</f>
        <v>71.317999999999998</v>
      </c>
      <c r="I1059" s="10">
        <f>71.2849 * CHOOSE(CONTROL!$C$15, $E$9, 100%, $G$9) + CHOOSE(CONTROL!$C$38, 0.0347, 0)</f>
        <v>71.319599999999994</v>
      </c>
      <c r="J1059" s="44">
        <f>769.8522</f>
        <v>769.85220000000004</v>
      </c>
    </row>
    <row r="1060" spans="1:11" ht="15.75" x14ac:dyDescent="0.25">
      <c r="A1060" s="13">
        <v>73201</v>
      </c>
      <c r="B1060" s="10">
        <f>76.6904 * CHOOSE(CONTROL!$C$15, $E$9, 100%, $G$9) + CHOOSE(CONTROL!$C$38, 0.0278, 0)</f>
        <v>76.718199999999996</v>
      </c>
      <c r="C1060" s="10">
        <f>70.7688 * CHOOSE(CONTROL!$C$15, $E$9, 100%, $G$9) + CHOOSE(CONTROL!$C$38, 0.0369, 0)</f>
        <v>70.805700000000002</v>
      </c>
      <c r="D1060" s="10">
        <f>70.761 * CHOOSE(CONTROL!$C$15, $E$9, 100%, $G$9) + CHOOSE(CONTROL!$C$38, 0.0369, 0)</f>
        <v>70.797899999999998</v>
      </c>
      <c r="E1060" s="46">
        <f>76.5341 * CHOOSE(CONTROL!$C$15, $E$9, 100%, $G$9) + CHOOSE(CONTROL!$C$38, 0.0369, 0)</f>
        <v>76.570999999999998</v>
      </c>
      <c r="F1060" s="45">
        <f>76.5341 * CHOOSE(CONTROL!$C$15, $E$9, 100%, $G$9) + CHOOSE(CONTROL!$C$38, 0.0278, 0)</f>
        <v>76.561899999999994</v>
      </c>
      <c r="G1060" s="10">
        <f>70.7672 * CHOOSE(CONTROL!$C$15, $E$9, 100%, $G$9) + CHOOSE(CONTROL!$C$38, 0.0369, 0)</f>
        <v>70.804100000000005</v>
      </c>
      <c r="H1060" s="10">
        <f>70.7672 * CHOOSE(CONTROL!$C$15, $E$9, 100%, $G$9) + CHOOSE(CONTROL!$C$38, 0.0369, 0)</f>
        <v>70.804100000000005</v>
      </c>
      <c r="I1060" s="10">
        <f>70.7688 * CHOOSE(CONTROL!$C$15, $E$9, 100%, $G$9) + CHOOSE(CONTROL!$C$38, 0.0369, 0)</f>
        <v>70.805700000000002</v>
      </c>
      <c r="J1060" s="44">
        <f>795.6869</f>
        <v>795.68690000000004</v>
      </c>
    </row>
    <row r="1061" spans="1:11" ht="15.75" x14ac:dyDescent="0.25">
      <c r="A1061" s="13">
        <v>73231</v>
      </c>
      <c r="B1061" s="10">
        <f>76.3286 * CHOOSE(CONTROL!$C$15, $E$9, 100%, $G$9) + CHOOSE(CONTROL!$C$38, 0.0278, 0)</f>
        <v>76.356399999999994</v>
      </c>
      <c r="C1061" s="10">
        <f>70.4069 * CHOOSE(CONTROL!$C$15, $E$9, 100%, $G$9) + CHOOSE(CONTROL!$C$38, 0.0369, 0)</f>
        <v>70.443799999999996</v>
      </c>
      <c r="D1061" s="10">
        <f>70.3991 * CHOOSE(CONTROL!$C$15, $E$9, 100%, $G$9) + CHOOSE(CONTROL!$C$38, 0.0369, 0)</f>
        <v>70.436000000000007</v>
      </c>
      <c r="E1061" s="46">
        <f>76.1723 * CHOOSE(CONTROL!$C$15, $E$9, 100%, $G$9) + CHOOSE(CONTROL!$C$38, 0.0369, 0)</f>
        <v>76.20920000000001</v>
      </c>
      <c r="F1061" s="45">
        <f>76.1723 * CHOOSE(CONTROL!$C$15, $E$9, 100%, $G$9) + CHOOSE(CONTROL!$C$38, 0.0278, 0)</f>
        <v>76.200100000000006</v>
      </c>
      <c r="G1061" s="10">
        <f>70.4054 * CHOOSE(CONTROL!$C$15, $E$9, 100%, $G$9) + CHOOSE(CONTROL!$C$38, 0.0369, 0)</f>
        <v>70.442300000000003</v>
      </c>
      <c r="H1061" s="10">
        <f>70.4054 * CHOOSE(CONTROL!$C$15, $E$9, 100%, $G$9) + CHOOSE(CONTROL!$C$38, 0.0369, 0)</f>
        <v>70.442300000000003</v>
      </c>
      <c r="I1061" s="10">
        <f>70.4069 * CHOOSE(CONTROL!$C$15, $E$9, 100%, $G$9) + CHOOSE(CONTROL!$C$38, 0.0369, 0)</f>
        <v>70.443799999999996</v>
      </c>
      <c r="J1061" s="44">
        <f>807.1519</f>
        <v>807.15189999999996</v>
      </c>
    </row>
    <row r="1062" spans="1:11" ht="15.75" x14ac:dyDescent="0.25">
      <c r="A1062" s="13">
        <v>73262</v>
      </c>
      <c r="B1062" s="10">
        <f>76.1221 * CHOOSE(CONTROL!$C$15, $E$9, 100%, $G$9) + CHOOSE(CONTROL!$C$38, 0.0278, 0)</f>
        <v>76.149900000000002</v>
      </c>
      <c r="C1062" s="10">
        <f>70.2005 * CHOOSE(CONTROL!$C$15, $E$9, 100%, $G$9) + CHOOSE(CONTROL!$C$38, 0.0369, 0)</f>
        <v>70.237400000000008</v>
      </c>
      <c r="D1062" s="10">
        <f>70.1926 * CHOOSE(CONTROL!$C$15, $E$9, 100%, $G$9) + CHOOSE(CONTROL!$C$38, 0.0369, 0)</f>
        <v>70.229500000000002</v>
      </c>
      <c r="E1062" s="46">
        <f>75.9658 * CHOOSE(CONTROL!$C$15, $E$9, 100%, $G$9) + CHOOSE(CONTROL!$C$38, 0.0369, 0)</f>
        <v>76.002700000000004</v>
      </c>
      <c r="F1062" s="45">
        <f>75.9658 * CHOOSE(CONTROL!$C$15, $E$9, 100%, $G$9) + CHOOSE(CONTROL!$C$38, 0.0278, 0)</f>
        <v>75.993600000000001</v>
      </c>
      <c r="G1062" s="10">
        <f>70.1989 * CHOOSE(CONTROL!$C$15, $E$9, 100%, $G$9) + CHOOSE(CONTROL!$C$38, 0.0369, 0)</f>
        <v>70.235799999999998</v>
      </c>
      <c r="H1062" s="10">
        <f>70.1989 * CHOOSE(CONTROL!$C$15, $E$9, 100%, $G$9) + CHOOSE(CONTROL!$C$38, 0.0369, 0)</f>
        <v>70.235799999999998</v>
      </c>
      <c r="I1062" s="10">
        <f>70.2005 * CHOOSE(CONTROL!$C$15, $E$9, 100%, $G$9) + CHOOSE(CONTROL!$C$38, 0.0369, 0)</f>
        <v>70.237400000000008</v>
      </c>
      <c r="J1062" s="44">
        <f>803.3771</f>
        <v>803.37710000000004</v>
      </c>
    </row>
    <row r="1063" spans="1:11" ht="15.75" x14ac:dyDescent="0.25">
      <c r="A1063" s="13">
        <v>73293</v>
      </c>
      <c r="B1063" s="10">
        <f>76.224 * CHOOSE(CONTROL!$C$15, $E$9, 100%, $G$9) + CHOOSE(CONTROL!$C$38, 0.0278, 0)</f>
        <v>76.251800000000003</v>
      </c>
      <c r="C1063" s="10">
        <f>70.3024 * CHOOSE(CONTROL!$C$15, $E$9, 100%, $G$9) + CHOOSE(CONTROL!$C$38, 0.0369, 0)</f>
        <v>70.339300000000009</v>
      </c>
      <c r="D1063" s="10">
        <f>70.2946 * CHOOSE(CONTROL!$C$15, $E$9, 100%, $G$9) + CHOOSE(CONTROL!$C$38, 0.0369, 0)</f>
        <v>70.331500000000005</v>
      </c>
      <c r="E1063" s="46">
        <f>76.0677 * CHOOSE(CONTROL!$C$15, $E$9, 100%, $G$9) + CHOOSE(CONTROL!$C$38, 0.0369, 0)</f>
        <v>76.104600000000005</v>
      </c>
      <c r="F1063" s="45">
        <f>76.0677 * CHOOSE(CONTROL!$C$15, $E$9, 100%, $G$9) + CHOOSE(CONTROL!$C$38, 0.0278, 0)</f>
        <v>76.095500000000001</v>
      </c>
      <c r="G1063" s="10">
        <f>70.3008 * CHOOSE(CONTROL!$C$15, $E$9, 100%, $G$9) + CHOOSE(CONTROL!$C$38, 0.0369, 0)</f>
        <v>70.337699999999998</v>
      </c>
      <c r="H1063" s="10">
        <f>70.3008 * CHOOSE(CONTROL!$C$15, $E$9, 100%, $G$9) + CHOOSE(CONTROL!$C$38, 0.0369, 0)</f>
        <v>70.337699999999998</v>
      </c>
      <c r="I1063" s="10">
        <f>70.3024 * CHOOSE(CONTROL!$C$15, $E$9, 100%, $G$9) + CHOOSE(CONTROL!$C$38, 0.0369, 0)</f>
        <v>70.339300000000009</v>
      </c>
      <c r="J1063" s="44">
        <f>784.6748</f>
        <v>784.6748</v>
      </c>
    </row>
    <row r="1064" spans="1:11" ht="15.75" x14ac:dyDescent="0.25">
      <c r="A1064" s="13">
        <v>73323</v>
      </c>
      <c r="B1064" s="10">
        <f>76.5008 * CHOOSE(CONTROL!$C$15, $E$9, 100%, $G$9) + CHOOSE(CONTROL!$C$38, 0.0278, 0)</f>
        <v>76.528599999999997</v>
      </c>
      <c r="C1064" s="10">
        <f>70.5792 * CHOOSE(CONTROL!$C$15, $E$9, 100%, $G$9) + CHOOSE(CONTROL!$C$38, 0.0369, 0)</f>
        <v>70.616100000000003</v>
      </c>
      <c r="D1064" s="10">
        <f>70.5713 * CHOOSE(CONTROL!$C$15, $E$9, 100%, $G$9) + CHOOSE(CONTROL!$C$38, 0.0369, 0)</f>
        <v>70.608199999999997</v>
      </c>
      <c r="E1064" s="46">
        <f>76.3445 * CHOOSE(CONTROL!$C$15, $E$9, 100%, $G$9) + CHOOSE(CONTROL!$C$38, 0.0369, 0)</f>
        <v>76.381399999999999</v>
      </c>
      <c r="F1064" s="45">
        <f>76.3445 * CHOOSE(CONTROL!$C$15, $E$9, 100%, $G$9) + CHOOSE(CONTROL!$C$38, 0.0278, 0)</f>
        <v>76.372299999999996</v>
      </c>
      <c r="G1064" s="10">
        <f>70.5776 * CHOOSE(CONTROL!$C$15, $E$9, 100%, $G$9) + CHOOSE(CONTROL!$C$38, 0.0369, 0)</f>
        <v>70.614500000000007</v>
      </c>
      <c r="H1064" s="10">
        <f>70.5776 * CHOOSE(CONTROL!$C$15, $E$9, 100%, $G$9) + CHOOSE(CONTROL!$C$38, 0.0369, 0)</f>
        <v>70.614500000000007</v>
      </c>
      <c r="I1064" s="10">
        <f>70.5792 * CHOOSE(CONTROL!$C$15, $E$9, 100%, $G$9) + CHOOSE(CONTROL!$C$38, 0.0369, 0)</f>
        <v>70.616100000000003</v>
      </c>
      <c r="J1064" s="44">
        <f>758.5936</f>
        <v>758.59360000000004</v>
      </c>
    </row>
    <row r="1065" spans="1:11" ht="15.75" x14ac:dyDescent="0.25">
      <c r="A1065" s="13">
        <v>73354</v>
      </c>
      <c r="B1065" s="10">
        <f>76.7326 * CHOOSE(CONTROL!$C$15, $E$9, 100%, $G$9) + CHOOSE(CONTROL!$C$38, 0.0256, 0)</f>
        <v>76.758200000000002</v>
      </c>
      <c r="C1065" s="10">
        <f>70.811 * CHOOSE(CONTROL!$C$15, $E$9, 100%, $G$9) + CHOOSE(CONTROL!$C$38, 0.0347, 0)</f>
        <v>70.845700000000008</v>
      </c>
      <c r="D1065" s="10">
        <f>70.8032 * CHOOSE(CONTROL!$C$15, $E$9, 100%, $G$9) + CHOOSE(CONTROL!$C$38, 0.0347, 0)</f>
        <v>70.837900000000005</v>
      </c>
      <c r="E1065" s="46">
        <f>76.5764 * CHOOSE(CONTROL!$C$15, $E$9, 100%, $G$9) + CHOOSE(CONTROL!$C$38, 0.0347, 0)</f>
        <v>76.611100000000008</v>
      </c>
      <c r="F1065" s="45">
        <f>76.5764 * CHOOSE(CONTROL!$C$15, $E$9, 100%, $G$9) + CHOOSE(CONTROL!$C$38, 0.0256, 0)</f>
        <v>76.602000000000004</v>
      </c>
      <c r="G1065" s="10">
        <f>70.8094 * CHOOSE(CONTROL!$C$15, $E$9, 100%, $G$9) + CHOOSE(CONTROL!$C$38, 0.0347, 0)</f>
        <v>70.844099999999997</v>
      </c>
      <c r="H1065" s="10">
        <f>70.8094 * CHOOSE(CONTROL!$C$15, $E$9, 100%, $G$9) + CHOOSE(CONTROL!$C$38, 0.0347, 0)</f>
        <v>70.844099999999997</v>
      </c>
      <c r="I1065" s="10">
        <f>70.811 * CHOOSE(CONTROL!$C$15, $E$9, 100%, $G$9) + CHOOSE(CONTROL!$C$38, 0.0347, 0)</f>
        <v>70.845700000000008</v>
      </c>
      <c r="J1065" s="44">
        <f>732.3606</f>
        <v>732.36059999999998</v>
      </c>
    </row>
    <row r="1066" spans="1:11" ht="15.75" x14ac:dyDescent="0.25">
      <c r="A1066" s="13">
        <v>73384</v>
      </c>
      <c r="B1066" s="10">
        <f>76.926 * CHOOSE(CONTROL!$C$15, $E$9, 100%, $G$9) + CHOOSE(CONTROL!$C$38, 0.0256, 0)</f>
        <v>76.951599999999999</v>
      </c>
      <c r="C1066" s="10">
        <f>71.0044 * CHOOSE(CONTROL!$C$15, $E$9, 100%, $G$9) + CHOOSE(CONTROL!$C$38, 0.0347, 0)</f>
        <v>71.039100000000005</v>
      </c>
      <c r="D1066" s="10">
        <f>70.9966 * CHOOSE(CONTROL!$C$15, $E$9, 100%, $G$9) + CHOOSE(CONTROL!$C$38, 0.0347, 0)</f>
        <v>71.031300000000002</v>
      </c>
      <c r="E1066" s="46">
        <f>76.7698 * CHOOSE(CONTROL!$C$15, $E$9, 100%, $G$9) + CHOOSE(CONTROL!$C$38, 0.0347, 0)</f>
        <v>76.804500000000004</v>
      </c>
      <c r="F1066" s="45">
        <f>76.7698 * CHOOSE(CONTROL!$C$15, $E$9, 100%, $G$9) + CHOOSE(CONTROL!$C$38, 0.0256, 0)</f>
        <v>76.795400000000001</v>
      </c>
      <c r="G1066" s="10">
        <f>71.0029 * CHOOSE(CONTROL!$C$15, $E$9, 100%, $G$9) + CHOOSE(CONTROL!$C$38, 0.0347, 0)</f>
        <v>71.037599999999998</v>
      </c>
      <c r="H1066" s="10">
        <f>71.0029 * CHOOSE(CONTROL!$C$15, $E$9, 100%, $G$9) + CHOOSE(CONTROL!$C$38, 0.0347, 0)</f>
        <v>71.037599999999998</v>
      </c>
      <c r="I1066" s="10">
        <f>71.0044 * CHOOSE(CONTROL!$C$15, $E$9, 100%, $G$9) + CHOOSE(CONTROL!$C$38, 0.0347, 0)</f>
        <v>71.039100000000005</v>
      </c>
      <c r="J1066" s="44">
        <f>727.1424</f>
        <v>727.14239999999995</v>
      </c>
    </row>
    <row r="1067" spans="1:11" ht="15.75" x14ac:dyDescent="0.25">
      <c r="A1067" s="13">
        <v>73415</v>
      </c>
      <c r="B1067" s="10">
        <f>77.5221 * CHOOSE(CONTROL!$C$15, $E$9, 100%, $G$9) + CHOOSE(CONTROL!$C$38, 0.0256, 0)</f>
        <v>77.547699999999992</v>
      </c>
      <c r="C1067" s="10">
        <f>71.6005 * CHOOSE(CONTROL!$C$15, $E$9, 100%, $G$9) + CHOOSE(CONTROL!$C$38, 0.0347, 0)</f>
        <v>71.635199999999998</v>
      </c>
      <c r="D1067" s="10">
        <f>71.5927 * CHOOSE(CONTROL!$C$15, $E$9, 100%, $G$9) + CHOOSE(CONTROL!$C$38, 0.0347, 0)</f>
        <v>71.627399999999994</v>
      </c>
      <c r="E1067" s="46">
        <f>77.3659 * CHOOSE(CONTROL!$C$15, $E$9, 100%, $G$9) + CHOOSE(CONTROL!$C$38, 0.0347, 0)</f>
        <v>77.400599999999997</v>
      </c>
      <c r="F1067" s="45">
        <f>77.3659 * CHOOSE(CONTROL!$C$15, $E$9, 100%, $G$9) + CHOOSE(CONTROL!$C$38, 0.0256, 0)</f>
        <v>77.391499999999994</v>
      </c>
      <c r="G1067" s="10">
        <f>71.5989 * CHOOSE(CONTROL!$C$15, $E$9, 100%, $G$9) + CHOOSE(CONTROL!$C$38, 0.0347, 0)</f>
        <v>71.633600000000001</v>
      </c>
      <c r="H1067" s="10">
        <f>71.5989 * CHOOSE(CONTROL!$C$15, $E$9, 100%, $G$9) + CHOOSE(CONTROL!$C$38, 0.0347, 0)</f>
        <v>71.633600000000001</v>
      </c>
      <c r="I1067" s="10">
        <f>71.6005 * CHOOSE(CONTROL!$C$15, $E$9, 100%, $G$9) + CHOOSE(CONTROL!$C$38, 0.0347, 0)</f>
        <v>71.635199999999998</v>
      </c>
      <c r="J1067" s="44">
        <f>705.5644</f>
        <v>705.56439999999998</v>
      </c>
    </row>
    <row r="1068" spans="1:11" ht="15" x14ac:dyDescent="0.2">
      <c r="A1068" s="12"/>
      <c r="B1068" s="10"/>
      <c r="C1068" s="10"/>
      <c r="D1068" s="10"/>
      <c r="E1068" s="10"/>
      <c r="F1068" s="10"/>
      <c r="G1068" s="10"/>
      <c r="H1068" s="10"/>
      <c r="I1068" s="10"/>
    </row>
    <row r="1069" spans="1:11" ht="15" x14ac:dyDescent="0.2">
      <c r="A1069" s="11">
        <v>2013</v>
      </c>
      <c r="B1069" s="10">
        <f t="shared" ref="B1069:J1069" si="0">AVERAGE(B12:B23)</f>
        <v>16.320777655718608</v>
      </c>
      <c r="C1069" s="10">
        <f t="shared" si="0"/>
        <v>15.614549537679032</v>
      </c>
      <c r="D1069" s="10">
        <f t="shared" si="0"/>
        <v>15.606738079345698</v>
      </c>
      <c r="E1069" s="10">
        <f t="shared" si="0"/>
        <v>15.606738079345698</v>
      </c>
      <c r="F1069" s="10">
        <f t="shared" si="0"/>
        <v>16.031509263979029</v>
      </c>
      <c r="G1069" s="10">
        <f t="shared" si="0"/>
        <v>15.612983912679033</v>
      </c>
      <c r="H1069" s="10">
        <f t="shared" si="0"/>
        <v>15.612983912679033</v>
      </c>
      <c r="I1069" s="10">
        <f t="shared" si="0"/>
        <v>15.614549537679032</v>
      </c>
      <c r="J1069" s="10">
        <f t="shared" si="0"/>
        <v>96.870833333333323</v>
      </c>
      <c r="K1069" s="10"/>
    </row>
    <row r="1070" spans="1:11" ht="15" x14ac:dyDescent="0.2">
      <c r="A1070" s="11">
        <v>2014</v>
      </c>
      <c r="B1070" s="10">
        <f t="shared" ref="B1070:J1070" si="1">AVERAGE(B24:B35)</f>
        <v>15.587441666666669</v>
      </c>
      <c r="C1070" s="10">
        <f t="shared" si="1"/>
        <v>14.815308333333334</v>
      </c>
      <c r="D1070" s="10">
        <f t="shared" si="1"/>
        <v>14.807483333333336</v>
      </c>
      <c r="E1070" s="10">
        <f t="shared" si="1"/>
        <v>15.440308333333334</v>
      </c>
      <c r="F1070" s="10">
        <f t="shared" si="1"/>
        <v>15.431208333333331</v>
      </c>
      <c r="G1070" s="10">
        <f t="shared" si="1"/>
        <v>14.813741666666671</v>
      </c>
      <c r="H1070" s="10">
        <f t="shared" si="1"/>
        <v>14.813741666666671</v>
      </c>
      <c r="I1070" s="10">
        <f t="shared" si="1"/>
        <v>14.815308333333334</v>
      </c>
      <c r="J1070" s="10">
        <f t="shared" si="1"/>
        <v>93.376666666666665</v>
      </c>
      <c r="K1070" s="10"/>
    </row>
    <row r="1071" spans="1:11" ht="15" x14ac:dyDescent="0.2">
      <c r="A1071" s="11">
        <v>2015</v>
      </c>
      <c r="B1071" s="10">
        <f t="shared" ref="B1071:J1071" si="2">AVERAGE(B36:B47)</f>
        <v>14.750616666666666</v>
      </c>
      <c r="C1071" s="10">
        <f t="shared" si="2"/>
        <v>14.579316666666664</v>
      </c>
      <c r="D1071" s="10">
        <f t="shared" si="2"/>
        <v>14.571516666666669</v>
      </c>
      <c r="E1071" s="10">
        <f t="shared" si="2"/>
        <v>14.603416666666662</v>
      </c>
      <c r="F1071" s="10">
        <f t="shared" si="2"/>
        <v>14.594316666666669</v>
      </c>
      <c r="G1071" s="10">
        <f t="shared" si="2"/>
        <v>14.577816666666665</v>
      </c>
      <c r="H1071" s="10">
        <f t="shared" si="2"/>
        <v>14.577816666666665</v>
      </c>
      <c r="I1071" s="10">
        <f t="shared" si="2"/>
        <v>14.579316666666664</v>
      </c>
      <c r="J1071" s="10">
        <f t="shared" si="2"/>
        <v>88.020833333333329</v>
      </c>
      <c r="K1071" s="10"/>
    </row>
    <row r="1072" spans="1:11" ht="15" x14ac:dyDescent="0.2">
      <c r="A1072" s="11">
        <v>2016</v>
      </c>
      <c r="B1072" s="10">
        <f t="shared" ref="B1072:J1072" si="3">AVERAGE(B48:B59)</f>
        <v>15.432391666666668</v>
      </c>
      <c r="C1072" s="10">
        <f t="shared" si="3"/>
        <v>14.921483333333336</v>
      </c>
      <c r="D1072" s="10">
        <f t="shared" si="3"/>
        <v>14.91366666666667</v>
      </c>
      <c r="E1072" s="10">
        <f t="shared" si="3"/>
        <v>15.285225000000002</v>
      </c>
      <c r="F1072" s="10">
        <f t="shared" si="3"/>
        <v>15.276124999999999</v>
      </c>
      <c r="G1072" s="10">
        <f t="shared" si="3"/>
        <v>14.919916666666666</v>
      </c>
      <c r="H1072" s="10">
        <f t="shared" si="3"/>
        <v>14.919916666666666</v>
      </c>
      <c r="I1072" s="10">
        <f t="shared" si="3"/>
        <v>14.921483333333336</v>
      </c>
      <c r="J1072" s="10">
        <f t="shared" si="3"/>
        <v>94.36267500000001</v>
      </c>
      <c r="K1072" s="10"/>
    </row>
    <row r="1073" spans="1:11" ht="15" x14ac:dyDescent="0.2">
      <c r="A1073" s="11">
        <v>2017</v>
      </c>
      <c r="B1073" s="10">
        <f t="shared" ref="B1073:J1073" si="4">AVERAGE(B60:B71)</f>
        <v>15.424224999999998</v>
      </c>
      <c r="C1073" s="10">
        <f t="shared" si="4"/>
        <v>14.909924999999999</v>
      </c>
      <c r="D1073" s="10">
        <f t="shared" si="4"/>
        <v>14.902116666666664</v>
      </c>
      <c r="E1073" s="10">
        <f t="shared" si="4"/>
        <v>15.277091666666664</v>
      </c>
      <c r="F1073" s="10">
        <f t="shared" si="4"/>
        <v>15.267991666666667</v>
      </c>
      <c r="G1073" s="10">
        <f t="shared" si="4"/>
        <v>14.908366666666668</v>
      </c>
      <c r="H1073" s="10">
        <f t="shared" si="4"/>
        <v>14.908366666666668</v>
      </c>
      <c r="I1073" s="10">
        <f t="shared" si="4"/>
        <v>14.909924999999999</v>
      </c>
      <c r="J1073" s="10">
        <f t="shared" si="4"/>
        <v>94.505458333333323</v>
      </c>
      <c r="K1073" s="10"/>
    </row>
    <row r="1074" spans="1:11" ht="15" x14ac:dyDescent="0.2">
      <c r="A1074" s="11">
        <v>2018</v>
      </c>
      <c r="B1074" s="10">
        <f t="shared" ref="B1074:J1074" si="5">AVERAGE(B72:B83)</f>
        <v>17.259083333333329</v>
      </c>
      <c r="C1074" s="10">
        <f t="shared" si="5"/>
        <v>16.394175000000001</v>
      </c>
      <c r="D1074" s="10">
        <f t="shared" si="5"/>
        <v>16.386358333333334</v>
      </c>
      <c r="E1074" s="10">
        <f t="shared" si="5"/>
        <v>17.111916666666666</v>
      </c>
      <c r="F1074" s="10">
        <f t="shared" si="5"/>
        <v>17.102816666666666</v>
      </c>
      <c r="G1074" s="10">
        <f t="shared" si="5"/>
        <v>16.392616666666665</v>
      </c>
      <c r="H1074" s="10">
        <f t="shared" si="5"/>
        <v>16.392616666666665</v>
      </c>
      <c r="I1074" s="10">
        <f t="shared" si="5"/>
        <v>16.394175000000001</v>
      </c>
      <c r="J1074" s="10">
        <f t="shared" si="5"/>
        <v>108.58538333333333</v>
      </c>
      <c r="K1074" s="10"/>
    </row>
    <row r="1075" spans="1:11" ht="15" x14ac:dyDescent="0.2">
      <c r="A1075" s="11">
        <v>2019</v>
      </c>
      <c r="B1075" s="10">
        <f t="shared" ref="B1075:J1075" si="6">AVERAGE(B84:B95)</f>
        <v>17.676191666666664</v>
      </c>
      <c r="C1075" s="10">
        <f t="shared" si="6"/>
        <v>16.769858333333335</v>
      </c>
      <c r="D1075" s="10">
        <f t="shared" si="6"/>
        <v>16.762041666666665</v>
      </c>
      <c r="E1075" s="10">
        <f t="shared" si="6"/>
        <v>17.529025000000001</v>
      </c>
      <c r="F1075" s="10">
        <f t="shared" si="6"/>
        <v>17.519925000000001</v>
      </c>
      <c r="G1075" s="10">
        <f t="shared" si="6"/>
        <v>16.768308333333334</v>
      </c>
      <c r="H1075" s="10">
        <f t="shared" si="6"/>
        <v>16.768308333333334</v>
      </c>
      <c r="I1075" s="10">
        <f t="shared" si="6"/>
        <v>16.769858333333335</v>
      </c>
      <c r="J1075" s="10">
        <f t="shared" si="6"/>
        <v>110.81963333333334</v>
      </c>
      <c r="K1075" s="10"/>
    </row>
    <row r="1076" spans="1:11" ht="15" x14ac:dyDescent="0.2">
      <c r="A1076" s="11">
        <v>2020</v>
      </c>
      <c r="B1076" s="10">
        <f t="shared" ref="B1076:J1076" si="7">AVERAGE(B96:B107)</f>
        <v>18.210016666666672</v>
      </c>
      <c r="C1076" s="10">
        <f t="shared" si="7"/>
        <v>17.142225</v>
      </c>
      <c r="D1076" s="10">
        <f t="shared" si="7"/>
        <v>17.13441666666667</v>
      </c>
      <c r="E1076" s="10">
        <f t="shared" si="7"/>
        <v>18.062866666666668</v>
      </c>
      <c r="F1076" s="10">
        <f t="shared" si="7"/>
        <v>18.053766666666665</v>
      </c>
      <c r="G1076" s="10">
        <f t="shared" si="7"/>
        <v>17.140666666666672</v>
      </c>
      <c r="H1076" s="10">
        <f t="shared" si="7"/>
        <v>17.140666666666672</v>
      </c>
      <c r="I1076" s="10">
        <f t="shared" si="7"/>
        <v>17.142225</v>
      </c>
      <c r="J1076" s="10">
        <f t="shared" si="7"/>
        <v>113.18234166666667</v>
      </c>
      <c r="K1076" s="10"/>
    </row>
    <row r="1077" spans="1:11" ht="15" x14ac:dyDescent="0.2">
      <c r="A1077" s="11">
        <v>2021</v>
      </c>
      <c r="B1077" s="10">
        <f t="shared" ref="B1077:J1077" si="8">AVERAGE(B108:B119)</f>
        <v>19.104891666666663</v>
      </c>
      <c r="C1077" s="10">
        <f t="shared" si="8"/>
        <v>17.804324999999999</v>
      </c>
      <c r="D1077" s="10">
        <f t="shared" si="8"/>
        <v>17.796516666666673</v>
      </c>
      <c r="E1077" s="10">
        <f t="shared" si="8"/>
        <v>18.957725</v>
      </c>
      <c r="F1077" s="10">
        <f t="shared" si="8"/>
        <v>18.948624999999996</v>
      </c>
      <c r="G1077" s="10">
        <f t="shared" si="8"/>
        <v>17.802783333333331</v>
      </c>
      <c r="H1077" s="10">
        <f t="shared" si="8"/>
        <v>17.802783333333331</v>
      </c>
      <c r="I1077" s="10">
        <f t="shared" si="8"/>
        <v>17.804324999999999</v>
      </c>
      <c r="J1077" s="10">
        <f t="shared" si="8"/>
        <v>118.24135833333332</v>
      </c>
      <c r="K1077" s="10"/>
    </row>
    <row r="1078" spans="1:11" ht="15" x14ac:dyDescent="0.2">
      <c r="A1078" s="11">
        <v>2022</v>
      </c>
      <c r="B1078" s="10">
        <f t="shared" ref="B1078:J1078" si="9">AVERAGE(B120:B131)</f>
        <v>19.919474999999998</v>
      </c>
      <c r="C1078" s="10">
        <f t="shared" si="9"/>
        <v>18.520925000000002</v>
      </c>
      <c r="D1078" s="10">
        <f t="shared" si="9"/>
        <v>18.513116666666672</v>
      </c>
      <c r="E1078" s="10">
        <f t="shared" si="9"/>
        <v>19.772316666666665</v>
      </c>
      <c r="F1078" s="10">
        <f t="shared" si="9"/>
        <v>19.763216666666665</v>
      </c>
      <c r="G1078" s="10">
        <f t="shared" si="9"/>
        <v>18.519366666666663</v>
      </c>
      <c r="H1078" s="10">
        <f t="shared" si="9"/>
        <v>18.519366666666663</v>
      </c>
      <c r="I1078" s="10">
        <f t="shared" si="9"/>
        <v>18.520925000000002</v>
      </c>
      <c r="J1078" s="10">
        <f t="shared" si="9"/>
        <v>123.67511666666667</v>
      </c>
      <c r="K1078" s="10"/>
    </row>
    <row r="1079" spans="1:11" ht="15" x14ac:dyDescent="0.2">
      <c r="A1079" s="11">
        <v>2023</v>
      </c>
      <c r="B1079" s="10">
        <f t="shared" ref="B1079:J1079" si="10">AVERAGE(B132:B143)</f>
        <v>20.902008333333331</v>
      </c>
      <c r="C1079" s="10">
        <f t="shared" si="10"/>
        <v>19.323241666666668</v>
      </c>
      <c r="D1079" s="10">
        <f t="shared" si="10"/>
        <v>19.315425000000001</v>
      </c>
      <c r="E1079" s="10">
        <f t="shared" si="10"/>
        <v>20.754849999999998</v>
      </c>
      <c r="F1079" s="10">
        <f t="shared" si="10"/>
        <v>20.745749999999997</v>
      </c>
      <c r="G1079" s="10">
        <f t="shared" si="10"/>
        <v>19.321691666666666</v>
      </c>
      <c r="H1079" s="10">
        <f t="shared" si="10"/>
        <v>19.321691666666666</v>
      </c>
      <c r="I1079" s="10">
        <f t="shared" si="10"/>
        <v>19.323241666666668</v>
      </c>
      <c r="J1079" s="10">
        <f t="shared" si="10"/>
        <v>129.35190833333334</v>
      </c>
      <c r="K1079" s="10"/>
    </row>
    <row r="1080" spans="1:11" ht="15" x14ac:dyDescent="0.2">
      <c r="A1080" s="11">
        <v>2024</v>
      </c>
      <c r="B1080" s="10">
        <f t="shared" ref="B1080:J1080" si="11">AVERAGE(B144:B155)</f>
        <v>21.910116666666664</v>
      </c>
      <c r="C1080" s="10">
        <f t="shared" si="11"/>
        <v>20.150516666666668</v>
      </c>
      <c r="D1080" s="10">
        <f t="shared" si="11"/>
        <v>20.142716666666665</v>
      </c>
      <c r="E1080" s="10">
        <f t="shared" si="11"/>
        <v>21.762966666666667</v>
      </c>
      <c r="F1080" s="10">
        <f t="shared" si="11"/>
        <v>21.753866666666667</v>
      </c>
      <c r="G1080" s="10">
        <f t="shared" si="11"/>
        <v>20.148958333333336</v>
      </c>
      <c r="H1080" s="10">
        <f t="shared" si="11"/>
        <v>20.148958333333336</v>
      </c>
      <c r="I1080" s="10">
        <f t="shared" si="11"/>
        <v>20.150516666666668</v>
      </c>
      <c r="J1080" s="10">
        <f t="shared" si="11"/>
        <v>135.2825</v>
      </c>
      <c r="K1080" s="10"/>
    </row>
    <row r="1081" spans="1:11" ht="15" x14ac:dyDescent="0.2">
      <c r="A1081" s="11">
        <v>2025</v>
      </c>
      <c r="B1081" s="10">
        <f t="shared" ref="B1081:J1081" si="12">AVERAGE(B156:B167)</f>
        <v>22.913625</v>
      </c>
      <c r="C1081" s="10">
        <f t="shared" si="12"/>
        <v>20.973316666666665</v>
      </c>
      <c r="D1081" s="10">
        <f t="shared" si="12"/>
        <v>20.965508333333332</v>
      </c>
      <c r="E1081" s="10">
        <f t="shared" si="12"/>
        <v>22.766491666666667</v>
      </c>
      <c r="F1081" s="10">
        <f t="shared" si="12"/>
        <v>22.757391666666667</v>
      </c>
      <c r="G1081" s="10">
        <f t="shared" si="12"/>
        <v>20.971749999999997</v>
      </c>
      <c r="H1081" s="10">
        <f t="shared" si="12"/>
        <v>20.971749999999997</v>
      </c>
      <c r="I1081" s="10">
        <f t="shared" si="12"/>
        <v>20.973316666666665</v>
      </c>
      <c r="J1081" s="10">
        <f t="shared" si="12"/>
        <v>141.47811666666666</v>
      </c>
      <c r="K1081" s="10"/>
    </row>
    <row r="1082" spans="1:11" ht="15" x14ac:dyDescent="0.2">
      <c r="A1082" s="11">
        <v>2026</v>
      </c>
      <c r="B1082" s="10">
        <f t="shared" ref="B1082:J1082" si="13">AVERAGE(B168:B179)</f>
        <v>23.324341666666669</v>
      </c>
      <c r="C1082" s="10">
        <f t="shared" si="13"/>
        <v>21.374016666666666</v>
      </c>
      <c r="D1082" s="10">
        <f t="shared" si="13"/>
        <v>21.366208333333336</v>
      </c>
      <c r="E1082" s="10">
        <f t="shared" si="13"/>
        <v>23.177208333333329</v>
      </c>
      <c r="F1082" s="10">
        <f t="shared" si="13"/>
        <v>23.168108333333336</v>
      </c>
      <c r="G1082" s="10">
        <f t="shared" si="13"/>
        <v>21.372441666666663</v>
      </c>
      <c r="H1082" s="10">
        <f t="shared" si="13"/>
        <v>21.372441666666663</v>
      </c>
      <c r="I1082" s="10">
        <f t="shared" si="13"/>
        <v>21.374016666666666</v>
      </c>
      <c r="J1082" s="10">
        <f t="shared" si="13"/>
        <v>144.33447500000003</v>
      </c>
      <c r="K1082" s="10"/>
    </row>
    <row r="1083" spans="1:11" ht="15" x14ac:dyDescent="0.2">
      <c r="A1083" s="11">
        <v>2027</v>
      </c>
      <c r="B1083" s="10">
        <f t="shared" ref="B1083:J1083" si="14">AVERAGE(B180:B191)</f>
        <v>23.785024999999994</v>
      </c>
      <c r="C1083" s="10">
        <f t="shared" si="14"/>
        <v>21.823458333333335</v>
      </c>
      <c r="D1083" s="10">
        <f t="shared" si="14"/>
        <v>21.815641666666668</v>
      </c>
      <c r="E1083" s="10">
        <f t="shared" si="14"/>
        <v>23.637891666666665</v>
      </c>
      <c r="F1083" s="10">
        <f t="shared" si="14"/>
        <v>23.628791666666668</v>
      </c>
      <c r="G1083" s="10">
        <f t="shared" si="14"/>
        <v>21.821908333333329</v>
      </c>
      <c r="H1083" s="10">
        <f t="shared" si="14"/>
        <v>21.821908333333329</v>
      </c>
      <c r="I1083" s="10">
        <f t="shared" si="14"/>
        <v>21.823458333333335</v>
      </c>
      <c r="J1083" s="10">
        <f t="shared" si="14"/>
        <v>147.24845000000002</v>
      </c>
      <c r="K1083" s="10"/>
    </row>
    <row r="1084" spans="1:11" ht="15" x14ac:dyDescent="0.2">
      <c r="A1084" s="11">
        <v>2028</v>
      </c>
      <c r="B1084" s="10">
        <f t="shared" ref="B1084:J1084" si="15">AVERAGE(B192:B203)</f>
        <v>24.191808333333331</v>
      </c>
      <c r="C1084" s="10">
        <f t="shared" si="15"/>
        <v>22.220316666666665</v>
      </c>
      <c r="D1084" s="10">
        <f t="shared" si="15"/>
        <v>22.212508333333332</v>
      </c>
      <c r="E1084" s="10">
        <f t="shared" si="15"/>
        <v>24.044650000000001</v>
      </c>
      <c r="F1084" s="10">
        <f t="shared" si="15"/>
        <v>24.035550000000001</v>
      </c>
      <c r="G1084" s="10">
        <f t="shared" si="15"/>
        <v>22.21874166666667</v>
      </c>
      <c r="H1084" s="10">
        <f t="shared" si="15"/>
        <v>22.21874166666667</v>
      </c>
      <c r="I1084" s="10">
        <f t="shared" si="15"/>
        <v>22.220316666666665</v>
      </c>
      <c r="J1084" s="10">
        <f t="shared" si="15"/>
        <v>150.22115833333334</v>
      </c>
      <c r="K1084" s="10"/>
    </row>
    <row r="1085" spans="1:11" ht="15" x14ac:dyDescent="0.2">
      <c r="A1085" s="11">
        <v>2029</v>
      </c>
      <c r="B1085" s="10">
        <f t="shared" ref="B1085:J1085" si="16">AVERAGE(B204:B215)</f>
        <v>24.673008333333332</v>
      </c>
      <c r="C1085" s="10">
        <f t="shared" si="16"/>
        <v>22.689783333333335</v>
      </c>
      <c r="D1085" s="10">
        <f t="shared" si="16"/>
        <v>22.681966666666668</v>
      </c>
      <c r="E1085" s="10">
        <f t="shared" si="16"/>
        <v>24.525858333333332</v>
      </c>
      <c r="F1085" s="10">
        <f t="shared" si="16"/>
        <v>24.516758333333332</v>
      </c>
      <c r="G1085" s="10">
        <f t="shared" si="16"/>
        <v>22.688216666666662</v>
      </c>
      <c r="H1085" s="10">
        <f t="shared" si="16"/>
        <v>22.688216666666662</v>
      </c>
      <c r="I1085" s="10">
        <f t="shared" si="16"/>
        <v>22.689783333333335</v>
      </c>
      <c r="J1085" s="10">
        <f t="shared" si="16"/>
        <v>153.25382500000001</v>
      </c>
      <c r="K1085" s="10"/>
    </row>
    <row r="1086" spans="1:11" ht="15" x14ac:dyDescent="0.2">
      <c r="A1086" s="11">
        <v>2030</v>
      </c>
      <c r="B1086" s="10">
        <f t="shared" ref="B1086:J1086" si="17">AVERAGE(B216:B227)</f>
        <v>25.116766666666667</v>
      </c>
      <c r="C1086" s="10">
        <f t="shared" si="17"/>
        <v>23.122716666666665</v>
      </c>
      <c r="D1086" s="10">
        <f t="shared" si="17"/>
        <v>23.114908333333332</v>
      </c>
      <c r="E1086" s="10">
        <f t="shared" si="17"/>
        <v>24.969616666666671</v>
      </c>
      <c r="F1086" s="10">
        <f t="shared" si="17"/>
        <v>24.960516666666667</v>
      </c>
      <c r="G1086" s="10">
        <f t="shared" si="17"/>
        <v>23.12114166666667</v>
      </c>
      <c r="H1086" s="10">
        <f t="shared" si="17"/>
        <v>23.12114166666667</v>
      </c>
      <c r="I1086" s="10">
        <f t="shared" si="17"/>
        <v>23.122716666666665</v>
      </c>
      <c r="J1086" s="10">
        <f t="shared" si="17"/>
        <v>156.34759999999997</v>
      </c>
      <c r="K1086" s="10"/>
    </row>
    <row r="1087" spans="1:11" ht="15" x14ac:dyDescent="0.2">
      <c r="A1087" s="11">
        <v>2031</v>
      </c>
      <c r="B1087" s="10">
        <f t="shared" ref="B1087:J1087" si="18">AVERAGE(B228:B239)</f>
        <v>25.518008333333331</v>
      </c>
      <c r="C1087" s="10">
        <f t="shared" si="18"/>
        <v>23.493675</v>
      </c>
      <c r="D1087" s="10">
        <f t="shared" si="18"/>
        <v>23.485858333333336</v>
      </c>
      <c r="E1087" s="10">
        <f t="shared" si="18"/>
        <v>25.370850000000001</v>
      </c>
      <c r="F1087" s="10">
        <f t="shared" si="18"/>
        <v>25.361750000000004</v>
      </c>
      <c r="G1087" s="10">
        <f t="shared" si="18"/>
        <v>23.492108333333334</v>
      </c>
      <c r="H1087" s="10">
        <f t="shared" si="18"/>
        <v>23.492108333333334</v>
      </c>
      <c r="I1087" s="10">
        <f t="shared" si="18"/>
        <v>23.493675</v>
      </c>
      <c r="J1087" s="10">
        <f t="shared" si="18"/>
        <v>159.88489166666668</v>
      </c>
      <c r="K1087" s="10"/>
    </row>
    <row r="1088" spans="1:11" ht="15" x14ac:dyDescent="0.2">
      <c r="A1088" s="11">
        <v>2032</v>
      </c>
      <c r="B1088" s="10">
        <f t="shared" ref="B1088:J1088" si="19">AVERAGE(B240:B251)</f>
        <v>25.925816666666663</v>
      </c>
      <c r="C1088" s="10">
        <f t="shared" si="19"/>
        <v>23.870716666666663</v>
      </c>
      <c r="D1088" s="10">
        <f t="shared" si="19"/>
        <v>23.862908333333333</v>
      </c>
      <c r="E1088" s="10">
        <f t="shared" si="19"/>
        <v>25.778683333333333</v>
      </c>
      <c r="F1088" s="10">
        <f t="shared" si="19"/>
        <v>25.76958333333333</v>
      </c>
      <c r="G1088" s="10">
        <f t="shared" si="19"/>
        <v>23.869150000000001</v>
      </c>
      <c r="H1088" s="10">
        <f t="shared" si="19"/>
        <v>23.869150000000001</v>
      </c>
      <c r="I1088" s="10">
        <f t="shared" si="19"/>
        <v>23.870716666666663</v>
      </c>
      <c r="J1088" s="10">
        <f t="shared" si="19"/>
        <v>163.50219166666668</v>
      </c>
      <c r="K1088" s="10"/>
    </row>
    <row r="1089" spans="1:11" ht="15" x14ac:dyDescent="0.2">
      <c r="A1089" s="11">
        <v>2033</v>
      </c>
      <c r="B1089" s="10">
        <f t="shared" ref="B1089:J1089" si="20">AVERAGE(B252:B263)</f>
        <v>26.340325000000007</v>
      </c>
      <c r="C1089" s="10">
        <f t="shared" si="20"/>
        <v>24.253924999999999</v>
      </c>
      <c r="D1089" s="10">
        <f t="shared" si="20"/>
        <v>24.246116666666669</v>
      </c>
      <c r="E1089" s="10">
        <f t="shared" si="20"/>
        <v>26.193191666666667</v>
      </c>
      <c r="F1089" s="10">
        <f t="shared" si="20"/>
        <v>26.18409166666666</v>
      </c>
      <c r="G1089" s="10">
        <f t="shared" si="20"/>
        <v>24.252383333333331</v>
      </c>
      <c r="H1089" s="10">
        <f t="shared" si="20"/>
        <v>24.252383333333331</v>
      </c>
      <c r="I1089" s="10">
        <f t="shared" si="20"/>
        <v>24.253924999999999</v>
      </c>
      <c r="J1089" s="10">
        <f t="shared" si="20"/>
        <v>167.20135000000002</v>
      </c>
      <c r="K1089" s="10"/>
    </row>
    <row r="1090" spans="1:11" ht="15" x14ac:dyDescent="0.2">
      <c r="A1090" s="11">
        <v>2034</v>
      </c>
      <c r="B1090" s="10">
        <f t="shared" ref="B1090:J1090" si="21">AVERAGE(B264:B275)</f>
        <v>26.761624999999999</v>
      </c>
      <c r="C1090" s="10">
        <f t="shared" si="21"/>
        <v>24.643441666666671</v>
      </c>
      <c r="D1090" s="10">
        <f t="shared" si="21"/>
        <v>24.635625000000005</v>
      </c>
      <c r="E1090" s="10">
        <f t="shared" si="21"/>
        <v>26.61449166666667</v>
      </c>
      <c r="F1090" s="10">
        <f t="shared" si="21"/>
        <v>26.605391666666662</v>
      </c>
      <c r="G1090" s="10">
        <f t="shared" si="21"/>
        <v>24.64189166666667</v>
      </c>
      <c r="H1090" s="10">
        <f t="shared" si="21"/>
        <v>24.64189166666667</v>
      </c>
      <c r="I1090" s="10">
        <f t="shared" si="21"/>
        <v>24.643441666666671</v>
      </c>
      <c r="J1090" s="10">
        <f t="shared" si="21"/>
        <v>170.98420000000002</v>
      </c>
      <c r="K1090" s="10"/>
    </row>
    <row r="1091" spans="1:11" ht="15" x14ac:dyDescent="0.2">
      <c r="A1091" s="11">
        <v>2035</v>
      </c>
      <c r="B1091" s="10">
        <f t="shared" ref="B1091:J1091" si="22">AVERAGE(B276:B287)</f>
        <v>27.189833333333336</v>
      </c>
      <c r="C1091" s="10">
        <f t="shared" si="22"/>
        <v>25.039325000000002</v>
      </c>
      <c r="D1091" s="10">
        <f t="shared" si="22"/>
        <v>25.031516666666665</v>
      </c>
      <c r="E1091" s="10">
        <f t="shared" si="22"/>
        <v>27.042699999999996</v>
      </c>
      <c r="F1091" s="10">
        <f t="shared" si="22"/>
        <v>27.033599999999996</v>
      </c>
      <c r="G1091" s="10">
        <f t="shared" si="22"/>
        <v>25.037783333333334</v>
      </c>
      <c r="H1091" s="10">
        <f t="shared" si="22"/>
        <v>25.037783333333334</v>
      </c>
      <c r="I1091" s="10">
        <f t="shared" si="22"/>
        <v>25.039325000000002</v>
      </c>
      <c r="J1091" s="10">
        <f t="shared" si="22"/>
        <v>174.85262499999999</v>
      </c>
      <c r="K1091" s="10"/>
    </row>
    <row r="1092" spans="1:11" ht="15" x14ac:dyDescent="0.2">
      <c r="A1092" s="11">
        <v>2036</v>
      </c>
      <c r="B1092" s="10">
        <f t="shared" ref="B1092:J1092" si="23">AVERAGE(B288:B299)</f>
        <v>27.625074999999995</v>
      </c>
      <c r="C1092" s="10">
        <f t="shared" si="23"/>
        <v>25.441716666666665</v>
      </c>
      <c r="D1092" s="10">
        <f t="shared" si="23"/>
        <v>25.433916666666665</v>
      </c>
      <c r="E1092" s="10">
        <f t="shared" si="23"/>
        <v>27.477916666666662</v>
      </c>
      <c r="F1092" s="10">
        <f t="shared" si="23"/>
        <v>27.468816666666669</v>
      </c>
      <c r="G1092" s="10">
        <f t="shared" si="23"/>
        <v>25.440158333333329</v>
      </c>
      <c r="H1092" s="10">
        <f t="shared" si="23"/>
        <v>25.440158333333329</v>
      </c>
      <c r="I1092" s="10">
        <f t="shared" si="23"/>
        <v>25.441716666666665</v>
      </c>
      <c r="J1092" s="10">
        <f t="shared" si="23"/>
        <v>178.80859166666664</v>
      </c>
      <c r="K1092" s="10"/>
    </row>
    <row r="1093" spans="1:11" ht="15" x14ac:dyDescent="0.2">
      <c r="A1093" s="11">
        <v>2037</v>
      </c>
      <c r="B1093" s="10">
        <f t="shared" ref="B1093:J1093" si="24">AVERAGE(B300:B311)</f>
        <v>28.067425000000004</v>
      </c>
      <c r="C1093" s="10">
        <f t="shared" si="24"/>
        <v>25.850708333333333</v>
      </c>
      <c r="D1093" s="10">
        <f t="shared" si="24"/>
        <v>25.842908333333337</v>
      </c>
      <c r="E1093" s="10">
        <f t="shared" si="24"/>
        <v>27.920291666666667</v>
      </c>
      <c r="F1093" s="10">
        <f t="shared" si="24"/>
        <v>27.911191666666664</v>
      </c>
      <c r="G1093" s="10">
        <f t="shared" si="24"/>
        <v>25.849141666666668</v>
      </c>
      <c r="H1093" s="10">
        <f t="shared" si="24"/>
        <v>25.849141666666668</v>
      </c>
      <c r="I1093" s="10">
        <f t="shared" si="24"/>
        <v>25.850708333333333</v>
      </c>
      <c r="J1093" s="10">
        <f t="shared" si="24"/>
        <v>182.85403333333332</v>
      </c>
      <c r="K1093" s="10"/>
    </row>
    <row r="1094" spans="1:11" ht="15" x14ac:dyDescent="0.2">
      <c r="A1094" s="11">
        <f t="shared" ref="A1094:A1125" si="25">A1093+1</f>
        <v>2038</v>
      </c>
      <c r="B1094" s="10">
        <f t="shared" ref="B1094:J1094" si="26">AVERAGE(B312:B323)</f>
        <v>28.517049999999998</v>
      </c>
      <c r="C1094" s="10">
        <f t="shared" si="26"/>
        <v>26.266399999999994</v>
      </c>
      <c r="D1094" s="10">
        <f t="shared" si="26"/>
        <v>26.258591666666664</v>
      </c>
      <c r="E1094" s="10">
        <f t="shared" si="26"/>
        <v>28.369908333333328</v>
      </c>
      <c r="F1094" s="10">
        <f t="shared" si="26"/>
        <v>28.360808333333335</v>
      </c>
      <c r="G1094" s="10">
        <f t="shared" si="26"/>
        <v>26.264816666666661</v>
      </c>
      <c r="H1094" s="10">
        <f t="shared" si="26"/>
        <v>26.264816666666661</v>
      </c>
      <c r="I1094" s="10">
        <f t="shared" si="26"/>
        <v>26.266399999999994</v>
      </c>
      <c r="J1094" s="10">
        <f t="shared" si="26"/>
        <v>186.99100833333338</v>
      </c>
    </row>
    <row r="1095" spans="1:11" ht="15" x14ac:dyDescent="0.2">
      <c r="A1095" s="11">
        <f t="shared" si="25"/>
        <v>2039</v>
      </c>
      <c r="B1095" s="10">
        <f t="shared" ref="B1095:J1095" si="27">AVERAGE(B324:B335)</f>
        <v>28.974041666666665</v>
      </c>
      <c r="C1095" s="10">
        <f t="shared" si="27"/>
        <v>26.688908333333334</v>
      </c>
      <c r="D1095" s="10">
        <f t="shared" si="27"/>
        <v>26.681091666666671</v>
      </c>
      <c r="E1095" s="10">
        <f t="shared" si="27"/>
        <v>28.826908333333336</v>
      </c>
      <c r="F1095" s="10">
        <f t="shared" si="27"/>
        <v>28.817808333333332</v>
      </c>
      <c r="G1095" s="10">
        <f t="shared" si="27"/>
        <v>26.687325000000001</v>
      </c>
      <c r="H1095" s="10">
        <f t="shared" si="27"/>
        <v>26.687325000000001</v>
      </c>
      <c r="I1095" s="10">
        <f t="shared" si="27"/>
        <v>26.688908333333334</v>
      </c>
      <c r="J1095" s="10">
        <f t="shared" si="27"/>
        <v>191.2216</v>
      </c>
    </row>
    <row r="1096" spans="1:11" ht="15" x14ac:dyDescent="0.2">
      <c r="A1096" s="11">
        <f t="shared" si="25"/>
        <v>2040</v>
      </c>
      <c r="B1096" s="10">
        <f t="shared" ref="B1096:J1096" si="28">AVERAGE(B336:B347)</f>
        <v>29.438516666666661</v>
      </c>
      <c r="C1096" s="10">
        <f t="shared" si="28"/>
        <v>27.118316666666662</v>
      </c>
      <c r="D1096" s="10">
        <f t="shared" si="28"/>
        <v>27.110516666666665</v>
      </c>
      <c r="E1096" s="10">
        <f t="shared" si="28"/>
        <v>29.291383333333329</v>
      </c>
      <c r="F1096" s="10">
        <f t="shared" si="28"/>
        <v>29.282283333333339</v>
      </c>
      <c r="G1096" s="10">
        <f t="shared" si="28"/>
        <v>27.116758333333333</v>
      </c>
      <c r="H1096" s="10">
        <f t="shared" si="28"/>
        <v>27.116758333333333</v>
      </c>
      <c r="I1096" s="10">
        <f t="shared" si="28"/>
        <v>27.118316666666662</v>
      </c>
      <c r="J1096" s="10">
        <f t="shared" si="28"/>
        <v>195.54789166666669</v>
      </c>
    </row>
    <row r="1097" spans="1:11" ht="15" x14ac:dyDescent="0.2">
      <c r="A1097" s="11">
        <f t="shared" si="25"/>
        <v>2041</v>
      </c>
      <c r="B1097" s="10">
        <f t="shared" ref="B1097:J1097" si="29">AVERAGE(B348:B359)</f>
        <v>29.91061666666667</v>
      </c>
      <c r="C1097" s="10">
        <f t="shared" si="29"/>
        <v>27.554808333333327</v>
      </c>
      <c r="D1097" s="10">
        <f t="shared" si="29"/>
        <v>27.546991666666667</v>
      </c>
      <c r="E1097" s="10">
        <f t="shared" si="29"/>
        <v>29.76348333333333</v>
      </c>
      <c r="F1097" s="10">
        <f t="shared" si="29"/>
        <v>29.754383333333326</v>
      </c>
      <c r="G1097" s="10">
        <f t="shared" si="29"/>
        <v>27.553225000000001</v>
      </c>
      <c r="H1097" s="10">
        <f t="shared" si="29"/>
        <v>27.553225000000001</v>
      </c>
      <c r="I1097" s="10">
        <f t="shared" si="29"/>
        <v>27.554808333333327</v>
      </c>
      <c r="J1097" s="10">
        <f t="shared" si="29"/>
        <v>199.97207499999999</v>
      </c>
    </row>
    <row r="1098" spans="1:11" ht="15" x14ac:dyDescent="0.2">
      <c r="A1098" s="11">
        <f t="shared" si="25"/>
        <v>2042</v>
      </c>
      <c r="B1098" s="10">
        <f t="shared" ref="B1098:J1098" si="30">AVERAGE(B360:B371)</f>
        <v>30.390458333333331</v>
      </c>
      <c r="C1098" s="10">
        <f t="shared" si="30"/>
        <v>27.998416666666667</v>
      </c>
      <c r="D1098" s="10">
        <f t="shared" si="30"/>
        <v>27.990608333333327</v>
      </c>
      <c r="E1098" s="10">
        <f t="shared" si="30"/>
        <v>30.243316666666662</v>
      </c>
      <c r="F1098" s="10">
        <f t="shared" si="30"/>
        <v>30.234216666666669</v>
      </c>
      <c r="G1098" s="10">
        <f t="shared" si="30"/>
        <v>27.996858333333332</v>
      </c>
      <c r="H1098" s="10">
        <f t="shared" si="30"/>
        <v>27.996858333333332</v>
      </c>
      <c r="I1098" s="10">
        <f t="shared" si="30"/>
        <v>27.998416666666667</v>
      </c>
      <c r="J1098" s="10">
        <f t="shared" si="30"/>
        <v>204.49634166666669</v>
      </c>
    </row>
    <row r="1099" spans="1:11" ht="15" x14ac:dyDescent="0.2">
      <c r="A1099" s="11">
        <f t="shared" si="25"/>
        <v>2043</v>
      </c>
      <c r="B1099" s="10">
        <f t="shared" ref="B1099:J1099" si="31">AVERAGE(B372:B383)</f>
        <v>30.878166666666669</v>
      </c>
      <c r="C1099" s="10">
        <f t="shared" si="31"/>
        <v>28.449316666666665</v>
      </c>
      <c r="D1099" s="10">
        <f t="shared" si="31"/>
        <v>28.441508333333335</v>
      </c>
      <c r="E1099" s="10">
        <f t="shared" si="31"/>
        <v>30.731016666666672</v>
      </c>
      <c r="F1099" s="10">
        <f t="shared" si="31"/>
        <v>30.721916666666662</v>
      </c>
      <c r="G1099" s="10">
        <f t="shared" si="31"/>
        <v>28.447749999999996</v>
      </c>
      <c r="H1099" s="10">
        <f t="shared" si="31"/>
        <v>28.447749999999996</v>
      </c>
      <c r="I1099" s="10">
        <f t="shared" si="31"/>
        <v>28.449316666666665</v>
      </c>
      <c r="J1099" s="10">
        <f t="shared" si="31"/>
        <v>209.12295000000003</v>
      </c>
    </row>
    <row r="1100" spans="1:11" ht="15" x14ac:dyDescent="0.2">
      <c r="A1100" s="11">
        <f t="shared" si="25"/>
        <v>2044</v>
      </c>
      <c r="B1100" s="10">
        <f t="shared" ref="B1100:J1100" si="32">AVERAGE(B384:B395)</f>
        <v>31.373866666666672</v>
      </c>
      <c r="C1100" s="10">
        <f t="shared" si="32"/>
        <v>28.907616666666666</v>
      </c>
      <c r="D1100" s="10">
        <f t="shared" si="32"/>
        <v>28.899808333333329</v>
      </c>
      <c r="E1100" s="10">
        <f t="shared" si="32"/>
        <v>31.226716666666672</v>
      </c>
      <c r="F1100" s="10">
        <f t="shared" si="32"/>
        <v>31.217616666666661</v>
      </c>
      <c r="G1100" s="10">
        <f t="shared" si="32"/>
        <v>28.906041666666663</v>
      </c>
      <c r="H1100" s="10">
        <f t="shared" si="32"/>
        <v>28.906041666666663</v>
      </c>
      <c r="I1100" s="10">
        <f t="shared" si="32"/>
        <v>28.907616666666666</v>
      </c>
      <c r="J1100" s="10">
        <f t="shared" si="32"/>
        <v>213.85425000000006</v>
      </c>
    </row>
    <row r="1101" spans="1:11" ht="15" x14ac:dyDescent="0.2">
      <c r="A1101" s="11">
        <f t="shared" si="25"/>
        <v>2045</v>
      </c>
      <c r="B1101" s="10">
        <f t="shared" ref="B1101:J1101" si="33">AVERAGE(B396:B407)</f>
        <v>31.877708333333327</v>
      </c>
      <c r="C1101" s="10">
        <f t="shared" si="33"/>
        <v>29.37341666666666</v>
      </c>
      <c r="D1101" s="10">
        <f t="shared" si="33"/>
        <v>29.365608333333327</v>
      </c>
      <c r="E1101" s="10">
        <f t="shared" si="33"/>
        <v>31.730541666666664</v>
      </c>
      <c r="F1101" s="10">
        <f t="shared" si="33"/>
        <v>31.721441666666667</v>
      </c>
      <c r="G1101" s="10">
        <f t="shared" si="33"/>
        <v>29.371849999999998</v>
      </c>
      <c r="H1101" s="10">
        <f t="shared" si="33"/>
        <v>29.371849999999998</v>
      </c>
      <c r="I1101" s="10">
        <f t="shared" si="33"/>
        <v>29.37341666666666</v>
      </c>
      <c r="J1101" s="10">
        <f t="shared" si="33"/>
        <v>218.6926</v>
      </c>
    </row>
    <row r="1102" spans="1:11" ht="15" x14ac:dyDescent="0.2">
      <c r="A1102" s="11">
        <f t="shared" si="25"/>
        <v>2046</v>
      </c>
      <c r="B1102" s="10">
        <f t="shared" ref="B1102:J1102" si="34">AVERAGE(B408:B419)</f>
        <v>32.389791666666667</v>
      </c>
      <c r="C1102" s="10">
        <f t="shared" si="34"/>
        <v>29.846858333333326</v>
      </c>
      <c r="D1102" s="10">
        <f t="shared" si="34"/>
        <v>29.839041666666663</v>
      </c>
      <c r="E1102" s="10">
        <f t="shared" si="34"/>
        <v>32.242624999999997</v>
      </c>
      <c r="F1102" s="10">
        <f t="shared" si="34"/>
        <v>32.233525</v>
      </c>
      <c r="G1102" s="10">
        <f t="shared" si="34"/>
        <v>29.845308333333332</v>
      </c>
      <c r="H1102" s="10">
        <f t="shared" si="34"/>
        <v>29.845308333333332</v>
      </c>
      <c r="I1102" s="10">
        <f t="shared" si="34"/>
        <v>29.846858333333326</v>
      </c>
      <c r="J1102" s="10">
        <f t="shared" si="34"/>
        <v>223.64039166666669</v>
      </c>
    </row>
    <row r="1103" spans="1:11" ht="15" x14ac:dyDescent="0.2">
      <c r="A1103" s="11">
        <f t="shared" si="25"/>
        <v>2047</v>
      </c>
      <c r="B1103" s="10">
        <f t="shared" ref="B1103:J1103" si="35">AVERAGE(B420:B431)</f>
        <v>32.910266666666665</v>
      </c>
      <c r="C1103" s="10">
        <f t="shared" si="35"/>
        <v>30.328058333333331</v>
      </c>
      <c r="D1103" s="10">
        <f t="shared" si="35"/>
        <v>30.320241666666664</v>
      </c>
      <c r="E1103" s="10">
        <f t="shared" si="35"/>
        <v>32.763116666666669</v>
      </c>
      <c r="F1103" s="10">
        <f t="shared" si="35"/>
        <v>32.754016666666665</v>
      </c>
      <c r="G1103" s="10">
        <f t="shared" si="35"/>
        <v>30.326508333333333</v>
      </c>
      <c r="H1103" s="10">
        <f t="shared" si="35"/>
        <v>30.326508333333333</v>
      </c>
      <c r="I1103" s="10">
        <f t="shared" si="35"/>
        <v>30.328058333333331</v>
      </c>
      <c r="J1103" s="10">
        <f t="shared" si="35"/>
        <v>228.70017500000003</v>
      </c>
    </row>
    <row r="1104" spans="1:11" ht="15" x14ac:dyDescent="0.2">
      <c r="A1104" s="11">
        <f t="shared" si="25"/>
        <v>2048</v>
      </c>
      <c r="B1104" s="10">
        <f t="shared" ref="B1104:J1104" si="36">AVERAGE(B432:B443)</f>
        <v>33.439291666666669</v>
      </c>
      <c r="C1104" s="10">
        <f t="shared" si="36"/>
        <v>30.817158333333335</v>
      </c>
      <c r="D1104" s="10">
        <f t="shared" si="36"/>
        <v>30.809341666666665</v>
      </c>
      <c r="E1104" s="10">
        <f t="shared" si="36"/>
        <v>33.292124999999999</v>
      </c>
      <c r="F1104" s="10">
        <f t="shared" si="36"/>
        <v>33.283025000000002</v>
      </c>
      <c r="G1104" s="10">
        <f t="shared" si="36"/>
        <v>30.815608333333333</v>
      </c>
      <c r="H1104" s="10">
        <f t="shared" si="36"/>
        <v>30.815608333333333</v>
      </c>
      <c r="I1104" s="10">
        <f t="shared" si="36"/>
        <v>30.817158333333335</v>
      </c>
      <c r="J1104" s="10">
        <f t="shared" si="36"/>
        <v>233.87439166666664</v>
      </c>
    </row>
    <row r="1105" spans="1:10" ht="15" x14ac:dyDescent="0.2">
      <c r="A1105" s="11">
        <f t="shared" si="25"/>
        <v>2049</v>
      </c>
      <c r="B1105" s="10">
        <f t="shared" ref="B1105:J1105" si="37">AVERAGE(B444:B455)</f>
        <v>33.97698333333333</v>
      </c>
      <c r="C1105" s="10">
        <f t="shared" si="37"/>
        <v>31.314266666666665</v>
      </c>
      <c r="D1105" s="10">
        <f t="shared" si="37"/>
        <v>31.306458333333328</v>
      </c>
      <c r="E1105" s="10">
        <f t="shared" si="37"/>
        <v>33.829816666666666</v>
      </c>
      <c r="F1105" s="10">
        <f t="shared" si="37"/>
        <v>33.820716666666669</v>
      </c>
      <c r="G1105" s="10">
        <f t="shared" si="37"/>
        <v>31.31270833333333</v>
      </c>
      <c r="H1105" s="10">
        <f t="shared" si="37"/>
        <v>31.31270833333333</v>
      </c>
      <c r="I1105" s="10">
        <f t="shared" si="37"/>
        <v>31.314266666666665</v>
      </c>
      <c r="J1105" s="10">
        <f t="shared" si="37"/>
        <v>239.16568333333336</v>
      </c>
    </row>
    <row r="1106" spans="1:10" ht="15" x14ac:dyDescent="0.2">
      <c r="A1106" s="11">
        <f t="shared" si="25"/>
        <v>2050</v>
      </c>
      <c r="B1106" s="10">
        <f t="shared" ref="B1106:J1106" si="38">AVERAGE(B456:B467)</f>
        <v>34.523491666666665</v>
      </c>
      <c r="C1106" s="10">
        <f t="shared" si="38"/>
        <v>31.819524999999999</v>
      </c>
      <c r="D1106" s="10">
        <f t="shared" si="38"/>
        <v>31.811716666666658</v>
      </c>
      <c r="E1106" s="10">
        <f t="shared" si="38"/>
        <v>34.376325000000001</v>
      </c>
      <c r="F1106" s="10">
        <f t="shared" si="38"/>
        <v>34.367224999999998</v>
      </c>
      <c r="G1106" s="10">
        <f t="shared" si="38"/>
        <v>31.817966666666667</v>
      </c>
      <c r="H1106" s="10">
        <f t="shared" si="38"/>
        <v>31.817966666666667</v>
      </c>
      <c r="I1106" s="10">
        <f t="shared" si="38"/>
        <v>31.819524999999999</v>
      </c>
      <c r="J1106" s="10">
        <f t="shared" si="38"/>
        <v>244.57669999999999</v>
      </c>
    </row>
    <row r="1107" spans="1:10" ht="15" x14ac:dyDescent="0.2">
      <c r="A1107" s="11">
        <f t="shared" si="25"/>
        <v>2051</v>
      </c>
      <c r="B1107" s="10">
        <f t="shared" ref="B1107:J1107" si="39">AVERAGE(B468:B479)</f>
        <v>35.078941666666665</v>
      </c>
      <c r="C1107" s="10">
        <f t="shared" si="39"/>
        <v>32.333091666666668</v>
      </c>
      <c r="D1107" s="10">
        <f t="shared" si="39"/>
        <v>32.325266666666664</v>
      </c>
      <c r="E1107" s="10">
        <f t="shared" si="39"/>
        <v>34.931808333333329</v>
      </c>
      <c r="F1107" s="10">
        <f t="shared" si="39"/>
        <v>34.922708333333333</v>
      </c>
      <c r="G1107" s="10">
        <f t="shared" si="39"/>
        <v>32.331516666666666</v>
      </c>
      <c r="H1107" s="10">
        <f t="shared" si="39"/>
        <v>32.331516666666666</v>
      </c>
      <c r="I1107" s="10">
        <f t="shared" si="39"/>
        <v>32.333091666666668</v>
      </c>
      <c r="J1107" s="10">
        <f t="shared" si="39"/>
        <v>250.11010833333333</v>
      </c>
    </row>
    <row r="1108" spans="1:10" ht="15" x14ac:dyDescent="0.2">
      <c r="A1108" s="11">
        <f t="shared" si="25"/>
        <v>2052</v>
      </c>
      <c r="B1108" s="10">
        <f t="shared" ref="B1108:J1108" si="40">AVERAGE(B480:B491)</f>
        <v>35.64351666666667</v>
      </c>
      <c r="C1108" s="10">
        <f t="shared" si="40"/>
        <v>32.855041666666672</v>
      </c>
      <c r="D1108" s="10">
        <f t="shared" si="40"/>
        <v>32.847225000000002</v>
      </c>
      <c r="E1108" s="10">
        <f t="shared" si="40"/>
        <v>35.496375000000008</v>
      </c>
      <c r="F1108" s="10">
        <f t="shared" si="40"/>
        <v>35.487274999999997</v>
      </c>
      <c r="G1108" s="10">
        <f t="shared" si="40"/>
        <v>32.853491666666677</v>
      </c>
      <c r="H1108" s="10">
        <f t="shared" si="40"/>
        <v>32.853491666666677</v>
      </c>
      <c r="I1108" s="10">
        <f t="shared" si="40"/>
        <v>32.855041666666672</v>
      </c>
      <c r="J1108" s="10">
        <f t="shared" si="40"/>
        <v>255.76873333333333</v>
      </c>
    </row>
    <row r="1109" spans="1:10" ht="15" x14ac:dyDescent="0.2">
      <c r="A1109" s="11">
        <f t="shared" si="25"/>
        <v>2053</v>
      </c>
      <c r="B1109" s="10">
        <f t="shared" ref="B1109:J1109" si="41">AVERAGE(B492:B503)</f>
        <v>36.217341666666663</v>
      </c>
      <c r="C1109" s="10">
        <f t="shared" si="41"/>
        <v>33.385574999999996</v>
      </c>
      <c r="D1109" s="10">
        <f t="shared" si="41"/>
        <v>33.37775833333334</v>
      </c>
      <c r="E1109" s="10">
        <f t="shared" si="41"/>
        <v>36.070208333333333</v>
      </c>
      <c r="F1109" s="10">
        <f t="shared" si="41"/>
        <v>36.06110833333333</v>
      </c>
      <c r="G1109" s="10">
        <f t="shared" si="41"/>
        <v>33.384008333333334</v>
      </c>
      <c r="H1109" s="10">
        <f t="shared" si="41"/>
        <v>33.384008333333334</v>
      </c>
      <c r="I1109" s="10">
        <f t="shared" si="41"/>
        <v>33.385574999999996</v>
      </c>
      <c r="J1109" s="10">
        <f t="shared" si="41"/>
        <v>261.55537500000003</v>
      </c>
    </row>
    <row r="1110" spans="1:10" ht="15" x14ac:dyDescent="0.2">
      <c r="A1110" s="11">
        <f t="shared" si="25"/>
        <v>2054</v>
      </c>
      <c r="B1110" s="10">
        <f t="shared" ref="B1110:J1110" si="42">AVERAGE(B504:B515)</f>
        <v>36.800591666666669</v>
      </c>
      <c r="C1110" s="10">
        <f t="shared" si="42"/>
        <v>33.924808333333331</v>
      </c>
      <c r="D1110" s="10">
        <f t="shared" si="42"/>
        <v>33.916991666666668</v>
      </c>
      <c r="E1110" s="10">
        <f t="shared" si="42"/>
        <v>36.653424999999999</v>
      </c>
      <c r="F1110" s="10">
        <f t="shared" si="42"/>
        <v>36.644325000000002</v>
      </c>
      <c r="G1110" s="10">
        <f t="shared" si="42"/>
        <v>33.923224999999995</v>
      </c>
      <c r="H1110" s="10">
        <f t="shared" si="42"/>
        <v>33.923224999999995</v>
      </c>
      <c r="I1110" s="10">
        <f t="shared" si="42"/>
        <v>33.924808333333331</v>
      </c>
      <c r="J1110" s="10">
        <f t="shared" si="42"/>
        <v>267.47294166666671</v>
      </c>
    </row>
    <row r="1111" spans="1:10" ht="15" x14ac:dyDescent="0.2">
      <c r="A1111" s="11">
        <f t="shared" si="25"/>
        <v>2055</v>
      </c>
      <c r="B1111" s="10">
        <f t="shared" ref="B1111:J1111" si="43">AVERAGE(B516:B527)</f>
        <v>37.393391666666666</v>
      </c>
      <c r="C1111" s="10">
        <f t="shared" si="43"/>
        <v>34.472858333333328</v>
      </c>
      <c r="D1111" s="10">
        <f t="shared" si="43"/>
        <v>34.465041666666671</v>
      </c>
      <c r="E1111" s="10">
        <f t="shared" si="43"/>
        <v>37.246225000000003</v>
      </c>
      <c r="F1111" s="10">
        <f t="shared" si="43"/>
        <v>37.237124999999999</v>
      </c>
      <c r="G1111" s="10">
        <f t="shared" si="43"/>
        <v>34.471308333333333</v>
      </c>
      <c r="H1111" s="10">
        <f t="shared" si="43"/>
        <v>34.471308333333333</v>
      </c>
      <c r="I1111" s="10">
        <f t="shared" si="43"/>
        <v>34.472858333333328</v>
      </c>
      <c r="J1111" s="10">
        <f t="shared" si="43"/>
        <v>273.52437499999996</v>
      </c>
    </row>
    <row r="1112" spans="1:10" ht="15" x14ac:dyDescent="0.2">
      <c r="A1112" s="11">
        <f t="shared" si="25"/>
        <v>2056</v>
      </c>
      <c r="B1112" s="10">
        <f t="shared" ref="B1112:J1112" si="44">AVERAGE(B528:B539)</f>
        <v>37.995908333333325</v>
      </c>
      <c r="C1112" s="10">
        <f t="shared" si="44"/>
        <v>35.029908333333331</v>
      </c>
      <c r="D1112" s="10">
        <f t="shared" si="44"/>
        <v>35.022108333333335</v>
      </c>
      <c r="E1112" s="10">
        <f t="shared" si="44"/>
        <v>37.848758333333329</v>
      </c>
      <c r="F1112" s="10">
        <f t="shared" si="44"/>
        <v>37.83965833333334</v>
      </c>
      <c r="G1112" s="10">
        <f t="shared" si="44"/>
        <v>35.02834166666667</v>
      </c>
      <c r="H1112" s="10">
        <f t="shared" si="44"/>
        <v>35.02834166666667</v>
      </c>
      <c r="I1112" s="10">
        <f t="shared" si="44"/>
        <v>35.029908333333331</v>
      </c>
      <c r="J1112" s="10">
        <f t="shared" si="44"/>
        <v>279.71270833333335</v>
      </c>
    </row>
    <row r="1113" spans="1:10" ht="15" x14ac:dyDescent="0.2">
      <c r="A1113" s="11">
        <f t="shared" si="25"/>
        <v>2057</v>
      </c>
      <c r="B1113" s="10">
        <f t="shared" ref="B1113:J1113" si="45">AVERAGE(B540:B551)</f>
        <v>38.608308333333333</v>
      </c>
      <c r="C1113" s="10">
        <f t="shared" si="45"/>
        <v>35.596091666666666</v>
      </c>
      <c r="D1113" s="10">
        <f t="shared" si="45"/>
        <v>35.588283333333329</v>
      </c>
      <c r="E1113" s="10">
        <f t="shared" si="45"/>
        <v>38.461149999999996</v>
      </c>
      <c r="F1113" s="10">
        <f t="shared" si="45"/>
        <v>38.45205</v>
      </c>
      <c r="G1113" s="10">
        <f t="shared" si="45"/>
        <v>35.594516666666664</v>
      </c>
      <c r="H1113" s="10">
        <f t="shared" si="45"/>
        <v>35.594516666666664</v>
      </c>
      <c r="I1113" s="10">
        <f t="shared" si="45"/>
        <v>35.596091666666666</v>
      </c>
      <c r="J1113" s="10">
        <f t="shared" si="45"/>
        <v>286.04107500000003</v>
      </c>
    </row>
    <row r="1114" spans="1:10" ht="15" x14ac:dyDescent="0.2">
      <c r="A1114" s="11">
        <f t="shared" si="25"/>
        <v>2058</v>
      </c>
      <c r="B1114" s="10">
        <f t="shared" ref="B1114:J1114" si="46">AVERAGE(B552:B563)</f>
        <v>39.230741666666667</v>
      </c>
      <c r="C1114" s="10">
        <f t="shared" si="46"/>
        <v>36.171550000000003</v>
      </c>
      <c r="D1114" s="10">
        <f t="shared" si="46"/>
        <v>36.163724999999992</v>
      </c>
      <c r="E1114" s="10">
        <f t="shared" si="46"/>
        <v>39.083600000000004</v>
      </c>
      <c r="F1114" s="10">
        <f t="shared" si="46"/>
        <v>39.074499999999993</v>
      </c>
      <c r="G1114" s="10">
        <f t="shared" si="46"/>
        <v>36.169991666666668</v>
      </c>
      <c r="H1114" s="10">
        <f t="shared" si="46"/>
        <v>36.169991666666668</v>
      </c>
      <c r="I1114" s="10">
        <f t="shared" si="46"/>
        <v>36.171550000000003</v>
      </c>
      <c r="J1114" s="10">
        <f t="shared" si="46"/>
        <v>292.51261666666664</v>
      </c>
    </row>
    <row r="1115" spans="1:10" ht="15" x14ac:dyDescent="0.2">
      <c r="A1115" s="11">
        <f t="shared" si="25"/>
        <v>2059</v>
      </c>
      <c r="B1115" s="10">
        <f t="shared" ref="B1115:J1115" si="47">AVERAGE(B564:B575)</f>
        <v>39.863391666666665</v>
      </c>
      <c r="C1115" s="10">
        <f t="shared" si="47"/>
        <v>36.756449999999994</v>
      </c>
      <c r="D1115" s="10">
        <f t="shared" si="47"/>
        <v>36.748624999999997</v>
      </c>
      <c r="E1115" s="10">
        <f t="shared" si="47"/>
        <v>39.716225000000001</v>
      </c>
      <c r="F1115" s="10">
        <f t="shared" si="47"/>
        <v>39.707124999999998</v>
      </c>
      <c r="G1115" s="10">
        <f t="shared" si="47"/>
        <v>36.754891666666673</v>
      </c>
      <c r="H1115" s="10">
        <f t="shared" si="47"/>
        <v>36.754891666666673</v>
      </c>
      <c r="I1115" s="10">
        <f t="shared" si="47"/>
        <v>36.756449999999994</v>
      </c>
      <c r="J1115" s="10">
        <f t="shared" si="47"/>
        <v>299.13057499999996</v>
      </c>
    </row>
    <row r="1116" spans="1:10" ht="15" x14ac:dyDescent="0.2">
      <c r="A1116" s="11">
        <f t="shared" si="25"/>
        <v>2060</v>
      </c>
      <c r="B1116" s="10">
        <f t="shared" ref="B1116:J1116" si="48">AVERAGE(B576:B587)</f>
        <v>40.506408333333333</v>
      </c>
      <c r="C1116" s="10">
        <f t="shared" si="48"/>
        <v>37.350933333333337</v>
      </c>
      <c r="D1116" s="10">
        <f t="shared" si="48"/>
        <v>37.343116666666667</v>
      </c>
      <c r="E1116" s="10">
        <f t="shared" si="48"/>
        <v>40.359249999999996</v>
      </c>
      <c r="F1116" s="10">
        <f t="shared" si="48"/>
        <v>40.350149999999999</v>
      </c>
      <c r="G1116" s="10">
        <f t="shared" si="48"/>
        <v>37.349383333333328</v>
      </c>
      <c r="H1116" s="10">
        <f t="shared" si="48"/>
        <v>37.349383333333328</v>
      </c>
      <c r="I1116" s="10">
        <f t="shared" si="48"/>
        <v>37.350933333333337</v>
      </c>
      <c r="J1116" s="10">
        <f t="shared" si="48"/>
        <v>305.89822500000002</v>
      </c>
    </row>
    <row r="1117" spans="1:10" ht="15" x14ac:dyDescent="0.2">
      <c r="A1117" s="11">
        <f t="shared" si="25"/>
        <v>2061</v>
      </c>
      <c r="B1117" s="10">
        <f t="shared" ref="B1117:J1117" si="49">AVERAGE(B588:B599)</f>
        <v>41.159958333333329</v>
      </c>
      <c r="C1117" s="10">
        <f t="shared" si="49"/>
        <v>37.955183333333338</v>
      </c>
      <c r="D1117" s="10">
        <f t="shared" si="49"/>
        <v>37.947366666666667</v>
      </c>
      <c r="E1117" s="10">
        <f t="shared" si="49"/>
        <v>41.012808333333332</v>
      </c>
      <c r="F1117" s="10">
        <f t="shared" si="49"/>
        <v>41.003708333333329</v>
      </c>
      <c r="G1117" s="10">
        <f t="shared" si="49"/>
        <v>37.953616666666669</v>
      </c>
      <c r="H1117" s="10">
        <f t="shared" si="49"/>
        <v>37.953616666666669</v>
      </c>
      <c r="I1117" s="10">
        <f t="shared" si="49"/>
        <v>37.955183333333338</v>
      </c>
      <c r="J1117" s="10">
        <f t="shared" si="49"/>
        <v>312.81905833333332</v>
      </c>
    </row>
    <row r="1118" spans="1:10" ht="15" x14ac:dyDescent="0.2">
      <c r="A1118" s="11">
        <f t="shared" si="25"/>
        <v>2062</v>
      </c>
      <c r="B1118" s="10">
        <f t="shared" ref="B1118:J1127" ca="1" si="50">AVERAGE(OFFSET(B$600,($A1118-$A$1118)*12,0,12,1))</f>
        <v>41.824225000000006</v>
      </c>
      <c r="C1118" s="10">
        <f t="shared" ca="1" si="50"/>
        <v>38.569316666666673</v>
      </c>
      <c r="D1118" s="10">
        <f t="shared" ca="1" si="50"/>
        <v>38.561508333333336</v>
      </c>
      <c r="E1118" s="10">
        <f t="shared" ca="1" si="50"/>
        <v>41.677091666666676</v>
      </c>
      <c r="F1118" s="10">
        <f t="shared" ca="1" si="50"/>
        <v>41.667991666666659</v>
      </c>
      <c r="G1118" s="10">
        <f t="shared" ca="1" si="50"/>
        <v>38.567749999999997</v>
      </c>
      <c r="H1118" s="10">
        <f t="shared" ca="1" si="50"/>
        <v>38.567749999999997</v>
      </c>
      <c r="I1118" s="10">
        <f t="shared" ca="1" si="50"/>
        <v>38.569316666666673</v>
      </c>
      <c r="J1118" s="10">
        <f t="shared" ca="1" si="50"/>
        <v>319.89641666666665</v>
      </c>
    </row>
    <row r="1119" spans="1:10" ht="15" x14ac:dyDescent="0.2">
      <c r="A1119" s="11">
        <f t="shared" si="25"/>
        <v>2063</v>
      </c>
      <c r="B1119" s="10">
        <f t="shared" ca="1" si="50"/>
        <v>42.499408333333328</v>
      </c>
      <c r="C1119" s="10">
        <f t="shared" ca="1" si="50"/>
        <v>39.193516666666667</v>
      </c>
      <c r="D1119" s="10">
        <f t="shared" ca="1" si="50"/>
        <v>39.185716666666671</v>
      </c>
      <c r="E1119" s="10">
        <f t="shared" ca="1" si="50"/>
        <v>42.352241666666671</v>
      </c>
      <c r="F1119" s="10">
        <f t="shared" ca="1" si="50"/>
        <v>42.343141666666661</v>
      </c>
      <c r="G1119" s="10">
        <f t="shared" ca="1" si="50"/>
        <v>39.191966666666666</v>
      </c>
      <c r="H1119" s="10">
        <f t="shared" ca="1" si="50"/>
        <v>39.191966666666666</v>
      </c>
      <c r="I1119" s="10">
        <f t="shared" ca="1" si="50"/>
        <v>39.193516666666667</v>
      </c>
      <c r="J1119" s="10">
        <f t="shared" ca="1" si="50"/>
        <v>327.13389999999998</v>
      </c>
    </row>
    <row r="1120" spans="1:10" ht="15" x14ac:dyDescent="0.2">
      <c r="A1120" s="11">
        <f t="shared" si="25"/>
        <v>2064</v>
      </c>
      <c r="B1120" s="10">
        <f t="shared" ca="1" si="50"/>
        <v>43.185616666666668</v>
      </c>
      <c r="C1120" s="10">
        <f t="shared" ca="1" si="50"/>
        <v>39.827983333333329</v>
      </c>
      <c r="D1120" s="10">
        <f t="shared" ca="1" si="50"/>
        <v>39.820158333333339</v>
      </c>
      <c r="E1120" s="10">
        <f t="shared" ca="1" si="50"/>
        <v>43.038483333333325</v>
      </c>
      <c r="F1120" s="10">
        <f t="shared" ca="1" si="50"/>
        <v>43.029383333333328</v>
      </c>
      <c r="G1120" s="10">
        <f t="shared" ca="1" si="50"/>
        <v>39.826416666666667</v>
      </c>
      <c r="H1120" s="10">
        <f t="shared" ca="1" si="50"/>
        <v>39.826416666666667</v>
      </c>
      <c r="I1120" s="10">
        <f t="shared" ca="1" si="50"/>
        <v>39.827983333333329</v>
      </c>
      <c r="J1120" s="10">
        <f t="shared" ca="1" si="50"/>
        <v>334.53516666666661</v>
      </c>
    </row>
    <row r="1121" spans="1:10" ht="15" x14ac:dyDescent="0.2">
      <c r="A1121" s="11">
        <f t="shared" si="25"/>
        <v>2065</v>
      </c>
      <c r="B1121" s="10">
        <f t="shared" ca="1" si="50"/>
        <v>43.883116666666666</v>
      </c>
      <c r="C1121" s="10">
        <f t="shared" ca="1" si="50"/>
        <v>40.472816666666667</v>
      </c>
      <c r="D1121" s="10">
        <f t="shared" ca="1" si="50"/>
        <v>40.465016666666664</v>
      </c>
      <c r="E1121" s="10">
        <f t="shared" ca="1" si="50"/>
        <v>43.735958333333336</v>
      </c>
      <c r="F1121" s="10">
        <f t="shared" ca="1" si="50"/>
        <v>43.726858333333325</v>
      </c>
      <c r="G1121" s="10">
        <f t="shared" ca="1" si="50"/>
        <v>40.471258333333331</v>
      </c>
      <c r="H1121" s="10">
        <f t="shared" ca="1" si="50"/>
        <v>40.471258333333331</v>
      </c>
      <c r="I1121" s="10">
        <f t="shared" ca="1" si="50"/>
        <v>40.472816666666667</v>
      </c>
      <c r="J1121" s="10">
        <f t="shared" ca="1" si="50"/>
        <v>342.10385833333339</v>
      </c>
    </row>
    <row r="1122" spans="1:10" ht="15" x14ac:dyDescent="0.2">
      <c r="A1122" s="11">
        <f t="shared" si="25"/>
        <v>2066</v>
      </c>
      <c r="B1122" s="10">
        <f t="shared" ca="1" si="50"/>
        <v>44.592025</v>
      </c>
      <c r="C1122" s="10">
        <f t="shared" ca="1" si="50"/>
        <v>41.128233333333334</v>
      </c>
      <c r="D1122" s="10">
        <f t="shared" ca="1" si="50"/>
        <v>41.120416666666671</v>
      </c>
      <c r="E1122" s="10">
        <f t="shared" ca="1" si="50"/>
        <v>44.44489166666667</v>
      </c>
      <c r="F1122" s="10">
        <f t="shared" ca="1" si="50"/>
        <v>44.435791666666667</v>
      </c>
      <c r="G1122" s="10">
        <f t="shared" ca="1" si="50"/>
        <v>41.126683333333332</v>
      </c>
      <c r="H1122" s="10">
        <f t="shared" ca="1" si="50"/>
        <v>41.126683333333332</v>
      </c>
      <c r="I1122" s="10">
        <f t="shared" ca="1" si="50"/>
        <v>41.128233333333334</v>
      </c>
      <c r="J1122" s="10">
        <f t="shared" ca="1" si="50"/>
        <v>349.84377499999999</v>
      </c>
    </row>
    <row r="1123" spans="1:10" ht="15" x14ac:dyDescent="0.2">
      <c r="A1123" s="11">
        <f t="shared" si="25"/>
        <v>2067</v>
      </c>
      <c r="B1123" s="10">
        <f t="shared" ca="1" si="50"/>
        <v>45.312583333333329</v>
      </c>
      <c r="C1123" s="10">
        <f t="shared" ca="1" si="50"/>
        <v>41.794408333333337</v>
      </c>
      <c r="D1123" s="10">
        <f t="shared" ca="1" si="50"/>
        <v>41.786608333333334</v>
      </c>
      <c r="E1123" s="10">
        <f t="shared" ca="1" si="50"/>
        <v>45.165416666666665</v>
      </c>
      <c r="F1123" s="10">
        <f t="shared" ca="1" si="50"/>
        <v>45.156316666666669</v>
      </c>
      <c r="G1123" s="10">
        <f t="shared" ca="1" si="50"/>
        <v>41.792841666666668</v>
      </c>
      <c r="H1123" s="10">
        <f t="shared" ca="1" si="50"/>
        <v>41.792841666666668</v>
      </c>
      <c r="I1123" s="10">
        <f t="shared" ca="1" si="50"/>
        <v>41.794408333333337</v>
      </c>
      <c r="J1123" s="10">
        <f t="shared" ca="1" si="50"/>
        <v>357.75880000000001</v>
      </c>
    </row>
    <row r="1124" spans="1:10" ht="15" x14ac:dyDescent="0.2">
      <c r="A1124" s="11">
        <f t="shared" si="25"/>
        <v>2068</v>
      </c>
      <c r="B1124" s="10">
        <f t="shared" ca="1" si="50"/>
        <v>46.044916666666666</v>
      </c>
      <c r="C1124" s="10">
        <f t="shared" ca="1" si="50"/>
        <v>42.47150833333334</v>
      </c>
      <c r="D1124" s="10">
        <f t="shared" ca="1" si="50"/>
        <v>42.463691666666669</v>
      </c>
      <c r="E1124" s="10">
        <f t="shared" ca="1" si="50"/>
        <v>45.89779166666667</v>
      </c>
      <c r="F1124" s="10">
        <f t="shared" ca="1" si="50"/>
        <v>45.888691666666666</v>
      </c>
      <c r="G1124" s="10">
        <f t="shared" ca="1" si="50"/>
        <v>42.469924999999996</v>
      </c>
      <c r="H1124" s="10">
        <f t="shared" ca="1" si="50"/>
        <v>42.469924999999996</v>
      </c>
      <c r="I1124" s="10">
        <f t="shared" ca="1" si="50"/>
        <v>42.47150833333334</v>
      </c>
      <c r="J1124" s="10">
        <f t="shared" ca="1" si="50"/>
        <v>365.85293333333334</v>
      </c>
    </row>
    <row r="1125" spans="1:10" ht="15" x14ac:dyDescent="0.2">
      <c r="A1125" s="11">
        <f t="shared" si="25"/>
        <v>2069</v>
      </c>
      <c r="B1125" s="10">
        <f t="shared" ca="1" si="50"/>
        <v>46.789308333333338</v>
      </c>
      <c r="C1125" s="10">
        <f t="shared" ca="1" si="50"/>
        <v>43.159691666666674</v>
      </c>
      <c r="D1125" s="10">
        <f t="shared" ca="1" si="50"/>
        <v>43.15186666666667</v>
      </c>
      <c r="E1125" s="10">
        <f t="shared" ca="1" si="50"/>
        <v>46.642141666666667</v>
      </c>
      <c r="F1125" s="10">
        <f t="shared" ca="1" si="50"/>
        <v>46.633041666666664</v>
      </c>
      <c r="G1125" s="10">
        <f t="shared" ca="1" si="50"/>
        <v>43.158116666666672</v>
      </c>
      <c r="H1125" s="10">
        <f t="shared" ca="1" si="50"/>
        <v>43.158116666666672</v>
      </c>
      <c r="I1125" s="10">
        <f t="shared" ca="1" si="50"/>
        <v>43.159691666666674</v>
      </c>
      <c r="J1125" s="10">
        <f t="shared" ca="1" si="50"/>
        <v>374.13014999999996</v>
      </c>
    </row>
    <row r="1126" spans="1:10" ht="15" x14ac:dyDescent="0.2">
      <c r="A1126" s="11">
        <f t="shared" ref="A1126:A1156" si="51">A1125+1</f>
        <v>2070</v>
      </c>
      <c r="B1126" s="10">
        <f t="shared" ca="1" si="50"/>
        <v>47.545858333333342</v>
      </c>
      <c r="C1126" s="10">
        <f t="shared" ca="1" si="50"/>
        <v>43.85915</v>
      </c>
      <c r="D1126" s="10">
        <f t="shared" ca="1" si="50"/>
        <v>43.851333333333336</v>
      </c>
      <c r="E1126" s="10">
        <f t="shared" ca="1" si="50"/>
        <v>47.398716666666672</v>
      </c>
      <c r="F1126" s="10">
        <f t="shared" ca="1" si="50"/>
        <v>47.389616666666676</v>
      </c>
      <c r="G1126" s="10">
        <f t="shared" ca="1" si="50"/>
        <v>43.857599999999998</v>
      </c>
      <c r="H1126" s="10">
        <f t="shared" ca="1" si="50"/>
        <v>43.857599999999998</v>
      </c>
      <c r="I1126" s="10">
        <f t="shared" ca="1" si="50"/>
        <v>43.85915</v>
      </c>
      <c r="J1126" s="10">
        <f t="shared" ca="1" si="50"/>
        <v>382.59466666666663</v>
      </c>
    </row>
    <row r="1127" spans="1:10" ht="15" x14ac:dyDescent="0.2">
      <c r="A1127" s="11">
        <f t="shared" si="51"/>
        <v>2071</v>
      </c>
      <c r="B1127" s="10">
        <f t="shared" ca="1" si="50"/>
        <v>48.314824999999985</v>
      </c>
      <c r="C1127" s="10">
        <f t="shared" ca="1" si="50"/>
        <v>44.570100000000004</v>
      </c>
      <c r="D1127" s="10">
        <f t="shared" ca="1" si="50"/>
        <v>44.562291666666674</v>
      </c>
      <c r="E1127" s="10">
        <f t="shared" ca="1" si="50"/>
        <v>48.167691666666677</v>
      </c>
      <c r="F1127" s="10">
        <f t="shared" ca="1" si="50"/>
        <v>48.158591666666666</v>
      </c>
      <c r="G1127" s="10">
        <f t="shared" ca="1" si="50"/>
        <v>44.568525000000001</v>
      </c>
      <c r="H1127" s="10">
        <f t="shared" ca="1" si="50"/>
        <v>44.568525000000001</v>
      </c>
      <c r="I1127" s="10">
        <f t="shared" ca="1" si="50"/>
        <v>44.570100000000004</v>
      </c>
      <c r="J1127" s="10">
        <f t="shared" ca="1" si="50"/>
        <v>391.25068333333343</v>
      </c>
    </row>
    <row r="1128" spans="1:10" ht="15" x14ac:dyDescent="0.2">
      <c r="A1128" s="11">
        <f t="shared" si="51"/>
        <v>2072</v>
      </c>
      <c r="B1128" s="10">
        <f t="shared" ref="B1128:J1137" ca="1" si="52">AVERAGE(OFFSET(B$600,($A1128-$A$1118)*12,0,12,1))</f>
        <v>49.096416666666663</v>
      </c>
      <c r="C1128" s="10">
        <f t="shared" ca="1" si="52"/>
        <v>45.292691666666677</v>
      </c>
      <c r="D1128" s="10">
        <f t="shared" ca="1" si="52"/>
        <v>45.28488333333334</v>
      </c>
      <c r="E1128" s="10">
        <f t="shared" ca="1" si="52"/>
        <v>48.94925833333334</v>
      </c>
      <c r="F1128" s="10">
        <f t="shared" ca="1" si="52"/>
        <v>48.940158333333329</v>
      </c>
      <c r="G1128" s="10">
        <f t="shared" ca="1" si="52"/>
        <v>45.291116666666674</v>
      </c>
      <c r="H1128" s="10">
        <f t="shared" ca="1" si="52"/>
        <v>45.291116666666674</v>
      </c>
      <c r="I1128" s="10">
        <f t="shared" ca="1" si="52"/>
        <v>45.292691666666677</v>
      </c>
      <c r="J1128" s="10">
        <f t="shared" ca="1" si="52"/>
        <v>400.10253333333338</v>
      </c>
    </row>
    <row r="1129" spans="1:10" ht="15" x14ac:dyDescent="0.2">
      <c r="A1129" s="11">
        <f t="shared" si="51"/>
        <v>2073</v>
      </c>
      <c r="B1129" s="10">
        <f t="shared" ca="1" si="52"/>
        <v>49.890808333333325</v>
      </c>
      <c r="C1129" s="10">
        <f t="shared" ca="1" si="52"/>
        <v>46.027125000000005</v>
      </c>
      <c r="D1129" s="10">
        <f t="shared" ca="1" si="52"/>
        <v>46.019316666666668</v>
      </c>
      <c r="E1129" s="10">
        <f t="shared" ca="1" si="52"/>
        <v>49.743650000000002</v>
      </c>
      <c r="F1129" s="10">
        <f t="shared" ca="1" si="52"/>
        <v>49.734549999999992</v>
      </c>
      <c r="G1129" s="10">
        <f t="shared" ca="1" si="52"/>
        <v>46.02556666666667</v>
      </c>
      <c r="H1129" s="10">
        <f t="shared" ca="1" si="52"/>
        <v>46.02556666666667</v>
      </c>
      <c r="I1129" s="10">
        <f t="shared" ca="1" si="52"/>
        <v>46.027125000000005</v>
      </c>
      <c r="J1129" s="10">
        <f t="shared" ca="1" si="52"/>
        <v>409.15465</v>
      </c>
    </row>
    <row r="1130" spans="1:10" ht="15" x14ac:dyDescent="0.2">
      <c r="A1130" s="11">
        <f t="shared" si="51"/>
        <v>2074</v>
      </c>
      <c r="B1130" s="10">
        <f t="shared" ca="1" si="52"/>
        <v>50.698216666666667</v>
      </c>
      <c r="C1130" s="10">
        <f t="shared" ca="1" si="52"/>
        <v>46.773616666666676</v>
      </c>
      <c r="D1130" s="10">
        <f t="shared" ca="1" si="52"/>
        <v>46.765808333333325</v>
      </c>
      <c r="E1130" s="10">
        <f t="shared" ca="1" si="52"/>
        <v>50.551066666666664</v>
      </c>
      <c r="F1130" s="10">
        <f t="shared" ca="1" si="52"/>
        <v>50.54196666666666</v>
      </c>
      <c r="G1130" s="10">
        <f t="shared" ca="1" si="52"/>
        <v>46.77205</v>
      </c>
      <c r="H1130" s="10">
        <f t="shared" ca="1" si="52"/>
        <v>46.77205</v>
      </c>
      <c r="I1130" s="10">
        <f t="shared" ca="1" si="52"/>
        <v>46.773616666666676</v>
      </c>
      <c r="J1130" s="10">
        <f t="shared" ca="1" si="52"/>
        <v>418.41159166666665</v>
      </c>
    </row>
    <row r="1131" spans="1:10" ht="15" x14ac:dyDescent="0.2">
      <c r="A1131" s="11">
        <f t="shared" si="51"/>
        <v>2075</v>
      </c>
      <c r="B1131" s="10">
        <f t="shared" ca="1" si="52"/>
        <v>51.518883333333328</v>
      </c>
      <c r="C1131" s="10">
        <f t="shared" ca="1" si="52"/>
        <v>47.532325000000007</v>
      </c>
      <c r="D1131" s="10">
        <f t="shared" ca="1" si="52"/>
        <v>47.524516666666678</v>
      </c>
      <c r="E1131" s="10">
        <f t="shared" ca="1" si="52"/>
        <v>51.371716666666664</v>
      </c>
      <c r="F1131" s="10">
        <f t="shared" ca="1" si="52"/>
        <v>51.362616666666661</v>
      </c>
      <c r="G1131" s="10">
        <f t="shared" ca="1" si="52"/>
        <v>47.530783333333325</v>
      </c>
      <c r="H1131" s="10">
        <f t="shared" ca="1" si="52"/>
        <v>47.530783333333325</v>
      </c>
      <c r="I1131" s="10">
        <f t="shared" ca="1" si="52"/>
        <v>47.532325000000007</v>
      </c>
      <c r="J1131" s="10">
        <f t="shared" ca="1" si="52"/>
        <v>427.87790833333332</v>
      </c>
    </row>
    <row r="1132" spans="1:10" ht="15" x14ac:dyDescent="0.2">
      <c r="A1132" s="11">
        <f t="shared" si="51"/>
        <v>2076</v>
      </c>
      <c r="B1132" s="10">
        <f t="shared" ca="1" si="52"/>
        <v>52.352991666666668</v>
      </c>
      <c r="C1132" s="10">
        <f t="shared" ca="1" si="52"/>
        <v>48.303508333333333</v>
      </c>
      <c r="D1132" s="10">
        <f t="shared" ca="1" si="52"/>
        <v>48.295691666666663</v>
      </c>
      <c r="E1132" s="10">
        <f t="shared" ca="1" si="52"/>
        <v>52.205825000000004</v>
      </c>
      <c r="F1132" s="10">
        <f t="shared" ca="1" si="52"/>
        <v>52.196724999999994</v>
      </c>
      <c r="G1132" s="10">
        <f t="shared" ca="1" si="52"/>
        <v>48.301925000000011</v>
      </c>
      <c r="H1132" s="10">
        <f t="shared" ca="1" si="52"/>
        <v>48.301925000000011</v>
      </c>
      <c r="I1132" s="10">
        <f t="shared" ca="1" si="52"/>
        <v>48.303508333333333</v>
      </c>
      <c r="J1132" s="10">
        <f t="shared" ca="1" si="52"/>
        <v>437.55845833333325</v>
      </c>
    </row>
    <row r="1133" spans="1:10" ht="15" x14ac:dyDescent="0.2">
      <c r="A1133" s="11">
        <f t="shared" si="51"/>
        <v>2077</v>
      </c>
      <c r="B1133" s="10">
        <f t="shared" ca="1" si="52"/>
        <v>53.200766666666659</v>
      </c>
      <c r="C1133" s="10">
        <f t="shared" ca="1" si="52"/>
        <v>49.08730833333334</v>
      </c>
      <c r="D1133" s="10">
        <f t="shared" ca="1" si="52"/>
        <v>49.079500000000003</v>
      </c>
      <c r="E1133" s="10">
        <f t="shared" ca="1" si="52"/>
        <v>53.053616666666677</v>
      </c>
      <c r="F1133" s="10">
        <f t="shared" ca="1" si="52"/>
        <v>53.044516666666674</v>
      </c>
      <c r="G1133" s="10">
        <f t="shared" ca="1" si="52"/>
        <v>49.085733333333337</v>
      </c>
      <c r="H1133" s="10">
        <f t="shared" ca="1" si="52"/>
        <v>49.085733333333337</v>
      </c>
      <c r="I1133" s="10">
        <f t="shared" ca="1" si="52"/>
        <v>49.08730833333334</v>
      </c>
      <c r="J1133" s="10">
        <f t="shared" ca="1" si="52"/>
        <v>447.45797499999998</v>
      </c>
    </row>
    <row r="1134" spans="1:10" ht="15" x14ac:dyDescent="0.2">
      <c r="A1134" s="11">
        <f t="shared" si="51"/>
        <v>2078</v>
      </c>
      <c r="B1134" s="10">
        <f t="shared" ca="1" si="52"/>
        <v>54.062449999999991</v>
      </c>
      <c r="C1134" s="10">
        <f t="shared" ca="1" si="52"/>
        <v>49.883958333333332</v>
      </c>
      <c r="D1134" s="10">
        <f t="shared" ca="1" si="52"/>
        <v>49.876141666666662</v>
      </c>
      <c r="E1134" s="10">
        <f t="shared" ca="1" si="52"/>
        <v>53.915308333333321</v>
      </c>
      <c r="F1134" s="10">
        <f t="shared" ca="1" si="52"/>
        <v>53.906208333333332</v>
      </c>
      <c r="G1134" s="10">
        <f t="shared" ca="1" si="52"/>
        <v>49.882408333333338</v>
      </c>
      <c r="H1134" s="10">
        <f t="shared" ca="1" si="52"/>
        <v>49.882408333333338</v>
      </c>
      <c r="I1134" s="10">
        <f t="shared" ca="1" si="52"/>
        <v>49.883958333333332</v>
      </c>
      <c r="J1134" s="10">
        <f t="shared" ca="1" si="52"/>
        <v>457.58150000000001</v>
      </c>
    </row>
    <row r="1135" spans="1:10" ht="15" x14ac:dyDescent="0.2">
      <c r="A1135" s="11">
        <f t="shared" si="51"/>
        <v>2079</v>
      </c>
      <c r="B1135" s="10">
        <f t="shared" ca="1" si="52"/>
        <v>54.938266666666664</v>
      </c>
      <c r="C1135" s="10">
        <f t="shared" ca="1" si="52"/>
        <v>50.693683333333333</v>
      </c>
      <c r="D1135" s="10">
        <f t="shared" ca="1" si="52"/>
        <v>50.685866666666669</v>
      </c>
      <c r="E1135" s="10">
        <f t="shared" ca="1" si="52"/>
        <v>54.791116666666674</v>
      </c>
      <c r="F1135" s="10">
        <f t="shared" ca="1" si="52"/>
        <v>54.782016666666664</v>
      </c>
      <c r="G1135" s="10">
        <f t="shared" ca="1" si="52"/>
        <v>50.692116666666685</v>
      </c>
      <c r="H1135" s="10">
        <f t="shared" ca="1" si="52"/>
        <v>50.692116666666685</v>
      </c>
      <c r="I1135" s="10">
        <f t="shared" ca="1" si="52"/>
        <v>50.693683333333333</v>
      </c>
      <c r="J1135" s="10">
        <f t="shared" ca="1" si="52"/>
        <v>467.93405000000001</v>
      </c>
    </row>
    <row r="1136" spans="1:10" ht="15" x14ac:dyDescent="0.2">
      <c r="A1136" s="11">
        <f t="shared" si="51"/>
        <v>2080</v>
      </c>
      <c r="B1136" s="10">
        <f t="shared" ca="1" si="52"/>
        <v>55.828425000000003</v>
      </c>
      <c r="C1136" s="10">
        <f t="shared" ca="1" si="52"/>
        <v>51.516666666666673</v>
      </c>
      <c r="D1136" s="10">
        <f t="shared" ca="1" si="52"/>
        <v>51.508858333333336</v>
      </c>
      <c r="E1136" s="10">
        <f t="shared" ca="1" si="52"/>
        <v>55.681291666666674</v>
      </c>
      <c r="F1136" s="10">
        <f t="shared" ca="1" si="52"/>
        <v>55.672191666666663</v>
      </c>
      <c r="G1136" s="10">
        <f t="shared" ca="1" si="52"/>
        <v>51.515108333333352</v>
      </c>
      <c r="H1136" s="10">
        <f t="shared" ca="1" si="52"/>
        <v>51.515108333333352</v>
      </c>
      <c r="I1136" s="10">
        <f t="shared" ca="1" si="52"/>
        <v>51.516666666666673</v>
      </c>
      <c r="J1136" s="10">
        <f t="shared" ca="1" si="52"/>
        <v>478.52082499999989</v>
      </c>
    </row>
    <row r="1137" spans="1:10" ht="15" x14ac:dyDescent="0.2">
      <c r="A1137" s="11">
        <f t="shared" si="51"/>
        <v>2081</v>
      </c>
      <c r="B1137" s="10">
        <f t="shared" ca="1" si="52"/>
        <v>56.73320833333333</v>
      </c>
      <c r="C1137" s="10">
        <f t="shared" ca="1" si="52"/>
        <v>52.35315833333334</v>
      </c>
      <c r="D1137" s="10">
        <f t="shared" ca="1" si="52"/>
        <v>52.345341666666663</v>
      </c>
      <c r="E1137" s="10">
        <f t="shared" ca="1" si="52"/>
        <v>56.58605</v>
      </c>
      <c r="F1137" s="10">
        <f t="shared" ca="1" si="52"/>
        <v>56.576949999999989</v>
      </c>
      <c r="G1137" s="10">
        <f t="shared" ca="1" si="52"/>
        <v>52.351608333333338</v>
      </c>
      <c r="H1137" s="10">
        <f t="shared" ca="1" si="52"/>
        <v>52.351608333333338</v>
      </c>
      <c r="I1137" s="10">
        <f t="shared" ca="1" si="52"/>
        <v>52.35315833333334</v>
      </c>
      <c r="J1137" s="10">
        <f t="shared" ca="1" si="52"/>
        <v>489.34710833333338</v>
      </c>
    </row>
    <row r="1138" spans="1:10" ht="15" x14ac:dyDescent="0.2">
      <c r="A1138" s="11">
        <f t="shared" si="51"/>
        <v>2082</v>
      </c>
      <c r="B1138" s="10">
        <f t="shared" ref="B1138:J1147" ca="1" si="53">AVERAGE(OFFSET(B$600,($A1138-$A$1118)*12,0,12,1))</f>
        <v>57.652808333333347</v>
      </c>
      <c r="C1138" s="10">
        <f t="shared" ca="1" si="53"/>
        <v>53.203358333333334</v>
      </c>
      <c r="D1138" s="10">
        <f t="shared" ca="1" si="53"/>
        <v>53.195541666666664</v>
      </c>
      <c r="E1138" s="10">
        <f t="shared" ca="1" si="53"/>
        <v>57.505650000000003</v>
      </c>
      <c r="F1138" s="10">
        <f t="shared" ca="1" si="53"/>
        <v>57.496550000000013</v>
      </c>
      <c r="G1138" s="10">
        <f t="shared" ca="1" si="53"/>
        <v>53.201808333333332</v>
      </c>
      <c r="H1138" s="10">
        <f t="shared" ca="1" si="53"/>
        <v>53.201808333333332</v>
      </c>
      <c r="I1138" s="10">
        <f t="shared" ca="1" si="53"/>
        <v>53.203358333333334</v>
      </c>
      <c r="J1138" s="10">
        <f t="shared" ca="1" si="53"/>
        <v>500.41834166666666</v>
      </c>
    </row>
    <row r="1139" spans="1:10" ht="15" x14ac:dyDescent="0.2">
      <c r="A1139" s="11">
        <f t="shared" si="51"/>
        <v>2083</v>
      </c>
      <c r="B1139" s="10">
        <f t="shared" ca="1" si="53"/>
        <v>58.587483333333324</v>
      </c>
      <c r="C1139" s="10">
        <f t="shared" ca="1" si="53"/>
        <v>54.067508333333329</v>
      </c>
      <c r="D1139" s="10">
        <f t="shared" ca="1" si="53"/>
        <v>54.059691666666673</v>
      </c>
      <c r="E1139" s="10">
        <f t="shared" ca="1" si="53"/>
        <v>58.440316666666682</v>
      </c>
      <c r="F1139" s="10">
        <f t="shared" ca="1" si="53"/>
        <v>58.43121666666665</v>
      </c>
      <c r="G1139" s="10">
        <f t="shared" ca="1" si="53"/>
        <v>54.065925</v>
      </c>
      <c r="H1139" s="10">
        <f t="shared" ca="1" si="53"/>
        <v>54.065925</v>
      </c>
      <c r="I1139" s="10">
        <f t="shared" ca="1" si="53"/>
        <v>54.067508333333329</v>
      </c>
      <c r="J1139" s="10">
        <f t="shared" ca="1" si="53"/>
        <v>511.74006666666673</v>
      </c>
    </row>
    <row r="1140" spans="1:10" ht="15" x14ac:dyDescent="0.2">
      <c r="A1140" s="11">
        <f t="shared" si="51"/>
        <v>2084</v>
      </c>
      <c r="B1140" s="10">
        <f t="shared" ca="1" si="53"/>
        <v>59.537483333333334</v>
      </c>
      <c r="C1140" s="10">
        <f t="shared" ca="1" si="53"/>
        <v>54.945808333333339</v>
      </c>
      <c r="D1140" s="10">
        <f t="shared" ca="1" si="53"/>
        <v>54.938000000000009</v>
      </c>
      <c r="E1140" s="10">
        <f t="shared" ca="1" si="53"/>
        <v>59.390316666666671</v>
      </c>
      <c r="F1140" s="10">
        <f t="shared" ca="1" si="53"/>
        <v>59.381216666666667</v>
      </c>
      <c r="G1140" s="10">
        <f t="shared" ca="1" si="53"/>
        <v>54.944233333333329</v>
      </c>
      <c r="H1140" s="10">
        <f t="shared" ca="1" si="53"/>
        <v>54.944233333333329</v>
      </c>
      <c r="I1140" s="10">
        <f t="shared" ca="1" si="53"/>
        <v>54.945808333333339</v>
      </c>
      <c r="J1140" s="10">
        <f t="shared" ca="1" si="53"/>
        <v>523.31792500000006</v>
      </c>
    </row>
    <row r="1141" spans="1:10" ht="15" x14ac:dyDescent="0.2">
      <c r="A1141" s="11">
        <f t="shared" si="51"/>
        <v>2085</v>
      </c>
      <c r="B1141" s="10">
        <f t="shared" ca="1" si="53"/>
        <v>60.503049999999995</v>
      </c>
      <c r="C1141" s="10">
        <f t="shared" ca="1" si="53"/>
        <v>55.838516666666671</v>
      </c>
      <c r="D1141" s="10">
        <f t="shared" ca="1" si="53"/>
        <v>55.830708333333341</v>
      </c>
      <c r="E1141" s="10">
        <f t="shared" ca="1" si="53"/>
        <v>60.355908333333332</v>
      </c>
      <c r="F1141" s="10">
        <f t="shared" ca="1" si="53"/>
        <v>60.346808333333335</v>
      </c>
      <c r="G1141" s="10">
        <f t="shared" ca="1" si="53"/>
        <v>55.836941666666668</v>
      </c>
      <c r="H1141" s="10">
        <f t="shared" ca="1" si="53"/>
        <v>55.836941666666668</v>
      </c>
      <c r="I1141" s="10">
        <f t="shared" ca="1" si="53"/>
        <v>55.838516666666671</v>
      </c>
      <c r="J1141" s="10">
        <f t="shared" ca="1" si="53"/>
        <v>535.15774166666665</v>
      </c>
    </row>
    <row r="1142" spans="1:10" ht="15" x14ac:dyDescent="0.2">
      <c r="A1142" s="11">
        <f t="shared" si="51"/>
        <v>2086</v>
      </c>
      <c r="B1142" s="10">
        <f t="shared" ca="1" si="53"/>
        <v>61.484458333333322</v>
      </c>
      <c r="C1142" s="10">
        <f t="shared" ca="1" si="53"/>
        <v>56.745849999999997</v>
      </c>
      <c r="D1142" s="10">
        <f t="shared" ca="1" si="53"/>
        <v>56.738033333333334</v>
      </c>
      <c r="E1142" s="10">
        <f t="shared" ca="1" si="53"/>
        <v>61.337316666666673</v>
      </c>
      <c r="F1142" s="10">
        <f t="shared" ca="1" si="53"/>
        <v>61.328216666666663</v>
      </c>
      <c r="G1142" s="10">
        <f t="shared" ca="1" si="53"/>
        <v>56.744300000000003</v>
      </c>
      <c r="H1142" s="10">
        <f t="shared" ca="1" si="53"/>
        <v>56.744300000000003</v>
      </c>
      <c r="I1142" s="10">
        <f t="shared" ca="1" si="53"/>
        <v>56.745849999999997</v>
      </c>
      <c r="J1142" s="10">
        <f t="shared" ca="1" si="53"/>
        <v>547.2654</v>
      </c>
    </row>
    <row r="1143" spans="1:10" ht="15" x14ac:dyDescent="0.2">
      <c r="A1143" s="11">
        <f t="shared" si="51"/>
        <v>2087</v>
      </c>
      <c r="B1143" s="10">
        <f t="shared" ca="1" si="53"/>
        <v>62.481958333333331</v>
      </c>
      <c r="C1143" s="10">
        <f t="shared" ca="1" si="53"/>
        <v>57.668074999999995</v>
      </c>
      <c r="D1143" s="10">
        <f t="shared" ca="1" si="53"/>
        <v>57.660258333333331</v>
      </c>
      <c r="E1143" s="10">
        <f t="shared" ca="1" si="53"/>
        <v>62.334816666666676</v>
      </c>
      <c r="F1143" s="10">
        <f t="shared" ca="1" si="53"/>
        <v>62.325716666666665</v>
      </c>
      <c r="G1143" s="10">
        <f t="shared" ca="1" si="53"/>
        <v>57.666516666666666</v>
      </c>
      <c r="H1143" s="10">
        <f t="shared" ca="1" si="53"/>
        <v>57.666516666666666</v>
      </c>
      <c r="I1143" s="10">
        <f t="shared" ca="1" si="53"/>
        <v>57.668074999999995</v>
      </c>
      <c r="J1143" s="10">
        <f t="shared" ca="1" si="53"/>
        <v>559.64700833333325</v>
      </c>
    </row>
    <row r="1144" spans="1:10" ht="15" x14ac:dyDescent="0.2">
      <c r="A1144" s="11">
        <f t="shared" si="51"/>
        <v>2088</v>
      </c>
      <c r="B1144" s="10">
        <f t="shared" ca="1" si="53"/>
        <v>63.495816666666663</v>
      </c>
      <c r="C1144" s="10">
        <f t="shared" ca="1" si="53"/>
        <v>58.605416666666663</v>
      </c>
      <c r="D1144" s="10">
        <f t="shared" ca="1" si="53"/>
        <v>58.597608333333341</v>
      </c>
      <c r="E1144" s="10">
        <f t="shared" ca="1" si="53"/>
        <v>63.348658333333333</v>
      </c>
      <c r="F1144" s="10">
        <f t="shared" ca="1" si="53"/>
        <v>63.339558333333322</v>
      </c>
      <c r="G1144" s="10">
        <f t="shared" ca="1" si="53"/>
        <v>58.603841666666661</v>
      </c>
      <c r="H1144" s="10">
        <f t="shared" ca="1" si="53"/>
        <v>58.603841666666661</v>
      </c>
      <c r="I1144" s="10">
        <f t="shared" ca="1" si="53"/>
        <v>58.605416666666663</v>
      </c>
      <c r="J1144" s="10">
        <f t="shared" ca="1" si="53"/>
        <v>572.30874166666672</v>
      </c>
    </row>
    <row r="1145" spans="1:10" ht="15" x14ac:dyDescent="0.2">
      <c r="A1145" s="11">
        <f t="shared" si="51"/>
        <v>2089</v>
      </c>
      <c r="B1145" s="10">
        <f t="shared" ca="1" si="53"/>
        <v>64.526291666666665</v>
      </c>
      <c r="C1145" s="10">
        <f t="shared" ca="1" si="53"/>
        <v>59.55811666666667</v>
      </c>
      <c r="D1145" s="10">
        <f t="shared" ca="1" si="53"/>
        <v>59.550308333333327</v>
      </c>
      <c r="E1145" s="10">
        <f t="shared" ca="1" si="53"/>
        <v>64.379124999999988</v>
      </c>
      <c r="F1145" s="10">
        <f t="shared" ca="1" si="53"/>
        <v>64.370024999999984</v>
      </c>
      <c r="G1145" s="10">
        <f t="shared" ca="1" si="53"/>
        <v>59.556558333333328</v>
      </c>
      <c r="H1145" s="10">
        <f t="shared" ca="1" si="53"/>
        <v>59.556558333333328</v>
      </c>
      <c r="I1145" s="10">
        <f t="shared" ca="1" si="53"/>
        <v>59.55811666666667</v>
      </c>
      <c r="J1145" s="10">
        <f t="shared" ca="1" si="53"/>
        <v>585.25695833333327</v>
      </c>
    </row>
    <row r="1146" spans="1:10" ht="15" x14ac:dyDescent="0.2">
      <c r="A1146" s="11">
        <f t="shared" si="51"/>
        <v>2090</v>
      </c>
      <c r="B1146" s="10">
        <f t="shared" ca="1" si="53"/>
        <v>65.573650000000001</v>
      </c>
      <c r="C1146" s="10">
        <f t="shared" ca="1" si="53"/>
        <v>60.526441666666678</v>
      </c>
      <c r="D1146" s="10">
        <f t="shared" ca="1" si="53"/>
        <v>60.518625000000007</v>
      </c>
      <c r="E1146" s="10">
        <f t="shared" ca="1" si="53"/>
        <v>65.426508333333331</v>
      </c>
      <c r="F1146" s="10">
        <f t="shared" ca="1" si="53"/>
        <v>65.417408333333341</v>
      </c>
      <c r="G1146" s="10">
        <f t="shared" ca="1" si="53"/>
        <v>60.524891666666662</v>
      </c>
      <c r="H1146" s="10">
        <f t="shared" ca="1" si="53"/>
        <v>60.524891666666662</v>
      </c>
      <c r="I1146" s="10">
        <f t="shared" ca="1" si="53"/>
        <v>60.526441666666678</v>
      </c>
      <c r="J1146" s="10">
        <f t="shared" ca="1" si="53"/>
        <v>598.49809166666671</v>
      </c>
    </row>
    <row r="1147" spans="1:10" ht="15" x14ac:dyDescent="0.2">
      <c r="A1147" s="11">
        <f t="shared" si="51"/>
        <v>2091</v>
      </c>
      <c r="B1147" s="10">
        <f t="shared" ca="1" si="53"/>
        <v>66.63820833333331</v>
      </c>
      <c r="C1147" s="10">
        <f t="shared" ca="1" si="53"/>
        <v>61.510641666666679</v>
      </c>
      <c r="D1147" s="10">
        <f t="shared" ca="1" si="53"/>
        <v>61.502825000000009</v>
      </c>
      <c r="E1147" s="10">
        <f t="shared" ca="1" si="53"/>
        <v>66.491041666666661</v>
      </c>
      <c r="F1147" s="10">
        <f t="shared" ca="1" si="53"/>
        <v>66.481941666666671</v>
      </c>
      <c r="G1147" s="10">
        <f t="shared" ca="1" si="53"/>
        <v>61.509091666666656</v>
      </c>
      <c r="H1147" s="10">
        <f t="shared" ca="1" si="53"/>
        <v>61.509091666666656</v>
      </c>
      <c r="I1147" s="10">
        <f t="shared" ca="1" si="53"/>
        <v>61.510641666666679</v>
      </c>
      <c r="J1147" s="10">
        <f t="shared" ca="1" si="53"/>
        <v>612.03880833333346</v>
      </c>
    </row>
    <row r="1148" spans="1:10" ht="15" x14ac:dyDescent="0.2">
      <c r="A1148" s="11">
        <f t="shared" si="51"/>
        <v>2092</v>
      </c>
      <c r="B1148" s="10">
        <f t="shared" ref="B1148:J1156" ca="1" si="54">AVERAGE(OFFSET(B$600,($A1148-$A$1118)*12,0,12,1))</f>
        <v>67.720191666666651</v>
      </c>
      <c r="C1148" s="10">
        <f t="shared" ca="1" si="54"/>
        <v>62.510991666666676</v>
      </c>
      <c r="D1148" s="10">
        <f t="shared" ca="1" si="54"/>
        <v>62.503183333333332</v>
      </c>
      <c r="E1148" s="10">
        <f t="shared" ca="1" si="54"/>
        <v>67.573025000000001</v>
      </c>
      <c r="F1148" s="10">
        <f t="shared" ca="1" si="54"/>
        <v>67.563924999999983</v>
      </c>
      <c r="G1148" s="10">
        <f t="shared" ca="1" si="54"/>
        <v>62.509416666666674</v>
      </c>
      <c r="H1148" s="10">
        <f t="shared" ca="1" si="54"/>
        <v>62.509416666666674</v>
      </c>
      <c r="I1148" s="10">
        <f t="shared" ca="1" si="54"/>
        <v>62.510991666666676</v>
      </c>
      <c r="J1148" s="10">
        <f t="shared" ca="1" si="54"/>
        <v>625.88590000000011</v>
      </c>
    </row>
    <row r="1149" spans="1:10" ht="15" x14ac:dyDescent="0.2">
      <c r="A1149" s="11">
        <f t="shared" si="51"/>
        <v>2093</v>
      </c>
      <c r="B1149" s="10">
        <f t="shared" ca="1" si="54"/>
        <v>68.819916666666686</v>
      </c>
      <c r="C1149" s="10">
        <f t="shared" ca="1" si="54"/>
        <v>63.527716666666663</v>
      </c>
      <c r="D1149" s="10">
        <f t="shared" ca="1" si="54"/>
        <v>63.51991666666666</v>
      </c>
      <c r="E1149" s="10">
        <f t="shared" ca="1" si="54"/>
        <v>68.672775000000016</v>
      </c>
      <c r="F1149" s="10">
        <f t="shared" ca="1" si="54"/>
        <v>68.663675000000012</v>
      </c>
      <c r="G1149" s="10">
        <f t="shared" ca="1" si="54"/>
        <v>63.526166666666661</v>
      </c>
      <c r="H1149" s="10">
        <f t="shared" ca="1" si="54"/>
        <v>63.526166666666661</v>
      </c>
      <c r="I1149" s="10">
        <f t="shared" ca="1" si="54"/>
        <v>63.527716666666663</v>
      </c>
      <c r="J1149" s="10">
        <f t="shared" ca="1" si="54"/>
        <v>640.04623333333348</v>
      </c>
    </row>
    <row r="1150" spans="1:10" ht="15" x14ac:dyDescent="0.2">
      <c r="A1150" s="11">
        <f t="shared" si="51"/>
        <v>2094</v>
      </c>
      <c r="B1150" s="10">
        <f t="shared" ca="1" si="54"/>
        <v>69.93769166666668</v>
      </c>
      <c r="C1150" s="10">
        <f t="shared" ca="1" si="54"/>
        <v>64.561133333333331</v>
      </c>
      <c r="D1150" s="10">
        <f t="shared" ca="1" si="54"/>
        <v>64.553316666666674</v>
      </c>
      <c r="E1150" s="10">
        <f t="shared" ca="1" si="54"/>
        <v>69.790525000000017</v>
      </c>
      <c r="F1150" s="10">
        <f t="shared" ca="1" si="54"/>
        <v>69.781424999999999</v>
      </c>
      <c r="G1150" s="10">
        <f t="shared" ca="1" si="54"/>
        <v>64.559583333333336</v>
      </c>
      <c r="H1150" s="10">
        <f t="shared" ca="1" si="54"/>
        <v>64.559583333333336</v>
      </c>
      <c r="I1150" s="10">
        <f t="shared" ca="1" si="54"/>
        <v>64.561133333333331</v>
      </c>
      <c r="J1150" s="10">
        <f t="shared" ca="1" si="54"/>
        <v>654.52695833333325</v>
      </c>
    </row>
    <row r="1151" spans="1:10" ht="15" x14ac:dyDescent="0.2">
      <c r="A1151" s="11">
        <f t="shared" si="51"/>
        <v>2095</v>
      </c>
      <c r="B1151" s="10">
        <f t="shared" ca="1" si="54"/>
        <v>71.073783333333324</v>
      </c>
      <c r="C1151" s="10">
        <f t="shared" ca="1" si="54"/>
        <v>65.611500000000021</v>
      </c>
      <c r="D1151" s="10">
        <f t="shared" ca="1" si="54"/>
        <v>65.603691666666663</v>
      </c>
      <c r="E1151" s="10">
        <f t="shared" ca="1" si="54"/>
        <v>70.926616666666661</v>
      </c>
      <c r="F1151" s="10">
        <f t="shared" ca="1" si="54"/>
        <v>70.917516666666657</v>
      </c>
      <c r="G1151" s="10">
        <f t="shared" ca="1" si="54"/>
        <v>65.609916666666663</v>
      </c>
      <c r="H1151" s="10">
        <f t="shared" ca="1" si="54"/>
        <v>65.609916666666663</v>
      </c>
      <c r="I1151" s="10">
        <f t="shared" ca="1" si="54"/>
        <v>65.611500000000021</v>
      </c>
      <c r="J1151" s="10">
        <f t="shared" ca="1" si="54"/>
        <v>669.3353083333335</v>
      </c>
    </row>
    <row r="1152" spans="1:10" ht="15" x14ac:dyDescent="0.2">
      <c r="A1152" s="11">
        <f t="shared" si="51"/>
        <v>2096</v>
      </c>
      <c r="B1152" s="10">
        <f t="shared" ca="1" si="54"/>
        <v>72.228500000000011</v>
      </c>
      <c r="C1152" s="10">
        <f t="shared" ca="1" si="54"/>
        <v>66.679066666666685</v>
      </c>
      <c r="D1152" s="10">
        <f t="shared" ca="1" si="54"/>
        <v>66.671250000000001</v>
      </c>
      <c r="E1152" s="10">
        <f t="shared" ca="1" si="54"/>
        <v>72.081333333333333</v>
      </c>
      <c r="F1152" s="10">
        <f t="shared" ca="1" si="54"/>
        <v>72.072233333333344</v>
      </c>
      <c r="G1152" s="10">
        <f t="shared" ca="1" si="54"/>
        <v>66.677508333333336</v>
      </c>
      <c r="H1152" s="10">
        <f t="shared" ca="1" si="54"/>
        <v>66.677508333333336</v>
      </c>
      <c r="I1152" s="10">
        <f t="shared" ca="1" si="54"/>
        <v>66.679066666666685</v>
      </c>
      <c r="J1152" s="10">
        <f t="shared" ca="1" si="54"/>
        <v>684.47868333333327</v>
      </c>
    </row>
    <row r="1153" spans="1:10" ht="15" x14ac:dyDescent="0.2">
      <c r="A1153" s="11">
        <f t="shared" si="51"/>
        <v>2097</v>
      </c>
      <c r="B1153" s="10">
        <f t="shared" ca="1" si="54"/>
        <v>73.402133333333325</v>
      </c>
      <c r="C1153" s="10">
        <f t="shared" ca="1" si="54"/>
        <v>67.76414166666666</v>
      </c>
      <c r="D1153" s="10">
        <f t="shared" ca="1" si="54"/>
        <v>67.75632499999999</v>
      </c>
      <c r="E1153" s="10">
        <f t="shared" ca="1" si="54"/>
        <v>73.254999999999995</v>
      </c>
      <c r="F1153" s="10">
        <f t="shared" ca="1" si="54"/>
        <v>73.245899999999992</v>
      </c>
      <c r="G1153" s="10">
        <f t="shared" ca="1" si="54"/>
        <v>67.762591666666665</v>
      </c>
      <c r="H1153" s="10">
        <f t="shared" ca="1" si="54"/>
        <v>67.762591666666665</v>
      </c>
      <c r="I1153" s="10">
        <f t="shared" ca="1" si="54"/>
        <v>67.76414166666666</v>
      </c>
      <c r="J1153" s="10">
        <f t="shared" ca="1" si="54"/>
        <v>699.96466666666663</v>
      </c>
    </row>
    <row r="1154" spans="1:10" ht="15" x14ac:dyDescent="0.2">
      <c r="A1154" s="11">
        <f t="shared" si="51"/>
        <v>2098</v>
      </c>
      <c r="B1154" s="10">
        <f t="shared" ca="1" si="54"/>
        <v>74.595024999999993</v>
      </c>
      <c r="C1154" s="10">
        <f t="shared" ca="1" si="54"/>
        <v>68.867016666666686</v>
      </c>
      <c r="D1154" s="10">
        <f t="shared" ca="1" si="54"/>
        <v>68.859208333333314</v>
      </c>
      <c r="E1154" s="10">
        <f t="shared" ca="1" si="54"/>
        <v>74.447891666666663</v>
      </c>
      <c r="F1154" s="10">
        <f t="shared" ca="1" si="54"/>
        <v>74.43879166666666</v>
      </c>
      <c r="G1154" s="10">
        <f t="shared" ca="1" si="54"/>
        <v>68.865441666666655</v>
      </c>
      <c r="H1154" s="10">
        <f t="shared" ca="1" si="54"/>
        <v>68.865441666666655</v>
      </c>
      <c r="I1154" s="10">
        <f t="shared" ca="1" si="54"/>
        <v>68.867016666666686</v>
      </c>
      <c r="J1154" s="10">
        <f t="shared" ca="1" si="54"/>
        <v>715.80103333333329</v>
      </c>
    </row>
    <row r="1155" spans="1:10" ht="15" x14ac:dyDescent="0.2">
      <c r="A1155" s="11">
        <f t="shared" si="51"/>
        <v>2099</v>
      </c>
      <c r="B1155" s="10">
        <f t="shared" ca="1" si="54"/>
        <v>75.807483333333323</v>
      </c>
      <c r="C1155" s="10">
        <f t="shared" ca="1" si="54"/>
        <v>69.987958333333339</v>
      </c>
      <c r="D1155" s="10">
        <f t="shared" ca="1" si="54"/>
        <v>69.980141666666668</v>
      </c>
      <c r="E1155" s="10">
        <f t="shared" ca="1" si="54"/>
        <v>75.66031666666666</v>
      </c>
      <c r="F1155" s="10">
        <f t="shared" ca="1" si="54"/>
        <v>75.651216666666656</v>
      </c>
      <c r="G1155" s="10">
        <f t="shared" ca="1" si="54"/>
        <v>69.98640833333333</v>
      </c>
      <c r="H1155" s="10">
        <f t="shared" ca="1" si="54"/>
        <v>69.98640833333333</v>
      </c>
      <c r="I1155" s="10">
        <f t="shared" ca="1" si="54"/>
        <v>69.987958333333339</v>
      </c>
      <c r="J1155" s="10">
        <f t="shared" ca="1" si="54"/>
        <v>731.99564999999996</v>
      </c>
    </row>
    <row r="1156" spans="1:10" ht="15" x14ac:dyDescent="0.2">
      <c r="A1156" s="11">
        <f t="shared" si="51"/>
        <v>2100</v>
      </c>
      <c r="B1156" s="10">
        <f t="shared" ca="1" si="54"/>
        <v>77.039808333333326</v>
      </c>
      <c r="C1156" s="10">
        <f t="shared" ca="1" si="54"/>
        <v>71.127291666666665</v>
      </c>
      <c r="D1156" s="10">
        <f t="shared" ca="1" si="54"/>
        <v>71.119475000000008</v>
      </c>
      <c r="E1156" s="10">
        <f t="shared" ca="1" si="54"/>
        <v>76.892649999999989</v>
      </c>
      <c r="F1156" s="10">
        <f t="shared" ca="1" si="54"/>
        <v>76.883549999999985</v>
      </c>
      <c r="G1156" s="10">
        <f t="shared" ca="1" si="54"/>
        <v>71.125716666666662</v>
      </c>
      <c r="H1156" s="10">
        <f t="shared" ca="1" si="54"/>
        <v>71.125716666666662</v>
      </c>
      <c r="I1156" s="10">
        <f t="shared" ca="1" si="54"/>
        <v>71.127291666666665</v>
      </c>
      <c r="J1156" s="10">
        <f t="shared" ca="1" si="54"/>
        <v>748.55668333333324</v>
      </c>
    </row>
    <row r="1157" spans="1:10" x14ac:dyDescent="0.2">
      <c r="A1157" s="8"/>
    </row>
    <row r="1158" spans="1:10" x14ac:dyDescent="0.2">
      <c r="A1158" s="8"/>
    </row>
    <row r="1159" spans="1:10" x14ac:dyDescent="0.2">
      <c r="A1159" s="8"/>
    </row>
    <row r="1160" spans="1:10" x14ac:dyDescent="0.2">
      <c r="A1160" s="8"/>
    </row>
    <row r="1161" spans="1:10" x14ac:dyDescent="0.2">
      <c r="A1161" s="8"/>
    </row>
    <row r="1162" spans="1:10" x14ac:dyDescent="0.2">
      <c r="A1162" s="8"/>
    </row>
    <row r="1163" spans="1:10" x14ac:dyDescent="0.2">
      <c r="A1163" s="8"/>
    </row>
    <row r="1164" spans="1:10" x14ac:dyDescent="0.2">
      <c r="A1164" s="8"/>
    </row>
    <row r="1165" spans="1:10" x14ac:dyDescent="0.2">
      <c r="A1165" s="8"/>
    </row>
    <row r="1166" spans="1:10" x14ac:dyDescent="0.2">
      <c r="A1166" s="8"/>
    </row>
    <row r="1167" spans="1:10" x14ac:dyDescent="0.2">
      <c r="A1167" s="8"/>
    </row>
    <row r="1168" spans="1:10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9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7</xdr:col>
                    <xdr:colOff>171450</xdr:colOff>
                    <xdr:row>7</xdr:row>
                    <xdr:rowOff>133350</xdr:rowOff>
                  </from>
                  <to>
                    <xdr:col>8</xdr:col>
                    <xdr:colOff>304800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8</xdr:col>
                    <xdr:colOff>438150</xdr:colOff>
                    <xdr:row>7</xdr:row>
                    <xdr:rowOff>133350</xdr:rowOff>
                  </from>
                  <to>
                    <xdr:col>9</xdr:col>
                    <xdr:colOff>571500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C1172"/>
  <sheetViews>
    <sheetView zoomScale="70" zoomScaleNormal="70" workbookViewId="0">
      <pane xSplit="1" ySplit="12" topLeftCell="B13" activePane="bottomRight" state="frozen"/>
      <selection activeCell="A6" sqref="A6"/>
      <selection pane="topRight" activeCell="A6" sqref="A6"/>
      <selection pane="bottomLeft" activeCell="A6" sqref="A6"/>
      <selection pane="bottomRight" activeCell="B13" sqref="B13"/>
    </sheetView>
  </sheetViews>
  <sheetFormatPr defaultColWidth="7.109375" defaultRowHeight="12.75" x14ac:dyDescent="0.2"/>
  <cols>
    <col min="1" max="1" width="18.21875" style="9" customWidth="1"/>
    <col min="2" max="10" width="13" style="9" customWidth="1"/>
    <col min="11" max="11" width="18.6640625" style="9" customWidth="1"/>
    <col min="12" max="12" width="13" style="9" customWidth="1"/>
    <col min="13" max="16" width="20.6640625" style="9" customWidth="1"/>
    <col min="17" max="17" width="15.5546875" style="9" customWidth="1"/>
    <col min="18" max="18" width="16.21875" style="9" customWidth="1"/>
    <col min="19" max="19" width="13" style="8" customWidth="1"/>
    <col min="20" max="25" width="19.77734375" style="8" customWidth="1"/>
    <col min="26" max="26" width="15.5546875" style="8" customWidth="1"/>
    <col min="27" max="27" width="16.88671875" style="8" customWidth="1"/>
    <col min="28" max="29" width="14.77734375" style="8" customWidth="1"/>
    <col min="30" max="30" width="14" style="8" customWidth="1"/>
    <col min="31" max="31" width="10.21875" style="8" customWidth="1"/>
    <col min="32" max="32" width="11.77734375" style="8" customWidth="1"/>
    <col min="33" max="33" width="7.109375" style="8" customWidth="1"/>
    <col min="34" max="34" width="8.77734375" style="8" customWidth="1"/>
    <col min="35" max="35" width="9.21875" style="8" customWidth="1"/>
    <col min="36" max="36" width="11.77734375" style="8" customWidth="1"/>
    <col min="37" max="37" width="7.109375" style="8" customWidth="1"/>
    <col min="38" max="38" width="9.21875" style="8" customWidth="1"/>
    <col min="39" max="39" width="9.33203125" style="8" customWidth="1"/>
    <col min="40" max="40" width="8.21875" style="8" customWidth="1"/>
    <col min="41" max="41" width="9" style="8" customWidth="1"/>
    <col min="42" max="16384" width="7.109375" style="8"/>
  </cols>
  <sheetData>
    <row r="1" spans="1:29" ht="15.75" x14ac:dyDescent="0.25">
      <c r="A1" s="107" t="s">
        <v>91</v>
      </c>
    </row>
    <row r="2" spans="1:29" ht="15.75" x14ac:dyDescent="0.25">
      <c r="A2" s="107" t="s">
        <v>92</v>
      </c>
    </row>
    <row r="3" spans="1:29" ht="15.75" x14ac:dyDescent="0.25">
      <c r="A3" s="107" t="s">
        <v>93</v>
      </c>
    </row>
    <row r="4" spans="1:29" ht="15.75" x14ac:dyDescent="0.25">
      <c r="A4" s="107" t="s">
        <v>94</v>
      </c>
    </row>
    <row r="5" spans="1:29" ht="15.75" x14ac:dyDescent="0.25">
      <c r="A5" s="107" t="s">
        <v>96</v>
      </c>
    </row>
    <row r="6" spans="1:29" ht="15.75" x14ac:dyDescent="0.25">
      <c r="A6" s="107" t="s">
        <v>100</v>
      </c>
    </row>
    <row r="8" spans="1:29" ht="15.75" x14ac:dyDescent="0.25">
      <c r="A8" s="25" t="s">
        <v>28</v>
      </c>
      <c r="M8" s="82"/>
      <c r="N8" s="82"/>
      <c r="O8" s="78"/>
      <c r="P8" s="78"/>
      <c r="T8" s="116" t="s">
        <v>79</v>
      </c>
      <c r="U8" s="116"/>
      <c r="V8" s="116"/>
      <c r="W8" s="116"/>
      <c r="X8" s="116"/>
      <c r="Y8" s="116"/>
    </row>
    <row r="9" spans="1:29" ht="16.5" thickBot="1" x14ac:dyDescent="0.3">
      <c r="A9" s="25"/>
      <c r="B9" s="23" t="s">
        <v>27</v>
      </c>
      <c r="C9" s="81">
        <f>1-0.216</f>
        <v>0.78400000000000003</v>
      </c>
      <c r="D9" s="23"/>
      <c r="E9" s="81">
        <f>1+0.216</f>
        <v>1.216</v>
      </c>
      <c r="F9" s="81"/>
      <c r="G9" s="81"/>
      <c r="H9" s="1"/>
      <c r="I9" s="1"/>
      <c r="J9" s="1"/>
      <c r="K9" s="1"/>
      <c r="L9" s="1"/>
      <c r="M9" s="1"/>
      <c r="N9" s="1"/>
      <c r="O9" s="1"/>
      <c r="P9" s="1"/>
      <c r="T9" s="116" t="s">
        <v>78</v>
      </c>
      <c r="U9" s="116"/>
      <c r="V9" s="116"/>
      <c r="W9" s="116"/>
      <c r="X9" s="116"/>
      <c r="Y9" s="116"/>
      <c r="Z9" s="112"/>
      <c r="AA9" s="112"/>
      <c r="AB9" s="1"/>
    </row>
    <row r="10" spans="1:29" ht="21.75" thickTop="1" thickBot="1" x14ac:dyDescent="0.35">
      <c r="B10" s="80"/>
      <c r="C10" s="79"/>
      <c r="D10" s="80"/>
      <c r="E10" s="79"/>
      <c r="F10" s="79"/>
      <c r="G10" s="79"/>
      <c r="H10" s="1"/>
      <c r="I10" s="1"/>
      <c r="J10" s="1"/>
      <c r="K10" s="1"/>
      <c r="L10" s="1"/>
      <c r="M10" s="1"/>
      <c r="N10" s="1"/>
      <c r="O10" s="1"/>
      <c r="P10" s="1"/>
      <c r="T10" s="117" t="s">
        <v>77</v>
      </c>
      <c r="U10" s="118"/>
      <c r="V10" s="118"/>
      <c r="W10" s="118"/>
      <c r="X10" s="118"/>
      <c r="Y10" s="119"/>
      <c r="Z10" s="78"/>
      <c r="AA10" s="78"/>
      <c r="AB10" s="1"/>
    </row>
    <row r="11" spans="1:29" s="18" customFormat="1" ht="112.5" customHeight="1" thickTop="1" x14ac:dyDescent="0.25">
      <c r="B11" s="73" t="s">
        <v>76</v>
      </c>
      <c r="C11" s="77" t="s">
        <v>75</v>
      </c>
      <c r="D11" s="73" t="s">
        <v>74</v>
      </c>
      <c r="E11" s="73" t="s">
        <v>73</v>
      </c>
      <c r="F11" s="77" t="s">
        <v>72</v>
      </c>
      <c r="G11" s="77" t="s">
        <v>71</v>
      </c>
      <c r="H11" s="77" t="s">
        <v>70</v>
      </c>
      <c r="I11" s="77" t="s">
        <v>69</v>
      </c>
      <c r="J11" s="77" t="s">
        <v>68</v>
      </c>
      <c r="K11" s="74" t="s">
        <v>67</v>
      </c>
      <c r="L11" s="19" t="s">
        <v>66</v>
      </c>
      <c r="M11" s="76" t="s">
        <v>65</v>
      </c>
      <c r="N11" s="76" t="s">
        <v>64</v>
      </c>
      <c r="O11" s="76" t="s">
        <v>63</v>
      </c>
      <c r="P11" s="76" t="s">
        <v>62</v>
      </c>
      <c r="Q11" s="19" t="s">
        <v>61</v>
      </c>
      <c r="R11" s="21" t="s">
        <v>60</v>
      </c>
      <c r="S11" s="19" t="s">
        <v>59</v>
      </c>
      <c r="T11" s="72" t="s">
        <v>58</v>
      </c>
      <c r="U11" s="72" t="s">
        <v>57</v>
      </c>
      <c r="V11" s="72" t="s">
        <v>56</v>
      </c>
      <c r="W11" s="72" t="s">
        <v>55</v>
      </c>
      <c r="X11" s="72" t="s">
        <v>54</v>
      </c>
      <c r="Y11" s="72" t="s">
        <v>53</v>
      </c>
      <c r="Z11" s="21" t="s">
        <v>52</v>
      </c>
      <c r="AA11" s="21" t="s">
        <v>51</v>
      </c>
      <c r="AB11" s="73" t="s">
        <v>50</v>
      </c>
      <c r="AC11" s="75" t="s">
        <v>49</v>
      </c>
    </row>
    <row r="12" spans="1:29" s="18" customFormat="1" ht="15.75" x14ac:dyDescent="0.25">
      <c r="A12" s="20" t="s">
        <v>15</v>
      </c>
      <c r="B12" s="19" t="s">
        <v>14</v>
      </c>
      <c r="C12" s="19" t="s">
        <v>14</v>
      </c>
      <c r="D12" s="19" t="s">
        <v>14</v>
      </c>
      <c r="E12" s="19" t="s">
        <v>14</v>
      </c>
      <c r="F12" s="19" t="s">
        <v>14</v>
      </c>
      <c r="G12" s="19" t="s">
        <v>14</v>
      </c>
      <c r="H12" s="19" t="s">
        <v>14</v>
      </c>
      <c r="I12" s="19" t="s">
        <v>14</v>
      </c>
      <c r="J12" s="19" t="s">
        <v>14</v>
      </c>
      <c r="K12" s="74" t="s">
        <v>14</v>
      </c>
      <c r="L12" s="19" t="s">
        <v>14</v>
      </c>
      <c r="M12" s="19" t="s">
        <v>14</v>
      </c>
      <c r="N12" s="19" t="s">
        <v>14</v>
      </c>
      <c r="O12" s="19" t="s">
        <v>14</v>
      </c>
      <c r="P12" s="19" t="s">
        <v>14</v>
      </c>
      <c r="Q12" s="19" t="s">
        <v>14</v>
      </c>
      <c r="R12" s="19" t="s">
        <v>14</v>
      </c>
      <c r="S12" s="19" t="s">
        <v>14</v>
      </c>
      <c r="T12" s="72" t="s">
        <v>48</v>
      </c>
      <c r="U12" s="72" t="s">
        <v>48</v>
      </c>
      <c r="V12" s="72" t="s">
        <v>48</v>
      </c>
      <c r="W12" s="72" t="s">
        <v>48</v>
      </c>
      <c r="X12" s="72" t="s">
        <v>48</v>
      </c>
      <c r="Y12" s="72" t="s">
        <v>48</v>
      </c>
      <c r="Z12" s="19" t="s">
        <v>14</v>
      </c>
      <c r="AA12" s="19" t="s">
        <v>48</v>
      </c>
      <c r="AB12" s="73" t="s">
        <v>14</v>
      </c>
      <c r="AC12" s="72" t="s">
        <v>14</v>
      </c>
    </row>
    <row r="13" spans="1:29" ht="15.75" x14ac:dyDescent="0.25">
      <c r="A13" s="16">
        <v>41275</v>
      </c>
      <c r="B13" s="69">
        <v>3.4693411405589898</v>
      </c>
      <c r="C13" s="69">
        <v>3.47442538832698</v>
      </c>
      <c r="D13" s="69">
        <v>3.5918799851734899</v>
      </c>
      <c r="E13" s="69">
        <v>3.62563976038513</v>
      </c>
      <c r="F13" s="69">
        <v>3.4827097294503502</v>
      </c>
      <c r="G13" s="69">
        <v>3.4975364689593298</v>
      </c>
      <c r="H13" s="69">
        <v>3.6145177663942398</v>
      </c>
      <c r="I13" s="69">
        <v>3.5091919375943799</v>
      </c>
      <c r="J13" s="69">
        <v>3.4753097294503501</v>
      </c>
      <c r="K13" s="71"/>
      <c r="L13" s="69">
        <v>4.2015177663942396</v>
      </c>
      <c r="M13" s="69">
        <v>3.4510577257516601</v>
      </c>
      <c r="N13" s="69">
        <v>3.46575112309643</v>
      </c>
      <c r="O13" s="69">
        <v>3.5890138150970801</v>
      </c>
      <c r="P13" s="69">
        <v>3.4845926581983502</v>
      </c>
      <c r="Q13" s="69">
        <v>4.1837138150970796</v>
      </c>
      <c r="R13" s="69">
        <v>4.7811730996348203</v>
      </c>
      <c r="S13" s="69">
        <v>3.3547069680724899</v>
      </c>
      <c r="T13" s="70">
        <v>29.034112</v>
      </c>
      <c r="U13" s="70">
        <v>12.063650000000001</v>
      </c>
      <c r="V13" s="70">
        <v>4.9444999999999997</v>
      </c>
      <c r="W13" s="70">
        <v>0.56798199999999999</v>
      </c>
      <c r="X13" s="70">
        <v>0</v>
      </c>
      <c r="Y13" s="70">
        <v>0.39</v>
      </c>
      <c r="Z13" s="69">
        <v>3.49160559679886</v>
      </c>
      <c r="AA13" s="68">
        <v>0.78900000000000003</v>
      </c>
      <c r="AB13" s="67">
        <v>3.5128713827202498</v>
      </c>
      <c r="AC13" s="66">
        <v>3.5263496753376899</v>
      </c>
    </row>
    <row r="14" spans="1:29" ht="15.75" x14ac:dyDescent="0.25">
      <c r="A14" s="16">
        <v>41306</v>
      </c>
      <c r="B14" s="10">
        <v>3.3373871192168498</v>
      </c>
      <c r="C14" s="10">
        <v>3.34247136698484</v>
      </c>
      <c r="D14" s="10">
        <v>3.4274416903447098</v>
      </c>
      <c r="E14" s="10">
        <v>3.4612014655563499</v>
      </c>
      <c r="F14" s="10">
        <v>3.32921003516193</v>
      </c>
      <c r="G14" s="10">
        <v>3.3428860878936399</v>
      </c>
      <c r="H14" s="10">
        <v>3.4500794715654499</v>
      </c>
      <c r="I14" s="10">
        <v>3.3623461586604102</v>
      </c>
      <c r="J14" s="10">
        <v>3.32181003516193</v>
      </c>
      <c r="K14" s="53"/>
      <c r="L14" s="10">
        <v>4.0370794715654501</v>
      </c>
      <c r="M14" s="10">
        <v>3.2989385090408998</v>
      </c>
      <c r="N14" s="10">
        <v>3.3124915681456</v>
      </c>
      <c r="O14" s="10">
        <v>3.42605437258766</v>
      </c>
      <c r="P14" s="10">
        <v>3.3390715772188799</v>
      </c>
      <c r="Q14" s="10">
        <v>4.0207543725876604</v>
      </c>
      <c r="R14" s="10">
        <v>4.6178062585191304</v>
      </c>
      <c r="S14" s="10">
        <v>3.2267511535770201</v>
      </c>
      <c r="T14" s="57">
        <v>26.280478500000001</v>
      </c>
      <c r="U14" s="57">
        <v>10.8962</v>
      </c>
      <c r="V14" s="57">
        <v>4.4660000000000002</v>
      </c>
      <c r="W14" s="57">
        <v>0.51301600000000003</v>
      </c>
      <c r="X14" s="57">
        <v>0</v>
      </c>
      <c r="Y14" s="57">
        <v>0.39</v>
      </c>
      <c r="Z14" s="10">
        <v>3.3376078337533501</v>
      </c>
      <c r="AA14" s="56">
        <v>0.78900000000000003</v>
      </c>
      <c r="AB14" s="50">
        <v>3.3650754313211002</v>
      </c>
      <c r="AC14" s="45">
        <v>3.36964273692133</v>
      </c>
    </row>
    <row r="15" spans="1:29" ht="15.75" x14ac:dyDescent="0.25">
      <c r="A15" s="16">
        <v>41334</v>
      </c>
      <c r="B15" s="10">
        <v>3.5446221553058099</v>
      </c>
      <c r="C15" s="10">
        <v>3.5497064030738099</v>
      </c>
      <c r="D15" s="10">
        <v>3.6259111288261701</v>
      </c>
      <c r="E15" s="10">
        <v>3.6596709040378101</v>
      </c>
      <c r="F15" s="10">
        <v>3.5438843996438298</v>
      </c>
      <c r="G15" s="10">
        <v>3.5577092992119201</v>
      </c>
      <c r="H15" s="10">
        <v>3.6485489100469102</v>
      </c>
      <c r="I15" s="10">
        <v>3.55729372718785</v>
      </c>
      <c r="J15" s="10">
        <v>3.5364843996438302</v>
      </c>
      <c r="K15" s="53"/>
      <c r="L15" s="10">
        <v>4.2355489100469104</v>
      </c>
      <c r="M15" s="10">
        <v>3.5116822302857602</v>
      </c>
      <c r="N15" s="10">
        <v>3.5253827975940699</v>
      </c>
      <c r="O15" s="10">
        <v>3.6227389045196601</v>
      </c>
      <c r="P15" s="10">
        <v>3.5322605208328999</v>
      </c>
      <c r="Q15" s="10">
        <v>4.2174389045196596</v>
      </c>
      <c r="R15" s="10">
        <v>4.8149825017809604</v>
      </c>
      <c r="S15" s="10">
        <v>3.4277069680724899</v>
      </c>
      <c r="T15" s="57">
        <v>29.128712</v>
      </c>
      <c r="U15" s="57">
        <v>12.063650000000001</v>
      </c>
      <c r="V15" s="57">
        <v>4.9444999999999997</v>
      </c>
      <c r="W15" s="57">
        <v>0.71033400000000002</v>
      </c>
      <c r="X15" s="57">
        <v>0</v>
      </c>
      <c r="Y15" s="57">
        <v>0.39</v>
      </c>
      <c r="Z15" s="10">
        <v>3.51872944531473</v>
      </c>
      <c r="AA15" s="56">
        <v>0.78900000000000003</v>
      </c>
      <c r="AB15" s="50">
        <v>3.5712349617297399</v>
      </c>
      <c r="AC15" s="45">
        <v>3.5713699258364802</v>
      </c>
    </row>
    <row r="16" spans="1:29" ht="15.75" x14ac:dyDescent="0.25">
      <c r="A16" s="16">
        <v>41365</v>
      </c>
      <c r="B16" s="10">
        <v>4.1484240687378904</v>
      </c>
      <c r="C16" s="10">
        <v>4.1529056348026501</v>
      </c>
      <c r="D16" s="10">
        <v>4.3764270426620504</v>
      </c>
      <c r="E16" s="10">
        <v>4.4085325011284802</v>
      </c>
      <c r="F16" s="10">
        <v>4.15877359890011</v>
      </c>
      <c r="G16" s="10">
        <v>4.1735123563116101</v>
      </c>
      <c r="H16" s="10">
        <v>4.3983177600115999</v>
      </c>
      <c r="I16" s="10">
        <v>4.1790239832917297</v>
      </c>
      <c r="J16" s="10">
        <v>4.1517735989001103</v>
      </c>
      <c r="K16" s="53"/>
      <c r="L16" s="10">
        <v>4.9853177600115997</v>
      </c>
      <c r="M16" s="10">
        <v>4.0847896384088997</v>
      </c>
      <c r="N16" s="10">
        <v>4.09926329400085</v>
      </c>
      <c r="O16" s="10">
        <v>4.3268992801176704</v>
      </c>
      <c r="P16" s="10">
        <v>4.1113948289032702</v>
      </c>
      <c r="Q16" s="10">
        <v>4.92159928011767</v>
      </c>
      <c r="R16" s="10">
        <v>5.5209032783179701</v>
      </c>
      <c r="S16" s="10">
        <v>3.9769278955951401</v>
      </c>
      <c r="T16" s="57">
        <v>29.897007500000001</v>
      </c>
      <c r="U16" s="57">
        <v>11.6745</v>
      </c>
      <c r="V16" s="57">
        <v>4.7850000000000001</v>
      </c>
      <c r="W16" s="57">
        <v>0.68742000000000003</v>
      </c>
      <c r="X16" s="57">
        <v>0.77903628000000003</v>
      </c>
      <c r="Y16" s="57">
        <v>0.4</v>
      </c>
      <c r="Z16" s="10">
        <v>4.09674472425296</v>
      </c>
      <c r="AA16" s="56">
        <v>0.78900000000000003</v>
      </c>
      <c r="AB16" s="50">
        <v>4.2271001079906796</v>
      </c>
      <c r="AC16" s="45">
        <v>4.1729811830449197</v>
      </c>
    </row>
    <row r="17" spans="1:29" ht="15.75" x14ac:dyDescent="0.25">
      <c r="A17" s="16">
        <v>41395</v>
      </c>
      <c r="B17" s="10">
        <v>4.3329812441523696</v>
      </c>
      <c r="C17" s="10">
        <v>4.3410072762624203</v>
      </c>
      <c r="D17" s="10">
        <v>4.5615906242399502</v>
      </c>
      <c r="E17" s="10">
        <v>4.5930548614354496</v>
      </c>
      <c r="F17" s="10">
        <v>4.3524466929221504</v>
      </c>
      <c r="G17" s="10">
        <v>4.3691468189663398</v>
      </c>
      <c r="H17" s="10">
        <v>4.5816875175305896</v>
      </c>
      <c r="I17" s="10">
        <v>4.36869293934142</v>
      </c>
      <c r="J17" s="10">
        <v>4.3454466929221498</v>
      </c>
      <c r="K17" s="53"/>
      <c r="L17" s="10">
        <v>5.1686875175305902</v>
      </c>
      <c r="M17" s="10">
        <v>4.2749791898098</v>
      </c>
      <c r="N17" s="10">
        <v>4.2913789354570904</v>
      </c>
      <c r="O17" s="10">
        <v>4.5069708181861499</v>
      </c>
      <c r="P17" s="10">
        <v>4.2976358181395602</v>
      </c>
      <c r="Q17" s="10">
        <v>5.1016708181861503</v>
      </c>
      <c r="R17" s="10">
        <v>5.7014249952316103</v>
      </c>
      <c r="S17" s="10">
        <v>4.1529278955951403</v>
      </c>
      <c r="T17" s="59">
        <v>31.3819585</v>
      </c>
      <c r="U17" s="57">
        <v>12.063650000000001</v>
      </c>
      <c r="V17" s="57">
        <v>4.9444999999999997</v>
      </c>
      <c r="W17" s="57">
        <v>0.71033400000000002</v>
      </c>
      <c r="X17" s="57">
        <v>0.80500415599999997</v>
      </c>
      <c r="Y17" s="57">
        <v>0.4</v>
      </c>
      <c r="Z17" s="10">
        <v>4.2804704151434398</v>
      </c>
      <c r="AA17" s="56">
        <v>0.78900000000000003</v>
      </c>
      <c r="AB17" s="50">
        <v>4.4132889274089298</v>
      </c>
      <c r="AC17" s="45">
        <v>4.3595139595638903</v>
      </c>
    </row>
    <row r="18" spans="1:29" ht="15.75" x14ac:dyDescent="0.25">
      <c r="A18" s="16">
        <v>41426</v>
      </c>
      <c r="B18" s="10">
        <v>4.32881848007702</v>
      </c>
      <c r="C18" s="10">
        <v>4.3368445121870796</v>
      </c>
      <c r="D18" s="10">
        <v>4.4403501205455003</v>
      </c>
      <c r="E18" s="10">
        <v>4.4718143577409899</v>
      </c>
      <c r="F18" s="10">
        <v>4.3429599926592797</v>
      </c>
      <c r="G18" s="10">
        <v>4.35962830355016</v>
      </c>
      <c r="H18" s="10">
        <v>4.4604470138361396</v>
      </c>
      <c r="I18" s="10">
        <v>4.3634731878015902</v>
      </c>
      <c r="J18" s="10">
        <v>4.33595999265928</v>
      </c>
      <c r="K18" s="53"/>
      <c r="L18" s="10">
        <v>5.0474470138361403</v>
      </c>
      <c r="M18" s="10">
        <v>4.2548110264488299</v>
      </c>
      <c r="N18" s="10">
        <v>4.2711378153734403</v>
      </c>
      <c r="O18" s="10">
        <v>4.3767473961214503</v>
      </c>
      <c r="P18" s="10">
        <v>4.2815661713651796</v>
      </c>
      <c r="Q18" s="10">
        <v>4.9714473961214498</v>
      </c>
      <c r="R18" s="10">
        <v>5.57087601461176</v>
      </c>
      <c r="S18" s="10">
        <v>4.1489278955951399</v>
      </c>
      <c r="T18" s="59">
        <v>30.856738499999999</v>
      </c>
      <c r="U18" s="57">
        <v>11.6745</v>
      </c>
      <c r="V18" s="57">
        <v>4.7850000000000001</v>
      </c>
      <c r="W18" s="57">
        <v>0.68742000000000003</v>
      </c>
      <c r="X18" s="57">
        <v>0.77903628000000003</v>
      </c>
      <c r="Y18" s="57">
        <v>0.4</v>
      </c>
      <c r="Z18" s="10">
        <v>4.2635819811618703</v>
      </c>
      <c r="AA18" s="56">
        <v>0.78900000000000003</v>
      </c>
      <c r="AB18" s="50">
        <v>4.3736763494942696</v>
      </c>
      <c r="AC18" s="45">
        <v>4.30270998477351</v>
      </c>
    </row>
    <row r="19" spans="1:29" ht="15.75" x14ac:dyDescent="0.25">
      <c r="A19" s="16">
        <v>41456</v>
      </c>
      <c r="B19" s="10">
        <v>3.86987374077012</v>
      </c>
      <c r="C19" s="10">
        <v>3.8778997728801801</v>
      </c>
      <c r="D19" s="10">
        <v>4.0828727555751598</v>
      </c>
      <c r="E19" s="10">
        <v>4.1143369927706503</v>
      </c>
      <c r="F19" s="10">
        <v>3.8837475175894101</v>
      </c>
      <c r="G19" s="10">
        <v>3.9003451281395698</v>
      </c>
      <c r="H19" s="10">
        <v>4.1029696488658001</v>
      </c>
      <c r="I19" s="10">
        <v>3.9057009777587899</v>
      </c>
      <c r="J19" s="10">
        <v>3.8767475175894099</v>
      </c>
      <c r="K19" s="53"/>
      <c r="L19" s="10">
        <v>4.6899696488657998</v>
      </c>
      <c r="M19" s="10">
        <v>3.8050074919996599</v>
      </c>
      <c r="N19" s="10">
        <v>3.8212650291838099</v>
      </c>
      <c r="O19" s="10">
        <v>4.0265944909226699</v>
      </c>
      <c r="P19" s="10">
        <v>3.83320216318522</v>
      </c>
      <c r="Q19" s="10">
        <v>4.6212944909226703</v>
      </c>
      <c r="R19" s="10">
        <v>5.2198477271499799</v>
      </c>
      <c r="S19" s="10">
        <v>3.70792789559514</v>
      </c>
      <c r="T19" s="59">
        <v>31.8711175</v>
      </c>
      <c r="U19" s="57">
        <v>12.063650000000001</v>
      </c>
      <c r="V19" s="57">
        <v>4.9444999999999997</v>
      </c>
      <c r="W19" s="57">
        <v>0.71033400000000002</v>
      </c>
      <c r="X19" s="57">
        <v>0.80500415599999997</v>
      </c>
      <c r="Y19" s="57">
        <v>0.4</v>
      </c>
      <c r="Z19" s="10">
        <v>3.82345915618746</v>
      </c>
      <c r="AA19" s="56">
        <v>0.78900000000000003</v>
      </c>
      <c r="AB19" s="50">
        <v>3.9441061076992199</v>
      </c>
      <c r="AC19" s="45">
        <v>3.8867964363558598</v>
      </c>
    </row>
    <row r="20" spans="1:29" ht="15.75" x14ac:dyDescent="0.25">
      <c r="A20" s="16">
        <v>41487</v>
      </c>
      <c r="B20" s="10">
        <v>3.61219621921822</v>
      </c>
      <c r="C20" s="10">
        <v>3.62022225132828</v>
      </c>
      <c r="D20" s="10">
        <v>3.8642211472296299</v>
      </c>
      <c r="E20" s="10">
        <v>3.89568538442512</v>
      </c>
      <c r="F20" s="10">
        <v>3.5994463096042302</v>
      </c>
      <c r="G20" s="10">
        <v>3.6149235738804899</v>
      </c>
      <c r="H20" s="10">
        <v>3.88431804052026</v>
      </c>
      <c r="I20" s="10">
        <v>3.6247715170016899</v>
      </c>
      <c r="J20" s="10">
        <v>3.5924463096042301</v>
      </c>
      <c r="K20" s="53"/>
      <c r="L20" s="10">
        <v>4.4713180405202602</v>
      </c>
      <c r="M20" s="10">
        <v>3.5265314157988898</v>
      </c>
      <c r="N20" s="10">
        <v>3.5416915618162701</v>
      </c>
      <c r="O20" s="10">
        <v>3.8124229002404899</v>
      </c>
      <c r="P20" s="10">
        <v>3.5580464060694501</v>
      </c>
      <c r="Q20" s="10">
        <v>4.4071229002404904</v>
      </c>
      <c r="R20" s="10">
        <v>5.0051407074910896</v>
      </c>
      <c r="S20" s="10">
        <v>3.4603255651359199</v>
      </c>
      <c r="T20" s="59">
        <v>31.898197499999998</v>
      </c>
      <c r="U20" s="57">
        <v>12.063650000000001</v>
      </c>
      <c r="V20" s="57">
        <v>4.9444999999999997</v>
      </c>
      <c r="W20" s="57">
        <v>0.71033400000000002</v>
      </c>
      <c r="X20" s="57">
        <v>0.80500415599999997</v>
      </c>
      <c r="Y20" s="57">
        <v>0.4</v>
      </c>
      <c r="Z20" s="10">
        <v>3.56235134609613</v>
      </c>
      <c r="AA20" s="56">
        <v>0.78900000000000003</v>
      </c>
      <c r="AB20" s="50">
        <v>3.68846444556352</v>
      </c>
      <c r="AC20" s="45">
        <v>3.6303518696016499</v>
      </c>
    </row>
    <row r="21" spans="1:29" ht="15.75" x14ac:dyDescent="0.25">
      <c r="A21" s="16">
        <v>41518</v>
      </c>
      <c r="B21" s="10">
        <v>3.7240390477598302</v>
      </c>
      <c r="C21" s="10">
        <v>3.73206507986988</v>
      </c>
      <c r="D21" s="10">
        <v>3.84337587086958</v>
      </c>
      <c r="E21" s="10">
        <v>3.8748401080650701</v>
      </c>
      <c r="F21" s="10">
        <v>3.6972945687336201</v>
      </c>
      <c r="G21" s="10">
        <v>3.71166810468806</v>
      </c>
      <c r="H21" s="10">
        <v>3.8634727641602198</v>
      </c>
      <c r="I21" s="10">
        <v>3.7040801859082899</v>
      </c>
      <c r="J21" s="10">
        <v>3.6902945687336199</v>
      </c>
      <c r="K21" s="53"/>
      <c r="L21" s="10">
        <v>4.45047276416022</v>
      </c>
      <c r="M21" s="10">
        <v>3.6223748329216501</v>
      </c>
      <c r="N21" s="10">
        <v>3.6364538652341998</v>
      </c>
      <c r="O21" s="10">
        <v>3.79200472893125</v>
      </c>
      <c r="P21" s="10">
        <v>3.6357251115353302</v>
      </c>
      <c r="Q21" s="10">
        <v>4.3867047289312504</v>
      </c>
      <c r="R21" s="10">
        <v>4.9846714907535699</v>
      </c>
      <c r="S21" s="10">
        <v>3.5677953390815502</v>
      </c>
      <c r="T21" s="59">
        <v>30.851674500000001</v>
      </c>
      <c r="U21" s="57">
        <v>11.6745</v>
      </c>
      <c r="V21" s="57">
        <v>4.7850000000000001</v>
      </c>
      <c r="W21" s="57">
        <v>0.68742000000000003</v>
      </c>
      <c r="X21" s="57">
        <v>0.77903628000000003</v>
      </c>
      <c r="Y21" s="57">
        <v>0.4</v>
      </c>
      <c r="Z21" s="10">
        <v>3.6431801832973898</v>
      </c>
      <c r="AA21" s="65">
        <v>0.84254499999999999</v>
      </c>
      <c r="AB21" s="50">
        <v>3.7554789789046401</v>
      </c>
      <c r="AC21" s="45">
        <v>3.6840835196858599</v>
      </c>
    </row>
    <row r="22" spans="1:29" ht="15.75" x14ac:dyDescent="0.25">
      <c r="A22" s="16">
        <v>41548</v>
      </c>
      <c r="B22" s="10">
        <v>3.6504702559508502</v>
      </c>
      <c r="C22" s="10">
        <v>3.6557916209136501</v>
      </c>
      <c r="D22" s="10">
        <v>3.7564616435515501</v>
      </c>
      <c r="E22" s="10">
        <v>3.7855856654759599</v>
      </c>
      <c r="F22" s="10">
        <v>3.6448891932193002</v>
      </c>
      <c r="G22" s="10">
        <v>3.6601434125871299</v>
      </c>
      <c r="H22" s="10">
        <v>3.7760547185779498</v>
      </c>
      <c r="I22" s="10">
        <v>3.63831131650648</v>
      </c>
      <c r="J22" s="10">
        <v>3.6378891932193</v>
      </c>
      <c r="K22" s="53"/>
      <c r="L22" s="10">
        <v>4.36305471857795</v>
      </c>
      <c r="M22" s="10">
        <v>3.57104320669157</v>
      </c>
      <c r="N22" s="10">
        <v>3.5859848778338201</v>
      </c>
      <c r="O22" s="10">
        <v>3.7063778176162598</v>
      </c>
      <c r="P22" s="10">
        <v>3.5713079336212199</v>
      </c>
      <c r="Q22" s="10">
        <v>4.3010778176162603</v>
      </c>
      <c r="R22" s="10">
        <v>4.8988305121603002</v>
      </c>
      <c r="S22" s="10">
        <v>3.4987953390815498</v>
      </c>
      <c r="T22" s="57">
        <v>31.278276000000002</v>
      </c>
      <c r="U22" s="57">
        <v>12.063650000000001</v>
      </c>
      <c r="V22" s="57">
        <v>4.9444999999999997</v>
      </c>
      <c r="W22" s="57">
        <v>0.71033400000000002</v>
      </c>
      <c r="X22" s="57">
        <v>0.80500415599999997</v>
      </c>
      <c r="Y22" s="57">
        <v>0.4</v>
      </c>
      <c r="Z22" s="10">
        <v>3.5786970717313702</v>
      </c>
      <c r="AA22" s="65">
        <v>0.84254499999999999</v>
      </c>
      <c r="AB22" s="50">
        <v>3.6855879247874999</v>
      </c>
      <c r="AC22" s="45">
        <v>3.61942177762299</v>
      </c>
    </row>
    <row r="23" spans="1:29" ht="15.75" x14ac:dyDescent="0.25">
      <c r="A23" s="16">
        <v>41579</v>
      </c>
      <c r="B23" s="10">
        <v>3.60305848656804</v>
      </c>
      <c r="C23" s="10">
        <v>3.6080129612873502</v>
      </c>
      <c r="D23" s="10">
        <v>3.6633651967961001</v>
      </c>
      <c r="E23" s="10">
        <v>3.6971424008157201</v>
      </c>
      <c r="F23" s="10">
        <v>3.6029647837068599</v>
      </c>
      <c r="G23" s="10">
        <v>3.6179503450873498</v>
      </c>
      <c r="H23" s="10">
        <v>3.68633860475909</v>
      </c>
      <c r="I23" s="10">
        <v>3.6166007600469099</v>
      </c>
      <c r="J23" s="10">
        <v>3.5959647837068598</v>
      </c>
      <c r="K23" s="53"/>
      <c r="L23" s="10">
        <v>4.2733386047590898</v>
      </c>
      <c r="M23" s="10">
        <v>3.5735025702933001</v>
      </c>
      <c r="N23" s="10">
        <v>3.5883369012378399</v>
      </c>
      <c r="O23" s="10">
        <v>3.6629643619587702</v>
      </c>
      <c r="P23" s="10">
        <v>3.5939695505418499</v>
      </c>
      <c r="Q23" s="10">
        <v>4.2582643619587701</v>
      </c>
      <c r="R23" s="10">
        <v>4.8559100228636698</v>
      </c>
      <c r="S23" s="10">
        <v>3.49679533908155</v>
      </c>
      <c r="T23" s="57">
        <v>28.4156005</v>
      </c>
      <c r="U23" s="57">
        <v>11.6745</v>
      </c>
      <c r="V23" s="57">
        <v>4.7850000000000001</v>
      </c>
      <c r="W23" s="57">
        <v>0.68742000000000003</v>
      </c>
      <c r="X23" s="57">
        <v>0</v>
      </c>
      <c r="Y23" s="57">
        <v>0.4</v>
      </c>
      <c r="Z23" s="10">
        <v>3.5960972764396599</v>
      </c>
      <c r="AA23" s="64">
        <v>1.0435350000000001</v>
      </c>
      <c r="AB23" s="50">
        <v>3.6247295102350598</v>
      </c>
      <c r="AC23" s="45">
        <v>3.6221437703884001</v>
      </c>
    </row>
    <row r="24" spans="1:29" ht="15.75" x14ac:dyDescent="0.25">
      <c r="A24" s="16">
        <v>41609</v>
      </c>
      <c r="B24" s="10">
        <f>CHOOSE(CONTROL!$C$42, 3.5505, 3.5505) * CHOOSE(CONTROL!$C$21, $C$9, 100%, $E$9)</f>
        <v>3.5505</v>
      </c>
      <c r="C24" s="10">
        <f>CHOOSE(CONTROL!$C$42, 3.5555, 3.5555) * CHOOSE(CONTROL!$C$21, $C$9, 100%, $E$9)</f>
        <v>3.5554999999999999</v>
      </c>
      <c r="D24" s="10">
        <f>CHOOSE(CONTROL!$C$42, 3.6057, 3.6057) * CHOOSE(CONTROL!$C$21, $C$9, 100%, $E$9)</f>
        <v>3.6057000000000001</v>
      </c>
      <c r="E24" s="10">
        <f>CHOOSE(CONTROL!$C$42, 3.6395, 3.6395) * CHOOSE(CONTROL!$C$21, $C$9, 100%, $E$9)</f>
        <v>3.6395</v>
      </c>
      <c r="F24" s="10">
        <f>CHOOSE(CONTROL!$C$42, 3.5438, 3.5438)*CHOOSE(CONTROL!$C$21, $C$9, 100%, $E$9)</f>
        <v>3.5438000000000001</v>
      </c>
      <c r="G24" s="10">
        <f>CHOOSE(CONTROL!$C$42, 3.5582, 3.5582)*CHOOSE(CONTROL!$C$21, $C$9, 100%, $E$9)</f>
        <v>3.5581999999999998</v>
      </c>
      <c r="H24" s="10">
        <f>CHOOSE(CONTROL!$C$42, 3.6287, 3.6287) * CHOOSE(CONTROL!$C$21, $C$9, 100%, $E$9)</f>
        <v>3.6286999999999998</v>
      </c>
      <c r="I24" s="10">
        <f>CHOOSE(CONTROL!$C$42, 3.5538, 3.5538)* CHOOSE(CONTROL!$C$21, $C$9, 100%, $E$9)</f>
        <v>3.5537999999999998</v>
      </c>
      <c r="J24" s="10">
        <f>CHOOSE(CONTROL!$C$42, 3.5368, 3.5368)* CHOOSE(CONTROL!$C$21, $C$9, 100%, $E$9)</f>
        <v>3.5367999999999999</v>
      </c>
      <c r="K24" s="53"/>
      <c r="L24" s="10">
        <f>CHOOSE(CONTROL!$C$42, 4.2157, 4.2157) * CHOOSE(CONTROL!$C$21, $C$9, 100%, $E$9)</f>
        <v>4.2157</v>
      </c>
      <c r="M24" s="10">
        <f>CHOOSE(CONTROL!$C$42, 3.515, 3.515) * CHOOSE(CONTROL!$C$21, $C$9, 100%, $E$9)</f>
        <v>3.5150000000000001</v>
      </c>
      <c r="N24" s="10">
        <f>CHOOSE(CONTROL!$C$42, 3.5292, 3.5292) * CHOOSE(CONTROL!$C$21, $C$9, 100%, $E$9)</f>
        <v>3.5291999999999999</v>
      </c>
      <c r="O24" s="10">
        <f>CHOOSE(CONTROL!$C$42, 3.6059, 3.6059) * CHOOSE(CONTROL!$C$21, $C$9, 100%, $E$9)</f>
        <v>3.6059000000000001</v>
      </c>
      <c r="P24" s="10">
        <f>CHOOSE(CONTROL!$C$42, 3.5318, 3.5318) * CHOOSE(CONTROL!$C$21, $C$9, 100%, $E$9)</f>
        <v>3.5318000000000001</v>
      </c>
      <c r="Q24" s="10">
        <f>CHOOSE(CONTROL!$C$42, 4.2012, 4.2012) * CHOOSE(CONTROL!$C$21, $C$9, 100%, $E$9)</f>
        <v>4.2012</v>
      </c>
      <c r="R24" s="10">
        <f>CHOOSE(CONTROL!$C$42, 4.7987, 4.7987) * CHOOSE(CONTROL!$C$21, $C$9, 100%, $E$9)</f>
        <v>4.7987000000000002</v>
      </c>
      <c r="S24" s="10">
        <f>CHOOSE(CONTROL!$C$42, 3.4458, 3.4458) * CHOOSE(CONTROL!$C$21, $C$9, 100%, $E$9)</f>
        <v>3.4458000000000002</v>
      </c>
      <c r="T24" s="57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4" s="57">
        <f>(1000*CHOOSE(CONTROL!$C$42, 695, 695)*CHOOSE(CONTROL!$C$42, 0.5599, 0.5599)*CHOOSE(CONTROL!$C$42, 31, 31))/1000000</f>
        <v>12.063045499999998</v>
      </c>
      <c r="V24" s="57">
        <f>(1000*CHOOSE(CONTROL!$C$42, 580, 580)*CHOOSE(CONTROL!$C$42, 0.275, 0.275)*CHOOSE(CONTROL!$C$42, 31, 31))/1000000</f>
        <v>4.9444999999999997</v>
      </c>
      <c r="W24" s="57">
        <f>(1000*CHOOSE(CONTROL!$C$42, 0.1146, 0.1146)*CHOOSE(CONTROL!$C$42, 200, 200)*CHOOSE(CONTROL!$C$42, 31, 31))/1000000</f>
        <v>0.71052000000000004</v>
      </c>
      <c r="X24" s="57">
        <v>0</v>
      </c>
      <c r="Y24" s="57">
        <f>(0.16*2500000)/1000000</f>
        <v>0.4</v>
      </c>
      <c r="Z24" s="10">
        <f>CHOOSE(CONTROL!$C$42, 3.5388, 3.5388) * CHOOSE(CONTROL!$C$21, $C$9, 100%, $E$9)</f>
        <v>3.5388000000000002</v>
      </c>
      <c r="AA24" s="64">
        <f>(31*((7.89*31500+7.95*100000)/31))/1000000</f>
        <v>1.0435350000000001</v>
      </c>
      <c r="AB24" s="50">
        <f>(B24*122.58+C24*297.941+D24*89.177+E24*200.302+F24*40+G24*0+H24*0+I24*100+J24*300)/(122.58+297.941+89.177+200.302+0+40+0+100+300)</f>
        <v>3.5680575246956523</v>
      </c>
      <c r="AC24" s="45">
        <f>(M24*240+N24*0+O24*355+P24*100)/(240+0+355+100)</f>
        <v>3.5638482014388488</v>
      </c>
    </row>
    <row r="25" spans="1:29" ht="15" x14ac:dyDescent="0.2">
      <c r="A25" s="16">
        <v>41640</v>
      </c>
      <c r="B25" s="10">
        <f>CHOOSE(CONTROL!$C$42, 3.6319, 3.6319) * CHOOSE(CONTROL!$C$21, $C$9, 100%, $E$9)</f>
        <v>3.6318999999999999</v>
      </c>
      <c r="C25" s="10">
        <f>CHOOSE(CONTROL!$C$42, 3.6368, 3.6368) * CHOOSE(CONTROL!$C$21, $C$9, 100%, $E$9)</f>
        <v>3.6368</v>
      </c>
      <c r="D25" s="10">
        <f>CHOOSE(CONTROL!$C$42, 3.6939, 3.6939) * CHOOSE(CONTROL!$C$21, $C$9, 100%, $E$9)</f>
        <v>3.6939000000000002</v>
      </c>
      <c r="E25" s="10">
        <f>CHOOSE(CONTROL!$C$42, 3.7277, 3.7277) * CHOOSE(CONTROL!$C$21, $C$9, 100%, $E$9)</f>
        <v>3.7277</v>
      </c>
      <c r="F25" s="10">
        <f>CHOOSE(CONTROL!$C$42, 3.6297, 3.6297)*CHOOSE(CONTROL!$C$21, $C$9, 100%, $E$9)</f>
        <v>3.6297000000000001</v>
      </c>
      <c r="G25" s="10">
        <f>CHOOSE(CONTROL!$C$42, 3.6443, 3.6443)*CHOOSE(CONTROL!$C$21, $C$9, 100%, $E$9)</f>
        <v>3.6442999999999999</v>
      </c>
      <c r="H25" s="10">
        <f>CHOOSE(CONTROL!$C$42, 3.7169, 3.7169) * CHOOSE(CONTROL!$C$21, $C$9, 100%, $E$9)</f>
        <v>3.7168999999999999</v>
      </c>
      <c r="I25" s="10">
        <f>CHOOSE(CONTROL!$C$42, 3.6427, 3.6427)* CHOOSE(CONTROL!$C$21, $C$9, 100%, $E$9)</f>
        <v>3.6427</v>
      </c>
      <c r="J25" s="10">
        <f>CHOOSE(CONTROL!$C$42, 3.6227, 3.6227)* CHOOSE(CONTROL!$C$21, $C$9, 100%, $E$9)</f>
        <v>3.6227</v>
      </c>
      <c r="K25" s="62"/>
      <c r="L25" s="10">
        <f>CHOOSE(CONTROL!$C$42, 4.3039, 4.3039) * CHOOSE(CONTROL!$C$21, $C$9, 100%, $E$9)</f>
        <v>4.3038999999999996</v>
      </c>
      <c r="M25" s="10">
        <f>CHOOSE(CONTROL!$C$42, 3.6, 3.6) * CHOOSE(CONTROL!$C$21, $C$9, 100%, $E$9)</f>
        <v>3.6</v>
      </c>
      <c r="N25" s="10">
        <f>CHOOSE(CONTROL!$C$42, 3.6144, 3.6144) * CHOOSE(CONTROL!$C$21, $C$9, 100%, $E$9)</f>
        <v>3.6143999999999998</v>
      </c>
      <c r="O25" s="10">
        <f>CHOOSE(CONTROL!$C$42, 3.6932, 3.6932) * CHOOSE(CONTROL!$C$21, $C$9, 100%, $E$9)</f>
        <v>3.6932</v>
      </c>
      <c r="P25" s="10">
        <f>CHOOSE(CONTROL!$C$42, 3.6198, 3.6198) * CHOOSE(CONTROL!$C$21, $C$9, 100%, $E$9)</f>
        <v>3.6198000000000001</v>
      </c>
      <c r="Q25" s="10">
        <f>CHOOSE(CONTROL!$C$42, 4.2885, 4.2885) * CHOOSE(CONTROL!$C$21, $C$9, 100%, $E$9)</f>
        <v>4.2885</v>
      </c>
      <c r="R25" s="10">
        <f>CHOOSE(CONTROL!$C$42, 4.8862, 4.8862) * CHOOSE(CONTROL!$C$21, $C$9, 100%, $E$9)</f>
        <v>4.8861999999999997</v>
      </c>
      <c r="S25" s="10">
        <f>CHOOSE(CONTROL!$C$42, 3.5248, 3.5248) * CHOOSE(CONTROL!$C$21, $C$9, 100%, $E$9)</f>
        <v>3.5247999999999999</v>
      </c>
      <c r="T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57">
        <f>(1000*CHOOSE(CONTROL!$C$42, 695, 695)*CHOOSE(CONTROL!$C$42, 0.5599, 0.5599)*CHOOSE(CONTROL!$C$42, 31, 31))/1000000</f>
        <v>12.063045499999998</v>
      </c>
      <c r="V25" s="57">
        <f>(1000*CHOOSE(CONTROL!$C$42, 580, 580)*CHOOSE(CONTROL!$C$42, 0.275, 0.275)*CHOOSE(CONTROL!$C$42, 31, 31))/1000000</f>
        <v>4.9444999999999997</v>
      </c>
      <c r="W25" s="57">
        <f>(1000*CHOOSE(CONTROL!$C$42, 0.1146, 0.1146)*CHOOSE(CONTROL!$C$42, 200, 200)*CHOOSE(CONTROL!$C$42, 31, 31))/1000000</f>
        <v>0.71052000000000004</v>
      </c>
      <c r="X25" s="57">
        <v>0</v>
      </c>
      <c r="Y25" s="57">
        <f>(0.16*2500000)/1000000</f>
        <v>0.4</v>
      </c>
      <c r="Z25" s="10">
        <f>CHOOSE(CONTROL!$C$42, 3.6222, 3.6222) * CHOOSE(CONTROL!$C$21, $C$9, 100%, $E$9)</f>
        <v>3.6221999999999999</v>
      </c>
      <c r="AA25" s="64">
        <f>(31*((7.89*31500+7.95*100000)/31))/1000000</f>
        <v>1.0435350000000001</v>
      </c>
      <c r="AB25" s="50">
        <f>(B25*122.58+C25*297.941+D25*89.177+E25*200.302+F25*40+G25*0+H25*0+I25*100+J25*300)/(122.58+297.941+89.177+200.302+0+40+0+100+300)</f>
        <v>3.6531259273913044</v>
      </c>
      <c r="AC25" s="45">
        <f>(M25*240+N25*0+O25*355+P25*100)/(240+0+355+100)</f>
        <v>3.6504546762589931</v>
      </c>
    </row>
    <row r="26" spans="1:29" ht="15" x14ac:dyDescent="0.2">
      <c r="A26" s="16">
        <v>41671</v>
      </c>
      <c r="B26" s="10">
        <f>CHOOSE(CONTROL!$C$42, 3.6412, 3.6412) * CHOOSE(CONTROL!$C$21, $C$9, 100%, $E$9)</f>
        <v>3.6412</v>
      </c>
      <c r="C26" s="10">
        <f>CHOOSE(CONTROL!$C$42, 3.6461, 3.6461) * CHOOSE(CONTROL!$C$21, $C$9, 100%, $E$9)</f>
        <v>3.6461000000000001</v>
      </c>
      <c r="D26" s="10">
        <f>CHOOSE(CONTROL!$C$42, 3.7032, 3.7032) * CHOOSE(CONTROL!$C$21, $C$9, 100%, $E$9)</f>
        <v>3.7031999999999998</v>
      </c>
      <c r="E26" s="10">
        <f>CHOOSE(CONTROL!$C$42, 3.737, 3.737) * CHOOSE(CONTROL!$C$21, $C$9, 100%, $E$9)</f>
        <v>3.7370000000000001</v>
      </c>
      <c r="F26" s="10">
        <f>CHOOSE(CONTROL!$C$42, 3.6391, 3.6391)*CHOOSE(CONTROL!$C$21, $C$9, 100%, $E$9)</f>
        <v>3.6391</v>
      </c>
      <c r="G26" s="10">
        <f>CHOOSE(CONTROL!$C$42, 3.6537, 3.6537)*CHOOSE(CONTROL!$C$21, $C$9, 100%, $E$9)</f>
        <v>3.6537000000000002</v>
      </c>
      <c r="H26" s="10">
        <f>CHOOSE(CONTROL!$C$42, 3.7262, 3.7262) * CHOOSE(CONTROL!$C$21, $C$9, 100%, $E$9)</f>
        <v>3.7262</v>
      </c>
      <c r="I26" s="10">
        <f>CHOOSE(CONTROL!$C$42, 3.652, 3.652)* CHOOSE(CONTROL!$C$21, $C$9, 100%, $E$9)</f>
        <v>3.6520000000000001</v>
      </c>
      <c r="J26" s="10">
        <f>CHOOSE(CONTROL!$C$42, 3.6321, 3.6321)* CHOOSE(CONTROL!$C$21, $C$9, 100%, $E$9)</f>
        <v>3.6320999999999999</v>
      </c>
      <c r="K26" s="62"/>
      <c r="L26" s="10">
        <f>CHOOSE(CONTROL!$C$42, 4.3132, 4.3132) * CHOOSE(CONTROL!$C$21, $C$9, 100%, $E$9)</f>
        <v>4.3132000000000001</v>
      </c>
      <c r="M26" s="10">
        <f>CHOOSE(CONTROL!$C$42, 3.6093, 3.6093) * CHOOSE(CONTROL!$C$21, $C$9, 100%, $E$9)</f>
        <v>3.6093000000000002</v>
      </c>
      <c r="N26" s="10">
        <f>CHOOSE(CONTROL!$C$42, 3.6238, 3.6238) * CHOOSE(CONTROL!$C$21, $C$9, 100%, $E$9)</f>
        <v>3.6238000000000001</v>
      </c>
      <c r="O26" s="10">
        <f>CHOOSE(CONTROL!$C$42, 3.7024, 3.7024) * CHOOSE(CONTROL!$C$21, $C$9, 100%, $E$9)</f>
        <v>3.7023999999999999</v>
      </c>
      <c r="P26" s="10">
        <f>CHOOSE(CONTROL!$C$42, 3.629, 3.629) * CHOOSE(CONTROL!$C$21, $C$9, 100%, $E$9)</f>
        <v>3.629</v>
      </c>
      <c r="Q26" s="10">
        <f>CHOOSE(CONTROL!$C$42, 4.2977, 4.2977) * CHOOSE(CONTROL!$C$21, $C$9, 100%, $E$9)</f>
        <v>4.2976999999999999</v>
      </c>
      <c r="R26" s="10">
        <f>CHOOSE(CONTROL!$C$42, 4.8954, 4.8954) * CHOOSE(CONTROL!$C$21, $C$9, 100%, $E$9)</f>
        <v>4.8954000000000004</v>
      </c>
      <c r="S26" s="10">
        <f>CHOOSE(CONTROL!$C$42, 3.5338, 3.5338) * CHOOSE(CONTROL!$C$21, $C$9, 100%, $E$9)</f>
        <v>3.5337999999999998</v>
      </c>
      <c r="T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57">
        <f>(1000*CHOOSE(CONTROL!$C$42, 695, 695)*CHOOSE(CONTROL!$C$42, 0.5599, 0.5599)*CHOOSE(CONTROL!$C$42, 28, 28))/1000000</f>
        <v>10.895653999999999</v>
      </c>
      <c r="V26" s="57">
        <f>(1000*CHOOSE(CONTROL!$C$42, 580, 580)*CHOOSE(CONTROL!$C$42, 0.275, 0.275)*CHOOSE(CONTROL!$C$42, 28, 28))/1000000</f>
        <v>4.4660000000000002</v>
      </c>
      <c r="W26" s="57">
        <f>(1000*CHOOSE(CONTROL!$C$42, 0.1146, 0.1146)*CHOOSE(CONTROL!$C$42, 200, 200)*CHOOSE(CONTROL!$C$42, 28, 28))/1000000</f>
        <v>0.64176</v>
      </c>
      <c r="X26" s="57">
        <v>0</v>
      </c>
      <c r="Y26" s="57">
        <f>(0.16*2500000)/1000000</f>
        <v>0.4</v>
      </c>
      <c r="Z26" s="10">
        <f>CHOOSE(CONTROL!$C$42, 3.6327, 3.6327) * CHOOSE(CONTROL!$C$21, $C$9, 100%, $E$9)</f>
        <v>3.6326999999999998</v>
      </c>
      <c r="AA26" s="64">
        <f>(28*((7.89*31500+7.95*100000)/28))/1000000</f>
        <v>1.0435350000000001</v>
      </c>
      <c r="AB26" s="50">
        <f>(B26*122.58+C26*297.941+D26*89.177+E26*200.302+F26*40+G26*0+H26*0+I26*100+J26*300)/(122.58+297.941+89.177+200.302+0+40+0+100+300)</f>
        <v>3.6624554926086952</v>
      </c>
      <c r="AC26" s="45">
        <f>(M26*240+N26*0+O26*355+P26*100)/(240+0+355+100)</f>
        <v>3.6596892086330932</v>
      </c>
    </row>
    <row r="27" spans="1:29" ht="15" x14ac:dyDescent="0.2">
      <c r="A27" s="16">
        <v>41699</v>
      </c>
      <c r="B27" s="10">
        <f>CHOOSE(CONTROL!$C$42, 3.6309, 3.6309) * CHOOSE(CONTROL!$C$21, $C$9, 100%, $E$9)</f>
        <v>3.6309</v>
      </c>
      <c r="C27" s="10">
        <f>CHOOSE(CONTROL!$C$42, 3.6358, 3.6358) * CHOOSE(CONTROL!$C$21, $C$9, 100%, $E$9)</f>
        <v>3.6358000000000001</v>
      </c>
      <c r="D27" s="10">
        <f>CHOOSE(CONTROL!$C$42, 3.6929, 3.6929) * CHOOSE(CONTROL!$C$21, $C$9, 100%, $E$9)</f>
        <v>3.6928999999999998</v>
      </c>
      <c r="E27" s="10">
        <f>CHOOSE(CONTROL!$C$42, 3.7267, 3.7267) * CHOOSE(CONTROL!$C$21, $C$9, 100%, $E$9)</f>
        <v>3.7267000000000001</v>
      </c>
      <c r="F27" s="10">
        <f>CHOOSE(CONTROL!$C$42, 3.6287, 3.6287)*CHOOSE(CONTROL!$C$21, $C$9, 100%, $E$9)</f>
        <v>3.6286999999999998</v>
      </c>
      <c r="G27" s="10">
        <f>CHOOSE(CONTROL!$C$42, 3.6433, 3.6433)*CHOOSE(CONTROL!$C$21, $C$9, 100%, $E$9)</f>
        <v>3.6433</v>
      </c>
      <c r="H27" s="10">
        <f>CHOOSE(CONTROL!$C$42, 3.7159, 3.7159) * CHOOSE(CONTROL!$C$21, $C$9, 100%, $E$9)</f>
        <v>3.7159</v>
      </c>
      <c r="I27" s="10">
        <f>CHOOSE(CONTROL!$C$42, 3.6417, 3.6417)* CHOOSE(CONTROL!$C$21, $C$9, 100%, $E$9)</f>
        <v>3.6417000000000002</v>
      </c>
      <c r="J27" s="10">
        <f>CHOOSE(CONTROL!$C$42, 3.6217, 3.6217)* CHOOSE(CONTROL!$C$21, $C$9, 100%, $E$9)</f>
        <v>3.6217000000000001</v>
      </c>
      <c r="K27" s="62"/>
      <c r="L27" s="10">
        <f>CHOOSE(CONTROL!$C$42, 4.3029, 4.3029) * CHOOSE(CONTROL!$C$21, $C$9, 100%, $E$9)</f>
        <v>4.3029000000000002</v>
      </c>
      <c r="M27" s="10">
        <f>CHOOSE(CONTROL!$C$42, 3.5989, 3.5989) * CHOOSE(CONTROL!$C$21, $C$9, 100%, $E$9)</f>
        <v>3.5989</v>
      </c>
      <c r="N27" s="10">
        <f>CHOOSE(CONTROL!$C$42, 3.6134, 3.6134) * CHOOSE(CONTROL!$C$21, $C$9, 100%, $E$9)</f>
        <v>3.6133999999999999</v>
      </c>
      <c r="O27" s="10">
        <f>CHOOSE(CONTROL!$C$42, 3.6922, 3.6922) * CHOOSE(CONTROL!$C$21, $C$9, 100%, $E$9)</f>
        <v>3.6922000000000001</v>
      </c>
      <c r="P27" s="10">
        <f>CHOOSE(CONTROL!$C$42, 3.6188, 3.6188) * CHOOSE(CONTROL!$C$21, $C$9, 100%, $E$9)</f>
        <v>3.6187999999999998</v>
      </c>
      <c r="Q27" s="10">
        <f>CHOOSE(CONTROL!$C$42, 4.2875, 4.2875) * CHOOSE(CONTROL!$C$21, $C$9, 100%, $E$9)</f>
        <v>4.2874999999999996</v>
      </c>
      <c r="R27" s="10">
        <f>CHOOSE(CONTROL!$C$42, 4.8852, 4.8852) * CHOOSE(CONTROL!$C$21, $C$9, 100%, $E$9)</f>
        <v>4.8852000000000002</v>
      </c>
      <c r="S27" s="10">
        <f>CHOOSE(CONTROL!$C$42, 3.5238, 3.5238) * CHOOSE(CONTROL!$C$21, $C$9, 100%, $E$9)</f>
        <v>3.5238</v>
      </c>
      <c r="T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57">
        <f>(1000*CHOOSE(CONTROL!$C$42, 695, 695)*CHOOSE(CONTROL!$C$42, 0.5599, 0.5599)*CHOOSE(CONTROL!$C$42, 31, 31))/1000000</f>
        <v>12.063045499999998</v>
      </c>
      <c r="V27" s="57">
        <f>(1000*CHOOSE(CONTROL!$C$42, 580, 580)*CHOOSE(CONTROL!$C$42, 0.275, 0.275)*CHOOSE(CONTROL!$C$42, 31, 31))/1000000</f>
        <v>4.9444999999999997</v>
      </c>
      <c r="W27" s="57">
        <f>(1000*CHOOSE(CONTROL!$C$42, 0.1146, 0.1146)*CHOOSE(CONTROL!$C$42, 200, 200)*CHOOSE(CONTROL!$C$42, 31, 31))/1000000</f>
        <v>0.71052000000000004</v>
      </c>
      <c r="X27" s="57">
        <v>0</v>
      </c>
      <c r="Y27" s="57">
        <f>(0.16*2500000)/1000000</f>
        <v>0.4</v>
      </c>
      <c r="Z27" s="10">
        <f>CHOOSE(CONTROL!$C$42, 3.6225, 3.6225) * CHOOSE(CONTROL!$C$21, $C$9, 100%, $E$9)</f>
        <v>3.6225000000000001</v>
      </c>
      <c r="AA27" s="64">
        <f>(31*((7.89*31500+7.95*100000)/31))/1000000</f>
        <v>1.0435350000000001</v>
      </c>
      <c r="AB27" s="50">
        <f>(B27*122.58+C27*297.941+D27*89.177+E27*200.302+F27*40+G27*0+H27*0+I27*100+J27*300)/(122.58+297.941+89.177+200.302+0+40+0+100+300)</f>
        <v>3.6521259273913045</v>
      </c>
      <c r="AC27" s="45">
        <f>(M27*240+N27*0+O27*355+P27*100)/(240+0+355+100)</f>
        <v>3.6494201438848926</v>
      </c>
    </row>
    <row r="28" spans="1:29" ht="15" x14ac:dyDescent="0.2">
      <c r="A28" s="16">
        <v>41730</v>
      </c>
      <c r="B28" s="10">
        <f>CHOOSE(CONTROL!$C$42, 3.6248, 3.6248) * CHOOSE(CONTROL!$C$21, $C$9, 100%, $E$9)</f>
        <v>3.6248</v>
      </c>
      <c r="C28" s="10">
        <f>CHOOSE(CONTROL!$C$42, 3.6292, 3.6292) * CHOOSE(CONTROL!$C$21, $C$9, 100%, $E$9)</f>
        <v>3.6292</v>
      </c>
      <c r="D28" s="10">
        <f>CHOOSE(CONTROL!$C$42, 3.8351, 3.8351) * CHOOSE(CONTROL!$C$21, $C$9, 100%, $E$9)</f>
        <v>3.8351000000000002</v>
      </c>
      <c r="E28" s="10">
        <f>CHOOSE(CONTROL!$C$42, 3.8669, 3.8669) * CHOOSE(CONTROL!$C$21, $C$9, 100%, $E$9)</f>
        <v>3.8668999999999998</v>
      </c>
      <c r="F28" s="10">
        <f>CHOOSE(CONTROL!$C$42, 3.6016, 3.6016)*CHOOSE(CONTROL!$C$21, $C$9, 100%, $E$9)</f>
        <v>3.6015999999999999</v>
      </c>
      <c r="G28" s="10">
        <f>CHOOSE(CONTROL!$C$42, 3.6161, 3.6161)*CHOOSE(CONTROL!$C$21, $C$9, 100%, $E$9)</f>
        <v>3.6160999999999999</v>
      </c>
      <c r="H28" s="10">
        <f>CHOOSE(CONTROL!$C$42, 3.8566, 3.8566) * CHOOSE(CONTROL!$C$21, $C$9, 100%, $E$9)</f>
        <v>3.8565999999999998</v>
      </c>
      <c r="I28" s="10">
        <f>CHOOSE(CONTROL!$C$42, 3.6263, 3.6263)* CHOOSE(CONTROL!$C$21, $C$9, 100%, $E$9)</f>
        <v>3.6263000000000001</v>
      </c>
      <c r="J28" s="10">
        <f>CHOOSE(CONTROL!$C$42, 3.5946, 3.5946)* CHOOSE(CONTROL!$C$21, $C$9, 100%, $E$9)</f>
        <v>3.5945999999999998</v>
      </c>
      <c r="K28" s="62"/>
      <c r="L28" s="10">
        <f>CHOOSE(CONTROL!$C$42, 4.4436, 4.4436) * CHOOSE(CONTROL!$C$21, $C$9, 100%, $E$9)</f>
        <v>4.4436</v>
      </c>
      <c r="M28" s="10">
        <f>CHOOSE(CONTROL!$C$42, 3.5721, 3.5721) * CHOOSE(CONTROL!$C$21, $C$9, 100%, $E$9)</f>
        <v>3.5720999999999998</v>
      </c>
      <c r="N28" s="10">
        <f>CHOOSE(CONTROL!$C$42, 3.5865, 3.5865) * CHOOSE(CONTROL!$C$21, $C$9, 100%, $E$9)</f>
        <v>3.5865</v>
      </c>
      <c r="O28" s="10">
        <f>CHOOSE(CONTROL!$C$42, 3.8315, 3.8315) * CHOOSE(CONTROL!$C$21, $C$9, 100%, $E$9)</f>
        <v>3.8315000000000001</v>
      </c>
      <c r="P28" s="10">
        <f>CHOOSE(CONTROL!$C$42, 3.6035, 3.6035) * CHOOSE(CONTROL!$C$21, $C$9, 100%, $E$9)</f>
        <v>3.6034999999999999</v>
      </c>
      <c r="Q28" s="10">
        <f>CHOOSE(CONTROL!$C$42, 4.4268, 4.4268) * CHOOSE(CONTROL!$C$21, $C$9, 100%, $E$9)</f>
        <v>4.4268000000000001</v>
      </c>
      <c r="R28" s="10">
        <f>CHOOSE(CONTROL!$C$42, 5.0249, 5.0249) * CHOOSE(CONTROL!$C$21, $C$9, 100%, $E$9)</f>
        <v>5.0248999999999997</v>
      </c>
      <c r="S28" s="10">
        <f>CHOOSE(CONTROL!$C$42, 3.5172, 3.5172) * CHOOSE(CONTROL!$C$21, $C$9, 100%, $E$9)</f>
        <v>3.5171999999999999</v>
      </c>
      <c r="T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57">
        <f>(1000*CHOOSE(CONTROL!$C$42, 695, 695)*CHOOSE(CONTROL!$C$42, 0.5599, 0.5599)*CHOOSE(CONTROL!$C$42, 30, 30))/1000000</f>
        <v>11.673914999999997</v>
      </c>
      <c r="V28" s="57">
        <f>(1000*CHOOSE(CONTROL!$C$42, 580, 580)*CHOOSE(CONTROL!$C$42, 0.275, 0.275)*CHOOSE(CONTROL!$C$42, 30, 30))/1000000</f>
        <v>4.7850000000000001</v>
      </c>
      <c r="W28" s="57">
        <f>(1000*CHOOSE(CONTROL!$C$42, 0.1146, 0.1146)*CHOOSE(CONTROL!$C$42, 200, 200)*CHOOSE(CONTROL!$C$42, 30, 30))/1000000</f>
        <v>0.68759999999999999</v>
      </c>
      <c r="X28" s="57">
        <f>30*0.1790888*145000/1000000</f>
        <v>0.77903627999999991</v>
      </c>
      <c r="Y28" s="57"/>
      <c r="Z28" s="10">
        <f>CHOOSE(CONTROL!$C$42, 3.6118, 3.6118) * CHOOSE(CONTROL!$C$21, $C$9, 100%, $E$9)</f>
        <v>3.6118000000000001</v>
      </c>
      <c r="AA28" s="64">
        <f>(30*((7.89*31500+7.95*100000)/30))/1000000</f>
        <v>1.0435350000000001</v>
      </c>
      <c r="AB28" s="50">
        <f>(B28*141.293+C28*267.993+D28*115.016+E28*249.698+F28*40+G28*25+H28*0+I28*100+J28*300)/(141.293+267.993+115.016+249.698+0+40+25+100+300)</f>
        <v>3.685948845682002</v>
      </c>
      <c r="AC28" s="45">
        <f t="shared" ref="AC28:AC34" si="0">(M28*240+N28*120+O28*235+P28*100)/(240+120+235+100)</f>
        <v>3.6668151079136688</v>
      </c>
    </row>
    <row r="29" spans="1:29" ht="15" x14ac:dyDescent="0.2">
      <c r="A29" s="16">
        <v>41760</v>
      </c>
      <c r="B29" s="10">
        <f>CHOOSE(CONTROL!$C$42, 3.653, 3.653) * CHOOSE(CONTROL!$C$21, $C$9, 100%, $E$9)</f>
        <v>3.653</v>
      </c>
      <c r="C29" s="10">
        <f>CHOOSE(CONTROL!$C$42, 3.6609, 3.6609) * CHOOSE(CONTROL!$C$21, $C$9, 100%, $E$9)</f>
        <v>3.6608999999999998</v>
      </c>
      <c r="D29" s="10">
        <f>CHOOSE(CONTROL!$C$42, 3.8636, 3.8636) * CHOOSE(CONTROL!$C$21, $C$9, 100%, $E$9)</f>
        <v>3.8635999999999999</v>
      </c>
      <c r="E29" s="10">
        <f>CHOOSE(CONTROL!$C$42, 3.8948, 3.8948) * CHOOSE(CONTROL!$C$21, $C$9, 100%, $E$9)</f>
        <v>3.8948</v>
      </c>
      <c r="F29" s="10">
        <f>CHOOSE(CONTROL!$C$42, 3.6287, 3.6287)*CHOOSE(CONTROL!$C$21, $C$9, 100%, $E$9)</f>
        <v>3.6286999999999998</v>
      </c>
      <c r="G29" s="10">
        <f>CHOOSE(CONTROL!$C$42, 3.6437, 3.6437)*CHOOSE(CONTROL!$C$21, $C$9, 100%, $E$9)</f>
        <v>3.6436999999999999</v>
      </c>
      <c r="H29" s="10">
        <f>CHOOSE(CONTROL!$C$42, 3.8834, 3.8834) * CHOOSE(CONTROL!$C$21, $C$9, 100%, $E$9)</f>
        <v>3.8834</v>
      </c>
      <c r="I29" s="10">
        <f>CHOOSE(CONTROL!$C$42, 3.653, 3.653)* CHOOSE(CONTROL!$C$21, $C$9, 100%, $E$9)</f>
        <v>3.653</v>
      </c>
      <c r="J29" s="10">
        <f>CHOOSE(CONTROL!$C$42, 3.6217, 3.6217)* CHOOSE(CONTROL!$C$21, $C$9, 100%, $E$9)</f>
        <v>3.6217000000000001</v>
      </c>
      <c r="K29" s="62"/>
      <c r="L29" s="10">
        <f>CHOOSE(CONTROL!$C$42, 4.4704, 4.4704) * CHOOSE(CONTROL!$C$21, $C$9, 100%, $E$9)</f>
        <v>4.4703999999999997</v>
      </c>
      <c r="M29" s="10">
        <f>CHOOSE(CONTROL!$C$42, 3.599, 3.599) * CHOOSE(CONTROL!$C$21, $C$9, 100%, $E$9)</f>
        <v>3.5990000000000002</v>
      </c>
      <c r="N29" s="10">
        <f>CHOOSE(CONTROL!$C$42, 3.6138, 3.6138) * CHOOSE(CONTROL!$C$21, $C$9, 100%, $E$9)</f>
        <v>3.6137999999999999</v>
      </c>
      <c r="O29" s="10">
        <f>CHOOSE(CONTROL!$C$42, 3.8581, 3.8581) * CHOOSE(CONTROL!$C$21, $C$9, 100%, $E$9)</f>
        <v>3.8580999999999999</v>
      </c>
      <c r="P29" s="10">
        <f>CHOOSE(CONTROL!$C$42, 3.63, 3.63) * CHOOSE(CONTROL!$C$21, $C$9, 100%, $E$9)</f>
        <v>3.63</v>
      </c>
      <c r="Q29" s="10">
        <f>CHOOSE(CONTROL!$C$42, 4.4534, 4.4534) * CHOOSE(CONTROL!$C$21, $C$9, 100%, $E$9)</f>
        <v>4.4534000000000002</v>
      </c>
      <c r="R29" s="10">
        <f>CHOOSE(CONTROL!$C$42, 5.0515, 5.0515) * CHOOSE(CONTROL!$C$21, $C$9, 100%, $E$9)</f>
        <v>5.0514999999999999</v>
      </c>
      <c r="S29" s="10">
        <f>CHOOSE(CONTROL!$C$42, 3.5432, 3.5432) * CHOOSE(CONTROL!$C$21, $C$9, 100%, $E$9)</f>
        <v>3.5432000000000001</v>
      </c>
      <c r="T29" s="59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57">
        <f>(1000*CHOOSE(CONTROL!$C$42, 695, 695)*CHOOSE(CONTROL!$C$42, 0.5599, 0.5599)*CHOOSE(CONTROL!$C$42, 31, 31))/1000000</f>
        <v>12.063045499999998</v>
      </c>
      <c r="V29" s="57">
        <f>(1000*CHOOSE(CONTROL!$C$42, 580, 580)*CHOOSE(CONTROL!$C$42, 0.275, 0.275)*CHOOSE(CONTROL!$C$42, 31, 31))/1000000</f>
        <v>4.9444999999999997</v>
      </c>
      <c r="W29" s="57">
        <f>(1000*CHOOSE(CONTROL!$C$42, 0.1146, 0.1146)*CHOOSE(CONTROL!$C$42, 200, 200)*CHOOSE(CONTROL!$C$42, 31, 31))/1000000</f>
        <v>0.71052000000000004</v>
      </c>
      <c r="X29" s="57">
        <f>31*0.1790888*145000/1000000</f>
        <v>0.80500415599999997</v>
      </c>
      <c r="Y29" s="57"/>
      <c r="Z29" s="10">
        <f>CHOOSE(CONTROL!$C$42, 3.6385, 3.6385) * CHOOSE(CONTROL!$C$21, $C$9, 100%, $E$9)</f>
        <v>3.6385000000000001</v>
      </c>
      <c r="AA29" s="64">
        <f>(31*((7.89*31500+7.95*100000)/31))/1000000</f>
        <v>1.0435350000000001</v>
      </c>
      <c r="AB29" s="50">
        <f>(B29*194.205+C29*267.466+D29*133.845+E29*213.484+F29*40+G29*25+H29*50+I29*100+J29*300)/(194.205+267.466+133.845+213.484+50+40+25+100+300)</f>
        <v>3.715573013293052</v>
      </c>
      <c r="AC29" s="45">
        <f t="shared" si="0"/>
        <v>3.6936251798561153</v>
      </c>
    </row>
    <row r="30" spans="1:29" ht="15" x14ac:dyDescent="0.2">
      <c r="A30" s="16">
        <v>41791</v>
      </c>
      <c r="B30" s="10">
        <f>CHOOSE(CONTROL!$C$42, 3.6932, 3.6932) * CHOOSE(CONTROL!$C$21, $C$9, 100%, $E$9)</f>
        <v>3.6932</v>
      </c>
      <c r="C30" s="10">
        <f>CHOOSE(CONTROL!$C$42, 3.7011, 3.7011) * CHOOSE(CONTROL!$C$21, $C$9, 100%, $E$9)</f>
        <v>3.7010999999999998</v>
      </c>
      <c r="D30" s="10">
        <f>CHOOSE(CONTROL!$C$42, 3.9038, 3.9038) * CHOOSE(CONTROL!$C$21, $C$9, 100%, $E$9)</f>
        <v>3.9037999999999999</v>
      </c>
      <c r="E30" s="10">
        <f>CHOOSE(CONTROL!$C$42, 3.9349, 3.9349) * CHOOSE(CONTROL!$C$21, $C$9, 100%, $E$9)</f>
        <v>3.9348999999999998</v>
      </c>
      <c r="F30" s="10">
        <f>CHOOSE(CONTROL!$C$42, 3.6694, 3.6694)*CHOOSE(CONTROL!$C$21, $C$9, 100%, $E$9)</f>
        <v>3.6694</v>
      </c>
      <c r="G30" s="10">
        <f>CHOOSE(CONTROL!$C$42, 3.6845, 3.6845)*CHOOSE(CONTROL!$C$21, $C$9, 100%, $E$9)</f>
        <v>3.6844999999999999</v>
      </c>
      <c r="H30" s="10">
        <f>CHOOSE(CONTROL!$C$42, 3.9236, 3.9236) * CHOOSE(CONTROL!$C$21, $C$9, 100%, $E$9)</f>
        <v>3.9236</v>
      </c>
      <c r="I30" s="10">
        <f>CHOOSE(CONTROL!$C$42, 3.6932, 3.6932)* CHOOSE(CONTROL!$C$21, $C$9, 100%, $E$9)</f>
        <v>3.6932</v>
      </c>
      <c r="J30" s="10">
        <f>CHOOSE(CONTROL!$C$42, 3.6624, 3.6624)* CHOOSE(CONTROL!$C$21, $C$9, 100%, $E$9)</f>
        <v>3.6623999999999999</v>
      </c>
      <c r="K30" s="62"/>
      <c r="L30" s="10">
        <f>CHOOSE(CONTROL!$C$42, 4.5106, 4.5106) * CHOOSE(CONTROL!$C$21, $C$9, 100%, $E$9)</f>
        <v>4.5106000000000002</v>
      </c>
      <c r="M30" s="10">
        <f>CHOOSE(CONTROL!$C$42, 3.6393, 3.6393) * CHOOSE(CONTROL!$C$21, $C$9, 100%, $E$9)</f>
        <v>3.6393</v>
      </c>
      <c r="N30" s="10">
        <f>CHOOSE(CONTROL!$C$42, 3.6542, 3.6542) * CHOOSE(CONTROL!$C$21, $C$9, 100%, $E$9)</f>
        <v>3.6541999999999999</v>
      </c>
      <c r="O30" s="10">
        <f>CHOOSE(CONTROL!$C$42, 3.8978, 3.8978) * CHOOSE(CONTROL!$C$21, $C$9, 100%, $E$9)</f>
        <v>3.8978000000000002</v>
      </c>
      <c r="P30" s="10">
        <f>CHOOSE(CONTROL!$C$42, 3.6698, 3.6698) * CHOOSE(CONTROL!$C$21, $C$9, 100%, $E$9)</f>
        <v>3.6698</v>
      </c>
      <c r="Q30" s="10">
        <f>CHOOSE(CONTROL!$C$42, 4.4931, 4.4931) * CHOOSE(CONTROL!$C$21, $C$9, 100%, $E$9)</f>
        <v>4.4931000000000001</v>
      </c>
      <c r="R30" s="10">
        <f>CHOOSE(CONTROL!$C$42, 5.0913, 5.0913) * CHOOSE(CONTROL!$C$21, $C$9, 100%, $E$9)</f>
        <v>5.0913000000000004</v>
      </c>
      <c r="S30" s="10">
        <f>CHOOSE(CONTROL!$C$42, 3.5822, 3.5822) * CHOOSE(CONTROL!$C$21, $C$9, 100%, $E$9)</f>
        <v>3.5821999999999998</v>
      </c>
      <c r="T30" s="59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57">
        <f>(1000*CHOOSE(CONTROL!$C$42, 695, 695)*CHOOSE(CONTROL!$C$42, 0.5599, 0.5599)*CHOOSE(CONTROL!$C$42, 30, 30))/1000000</f>
        <v>11.673914999999997</v>
      </c>
      <c r="V30" s="57">
        <f>(1000*CHOOSE(CONTROL!$C$42, 580, 580)*CHOOSE(CONTROL!$C$42, 0.275, 0.275)*CHOOSE(CONTROL!$C$42, 30, 30))/1000000</f>
        <v>4.7850000000000001</v>
      </c>
      <c r="W30" s="57">
        <f>(1000*CHOOSE(CONTROL!$C$42, 0.1146, 0.1146)*CHOOSE(CONTROL!$C$42, 200, 200)*CHOOSE(CONTROL!$C$42, 30, 30))/1000000</f>
        <v>0.68759999999999999</v>
      </c>
      <c r="X30" s="57">
        <f>30*0.1790888*145000/1000000</f>
        <v>0.77903627999999991</v>
      </c>
      <c r="Y30" s="57"/>
      <c r="Z30" s="10">
        <f>CHOOSE(CONTROL!$C$42, 3.6784, 3.6784) * CHOOSE(CONTROL!$C$21, $C$9, 100%, $E$9)</f>
        <v>3.6783999999999999</v>
      </c>
      <c r="AA30" s="63">
        <f>(30*((7.95*31500+8.07*100000)/30))/1000000</f>
        <v>1.0574250000000001</v>
      </c>
      <c r="AB30" s="50">
        <f>(B30*194.205+C30*267.466+D30*133.845+E30*213.484+F30*40+G30*25+H30*50+I30*100+J30*300)/(194.205+267.466+133.845+213.484+50+40+25+100+300)</f>
        <v>3.7558966172205444</v>
      </c>
      <c r="AC30" s="45">
        <f t="shared" si="0"/>
        <v>3.7336676258992805</v>
      </c>
    </row>
    <row r="31" spans="1:29" ht="15" x14ac:dyDescent="0.2">
      <c r="A31" s="16">
        <v>41821</v>
      </c>
      <c r="B31" s="10">
        <f>CHOOSE(CONTROL!$C$42, 3.7333, 3.7333) * CHOOSE(CONTROL!$C$21, $C$9, 100%, $E$9)</f>
        <v>3.7332999999999998</v>
      </c>
      <c r="C31" s="10">
        <f>CHOOSE(CONTROL!$C$42, 3.7412, 3.7412) * CHOOSE(CONTROL!$C$21, $C$9, 100%, $E$9)</f>
        <v>3.7412000000000001</v>
      </c>
      <c r="D31" s="10">
        <f>CHOOSE(CONTROL!$C$42, 3.944, 3.944) * CHOOSE(CONTROL!$C$21, $C$9, 100%, $E$9)</f>
        <v>3.944</v>
      </c>
      <c r="E31" s="10">
        <f>CHOOSE(CONTROL!$C$42, 3.9751, 3.9751) * CHOOSE(CONTROL!$C$21, $C$9, 100%, $E$9)</f>
        <v>3.9750999999999999</v>
      </c>
      <c r="F31" s="10">
        <f>CHOOSE(CONTROL!$C$42, 3.7101, 3.7101)*CHOOSE(CONTROL!$C$21, $C$9, 100%, $E$9)</f>
        <v>3.7101000000000002</v>
      </c>
      <c r="G31" s="10">
        <f>CHOOSE(CONTROL!$C$42, 3.7253, 3.7253)*CHOOSE(CONTROL!$C$21, $C$9, 100%, $E$9)</f>
        <v>3.7252999999999998</v>
      </c>
      <c r="H31" s="10">
        <f>CHOOSE(CONTROL!$C$42, 3.9637, 3.9637) * CHOOSE(CONTROL!$C$21, $C$9, 100%, $E$9)</f>
        <v>3.9636999999999998</v>
      </c>
      <c r="I31" s="10">
        <f>CHOOSE(CONTROL!$C$42, 3.7334, 3.7334)* CHOOSE(CONTROL!$C$21, $C$9, 100%, $E$9)</f>
        <v>3.7334000000000001</v>
      </c>
      <c r="J31" s="10">
        <f>CHOOSE(CONTROL!$C$42, 3.7031, 3.7031)* CHOOSE(CONTROL!$C$21, $C$9, 100%, $E$9)</f>
        <v>3.7031000000000001</v>
      </c>
      <c r="K31" s="62"/>
      <c r="L31" s="10">
        <f>CHOOSE(CONTROL!$C$42, 4.5507, 4.5507) * CHOOSE(CONTROL!$C$21, $C$9, 100%, $E$9)</f>
        <v>4.5507</v>
      </c>
      <c r="M31" s="10">
        <f>CHOOSE(CONTROL!$C$42, 3.6795, 3.6795) * CHOOSE(CONTROL!$C$21, $C$9, 100%, $E$9)</f>
        <v>3.6795</v>
      </c>
      <c r="N31" s="10">
        <f>CHOOSE(CONTROL!$C$42, 3.6946, 3.6946) * CHOOSE(CONTROL!$C$21, $C$9, 100%, $E$9)</f>
        <v>3.6945999999999999</v>
      </c>
      <c r="O31" s="10">
        <f>CHOOSE(CONTROL!$C$42, 3.9376, 3.9376) * CHOOSE(CONTROL!$C$21, $C$9, 100%, $E$9)</f>
        <v>3.9376000000000002</v>
      </c>
      <c r="P31" s="10">
        <f>CHOOSE(CONTROL!$C$42, 3.7095, 3.7095) * CHOOSE(CONTROL!$C$21, $C$9, 100%, $E$9)</f>
        <v>3.7094999999999998</v>
      </c>
      <c r="Q31" s="10">
        <f>CHOOSE(CONTROL!$C$42, 4.5329, 4.5329) * CHOOSE(CONTROL!$C$21, $C$9, 100%, $E$9)</f>
        <v>4.5328999999999997</v>
      </c>
      <c r="R31" s="10">
        <f>CHOOSE(CONTROL!$C$42, 5.1312, 5.1312) * CHOOSE(CONTROL!$C$21, $C$9, 100%, $E$9)</f>
        <v>5.1311999999999998</v>
      </c>
      <c r="S31" s="10">
        <f>CHOOSE(CONTROL!$C$42, 3.6212, 3.6212) * CHOOSE(CONTROL!$C$21, $C$9, 100%, $E$9)</f>
        <v>3.6212</v>
      </c>
      <c r="T31" s="59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57">
        <f>(1000*CHOOSE(CONTROL!$C$42, 695, 695)*CHOOSE(CONTROL!$C$42, 0.5599, 0.5599)*CHOOSE(CONTROL!$C$42, 31, 31))/1000000</f>
        <v>12.063045499999998</v>
      </c>
      <c r="V31" s="57">
        <f>(1000*CHOOSE(CONTROL!$C$42, 580, 580)*CHOOSE(CONTROL!$C$42, 0.275, 0.275)*CHOOSE(CONTROL!$C$42, 31, 31))/1000000</f>
        <v>4.9444999999999997</v>
      </c>
      <c r="W31" s="57">
        <f>(1000*CHOOSE(CONTROL!$C$42, 0.1146, 0.1146)*CHOOSE(CONTROL!$C$42, 200, 200)*CHOOSE(CONTROL!$C$42, 31, 31))/1000000</f>
        <v>0.71052000000000004</v>
      </c>
      <c r="X31" s="57">
        <f>31*0.1790888*145000/1000000</f>
        <v>0.80500415599999997</v>
      </c>
      <c r="Y31" s="57"/>
      <c r="Z31" s="10">
        <f>CHOOSE(CONTROL!$C$42, 3.7183, 3.7183) * CHOOSE(CONTROL!$C$21, $C$9, 100%, $E$9)</f>
        <v>3.7183000000000002</v>
      </c>
      <c r="AA31" s="61">
        <f>(31*((8.01*31500+8.07*100000)/31))/1000000</f>
        <v>1.059315</v>
      </c>
      <c r="AB31" s="50">
        <f>(B31*194.205+C31*267.466+D31*133.845+E31*213.484+F31*40+G31*25+H31*50+I31*100+J31*300)/(194.205+267.466+133.845+213.484+50+40+25+100+300)</f>
        <v>3.7961976994712994</v>
      </c>
      <c r="AC31" s="45">
        <f t="shared" si="0"/>
        <v>3.7736949640287767</v>
      </c>
    </row>
    <row r="32" spans="1:29" ht="15" x14ac:dyDescent="0.2">
      <c r="A32" s="16">
        <v>41852</v>
      </c>
      <c r="B32" s="10">
        <f>CHOOSE(CONTROL!$C$42, 3.7477, 3.7477) * CHOOSE(CONTROL!$C$21, $C$9, 100%, $E$9)</f>
        <v>3.7477</v>
      </c>
      <c r="C32" s="10">
        <f>CHOOSE(CONTROL!$C$42, 3.7557, 3.7557) * CHOOSE(CONTROL!$C$21, $C$9, 100%, $E$9)</f>
        <v>3.7557</v>
      </c>
      <c r="D32" s="10">
        <f>CHOOSE(CONTROL!$C$42, 3.9584, 3.9584) * CHOOSE(CONTROL!$C$21, $C$9, 100%, $E$9)</f>
        <v>3.9584000000000001</v>
      </c>
      <c r="E32" s="10">
        <f>CHOOSE(CONTROL!$C$42, 3.9895, 3.9895) * CHOOSE(CONTROL!$C$21, $C$9, 100%, $E$9)</f>
        <v>3.9895</v>
      </c>
      <c r="F32" s="10">
        <f>CHOOSE(CONTROL!$C$42, 3.7247, 3.7247)*CHOOSE(CONTROL!$C$21, $C$9, 100%, $E$9)</f>
        <v>3.7246999999999999</v>
      </c>
      <c r="G32" s="10">
        <f>CHOOSE(CONTROL!$C$42, 3.74, 3.74)*CHOOSE(CONTROL!$C$21, $C$9, 100%, $E$9)</f>
        <v>3.74</v>
      </c>
      <c r="H32" s="10">
        <f>CHOOSE(CONTROL!$C$42, 3.9782, 3.9782) * CHOOSE(CONTROL!$C$21, $C$9, 100%, $E$9)</f>
        <v>3.9782000000000002</v>
      </c>
      <c r="I32" s="10">
        <f>CHOOSE(CONTROL!$C$42, 3.7478, 3.7478)* CHOOSE(CONTROL!$C$21, $C$9, 100%, $E$9)</f>
        <v>3.7477999999999998</v>
      </c>
      <c r="J32" s="10">
        <f>CHOOSE(CONTROL!$C$42, 3.7177, 3.7177)* CHOOSE(CONTROL!$C$21, $C$9, 100%, $E$9)</f>
        <v>3.7176999999999998</v>
      </c>
      <c r="K32" s="62"/>
      <c r="L32" s="10">
        <f>CHOOSE(CONTROL!$C$42, 4.5652, 4.5652) * CHOOSE(CONTROL!$C$21, $C$9, 100%, $E$9)</f>
        <v>4.5651999999999999</v>
      </c>
      <c r="M32" s="10">
        <f>CHOOSE(CONTROL!$C$42, 3.694, 3.694) * CHOOSE(CONTROL!$C$21, $C$9, 100%, $E$9)</f>
        <v>3.694</v>
      </c>
      <c r="N32" s="10">
        <f>CHOOSE(CONTROL!$C$42, 3.7091, 3.7091) * CHOOSE(CONTROL!$C$21, $C$9, 100%, $E$9)</f>
        <v>3.7090999999999998</v>
      </c>
      <c r="O32" s="10">
        <f>CHOOSE(CONTROL!$C$42, 3.9518, 3.9518) * CHOOSE(CONTROL!$C$21, $C$9, 100%, $E$9)</f>
        <v>3.9518</v>
      </c>
      <c r="P32" s="10">
        <f>CHOOSE(CONTROL!$C$42, 3.7238, 3.7238) * CHOOSE(CONTROL!$C$21, $C$9, 100%, $E$9)</f>
        <v>3.7238000000000002</v>
      </c>
      <c r="Q32" s="10">
        <f>CHOOSE(CONTROL!$C$42, 4.5471, 4.5471) * CHOOSE(CONTROL!$C$21, $C$9, 100%, $E$9)</f>
        <v>4.5471000000000004</v>
      </c>
      <c r="R32" s="10">
        <f>CHOOSE(CONTROL!$C$42, 5.1455, 5.1455) * CHOOSE(CONTROL!$C$21, $C$9, 100%, $E$9)</f>
        <v>5.1455000000000002</v>
      </c>
      <c r="S32" s="10">
        <f>CHOOSE(CONTROL!$C$42, 3.6352, 3.6352) * CHOOSE(CONTROL!$C$21, $C$9, 100%, $E$9)</f>
        <v>3.6352000000000002</v>
      </c>
      <c r="T32" s="59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57">
        <f>(1000*CHOOSE(CONTROL!$C$42, 695, 695)*CHOOSE(CONTROL!$C$42, 0.5599, 0.5599)*CHOOSE(CONTROL!$C$42, 31, 31))/1000000</f>
        <v>12.063045499999998</v>
      </c>
      <c r="V32" s="57">
        <f>(1000*CHOOSE(CONTROL!$C$42, 580, 580)*CHOOSE(CONTROL!$C$42, 0.275, 0.275)*CHOOSE(CONTROL!$C$42, 31, 31))/1000000</f>
        <v>4.9444999999999997</v>
      </c>
      <c r="W32" s="57">
        <f>(1000*CHOOSE(CONTROL!$C$42, 0.1146, 0.1146)*CHOOSE(CONTROL!$C$42, 200, 200)*CHOOSE(CONTROL!$C$42, 31, 31))/1000000</f>
        <v>0.71052000000000004</v>
      </c>
      <c r="X32" s="57">
        <f>31*0.1790888*145000/1000000</f>
        <v>0.80500415599999997</v>
      </c>
      <c r="Y32" s="57"/>
      <c r="Z32" s="10">
        <f>CHOOSE(CONTROL!$C$42, 3.7326, 3.7326) * CHOOSE(CONTROL!$C$21, $C$9, 100%, $E$9)</f>
        <v>3.7326000000000001</v>
      </c>
      <c r="AA32" s="61">
        <f>(31*((8.01*31500+8.07*100000)/31))/1000000</f>
        <v>1.059315</v>
      </c>
      <c r="AB32" s="50">
        <f>(B32*194.205+C32*267.466+D32*133.845+E32*213.484+F32*40+G32*25+H32*50+I32*100+J32*300)/(194.205+267.466+133.845+213.484+50+40+25+100+300)</f>
        <v>3.8106787014350458</v>
      </c>
      <c r="AC32" s="45">
        <f t="shared" si="0"/>
        <v>3.7880647482014389</v>
      </c>
    </row>
    <row r="33" spans="1:29" ht="15" x14ac:dyDescent="0.2">
      <c r="A33" s="16">
        <v>41883</v>
      </c>
      <c r="B33" s="10">
        <f>CHOOSE(CONTROL!$C$42, 3.737, 3.737) * CHOOSE(CONTROL!$C$21, $C$9, 100%, $E$9)</f>
        <v>3.7370000000000001</v>
      </c>
      <c r="C33" s="10">
        <f>CHOOSE(CONTROL!$C$42, 3.745, 3.745) * CHOOSE(CONTROL!$C$21, $C$9, 100%, $E$9)</f>
        <v>3.7450000000000001</v>
      </c>
      <c r="D33" s="10">
        <f>CHOOSE(CONTROL!$C$42, 3.9477, 3.9477) * CHOOSE(CONTROL!$C$21, $C$9, 100%, $E$9)</f>
        <v>3.9477000000000002</v>
      </c>
      <c r="E33" s="10">
        <f>CHOOSE(CONTROL!$C$42, 3.9788, 3.9788) * CHOOSE(CONTROL!$C$21, $C$9, 100%, $E$9)</f>
        <v>3.9788000000000001</v>
      </c>
      <c r="F33" s="10">
        <f>CHOOSE(CONTROL!$C$42, 3.7138, 3.7138)*CHOOSE(CONTROL!$C$21, $C$9, 100%, $E$9)</f>
        <v>3.7138</v>
      </c>
      <c r="G33" s="10">
        <f>CHOOSE(CONTROL!$C$42, 3.7291, 3.7291)*CHOOSE(CONTROL!$C$21, $C$9, 100%, $E$9)</f>
        <v>3.7290999999999999</v>
      </c>
      <c r="H33" s="10">
        <f>CHOOSE(CONTROL!$C$42, 3.9675, 3.9675) * CHOOSE(CONTROL!$C$21, $C$9, 100%, $E$9)</f>
        <v>3.9674999999999998</v>
      </c>
      <c r="I33" s="10">
        <f>CHOOSE(CONTROL!$C$42, 3.7371, 3.7371)* CHOOSE(CONTROL!$C$21, $C$9, 100%, $E$9)</f>
        <v>3.7370999999999999</v>
      </c>
      <c r="J33" s="10">
        <f>CHOOSE(CONTROL!$C$42, 3.7068, 3.7068)* CHOOSE(CONTROL!$C$21, $C$9, 100%, $E$9)</f>
        <v>3.7067999999999999</v>
      </c>
      <c r="K33" s="62"/>
      <c r="L33" s="10">
        <f>CHOOSE(CONTROL!$C$42, 4.5545, 4.5545) * CHOOSE(CONTROL!$C$21, $C$9, 100%, $E$9)</f>
        <v>4.5545</v>
      </c>
      <c r="M33" s="10">
        <f>CHOOSE(CONTROL!$C$42, 3.6833, 3.6833) * CHOOSE(CONTROL!$C$21, $C$9, 100%, $E$9)</f>
        <v>3.6833</v>
      </c>
      <c r="N33" s="10">
        <f>CHOOSE(CONTROL!$C$42, 3.6984, 3.6984) * CHOOSE(CONTROL!$C$21, $C$9, 100%, $E$9)</f>
        <v>3.6983999999999999</v>
      </c>
      <c r="O33" s="10">
        <f>CHOOSE(CONTROL!$C$42, 3.9413, 3.9413) * CHOOSE(CONTROL!$C$21, $C$9, 100%, $E$9)</f>
        <v>3.9413</v>
      </c>
      <c r="P33" s="10">
        <f>CHOOSE(CONTROL!$C$42, 3.7132, 3.7132) * CHOOSE(CONTROL!$C$21, $C$9, 100%, $E$9)</f>
        <v>3.7132000000000001</v>
      </c>
      <c r="Q33" s="10">
        <f>CHOOSE(CONTROL!$C$42, 4.5366, 4.5366) * CHOOSE(CONTROL!$C$21, $C$9, 100%, $E$9)</f>
        <v>4.5366</v>
      </c>
      <c r="R33" s="10">
        <f>CHOOSE(CONTROL!$C$42, 5.1349, 5.1349) * CHOOSE(CONTROL!$C$21, $C$9, 100%, $E$9)</f>
        <v>5.1349</v>
      </c>
      <c r="S33" s="10">
        <f>CHOOSE(CONTROL!$C$42, 3.6248, 3.6248) * CHOOSE(CONTROL!$C$21, $C$9, 100%, $E$9)</f>
        <v>3.6248</v>
      </c>
      <c r="T33" s="59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57">
        <f>(1000*CHOOSE(CONTROL!$C$42, 695, 695)*CHOOSE(CONTROL!$C$42, 0.5599, 0.5599)*CHOOSE(CONTROL!$C$42, 30, 30))/1000000</f>
        <v>11.673914999999997</v>
      </c>
      <c r="V33" s="57">
        <f>(1000*CHOOSE(CONTROL!$C$42, 580, 580)*CHOOSE(CONTROL!$C$42, 0.275, 0.275)*CHOOSE(CONTROL!$C$42, 30, 30))/1000000</f>
        <v>4.7850000000000001</v>
      </c>
      <c r="W33" s="57">
        <f>(1000*CHOOSE(CONTROL!$C$42, 0.1146, 0.1146)*CHOOSE(CONTROL!$C$42, 200, 200)*CHOOSE(CONTROL!$C$42, 30, 30))/1000000</f>
        <v>0.68759999999999999</v>
      </c>
      <c r="X33" s="57">
        <f>30*0.1790888*145000/1000000</f>
        <v>0.77903627999999991</v>
      </c>
      <c r="Y33" s="57"/>
      <c r="Z33" s="10">
        <f>CHOOSE(CONTROL!$C$42, 3.722, 3.722) * CHOOSE(CONTROL!$C$21, $C$9, 100%, $E$9)</f>
        <v>3.722</v>
      </c>
      <c r="AA33" s="61">
        <f>(30*((8.01*31500+8.07*100000)/30))/1000000</f>
        <v>1.059315</v>
      </c>
      <c r="AB33" s="50">
        <f>(B33*194.205+C33*267.466+D33*133.845+E33*213.484+F33*40+G33*25+H33*50+I33*100+J33*300)/(194.205+267.466+133.845+213.484+50+40+25+100+300)</f>
        <v>3.7999235654833834</v>
      </c>
      <c r="AC33" s="45">
        <f t="shared" si="0"/>
        <v>3.7774467625899284</v>
      </c>
    </row>
    <row r="34" spans="1:29" ht="15" x14ac:dyDescent="0.2">
      <c r="A34" s="16">
        <v>41913</v>
      </c>
      <c r="B34" s="10">
        <f>CHOOSE(CONTROL!$C$42, 3.7476, 3.7476) * CHOOSE(CONTROL!$C$21, $C$9, 100%, $E$9)</f>
        <v>3.7475999999999998</v>
      </c>
      <c r="C34" s="10">
        <f>CHOOSE(CONTROL!$C$42, 3.7529, 3.7529) * CHOOSE(CONTROL!$C$21, $C$9, 100%, $E$9)</f>
        <v>3.7528999999999999</v>
      </c>
      <c r="D34" s="10">
        <f>CHOOSE(CONTROL!$C$42, 3.9606, 3.9606) * CHOOSE(CONTROL!$C$21, $C$9, 100%, $E$9)</f>
        <v>3.9605999999999999</v>
      </c>
      <c r="E34" s="10">
        <f>CHOOSE(CONTROL!$C$42, 3.9894, 3.9894) * CHOOSE(CONTROL!$C$21, $C$9, 100%, $E$9)</f>
        <v>3.9893999999999998</v>
      </c>
      <c r="F34" s="10">
        <f>CHOOSE(CONTROL!$C$42, 3.7264, 3.7264)*CHOOSE(CONTROL!$C$21, $C$9, 100%, $E$9)</f>
        <v>3.7263999999999999</v>
      </c>
      <c r="G34" s="10">
        <f>CHOOSE(CONTROL!$C$42, 3.7413, 3.7413)*CHOOSE(CONTROL!$C$21, $C$9, 100%, $E$9)</f>
        <v>3.7412999999999998</v>
      </c>
      <c r="H34" s="10">
        <f>CHOOSE(CONTROL!$C$42, 3.9798, 3.9798) * CHOOSE(CONTROL!$C$21, $C$9, 100%, $E$9)</f>
        <v>3.9798</v>
      </c>
      <c r="I34" s="10">
        <f>CHOOSE(CONTROL!$C$42, 3.7494, 3.7494)* CHOOSE(CONTROL!$C$21, $C$9, 100%, $E$9)</f>
        <v>3.7494000000000001</v>
      </c>
      <c r="J34" s="10">
        <f>CHOOSE(CONTROL!$C$42, 3.7194, 3.7194)* CHOOSE(CONTROL!$C$21, $C$9, 100%, $E$9)</f>
        <v>3.7193999999999998</v>
      </c>
      <c r="K34" s="62"/>
      <c r="L34" s="10">
        <f>CHOOSE(CONTROL!$C$42, 4.5668, 4.5668) * CHOOSE(CONTROL!$C$21, $C$9, 100%, $E$9)</f>
        <v>4.5667999999999997</v>
      </c>
      <c r="M34" s="10">
        <f>CHOOSE(CONTROL!$C$42, 3.6957, 3.6957) * CHOOSE(CONTROL!$C$21, $C$9, 100%, $E$9)</f>
        <v>3.6957</v>
      </c>
      <c r="N34" s="10">
        <f>CHOOSE(CONTROL!$C$42, 3.7104, 3.7104) * CHOOSE(CONTROL!$C$21, $C$9, 100%, $E$9)</f>
        <v>3.7103999999999999</v>
      </c>
      <c r="O34" s="10">
        <f>CHOOSE(CONTROL!$C$42, 3.9535, 3.9535) * CHOOSE(CONTROL!$C$21, $C$9, 100%, $E$9)</f>
        <v>3.9535</v>
      </c>
      <c r="P34" s="10">
        <f>CHOOSE(CONTROL!$C$42, 3.7255, 3.7255) * CHOOSE(CONTROL!$C$21, $C$9, 100%, $E$9)</f>
        <v>3.7254999999999998</v>
      </c>
      <c r="Q34" s="10">
        <f>CHOOSE(CONTROL!$C$42, 4.5488, 4.5488) * CHOOSE(CONTROL!$C$21, $C$9, 100%, $E$9)</f>
        <v>4.5488</v>
      </c>
      <c r="R34" s="10">
        <f>CHOOSE(CONTROL!$C$42, 5.1472, 5.1472) * CHOOSE(CONTROL!$C$21, $C$9, 100%, $E$9)</f>
        <v>5.1471999999999998</v>
      </c>
      <c r="S34" s="10">
        <f>CHOOSE(CONTROL!$C$42, 3.6368, 3.6368) * CHOOSE(CONTROL!$C$21, $C$9, 100%, $E$9)</f>
        <v>3.6368</v>
      </c>
      <c r="T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57">
        <f>(1000*CHOOSE(CONTROL!$C$42, 695, 695)*CHOOSE(CONTROL!$C$42, 0.5599, 0.5599)*CHOOSE(CONTROL!$C$42, 31, 31))/1000000</f>
        <v>12.063045499999998</v>
      </c>
      <c r="V34" s="57">
        <f>(1000*CHOOSE(CONTROL!$C$42, 580, 580)*CHOOSE(CONTROL!$C$42, 0.275, 0.275)*CHOOSE(CONTROL!$C$42, 31, 31))/1000000</f>
        <v>4.9444999999999997</v>
      </c>
      <c r="W34" s="57">
        <f>(1000*CHOOSE(CONTROL!$C$42, 0.1146, 0.1146)*CHOOSE(CONTROL!$C$42, 200, 200)*CHOOSE(CONTROL!$C$42, 31, 31))/1000000</f>
        <v>0.71052000000000004</v>
      </c>
      <c r="X34" s="57">
        <f>31*0.1790888*145000/1000000</f>
        <v>0.80500415599999997</v>
      </c>
      <c r="Y34" s="57"/>
      <c r="Z34" s="10">
        <f>CHOOSE(CONTROL!$C$42, 3.7343, 3.7343) * CHOOSE(CONTROL!$C$21, $C$9, 100%, $E$9)</f>
        <v>3.7343000000000002</v>
      </c>
      <c r="AA34" s="61">
        <f>(31*((8.01*31500+8.07*100000)/31))/1000000</f>
        <v>1.059315</v>
      </c>
      <c r="AB34" s="50">
        <f>(B34*131.881+C34*277.167+D34*79.08+E34*285.872+F34*40+G34*25+H34*0+I34*100+J34*300)/(131.881+277.167+79.08+285.872+0+40+25+100+300)</f>
        <v>3.8106761700564968</v>
      </c>
      <c r="AC34" s="45">
        <f t="shared" si="0"/>
        <v>3.7896956834532372</v>
      </c>
    </row>
    <row r="35" spans="1:29" ht="15" x14ac:dyDescent="0.2">
      <c r="A35" s="16">
        <v>41944</v>
      </c>
      <c r="B35" s="10">
        <f>CHOOSE(CONTROL!$C$42, 3.8131, 3.8131) * CHOOSE(CONTROL!$C$21, $C$9, 100%, $E$9)</f>
        <v>3.8130999999999999</v>
      </c>
      <c r="C35" s="10">
        <f>CHOOSE(CONTROL!$C$42, 3.8181, 3.8181) * CHOOSE(CONTROL!$C$21, $C$9, 100%, $E$9)</f>
        <v>3.8180999999999998</v>
      </c>
      <c r="D35" s="10">
        <f>CHOOSE(CONTROL!$C$42, 3.8786, 3.8786) * CHOOSE(CONTROL!$C$21, $C$9, 100%, $E$9)</f>
        <v>3.8786</v>
      </c>
      <c r="E35" s="10">
        <f>CHOOSE(CONTROL!$C$42, 3.9124, 3.9124) * CHOOSE(CONTROL!$C$21, $C$9, 100%, $E$9)</f>
        <v>3.9123999999999999</v>
      </c>
      <c r="F35" s="10">
        <f>CHOOSE(CONTROL!$C$42, 3.8088, 3.8088)*CHOOSE(CONTROL!$C$21, $C$9, 100%, $E$9)</f>
        <v>3.8088000000000002</v>
      </c>
      <c r="G35" s="10">
        <f>CHOOSE(CONTROL!$C$42, 3.824, 3.824)*CHOOSE(CONTROL!$C$21, $C$9, 100%, $E$9)</f>
        <v>3.8239999999999998</v>
      </c>
      <c r="H35" s="10">
        <f>CHOOSE(CONTROL!$C$42, 3.9016, 3.9016) * CHOOSE(CONTROL!$C$21, $C$9, 100%, $E$9)</f>
        <v>3.9016000000000002</v>
      </c>
      <c r="I35" s="10">
        <f>CHOOSE(CONTROL!$C$42, 3.8256, 3.8256)* CHOOSE(CONTROL!$C$21, $C$9, 100%, $E$9)</f>
        <v>3.8256000000000001</v>
      </c>
      <c r="J35" s="10">
        <f>CHOOSE(CONTROL!$C$42, 3.8018, 3.8018)* CHOOSE(CONTROL!$C$21, $C$9, 100%, $E$9)</f>
        <v>3.8018000000000001</v>
      </c>
      <c r="K35" s="62"/>
      <c r="L35" s="10">
        <f>CHOOSE(CONTROL!$C$42, 4.4886, 4.4886) * CHOOSE(CONTROL!$C$21, $C$9, 100%, $E$9)</f>
        <v>4.4885999999999999</v>
      </c>
      <c r="M35" s="10">
        <f>CHOOSE(CONTROL!$C$42, 3.7772, 3.7772) * CHOOSE(CONTROL!$C$21, $C$9, 100%, $E$9)</f>
        <v>3.7772000000000001</v>
      </c>
      <c r="N35" s="10">
        <f>CHOOSE(CONTROL!$C$42, 3.7923, 3.7923) * CHOOSE(CONTROL!$C$21, $C$9, 100%, $E$9)</f>
        <v>3.7923</v>
      </c>
      <c r="O35" s="10">
        <f>CHOOSE(CONTROL!$C$42, 3.876, 3.876) * CHOOSE(CONTROL!$C$21, $C$9, 100%, $E$9)</f>
        <v>3.8759999999999999</v>
      </c>
      <c r="P35" s="10">
        <f>CHOOSE(CONTROL!$C$42, 3.8009, 3.8009) * CHOOSE(CONTROL!$C$21, $C$9, 100%, $E$9)</f>
        <v>3.8008999999999999</v>
      </c>
      <c r="Q35" s="10">
        <f>CHOOSE(CONTROL!$C$42, 4.4713, 4.4713) * CHOOSE(CONTROL!$C$21, $C$9, 100%, $E$9)</f>
        <v>4.4713000000000003</v>
      </c>
      <c r="R35" s="10">
        <f>CHOOSE(CONTROL!$C$42, 5.0695, 5.0695) * CHOOSE(CONTROL!$C$21, $C$9, 100%, $E$9)</f>
        <v>5.0694999999999997</v>
      </c>
      <c r="S35" s="10">
        <f>CHOOSE(CONTROL!$C$42, 3.7008, 3.7008) * CHOOSE(CONTROL!$C$21, $C$9, 100%, $E$9)</f>
        <v>3.7008000000000001</v>
      </c>
      <c r="T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57">
        <f>(1000*CHOOSE(CONTROL!$C$42, 695, 695)*CHOOSE(CONTROL!$C$42, 0.5599, 0.5599)*CHOOSE(CONTROL!$C$42, 30, 30))/1000000</f>
        <v>11.673914999999997</v>
      </c>
      <c r="V35" s="57">
        <f>(1000*CHOOSE(CONTROL!$C$42, 580, 580)*CHOOSE(CONTROL!$C$42, 0.275, 0.275)*CHOOSE(CONTROL!$C$42, 30, 30))/1000000</f>
        <v>4.7850000000000001</v>
      </c>
      <c r="W35" s="57">
        <f>(1000*CHOOSE(CONTROL!$C$42, 0.1146, 0.1146)*CHOOSE(CONTROL!$C$42, 200, 200)*CHOOSE(CONTROL!$C$42, 30, 30))/1000000</f>
        <v>0.68759999999999999</v>
      </c>
      <c r="X35" s="57">
        <v>0</v>
      </c>
      <c r="Y35" s="57"/>
      <c r="Z35" s="10">
        <f>CHOOSE(CONTROL!$C$42, 3.8049, 3.8049) * CHOOSE(CONTROL!$C$21, $C$9, 100%, $E$9)</f>
        <v>3.8048999999999999</v>
      </c>
      <c r="AA35" s="61">
        <f>(30*((8.01*31500+8.07*100000)/30))/1000000</f>
        <v>1.059315</v>
      </c>
      <c r="AB35" s="50">
        <f>(B35*122.58+C35*297.941+D35*89.177+E35*200.302+F35*40+G35*0+H35*0+I35*100+J35*300)/(122.58+297.941+89.177+200.302+0+40+0+100+300)</f>
        <v>3.8347598148695652</v>
      </c>
      <c r="AC35" s="45">
        <f>(M35*240+N35*0+O35*355+P35*100)/(240+0+355+100)</f>
        <v>3.8310762589928058</v>
      </c>
    </row>
    <row r="36" spans="1:29" ht="15" x14ac:dyDescent="0.2">
      <c r="A36" s="16">
        <v>41974</v>
      </c>
      <c r="B36" s="10">
        <f>CHOOSE(CONTROL!$C$42, 3.9552, 3.9552) * CHOOSE(CONTROL!$C$21, $C$9, 100%, $E$9)</f>
        <v>3.9552</v>
      </c>
      <c r="C36" s="10">
        <f>CHOOSE(CONTROL!$C$42, 3.9602, 3.9602) * CHOOSE(CONTROL!$C$21, $C$9, 100%, $E$9)</f>
        <v>3.9601999999999999</v>
      </c>
      <c r="D36" s="10">
        <f>CHOOSE(CONTROL!$C$42, 4.0207, 4.0207) * CHOOSE(CONTROL!$C$21, $C$9, 100%, $E$9)</f>
        <v>4.0206999999999997</v>
      </c>
      <c r="E36" s="10">
        <f>CHOOSE(CONTROL!$C$42, 4.0545, 4.0545) * CHOOSE(CONTROL!$C$21, $C$9, 100%, $E$9)</f>
        <v>4.0545</v>
      </c>
      <c r="F36" s="10">
        <f>CHOOSE(CONTROL!$C$42, 3.9527, 3.9527)*CHOOSE(CONTROL!$C$21, $C$9, 100%, $E$9)</f>
        <v>3.9527000000000001</v>
      </c>
      <c r="G36" s="10">
        <f>CHOOSE(CONTROL!$C$42, 3.9684, 3.9684)*CHOOSE(CONTROL!$C$21, $C$9, 100%, $E$9)</f>
        <v>3.9683999999999999</v>
      </c>
      <c r="H36" s="10">
        <f>CHOOSE(CONTROL!$C$42, 4.0437, 4.0437) * CHOOSE(CONTROL!$C$21, $C$9, 100%, $E$9)</f>
        <v>4.0437000000000003</v>
      </c>
      <c r="I36" s="10">
        <f>CHOOSE(CONTROL!$C$42, 3.9677, 3.9677)* CHOOSE(CONTROL!$C$21, $C$9, 100%, $E$9)</f>
        <v>3.9676999999999998</v>
      </c>
      <c r="J36" s="10">
        <f>CHOOSE(CONTROL!$C$42, 3.9457, 3.9457)* CHOOSE(CONTROL!$C$21, $C$9, 100%, $E$9)</f>
        <v>3.9457</v>
      </c>
      <c r="K36" s="62"/>
      <c r="L36" s="10">
        <f>CHOOSE(CONTROL!$C$42, 4.6307, 4.6307) * CHOOSE(CONTROL!$C$21, $C$9, 100%, $E$9)</f>
        <v>4.6307</v>
      </c>
      <c r="M36" s="10">
        <f>CHOOSE(CONTROL!$C$42, 3.9197, 3.9197) * CHOOSE(CONTROL!$C$21, $C$9, 100%, $E$9)</f>
        <v>3.9197000000000002</v>
      </c>
      <c r="N36" s="10">
        <f>CHOOSE(CONTROL!$C$42, 3.9352, 3.9352) * CHOOSE(CONTROL!$C$21, $C$9, 100%, $E$9)</f>
        <v>3.9352</v>
      </c>
      <c r="O36" s="10">
        <f>CHOOSE(CONTROL!$C$42, 4.0167, 4.0167) * CHOOSE(CONTROL!$C$21, $C$9, 100%, $E$9)</f>
        <v>4.0167000000000002</v>
      </c>
      <c r="P36" s="10">
        <f>CHOOSE(CONTROL!$C$42, 3.9416, 3.9416) * CHOOSE(CONTROL!$C$21, $C$9, 100%, $E$9)</f>
        <v>3.9416000000000002</v>
      </c>
      <c r="Q36" s="10">
        <f>CHOOSE(CONTROL!$C$42, 4.612, 4.612) * CHOOSE(CONTROL!$C$21, $C$9, 100%, $E$9)</f>
        <v>4.6120000000000001</v>
      </c>
      <c r="R36" s="10">
        <f>CHOOSE(CONTROL!$C$42, 5.2105, 5.2105) * CHOOSE(CONTROL!$C$21, $C$9, 100%, $E$9)</f>
        <v>5.2104999999999997</v>
      </c>
      <c r="S36" s="10">
        <f>CHOOSE(CONTROL!$C$42, 3.8388, 3.8388) * CHOOSE(CONTROL!$C$21, $C$9, 100%, $E$9)</f>
        <v>3.8388</v>
      </c>
      <c r="T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57">
        <f>(1000*CHOOSE(CONTROL!$C$42, 695, 695)*CHOOSE(CONTROL!$C$42, 0.5599, 0.5599)*CHOOSE(CONTROL!$C$42, 31, 31))/1000000</f>
        <v>12.063045499999998</v>
      </c>
      <c r="V36" s="57">
        <f>(1000*CHOOSE(CONTROL!$C$42, 580, 580)*CHOOSE(CONTROL!$C$42, 0.275, 0.275)*CHOOSE(CONTROL!$C$42, 31, 31))/1000000</f>
        <v>4.9444999999999997</v>
      </c>
      <c r="W36" s="57">
        <f>(1000*CHOOSE(CONTROL!$C$42, 0.1146, 0.1146)*CHOOSE(CONTROL!$C$42, 200, 200)*CHOOSE(CONTROL!$C$42, 31, 31))/1000000</f>
        <v>0.71052000000000004</v>
      </c>
      <c r="X36" s="57">
        <v>0</v>
      </c>
      <c r="Y36" s="57"/>
      <c r="Z36" s="10">
        <f>CHOOSE(CONTROL!$C$42, 3.941, 3.941) * CHOOSE(CONTROL!$C$21, $C$9, 100%, $E$9)</f>
        <v>3.9409999999999998</v>
      </c>
      <c r="AA36" s="61">
        <f>(31*((8.01*31500+8.07*100000)/31))/1000000</f>
        <v>1.059315</v>
      </c>
      <c r="AB36" s="50">
        <f>(B36*122.58+C36*297.941+D36*89.177+E36*200.302+F36*40+G36*0+H36*0+I36*100+J36*300)/(122.58+297.941+89.177+200.302+0+40+0+100+300)</f>
        <v>3.9773919887826086</v>
      </c>
      <c r="AC36" s="45">
        <f>(M36*240+N36*0+O36*355+P36*100)/(240+0+355+100)</f>
        <v>3.9723978417266186</v>
      </c>
    </row>
    <row r="37" spans="1:29" ht="15.75" x14ac:dyDescent="0.25">
      <c r="A37" s="16">
        <v>42005</v>
      </c>
      <c r="B37" s="10">
        <f>CHOOSE(CONTROL!$C$42, 4.0345, 4.0345) * CHOOSE(CONTROL!$C$21, $C$9, 100%, $E$9)</f>
        <v>4.0345000000000004</v>
      </c>
      <c r="C37" s="10">
        <f>CHOOSE(CONTROL!$C$42, 4.0395, 4.0395) * CHOOSE(CONTROL!$C$21, $C$9, 100%, $E$9)</f>
        <v>4.0395000000000003</v>
      </c>
      <c r="D37" s="10">
        <f>CHOOSE(CONTROL!$C$42, 4.0966, 4.0966) * CHOOSE(CONTROL!$C$21, $C$9, 100%, $E$9)</f>
        <v>4.0965999999999996</v>
      </c>
      <c r="E37" s="10">
        <f>CHOOSE(CONTROL!$C$42, 4.1303, 4.1303) * CHOOSE(CONTROL!$C$21, $C$9, 100%, $E$9)</f>
        <v>4.1303000000000001</v>
      </c>
      <c r="F37" s="10">
        <f>CHOOSE(CONTROL!$C$42, 4.0323, 4.0323)*CHOOSE(CONTROL!$C$21, $C$9, 100%, $E$9)</f>
        <v>4.0323000000000002</v>
      </c>
      <c r="G37" s="10">
        <f>CHOOSE(CONTROL!$C$42, 4.047, 4.047)*CHOOSE(CONTROL!$C$21, $C$9, 100%, $E$9)</f>
        <v>4.0469999999999997</v>
      </c>
      <c r="H37" s="10">
        <f>CHOOSE(CONTROL!$C$42, 4.1195, 4.1195) * CHOOSE(CONTROL!$C$21, $C$9, 100%, $E$9)</f>
        <v>4.1195000000000004</v>
      </c>
      <c r="I37" s="10">
        <f>CHOOSE(CONTROL!$C$42, 4.0453, 4.0453)* CHOOSE(CONTROL!$C$21, $C$9, 100%, $E$9)</f>
        <v>4.0453000000000001</v>
      </c>
      <c r="J37" s="10">
        <f>CHOOSE(CONTROL!$C$42, 4.0253, 4.0253)* CHOOSE(CONTROL!$C$21, $C$9, 100%, $E$9)</f>
        <v>4.0252999999999997</v>
      </c>
      <c r="K37" s="53"/>
      <c r="L37" s="10">
        <f>CHOOSE(CONTROL!$C$42, 4.7065, 4.7065) * CHOOSE(CONTROL!$C$21, $C$9, 100%, $E$9)</f>
        <v>4.7065000000000001</v>
      </c>
      <c r="M37" s="10">
        <f>CHOOSE(CONTROL!$C$42, 3.9986, 3.9986) * CHOOSE(CONTROL!$C$21, $C$9, 100%, $E$9)</f>
        <v>3.9986000000000002</v>
      </c>
      <c r="N37" s="10">
        <f>CHOOSE(CONTROL!$C$42, 4.013, 4.013) * CHOOSE(CONTROL!$C$21, $C$9, 100%, $E$9)</f>
        <v>4.0129999999999999</v>
      </c>
      <c r="O37" s="10">
        <f>CHOOSE(CONTROL!$C$42, 4.0918, 4.0918) * CHOOSE(CONTROL!$C$21, $C$9, 100%, $E$9)</f>
        <v>4.0918000000000001</v>
      </c>
      <c r="P37" s="10">
        <f>CHOOSE(CONTROL!$C$42, 4.0184, 4.0184) * CHOOSE(CONTROL!$C$21, $C$9, 100%, $E$9)</f>
        <v>4.0183999999999997</v>
      </c>
      <c r="Q37" s="10">
        <f>CHOOSE(CONTROL!$C$42, 4.6871, 4.6871) * CHOOSE(CONTROL!$C$21, $C$9, 100%, $E$9)</f>
        <v>4.6871</v>
      </c>
      <c r="R37" s="10">
        <f>CHOOSE(CONTROL!$C$42, 5.2858, 5.2858) * CHOOSE(CONTROL!$C$21, $C$9, 100%, $E$9)</f>
        <v>5.2858000000000001</v>
      </c>
      <c r="S37" s="10">
        <f>CHOOSE(CONTROL!$C$42, 3.9158, 3.9158) * CHOOSE(CONTROL!$C$21, $C$9, 100%, $E$9)</f>
        <v>3.9157999999999999</v>
      </c>
      <c r="T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57">
        <f>(1000*CHOOSE(CONTROL!$C$42, 695, 695)*CHOOSE(CONTROL!$C$42, 0.5599, 0.5599)*CHOOSE(CONTROL!$C$42, 31, 31))/1000000</f>
        <v>12.063045499999998</v>
      </c>
      <c r="V37" s="57">
        <f>(1000*CHOOSE(CONTROL!$C$42, 580, 580)*CHOOSE(CONTROL!$C$42, 0.275, 0.275)*CHOOSE(CONTROL!$C$42, 31, 31))/1000000</f>
        <v>4.9444999999999997</v>
      </c>
      <c r="W37" s="57">
        <f>(1000*CHOOSE(CONTROL!$C$42, 0.1146, 0.1146)*CHOOSE(CONTROL!$C$42, 200, 200)*CHOOSE(CONTROL!$C$42, 31, 31))/1000000</f>
        <v>0.71052000000000004</v>
      </c>
      <c r="X37" s="57">
        <v>0</v>
      </c>
      <c r="Y37" s="57"/>
      <c r="Z37" s="10">
        <f>CHOOSE(CONTROL!$C$42, 4.0224, 4.0224) * CHOOSE(CONTROL!$C$21, $C$9, 100%, $E$9)</f>
        <v>4.0224000000000002</v>
      </c>
      <c r="AA37" s="61">
        <f>(31*((8.01*31500+8.07*100000)/31))/1000000</f>
        <v>1.059315</v>
      </c>
      <c r="AB37" s="50">
        <f>(B37*122.58+C37*297.941+D37*89.177+E37*200.302+F37*40+G37*0+H37*0+I37*100+J37*300)/(122.58+297.941+89.177+200.302+0+40+0+100+300)</f>
        <v>4.0557595898260876</v>
      </c>
      <c r="AC37" s="45">
        <f>(M37*240+N37*0+O37*355+P37*100)/(240+0+355+100)</f>
        <v>4.0490546762589927</v>
      </c>
    </row>
    <row r="38" spans="1:29" ht="15.75" x14ac:dyDescent="0.25">
      <c r="A38" s="16">
        <v>42036</v>
      </c>
      <c r="B38" s="10">
        <f>CHOOSE(CONTROL!$C$42, 4.0325, 4.0325) * CHOOSE(CONTROL!$C$21, $C$9, 100%, $E$9)</f>
        <v>4.0324999999999998</v>
      </c>
      <c r="C38" s="10">
        <f>CHOOSE(CONTROL!$C$42, 4.0374, 4.0374) * CHOOSE(CONTROL!$C$21, $C$9, 100%, $E$9)</f>
        <v>4.0373999999999999</v>
      </c>
      <c r="D38" s="10">
        <f>CHOOSE(CONTROL!$C$42, 4.0945, 4.0945) * CHOOSE(CONTROL!$C$21, $C$9, 100%, $E$9)</f>
        <v>4.0945</v>
      </c>
      <c r="E38" s="10">
        <f>CHOOSE(CONTROL!$C$42, 4.1283, 4.1283) * CHOOSE(CONTROL!$C$21, $C$9, 100%, $E$9)</f>
        <v>4.1283000000000003</v>
      </c>
      <c r="F38" s="10">
        <f>CHOOSE(CONTROL!$C$42, 4.0304, 4.0304)*CHOOSE(CONTROL!$C$21, $C$9, 100%, $E$9)</f>
        <v>4.0304000000000002</v>
      </c>
      <c r="G38" s="10">
        <f>CHOOSE(CONTROL!$C$42, 4.0451, 4.0451)*CHOOSE(CONTROL!$C$21, $C$9, 100%, $E$9)</f>
        <v>4.0450999999999997</v>
      </c>
      <c r="H38" s="10">
        <f>CHOOSE(CONTROL!$C$42, 4.1175, 4.1175) * CHOOSE(CONTROL!$C$21, $C$9, 100%, $E$9)</f>
        <v>4.1174999999999997</v>
      </c>
      <c r="I38" s="10">
        <f>CHOOSE(CONTROL!$C$42, 4.0433, 4.0433)* CHOOSE(CONTROL!$C$21, $C$9, 100%, $E$9)</f>
        <v>4.0433000000000003</v>
      </c>
      <c r="J38" s="10">
        <f>CHOOSE(CONTROL!$C$42, 4.0234, 4.0234)* CHOOSE(CONTROL!$C$21, $C$9, 100%, $E$9)</f>
        <v>4.0233999999999996</v>
      </c>
      <c r="K38" s="53"/>
      <c r="L38" s="10">
        <f>CHOOSE(CONTROL!$C$42, 4.7045, 4.7045) * CHOOSE(CONTROL!$C$21, $C$9, 100%, $E$9)</f>
        <v>4.7045000000000003</v>
      </c>
      <c r="M38" s="10">
        <f>CHOOSE(CONTROL!$C$42, 3.9966, 3.9966) * CHOOSE(CONTROL!$C$21, $C$9, 100%, $E$9)</f>
        <v>3.9965999999999999</v>
      </c>
      <c r="N38" s="10">
        <f>CHOOSE(CONTROL!$C$42, 4.0111, 4.0111) * CHOOSE(CONTROL!$C$21, $C$9, 100%, $E$9)</f>
        <v>4.0110999999999999</v>
      </c>
      <c r="O38" s="10">
        <f>CHOOSE(CONTROL!$C$42, 4.0897, 4.0897) * CHOOSE(CONTROL!$C$21, $C$9, 100%, $E$9)</f>
        <v>4.0896999999999997</v>
      </c>
      <c r="P38" s="10">
        <f>CHOOSE(CONTROL!$C$42, 4.0163, 4.0163) * CHOOSE(CONTROL!$C$21, $C$9, 100%, $E$9)</f>
        <v>4.0163000000000002</v>
      </c>
      <c r="Q38" s="10">
        <f>CHOOSE(CONTROL!$C$42, 4.685, 4.685) * CHOOSE(CONTROL!$C$21, $C$9, 100%, $E$9)</f>
        <v>4.6849999999999996</v>
      </c>
      <c r="R38" s="10">
        <f>CHOOSE(CONTROL!$C$42, 5.2838, 5.2838) * CHOOSE(CONTROL!$C$21, $C$9, 100%, $E$9)</f>
        <v>5.2838000000000003</v>
      </c>
      <c r="S38" s="10">
        <f>CHOOSE(CONTROL!$C$42, 3.9138, 3.9138) * CHOOSE(CONTROL!$C$21, $C$9, 100%, $E$9)</f>
        <v>3.9138000000000002</v>
      </c>
      <c r="T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" s="57">
        <f>(1000*CHOOSE(CONTROL!$C$42, 695, 695)*CHOOSE(CONTROL!$C$42, 0.5599, 0.5599)*CHOOSE(CONTROL!$C$42, 28, 28))/1000000</f>
        <v>10.895653999999999</v>
      </c>
      <c r="V38" s="57">
        <f>(1000*CHOOSE(CONTROL!$C$42, 580, 580)*CHOOSE(CONTROL!$C$42, 0.275, 0.275)*CHOOSE(CONTROL!$C$42, 28, 28))/1000000</f>
        <v>4.4660000000000002</v>
      </c>
      <c r="W38" s="57">
        <f>(1000*CHOOSE(CONTROL!$C$42, 0.1146, 0.1146)*CHOOSE(CONTROL!$C$42, 200, 200)*CHOOSE(CONTROL!$C$42, 28, 28))/1000000</f>
        <v>0.64176</v>
      </c>
      <c r="X38" s="57">
        <v>0</v>
      </c>
      <c r="Y38" s="57"/>
      <c r="Z38" s="10">
        <f>CHOOSE(CONTROL!$C$42, 4.0216, 4.0216) * CHOOSE(CONTROL!$C$21, $C$9, 100%, $E$9)</f>
        <v>4.0216000000000003</v>
      </c>
      <c r="AA38" s="61">
        <f>(28*((8.01*31500+8.07*100000)/28))/1000000</f>
        <v>1.059315</v>
      </c>
      <c r="AB38" s="50">
        <f>(B38*122.58+C38*297.941+D38*89.177+E38*200.302+F38*40+G38*0+H38*0+I38*100+J38*300)/(122.58+297.941+89.177+200.302+0+40+0+100+300)</f>
        <v>4.0537554926086949</v>
      </c>
      <c r="AC38" s="45">
        <f>(M38*240+N38*0+O38*355+P38*100)/(240+0+355+100)</f>
        <v>4.0469892086330939</v>
      </c>
    </row>
    <row r="39" spans="1:29" ht="15.75" x14ac:dyDescent="0.25">
      <c r="A39" s="16">
        <v>42064</v>
      </c>
      <c r="B39" s="10">
        <f>CHOOSE(CONTROL!$C$42, 3.9882, 3.9882) * CHOOSE(CONTROL!$C$21, $C$9, 100%, $E$9)</f>
        <v>3.9882</v>
      </c>
      <c r="C39" s="10">
        <f>CHOOSE(CONTROL!$C$42, 3.9931, 3.9931) * CHOOSE(CONTROL!$C$21, $C$9, 100%, $E$9)</f>
        <v>3.9931000000000001</v>
      </c>
      <c r="D39" s="10">
        <f>CHOOSE(CONTROL!$C$42, 4.0502, 4.0502) * CHOOSE(CONTROL!$C$21, $C$9, 100%, $E$9)</f>
        <v>4.0502000000000002</v>
      </c>
      <c r="E39" s="10">
        <f>CHOOSE(CONTROL!$C$42, 4.084, 4.084) * CHOOSE(CONTROL!$C$21, $C$9, 100%, $E$9)</f>
        <v>4.0839999999999996</v>
      </c>
      <c r="F39" s="10">
        <f>CHOOSE(CONTROL!$C$42, 3.986, 3.986)*CHOOSE(CONTROL!$C$21, $C$9, 100%, $E$9)</f>
        <v>3.9860000000000002</v>
      </c>
      <c r="G39" s="10">
        <f>CHOOSE(CONTROL!$C$42, 4.0006, 4.0006)*CHOOSE(CONTROL!$C$21, $C$9, 100%, $E$9)</f>
        <v>4.0006000000000004</v>
      </c>
      <c r="H39" s="10">
        <f>CHOOSE(CONTROL!$C$42, 4.0732, 4.0732) * CHOOSE(CONTROL!$C$21, $C$9, 100%, $E$9)</f>
        <v>4.0731999999999999</v>
      </c>
      <c r="I39" s="10">
        <f>CHOOSE(CONTROL!$C$42, 3.999, 3.999)* CHOOSE(CONTROL!$C$21, $C$9, 100%, $E$9)</f>
        <v>3.9990000000000001</v>
      </c>
      <c r="J39" s="10">
        <f>CHOOSE(CONTROL!$C$42, 3.979, 3.979)* CHOOSE(CONTROL!$C$21, $C$9, 100%, $E$9)</f>
        <v>3.9790000000000001</v>
      </c>
      <c r="K39" s="53"/>
      <c r="L39" s="10">
        <f>CHOOSE(CONTROL!$C$42, 4.6602, 4.6602) * CHOOSE(CONTROL!$C$21, $C$9, 100%, $E$9)</f>
        <v>4.6601999999999997</v>
      </c>
      <c r="M39" s="10">
        <f>CHOOSE(CONTROL!$C$42, 3.9527, 3.9527) * CHOOSE(CONTROL!$C$21, $C$9, 100%, $E$9)</f>
        <v>3.9527000000000001</v>
      </c>
      <c r="N39" s="10">
        <f>CHOOSE(CONTROL!$C$42, 3.9671, 3.9671) * CHOOSE(CONTROL!$C$21, $C$9, 100%, $E$9)</f>
        <v>3.9670999999999998</v>
      </c>
      <c r="O39" s="10">
        <f>CHOOSE(CONTROL!$C$42, 4.0459, 4.0459) * CHOOSE(CONTROL!$C$21, $C$9, 100%, $E$9)</f>
        <v>4.0458999999999996</v>
      </c>
      <c r="P39" s="10">
        <f>CHOOSE(CONTROL!$C$42, 3.9725, 3.9725) * CHOOSE(CONTROL!$C$21, $C$9, 100%, $E$9)</f>
        <v>3.9725000000000001</v>
      </c>
      <c r="Q39" s="10">
        <f>CHOOSE(CONTROL!$C$42, 4.6412, 4.6412) * CHOOSE(CONTROL!$C$21, $C$9, 100%, $E$9)</f>
        <v>4.6412000000000004</v>
      </c>
      <c r="R39" s="10">
        <f>CHOOSE(CONTROL!$C$42, 5.2398, 5.2398) * CHOOSE(CONTROL!$C$21, $C$9, 100%, $E$9)</f>
        <v>5.2397999999999998</v>
      </c>
      <c r="S39" s="10">
        <f>CHOOSE(CONTROL!$C$42, 3.8708, 3.8708) * CHOOSE(CONTROL!$C$21, $C$9, 100%, $E$9)</f>
        <v>3.8708</v>
      </c>
      <c r="T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57">
        <f>(1000*CHOOSE(CONTROL!$C$42, 695, 695)*CHOOSE(CONTROL!$C$42, 0.5599, 0.5599)*CHOOSE(CONTROL!$C$42, 31, 31))/1000000</f>
        <v>12.063045499999998</v>
      </c>
      <c r="V39" s="57">
        <f>(1000*CHOOSE(CONTROL!$C$42, 580, 580)*CHOOSE(CONTROL!$C$42, 0.275, 0.275)*CHOOSE(CONTROL!$C$42, 31, 31))/1000000</f>
        <v>4.9444999999999997</v>
      </c>
      <c r="W39" s="57">
        <f>(1000*CHOOSE(CONTROL!$C$42, 0.1146, 0.1146)*CHOOSE(CONTROL!$C$42, 200, 200)*CHOOSE(CONTROL!$C$42, 31, 31))/1000000</f>
        <v>0.71052000000000004</v>
      </c>
      <c r="X39" s="57">
        <v>0</v>
      </c>
      <c r="Y39" s="57"/>
      <c r="Z39" s="10">
        <f>CHOOSE(CONTROL!$C$42, 3.9776, 3.9776) * CHOOSE(CONTROL!$C$21, $C$9, 100%, $E$9)</f>
        <v>3.9775999999999998</v>
      </c>
      <c r="AA39" s="61">
        <f>(31*((8.01*31500+8.07*100000)/31))/1000000</f>
        <v>1.059315</v>
      </c>
      <c r="AB39" s="50">
        <f>(B39*122.58+C39*297.941+D39*89.177+E39*200.302+F39*40+G39*0+H39*0+I39*100+J39*300)/(122.58+297.941+89.177+200.302+0+40+0+100+300)</f>
        <v>4.0094259273913044</v>
      </c>
      <c r="AC39" s="45">
        <f>(M39*240+N39*0+O39*355+P39*100)/(240+0+355+100)</f>
        <v>4.0031546762589931</v>
      </c>
    </row>
    <row r="40" spans="1:29" ht="15.75" x14ac:dyDescent="0.25">
      <c r="A40" s="16">
        <v>42095</v>
      </c>
      <c r="B40" s="10">
        <f>CHOOSE(CONTROL!$C$42, 3.84, 3.84) * CHOOSE(CONTROL!$C$21, $C$9, 100%, $E$9)</f>
        <v>3.84</v>
      </c>
      <c r="C40" s="10">
        <f>CHOOSE(CONTROL!$C$42, 3.8444, 3.8444) * CHOOSE(CONTROL!$C$21, $C$9, 100%, $E$9)</f>
        <v>3.8443999999999998</v>
      </c>
      <c r="D40" s="10">
        <f>CHOOSE(CONTROL!$C$42, 4.0503, 4.0503) * CHOOSE(CONTROL!$C$21, $C$9, 100%, $E$9)</f>
        <v>4.0503</v>
      </c>
      <c r="E40" s="10">
        <f>CHOOSE(CONTROL!$C$42, 4.0821, 4.0821) * CHOOSE(CONTROL!$C$21, $C$9, 100%, $E$9)</f>
        <v>4.0820999999999996</v>
      </c>
      <c r="F40" s="10">
        <f>CHOOSE(CONTROL!$C$42, 3.8168, 3.8168)*CHOOSE(CONTROL!$C$21, $C$9, 100%, $E$9)</f>
        <v>3.8168000000000002</v>
      </c>
      <c r="G40" s="10">
        <f>CHOOSE(CONTROL!$C$42, 3.8313, 3.8313)*CHOOSE(CONTROL!$C$21, $C$9, 100%, $E$9)</f>
        <v>3.8313000000000001</v>
      </c>
      <c r="H40" s="10">
        <f>CHOOSE(CONTROL!$C$42, 4.0719, 4.0719) * CHOOSE(CONTROL!$C$21, $C$9, 100%, $E$9)</f>
        <v>4.0719000000000003</v>
      </c>
      <c r="I40" s="10">
        <f>CHOOSE(CONTROL!$C$42, 3.8415, 3.8415)* CHOOSE(CONTROL!$C$21, $C$9, 100%, $E$9)</f>
        <v>3.8414999999999999</v>
      </c>
      <c r="J40" s="10">
        <f>CHOOSE(CONTROL!$C$42, 3.8098, 3.8098)* CHOOSE(CONTROL!$C$21, $C$9, 100%, $E$9)</f>
        <v>3.8098000000000001</v>
      </c>
      <c r="K40" s="53"/>
      <c r="L40" s="10">
        <f>CHOOSE(CONTROL!$C$42, 4.6589, 4.6589) * CHOOSE(CONTROL!$C$21, $C$9, 100%, $E$9)</f>
        <v>4.6589</v>
      </c>
      <c r="M40" s="10">
        <f>CHOOSE(CONTROL!$C$42, 3.7852, 3.7852) * CHOOSE(CONTROL!$C$21, $C$9, 100%, $E$9)</f>
        <v>3.7852000000000001</v>
      </c>
      <c r="N40" s="10">
        <f>CHOOSE(CONTROL!$C$42, 3.7996, 3.7996) * CHOOSE(CONTROL!$C$21, $C$9, 100%, $E$9)</f>
        <v>3.7995999999999999</v>
      </c>
      <c r="O40" s="10">
        <f>CHOOSE(CONTROL!$C$42, 4.0446, 4.0446) * CHOOSE(CONTROL!$C$21, $C$9, 100%, $E$9)</f>
        <v>4.0446</v>
      </c>
      <c r="P40" s="10">
        <f>CHOOSE(CONTROL!$C$42, 3.8166, 3.8166) * CHOOSE(CONTROL!$C$21, $C$9, 100%, $E$9)</f>
        <v>3.8166000000000002</v>
      </c>
      <c r="Q40" s="10">
        <f>CHOOSE(CONTROL!$C$42, 4.6399, 4.6399) * CHOOSE(CONTROL!$C$21, $C$9, 100%, $E$9)</f>
        <v>4.6398999999999999</v>
      </c>
      <c r="R40" s="10">
        <f>CHOOSE(CONTROL!$C$42, 5.2385, 5.2385) * CHOOSE(CONTROL!$C$21, $C$9, 100%, $E$9)</f>
        <v>5.2385000000000002</v>
      </c>
      <c r="S40" s="10">
        <f>CHOOSE(CONTROL!$C$42, 3.7262, 3.7262) * CHOOSE(CONTROL!$C$21, $C$9, 100%, $E$9)</f>
        <v>3.7262</v>
      </c>
      <c r="T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57">
        <f>(1000*CHOOSE(CONTROL!$C$42, 695, 695)*CHOOSE(CONTROL!$C$42, 0.5599, 0.5599)*CHOOSE(CONTROL!$C$42, 30, 30))/1000000</f>
        <v>11.673914999999997</v>
      </c>
      <c r="V40" s="57">
        <f>(1000*CHOOSE(CONTROL!$C$42, 580, 580)*CHOOSE(CONTROL!$C$42, 0.275, 0.275)*CHOOSE(CONTROL!$C$42, 30, 30))/1000000</f>
        <v>4.7850000000000001</v>
      </c>
      <c r="W40" s="57">
        <f>(1000*CHOOSE(CONTROL!$C$42, 0.1146, 0.1146)*CHOOSE(CONTROL!$C$42, 200, 200)*CHOOSE(CONTROL!$C$42, 30, 30))/1000000</f>
        <v>0.68759999999999999</v>
      </c>
      <c r="X40" s="57">
        <f>(30*0.1790888*245000/1000000)+(30*0.2374*100000/1000000)</f>
        <v>2.0285026799999999</v>
      </c>
      <c r="Y40" s="57"/>
      <c r="Z40" s="10">
        <f>CHOOSE(CONTROL!$C$42, 3.8258, 3.8258) * CHOOSE(CONTROL!$C$21, $C$9, 100%, $E$9)</f>
        <v>3.8258000000000001</v>
      </c>
      <c r="AA40" s="61">
        <f>(30*((8.01*31500+8.07*100000)/30))/1000000</f>
        <v>1.059315</v>
      </c>
      <c r="AB40" s="50">
        <f>(B40*141.293+C40*267.993+D40*115.016+E40*89.698+F40*40+G40*185+H40*0+I40*100+J40*300)/(141.293+267.993+115.016+89.698+0+40+185+100+300)</f>
        <v>3.8687614364810332</v>
      </c>
      <c r="AC40" s="45">
        <f t="shared" ref="AC40:AC46" si="1">(M40*240+N40*160+O40*195+P40*100)/(240+160+195+100)</f>
        <v>3.8658143884892087</v>
      </c>
    </row>
    <row r="41" spans="1:29" ht="15.75" x14ac:dyDescent="0.25">
      <c r="A41" s="16">
        <v>42125</v>
      </c>
      <c r="B41" s="10">
        <f>CHOOSE(CONTROL!$C$42, 3.8548, 3.8548) * CHOOSE(CONTROL!$C$21, $C$9, 100%, $E$9)</f>
        <v>3.8548</v>
      </c>
      <c r="C41" s="10">
        <f>CHOOSE(CONTROL!$C$42, 3.8627, 3.8627) * CHOOSE(CONTROL!$C$21, $C$9, 100%, $E$9)</f>
        <v>3.8626999999999998</v>
      </c>
      <c r="D41" s="10">
        <f>CHOOSE(CONTROL!$C$42, 4.0655, 4.0655) * CHOOSE(CONTROL!$C$21, $C$9, 100%, $E$9)</f>
        <v>4.0655000000000001</v>
      </c>
      <c r="E41" s="10">
        <f>CHOOSE(CONTROL!$C$42, 4.0966, 4.0966) * CHOOSE(CONTROL!$C$21, $C$9, 100%, $E$9)</f>
        <v>4.0965999999999996</v>
      </c>
      <c r="F41" s="10">
        <f>CHOOSE(CONTROL!$C$42, 3.8305, 3.8305)*CHOOSE(CONTROL!$C$21, $C$9, 100%, $E$9)</f>
        <v>3.8304999999999998</v>
      </c>
      <c r="G41" s="10">
        <f>CHOOSE(CONTROL!$C$42, 3.8455, 3.8455)*CHOOSE(CONTROL!$C$21, $C$9, 100%, $E$9)</f>
        <v>3.8454999999999999</v>
      </c>
      <c r="H41" s="10">
        <f>CHOOSE(CONTROL!$C$42, 4.0852, 4.0852) * CHOOSE(CONTROL!$C$21, $C$9, 100%, $E$9)</f>
        <v>4.0852000000000004</v>
      </c>
      <c r="I41" s="10">
        <f>CHOOSE(CONTROL!$C$42, 3.8549, 3.8549)* CHOOSE(CONTROL!$C$21, $C$9, 100%, $E$9)</f>
        <v>3.8549000000000002</v>
      </c>
      <c r="J41" s="10">
        <f>CHOOSE(CONTROL!$C$42, 3.8235, 3.8235)* CHOOSE(CONTROL!$C$21, $C$9, 100%, $E$9)</f>
        <v>3.8235000000000001</v>
      </c>
      <c r="K41" s="53"/>
      <c r="L41" s="10">
        <f>CHOOSE(CONTROL!$C$42, 4.6722, 4.6722) * CHOOSE(CONTROL!$C$21, $C$9, 100%, $E$9)</f>
        <v>4.6722000000000001</v>
      </c>
      <c r="M41" s="10">
        <f>CHOOSE(CONTROL!$C$42, 3.7988, 3.7988) * CHOOSE(CONTROL!$C$21, $C$9, 100%, $E$9)</f>
        <v>3.7988</v>
      </c>
      <c r="N41" s="10">
        <f>CHOOSE(CONTROL!$C$42, 3.8136, 3.8136) * CHOOSE(CONTROL!$C$21, $C$9, 100%, $E$9)</f>
        <v>3.8136000000000001</v>
      </c>
      <c r="O41" s="10">
        <f>CHOOSE(CONTROL!$C$42, 4.0578, 4.0578) * CHOOSE(CONTROL!$C$21, $C$9, 100%, $E$9)</f>
        <v>4.0578000000000003</v>
      </c>
      <c r="P41" s="10">
        <f>CHOOSE(CONTROL!$C$42, 3.8298, 3.8298) * CHOOSE(CONTROL!$C$21, $C$9, 100%, $E$9)</f>
        <v>3.8298000000000001</v>
      </c>
      <c r="Q41" s="10">
        <f>CHOOSE(CONTROL!$C$42, 4.6531, 4.6531) * CHOOSE(CONTROL!$C$21, $C$9, 100%, $E$9)</f>
        <v>4.6531000000000002</v>
      </c>
      <c r="R41" s="10">
        <f>CHOOSE(CONTROL!$C$42, 5.2518, 5.2518) * CHOOSE(CONTROL!$C$21, $C$9, 100%, $E$9)</f>
        <v>5.2518000000000002</v>
      </c>
      <c r="S41" s="10">
        <f>CHOOSE(CONTROL!$C$42, 3.7392, 3.7392) * CHOOSE(CONTROL!$C$21, $C$9, 100%, $E$9)</f>
        <v>3.7391999999999999</v>
      </c>
      <c r="T41" s="59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41" s="57">
        <f>(1000*CHOOSE(CONTROL!$C$42, 695, 695)*CHOOSE(CONTROL!$C$42, 0.5599, 0.5599)*CHOOSE(CONTROL!$C$42, 31, 31))/1000000</f>
        <v>12.063045499999998</v>
      </c>
      <c r="V41" s="57">
        <f>(1000*CHOOSE(CONTROL!$C$42, 580, 580)*CHOOSE(CONTROL!$C$42, 0.275, 0.275)*CHOOSE(CONTROL!$C$42, 31, 31))/1000000</f>
        <v>4.9444999999999997</v>
      </c>
      <c r="W41" s="57">
        <f>(1000*CHOOSE(CONTROL!$C$42, 0.1146, 0.1146)*CHOOSE(CONTROL!$C$42, 200, 200)*CHOOSE(CONTROL!$C$42, 31, 31))/1000000</f>
        <v>0.71052000000000004</v>
      </c>
      <c r="X41" s="57">
        <f>(31*0.1790888*245000/1000000)+(31*0.2374*100000/1000000)</f>
        <v>2.0961194359999999</v>
      </c>
      <c r="Y41" s="57"/>
      <c r="Z41" s="10">
        <f>CHOOSE(CONTROL!$C$42, 3.8391, 3.8391) * CHOOSE(CONTROL!$C$21, $C$9, 100%, $E$9)</f>
        <v>3.8391000000000002</v>
      </c>
      <c r="AA41" s="61">
        <f>(31*((8.01*31500+8.07*100000)/31))/1000000</f>
        <v>1.059315</v>
      </c>
      <c r="AB41" s="50">
        <f>(B41*194.205+C41*267.466+D41*133.845+E41*53.484+F41*40+G41*185+H41*50+I41*100+J41*300)/(194.205+267.466+133.845+53.484+50+40+185+100+300)</f>
        <v>3.8870462644259818</v>
      </c>
      <c r="AC41" s="45">
        <f t="shared" si="1"/>
        <v>3.8793366906474822</v>
      </c>
    </row>
    <row r="42" spans="1:29" ht="15.75" x14ac:dyDescent="0.25">
      <c r="A42" s="16">
        <v>42156</v>
      </c>
      <c r="B42" s="10">
        <f>CHOOSE(CONTROL!$C$42, 3.8795, 3.8795) * CHOOSE(CONTROL!$C$21, $C$9, 100%, $E$9)</f>
        <v>3.8795000000000002</v>
      </c>
      <c r="C42" s="10">
        <f>CHOOSE(CONTROL!$C$42, 3.8875, 3.8875) * CHOOSE(CONTROL!$C$21, $C$9, 100%, $E$9)</f>
        <v>3.8875000000000002</v>
      </c>
      <c r="D42" s="10">
        <f>CHOOSE(CONTROL!$C$42, 4.0902, 4.0902) * CHOOSE(CONTROL!$C$21, $C$9, 100%, $E$9)</f>
        <v>4.0902000000000003</v>
      </c>
      <c r="E42" s="10">
        <f>CHOOSE(CONTROL!$C$42, 4.1213, 4.1213) * CHOOSE(CONTROL!$C$21, $C$9, 100%, $E$9)</f>
        <v>4.1212999999999997</v>
      </c>
      <c r="F42" s="10">
        <f>CHOOSE(CONTROL!$C$42, 3.8558, 3.8558)*CHOOSE(CONTROL!$C$21, $C$9, 100%, $E$9)</f>
        <v>3.8557999999999999</v>
      </c>
      <c r="G42" s="10">
        <f>CHOOSE(CONTROL!$C$42, 3.8709, 3.8709)*CHOOSE(CONTROL!$C$21, $C$9, 100%, $E$9)</f>
        <v>3.8708999999999998</v>
      </c>
      <c r="H42" s="10">
        <f>CHOOSE(CONTROL!$C$42, 4.11, 4.11) * CHOOSE(CONTROL!$C$21, $C$9, 100%, $E$9)</f>
        <v>4.1100000000000003</v>
      </c>
      <c r="I42" s="10">
        <f>CHOOSE(CONTROL!$C$42, 3.8796, 3.8796)* CHOOSE(CONTROL!$C$21, $C$9, 100%, $E$9)</f>
        <v>3.8795999999999999</v>
      </c>
      <c r="J42" s="10">
        <f>CHOOSE(CONTROL!$C$42, 3.8488, 3.8488)* CHOOSE(CONTROL!$C$21, $C$9, 100%, $E$9)</f>
        <v>3.8488000000000002</v>
      </c>
      <c r="K42" s="53"/>
      <c r="L42" s="10">
        <f>CHOOSE(CONTROL!$C$42, 4.697, 4.697) * CHOOSE(CONTROL!$C$21, $C$9, 100%, $E$9)</f>
        <v>4.6970000000000001</v>
      </c>
      <c r="M42" s="10">
        <f>CHOOSE(CONTROL!$C$42, 3.8238, 3.8238) * CHOOSE(CONTROL!$C$21, $C$9, 100%, $E$9)</f>
        <v>3.8237999999999999</v>
      </c>
      <c r="N42" s="10">
        <f>CHOOSE(CONTROL!$C$42, 3.8387, 3.8387) * CHOOSE(CONTROL!$C$21, $C$9, 100%, $E$9)</f>
        <v>3.8386999999999998</v>
      </c>
      <c r="O42" s="10">
        <f>CHOOSE(CONTROL!$C$42, 4.0823, 4.0823) * CHOOSE(CONTROL!$C$21, $C$9, 100%, $E$9)</f>
        <v>4.0823</v>
      </c>
      <c r="P42" s="10">
        <f>CHOOSE(CONTROL!$C$42, 3.8543, 3.8543) * CHOOSE(CONTROL!$C$21, $C$9, 100%, $E$9)</f>
        <v>3.8542999999999998</v>
      </c>
      <c r="Q42" s="10">
        <f>CHOOSE(CONTROL!$C$42, 4.6776, 4.6776) * CHOOSE(CONTROL!$C$21, $C$9, 100%, $E$9)</f>
        <v>4.6776</v>
      </c>
      <c r="R42" s="10">
        <f>CHOOSE(CONTROL!$C$42, 5.2763, 5.2763) * CHOOSE(CONTROL!$C$21, $C$9, 100%, $E$9)</f>
        <v>5.2763</v>
      </c>
      <c r="S42" s="10">
        <f>CHOOSE(CONTROL!$C$42, 3.7632, 3.7632) * CHOOSE(CONTROL!$C$21, $C$9, 100%, $E$9)</f>
        <v>3.7631999999999999</v>
      </c>
      <c r="T42" s="59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42" s="57">
        <f>(1000*CHOOSE(CONTROL!$C$42, 695, 695)*CHOOSE(CONTROL!$C$42, 0.5599, 0.5599)*CHOOSE(CONTROL!$C$42, 30, 30))/1000000</f>
        <v>11.673914999999997</v>
      </c>
      <c r="V42" s="57">
        <f>(1000*CHOOSE(CONTROL!$C$42, 580, 580)*CHOOSE(CONTROL!$C$42, 0.275, 0.275)*CHOOSE(CONTROL!$C$42, 30, 30))/1000000</f>
        <v>4.7850000000000001</v>
      </c>
      <c r="W42" s="57">
        <f>(1000*CHOOSE(CONTROL!$C$42, 0.1146, 0.1146)*CHOOSE(CONTROL!$C$42, 200, 200)*CHOOSE(CONTROL!$C$42, 30, 30))/1000000</f>
        <v>0.68759999999999999</v>
      </c>
      <c r="X42" s="57">
        <f>(30*0.1790888*245000/1000000)+(30*0.2374*100000/1000000)</f>
        <v>2.0285026799999999</v>
      </c>
      <c r="Y42" s="57"/>
      <c r="Z42" s="10">
        <f>CHOOSE(CONTROL!$C$42, 3.8636, 3.8636) * CHOOSE(CONTROL!$C$21, $C$9, 100%, $E$9)</f>
        <v>3.8635999999999999</v>
      </c>
      <c r="AA42" s="60">
        <f>(30*((8.07*31500+8.18*100000)/30))/1000000</f>
        <v>1.0722050000000001</v>
      </c>
      <c r="AB42" s="50">
        <f>(B42*194.205+C42*267.466+D42*133.845+E42*53.484+F42*40+G42*185+H42*50+I42*100+J42*300)/(194.205+267.466+133.845+53.484+50+40+185+100+300)</f>
        <v>3.9120221304380669</v>
      </c>
      <c r="AC42" s="45">
        <f t="shared" si="1"/>
        <v>3.904147482014388</v>
      </c>
    </row>
    <row r="43" spans="1:29" ht="15.75" x14ac:dyDescent="0.25">
      <c r="A43" s="16">
        <v>42186</v>
      </c>
      <c r="B43" s="10">
        <f>CHOOSE(CONTROL!$C$42, 3.9053, 3.9053) * CHOOSE(CONTROL!$C$21, $C$9, 100%, $E$9)</f>
        <v>3.9053</v>
      </c>
      <c r="C43" s="10">
        <f>CHOOSE(CONTROL!$C$42, 3.9132, 3.9132) * CHOOSE(CONTROL!$C$21, $C$9, 100%, $E$9)</f>
        <v>3.9131999999999998</v>
      </c>
      <c r="D43" s="10">
        <f>CHOOSE(CONTROL!$C$42, 4.1159, 4.1159) * CHOOSE(CONTROL!$C$21, $C$9, 100%, $E$9)</f>
        <v>4.1158999999999999</v>
      </c>
      <c r="E43" s="10">
        <f>CHOOSE(CONTROL!$C$42, 4.1471, 4.1471) * CHOOSE(CONTROL!$C$21, $C$9, 100%, $E$9)</f>
        <v>4.1471</v>
      </c>
      <c r="F43" s="10">
        <f>CHOOSE(CONTROL!$C$42, 3.882, 3.882)*CHOOSE(CONTROL!$C$21, $C$9, 100%, $E$9)</f>
        <v>3.8820000000000001</v>
      </c>
      <c r="G43" s="10">
        <f>CHOOSE(CONTROL!$C$42, 3.8973, 3.8973)*CHOOSE(CONTROL!$C$21, $C$9, 100%, $E$9)</f>
        <v>3.8973</v>
      </c>
      <c r="H43" s="10">
        <f>CHOOSE(CONTROL!$C$42, 4.1357, 4.1357) * CHOOSE(CONTROL!$C$21, $C$9, 100%, $E$9)</f>
        <v>4.1356999999999999</v>
      </c>
      <c r="I43" s="10">
        <f>CHOOSE(CONTROL!$C$42, 3.9053, 3.9053)* CHOOSE(CONTROL!$C$21, $C$9, 100%, $E$9)</f>
        <v>3.9053</v>
      </c>
      <c r="J43" s="10">
        <f>CHOOSE(CONTROL!$C$42, 3.875, 3.875)* CHOOSE(CONTROL!$C$21, $C$9, 100%, $E$9)</f>
        <v>3.875</v>
      </c>
      <c r="K43" s="53"/>
      <c r="L43" s="10">
        <f>CHOOSE(CONTROL!$C$42, 4.7227, 4.7227) * CHOOSE(CONTROL!$C$21, $C$9, 100%, $E$9)</f>
        <v>4.7226999999999997</v>
      </c>
      <c r="M43" s="10">
        <f>CHOOSE(CONTROL!$C$42, 3.8498, 3.8498) * CHOOSE(CONTROL!$C$21, $C$9, 100%, $E$9)</f>
        <v>3.8498000000000001</v>
      </c>
      <c r="N43" s="10">
        <f>CHOOSE(CONTROL!$C$42, 3.8649, 3.8649) * CHOOSE(CONTROL!$C$21, $C$9, 100%, $E$9)</f>
        <v>3.8649</v>
      </c>
      <c r="O43" s="10">
        <f>CHOOSE(CONTROL!$C$42, 4.1078, 4.1078) * CHOOSE(CONTROL!$C$21, $C$9, 100%, $E$9)</f>
        <v>4.1078000000000001</v>
      </c>
      <c r="P43" s="10">
        <f>CHOOSE(CONTROL!$C$42, 3.8798, 3.8798) * CHOOSE(CONTROL!$C$21, $C$9, 100%, $E$9)</f>
        <v>3.8797999999999999</v>
      </c>
      <c r="Q43" s="10">
        <f>CHOOSE(CONTROL!$C$42, 4.7031, 4.7031) * CHOOSE(CONTROL!$C$21, $C$9, 100%, $E$9)</f>
        <v>4.7031000000000001</v>
      </c>
      <c r="R43" s="10">
        <f>CHOOSE(CONTROL!$C$42, 5.3019, 5.3019) * CHOOSE(CONTROL!$C$21, $C$9, 100%, $E$9)</f>
        <v>5.3018999999999998</v>
      </c>
      <c r="S43" s="10">
        <f>CHOOSE(CONTROL!$C$42, 3.7882, 3.7882) * CHOOSE(CONTROL!$C$21, $C$9, 100%, $E$9)</f>
        <v>3.7881999999999998</v>
      </c>
      <c r="T43" s="59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43" s="57">
        <f>(1000*CHOOSE(CONTROL!$C$42, 695, 695)*CHOOSE(CONTROL!$C$42, 0.5599, 0.5599)*CHOOSE(CONTROL!$C$42, 31, 31))/1000000</f>
        <v>12.063045499999998</v>
      </c>
      <c r="V43" s="57">
        <f>(1000*CHOOSE(CONTROL!$C$42, 580, 580)*CHOOSE(CONTROL!$C$42, 0.275, 0.275)*CHOOSE(CONTROL!$C$42, 31, 31))/1000000</f>
        <v>4.9444999999999997</v>
      </c>
      <c r="W43" s="57">
        <f>(1000*CHOOSE(CONTROL!$C$42, 0.1146, 0.1146)*CHOOSE(CONTROL!$C$42, 200, 200)*CHOOSE(CONTROL!$C$42, 31, 31))/1000000</f>
        <v>0.71052000000000004</v>
      </c>
      <c r="X43" s="57">
        <f>(31*0.1790888*245000/1000000)+(31*0.2374*100000/1000000)</f>
        <v>2.0961194359999999</v>
      </c>
      <c r="Y43" s="57"/>
      <c r="Z43" s="10">
        <f>CHOOSE(CONTROL!$C$42, 3.8892, 3.8892) * CHOOSE(CONTROL!$C$21, $C$9, 100%, $E$9)</f>
        <v>3.8892000000000002</v>
      </c>
      <c r="AA43" s="58">
        <f>(31*((8.12*31500+8.18*100000)/31))/1000000</f>
        <v>1.07378</v>
      </c>
      <c r="AB43" s="50">
        <f>(B43*194.205+C43*267.466+D43*133.845+E43*53.484+F43*40+G43*185+H43*50+I43*100+J43*300)/(194.205+267.466+133.845+53.484+50+40+185+100+300)</f>
        <v>3.9379670465256797</v>
      </c>
      <c r="AC43" s="45">
        <f t="shared" si="1"/>
        <v>3.9299812949640289</v>
      </c>
    </row>
    <row r="44" spans="1:29" ht="15.75" x14ac:dyDescent="0.25">
      <c r="A44" s="16">
        <v>42217</v>
      </c>
      <c r="B44" s="10">
        <f>CHOOSE(CONTROL!$C$42, 3.9176, 3.9176) * CHOOSE(CONTROL!$C$21, $C$9, 100%, $E$9)</f>
        <v>3.9176000000000002</v>
      </c>
      <c r="C44" s="10">
        <f>CHOOSE(CONTROL!$C$42, 3.9256, 3.9256) * CHOOSE(CONTROL!$C$21, $C$9, 100%, $E$9)</f>
        <v>3.9256000000000002</v>
      </c>
      <c r="D44" s="10">
        <f>CHOOSE(CONTROL!$C$42, 4.1283, 4.1283) * CHOOSE(CONTROL!$C$21, $C$9, 100%, $E$9)</f>
        <v>4.1283000000000003</v>
      </c>
      <c r="E44" s="10">
        <f>CHOOSE(CONTROL!$C$42, 4.1594, 4.1594) * CHOOSE(CONTROL!$C$21, $C$9, 100%, $E$9)</f>
        <v>4.1593999999999998</v>
      </c>
      <c r="F44" s="10">
        <f>CHOOSE(CONTROL!$C$42, 3.8946, 3.8946)*CHOOSE(CONTROL!$C$21, $C$9, 100%, $E$9)</f>
        <v>3.8946000000000001</v>
      </c>
      <c r="G44" s="10">
        <f>CHOOSE(CONTROL!$C$42, 3.9099, 3.9099)*CHOOSE(CONTROL!$C$21, $C$9, 100%, $E$9)</f>
        <v>3.9098999999999999</v>
      </c>
      <c r="H44" s="10">
        <f>CHOOSE(CONTROL!$C$42, 4.1481, 4.1481) * CHOOSE(CONTROL!$C$21, $C$9, 100%, $E$9)</f>
        <v>4.1481000000000003</v>
      </c>
      <c r="I44" s="10">
        <f>CHOOSE(CONTROL!$C$42, 3.9177, 3.9177)* CHOOSE(CONTROL!$C$21, $C$9, 100%, $E$9)</f>
        <v>3.9177</v>
      </c>
      <c r="J44" s="10">
        <f>CHOOSE(CONTROL!$C$42, 3.8876, 3.8876)* CHOOSE(CONTROL!$C$21, $C$9, 100%, $E$9)</f>
        <v>3.8875999999999999</v>
      </c>
      <c r="K44" s="53"/>
      <c r="L44" s="10">
        <f>CHOOSE(CONTROL!$C$42, 4.7351, 4.7351) * CHOOSE(CONTROL!$C$21, $C$9, 100%, $E$9)</f>
        <v>4.7351000000000001</v>
      </c>
      <c r="M44" s="10">
        <f>CHOOSE(CONTROL!$C$42, 3.8622, 3.8622) * CHOOSE(CONTROL!$C$21, $C$9, 100%, $E$9)</f>
        <v>3.8622000000000001</v>
      </c>
      <c r="N44" s="10">
        <f>CHOOSE(CONTROL!$C$42, 3.8773, 3.8773) * CHOOSE(CONTROL!$C$21, $C$9, 100%, $E$9)</f>
        <v>3.8773</v>
      </c>
      <c r="O44" s="10">
        <f>CHOOSE(CONTROL!$C$42, 4.12, 4.12) * CHOOSE(CONTROL!$C$21, $C$9, 100%, $E$9)</f>
        <v>4.12</v>
      </c>
      <c r="P44" s="10">
        <f>CHOOSE(CONTROL!$C$42, 3.892, 3.892) * CHOOSE(CONTROL!$C$21, $C$9, 100%, $E$9)</f>
        <v>3.8919999999999999</v>
      </c>
      <c r="Q44" s="10">
        <f>CHOOSE(CONTROL!$C$42, 4.7153, 4.7153) * CHOOSE(CONTROL!$C$21, $C$9, 100%, $E$9)</f>
        <v>4.7153</v>
      </c>
      <c r="R44" s="10">
        <f>CHOOSE(CONTROL!$C$42, 5.3141, 5.3141) * CHOOSE(CONTROL!$C$21, $C$9, 100%, $E$9)</f>
        <v>5.3140999999999998</v>
      </c>
      <c r="S44" s="10">
        <f>CHOOSE(CONTROL!$C$42, 3.8002, 3.8002) * CHOOSE(CONTROL!$C$21, $C$9, 100%, $E$9)</f>
        <v>3.8001999999999998</v>
      </c>
      <c r="T44" s="59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44" s="57">
        <f>(1000*CHOOSE(CONTROL!$C$42, 695, 695)*CHOOSE(CONTROL!$C$42, 0.5599, 0.5599)*CHOOSE(CONTROL!$C$42, 31, 31))/1000000</f>
        <v>12.063045499999998</v>
      </c>
      <c r="V44" s="57">
        <f>(1000*CHOOSE(CONTROL!$C$42, 580, 580)*CHOOSE(CONTROL!$C$42, 0.275, 0.275)*CHOOSE(CONTROL!$C$42, 31, 31))/1000000</f>
        <v>4.9444999999999997</v>
      </c>
      <c r="W44" s="57">
        <f>(1000*CHOOSE(CONTROL!$C$42, 0.1146, 0.1146)*CHOOSE(CONTROL!$C$42, 200, 200)*CHOOSE(CONTROL!$C$42, 31, 31))/1000000</f>
        <v>0.71052000000000004</v>
      </c>
      <c r="X44" s="57">
        <f>(31*0.1790888*245000/1000000)+(31*0.2374*100000/1000000)</f>
        <v>2.0961194359999999</v>
      </c>
      <c r="Y44" s="57"/>
      <c r="Z44" s="10">
        <f>CHOOSE(CONTROL!$C$42, 3.9015, 3.9015) * CHOOSE(CONTROL!$C$21, $C$9, 100%, $E$9)</f>
        <v>3.9015</v>
      </c>
      <c r="AA44" s="58">
        <f>(31*((8.12*31500+8.18*100000)/31))/1000000</f>
        <v>1.07378</v>
      </c>
      <c r="AB44" s="50">
        <f>(B44*194.205+C44*267.466+D44*133.845+E44*53.484+F44*40+G44*185+H44*50+I44*100+J44*300)/(194.205+267.466+133.845+53.484+50+40+185+100+300)</f>
        <v>3.9504276440332329</v>
      </c>
      <c r="AC44" s="45">
        <f t="shared" si="1"/>
        <v>3.9422964028776977</v>
      </c>
    </row>
    <row r="45" spans="1:29" ht="15.75" x14ac:dyDescent="0.25">
      <c r="A45" s="16">
        <v>42248</v>
      </c>
      <c r="B45" s="10">
        <f>CHOOSE(CONTROL!$C$42, 3.9162, 3.9162) * CHOOSE(CONTROL!$C$21, $C$9, 100%, $E$9)</f>
        <v>3.9161999999999999</v>
      </c>
      <c r="C45" s="10">
        <f>CHOOSE(CONTROL!$C$42, 3.9241, 3.9241) * CHOOSE(CONTROL!$C$21, $C$9, 100%, $E$9)</f>
        <v>3.9241000000000001</v>
      </c>
      <c r="D45" s="10">
        <f>CHOOSE(CONTROL!$C$42, 4.1269, 4.1269) * CHOOSE(CONTROL!$C$21, $C$9, 100%, $E$9)</f>
        <v>4.1269</v>
      </c>
      <c r="E45" s="10">
        <f>CHOOSE(CONTROL!$C$42, 4.158, 4.158) * CHOOSE(CONTROL!$C$21, $C$9, 100%, $E$9)</f>
        <v>4.1580000000000004</v>
      </c>
      <c r="F45" s="10">
        <f>CHOOSE(CONTROL!$C$42, 3.893, 3.893)*CHOOSE(CONTROL!$C$21, $C$9, 100%, $E$9)</f>
        <v>3.8929999999999998</v>
      </c>
      <c r="G45" s="10">
        <f>CHOOSE(CONTROL!$C$42, 3.9083, 3.9083)*CHOOSE(CONTROL!$C$21, $C$9, 100%, $E$9)</f>
        <v>3.9083000000000001</v>
      </c>
      <c r="H45" s="10">
        <f>CHOOSE(CONTROL!$C$42, 4.1466, 4.1466) * CHOOSE(CONTROL!$C$21, $C$9, 100%, $E$9)</f>
        <v>4.1466000000000003</v>
      </c>
      <c r="I45" s="10">
        <f>CHOOSE(CONTROL!$C$42, 3.9163, 3.9163)* CHOOSE(CONTROL!$C$21, $C$9, 100%, $E$9)</f>
        <v>3.9163000000000001</v>
      </c>
      <c r="J45" s="10">
        <f>CHOOSE(CONTROL!$C$42, 3.886, 3.886)* CHOOSE(CONTROL!$C$21, $C$9, 100%, $E$9)</f>
        <v>3.8860000000000001</v>
      </c>
      <c r="K45" s="53"/>
      <c r="L45" s="10">
        <f>CHOOSE(CONTROL!$C$42, 4.7336, 4.7336) * CHOOSE(CONTROL!$C$21, $C$9, 100%, $E$9)</f>
        <v>4.7336</v>
      </c>
      <c r="M45" s="10">
        <f>CHOOSE(CONTROL!$C$42, 3.8606, 3.8606) * CHOOSE(CONTROL!$C$21, $C$9, 100%, $E$9)</f>
        <v>3.8605999999999998</v>
      </c>
      <c r="N45" s="10">
        <f>CHOOSE(CONTROL!$C$42, 3.8758, 3.8758) * CHOOSE(CONTROL!$C$21, $C$9, 100%, $E$9)</f>
        <v>3.8757999999999999</v>
      </c>
      <c r="O45" s="10">
        <f>CHOOSE(CONTROL!$C$42, 4.1186, 4.1186) * CHOOSE(CONTROL!$C$21, $C$9, 100%, $E$9)</f>
        <v>4.1185999999999998</v>
      </c>
      <c r="P45" s="10">
        <f>CHOOSE(CONTROL!$C$42, 3.8906, 3.8906) * CHOOSE(CONTROL!$C$21, $C$9, 100%, $E$9)</f>
        <v>3.8906000000000001</v>
      </c>
      <c r="Q45" s="10">
        <f>CHOOSE(CONTROL!$C$42, 4.7139, 4.7139) * CHOOSE(CONTROL!$C$21, $C$9, 100%, $E$9)</f>
        <v>4.7138999999999998</v>
      </c>
      <c r="R45" s="10">
        <f>CHOOSE(CONTROL!$C$42, 5.3127, 5.3127) * CHOOSE(CONTROL!$C$21, $C$9, 100%, $E$9)</f>
        <v>5.3127000000000004</v>
      </c>
      <c r="S45" s="10">
        <f>CHOOSE(CONTROL!$C$42, 3.7988, 3.7988) * CHOOSE(CONTROL!$C$21, $C$9, 100%, $E$9)</f>
        <v>3.7988</v>
      </c>
      <c r="T45" s="59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45" s="57">
        <f>(1000*CHOOSE(CONTROL!$C$42, 695, 695)*CHOOSE(CONTROL!$C$42, 0.5599, 0.5599)*CHOOSE(CONTROL!$C$42, 30, 30))/1000000</f>
        <v>11.673914999999997</v>
      </c>
      <c r="V45" s="57">
        <f>(1000*CHOOSE(CONTROL!$C$42, 580, 580)*CHOOSE(CONTROL!$C$42, 0.275, 0.275)*CHOOSE(CONTROL!$C$42, 30, 30))/1000000</f>
        <v>4.7850000000000001</v>
      </c>
      <c r="W45" s="57">
        <f>(1000*CHOOSE(CONTROL!$C$42, 0.1146, 0.1146)*CHOOSE(CONTROL!$C$42, 200, 200)*CHOOSE(CONTROL!$C$42, 30, 30))/1000000</f>
        <v>0.68759999999999999</v>
      </c>
      <c r="X45" s="57">
        <f>(30*0.1790888*245000/1000000)+(30*0.2374*100000/1000000)</f>
        <v>2.0285026799999999</v>
      </c>
      <c r="Y45" s="57"/>
      <c r="Z45" s="10">
        <f>CHOOSE(CONTROL!$C$42, 3.9001, 3.9001) * CHOOSE(CONTROL!$C$21, $C$9, 100%, $E$9)</f>
        <v>3.9001000000000001</v>
      </c>
      <c r="AA45" s="58">
        <f>(30*((8.12*31500+8.18*100000)/30))/1000000</f>
        <v>1.07378</v>
      </c>
      <c r="AB45" s="50">
        <f>(B45*194.205+C45*267.466+D45*133.845+E45*53.484+F45*40+G45*185+H45*50+I45*100+J45*300)/(194.205+267.466+133.845+53.484+50+40+185+100+300)</f>
        <v>3.9489243611027187</v>
      </c>
      <c r="AC45" s="45">
        <f t="shared" si="1"/>
        <v>3.9408043165467626</v>
      </c>
    </row>
    <row r="46" spans="1:29" ht="15.75" x14ac:dyDescent="0.25">
      <c r="A46" s="16">
        <v>42278</v>
      </c>
      <c r="B46" s="10">
        <f>CHOOSE(CONTROL!$C$42, 3.9381, 3.9381) * CHOOSE(CONTROL!$C$21, $C$9, 100%, $E$9)</f>
        <v>3.9380999999999999</v>
      </c>
      <c r="C46" s="10">
        <f>CHOOSE(CONTROL!$C$42, 3.9434, 3.9434) * CHOOSE(CONTROL!$C$21, $C$9, 100%, $E$9)</f>
        <v>3.9434</v>
      </c>
      <c r="D46" s="10">
        <f>CHOOSE(CONTROL!$C$42, 4.1511, 4.1511) * CHOOSE(CONTROL!$C$21, $C$9, 100%, $E$9)</f>
        <v>4.1510999999999996</v>
      </c>
      <c r="E46" s="10">
        <f>CHOOSE(CONTROL!$C$42, 4.1799, 4.1799) * CHOOSE(CONTROL!$C$21, $C$9, 100%, $E$9)</f>
        <v>4.1798999999999999</v>
      </c>
      <c r="F46" s="10">
        <f>CHOOSE(CONTROL!$C$42, 3.9169, 3.9169)*CHOOSE(CONTROL!$C$21, $C$9, 100%, $E$9)</f>
        <v>3.9169</v>
      </c>
      <c r="G46" s="10">
        <f>CHOOSE(CONTROL!$C$42, 3.9318, 3.9318)*CHOOSE(CONTROL!$C$21, $C$9, 100%, $E$9)</f>
        <v>3.9318</v>
      </c>
      <c r="H46" s="10">
        <f>CHOOSE(CONTROL!$C$42, 4.1703, 4.1703) * CHOOSE(CONTROL!$C$21, $C$9, 100%, $E$9)</f>
        <v>4.1703000000000001</v>
      </c>
      <c r="I46" s="10">
        <f>CHOOSE(CONTROL!$C$42, 3.9399, 3.9399)* CHOOSE(CONTROL!$C$21, $C$9, 100%, $E$9)</f>
        <v>3.9399000000000002</v>
      </c>
      <c r="J46" s="10">
        <f>CHOOSE(CONTROL!$C$42, 3.9099, 3.9099)* CHOOSE(CONTROL!$C$21, $C$9, 100%, $E$9)</f>
        <v>3.9098999999999999</v>
      </c>
      <c r="K46" s="53"/>
      <c r="L46" s="10">
        <f>CHOOSE(CONTROL!$C$42, 4.7573, 4.7573) * CHOOSE(CONTROL!$C$21, $C$9, 100%, $E$9)</f>
        <v>4.7572999999999999</v>
      </c>
      <c r="M46" s="10">
        <f>CHOOSE(CONTROL!$C$42, 3.8842, 3.8842) * CHOOSE(CONTROL!$C$21, $C$9, 100%, $E$9)</f>
        <v>3.8841999999999999</v>
      </c>
      <c r="N46" s="10">
        <f>CHOOSE(CONTROL!$C$42, 3.899, 3.899) * CHOOSE(CONTROL!$C$21, $C$9, 100%, $E$9)</f>
        <v>3.899</v>
      </c>
      <c r="O46" s="10">
        <f>CHOOSE(CONTROL!$C$42, 4.1421, 4.1421) * CHOOSE(CONTROL!$C$21, $C$9, 100%, $E$9)</f>
        <v>4.1421000000000001</v>
      </c>
      <c r="P46" s="10">
        <f>CHOOSE(CONTROL!$C$42, 3.9141, 3.9141) * CHOOSE(CONTROL!$C$21, $C$9, 100%, $E$9)</f>
        <v>3.9140999999999999</v>
      </c>
      <c r="Q46" s="10">
        <f>CHOOSE(CONTROL!$C$42, 4.7374, 4.7374) * CHOOSE(CONTROL!$C$21, $C$9, 100%, $E$9)</f>
        <v>4.7374000000000001</v>
      </c>
      <c r="R46" s="10">
        <f>CHOOSE(CONTROL!$C$42, 5.3362, 5.3362) * CHOOSE(CONTROL!$C$21, $C$9, 100%, $E$9)</f>
        <v>5.3361999999999998</v>
      </c>
      <c r="S46" s="10">
        <f>CHOOSE(CONTROL!$C$42, 3.8218, 3.8218) * CHOOSE(CONTROL!$C$21, $C$9, 100%, $E$9)</f>
        <v>3.8218000000000001</v>
      </c>
      <c r="T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57">
        <f>(1000*CHOOSE(CONTROL!$C$42, 695, 695)*CHOOSE(CONTROL!$C$42, 0.5599, 0.5599)*CHOOSE(CONTROL!$C$42, 31, 31))/1000000</f>
        <v>12.063045499999998</v>
      </c>
      <c r="V46" s="57">
        <f>(1000*CHOOSE(CONTROL!$C$42, 580, 580)*CHOOSE(CONTROL!$C$42, 0.275, 0.275)*CHOOSE(CONTROL!$C$42, 31, 31))/1000000</f>
        <v>4.9444999999999997</v>
      </c>
      <c r="W46" s="57">
        <f>(1000*CHOOSE(CONTROL!$C$42, 0.1146, 0.1146)*CHOOSE(CONTROL!$C$42, 200, 200)*CHOOSE(CONTROL!$C$42, 31, 31))/1000000</f>
        <v>0.71052000000000004</v>
      </c>
      <c r="X46" s="57">
        <f>(31*0.1790888*245000/1000000)+(31*0.2374*100000/1000000)</f>
        <v>2.0961194359999999</v>
      </c>
      <c r="Y46" s="57"/>
      <c r="Z46" s="10">
        <f>CHOOSE(CONTROL!$C$42, 3.9236, 3.9236) * CHOOSE(CONTROL!$C$21, $C$9, 100%, $E$9)</f>
        <v>3.9236</v>
      </c>
      <c r="AA46" s="58">
        <f>(31*((8.12*31500+8.18*100000)/31))/1000000</f>
        <v>1.07378</v>
      </c>
      <c r="AB46" s="50">
        <f>(B46*131.881+C46*277.167+D46*79.08+E46*125.872+F46*40+G46*185+H46*0+I46*100+J46*300)/(131.881+277.167+79.08+125.872+0+40+185+100+300)</f>
        <v>3.9691374291364006</v>
      </c>
      <c r="AC46" s="45">
        <f t="shared" si="1"/>
        <v>3.9642697841726617</v>
      </c>
    </row>
    <row r="47" spans="1:29" ht="15.75" x14ac:dyDescent="0.25">
      <c r="A47" s="16">
        <v>42309</v>
      </c>
      <c r="B47" s="10">
        <f>CHOOSE(CONTROL!$C$42, 4.0067, 4.0067) * CHOOSE(CONTROL!$C$21, $C$9, 100%, $E$9)</f>
        <v>4.0067000000000004</v>
      </c>
      <c r="C47" s="10">
        <f>CHOOSE(CONTROL!$C$42, 4.0117, 4.0117) * CHOOSE(CONTROL!$C$21, $C$9, 100%, $E$9)</f>
        <v>4.0117000000000003</v>
      </c>
      <c r="D47" s="10">
        <f>CHOOSE(CONTROL!$C$42, 4.0722, 4.0722) * CHOOSE(CONTROL!$C$21, $C$9, 100%, $E$9)</f>
        <v>4.0721999999999996</v>
      </c>
      <c r="E47" s="10">
        <f>CHOOSE(CONTROL!$C$42, 4.106, 4.106) * CHOOSE(CONTROL!$C$21, $C$9, 100%, $E$9)</f>
        <v>4.1059999999999999</v>
      </c>
      <c r="F47" s="10">
        <f>CHOOSE(CONTROL!$C$42, 4.0024, 4.0024)*CHOOSE(CONTROL!$C$21, $C$9, 100%, $E$9)</f>
        <v>4.0023999999999997</v>
      </c>
      <c r="G47" s="10">
        <f>CHOOSE(CONTROL!$C$42, 4.0176, 4.0176)*CHOOSE(CONTROL!$C$21, $C$9, 100%, $E$9)</f>
        <v>4.0175999999999998</v>
      </c>
      <c r="H47" s="10">
        <f>CHOOSE(CONTROL!$C$42, 4.0952, 4.0952) * CHOOSE(CONTROL!$C$21, $C$9, 100%, $E$9)</f>
        <v>4.0952000000000002</v>
      </c>
      <c r="I47" s="10">
        <f>CHOOSE(CONTROL!$C$42, 4.0192, 4.0192)* CHOOSE(CONTROL!$C$21, $C$9, 100%, $E$9)</f>
        <v>4.0191999999999997</v>
      </c>
      <c r="J47" s="10">
        <f>CHOOSE(CONTROL!$C$42, 3.9954, 3.9954)* CHOOSE(CONTROL!$C$21, $C$9, 100%, $E$9)</f>
        <v>3.9954000000000001</v>
      </c>
      <c r="K47" s="53"/>
      <c r="L47" s="10">
        <f>CHOOSE(CONTROL!$C$42, 4.6822, 4.6822) * CHOOSE(CONTROL!$C$21, $C$9, 100%, $E$9)</f>
        <v>4.6821999999999999</v>
      </c>
      <c r="M47" s="10">
        <f>CHOOSE(CONTROL!$C$42, 3.9689, 3.9689) * CHOOSE(CONTROL!$C$21, $C$9, 100%, $E$9)</f>
        <v>3.9689000000000001</v>
      </c>
      <c r="N47" s="10">
        <f>CHOOSE(CONTROL!$C$42, 3.9839, 3.9839) * CHOOSE(CONTROL!$C$21, $C$9, 100%, $E$9)</f>
        <v>3.9839000000000002</v>
      </c>
      <c r="O47" s="10">
        <f>CHOOSE(CONTROL!$C$42, 4.0677, 4.0677) * CHOOSE(CONTROL!$C$21, $C$9, 100%, $E$9)</f>
        <v>4.0677000000000003</v>
      </c>
      <c r="P47" s="10">
        <f>CHOOSE(CONTROL!$C$42, 3.9925, 3.9925) * CHOOSE(CONTROL!$C$21, $C$9, 100%, $E$9)</f>
        <v>3.9925000000000002</v>
      </c>
      <c r="Q47" s="10">
        <f>CHOOSE(CONTROL!$C$42, 4.663, 4.663) * CHOOSE(CONTROL!$C$21, $C$9, 100%, $E$9)</f>
        <v>4.6630000000000003</v>
      </c>
      <c r="R47" s="10">
        <f>CHOOSE(CONTROL!$C$42, 5.2616, 5.2616) * CHOOSE(CONTROL!$C$21, $C$9, 100%, $E$9)</f>
        <v>5.2615999999999996</v>
      </c>
      <c r="S47" s="10">
        <f>CHOOSE(CONTROL!$C$42, 3.8888, 3.8888) * CHOOSE(CONTROL!$C$21, $C$9, 100%, $E$9)</f>
        <v>3.8887999999999998</v>
      </c>
      <c r="T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57">
        <f>(1000*CHOOSE(CONTROL!$C$42, 695, 695)*CHOOSE(CONTROL!$C$42, 0.5599, 0.5599)*CHOOSE(CONTROL!$C$42, 30, 30))/1000000</f>
        <v>11.673914999999997</v>
      </c>
      <c r="V47" s="57">
        <f>(1000*CHOOSE(CONTROL!$C$42, 580, 580)*CHOOSE(CONTROL!$C$42, 0.275, 0.275)*CHOOSE(CONTROL!$C$42, 30, 30))/1000000</f>
        <v>4.7850000000000001</v>
      </c>
      <c r="W47" s="57">
        <f>(1000*CHOOSE(CONTROL!$C$42, 0.1146, 0.1146)*CHOOSE(CONTROL!$C$42, 200, 200)*CHOOSE(CONTROL!$C$42, 30, 30))/1000000</f>
        <v>0.68759999999999999</v>
      </c>
      <c r="X47" s="57">
        <f>(30*0.1790888*100000/1000000)+(30*0.2374*100000/1000000)</f>
        <v>1.2494664</v>
      </c>
      <c r="Y47" s="57"/>
      <c r="Z47" s="10">
        <f>CHOOSE(CONTROL!$C$42, 3.9973, 3.9973) * CHOOSE(CONTROL!$C$21, $C$9, 100%, $E$9)</f>
        <v>3.9973000000000001</v>
      </c>
      <c r="AA47" s="58">
        <f>(30*((8.12*31500+8.18*100000)/30))/1000000</f>
        <v>1.07378</v>
      </c>
      <c r="AB47" s="50">
        <f>(B47*122.58+C47*297.941+D47*89.177+E47*40.302+F47*40+G47*160+H47*0+I47*100+J47*300)/(122.58+297.941+89.177+40.302+0+40+160+100+300)</f>
        <v>4.0160606844347821</v>
      </c>
      <c r="AC47" s="45">
        <f>(M47*240+N47*40+O47*315+P47*100)/(240+40+315+100)</f>
        <v>4.0179388489208634</v>
      </c>
    </row>
    <row r="48" spans="1:29" ht="15.75" x14ac:dyDescent="0.25">
      <c r="A48" s="16">
        <v>42339</v>
      </c>
      <c r="B48" s="10">
        <f>CHOOSE(CONTROL!$C$42, 4.1653, 4.1653) * CHOOSE(CONTROL!$C$21, $C$9, 100%, $E$9)</f>
        <v>4.1653000000000002</v>
      </c>
      <c r="C48" s="10">
        <f>CHOOSE(CONTROL!$C$42, 4.1703, 4.1703) * CHOOSE(CONTROL!$C$21, $C$9, 100%, $E$9)</f>
        <v>4.1703000000000001</v>
      </c>
      <c r="D48" s="10">
        <f>CHOOSE(CONTROL!$C$42, 4.2308, 4.2308) * CHOOSE(CONTROL!$C$21, $C$9, 100%, $E$9)</f>
        <v>4.2308000000000003</v>
      </c>
      <c r="E48" s="10">
        <f>CHOOSE(CONTROL!$C$42, 4.2645, 4.2645) * CHOOSE(CONTROL!$C$21, $C$9, 100%, $E$9)</f>
        <v>4.2645</v>
      </c>
      <c r="F48" s="10">
        <f>CHOOSE(CONTROL!$C$42, 4.1628, 4.1628)*CHOOSE(CONTROL!$C$21, $C$9, 100%, $E$9)</f>
        <v>4.1627999999999998</v>
      </c>
      <c r="G48" s="10">
        <f>CHOOSE(CONTROL!$C$42, 4.1785, 4.1785)*CHOOSE(CONTROL!$C$21, $C$9, 100%, $E$9)</f>
        <v>4.1784999999999997</v>
      </c>
      <c r="H48" s="10">
        <f>CHOOSE(CONTROL!$C$42, 4.2537, 4.2537) * CHOOSE(CONTROL!$C$21, $C$9, 100%, $E$9)</f>
        <v>4.2537000000000003</v>
      </c>
      <c r="I48" s="10">
        <f>CHOOSE(CONTROL!$C$42, 4.1778, 4.1778)* CHOOSE(CONTROL!$C$21, $C$9, 100%, $E$9)</f>
        <v>4.1778000000000004</v>
      </c>
      <c r="J48" s="10">
        <f>CHOOSE(CONTROL!$C$42, 4.1558, 4.1558)* CHOOSE(CONTROL!$C$21, $C$9, 100%, $E$9)</f>
        <v>4.1558000000000002</v>
      </c>
      <c r="K48" s="53"/>
      <c r="L48" s="10">
        <f>CHOOSE(CONTROL!$C$42, 4.8407, 4.8407) * CHOOSE(CONTROL!$C$21, $C$9, 100%, $E$9)</f>
        <v>4.8407</v>
      </c>
      <c r="M48" s="10">
        <f>CHOOSE(CONTROL!$C$42, 4.1277, 4.1277) * CHOOSE(CONTROL!$C$21, $C$9, 100%, $E$9)</f>
        <v>4.1276999999999999</v>
      </c>
      <c r="N48" s="10">
        <f>CHOOSE(CONTROL!$C$42, 4.1432, 4.1432) * CHOOSE(CONTROL!$C$21, $C$9, 100%, $E$9)</f>
        <v>4.1432000000000002</v>
      </c>
      <c r="O48" s="10">
        <f>CHOOSE(CONTROL!$C$42, 4.2246, 4.2246) * CHOOSE(CONTROL!$C$21, $C$9, 100%, $E$9)</f>
        <v>4.2245999999999997</v>
      </c>
      <c r="P48" s="10">
        <f>CHOOSE(CONTROL!$C$42, 4.1495, 4.1495) * CHOOSE(CONTROL!$C$21, $C$9, 100%, $E$9)</f>
        <v>4.1494999999999997</v>
      </c>
      <c r="Q48" s="10">
        <f>CHOOSE(CONTROL!$C$42, 4.8199, 4.8199) * CHOOSE(CONTROL!$C$21, $C$9, 100%, $E$9)</f>
        <v>4.8198999999999996</v>
      </c>
      <c r="R48" s="10">
        <f>CHOOSE(CONTROL!$C$42, 5.419, 5.419) * CHOOSE(CONTROL!$C$21, $C$9, 100%, $E$9)</f>
        <v>5.4189999999999996</v>
      </c>
      <c r="S48" s="10">
        <f>CHOOSE(CONTROL!$C$42, 4.0428, 4.0428) * CHOOSE(CONTROL!$C$21, $C$9, 100%, $E$9)</f>
        <v>4.0427999999999997</v>
      </c>
      <c r="T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57">
        <f>(1000*CHOOSE(CONTROL!$C$42, 695, 695)*CHOOSE(CONTROL!$C$42, 0.5599, 0.5599)*CHOOSE(CONTROL!$C$42, 31, 31))/1000000</f>
        <v>12.063045499999998</v>
      </c>
      <c r="V48" s="57">
        <f>(1000*CHOOSE(CONTROL!$C$42, 580, 580)*CHOOSE(CONTROL!$C$42, 0.275, 0.275)*CHOOSE(CONTROL!$C$42, 31, 31))/1000000</f>
        <v>4.9444999999999997</v>
      </c>
      <c r="W48" s="57">
        <f>(1000*CHOOSE(CONTROL!$C$42, 0.1146, 0.1146)*CHOOSE(CONTROL!$C$42, 200, 200)*CHOOSE(CONTROL!$C$42, 31, 31))/1000000</f>
        <v>0.71052000000000004</v>
      </c>
      <c r="X48" s="57">
        <f>(31*0.1790888*100000/1000000)+(31*0.2374*100000/1000000)</f>
        <v>1.2911152800000001</v>
      </c>
      <c r="Y48" s="57"/>
      <c r="Z48" s="10">
        <f>CHOOSE(CONTROL!$C$42, 4.1498, 4.1498) * CHOOSE(CONTROL!$C$21, $C$9, 100%, $E$9)</f>
        <v>4.1497999999999999</v>
      </c>
      <c r="AA48" s="58">
        <f>(31*((8.12*31500+8.18*100000)/31))/1000000</f>
        <v>1.07378</v>
      </c>
      <c r="AB48" s="50">
        <f>(B48*122.58+C48*297.941+D48*89.177+E48*40.302+F48*40+G48*160+H48*0+I48*100+J48*300)/(122.58+297.941+89.177+40.302+0+40+160+100+300)</f>
        <v>4.1755093538260866</v>
      </c>
      <c r="AC48" s="45">
        <f>(M48*240+N48*40+O48*315+P48*100)/(240+40+315+100)</f>
        <v>4.1756474820143881</v>
      </c>
    </row>
    <row r="49" spans="1:29" ht="15.75" x14ac:dyDescent="0.25">
      <c r="A49" s="16">
        <v>42370</v>
      </c>
      <c r="B49" s="10">
        <f>CHOOSE(CONTROL!$C$42, 4.523, 4.523) * CHOOSE(CONTROL!$C$21, $C$9, 100%, $E$9)</f>
        <v>4.5229999999999997</v>
      </c>
      <c r="C49" s="10">
        <f>CHOOSE(CONTROL!$C$42, 4.528, 4.528) * CHOOSE(CONTROL!$C$21, $C$9, 100%, $E$9)</f>
        <v>4.5279999999999996</v>
      </c>
      <c r="D49" s="10">
        <f>CHOOSE(CONTROL!$C$42, 4.5851, 4.5851) * CHOOSE(CONTROL!$C$21, $C$9, 100%, $E$9)</f>
        <v>4.5850999999999997</v>
      </c>
      <c r="E49" s="10">
        <f>CHOOSE(CONTROL!$C$42, 4.6188, 4.6188) * CHOOSE(CONTROL!$C$21, $C$9, 100%, $E$9)</f>
        <v>4.6188000000000002</v>
      </c>
      <c r="F49" s="10">
        <f>CHOOSE(CONTROL!$C$42, 4.5209, 4.5209)*CHOOSE(CONTROL!$C$21, $C$9, 100%, $E$9)</f>
        <v>4.5209000000000001</v>
      </c>
      <c r="G49" s="10">
        <f>CHOOSE(CONTROL!$C$42, 4.5355, 4.5355)*CHOOSE(CONTROL!$C$21, $C$9, 100%, $E$9)</f>
        <v>4.5354999999999999</v>
      </c>
      <c r="H49" s="10">
        <f>CHOOSE(CONTROL!$C$42, 4.608, 4.608) * CHOOSE(CONTROL!$C$21, $C$9, 100%, $E$9)</f>
        <v>4.6079999999999997</v>
      </c>
      <c r="I49" s="10">
        <f>CHOOSE(CONTROL!$C$42, 4.5338, 4.5338)* CHOOSE(CONTROL!$C$21, $C$9, 100%, $E$9)</f>
        <v>4.5338000000000003</v>
      </c>
      <c r="J49" s="10">
        <f>CHOOSE(CONTROL!$C$42, 4.5139, 4.5139)* CHOOSE(CONTROL!$C$21, $C$9, 100%, $E$9)</f>
        <v>4.5138999999999996</v>
      </c>
      <c r="K49" s="53"/>
      <c r="L49" s="10">
        <f>CHOOSE(CONTROL!$C$42, 5.195, 5.195) * CHOOSE(CONTROL!$C$21, $C$9, 100%, $E$9)</f>
        <v>5.1950000000000003</v>
      </c>
      <c r="M49" s="10">
        <f>CHOOSE(CONTROL!$C$42, 4.4821, 4.4821) * CHOOSE(CONTROL!$C$21, $C$9, 100%, $E$9)</f>
        <v>4.4821</v>
      </c>
      <c r="N49" s="10">
        <f>CHOOSE(CONTROL!$C$42, 4.4966, 4.4966) * CHOOSE(CONTROL!$C$21, $C$9, 100%, $E$9)</f>
        <v>4.4965999999999999</v>
      </c>
      <c r="O49" s="10">
        <f>CHOOSE(CONTROL!$C$42, 4.5754, 4.5754) * CHOOSE(CONTROL!$C$21, $C$9, 100%, $E$9)</f>
        <v>4.5754000000000001</v>
      </c>
      <c r="P49" s="10">
        <f>CHOOSE(CONTROL!$C$42, 4.5019, 4.5019) * CHOOSE(CONTROL!$C$21, $C$9, 100%, $E$9)</f>
        <v>4.5019</v>
      </c>
      <c r="Q49" s="10">
        <f>CHOOSE(CONTROL!$C$42, 5.1707, 5.1707) * CHOOSE(CONTROL!$C$21, $C$9, 100%, $E$9)</f>
        <v>5.1707000000000001</v>
      </c>
      <c r="R49" s="10">
        <f>CHOOSE(CONTROL!$C$42, 5.7706, 5.7706) * CHOOSE(CONTROL!$C$21, $C$9, 100%, $E$9)</f>
        <v>5.7706</v>
      </c>
      <c r="S49" s="10">
        <f>CHOOSE(CONTROL!$C$42, 4.3902, 4.3902) * CHOOSE(CONTROL!$C$21, $C$9, 100%, $E$9)</f>
        <v>4.3902000000000001</v>
      </c>
      <c r="T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57">
        <f>(1000*CHOOSE(CONTROL!$C$42, 695, 695)*CHOOSE(CONTROL!$C$42, 0.5599, 0.5599)*CHOOSE(CONTROL!$C$42, 31, 31))/1000000</f>
        <v>12.063045499999998</v>
      </c>
      <c r="V49" s="57">
        <f>(1000*CHOOSE(CONTROL!$C$42, 580, 580)*CHOOSE(CONTROL!$C$42, 0.275, 0.275)*CHOOSE(CONTROL!$C$42, 31, 31))/1000000</f>
        <v>4.9444999999999997</v>
      </c>
      <c r="W49" s="57">
        <f>(1000*CHOOSE(CONTROL!$C$42, 0.1146, 0.1146)*CHOOSE(CONTROL!$C$42, 200, 200)*CHOOSE(CONTROL!$C$42, 31, 31))/1000000</f>
        <v>0.71052000000000004</v>
      </c>
      <c r="X49" s="57">
        <f>(31*0.1790888*100000/1000000)+(31*0.2374*100000/1000000)</f>
        <v>1.2911152800000001</v>
      </c>
      <c r="Y49" s="57"/>
      <c r="Z49" s="10"/>
      <c r="AA49" s="56"/>
      <c r="AB49" s="50">
        <f>(B49*122.58+C49*297.941+D49*89.177+E49*40.302+F49*40+G49*160+H49*0+I49*100+J49*300)/(122.58+297.941+89.177+40.302+0+40+160+100+300)</f>
        <v>4.5326995898260867</v>
      </c>
      <c r="AC49" s="45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4.5280705035971227</v>
      </c>
    </row>
    <row r="50" spans="1:29" ht="15.75" x14ac:dyDescent="0.25">
      <c r="A50" s="16">
        <v>42401</v>
      </c>
      <c r="B50" s="10">
        <f>CHOOSE(CONTROL!$C$42, 4.6035, 4.6035) * CHOOSE(CONTROL!$C$21, $C$9, 100%, $E$9)</f>
        <v>4.6035000000000004</v>
      </c>
      <c r="C50" s="10">
        <f>CHOOSE(CONTROL!$C$42, 4.6085, 4.6085) * CHOOSE(CONTROL!$C$21, $C$9, 100%, $E$9)</f>
        <v>4.6085000000000003</v>
      </c>
      <c r="D50" s="10">
        <f>CHOOSE(CONTROL!$C$42, 4.6655, 4.6655) * CHOOSE(CONTROL!$C$21, $C$9, 100%, $E$9)</f>
        <v>4.6654999999999998</v>
      </c>
      <c r="E50" s="10">
        <f>CHOOSE(CONTROL!$C$42, 4.6993, 4.6993) * CHOOSE(CONTROL!$C$21, $C$9, 100%, $E$9)</f>
        <v>4.6993</v>
      </c>
      <c r="F50" s="10">
        <f>CHOOSE(CONTROL!$C$42, 4.6014, 4.6014)*CHOOSE(CONTROL!$C$21, $C$9, 100%, $E$9)</f>
        <v>4.6013999999999999</v>
      </c>
      <c r="G50" s="10">
        <f>CHOOSE(CONTROL!$C$42, 4.6161, 4.6161)*CHOOSE(CONTROL!$C$21, $C$9, 100%, $E$9)</f>
        <v>4.6161000000000003</v>
      </c>
      <c r="H50" s="10">
        <f>CHOOSE(CONTROL!$C$42, 4.6885, 4.6885) * CHOOSE(CONTROL!$C$21, $C$9, 100%, $E$9)</f>
        <v>4.6885000000000003</v>
      </c>
      <c r="I50" s="10">
        <f>CHOOSE(CONTROL!$C$42, 4.6143, 4.6143)* CHOOSE(CONTROL!$C$21, $C$9, 100%, $E$9)</f>
        <v>4.6143000000000001</v>
      </c>
      <c r="J50" s="10">
        <f>CHOOSE(CONTROL!$C$42, 4.5944, 4.5944)* CHOOSE(CONTROL!$C$21, $C$9, 100%, $E$9)</f>
        <v>4.5944000000000003</v>
      </c>
      <c r="K50" s="53"/>
      <c r="L50" s="10">
        <f>CHOOSE(CONTROL!$C$42, 5.2755, 5.2755) * CHOOSE(CONTROL!$C$21, $C$9, 100%, $E$9)</f>
        <v>5.2755000000000001</v>
      </c>
      <c r="M50" s="10">
        <f>CHOOSE(CONTROL!$C$42, 4.5619, 4.5619) * CHOOSE(CONTROL!$C$21, $C$9, 100%, $E$9)</f>
        <v>4.5618999999999996</v>
      </c>
      <c r="N50" s="10">
        <f>CHOOSE(CONTROL!$C$42, 4.5764, 4.5764) * CHOOSE(CONTROL!$C$21, $C$9, 100%, $E$9)</f>
        <v>4.5763999999999996</v>
      </c>
      <c r="O50" s="10">
        <f>CHOOSE(CONTROL!$C$42, 4.655, 4.655) * CHOOSE(CONTROL!$C$21, $C$9, 100%, $E$9)</f>
        <v>4.6550000000000002</v>
      </c>
      <c r="P50" s="10">
        <f>CHOOSE(CONTROL!$C$42, 4.5816, 4.5816) * CHOOSE(CONTROL!$C$21, $C$9, 100%, $E$9)</f>
        <v>4.5815999999999999</v>
      </c>
      <c r="Q50" s="10">
        <f>CHOOSE(CONTROL!$C$42, 5.2503, 5.2503) * CHOOSE(CONTROL!$C$21, $C$9, 100%, $E$9)</f>
        <v>5.2503000000000002</v>
      </c>
      <c r="R50" s="10">
        <f>CHOOSE(CONTROL!$C$42, 5.8504, 5.8504) * CHOOSE(CONTROL!$C$21, $C$9, 100%, $E$9)</f>
        <v>5.8503999999999996</v>
      </c>
      <c r="S50" s="10">
        <f>CHOOSE(CONTROL!$C$42, 4.4683, 4.4683) * CHOOSE(CONTROL!$C$21, $C$9, 100%, $E$9)</f>
        <v>4.4683000000000002</v>
      </c>
      <c r="T5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0" s="57">
        <f>(1000*CHOOSE(CONTROL!$C$42, 695, 695)*CHOOSE(CONTROL!$C$42, 0.5599, 0.5599)*CHOOSE(CONTROL!$C$42, 29, 29))/1000000</f>
        <v>11.284784499999999</v>
      </c>
      <c r="V50" s="57">
        <f>(1000*CHOOSE(CONTROL!$C$42, 580, 580)*CHOOSE(CONTROL!$C$42, 0.275, 0.275)*CHOOSE(CONTROL!$C$42, 29, 29))/1000000</f>
        <v>4.6254999999999997</v>
      </c>
      <c r="W50" s="57">
        <f>(1000*CHOOSE(CONTROL!$C$42, 0.1146, 0.1146)*CHOOSE(CONTROL!$C$42, 200, 200)*CHOOSE(CONTROL!$C$42, 29, 29))/1000000</f>
        <v>0.66468000000000005</v>
      </c>
      <c r="X50" s="57">
        <f>(29*0.1790888*100000/1000000)+(29*0.2374*100000/1000000)</f>
        <v>1.2078175199999999</v>
      </c>
      <c r="Y50" s="57"/>
      <c r="Z50" s="10"/>
      <c r="AA50" s="56"/>
      <c r="AB50" s="50">
        <f>(B50*122.58+C50*297.941+D50*89.177+E50*40.302+F50*40+G50*160+H50*0+I50*100+J50*300)/(122.58+297.941+89.177+40.302+0+40+160+100+300)</f>
        <v>4.6132057483478262</v>
      </c>
      <c r="AC50" s="45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4.6077654676258994</v>
      </c>
    </row>
    <row r="51" spans="1:29" ht="15.75" x14ac:dyDescent="0.25">
      <c r="A51" s="16">
        <v>42430</v>
      </c>
      <c r="B51" s="10">
        <f>CHOOSE(CONTROL!$C$42, 4.4729, 4.4729) * CHOOSE(CONTROL!$C$21, $C$9, 100%, $E$9)</f>
        <v>4.4729000000000001</v>
      </c>
      <c r="C51" s="10">
        <f>CHOOSE(CONTROL!$C$42, 4.4778, 4.4778) * CHOOSE(CONTROL!$C$21, $C$9, 100%, $E$9)</f>
        <v>4.4778000000000002</v>
      </c>
      <c r="D51" s="10">
        <f>CHOOSE(CONTROL!$C$42, 4.5349, 4.5349) * CHOOSE(CONTROL!$C$21, $C$9, 100%, $E$9)</f>
        <v>4.5349000000000004</v>
      </c>
      <c r="E51" s="10">
        <f>CHOOSE(CONTROL!$C$42, 4.5687, 4.5687) * CHOOSE(CONTROL!$C$21, $C$9, 100%, $E$9)</f>
        <v>4.5686999999999998</v>
      </c>
      <c r="F51" s="10">
        <f>CHOOSE(CONTROL!$C$42, 4.4707, 4.4707)*CHOOSE(CONTROL!$C$21, $C$9, 100%, $E$9)</f>
        <v>4.4706999999999999</v>
      </c>
      <c r="G51" s="10">
        <f>CHOOSE(CONTROL!$C$42, 4.4853, 4.4853)*CHOOSE(CONTROL!$C$21, $C$9, 100%, $E$9)</f>
        <v>4.4852999999999996</v>
      </c>
      <c r="H51" s="10">
        <f>CHOOSE(CONTROL!$C$42, 4.5579, 4.5579) * CHOOSE(CONTROL!$C$21, $C$9, 100%, $E$9)</f>
        <v>4.5579000000000001</v>
      </c>
      <c r="I51" s="10">
        <f>CHOOSE(CONTROL!$C$42, 4.4837, 4.4837)* CHOOSE(CONTROL!$C$21, $C$9, 100%, $E$9)</f>
        <v>4.4836999999999998</v>
      </c>
      <c r="J51" s="10">
        <f>CHOOSE(CONTROL!$C$42, 4.4637, 4.4637)* CHOOSE(CONTROL!$C$21, $C$9, 100%, $E$9)</f>
        <v>4.4637000000000002</v>
      </c>
      <c r="K51" s="53"/>
      <c r="L51" s="10">
        <f>CHOOSE(CONTROL!$C$42, 5.1449, 5.1449) * CHOOSE(CONTROL!$C$21, $C$9, 100%, $E$9)</f>
        <v>5.1448999999999998</v>
      </c>
      <c r="M51" s="10">
        <f>CHOOSE(CONTROL!$C$42, 4.4325, 4.4325) * CHOOSE(CONTROL!$C$21, $C$9, 100%, $E$9)</f>
        <v>4.4325000000000001</v>
      </c>
      <c r="N51" s="10">
        <f>CHOOSE(CONTROL!$C$42, 4.4469, 4.4469) * CHOOSE(CONTROL!$C$21, $C$9, 100%, $E$9)</f>
        <v>4.4469000000000003</v>
      </c>
      <c r="O51" s="10">
        <f>CHOOSE(CONTROL!$C$42, 4.5257, 4.5257) * CHOOSE(CONTROL!$C$21, $C$9, 100%, $E$9)</f>
        <v>4.5256999999999996</v>
      </c>
      <c r="P51" s="10">
        <f>CHOOSE(CONTROL!$C$42, 4.4523, 4.4523) * CHOOSE(CONTROL!$C$21, $C$9, 100%, $E$9)</f>
        <v>4.4523000000000001</v>
      </c>
      <c r="Q51" s="10">
        <f>CHOOSE(CONTROL!$C$42, 5.121, 5.121) * CHOOSE(CONTROL!$C$21, $C$9, 100%, $E$9)</f>
        <v>5.1210000000000004</v>
      </c>
      <c r="R51" s="10">
        <f>CHOOSE(CONTROL!$C$42, 5.7208, 5.7208) * CHOOSE(CONTROL!$C$21, $C$9, 100%, $E$9)</f>
        <v>5.7207999999999997</v>
      </c>
      <c r="S51" s="10">
        <f>CHOOSE(CONTROL!$C$42, 4.3415, 4.3415) * CHOOSE(CONTROL!$C$21, $C$9, 100%, $E$9)</f>
        <v>4.3414999999999999</v>
      </c>
      <c r="T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57">
        <f>(1000*CHOOSE(CONTROL!$C$42, 695, 695)*CHOOSE(CONTROL!$C$42, 0.5599, 0.5599)*CHOOSE(CONTROL!$C$42, 31, 31))/1000000</f>
        <v>12.063045499999998</v>
      </c>
      <c r="V51" s="57">
        <f>(1000*CHOOSE(CONTROL!$C$42, 580, 580)*CHOOSE(CONTROL!$C$42, 0.275, 0.275)*CHOOSE(CONTROL!$C$42, 31, 31))/1000000</f>
        <v>4.9444999999999997</v>
      </c>
      <c r="W51" s="57">
        <f>(1000*CHOOSE(CONTROL!$C$42, 0.1146, 0.1146)*CHOOSE(CONTROL!$C$42, 200, 200)*CHOOSE(CONTROL!$C$42, 31, 31))/1000000</f>
        <v>0.71052000000000004</v>
      </c>
      <c r="X51" s="57">
        <f>(31*0.1790888*100000/1000000)+(31*0.2374*100000/1000000)</f>
        <v>1.2911152800000001</v>
      </c>
      <c r="Y51" s="57"/>
      <c r="Z51" s="10"/>
      <c r="AA51" s="56"/>
      <c r="AB51" s="50">
        <f>(B51*122.58+C51*297.941+D51*89.177+E51*40.302+F51*40+G51*160+H51*0+I51*100+J51*300)/(122.58+297.941+89.177+40.302+0+40+160+100+300)</f>
        <v>4.4825224491304345</v>
      </c>
      <c r="AC51" s="45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4.4784194244604318</v>
      </c>
    </row>
    <row r="52" spans="1:29" ht="15.75" x14ac:dyDescent="0.25">
      <c r="A52" s="16">
        <v>42461</v>
      </c>
      <c r="B52" s="10">
        <f>CHOOSE(CONTROL!$C$42, 4.4607, 4.4607) * CHOOSE(CONTROL!$C$21, $C$9, 100%, $E$9)</f>
        <v>4.4607000000000001</v>
      </c>
      <c r="C52" s="10">
        <f>CHOOSE(CONTROL!$C$42, 4.465, 4.465) * CHOOSE(CONTROL!$C$21, $C$9, 100%, $E$9)</f>
        <v>4.4649999999999999</v>
      </c>
      <c r="D52" s="10">
        <f>CHOOSE(CONTROL!$C$42, 4.6709, 4.6709) * CHOOSE(CONTROL!$C$21, $C$9, 100%, $E$9)</f>
        <v>4.6708999999999996</v>
      </c>
      <c r="E52" s="10">
        <f>CHOOSE(CONTROL!$C$42, 4.7027, 4.7027) * CHOOSE(CONTROL!$C$21, $C$9, 100%, $E$9)</f>
        <v>4.7027000000000001</v>
      </c>
      <c r="F52" s="10">
        <f>CHOOSE(CONTROL!$C$42, 4.4374, 4.4374)*CHOOSE(CONTROL!$C$21, $C$9, 100%, $E$9)</f>
        <v>4.4374000000000002</v>
      </c>
      <c r="G52" s="10">
        <f>CHOOSE(CONTROL!$C$42, 4.452, 4.452)*CHOOSE(CONTROL!$C$21, $C$9, 100%, $E$9)</f>
        <v>4.452</v>
      </c>
      <c r="H52" s="10">
        <f>CHOOSE(CONTROL!$C$42, 4.6925, 4.6925) * CHOOSE(CONTROL!$C$21, $C$9, 100%, $E$9)</f>
        <v>4.6924999999999999</v>
      </c>
      <c r="I52" s="10">
        <f>CHOOSE(CONTROL!$C$42, 4.4621, 4.4621)* CHOOSE(CONTROL!$C$21, $C$9, 100%, $E$9)</f>
        <v>4.4621000000000004</v>
      </c>
      <c r="J52" s="10">
        <f>CHOOSE(CONTROL!$C$42, 4.4304, 4.4304)* CHOOSE(CONTROL!$C$21, $C$9, 100%, $E$9)</f>
        <v>4.4303999999999997</v>
      </c>
      <c r="K52" s="53"/>
      <c r="L52" s="10">
        <f>CHOOSE(CONTROL!$C$42, 5.2795, 5.2795) * CHOOSE(CONTROL!$C$21, $C$9, 100%, $E$9)</f>
        <v>5.2794999999999996</v>
      </c>
      <c r="M52" s="10">
        <f>CHOOSE(CONTROL!$C$42, 4.3996, 4.3996) * CHOOSE(CONTROL!$C$21, $C$9, 100%, $E$9)</f>
        <v>4.3996000000000004</v>
      </c>
      <c r="N52" s="10">
        <f>CHOOSE(CONTROL!$C$42, 4.4139, 4.4139) * CHOOSE(CONTROL!$C$21, $C$9, 100%, $E$9)</f>
        <v>4.4138999999999999</v>
      </c>
      <c r="O52" s="10">
        <f>CHOOSE(CONTROL!$C$42, 4.659, 4.659) * CHOOSE(CONTROL!$C$21, $C$9, 100%, $E$9)</f>
        <v>4.6589999999999998</v>
      </c>
      <c r="P52" s="10">
        <f>CHOOSE(CONTROL!$C$42, 4.4309, 4.4309) * CHOOSE(CONTROL!$C$21, $C$9, 100%, $E$9)</f>
        <v>4.4309000000000003</v>
      </c>
      <c r="Q52" s="10">
        <f>CHOOSE(CONTROL!$C$42, 5.2543, 5.2543) * CHOOSE(CONTROL!$C$21, $C$9, 100%, $E$9)</f>
        <v>5.2542999999999997</v>
      </c>
      <c r="R52" s="10">
        <f>CHOOSE(CONTROL!$C$42, 5.8544, 5.8544) * CHOOSE(CONTROL!$C$21, $C$9, 100%, $E$9)</f>
        <v>5.8544</v>
      </c>
      <c r="S52" s="10">
        <f>CHOOSE(CONTROL!$C$42, 4.3289, 4.3289) * CHOOSE(CONTROL!$C$21, $C$9, 100%, $E$9)</f>
        <v>4.3289</v>
      </c>
      <c r="T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57">
        <f>(1000*CHOOSE(CONTROL!$C$42, 695, 695)*CHOOSE(CONTROL!$C$42, 0.5599, 0.5599)*CHOOSE(CONTROL!$C$42, 30, 30))/1000000</f>
        <v>11.673914999999997</v>
      </c>
      <c r="V52" s="57">
        <f>(1000*CHOOSE(CONTROL!$C$42, 580, 580)*CHOOSE(CONTROL!$C$42, 0.275, 0.275)*CHOOSE(CONTROL!$C$42, 30, 30))/1000000</f>
        <v>4.7850000000000001</v>
      </c>
      <c r="W52" s="57">
        <f>(1000*CHOOSE(CONTROL!$C$42, 0.1146, 0.1146)*CHOOSE(CONTROL!$C$42, 200, 200)*CHOOSE(CONTROL!$C$42, 30, 30))/1000000</f>
        <v>0.68759999999999999</v>
      </c>
      <c r="X52" s="57">
        <f>(30*0.1790888*245000/1000000)+(30*0.2374*100000/1000000)</f>
        <v>2.0285026799999999</v>
      </c>
      <c r="Y52" s="57"/>
      <c r="Z52" s="10"/>
      <c r="AA52" s="56"/>
      <c r="AB52" s="50">
        <f>(B52*141.293+C52*267.993+D52*115.016+E52*89.698+F52*40+G52*185+H52*0+I52*100+J52*300)/(141.293+267.993+115.016+89.698+0+40+185+100+300)</f>
        <v>4.4893877716707022</v>
      </c>
      <c r="AC52" s="45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4.4801769784172665</v>
      </c>
    </row>
    <row r="53" spans="1:29" ht="15.75" x14ac:dyDescent="0.25">
      <c r="A53" s="16">
        <v>42491</v>
      </c>
      <c r="B53" s="10">
        <f>CHOOSE(CONTROL!$C$42, 4.5014, 4.5014) * CHOOSE(CONTROL!$C$21, $C$9, 100%, $E$9)</f>
        <v>4.5014000000000003</v>
      </c>
      <c r="C53" s="10">
        <f>CHOOSE(CONTROL!$C$42, 4.5093, 4.5093) * CHOOSE(CONTROL!$C$21, $C$9, 100%, $E$9)</f>
        <v>4.5092999999999996</v>
      </c>
      <c r="D53" s="10">
        <f>CHOOSE(CONTROL!$C$42, 4.7121, 4.7121) * CHOOSE(CONTROL!$C$21, $C$9, 100%, $E$9)</f>
        <v>4.7121000000000004</v>
      </c>
      <c r="E53" s="10">
        <f>CHOOSE(CONTROL!$C$42, 4.7432, 4.7432) * CHOOSE(CONTROL!$C$21, $C$9, 100%, $E$9)</f>
        <v>4.7431999999999999</v>
      </c>
      <c r="F53" s="10">
        <f>CHOOSE(CONTROL!$C$42, 4.4771, 4.4771)*CHOOSE(CONTROL!$C$21, $C$9, 100%, $E$9)</f>
        <v>4.4771000000000001</v>
      </c>
      <c r="G53" s="10">
        <f>CHOOSE(CONTROL!$C$42, 4.4921, 4.4921)*CHOOSE(CONTROL!$C$21, $C$9, 100%, $E$9)</f>
        <v>4.4920999999999998</v>
      </c>
      <c r="H53" s="10">
        <f>CHOOSE(CONTROL!$C$42, 4.7318, 4.7318) * CHOOSE(CONTROL!$C$21, $C$9, 100%, $E$9)</f>
        <v>4.7317999999999998</v>
      </c>
      <c r="I53" s="10">
        <f>CHOOSE(CONTROL!$C$42, 4.5014, 4.5014)* CHOOSE(CONTROL!$C$21, $C$9, 100%, $E$9)</f>
        <v>4.5014000000000003</v>
      </c>
      <c r="J53" s="10">
        <f>CHOOSE(CONTROL!$C$42, 4.4701, 4.4701)* CHOOSE(CONTROL!$C$21, $C$9, 100%, $E$9)</f>
        <v>4.4701000000000004</v>
      </c>
      <c r="K53" s="53"/>
      <c r="L53" s="10">
        <f>CHOOSE(CONTROL!$C$42, 5.3188, 5.3188) * CHOOSE(CONTROL!$C$21, $C$9, 100%, $E$9)</f>
        <v>5.3188000000000004</v>
      </c>
      <c r="M53" s="10">
        <f>CHOOSE(CONTROL!$C$42, 4.4388, 4.4388) * CHOOSE(CONTROL!$C$21, $C$9, 100%, $E$9)</f>
        <v>4.4387999999999996</v>
      </c>
      <c r="N53" s="10">
        <f>CHOOSE(CONTROL!$C$42, 4.4537, 4.4537) * CHOOSE(CONTROL!$C$21, $C$9, 100%, $E$9)</f>
        <v>4.4537000000000004</v>
      </c>
      <c r="O53" s="10">
        <f>CHOOSE(CONTROL!$C$42, 4.6979, 4.6979) * CHOOSE(CONTROL!$C$21, $C$9, 100%, $E$9)</f>
        <v>4.6978999999999997</v>
      </c>
      <c r="P53" s="10">
        <f>CHOOSE(CONTROL!$C$42, 4.4699, 4.4699) * CHOOSE(CONTROL!$C$21, $C$9, 100%, $E$9)</f>
        <v>4.4699</v>
      </c>
      <c r="Q53" s="10">
        <f>CHOOSE(CONTROL!$C$42, 5.2932, 5.2932) * CHOOSE(CONTROL!$C$21, $C$9, 100%, $E$9)</f>
        <v>5.2931999999999997</v>
      </c>
      <c r="R53" s="10">
        <f>CHOOSE(CONTROL!$C$42, 5.8934, 5.8934) * CHOOSE(CONTROL!$C$21, $C$9, 100%, $E$9)</f>
        <v>5.8933999999999997</v>
      </c>
      <c r="S53" s="10">
        <f>CHOOSE(CONTROL!$C$42, 4.3671, 4.3671) * CHOOSE(CONTROL!$C$21, $C$9, 100%, $E$9)</f>
        <v>4.3670999999999998</v>
      </c>
      <c r="T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57">
        <f>(1000*CHOOSE(CONTROL!$C$42, 695, 695)*CHOOSE(CONTROL!$C$42, 0.5599, 0.5599)*CHOOSE(CONTROL!$C$42, 31, 31))/1000000</f>
        <v>12.063045499999998</v>
      </c>
      <c r="V53" s="57">
        <f>(1000*CHOOSE(CONTROL!$C$42, 580, 580)*CHOOSE(CONTROL!$C$42, 0.275, 0.275)*CHOOSE(CONTROL!$C$42, 31, 31))/1000000</f>
        <v>4.9444999999999997</v>
      </c>
      <c r="W53" s="57">
        <f>(1000*CHOOSE(CONTROL!$C$42, 0.1146, 0.1146)*CHOOSE(CONTROL!$C$42, 121.5, 121.5)*CHOOSE(CONTROL!$C$42, 31, 31))/1000000</f>
        <v>0.43164089999999994</v>
      </c>
      <c r="X53" s="57">
        <f>(31*0.1790888*245000/1000000)+(31*0.2374*100000/1000000)</f>
        <v>2.0961194359999999</v>
      </c>
      <c r="Y53" s="57"/>
      <c r="Z53" s="10"/>
      <c r="AA53" s="56"/>
      <c r="AB53" s="50">
        <f>(B53*194.205+C53*267.466+D53*133.845+E53*53.484+F53*40+G53*185+H53*0+I53*100+J53*300)/(194.205+267.466+133.845+53.484+0+40+185+100+300)</f>
        <v>4.5258615809262173</v>
      </c>
      <c r="AC53" s="45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4.5194021582733805</v>
      </c>
    </row>
    <row r="54" spans="1:29" ht="15.75" x14ac:dyDescent="0.25">
      <c r="A54" s="16">
        <v>42522</v>
      </c>
      <c r="B54" s="10">
        <f>CHOOSE(CONTROL!$C$42, 4.6289, 4.6289) * CHOOSE(CONTROL!$C$21, $C$9, 100%, $E$9)</f>
        <v>4.6288999999999998</v>
      </c>
      <c r="C54" s="10">
        <f>CHOOSE(CONTROL!$C$42, 4.6369, 4.6369) * CHOOSE(CONTROL!$C$21, $C$9, 100%, $E$9)</f>
        <v>4.6368999999999998</v>
      </c>
      <c r="D54" s="10">
        <f>CHOOSE(CONTROL!$C$42, 4.8396, 4.8396) * CHOOSE(CONTROL!$C$21, $C$9, 100%, $E$9)</f>
        <v>4.8395999999999999</v>
      </c>
      <c r="E54" s="10">
        <f>CHOOSE(CONTROL!$C$42, 4.8707, 4.8707) * CHOOSE(CONTROL!$C$21, $C$9, 100%, $E$9)</f>
        <v>4.8707000000000003</v>
      </c>
      <c r="F54" s="10">
        <f>CHOOSE(CONTROL!$C$42, 4.6052, 4.6052)*CHOOSE(CONTROL!$C$21, $C$9, 100%, $E$9)</f>
        <v>4.6052</v>
      </c>
      <c r="G54" s="10">
        <f>CHOOSE(CONTROL!$C$42, 4.6203, 4.6203)*CHOOSE(CONTROL!$C$21, $C$9, 100%, $E$9)</f>
        <v>4.6203000000000003</v>
      </c>
      <c r="H54" s="10">
        <f>CHOOSE(CONTROL!$C$42, 4.8594, 4.8594) * CHOOSE(CONTROL!$C$21, $C$9, 100%, $E$9)</f>
        <v>4.8593999999999999</v>
      </c>
      <c r="I54" s="10">
        <f>CHOOSE(CONTROL!$C$42, 4.629, 4.629)* CHOOSE(CONTROL!$C$21, $C$9, 100%, $E$9)</f>
        <v>4.6289999999999996</v>
      </c>
      <c r="J54" s="10">
        <f>CHOOSE(CONTROL!$C$42, 4.5982, 4.5982)* CHOOSE(CONTROL!$C$21, $C$9, 100%, $E$9)</f>
        <v>4.5982000000000003</v>
      </c>
      <c r="K54" s="53"/>
      <c r="L54" s="10">
        <f>CHOOSE(CONTROL!$C$42, 5.4464, 5.4464) * CHOOSE(CONTROL!$C$21, $C$9, 100%, $E$9)</f>
        <v>5.4463999999999997</v>
      </c>
      <c r="M54" s="10">
        <f>CHOOSE(CONTROL!$C$42, 4.5656, 4.5656) * CHOOSE(CONTROL!$C$21, $C$9, 100%, $E$9)</f>
        <v>4.5655999999999999</v>
      </c>
      <c r="N54" s="10">
        <f>CHOOSE(CONTROL!$C$42, 4.5806, 4.5806) * CHOOSE(CONTROL!$C$21, $C$9, 100%, $E$9)</f>
        <v>4.5805999999999996</v>
      </c>
      <c r="O54" s="10">
        <f>CHOOSE(CONTROL!$C$42, 4.8241, 4.8241) * CHOOSE(CONTROL!$C$21, $C$9, 100%, $E$9)</f>
        <v>4.8240999999999996</v>
      </c>
      <c r="P54" s="10">
        <f>CHOOSE(CONTROL!$C$42, 4.5961, 4.5961) * CHOOSE(CONTROL!$C$21, $C$9, 100%, $E$9)</f>
        <v>4.5960999999999999</v>
      </c>
      <c r="Q54" s="10">
        <f>CHOOSE(CONTROL!$C$42, 5.4194, 5.4194) * CHOOSE(CONTROL!$C$21, $C$9, 100%, $E$9)</f>
        <v>5.4194000000000004</v>
      </c>
      <c r="R54" s="10">
        <f>CHOOSE(CONTROL!$C$42, 6.02, 6.02) * CHOOSE(CONTROL!$C$21, $C$9, 100%, $E$9)</f>
        <v>6.02</v>
      </c>
      <c r="S54" s="10">
        <f>CHOOSE(CONTROL!$C$42, 4.4909, 4.4909) * CHOOSE(CONTROL!$C$21, $C$9, 100%, $E$9)</f>
        <v>4.4908999999999999</v>
      </c>
      <c r="T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57">
        <f>(1000*CHOOSE(CONTROL!$C$42, 695, 695)*CHOOSE(CONTROL!$C$42, 0.5599, 0.5599)*CHOOSE(CONTROL!$C$42, 30, 30))/1000000</f>
        <v>11.673914999999997</v>
      </c>
      <c r="V54" s="57">
        <f>(1000*CHOOSE(CONTROL!$C$42, 580, 580)*CHOOSE(CONTROL!$C$42, 0.275, 0.275)*CHOOSE(CONTROL!$C$42, 30, 30))/1000000</f>
        <v>4.7850000000000001</v>
      </c>
      <c r="W54" s="57">
        <f>(1000*CHOOSE(CONTROL!$C$42, 0.1146, 0.1146)*CHOOSE(CONTROL!$C$42, 121.5, 121.5)*CHOOSE(CONTROL!$C$42, 30, 30))/1000000</f>
        <v>0.417717</v>
      </c>
      <c r="X54" s="57">
        <f>(30*0.1790888*245000/1000000)+(30*0.2374*100000/1000000)</f>
        <v>2.0285026799999999</v>
      </c>
      <c r="Y54" s="57"/>
      <c r="Z54" s="10"/>
      <c r="AA54" s="56"/>
      <c r="AB54" s="50">
        <f>(B54*194.205+C54*267.466+D54*133.845+E54*53.484+F54*40+G54*185+H54*0+I54*100+J54*300)/(194.205+267.466+133.845+53.484+0+40+185+100+300)</f>
        <v>4.653652198351649</v>
      </c>
      <c r="AC54" s="45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4.6459705035971224</v>
      </c>
    </row>
    <row r="55" spans="1:29" ht="15.75" x14ac:dyDescent="0.25">
      <c r="A55" s="16">
        <v>42552</v>
      </c>
      <c r="B55" s="10">
        <f>CHOOSE(CONTROL!$C$42, 4.5402, 4.5402) * CHOOSE(CONTROL!$C$21, $C$9, 100%, $E$9)</f>
        <v>4.5401999999999996</v>
      </c>
      <c r="C55" s="10">
        <f>CHOOSE(CONTROL!$C$42, 4.5482, 4.5482) * CHOOSE(CONTROL!$C$21, $C$9, 100%, $E$9)</f>
        <v>4.5481999999999996</v>
      </c>
      <c r="D55" s="10">
        <f>CHOOSE(CONTROL!$C$42, 4.7509, 4.7509) * CHOOSE(CONTROL!$C$21, $C$9, 100%, $E$9)</f>
        <v>4.7508999999999997</v>
      </c>
      <c r="E55" s="10">
        <f>CHOOSE(CONTROL!$C$42, 4.782, 4.782) * CHOOSE(CONTROL!$C$21, $C$9, 100%, $E$9)</f>
        <v>4.782</v>
      </c>
      <c r="F55" s="10">
        <f>CHOOSE(CONTROL!$C$42, 4.517, 4.517)*CHOOSE(CONTROL!$C$21, $C$9, 100%, $E$9)</f>
        <v>4.5170000000000003</v>
      </c>
      <c r="G55" s="10">
        <f>CHOOSE(CONTROL!$C$42, 4.5323, 4.5323)*CHOOSE(CONTROL!$C$21, $C$9, 100%, $E$9)</f>
        <v>4.5323000000000002</v>
      </c>
      <c r="H55" s="10">
        <f>CHOOSE(CONTROL!$C$42, 4.7707, 4.7707) * CHOOSE(CONTROL!$C$21, $C$9, 100%, $E$9)</f>
        <v>4.7706999999999997</v>
      </c>
      <c r="I55" s="10">
        <f>CHOOSE(CONTROL!$C$42, 4.5403, 4.5403)* CHOOSE(CONTROL!$C$21, $C$9, 100%, $E$9)</f>
        <v>4.5403000000000002</v>
      </c>
      <c r="J55" s="10">
        <f>CHOOSE(CONTROL!$C$42, 4.51, 4.51)* CHOOSE(CONTROL!$C$21, $C$9, 100%, $E$9)</f>
        <v>4.51</v>
      </c>
      <c r="K55" s="53"/>
      <c r="L55" s="10">
        <f>CHOOSE(CONTROL!$C$42, 5.3577, 5.3577) * CHOOSE(CONTROL!$C$21, $C$9, 100%, $E$9)</f>
        <v>5.3577000000000004</v>
      </c>
      <c r="M55" s="10">
        <f>CHOOSE(CONTROL!$C$42, 4.4783, 4.4783) * CHOOSE(CONTROL!$C$21, $C$9, 100%, $E$9)</f>
        <v>4.4782999999999999</v>
      </c>
      <c r="N55" s="10">
        <f>CHOOSE(CONTROL!$C$42, 4.4934, 4.4934) * CHOOSE(CONTROL!$C$21, $C$9, 100%, $E$9)</f>
        <v>4.4934000000000003</v>
      </c>
      <c r="O55" s="10">
        <f>CHOOSE(CONTROL!$C$42, 4.7363, 4.7363) * CHOOSE(CONTROL!$C$21, $C$9, 100%, $E$9)</f>
        <v>4.7363</v>
      </c>
      <c r="P55" s="10">
        <f>CHOOSE(CONTROL!$C$42, 4.5083, 4.5083) * CHOOSE(CONTROL!$C$21, $C$9, 100%, $E$9)</f>
        <v>4.5083000000000002</v>
      </c>
      <c r="Q55" s="10">
        <f>CHOOSE(CONTROL!$C$42, 5.3316, 5.3316) * CHOOSE(CONTROL!$C$21, $C$9, 100%, $E$9)</f>
        <v>5.3315999999999999</v>
      </c>
      <c r="R55" s="10">
        <f>CHOOSE(CONTROL!$C$42, 5.932, 5.932) * CHOOSE(CONTROL!$C$21, $C$9, 100%, $E$9)</f>
        <v>5.9320000000000004</v>
      </c>
      <c r="S55" s="10">
        <f>CHOOSE(CONTROL!$C$42, 4.4048, 4.4048) * CHOOSE(CONTROL!$C$21, $C$9, 100%, $E$9)</f>
        <v>4.4047999999999998</v>
      </c>
      <c r="T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57">
        <f>(1000*CHOOSE(CONTROL!$C$42, 695, 695)*CHOOSE(CONTROL!$C$42, 0.5599, 0.5599)*CHOOSE(CONTROL!$C$42, 31, 31))/1000000</f>
        <v>12.063045499999998</v>
      </c>
      <c r="V55" s="57">
        <f>(1000*CHOOSE(CONTROL!$C$42, 580, 580)*CHOOSE(CONTROL!$C$42, 0.275, 0.275)*CHOOSE(CONTROL!$C$42, 31, 31))/1000000</f>
        <v>4.9444999999999997</v>
      </c>
      <c r="W55" s="57">
        <f>(1000*CHOOSE(CONTROL!$C$42, 0.1146, 0.1146)*CHOOSE(CONTROL!$C$42, 121.5, 121.5)*CHOOSE(CONTROL!$C$42, 31, 31))/1000000</f>
        <v>0.43164089999999994</v>
      </c>
      <c r="X55" s="57">
        <f>(31*0.1790888*245000/1000000)+(31*0.2374*100000/1000000)</f>
        <v>2.0961194359999999</v>
      </c>
      <c r="Y55" s="57"/>
      <c r="Z55" s="10"/>
      <c r="AA55" s="56"/>
      <c r="AB55" s="50">
        <f>(B55*194.205+C55*267.466+D55*133.845+E55*53.484+F55*40+G55*185+H55*0+I55*100+J55*300)/(194.205+267.466+133.845+53.484+0+40+185+100+300)</f>
        <v>4.5651872846938772</v>
      </c>
      <c r="AC55" s="45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4.5584812949640288</v>
      </c>
    </row>
    <row r="56" spans="1:29" ht="15.75" x14ac:dyDescent="0.25">
      <c r="A56" s="16">
        <v>42583</v>
      </c>
      <c r="B56" s="10">
        <f>CHOOSE(CONTROL!$C$42, 4.3162, 4.3162) * CHOOSE(CONTROL!$C$21, $C$9, 100%, $E$9)</f>
        <v>4.3162000000000003</v>
      </c>
      <c r="C56" s="10">
        <f>CHOOSE(CONTROL!$C$42, 4.3242, 4.3242) * CHOOSE(CONTROL!$C$21, $C$9, 100%, $E$9)</f>
        <v>4.3242000000000003</v>
      </c>
      <c r="D56" s="10">
        <f>CHOOSE(CONTROL!$C$42, 4.5269, 4.5269) * CHOOSE(CONTROL!$C$21, $C$9, 100%, $E$9)</f>
        <v>4.5269000000000004</v>
      </c>
      <c r="E56" s="10">
        <f>CHOOSE(CONTROL!$C$42, 4.558, 4.558) * CHOOSE(CONTROL!$C$21, $C$9, 100%, $E$9)</f>
        <v>4.5579999999999998</v>
      </c>
      <c r="F56" s="10">
        <f>CHOOSE(CONTROL!$C$42, 4.2932, 4.2932)*CHOOSE(CONTROL!$C$21, $C$9, 100%, $E$9)</f>
        <v>4.2931999999999997</v>
      </c>
      <c r="G56" s="10">
        <f>CHOOSE(CONTROL!$C$42, 4.3085, 4.3085)*CHOOSE(CONTROL!$C$21, $C$9, 100%, $E$9)</f>
        <v>4.3085000000000004</v>
      </c>
      <c r="H56" s="10">
        <f>CHOOSE(CONTROL!$C$42, 4.5467, 4.5467) * CHOOSE(CONTROL!$C$21, $C$9, 100%, $E$9)</f>
        <v>4.5467000000000004</v>
      </c>
      <c r="I56" s="10">
        <f>CHOOSE(CONTROL!$C$42, 4.3163, 4.3163)* CHOOSE(CONTROL!$C$21, $C$9, 100%, $E$9)</f>
        <v>4.3163</v>
      </c>
      <c r="J56" s="10">
        <f>CHOOSE(CONTROL!$C$42, 4.2862, 4.2862)* CHOOSE(CONTROL!$C$21, $C$9, 100%, $E$9)</f>
        <v>4.2862</v>
      </c>
      <c r="K56" s="53"/>
      <c r="L56" s="10">
        <f>CHOOSE(CONTROL!$C$42, 5.1337, 5.1337) * CHOOSE(CONTROL!$C$21, $C$9, 100%, $E$9)</f>
        <v>5.1337000000000002</v>
      </c>
      <c r="M56" s="10">
        <f>CHOOSE(CONTROL!$C$42, 4.2568, 4.2568) * CHOOSE(CONTROL!$C$21, $C$9, 100%, $E$9)</f>
        <v>4.2568000000000001</v>
      </c>
      <c r="N56" s="10">
        <f>CHOOSE(CONTROL!$C$42, 4.2719, 4.2719) * CHOOSE(CONTROL!$C$21, $C$9, 100%, $E$9)</f>
        <v>4.2718999999999996</v>
      </c>
      <c r="O56" s="10">
        <f>CHOOSE(CONTROL!$C$42, 4.5146, 4.5146) * CHOOSE(CONTROL!$C$21, $C$9, 100%, $E$9)</f>
        <v>4.5145999999999997</v>
      </c>
      <c r="P56" s="10">
        <f>CHOOSE(CONTROL!$C$42, 4.2866, 4.2866) * CHOOSE(CONTROL!$C$21, $C$9, 100%, $E$9)</f>
        <v>4.2866</v>
      </c>
      <c r="Q56" s="10">
        <f>CHOOSE(CONTROL!$C$42, 5.1099, 5.1099) * CHOOSE(CONTROL!$C$21, $C$9, 100%, $E$9)</f>
        <v>5.1098999999999997</v>
      </c>
      <c r="R56" s="10">
        <f>CHOOSE(CONTROL!$C$42, 5.7097, 5.7097) * CHOOSE(CONTROL!$C$21, $C$9, 100%, $E$9)</f>
        <v>5.7096999999999998</v>
      </c>
      <c r="S56" s="10">
        <f>CHOOSE(CONTROL!$C$42, 4.1873, 4.1873) * CHOOSE(CONTROL!$C$21, $C$9, 100%, $E$9)</f>
        <v>4.1872999999999996</v>
      </c>
      <c r="T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57">
        <f>(1000*CHOOSE(CONTROL!$C$42, 695, 695)*CHOOSE(CONTROL!$C$42, 0.5599, 0.5599)*CHOOSE(CONTROL!$C$42, 31, 31))/1000000</f>
        <v>12.063045499999998</v>
      </c>
      <c r="V56" s="57">
        <f>(1000*CHOOSE(CONTROL!$C$42, 580, 580)*CHOOSE(CONTROL!$C$42, 0.275, 0.275)*CHOOSE(CONTROL!$C$42, 31, 31))/1000000</f>
        <v>4.9444999999999997</v>
      </c>
      <c r="W56" s="57">
        <f>(1000*CHOOSE(CONTROL!$C$42, 0.1146, 0.1146)*CHOOSE(CONTROL!$C$42, 121.5, 121.5)*CHOOSE(CONTROL!$C$42, 31, 31))/1000000</f>
        <v>0.43164089999999994</v>
      </c>
      <c r="X56" s="57">
        <f>(31*0.1790888*245000/1000000)+(31*0.2374*100000/1000000)</f>
        <v>2.0961194359999999</v>
      </c>
      <c r="Y56" s="57"/>
      <c r="Z56" s="10"/>
      <c r="AA56" s="56"/>
      <c r="AB56" s="50">
        <f>(B56*194.205+C56*267.466+D56*133.845+E56*53.484+F56*40+G56*185+H56*0+I56*100+J56*300)/(194.205+267.466+133.845+53.484+0+40+185+100+300)</f>
        <v>4.3412697022762954</v>
      </c>
      <c r="AC56" s="45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4.3368964028776977</v>
      </c>
    </row>
    <row r="57" spans="1:29" ht="15.75" x14ac:dyDescent="0.25">
      <c r="A57" s="16">
        <v>42614</v>
      </c>
      <c r="B57" s="10">
        <f>CHOOSE(CONTROL!$C$42, 4.0422, 4.0422) * CHOOSE(CONTROL!$C$21, $C$9, 100%, $E$9)</f>
        <v>4.0422000000000002</v>
      </c>
      <c r="C57" s="10">
        <f>CHOOSE(CONTROL!$C$42, 4.0501, 4.0501) * CHOOSE(CONTROL!$C$21, $C$9, 100%, $E$9)</f>
        <v>4.0500999999999996</v>
      </c>
      <c r="D57" s="10">
        <f>CHOOSE(CONTROL!$C$42, 4.2528, 4.2528) * CHOOSE(CONTROL!$C$21, $C$9, 100%, $E$9)</f>
        <v>4.2527999999999997</v>
      </c>
      <c r="E57" s="10">
        <f>CHOOSE(CONTROL!$C$42, 4.284, 4.284) * CHOOSE(CONTROL!$C$21, $C$9, 100%, $E$9)</f>
        <v>4.2839999999999998</v>
      </c>
      <c r="F57" s="10">
        <f>CHOOSE(CONTROL!$C$42, 4.019, 4.019)*CHOOSE(CONTROL!$C$21, $C$9, 100%, $E$9)</f>
        <v>4.0190000000000001</v>
      </c>
      <c r="G57" s="10">
        <f>CHOOSE(CONTROL!$C$42, 4.0343, 4.0343)*CHOOSE(CONTROL!$C$21, $C$9, 100%, $E$9)</f>
        <v>4.0343</v>
      </c>
      <c r="H57" s="10">
        <f>CHOOSE(CONTROL!$C$42, 4.2726, 4.2726) * CHOOSE(CONTROL!$C$21, $C$9, 100%, $E$9)</f>
        <v>4.2725999999999997</v>
      </c>
      <c r="I57" s="10">
        <f>CHOOSE(CONTROL!$C$42, 4.0422, 4.0422)* CHOOSE(CONTROL!$C$21, $C$9, 100%, $E$9)</f>
        <v>4.0422000000000002</v>
      </c>
      <c r="J57" s="10">
        <f>CHOOSE(CONTROL!$C$42, 4.012, 4.012)* CHOOSE(CONTROL!$C$21, $C$9, 100%, $E$9)</f>
        <v>4.0119999999999996</v>
      </c>
      <c r="K57" s="53"/>
      <c r="L57" s="10">
        <f>CHOOSE(CONTROL!$C$42, 4.8596, 4.8596) * CHOOSE(CONTROL!$C$21, $C$9, 100%, $E$9)</f>
        <v>4.8596000000000004</v>
      </c>
      <c r="M57" s="10">
        <f>CHOOSE(CONTROL!$C$42, 3.9853, 3.9853) * CHOOSE(CONTROL!$C$21, $C$9, 100%, $E$9)</f>
        <v>3.9853000000000001</v>
      </c>
      <c r="N57" s="10">
        <f>CHOOSE(CONTROL!$C$42, 4.0005, 4.0005) * CHOOSE(CONTROL!$C$21, $C$9, 100%, $E$9)</f>
        <v>4.0004999999999997</v>
      </c>
      <c r="O57" s="10">
        <f>CHOOSE(CONTROL!$C$42, 4.2433, 4.2433) * CHOOSE(CONTROL!$C$21, $C$9, 100%, $E$9)</f>
        <v>4.2432999999999996</v>
      </c>
      <c r="P57" s="10">
        <f>CHOOSE(CONTROL!$C$42, 4.0153, 4.0153) * CHOOSE(CONTROL!$C$21, $C$9, 100%, $E$9)</f>
        <v>4.0152999999999999</v>
      </c>
      <c r="Q57" s="10">
        <f>CHOOSE(CONTROL!$C$42, 4.8386, 4.8386) * CHOOSE(CONTROL!$C$21, $C$9, 100%, $E$9)</f>
        <v>4.8385999999999996</v>
      </c>
      <c r="R57" s="10">
        <f>CHOOSE(CONTROL!$C$42, 5.4377, 5.4377) * CHOOSE(CONTROL!$C$21, $C$9, 100%, $E$9)</f>
        <v>5.4377000000000004</v>
      </c>
      <c r="S57" s="10">
        <f>CHOOSE(CONTROL!$C$42, 3.9211, 3.9211) * CHOOSE(CONTROL!$C$21, $C$9, 100%, $E$9)</f>
        <v>3.9211</v>
      </c>
      <c r="T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57">
        <f>(1000*CHOOSE(CONTROL!$C$42, 695, 695)*CHOOSE(CONTROL!$C$42, 0.5599, 0.5599)*CHOOSE(CONTROL!$C$42, 30, 30))/1000000</f>
        <v>11.673914999999997</v>
      </c>
      <c r="V57" s="57">
        <f>(1000*CHOOSE(CONTROL!$C$42, 580, 580)*CHOOSE(CONTROL!$C$42, 0.275, 0.275)*CHOOSE(CONTROL!$C$42, 30, 30))/1000000</f>
        <v>4.7850000000000001</v>
      </c>
      <c r="W57" s="57">
        <f>(1000*CHOOSE(CONTROL!$C$42, 0.1146, 0.1146)*CHOOSE(CONTROL!$C$42, 121.5, 121.5)*CHOOSE(CONTROL!$C$42, 30, 30))/1000000</f>
        <v>0.417717</v>
      </c>
      <c r="X57" s="57">
        <f>(30*0.1790888*245000/1000000)+(30*0.2374*100000/1000000)</f>
        <v>2.0285026799999999</v>
      </c>
      <c r="Y57" s="57"/>
      <c r="Z57" s="10"/>
      <c r="AA57" s="56"/>
      <c r="AB57" s="50">
        <f>(B57*194.205+C57*267.466+D57*133.845+E57*53.484+F57*40+G57*185+H57*0+I57*100+J57*300)/(194.205+267.466+133.845+53.484+0+40+185+100+300)</f>
        <v>4.0671479353218212</v>
      </c>
      <c r="AC57" s="45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4.0655043165467619</v>
      </c>
    </row>
    <row r="58" spans="1:29" ht="15.75" x14ac:dyDescent="0.25">
      <c r="A58" s="16">
        <v>42644</v>
      </c>
      <c r="B58" s="10">
        <f>CHOOSE(CONTROL!$C$42, 3.9585, 3.9585) * CHOOSE(CONTROL!$C$21, $C$9, 100%, $E$9)</f>
        <v>3.9584999999999999</v>
      </c>
      <c r="C58" s="10">
        <f>CHOOSE(CONTROL!$C$42, 3.9637, 3.9637) * CHOOSE(CONTROL!$C$21, $C$9, 100%, $E$9)</f>
        <v>3.9636999999999998</v>
      </c>
      <c r="D58" s="10">
        <f>CHOOSE(CONTROL!$C$42, 4.1714, 4.1714) * CHOOSE(CONTROL!$C$21, $C$9, 100%, $E$9)</f>
        <v>4.1714000000000002</v>
      </c>
      <c r="E58" s="10">
        <f>CHOOSE(CONTROL!$C$42, 4.2002, 4.2002) * CHOOSE(CONTROL!$C$21, $C$9, 100%, $E$9)</f>
        <v>4.2001999999999997</v>
      </c>
      <c r="F58" s="10">
        <f>CHOOSE(CONTROL!$C$42, 3.9372, 3.9372)*CHOOSE(CONTROL!$C$21, $C$9, 100%, $E$9)</f>
        <v>3.9371999999999998</v>
      </c>
      <c r="G58" s="10">
        <f>CHOOSE(CONTROL!$C$42, 3.9521, 3.9521)*CHOOSE(CONTROL!$C$21, $C$9, 100%, $E$9)</f>
        <v>3.9521000000000002</v>
      </c>
      <c r="H58" s="10">
        <f>CHOOSE(CONTROL!$C$42, 4.1906, 4.1906) * CHOOSE(CONTROL!$C$21, $C$9, 100%, $E$9)</f>
        <v>4.1905999999999999</v>
      </c>
      <c r="I58" s="10">
        <f>CHOOSE(CONTROL!$C$42, 3.9602, 3.9602)* CHOOSE(CONTROL!$C$21, $C$9, 100%, $E$9)</f>
        <v>3.9601999999999999</v>
      </c>
      <c r="J58" s="10">
        <f>CHOOSE(CONTROL!$C$42, 3.9302, 3.9302)* CHOOSE(CONTROL!$C$21, $C$9, 100%, $E$9)</f>
        <v>3.9302000000000001</v>
      </c>
      <c r="K58" s="53"/>
      <c r="L58" s="10">
        <f>CHOOSE(CONTROL!$C$42, 4.7776, 4.7776) * CHOOSE(CONTROL!$C$21, $C$9, 100%, $E$9)</f>
        <v>4.7775999999999996</v>
      </c>
      <c r="M58" s="10">
        <f>CHOOSE(CONTROL!$C$42, 3.9043, 3.9043) * CHOOSE(CONTROL!$C$21, $C$9, 100%, $E$9)</f>
        <v>3.9043000000000001</v>
      </c>
      <c r="N58" s="10">
        <f>CHOOSE(CONTROL!$C$42, 3.9191, 3.9191) * CHOOSE(CONTROL!$C$21, $C$9, 100%, $E$9)</f>
        <v>3.9190999999999998</v>
      </c>
      <c r="O58" s="10">
        <f>CHOOSE(CONTROL!$C$42, 4.1622, 4.1622) * CHOOSE(CONTROL!$C$21, $C$9, 100%, $E$9)</f>
        <v>4.1622000000000003</v>
      </c>
      <c r="P58" s="10">
        <f>CHOOSE(CONTROL!$C$42, 3.9342, 3.9342) * CHOOSE(CONTROL!$C$21, $C$9, 100%, $E$9)</f>
        <v>3.9342000000000001</v>
      </c>
      <c r="Q58" s="10">
        <f>CHOOSE(CONTROL!$C$42, 4.7575, 4.7575) * CHOOSE(CONTROL!$C$21, $C$9, 100%, $E$9)</f>
        <v>4.7575000000000003</v>
      </c>
      <c r="R58" s="10">
        <f>CHOOSE(CONTROL!$C$42, 5.3564, 5.3564) * CHOOSE(CONTROL!$C$21, $C$9, 100%, $E$9)</f>
        <v>5.3563999999999998</v>
      </c>
      <c r="S58" s="10">
        <f>CHOOSE(CONTROL!$C$42, 3.8415, 3.8415) * CHOOSE(CONTROL!$C$21, $C$9, 100%, $E$9)</f>
        <v>3.8414999999999999</v>
      </c>
      <c r="T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57">
        <f>(1000*CHOOSE(CONTROL!$C$42, 695, 695)*CHOOSE(CONTROL!$C$42, 0.5599, 0.5599)*CHOOSE(CONTROL!$C$42, 31, 31))/1000000</f>
        <v>12.063045499999998</v>
      </c>
      <c r="V58" s="57">
        <f>(1000*CHOOSE(CONTROL!$C$42, 580, 580)*CHOOSE(CONTROL!$C$42, 0.275, 0.275)*CHOOSE(CONTROL!$C$42, 31, 31))/1000000</f>
        <v>4.9444999999999997</v>
      </c>
      <c r="W58" s="57">
        <f>(1000*CHOOSE(CONTROL!$C$42, 0.1146, 0.1146)*CHOOSE(CONTROL!$C$42, 121.5, 121.5)*CHOOSE(CONTROL!$C$42, 31, 31))/1000000</f>
        <v>0.43164089999999994</v>
      </c>
      <c r="X58" s="57">
        <f>(31*0.1790888*245000/1000000)+(31*0.2374*100000/1000000)</f>
        <v>2.0961194359999999</v>
      </c>
      <c r="Y58" s="57"/>
      <c r="Z58" s="10"/>
      <c r="AA58" s="56"/>
      <c r="AB58" s="50">
        <f>(B58*131.881+C58*277.167+D58*79.08+E58*125.872+F58*40+G58*185+H58*0+I58*100+J58*300)/(131.881+277.167+79.08+125.872+0+40+185+100+300)</f>
        <v>3.9894480732849069</v>
      </c>
      <c r="AC58" s="45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3.984369784172662</v>
      </c>
    </row>
    <row r="59" spans="1:29" ht="15.75" x14ac:dyDescent="0.25">
      <c r="A59" s="16">
        <v>42675</v>
      </c>
      <c r="B59" s="10">
        <f>CHOOSE(CONTROL!$C$42, 4.0622, 4.0622) * CHOOSE(CONTROL!$C$21, $C$9, 100%, $E$9)</f>
        <v>4.0621999999999998</v>
      </c>
      <c r="C59" s="10">
        <f>CHOOSE(CONTROL!$C$42, 4.0672, 4.0672) * CHOOSE(CONTROL!$C$21, $C$9, 100%, $E$9)</f>
        <v>4.0671999999999997</v>
      </c>
      <c r="D59" s="10">
        <f>CHOOSE(CONTROL!$C$42, 4.1277, 4.1277) * CHOOSE(CONTROL!$C$21, $C$9, 100%, $E$9)</f>
        <v>4.1276999999999999</v>
      </c>
      <c r="E59" s="10">
        <f>CHOOSE(CONTROL!$C$42, 4.1615, 4.1615) * CHOOSE(CONTROL!$C$21, $C$9, 100%, $E$9)</f>
        <v>4.1615000000000002</v>
      </c>
      <c r="F59" s="10">
        <f>CHOOSE(CONTROL!$C$42, 4.0579, 4.0579)*CHOOSE(CONTROL!$C$21, $C$9, 100%, $E$9)</f>
        <v>4.0579000000000001</v>
      </c>
      <c r="G59" s="10">
        <f>CHOOSE(CONTROL!$C$42, 4.0731, 4.0731)*CHOOSE(CONTROL!$C$21, $C$9, 100%, $E$9)</f>
        <v>4.0731000000000002</v>
      </c>
      <c r="H59" s="10">
        <f>CHOOSE(CONTROL!$C$42, 4.1507, 4.1507) * CHOOSE(CONTROL!$C$21, $C$9, 100%, $E$9)</f>
        <v>4.1506999999999996</v>
      </c>
      <c r="I59" s="10">
        <f>CHOOSE(CONTROL!$C$42, 4.0747, 4.0747)* CHOOSE(CONTROL!$C$21, $C$9, 100%, $E$9)</f>
        <v>4.0747</v>
      </c>
      <c r="J59" s="10">
        <f>CHOOSE(CONTROL!$C$42, 4.0509, 4.0509)* CHOOSE(CONTROL!$C$21, $C$9, 100%, $E$9)</f>
        <v>4.0509000000000004</v>
      </c>
      <c r="K59" s="53"/>
      <c r="L59" s="10">
        <f>CHOOSE(CONTROL!$C$42, 4.7377, 4.7377) * CHOOSE(CONTROL!$C$21, $C$9, 100%, $E$9)</f>
        <v>4.7377000000000002</v>
      </c>
      <c r="M59" s="10">
        <f>CHOOSE(CONTROL!$C$42, 4.0238, 4.0238) * CHOOSE(CONTROL!$C$21, $C$9, 100%, $E$9)</f>
        <v>4.0237999999999996</v>
      </c>
      <c r="N59" s="10">
        <f>CHOOSE(CONTROL!$C$42, 4.0389, 4.0389) * CHOOSE(CONTROL!$C$21, $C$9, 100%, $E$9)</f>
        <v>4.0388999999999999</v>
      </c>
      <c r="O59" s="10">
        <f>CHOOSE(CONTROL!$C$42, 4.1226, 4.1226) * CHOOSE(CONTROL!$C$21, $C$9, 100%, $E$9)</f>
        <v>4.1226000000000003</v>
      </c>
      <c r="P59" s="10">
        <f>CHOOSE(CONTROL!$C$42, 4.0475, 4.0475) * CHOOSE(CONTROL!$C$21, $C$9, 100%, $E$9)</f>
        <v>4.0475000000000003</v>
      </c>
      <c r="Q59" s="10">
        <f>CHOOSE(CONTROL!$C$42, 4.7179, 4.7179) * CHOOSE(CONTROL!$C$21, $C$9, 100%, $E$9)</f>
        <v>4.7179000000000002</v>
      </c>
      <c r="R59" s="10">
        <f>CHOOSE(CONTROL!$C$42, 5.3167, 5.3167) * CHOOSE(CONTROL!$C$21, $C$9, 100%, $E$9)</f>
        <v>5.3167</v>
      </c>
      <c r="S59" s="10">
        <f>CHOOSE(CONTROL!$C$42, 3.9427, 3.9427) * CHOOSE(CONTROL!$C$21, $C$9, 100%, $E$9)</f>
        <v>3.9426999999999999</v>
      </c>
      <c r="T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57">
        <f>(1000*CHOOSE(CONTROL!$C$42, 695, 695)*CHOOSE(CONTROL!$C$42, 0.5599, 0.5599)*CHOOSE(CONTROL!$C$42, 30, 30))/1000000</f>
        <v>11.673914999999997</v>
      </c>
      <c r="V59" s="57">
        <f>(1000*CHOOSE(CONTROL!$C$42, 580, 580)*CHOOSE(CONTROL!$C$42, 0.275, 0.275)*CHOOSE(CONTROL!$C$42, 30, 30))/1000000</f>
        <v>4.7850000000000001</v>
      </c>
      <c r="W59" s="57">
        <f>(1000*CHOOSE(CONTROL!$C$42, 0.1146, 0.1146)*CHOOSE(CONTROL!$C$42, 121.5, 121.5)*CHOOSE(CONTROL!$C$42, 30, 30))/1000000</f>
        <v>0.417717</v>
      </c>
      <c r="X59" s="57">
        <f>(30*0.1790888*100000/1000000)+(30*0.2374*100000/1000000)</f>
        <v>1.2494664</v>
      </c>
      <c r="Y59" s="57"/>
      <c r="Z59" s="10"/>
      <c r="AA59" s="56"/>
      <c r="AB59" s="50">
        <f>(B59*122.58+C59*297.941+D59*89.177+E59*40.302+F59*40+G59*160+H59*0+I59*100+J59*300)/(122.58+297.941+89.177+40.302+0+40+160+100+300)</f>
        <v>4.0715606844347825</v>
      </c>
      <c r="AC59" s="45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4.072858992805755</v>
      </c>
    </row>
    <row r="60" spans="1:29" ht="15.75" x14ac:dyDescent="0.25">
      <c r="A60" s="16">
        <v>42705</v>
      </c>
      <c r="B60" s="10">
        <f>CHOOSE(CONTROL!$C$42, 4.339, 4.339) * CHOOSE(CONTROL!$C$21, $C$9, 100%, $E$9)</f>
        <v>4.3390000000000004</v>
      </c>
      <c r="C60" s="10">
        <f>CHOOSE(CONTROL!$C$42, 4.3439, 4.3439) * CHOOSE(CONTROL!$C$21, $C$9, 100%, $E$9)</f>
        <v>4.3438999999999997</v>
      </c>
      <c r="D60" s="10">
        <f>CHOOSE(CONTROL!$C$42, 4.4044, 4.4044) * CHOOSE(CONTROL!$C$21, $C$9, 100%, $E$9)</f>
        <v>4.4043999999999999</v>
      </c>
      <c r="E60" s="10">
        <f>CHOOSE(CONTROL!$C$42, 4.4382, 4.4382) * CHOOSE(CONTROL!$C$21, $C$9, 100%, $E$9)</f>
        <v>4.4382000000000001</v>
      </c>
      <c r="F60" s="10">
        <f>CHOOSE(CONTROL!$C$42, 4.3364, 4.3364)*CHOOSE(CONTROL!$C$21, $C$9, 100%, $E$9)</f>
        <v>4.3364000000000003</v>
      </c>
      <c r="G60" s="10">
        <f>CHOOSE(CONTROL!$C$42, 4.3521, 4.3521)*CHOOSE(CONTROL!$C$21, $C$9, 100%, $E$9)</f>
        <v>4.3521000000000001</v>
      </c>
      <c r="H60" s="10">
        <f>CHOOSE(CONTROL!$C$42, 4.4274, 4.4274) * CHOOSE(CONTROL!$C$21, $C$9, 100%, $E$9)</f>
        <v>4.4273999999999996</v>
      </c>
      <c r="I60" s="10">
        <f>CHOOSE(CONTROL!$C$42, 4.3515, 4.3515)* CHOOSE(CONTROL!$C$21, $C$9, 100%, $E$9)</f>
        <v>4.3514999999999997</v>
      </c>
      <c r="J60" s="10">
        <f>CHOOSE(CONTROL!$C$42, 4.3294, 4.3294)* CHOOSE(CONTROL!$C$21, $C$9, 100%, $E$9)</f>
        <v>4.3293999999999997</v>
      </c>
      <c r="K60" s="53"/>
      <c r="L60" s="10">
        <f>CHOOSE(CONTROL!$C$42, 5.0144, 5.0144) * CHOOSE(CONTROL!$C$21, $C$9, 100%, $E$9)</f>
        <v>5.0144000000000002</v>
      </c>
      <c r="M60" s="10">
        <f>CHOOSE(CONTROL!$C$42, 4.2996, 4.2996) * CHOOSE(CONTROL!$C$21, $C$9, 100%, $E$9)</f>
        <v>4.2995999999999999</v>
      </c>
      <c r="N60" s="10">
        <f>CHOOSE(CONTROL!$C$42, 4.3151, 4.3151) * CHOOSE(CONTROL!$C$21, $C$9, 100%, $E$9)</f>
        <v>4.3151000000000002</v>
      </c>
      <c r="O60" s="10">
        <f>CHOOSE(CONTROL!$C$42, 4.3966, 4.3966) * CHOOSE(CONTROL!$C$21, $C$9, 100%, $E$9)</f>
        <v>4.3966000000000003</v>
      </c>
      <c r="P60" s="10">
        <f>CHOOSE(CONTROL!$C$42, 4.3214, 4.3214) * CHOOSE(CONTROL!$C$21, $C$9, 100%, $E$9)</f>
        <v>4.3213999999999997</v>
      </c>
      <c r="Q60" s="10">
        <f>CHOOSE(CONTROL!$C$42, 4.9919, 4.9919) * CHOOSE(CONTROL!$C$21, $C$9, 100%, $E$9)</f>
        <v>4.9919000000000002</v>
      </c>
      <c r="R60" s="10">
        <f>CHOOSE(CONTROL!$C$42, 5.5913, 5.5913) * CHOOSE(CONTROL!$C$21, $C$9, 100%, $E$9)</f>
        <v>5.5913000000000004</v>
      </c>
      <c r="S60" s="10">
        <f>CHOOSE(CONTROL!$C$42, 4.2115, 4.2115) * CHOOSE(CONTROL!$C$21, $C$9, 100%, $E$9)</f>
        <v>4.2115</v>
      </c>
      <c r="T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57">
        <f>(1000*CHOOSE(CONTROL!$C$42, 695, 695)*CHOOSE(CONTROL!$C$42, 0.5599, 0.5599)*CHOOSE(CONTROL!$C$42, 31, 31))/1000000</f>
        <v>12.063045499999998</v>
      </c>
      <c r="V60" s="57">
        <f>(1000*CHOOSE(CONTROL!$C$42, 580, 580)*CHOOSE(CONTROL!$C$42, 0.275, 0.275)*CHOOSE(CONTROL!$C$42, 31, 31))/1000000</f>
        <v>4.9444999999999997</v>
      </c>
      <c r="W60" s="57">
        <f>(1000*CHOOSE(CONTROL!$C$42, 0.1146, 0.1146)*CHOOSE(CONTROL!$C$42, 121.5, 121.5)*CHOOSE(CONTROL!$C$42, 31, 31))/1000000</f>
        <v>0.43164089999999994</v>
      </c>
      <c r="X60" s="57">
        <f>(31*0.1790888*100000/1000000)+(31*0.2374*100000/1000000)</f>
        <v>1.2911152800000001</v>
      </c>
      <c r="Y60" s="57"/>
      <c r="Z60" s="10"/>
      <c r="AA60" s="56"/>
      <c r="AB60" s="50">
        <f>(B60*122.58+C60*297.941+D60*89.177+E60*40.302+F60*40+G60*160+H60*0+I60*100+J60*300)/(122.58+297.941+89.177+40.302+0+40+160+100+300)</f>
        <v>4.3491322131304351</v>
      </c>
      <c r="AC60" s="45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4.3475928057553954</v>
      </c>
    </row>
    <row r="61" spans="1:29" ht="15.75" x14ac:dyDescent="0.25">
      <c r="A61" s="16">
        <v>42736</v>
      </c>
      <c r="B61" s="10">
        <f>CHOOSE(CONTROL!$C$42, 4.8664, 4.8664) * CHOOSE(CONTROL!$C$21, $C$9, 100%, $E$9)</f>
        <v>4.8663999999999996</v>
      </c>
      <c r="C61" s="10">
        <f>CHOOSE(CONTROL!$C$42, 4.8714, 4.8714) * CHOOSE(CONTROL!$C$21, $C$9, 100%, $E$9)</f>
        <v>4.8714000000000004</v>
      </c>
      <c r="D61" s="10">
        <f>CHOOSE(CONTROL!$C$42, 4.9285, 4.9285) * CHOOSE(CONTROL!$C$21, $C$9, 100%, $E$9)</f>
        <v>4.9284999999999997</v>
      </c>
      <c r="E61" s="10">
        <f>CHOOSE(CONTROL!$C$42, 4.9623, 4.9623) * CHOOSE(CONTROL!$C$21, $C$9, 100%, $E$9)</f>
        <v>4.9622999999999999</v>
      </c>
      <c r="F61" s="10">
        <f>CHOOSE(CONTROL!$C$42, 4.8643, 4.8643)*CHOOSE(CONTROL!$C$21, $C$9, 100%, $E$9)</f>
        <v>4.8643000000000001</v>
      </c>
      <c r="G61" s="10">
        <f>CHOOSE(CONTROL!$C$42, 4.8789, 4.8789)*CHOOSE(CONTROL!$C$21, $C$9, 100%, $E$9)</f>
        <v>4.8788999999999998</v>
      </c>
      <c r="H61" s="10">
        <f>CHOOSE(CONTROL!$C$42, 4.9514, 4.9514) * CHOOSE(CONTROL!$C$21, $C$9, 100%, $E$9)</f>
        <v>4.9513999999999996</v>
      </c>
      <c r="I61" s="10">
        <f>CHOOSE(CONTROL!$C$42, 4.8772, 4.8772)* CHOOSE(CONTROL!$C$21, $C$9, 100%, $E$9)</f>
        <v>4.8772000000000002</v>
      </c>
      <c r="J61" s="10">
        <f>CHOOSE(CONTROL!$C$42, 4.8573, 4.8573)* CHOOSE(CONTROL!$C$21, $C$9, 100%, $E$9)</f>
        <v>4.8573000000000004</v>
      </c>
      <c r="K61" s="53">
        <f>CHOOSE(CONTROL!$C$42, 4.8734, 4.8734) * CHOOSE(CONTROL!$C$21, $C$9, 100%, $E$9)</f>
        <v>4.8734000000000002</v>
      </c>
      <c r="L61" s="10">
        <f>CHOOSE(CONTROL!$C$42, 5.5384, 5.5384) * CHOOSE(CONTROL!$C$21, $C$9, 100%, $E$9)</f>
        <v>5.5384000000000002</v>
      </c>
      <c r="M61" s="10">
        <f>CHOOSE(CONTROL!$C$42, 4.8221, 4.8221) * CHOOSE(CONTROL!$C$21, $C$9, 100%, $E$9)</f>
        <v>4.8220999999999998</v>
      </c>
      <c r="N61" s="10">
        <f>CHOOSE(CONTROL!$C$42, 4.8365, 4.8365) * CHOOSE(CONTROL!$C$21, $C$9, 100%, $E$9)</f>
        <v>4.8365</v>
      </c>
      <c r="O61" s="10">
        <f>CHOOSE(CONTROL!$C$42, 4.9153, 4.9153) * CHOOSE(CONTROL!$C$21, $C$9, 100%, $E$9)</f>
        <v>4.9153000000000002</v>
      </c>
      <c r="P61" s="10">
        <f>CHOOSE(CONTROL!$C$42, 4.8419, 4.8419) * CHOOSE(CONTROL!$C$21, $C$9, 100%, $E$9)</f>
        <v>4.8418999999999999</v>
      </c>
      <c r="Q61" s="10">
        <f>CHOOSE(CONTROL!$C$42, 5.5106, 5.5106) * CHOOSE(CONTROL!$C$21, $C$9, 100%, $E$9)</f>
        <v>5.5106000000000002</v>
      </c>
      <c r="R61" s="10">
        <f>CHOOSE(CONTROL!$C$42, 6.1114, 6.1114) * CHOOSE(CONTROL!$C$21, $C$9, 100%, $E$9)</f>
        <v>6.1113999999999997</v>
      </c>
      <c r="S61" s="10">
        <f>CHOOSE(CONTROL!$C$42, 4.7237, 4.7237) * CHOOSE(CONTROL!$C$21, $C$9, 100%, $E$9)</f>
        <v>4.7237</v>
      </c>
      <c r="T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57">
        <f>(1000*CHOOSE(CONTROL!$C$42, 695, 695)*CHOOSE(CONTROL!$C$42, 0.5599, 0.5599)*CHOOSE(CONTROL!$C$42, 31, 31))/1000000</f>
        <v>12.063045499999998</v>
      </c>
      <c r="V61" s="57">
        <f>(1000*CHOOSE(CONTROL!$C$42, 580, 580)*CHOOSE(CONTROL!$C$42, 0.275, 0.275)*CHOOSE(CONTROL!$C$42, 31, 31))/1000000</f>
        <v>4.9444999999999997</v>
      </c>
      <c r="W61" s="57">
        <f>(1000*CHOOSE(CONTROL!$C$42, 0.1146, 0.1146)*CHOOSE(CONTROL!$C$42, 121.5, 121.5)*CHOOSE(CONTROL!$C$42, 31, 31))/1000000</f>
        <v>0.43164089999999994</v>
      </c>
      <c r="X61" s="57">
        <f>(31*0.1790888*100000/1000000)+(31*0.2374*100000/1000000)</f>
        <v>1.2911152800000001</v>
      </c>
      <c r="Y61" s="57"/>
      <c r="Z61" s="10"/>
      <c r="AA61" s="56"/>
      <c r="AB61" s="50">
        <f>(B61*122.58+C61*297.941+D61*89.177+E61*40.302+F61*40+G61*160+H61*0+I61*100+J61*300)/(122.58+297.941+89.177+40.302+0+40+160+100+300)</f>
        <v>4.8761030943478261</v>
      </c>
      <c r="AC61" s="45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4.8680194244604316</v>
      </c>
    </row>
    <row r="62" spans="1:29" ht="15.75" x14ac:dyDescent="0.25">
      <c r="A62" s="16">
        <v>42767</v>
      </c>
      <c r="B62" s="10">
        <f>CHOOSE(CONTROL!$C$42, 4.953, 4.953) * CHOOSE(CONTROL!$C$21, $C$9, 100%, $E$9)</f>
        <v>4.9530000000000003</v>
      </c>
      <c r="C62" s="10">
        <f>CHOOSE(CONTROL!$C$42, 4.958, 4.958) * CHOOSE(CONTROL!$C$21, $C$9, 100%, $E$9)</f>
        <v>4.9580000000000002</v>
      </c>
      <c r="D62" s="10">
        <f>CHOOSE(CONTROL!$C$42, 5.015, 5.015) * CHOOSE(CONTROL!$C$21, $C$9, 100%, $E$9)</f>
        <v>5.0149999999999997</v>
      </c>
      <c r="E62" s="10">
        <f>CHOOSE(CONTROL!$C$42, 5.0488, 5.0488) * CHOOSE(CONTROL!$C$21, $C$9, 100%, $E$9)</f>
        <v>5.0488</v>
      </c>
      <c r="F62" s="10">
        <f>CHOOSE(CONTROL!$C$42, 4.951, 4.951)*CHOOSE(CONTROL!$C$21, $C$9, 100%, $E$9)</f>
        <v>4.9509999999999996</v>
      </c>
      <c r="G62" s="10">
        <f>CHOOSE(CONTROL!$C$42, 4.9656, 4.9656)*CHOOSE(CONTROL!$C$21, $C$9, 100%, $E$9)</f>
        <v>4.9656000000000002</v>
      </c>
      <c r="H62" s="10">
        <f>CHOOSE(CONTROL!$C$42, 5.038, 5.038) * CHOOSE(CONTROL!$C$21, $C$9, 100%, $E$9)</f>
        <v>5.0380000000000003</v>
      </c>
      <c r="I62" s="10">
        <f>CHOOSE(CONTROL!$C$42, 4.9638, 4.9638)* CHOOSE(CONTROL!$C$21, $C$9, 100%, $E$9)</f>
        <v>4.9638</v>
      </c>
      <c r="J62" s="10">
        <f>CHOOSE(CONTROL!$C$42, 4.944, 4.944)* CHOOSE(CONTROL!$C$21, $C$9, 100%, $E$9)</f>
        <v>4.944</v>
      </c>
      <c r="K62" s="53">
        <f>CHOOSE(CONTROL!$C$42, 4.9599, 4.9599) * CHOOSE(CONTROL!$C$21, $C$9, 100%, $E$9)</f>
        <v>4.9599000000000002</v>
      </c>
      <c r="L62" s="10">
        <f>CHOOSE(CONTROL!$C$42, 5.625, 5.625) * CHOOSE(CONTROL!$C$21, $C$9, 100%, $E$9)</f>
        <v>5.625</v>
      </c>
      <c r="M62" s="10">
        <f>CHOOSE(CONTROL!$C$42, 4.9079, 4.9079) * CHOOSE(CONTROL!$C$21, $C$9, 100%, $E$9)</f>
        <v>4.9078999999999997</v>
      </c>
      <c r="N62" s="10">
        <f>CHOOSE(CONTROL!$C$42, 4.9224, 4.9224) * CHOOSE(CONTROL!$C$21, $C$9, 100%, $E$9)</f>
        <v>4.9223999999999997</v>
      </c>
      <c r="O62" s="10">
        <f>CHOOSE(CONTROL!$C$42, 5.001, 5.001) * CHOOSE(CONTROL!$C$21, $C$9, 100%, $E$9)</f>
        <v>5.0010000000000003</v>
      </c>
      <c r="P62" s="10">
        <f>CHOOSE(CONTROL!$C$42, 4.9276, 4.9276) * CHOOSE(CONTROL!$C$21, $C$9, 100%, $E$9)</f>
        <v>4.9276</v>
      </c>
      <c r="Q62" s="10">
        <f>CHOOSE(CONTROL!$C$42, 5.5963, 5.5963) * CHOOSE(CONTROL!$C$21, $C$9, 100%, $E$9)</f>
        <v>5.5963000000000003</v>
      </c>
      <c r="R62" s="10">
        <f>CHOOSE(CONTROL!$C$42, 6.1973, 6.1973) * CHOOSE(CONTROL!$C$21, $C$9, 100%, $E$9)</f>
        <v>6.1973000000000003</v>
      </c>
      <c r="S62" s="10">
        <f>CHOOSE(CONTROL!$C$42, 4.8077, 4.8077) * CHOOSE(CONTROL!$C$21, $C$9, 100%, $E$9)</f>
        <v>4.8076999999999996</v>
      </c>
      <c r="T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57">
        <f>(1000*CHOOSE(CONTROL!$C$42, 695, 695)*CHOOSE(CONTROL!$C$42, 0.5599, 0.5599)*CHOOSE(CONTROL!$C$42, 28, 28))/1000000</f>
        <v>10.895653999999999</v>
      </c>
      <c r="V62" s="57">
        <f>(1000*CHOOSE(CONTROL!$C$42, 580, 580)*CHOOSE(CONTROL!$C$42, 0.275, 0.275)*CHOOSE(CONTROL!$C$42, 28, 28))/1000000</f>
        <v>4.4660000000000002</v>
      </c>
      <c r="W62" s="57">
        <f>(1000*CHOOSE(CONTROL!$C$42, 0.1146, 0.1146)*CHOOSE(CONTROL!$C$42, 121.5, 121.5)*CHOOSE(CONTROL!$C$42, 28, 28))/1000000</f>
        <v>0.38986920000000003</v>
      </c>
      <c r="X62" s="57">
        <f>(28*0.1790888*100000/1000000)+(28*0.2374*100000/1000000)</f>
        <v>1.16616864</v>
      </c>
      <c r="Y62" s="57"/>
      <c r="Z62" s="10"/>
      <c r="AA62" s="56"/>
      <c r="AB62" s="50">
        <f>(B62*122.58+C62*297.941+D62*89.177+E62*40.302+F62*40+G62*160+H62*0+I62*100+J62*300)/(122.58+297.941+89.177+40.302+0+40+160+100+300)</f>
        <v>4.9627353135652168</v>
      </c>
      <c r="AC62" s="45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4.9537654676258995</v>
      </c>
    </row>
    <row r="63" spans="1:29" ht="15.75" x14ac:dyDescent="0.25">
      <c r="A63" s="16">
        <v>42795</v>
      </c>
      <c r="B63" s="10">
        <f>CHOOSE(CONTROL!$C$42, 4.8125, 4.8125) * CHOOSE(CONTROL!$C$21, $C$9, 100%, $E$9)</f>
        <v>4.8125</v>
      </c>
      <c r="C63" s="10">
        <f>CHOOSE(CONTROL!$C$42, 4.8174, 4.8174) * CHOOSE(CONTROL!$C$21, $C$9, 100%, $E$9)</f>
        <v>4.8174000000000001</v>
      </c>
      <c r="D63" s="10">
        <f>CHOOSE(CONTROL!$C$42, 4.8745, 4.8745) * CHOOSE(CONTROL!$C$21, $C$9, 100%, $E$9)</f>
        <v>4.8745000000000003</v>
      </c>
      <c r="E63" s="10">
        <f>CHOOSE(CONTROL!$C$42, 4.9083, 4.9083) * CHOOSE(CONTROL!$C$21, $C$9, 100%, $E$9)</f>
        <v>4.9082999999999997</v>
      </c>
      <c r="F63" s="10">
        <f>CHOOSE(CONTROL!$C$42, 4.8103, 4.8103)*CHOOSE(CONTROL!$C$21, $C$9, 100%, $E$9)</f>
        <v>4.8102999999999998</v>
      </c>
      <c r="G63" s="10">
        <f>CHOOSE(CONTROL!$C$42, 4.8249, 4.8249)*CHOOSE(CONTROL!$C$21, $C$9, 100%, $E$9)</f>
        <v>4.8249000000000004</v>
      </c>
      <c r="H63" s="10">
        <f>CHOOSE(CONTROL!$C$42, 4.8975, 4.8975) * CHOOSE(CONTROL!$C$21, $C$9, 100%, $E$9)</f>
        <v>4.8975</v>
      </c>
      <c r="I63" s="10">
        <f>CHOOSE(CONTROL!$C$42, 4.8233, 4.8233)* CHOOSE(CONTROL!$C$21, $C$9, 100%, $E$9)</f>
        <v>4.8232999999999997</v>
      </c>
      <c r="J63" s="10">
        <f>CHOOSE(CONTROL!$C$42, 4.8033, 4.8033)* CHOOSE(CONTROL!$C$21, $C$9, 100%, $E$9)</f>
        <v>4.8033000000000001</v>
      </c>
      <c r="K63" s="53">
        <f>CHOOSE(CONTROL!$C$42, 4.8194, 4.8194) * CHOOSE(CONTROL!$C$21, $C$9, 100%, $E$9)</f>
        <v>4.8193999999999999</v>
      </c>
      <c r="L63" s="10">
        <f>CHOOSE(CONTROL!$C$42, 5.4845, 5.4845) * CHOOSE(CONTROL!$C$21, $C$9, 100%, $E$9)</f>
        <v>5.4844999999999997</v>
      </c>
      <c r="M63" s="10">
        <f>CHOOSE(CONTROL!$C$42, 4.7687, 4.7687) * CHOOSE(CONTROL!$C$21, $C$9, 100%, $E$9)</f>
        <v>4.7686999999999999</v>
      </c>
      <c r="N63" s="10">
        <f>CHOOSE(CONTROL!$C$42, 4.7831, 4.7831) * CHOOSE(CONTROL!$C$21, $C$9, 100%, $E$9)</f>
        <v>4.7831000000000001</v>
      </c>
      <c r="O63" s="10">
        <f>CHOOSE(CONTROL!$C$42, 4.8619, 4.8619) * CHOOSE(CONTROL!$C$21, $C$9, 100%, $E$9)</f>
        <v>4.8619000000000003</v>
      </c>
      <c r="P63" s="10">
        <f>CHOOSE(CONTROL!$C$42, 4.7885, 4.7885) * CHOOSE(CONTROL!$C$21, $C$9, 100%, $E$9)</f>
        <v>4.7885</v>
      </c>
      <c r="Q63" s="10">
        <f>CHOOSE(CONTROL!$C$42, 5.4572, 5.4572) * CHOOSE(CONTROL!$C$21, $C$9, 100%, $E$9)</f>
        <v>5.4572000000000003</v>
      </c>
      <c r="R63" s="10">
        <f>CHOOSE(CONTROL!$C$42, 6.0578, 6.0578) * CHOOSE(CONTROL!$C$21, $C$9, 100%, $E$9)</f>
        <v>6.0578000000000003</v>
      </c>
      <c r="S63" s="10">
        <f>CHOOSE(CONTROL!$C$42, 4.6713, 4.6713) * CHOOSE(CONTROL!$C$21, $C$9, 100%, $E$9)</f>
        <v>4.6712999999999996</v>
      </c>
      <c r="T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57">
        <f>(1000*CHOOSE(CONTROL!$C$42, 695, 695)*CHOOSE(CONTROL!$C$42, 0.5599, 0.5599)*CHOOSE(CONTROL!$C$42, 31, 31))/1000000</f>
        <v>12.063045499999998</v>
      </c>
      <c r="V63" s="57">
        <f>(1000*CHOOSE(CONTROL!$C$42, 580, 580)*CHOOSE(CONTROL!$C$42, 0.275, 0.275)*CHOOSE(CONTROL!$C$42, 31, 31))/1000000</f>
        <v>4.9444999999999997</v>
      </c>
      <c r="W63" s="57">
        <f>(1000*CHOOSE(CONTROL!$C$42, 0.1146, 0.1146)*CHOOSE(CONTROL!$C$42, 121.5, 121.5)*CHOOSE(CONTROL!$C$42, 31, 31))/1000000</f>
        <v>0.43164089999999994</v>
      </c>
      <c r="X63" s="57">
        <f>(31*0.1790888*100000/1000000)+(31*0.2374*100000/1000000)</f>
        <v>1.2911152800000001</v>
      </c>
      <c r="Y63" s="57"/>
      <c r="Z63" s="10"/>
      <c r="AA63" s="56"/>
      <c r="AB63" s="50">
        <f>(B63*122.58+C63*297.941+D63*89.177+E63*40.302+F63*40+G63*160+H63*0+I63*100+J63*300)/(122.58+297.941+89.177+40.302+0+40+160+100+300)</f>
        <v>4.8221224491304344</v>
      </c>
      <c r="AC63" s="45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4.8146194244604326</v>
      </c>
    </row>
    <row r="64" spans="1:29" ht="15.75" x14ac:dyDescent="0.25">
      <c r="A64" s="16">
        <v>42826</v>
      </c>
      <c r="B64" s="10">
        <f>CHOOSE(CONTROL!$C$42, 4.7993, 4.7993) * CHOOSE(CONTROL!$C$21, $C$9, 100%, $E$9)</f>
        <v>4.7992999999999997</v>
      </c>
      <c r="C64" s="10">
        <f>CHOOSE(CONTROL!$C$42, 4.8036, 4.8036) * CHOOSE(CONTROL!$C$21, $C$9, 100%, $E$9)</f>
        <v>4.8036000000000003</v>
      </c>
      <c r="D64" s="10">
        <f>CHOOSE(CONTROL!$C$42, 5.0095, 5.0095) * CHOOSE(CONTROL!$C$21, $C$9, 100%, $E$9)</f>
        <v>5.0095000000000001</v>
      </c>
      <c r="E64" s="10">
        <f>CHOOSE(CONTROL!$C$42, 5.0413, 5.0413) * CHOOSE(CONTROL!$C$21, $C$9, 100%, $E$9)</f>
        <v>5.0412999999999997</v>
      </c>
      <c r="F64" s="10">
        <f>CHOOSE(CONTROL!$C$42, 4.776, 4.776)*CHOOSE(CONTROL!$C$21, $C$9, 100%, $E$9)</f>
        <v>4.7759999999999998</v>
      </c>
      <c r="G64" s="10">
        <f>CHOOSE(CONTROL!$C$42, 4.7906, 4.7906)*CHOOSE(CONTROL!$C$21, $C$9, 100%, $E$9)</f>
        <v>4.7906000000000004</v>
      </c>
      <c r="H64" s="10">
        <f>CHOOSE(CONTROL!$C$42, 5.0311, 5.0311) * CHOOSE(CONTROL!$C$21, $C$9, 100%, $E$9)</f>
        <v>5.0311000000000003</v>
      </c>
      <c r="I64" s="10">
        <f>CHOOSE(CONTROL!$C$42, 4.8007, 4.8007)* CHOOSE(CONTROL!$C$21, $C$9, 100%, $E$9)</f>
        <v>4.8007</v>
      </c>
      <c r="J64" s="10">
        <f>CHOOSE(CONTROL!$C$42, 4.769, 4.769)* CHOOSE(CONTROL!$C$21, $C$9, 100%, $E$9)</f>
        <v>4.7690000000000001</v>
      </c>
      <c r="K64" s="53">
        <f>CHOOSE(CONTROL!$C$42, 4.7968, 4.7968) * CHOOSE(CONTROL!$C$21, $C$9, 100%, $E$9)</f>
        <v>4.7968000000000002</v>
      </c>
      <c r="L64" s="10">
        <f>CHOOSE(CONTROL!$C$42, 5.6181, 5.6181) * CHOOSE(CONTROL!$C$21, $C$9, 100%, $E$9)</f>
        <v>5.6181000000000001</v>
      </c>
      <c r="M64" s="10">
        <f>CHOOSE(CONTROL!$C$42, 4.7347, 4.7347) * CHOOSE(CONTROL!$C$21, $C$9, 100%, $E$9)</f>
        <v>4.7347000000000001</v>
      </c>
      <c r="N64" s="10">
        <f>CHOOSE(CONTROL!$C$42, 4.7491, 4.7491) * CHOOSE(CONTROL!$C$21, $C$9, 100%, $E$9)</f>
        <v>4.7491000000000003</v>
      </c>
      <c r="O64" s="10">
        <f>CHOOSE(CONTROL!$C$42, 4.9941, 4.9941) * CHOOSE(CONTROL!$C$21, $C$9, 100%, $E$9)</f>
        <v>4.9941000000000004</v>
      </c>
      <c r="P64" s="10">
        <f>CHOOSE(CONTROL!$C$42, 4.7661, 4.7661) * CHOOSE(CONTROL!$C$21, $C$9, 100%, $E$9)</f>
        <v>4.7660999999999998</v>
      </c>
      <c r="Q64" s="10">
        <f>CHOOSE(CONTROL!$C$42, 5.5894, 5.5894) * CHOOSE(CONTROL!$C$21, $C$9, 100%, $E$9)</f>
        <v>5.5894000000000004</v>
      </c>
      <c r="R64" s="10">
        <f>CHOOSE(CONTROL!$C$42, 6.1904, 6.1904) * CHOOSE(CONTROL!$C$21, $C$9, 100%, $E$9)</f>
        <v>6.1904000000000003</v>
      </c>
      <c r="S64" s="10">
        <f>CHOOSE(CONTROL!$C$42, 4.6577, 4.6577) * CHOOSE(CONTROL!$C$21, $C$9, 100%, $E$9)</f>
        <v>4.6577000000000002</v>
      </c>
      <c r="T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57">
        <f>(1000*CHOOSE(CONTROL!$C$42, 695, 695)*CHOOSE(CONTROL!$C$42, 0.5599, 0.5599)*CHOOSE(CONTROL!$C$42, 30, 30))/1000000</f>
        <v>11.673914999999997</v>
      </c>
      <c r="V64" s="57">
        <f>(1000*CHOOSE(CONTROL!$C$42, 580, 580)*CHOOSE(CONTROL!$C$42, 0.275, 0.275)*CHOOSE(CONTROL!$C$42, 30, 30))/1000000</f>
        <v>4.7850000000000001</v>
      </c>
      <c r="W64" s="57">
        <f>(1000*CHOOSE(CONTROL!$C$42, 0.1146, 0.1146)*CHOOSE(CONTROL!$C$42, 121.5, 121.5)*CHOOSE(CONTROL!$C$42, 30, 30))/1000000</f>
        <v>0.417717</v>
      </c>
      <c r="X64" s="57">
        <f>(30*0.1790888*245000/1000000)+(30*0.2374*100000/1000000)</f>
        <v>2.0285026799999999</v>
      </c>
      <c r="Y64" s="57"/>
      <c r="Z64" s="10"/>
      <c r="AA64" s="56"/>
      <c r="AB64" s="50">
        <f>(B64*141.293+C64*267.993+D64*115.016+E64*89.698+F64*40+G64*185+H64*0+I64*100+J64*300)/(141.293+267.993+115.016+89.698+0+40+185+100+300)</f>
        <v>4.8279877716707018</v>
      </c>
      <c r="AC64" s="45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4.8153143884892087</v>
      </c>
    </row>
    <row r="65" spans="1:29" ht="15.75" x14ac:dyDescent="0.25">
      <c r="A65" s="16">
        <v>42856</v>
      </c>
      <c r="B65" s="10">
        <f>CHOOSE(CONTROL!$C$42, 4.843, 4.843) * CHOOSE(CONTROL!$C$21, $C$9, 100%, $E$9)</f>
        <v>4.843</v>
      </c>
      <c r="C65" s="10">
        <f>CHOOSE(CONTROL!$C$42, 4.8509, 4.8509) * CHOOSE(CONTROL!$C$21, $C$9, 100%, $E$9)</f>
        <v>4.8509000000000002</v>
      </c>
      <c r="D65" s="10">
        <f>CHOOSE(CONTROL!$C$42, 5.0536, 5.0536) * CHOOSE(CONTROL!$C$21, $C$9, 100%, $E$9)</f>
        <v>5.0536000000000003</v>
      </c>
      <c r="E65" s="10">
        <f>CHOOSE(CONTROL!$C$42, 5.0848, 5.0848) * CHOOSE(CONTROL!$C$21, $C$9, 100%, $E$9)</f>
        <v>5.0848000000000004</v>
      </c>
      <c r="F65" s="10">
        <f>CHOOSE(CONTROL!$C$42, 4.8187, 4.8187)*CHOOSE(CONTROL!$C$21, $C$9, 100%, $E$9)</f>
        <v>4.8186999999999998</v>
      </c>
      <c r="G65" s="10">
        <f>CHOOSE(CONTROL!$C$42, 4.8337, 4.8337)*CHOOSE(CONTROL!$C$21, $C$9, 100%, $E$9)</f>
        <v>4.8337000000000003</v>
      </c>
      <c r="H65" s="10">
        <f>CHOOSE(CONTROL!$C$42, 5.0734, 5.0734) * CHOOSE(CONTROL!$C$21, $C$9, 100%, $E$9)</f>
        <v>5.0734000000000004</v>
      </c>
      <c r="I65" s="10">
        <f>CHOOSE(CONTROL!$C$42, 4.843, 4.843)* CHOOSE(CONTROL!$C$21, $C$9, 100%, $E$9)</f>
        <v>4.843</v>
      </c>
      <c r="J65" s="10">
        <f>CHOOSE(CONTROL!$C$42, 4.8117, 4.8117)* CHOOSE(CONTROL!$C$21, $C$9, 100%, $E$9)</f>
        <v>4.8117000000000001</v>
      </c>
      <c r="K65" s="53">
        <f>CHOOSE(CONTROL!$C$42, 4.8391, 4.8391) * CHOOSE(CONTROL!$C$21, $C$9, 100%, $E$9)</f>
        <v>4.8391000000000002</v>
      </c>
      <c r="L65" s="10">
        <f>CHOOSE(CONTROL!$C$42, 5.6604, 5.6604) * CHOOSE(CONTROL!$C$21, $C$9, 100%, $E$9)</f>
        <v>5.6604000000000001</v>
      </c>
      <c r="M65" s="10">
        <f>CHOOSE(CONTROL!$C$42, 4.777, 4.777) * CHOOSE(CONTROL!$C$21, $C$9, 100%, $E$9)</f>
        <v>4.7770000000000001</v>
      </c>
      <c r="N65" s="10">
        <f>CHOOSE(CONTROL!$C$42, 4.7918, 4.7918) * CHOOSE(CONTROL!$C$21, $C$9, 100%, $E$9)</f>
        <v>4.7918000000000003</v>
      </c>
      <c r="O65" s="10">
        <f>CHOOSE(CONTROL!$C$42, 5.036, 5.036) * CHOOSE(CONTROL!$C$21, $C$9, 100%, $E$9)</f>
        <v>5.0359999999999996</v>
      </c>
      <c r="P65" s="10">
        <f>CHOOSE(CONTROL!$C$42, 4.808, 4.808) * CHOOSE(CONTROL!$C$21, $C$9, 100%, $E$9)</f>
        <v>4.8079999999999998</v>
      </c>
      <c r="Q65" s="10">
        <f>CHOOSE(CONTROL!$C$42, 5.6313, 5.6313) * CHOOSE(CONTROL!$C$21, $C$9, 100%, $E$9)</f>
        <v>5.6313000000000004</v>
      </c>
      <c r="R65" s="10">
        <f>CHOOSE(CONTROL!$C$42, 6.2324, 6.2324) * CHOOSE(CONTROL!$C$21, $C$9, 100%, $E$9)</f>
        <v>6.2324000000000002</v>
      </c>
      <c r="S65" s="10">
        <f>CHOOSE(CONTROL!$C$42, 4.6988, 4.6988) * CHOOSE(CONTROL!$C$21, $C$9, 100%, $E$9)</f>
        <v>4.6988000000000003</v>
      </c>
      <c r="T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57">
        <f>(1000*CHOOSE(CONTROL!$C$42, 695, 695)*CHOOSE(CONTROL!$C$42, 0.5599, 0.5599)*CHOOSE(CONTROL!$C$42, 31, 31))/1000000</f>
        <v>12.063045499999998</v>
      </c>
      <c r="V65" s="57">
        <f>(1000*CHOOSE(CONTROL!$C$42, 580, 580)*CHOOSE(CONTROL!$C$42, 0.275, 0.275)*CHOOSE(CONTROL!$C$42, 31, 31))/1000000</f>
        <v>4.9444999999999997</v>
      </c>
      <c r="W65" s="57">
        <f>(1000*CHOOSE(CONTROL!$C$42, 0.1146, 0.1146)*CHOOSE(CONTROL!$C$42, 121.5, 121.5)*CHOOSE(CONTROL!$C$42, 31, 31))/1000000</f>
        <v>0.43164089999999994</v>
      </c>
      <c r="X65" s="57">
        <f>(31*0.1790888*245000/1000000)+(31*0.2374*100000/1000000)</f>
        <v>2.0961194359999999</v>
      </c>
      <c r="Y65" s="57"/>
      <c r="Z65" s="10"/>
      <c r="AA65" s="56"/>
      <c r="AB65" s="50">
        <f>(B65*194.205+C65*267.466+D65*133.845+E65*53.484+F65*40+G65*185+H65*0+I65*100+J65*300)/(194.205+267.466+133.845+53.484+0+40+185+100+300)</f>
        <v>4.8674510750392468</v>
      </c>
      <c r="AC65" s="45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4.8575366906474828</v>
      </c>
    </row>
    <row r="66" spans="1:29" ht="15.75" x14ac:dyDescent="0.25">
      <c r="A66" s="16">
        <v>42887</v>
      </c>
      <c r="B66" s="10">
        <f>CHOOSE(CONTROL!$C$42, 4.9802, 4.9802) * CHOOSE(CONTROL!$C$21, $C$9, 100%, $E$9)</f>
        <v>4.9802</v>
      </c>
      <c r="C66" s="10">
        <f>CHOOSE(CONTROL!$C$42, 4.9881, 4.9881) * CHOOSE(CONTROL!$C$21, $C$9, 100%, $E$9)</f>
        <v>4.9881000000000002</v>
      </c>
      <c r="D66" s="10">
        <f>CHOOSE(CONTROL!$C$42, 5.1909, 5.1909) * CHOOSE(CONTROL!$C$21, $C$9, 100%, $E$9)</f>
        <v>5.1909000000000001</v>
      </c>
      <c r="E66" s="10">
        <f>CHOOSE(CONTROL!$C$42, 5.222, 5.222) * CHOOSE(CONTROL!$C$21, $C$9, 100%, $E$9)</f>
        <v>5.2220000000000004</v>
      </c>
      <c r="F66" s="10">
        <f>CHOOSE(CONTROL!$C$42, 4.9564, 4.9564)*CHOOSE(CONTROL!$C$21, $C$9, 100%, $E$9)</f>
        <v>4.9564000000000004</v>
      </c>
      <c r="G66" s="10">
        <f>CHOOSE(CONTROL!$C$42, 4.9716, 4.9716)*CHOOSE(CONTROL!$C$21, $C$9, 100%, $E$9)</f>
        <v>4.9715999999999996</v>
      </c>
      <c r="H66" s="10">
        <f>CHOOSE(CONTROL!$C$42, 5.2106, 5.2106) * CHOOSE(CONTROL!$C$21, $C$9, 100%, $E$9)</f>
        <v>5.2106000000000003</v>
      </c>
      <c r="I66" s="10">
        <f>CHOOSE(CONTROL!$C$42, 4.9802, 4.9802)* CHOOSE(CONTROL!$C$21, $C$9, 100%, $E$9)</f>
        <v>4.9802</v>
      </c>
      <c r="J66" s="10">
        <f>CHOOSE(CONTROL!$C$42, 4.9494, 4.9494)* CHOOSE(CONTROL!$C$21, $C$9, 100%, $E$9)</f>
        <v>4.9493999999999998</v>
      </c>
      <c r="K66" s="53">
        <f>CHOOSE(CONTROL!$C$42, 4.9763, 4.9763) * CHOOSE(CONTROL!$C$21, $C$9, 100%, $E$9)</f>
        <v>4.9763000000000002</v>
      </c>
      <c r="L66" s="10">
        <f>CHOOSE(CONTROL!$C$42, 5.7976, 5.7976) * CHOOSE(CONTROL!$C$21, $C$9, 100%, $E$9)</f>
        <v>5.7976000000000001</v>
      </c>
      <c r="M66" s="10">
        <f>CHOOSE(CONTROL!$C$42, 4.9133, 4.9133) * CHOOSE(CONTROL!$C$21, $C$9, 100%, $E$9)</f>
        <v>4.9132999999999996</v>
      </c>
      <c r="N66" s="10">
        <f>CHOOSE(CONTROL!$C$42, 4.9283, 4.9283) * CHOOSE(CONTROL!$C$21, $C$9, 100%, $E$9)</f>
        <v>4.9283000000000001</v>
      </c>
      <c r="O66" s="10">
        <f>CHOOSE(CONTROL!$C$42, 5.1719, 5.1719) * CHOOSE(CONTROL!$C$21, $C$9, 100%, $E$9)</f>
        <v>5.1718999999999999</v>
      </c>
      <c r="P66" s="10">
        <f>CHOOSE(CONTROL!$C$42, 4.9438, 4.9438) * CHOOSE(CONTROL!$C$21, $C$9, 100%, $E$9)</f>
        <v>4.9438000000000004</v>
      </c>
      <c r="Q66" s="10">
        <f>CHOOSE(CONTROL!$C$42, 5.7672, 5.7672) * CHOOSE(CONTROL!$C$21, $C$9, 100%, $E$9)</f>
        <v>5.7671999999999999</v>
      </c>
      <c r="R66" s="10">
        <f>CHOOSE(CONTROL!$C$42, 6.3686, 6.3686) * CHOOSE(CONTROL!$C$21, $C$9, 100%, $E$9)</f>
        <v>6.3685999999999998</v>
      </c>
      <c r="S66" s="10">
        <f>CHOOSE(CONTROL!$C$42, 4.832, 4.832) * CHOOSE(CONTROL!$C$21, $C$9, 100%, $E$9)</f>
        <v>4.8319999999999999</v>
      </c>
      <c r="T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57">
        <f>(1000*CHOOSE(CONTROL!$C$42, 695, 695)*CHOOSE(CONTROL!$C$42, 0.5599, 0.5599)*CHOOSE(CONTROL!$C$42, 30, 30))/1000000</f>
        <v>11.673914999999997</v>
      </c>
      <c r="V66" s="57">
        <f>(1000*CHOOSE(CONTROL!$C$42, 580, 580)*CHOOSE(CONTROL!$C$42, 0.275, 0.275)*CHOOSE(CONTROL!$C$42, 30, 30))/1000000</f>
        <v>4.7850000000000001</v>
      </c>
      <c r="W66" s="57">
        <f>(1000*CHOOSE(CONTROL!$C$42, 0.1146, 0.1146)*CHOOSE(CONTROL!$C$42, 121.5, 121.5)*CHOOSE(CONTROL!$C$42, 30, 30))/1000000</f>
        <v>0.417717</v>
      </c>
      <c r="X66" s="57">
        <f>(30*0.1790888*245000/1000000)+(30*0.2374*100000/1000000)</f>
        <v>2.0285026799999999</v>
      </c>
      <c r="Y66" s="57"/>
      <c r="Z66" s="10"/>
      <c r="AA66" s="56"/>
      <c r="AB66" s="50">
        <f>(B66*194.205+C66*267.466+D66*133.845+E66*53.484+F66*40+G66*185+H66*0+I66*100+J66*300)/(194.205+267.466+133.845+53.484+0+40+185+100+300)</f>
        <v>5.0048966672684454</v>
      </c>
      <c r="AC66" s="45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4.9936985611510787</v>
      </c>
    </row>
    <row r="67" spans="1:29" ht="15.75" x14ac:dyDescent="0.25">
      <c r="A67" s="16">
        <v>42917</v>
      </c>
      <c r="B67" s="10">
        <f>CHOOSE(CONTROL!$C$42, 4.8848, 4.8848) * CHOOSE(CONTROL!$C$21, $C$9, 100%, $E$9)</f>
        <v>4.8848000000000003</v>
      </c>
      <c r="C67" s="10">
        <f>CHOOSE(CONTROL!$C$42, 4.8927, 4.8927) * CHOOSE(CONTROL!$C$21, $C$9, 100%, $E$9)</f>
        <v>4.8926999999999996</v>
      </c>
      <c r="D67" s="10">
        <f>CHOOSE(CONTROL!$C$42, 5.0954, 5.0954) * CHOOSE(CONTROL!$C$21, $C$9, 100%, $E$9)</f>
        <v>5.0953999999999997</v>
      </c>
      <c r="E67" s="10">
        <f>CHOOSE(CONTROL!$C$42, 5.1265, 5.1265) * CHOOSE(CONTROL!$C$21, $C$9, 100%, $E$9)</f>
        <v>5.1265000000000001</v>
      </c>
      <c r="F67" s="10">
        <f>CHOOSE(CONTROL!$C$42, 4.8615, 4.8615)*CHOOSE(CONTROL!$C$21, $C$9, 100%, $E$9)</f>
        <v>4.8615000000000004</v>
      </c>
      <c r="G67" s="10">
        <f>CHOOSE(CONTROL!$C$42, 4.8768, 4.8768)*CHOOSE(CONTROL!$C$21, $C$9, 100%, $E$9)</f>
        <v>4.8768000000000002</v>
      </c>
      <c r="H67" s="10">
        <f>CHOOSE(CONTROL!$C$42, 5.1152, 5.1152) * CHOOSE(CONTROL!$C$21, $C$9, 100%, $E$9)</f>
        <v>5.1151999999999997</v>
      </c>
      <c r="I67" s="10">
        <f>CHOOSE(CONTROL!$C$42, 4.8848, 4.8848)* CHOOSE(CONTROL!$C$21, $C$9, 100%, $E$9)</f>
        <v>4.8848000000000003</v>
      </c>
      <c r="J67" s="10">
        <f>CHOOSE(CONTROL!$C$42, 4.8545, 4.8545)* CHOOSE(CONTROL!$C$21, $C$9, 100%, $E$9)</f>
        <v>4.8544999999999998</v>
      </c>
      <c r="K67" s="53">
        <f>CHOOSE(CONTROL!$C$42, 4.8809, 4.8809) * CHOOSE(CONTROL!$C$21, $C$9, 100%, $E$9)</f>
        <v>4.8808999999999996</v>
      </c>
      <c r="L67" s="10">
        <f>CHOOSE(CONTROL!$C$42, 5.7022, 5.7022) * CHOOSE(CONTROL!$C$21, $C$9, 100%, $E$9)</f>
        <v>5.7022000000000004</v>
      </c>
      <c r="M67" s="10">
        <f>CHOOSE(CONTROL!$C$42, 4.8194, 4.8194) * CHOOSE(CONTROL!$C$21, $C$9, 100%, $E$9)</f>
        <v>4.8193999999999999</v>
      </c>
      <c r="N67" s="10">
        <f>CHOOSE(CONTROL!$C$42, 4.8345, 4.8345) * CHOOSE(CONTROL!$C$21, $C$9, 100%, $E$9)</f>
        <v>4.8345000000000002</v>
      </c>
      <c r="O67" s="10">
        <f>CHOOSE(CONTROL!$C$42, 5.0774, 5.0774) * CHOOSE(CONTROL!$C$21, $C$9, 100%, $E$9)</f>
        <v>5.0773999999999999</v>
      </c>
      <c r="P67" s="10">
        <f>CHOOSE(CONTROL!$C$42, 4.8494, 4.8494) * CHOOSE(CONTROL!$C$21, $C$9, 100%, $E$9)</f>
        <v>4.8494000000000002</v>
      </c>
      <c r="Q67" s="10">
        <f>CHOOSE(CONTROL!$C$42, 5.6727, 5.6727) * CHOOSE(CONTROL!$C$21, $C$9, 100%, $E$9)</f>
        <v>5.6726999999999999</v>
      </c>
      <c r="R67" s="10">
        <f>CHOOSE(CONTROL!$C$42, 6.2739, 6.2739) * CHOOSE(CONTROL!$C$21, $C$9, 100%, $E$9)</f>
        <v>6.2739000000000003</v>
      </c>
      <c r="S67" s="10">
        <f>CHOOSE(CONTROL!$C$42, 4.7393, 4.7393) * CHOOSE(CONTROL!$C$21, $C$9, 100%, $E$9)</f>
        <v>4.7393000000000001</v>
      </c>
      <c r="T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57">
        <f>(1000*CHOOSE(CONTROL!$C$42, 695, 695)*CHOOSE(CONTROL!$C$42, 0.5599, 0.5599)*CHOOSE(CONTROL!$C$42, 31, 31))/1000000</f>
        <v>12.063045499999998</v>
      </c>
      <c r="V67" s="57">
        <f>(1000*CHOOSE(CONTROL!$C$42, 580, 580)*CHOOSE(CONTROL!$C$42, 0.275, 0.275)*CHOOSE(CONTROL!$C$42, 31, 31))/1000000</f>
        <v>4.9444999999999997</v>
      </c>
      <c r="W67" s="57">
        <f>(1000*CHOOSE(CONTROL!$C$42, 0.1146, 0.1146)*CHOOSE(CONTROL!$C$42, 121.5, 121.5)*CHOOSE(CONTROL!$C$42, 31, 31))/1000000</f>
        <v>0.43164089999999994</v>
      </c>
      <c r="X67" s="57">
        <f>(31*0.1790888*245000/1000000)+(31*0.2374*100000/1000000)</f>
        <v>2.0961194359999999</v>
      </c>
      <c r="Y67" s="57"/>
      <c r="Z67" s="10"/>
      <c r="AA67" s="56"/>
      <c r="AB67" s="50">
        <f>(B67*194.205+C67*267.466+D67*133.845+E67*53.484+F67*40+G67*185+H67*0+I67*100+J67*300)/(194.205+267.466+133.845+53.484+0+40+185+100+300)</f>
        <v>4.9097025284144431</v>
      </c>
      <c r="AC67" s="45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4.8995812949640287</v>
      </c>
    </row>
    <row r="68" spans="1:29" ht="15.75" x14ac:dyDescent="0.25">
      <c r="A68" s="16">
        <v>42948</v>
      </c>
      <c r="B68" s="10">
        <f>CHOOSE(CONTROL!$C$42, 4.6438, 4.6438) * CHOOSE(CONTROL!$C$21, $C$9, 100%, $E$9)</f>
        <v>4.6437999999999997</v>
      </c>
      <c r="C68" s="10">
        <f>CHOOSE(CONTROL!$C$42, 4.6517, 4.6517) * CHOOSE(CONTROL!$C$21, $C$9, 100%, $E$9)</f>
        <v>4.6516999999999999</v>
      </c>
      <c r="D68" s="10">
        <f>CHOOSE(CONTROL!$C$42, 4.8544, 4.8544) * CHOOSE(CONTROL!$C$21, $C$9, 100%, $E$9)</f>
        <v>4.8544</v>
      </c>
      <c r="E68" s="10">
        <f>CHOOSE(CONTROL!$C$42, 4.8855, 4.8855) * CHOOSE(CONTROL!$C$21, $C$9, 100%, $E$9)</f>
        <v>4.8855000000000004</v>
      </c>
      <c r="F68" s="10">
        <f>CHOOSE(CONTROL!$C$42, 4.6207, 4.6207)*CHOOSE(CONTROL!$C$21, $C$9, 100%, $E$9)</f>
        <v>4.6207000000000003</v>
      </c>
      <c r="G68" s="10">
        <f>CHOOSE(CONTROL!$C$42, 4.636, 4.636)*CHOOSE(CONTROL!$C$21, $C$9, 100%, $E$9)</f>
        <v>4.6360000000000001</v>
      </c>
      <c r="H68" s="10">
        <f>CHOOSE(CONTROL!$C$42, 4.8742, 4.8742) * CHOOSE(CONTROL!$C$21, $C$9, 100%, $E$9)</f>
        <v>4.8742000000000001</v>
      </c>
      <c r="I68" s="10">
        <f>CHOOSE(CONTROL!$C$42, 4.6438, 4.6438)* CHOOSE(CONTROL!$C$21, $C$9, 100%, $E$9)</f>
        <v>4.6437999999999997</v>
      </c>
      <c r="J68" s="10">
        <f>CHOOSE(CONTROL!$C$42, 4.6137, 4.6137)* CHOOSE(CONTROL!$C$21, $C$9, 100%, $E$9)</f>
        <v>4.6136999999999997</v>
      </c>
      <c r="K68" s="53">
        <f>CHOOSE(CONTROL!$C$42, 4.6399, 4.6399) * CHOOSE(CONTROL!$C$21, $C$9, 100%, $E$9)</f>
        <v>4.6398999999999999</v>
      </c>
      <c r="L68" s="10">
        <f>CHOOSE(CONTROL!$C$42, 5.4612, 5.4612) * CHOOSE(CONTROL!$C$21, $C$9, 100%, $E$9)</f>
        <v>5.4611999999999998</v>
      </c>
      <c r="M68" s="10">
        <f>CHOOSE(CONTROL!$C$42, 4.581, 4.581) * CHOOSE(CONTROL!$C$21, $C$9, 100%, $E$9)</f>
        <v>4.5810000000000004</v>
      </c>
      <c r="N68" s="10">
        <f>CHOOSE(CONTROL!$C$42, 4.5961, 4.5961) * CHOOSE(CONTROL!$C$21, $C$9, 100%, $E$9)</f>
        <v>4.5960999999999999</v>
      </c>
      <c r="O68" s="10">
        <f>CHOOSE(CONTROL!$C$42, 4.8388, 4.8388) * CHOOSE(CONTROL!$C$21, $C$9, 100%, $E$9)</f>
        <v>4.8388</v>
      </c>
      <c r="P68" s="10">
        <f>CHOOSE(CONTROL!$C$42, 4.6108, 4.6108) * CHOOSE(CONTROL!$C$21, $C$9, 100%, $E$9)</f>
        <v>4.6108000000000002</v>
      </c>
      <c r="Q68" s="10">
        <f>CHOOSE(CONTROL!$C$42, 5.4341, 5.4341) * CHOOSE(CONTROL!$C$21, $C$9, 100%, $E$9)</f>
        <v>5.4340999999999999</v>
      </c>
      <c r="R68" s="10">
        <f>CHOOSE(CONTROL!$C$42, 6.0347, 6.0347) * CHOOSE(CONTROL!$C$21, $C$9, 100%, $E$9)</f>
        <v>6.0347</v>
      </c>
      <c r="S68" s="10">
        <f>CHOOSE(CONTROL!$C$42, 4.5053, 4.5053) * CHOOSE(CONTROL!$C$21, $C$9, 100%, $E$9)</f>
        <v>4.5053000000000001</v>
      </c>
      <c r="T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57">
        <f>(1000*CHOOSE(CONTROL!$C$42, 695, 695)*CHOOSE(CONTROL!$C$42, 0.5599, 0.5599)*CHOOSE(CONTROL!$C$42, 31, 31))/1000000</f>
        <v>12.063045499999998</v>
      </c>
      <c r="V68" s="57">
        <f>(1000*CHOOSE(CONTROL!$C$42, 580, 580)*CHOOSE(CONTROL!$C$42, 0.275, 0.275)*CHOOSE(CONTROL!$C$42, 31, 31))/1000000</f>
        <v>4.9444999999999997</v>
      </c>
      <c r="W68" s="57">
        <f>(1000*CHOOSE(CONTROL!$C$42, 0.1146, 0.1146)*CHOOSE(CONTROL!$C$42, 121.5, 121.5)*CHOOSE(CONTROL!$C$42, 31, 31))/1000000</f>
        <v>0.43164089999999994</v>
      </c>
      <c r="X68" s="57">
        <f>(31*0.1790888*245000/1000000)+(31*0.2374*100000/1000000)</f>
        <v>2.0961194359999999</v>
      </c>
      <c r="Y68" s="57"/>
      <c r="Z68" s="10"/>
      <c r="AA68" s="56"/>
      <c r="AB68" s="50">
        <f>(B68*194.205+C68*267.466+D68*133.845+E68*53.484+F68*40+G68*185+H68*0+I68*100+J68*300)/(194.205+267.466+133.845+53.484+0+40+185+100+300)</f>
        <v>4.66878494599686</v>
      </c>
      <c r="AC68" s="45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4.661096402877698</v>
      </c>
    </row>
    <row r="69" spans="1:29" ht="15.75" x14ac:dyDescent="0.25">
      <c r="A69" s="16">
        <v>42979</v>
      </c>
      <c r="B69" s="10">
        <f>CHOOSE(CONTROL!$C$42, 4.3489, 4.3489) * CHOOSE(CONTROL!$C$21, $C$9, 100%, $E$9)</f>
        <v>4.3489000000000004</v>
      </c>
      <c r="C69" s="10">
        <f>CHOOSE(CONTROL!$C$42, 4.3568, 4.3568) * CHOOSE(CONTROL!$C$21, $C$9, 100%, $E$9)</f>
        <v>4.3567999999999998</v>
      </c>
      <c r="D69" s="10">
        <f>CHOOSE(CONTROL!$C$42, 4.5595, 4.5595) * CHOOSE(CONTROL!$C$21, $C$9, 100%, $E$9)</f>
        <v>4.5594999999999999</v>
      </c>
      <c r="E69" s="10">
        <f>CHOOSE(CONTROL!$C$42, 4.5907, 4.5907) * CHOOSE(CONTROL!$C$21, $C$9, 100%, $E$9)</f>
        <v>4.5907</v>
      </c>
      <c r="F69" s="10">
        <f>CHOOSE(CONTROL!$C$42, 4.3257, 4.3257)*CHOOSE(CONTROL!$C$21, $C$9, 100%, $E$9)</f>
        <v>4.3257000000000003</v>
      </c>
      <c r="G69" s="10">
        <f>CHOOSE(CONTROL!$C$42, 4.341, 4.341)*CHOOSE(CONTROL!$C$21, $C$9, 100%, $E$9)</f>
        <v>4.3410000000000002</v>
      </c>
      <c r="H69" s="10">
        <f>CHOOSE(CONTROL!$C$42, 4.5793, 4.5793) * CHOOSE(CONTROL!$C$21, $C$9, 100%, $E$9)</f>
        <v>4.5792999999999999</v>
      </c>
      <c r="I69" s="10">
        <f>CHOOSE(CONTROL!$C$42, 4.3489, 4.3489)* CHOOSE(CONTROL!$C$21, $C$9, 100%, $E$9)</f>
        <v>4.3489000000000004</v>
      </c>
      <c r="J69" s="10">
        <f>CHOOSE(CONTROL!$C$42, 4.3187, 4.3187)* CHOOSE(CONTROL!$C$21, $C$9, 100%, $E$9)</f>
        <v>4.3186999999999998</v>
      </c>
      <c r="K69" s="53">
        <f>CHOOSE(CONTROL!$C$42, 4.345, 4.345) * CHOOSE(CONTROL!$C$21, $C$9, 100%, $E$9)</f>
        <v>4.3449999999999998</v>
      </c>
      <c r="L69" s="10">
        <f>CHOOSE(CONTROL!$C$42, 5.1663, 5.1663) * CHOOSE(CONTROL!$C$21, $C$9, 100%, $E$9)</f>
        <v>5.1662999999999997</v>
      </c>
      <c r="M69" s="10">
        <f>CHOOSE(CONTROL!$C$42, 4.2889, 4.2889) * CHOOSE(CONTROL!$C$21, $C$9, 100%, $E$9)</f>
        <v>4.2888999999999999</v>
      </c>
      <c r="N69" s="10">
        <f>CHOOSE(CONTROL!$C$42, 4.3041, 4.3041) * CHOOSE(CONTROL!$C$21, $C$9, 100%, $E$9)</f>
        <v>4.3041</v>
      </c>
      <c r="O69" s="10">
        <f>CHOOSE(CONTROL!$C$42, 4.5469, 4.5469) * CHOOSE(CONTROL!$C$21, $C$9, 100%, $E$9)</f>
        <v>4.5468999999999999</v>
      </c>
      <c r="P69" s="10">
        <f>CHOOSE(CONTROL!$C$42, 4.3189, 4.3189) * CHOOSE(CONTROL!$C$21, $C$9, 100%, $E$9)</f>
        <v>4.3189000000000002</v>
      </c>
      <c r="Q69" s="10">
        <f>CHOOSE(CONTROL!$C$42, 5.1422, 5.1422) * CHOOSE(CONTROL!$C$21, $C$9, 100%, $E$9)</f>
        <v>5.1421999999999999</v>
      </c>
      <c r="R69" s="10">
        <f>CHOOSE(CONTROL!$C$42, 5.7421, 5.7421) * CHOOSE(CONTROL!$C$21, $C$9, 100%, $E$9)</f>
        <v>5.7420999999999998</v>
      </c>
      <c r="S69" s="10">
        <f>CHOOSE(CONTROL!$C$42, 4.219, 4.219) * CHOOSE(CONTROL!$C$21, $C$9, 100%, $E$9)</f>
        <v>4.2190000000000003</v>
      </c>
      <c r="T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57">
        <f>(1000*CHOOSE(CONTROL!$C$42, 695, 695)*CHOOSE(CONTROL!$C$42, 0.5599, 0.5599)*CHOOSE(CONTROL!$C$42, 30, 30))/1000000</f>
        <v>11.673914999999997</v>
      </c>
      <c r="V69" s="57">
        <f>(1000*CHOOSE(CONTROL!$C$42, 580, 580)*CHOOSE(CONTROL!$C$42, 0.275, 0.275)*CHOOSE(CONTROL!$C$42, 30, 30))/1000000</f>
        <v>4.7850000000000001</v>
      </c>
      <c r="W69" s="57">
        <f>(1000*CHOOSE(CONTROL!$C$42, 0.1146, 0.1146)*CHOOSE(CONTROL!$C$42, 121.5, 121.5)*CHOOSE(CONTROL!$C$42, 30, 30))/1000000</f>
        <v>0.417717</v>
      </c>
      <c r="X69" s="57">
        <f>(30*0.1790888*245000/1000000)+(30*0.2374*100000/1000000)</f>
        <v>2.0285026799999999</v>
      </c>
      <c r="Y69" s="57"/>
      <c r="Z69" s="10"/>
      <c r="AA69" s="56"/>
      <c r="AB69" s="50">
        <f>(B69*194.205+C69*267.466+D69*133.845+E69*53.484+F69*40+G69*185+H69*0+I69*100+J69*300)/(194.205+267.466+133.845+53.484+0+40+185+100+300)</f>
        <v>4.3738479353218214</v>
      </c>
      <c r="AC69" s="45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4.3691043165467622</v>
      </c>
    </row>
    <row r="70" spans="1:29" ht="15.75" x14ac:dyDescent="0.25">
      <c r="A70" s="16">
        <v>43009</v>
      </c>
      <c r="B70" s="10">
        <f>CHOOSE(CONTROL!$C$42, 4.2589, 4.2589) * CHOOSE(CONTROL!$C$21, $C$9, 100%, $E$9)</f>
        <v>4.2588999999999997</v>
      </c>
      <c r="C70" s="10">
        <f>CHOOSE(CONTROL!$C$42, 4.2642, 4.2642) * CHOOSE(CONTROL!$C$21, $C$9, 100%, $E$9)</f>
        <v>4.2641999999999998</v>
      </c>
      <c r="D70" s="10">
        <f>CHOOSE(CONTROL!$C$42, 4.4719, 4.4719) * CHOOSE(CONTROL!$C$21, $C$9, 100%, $E$9)</f>
        <v>4.4718999999999998</v>
      </c>
      <c r="E70" s="10">
        <f>CHOOSE(CONTROL!$C$42, 4.5007, 4.5007) * CHOOSE(CONTROL!$C$21, $C$9, 100%, $E$9)</f>
        <v>4.5007000000000001</v>
      </c>
      <c r="F70" s="10">
        <f>CHOOSE(CONTROL!$C$42, 4.2377, 4.2377)*CHOOSE(CONTROL!$C$21, $C$9, 100%, $E$9)</f>
        <v>4.2377000000000002</v>
      </c>
      <c r="G70" s="10">
        <f>CHOOSE(CONTROL!$C$42, 4.2526, 4.2526)*CHOOSE(CONTROL!$C$21, $C$9, 100%, $E$9)</f>
        <v>4.2526000000000002</v>
      </c>
      <c r="H70" s="10">
        <f>CHOOSE(CONTROL!$C$42, 4.4911, 4.4911) * CHOOSE(CONTROL!$C$21, $C$9, 100%, $E$9)</f>
        <v>4.4911000000000003</v>
      </c>
      <c r="I70" s="10">
        <f>CHOOSE(CONTROL!$C$42, 4.2607, 4.2607)* CHOOSE(CONTROL!$C$21, $C$9, 100%, $E$9)</f>
        <v>4.2606999999999999</v>
      </c>
      <c r="J70" s="10">
        <f>CHOOSE(CONTROL!$C$42, 4.2307, 4.2307)* CHOOSE(CONTROL!$C$21, $C$9, 100%, $E$9)</f>
        <v>4.2306999999999997</v>
      </c>
      <c r="K70" s="53">
        <f>CHOOSE(CONTROL!$C$42, 4.2568, 4.2568) * CHOOSE(CONTROL!$C$21, $C$9, 100%, $E$9)</f>
        <v>4.2568000000000001</v>
      </c>
      <c r="L70" s="10">
        <f>CHOOSE(CONTROL!$C$42, 5.0781, 5.0781) * CHOOSE(CONTROL!$C$21, $C$9, 100%, $E$9)</f>
        <v>5.0781000000000001</v>
      </c>
      <c r="M70" s="10">
        <f>CHOOSE(CONTROL!$C$42, 4.2018, 4.2018) * CHOOSE(CONTROL!$C$21, $C$9, 100%, $E$9)</f>
        <v>4.2018000000000004</v>
      </c>
      <c r="N70" s="10">
        <f>CHOOSE(CONTROL!$C$42, 4.2166, 4.2166) * CHOOSE(CONTROL!$C$21, $C$9, 100%, $E$9)</f>
        <v>4.2165999999999997</v>
      </c>
      <c r="O70" s="10">
        <f>CHOOSE(CONTROL!$C$42, 4.4596, 4.4596) * CHOOSE(CONTROL!$C$21, $C$9, 100%, $E$9)</f>
        <v>4.4596</v>
      </c>
      <c r="P70" s="10">
        <f>CHOOSE(CONTROL!$C$42, 4.2316, 4.2316) * CHOOSE(CONTROL!$C$21, $C$9, 100%, $E$9)</f>
        <v>4.2316000000000003</v>
      </c>
      <c r="Q70" s="10">
        <f>CHOOSE(CONTROL!$C$42, 5.0549, 5.0549) * CHOOSE(CONTROL!$C$21, $C$9, 100%, $E$9)</f>
        <v>5.0548999999999999</v>
      </c>
      <c r="R70" s="10">
        <f>CHOOSE(CONTROL!$C$42, 5.6546, 5.6546) * CHOOSE(CONTROL!$C$21, $C$9, 100%, $E$9)</f>
        <v>5.6546000000000003</v>
      </c>
      <c r="S70" s="10">
        <f>CHOOSE(CONTROL!$C$42, 4.1333, 4.1333) * CHOOSE(CONTROL!$C$21, $C$9, 100%, $E$9)</f>
        <v>4.1333000000000002</v>
      </c>
      <c r="T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57">
        <f>(1000*CHOOSE(CONTROL!$C$42, 695, 695)*CHOOSE(CONTROL!$C$42, 0.5599, 0.5599)*CHOOSE(CONTROL!$C$42, 31, 31))/1000000</f>
        <v>12.063045499999998</v>
      </c>
      <c r="V70" s="57">
        <f>(1000*CHOOSE(CONTROL!$C$42, 580, 580)*CHOOSE(CONTROL!$C$42, 0.275, 0.275)*CHOOSE(CONTROL!$C$42, 31, 31))/1000000</f>
        <v>4.9444999999999997</v>
      </c>
      <c r="W70" s="57">
        <f>(1000*CHOOSE(CONTROL!$C$42, 0.1146, 0.1146)*CHOOSE(CONTROL!$C$42, 121.5, 121.5)*CHOOSE(CONTROL!$C$42, 31, 31))/1000000</f>
        <v>0.43164089999999994</v>
      </c>
      <c r="X70" s="57">
        <f>(31*0.1790888*245000/1000000)+(31*0.2374*100000/1000000)</f>
        <v>2.0961194359999999</v>
      </c>
      <c r="Y70" s="57"/>
      <c r="Z70" s="10"/>
      <c r="AA70" s="56"/>
      <c r="AB70" s="50">
        <f>(B70*131.881+C70*277.167+D70*79.08+E70*125.872+F70*40+G70*185+H70*0+I70*100+J70*300)/(131.881+277.167+79.08+125.872+0+40+185+100+300)</f>
        <v>4.2899374291363994</v>
      </c>
      <c r="AC70" s="45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4.2818273381294967</v>
      </c>
    </row>
    <row r="71" spans="1:29" ht="15.75" x14ac:dyDescent="0.25">
      <c r="A71" s="16">
        <v>43040</v>
      </c>
      <c r="B71" s="10">
        <f>CHOOSE(CONTROL!$C$42, 4.3706, 4.3706) * CHOOSE(CONTROL!$C$21, $C$9, 100%, $E$9)</f>
        <v>4.3705999999999996</v>
      </c>
      <c r="C71" s="10">
        <f>CHOOSE(CONTROL!$C$42, 4.3756, 4.3756) * CHOOSE(CONTROL!$C$21, $C$9, 100%, $E$9)</f>
        <v>4.3756000000000004</v>
      </c>
      <c r="D71" s="10">
        <f>CHOOSE(CONTROL!$C$42, 4.4361, 4.4361) * CHOOSE(CONTROL!$C$21, $C$9, 100%, $E$9)</f>
        <v>4.4360999999999997</v>
      </c>
      <c r="E71" s="10">
        <f>CHOOSE(CONTROL!$C$42, 4.4699, 4.4699) * CHOOSE(CONTROL!$C$21, $C$9, 100%, $E$9)</f>
        <v>4.4699</v>
      </c>
      <c r="F71" s="10">
        <f>CHOOSE(CONTROL!$C$42, 4.3663, 4.3663)*CHOOSE(CONTROL!$C$21, $C$9, 100%, $E$9)</f>
        <v>4.3662999999999998</v>
      </c>
      <c r="G71" s="10">
        <f>CHOOSE(CONTROL!$C$42, 4.3815, 4.3815)*CHOOSE(CONTROL!$C$21, $C$9, 100%, $E$9)</f>
        <v>4.3815</v>
      </c>
      <c r="H71" s="10">
        <f>CHOOSE(CONTROL!$C$42, 4.4591, 4.4591) * CHOOSE(CONTROL!$C$21, $C$9, 100%, $E$9)</f>
        <v>4.4591000000000003</v>
      </c>
      <c r="I71" s="10">
        <f>CHOOSE(CONTROL!$C$42, 4.3831, 4.3831)* CHOOSE(CONTROL!$C$21, $C$9, 100%, $E$9)</f>
        <v>4.3830999999999998</v>
      </c>
      <c r="J71" s="10">
        <f>CHOOSE(CONTROL!$C$42, 4.3593, 4.3593)* CHOOSE(CONTROL!$C$21, $C$9, 100%, $E$9)</f>
        <v>4.3593000000000002</v>
      </c>
      <c r="K71" s="53">
        <f>CHOOSE(CONTROL!$C$42, 4.3793, 4.3793) * CHOOSE(CONTROL!$C$21, $C$9, 100%, $E$9)</f>
        <v>4.3792999999999997</v>
      </c>
      <c r="L71" s="10">
        <f>CHOOSE(CONTROL!$C$42, 5.0461, 5.0461) * CHOOSE(CONTROL!$C$21, $C$9, 100%, $E$9)</f>
        <v>5.0461</v>
      </c>
      <c r="M71" s="10">
        <f>CHOOSE(CONTROL!$C$42, 4.3291, 4.3291) * CHOOSE(CONTROL!$C$21, $C$9, 100%, $E$9)</f>
        <v>4.3291000000000004</v>
      </c>
      <c r="N71" s="10">
        <f>CHOOSE(CONTROL!$C$42, 4.3442, 4.3442) * CHOOSE(CONTROL!$C$21, $C$9, 100%, $E$9)</f>
        <v>4.3441999999999998</v>
      </c>
      <c r="O71" s="10">
        <f>CHOOSE(CONTROL!$C$42, 4.4279, 4.4279) * CHOOSE(CONTROL!$C$21, $C$9, 100%, $E$9)</f>
        <v>4.4279000000000002</v>
      </c>
      <c r="P71" s="10">
        <f>CHOOSE(CONTROL!$C$42, 4.3528, 4.3528) * CHOOSE(CONTROL!$C$21, $C$9, 100%, $E$9)</f>
        <v>4.3528000000000002</v>
      </c>
      <c r="Q71" s="10">
        <f>CHOOSE(CONTROL!$C$42, 5.0232, 5.0232) * CHOOSE(CONTROL!$C$21, $C$9, 100%, $E$9)</f>
        <v>5.0232000000000001</v>
      </c>
      <c r="R71" s="10">
        <f>CHOOSE(CONTROL!$C$42, 5.6227, 5.6227) * CHOOSE(CONTROL!$C$21, $C$9, 100%, $E$9)</f>
        <v>5.6227</v>
      </c>
      <c r="S71" s="10">
        <f>CHOOSE(CONTROL!$C$42, 4.2422, 4.2422) * CHOOSE(CONTROL!$C$21, $C$9, 100%, $E$9)</f>
        <v>4.2422000000000004</v>
      </c>
      <c r="T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57">
        <f>(1000*CHOOSE(CONTROL!$C$42, 695, 695)*CHOOSE(CONTROL!$C$42, 0.5599, 0.5599)*CHOOSE(CONTROL!$C$42, 30, 30))/1000000</f>
        <v>11.673914999999997</v>
      </c>
      <c r="V71" s="57">
        <f>(1000*CHOOSE(CONTROL!$C$42, 580, 580)*CHOOSE(CONTROL!$C$42, 0.275, 0.275)*CHOOSE(CONTROL!$C$42, 30, 30))/1000000</f>
        <v>4.7850000000000001</v>
      </c>
      <c r="W71" s="57">
        <f>(1000*CHOOSE(CONTROL!$C$42, 0.1146, 0.1146)*CHOOSE(CONTROL!$C$42, 121.5, 121.5)*CHOOSE(CONTROL!$C$42, 30, 30))/1000000</f>
        <v>0.417717</v>
      </c>
      <c r="X71" s="57">
        <f>(30*0.1790888*100000/1000000)+(30*0.2374*100000/1000000)</f>
        <v>1.2494664</v>
      </c>
      <c r="Y71" s="57"/>
      <c r="Z71" s="10"/>
      <c r="AA71" s="56"/>
      <c r="AB71" s="50">
        <f>(B71*122.58+C71*297.941+D71*89.177+E71*40.302+F71*40+G71*160+H71*0+I71*100+J71*300)/(122.58+297.941+89.177+40.302+0+40+160+100+300)</f>
        <v>4.3799606844347823</v>
      </c>
      <c r="AC71" s="45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4.3781589928057558</v>
      </c>
    </row>
    <row r="72" spans="1:29" ht="15.75" x14ac:dyDescent="0.25">
      <c r="A72" s="16">
        <v>43070</v>
      </c>
      <c r="B72" s="10">
        <f>CHOOSE(CONTROL!$C$42, 4.6684, 4.6684) * CHOOSE(CONTROL!$C$21, $C$9, 100%, $E$9)</f>
        <v>4.6684000000000001</v>
      </c>
      <c r="C72" s="10">
        <f>CHOOSE(CONTROL!$C$42, 4.6734, 4.6734) * CHOOSE(CONTROL!$C$21, $C$9, 100%, $E$9)</f>
        <v>4.6734</v>
      </c>
      <c r="D72" s="10">
        <f>CHOOSE(CONTROL!$C$42, 4.7339, 4.7339) * CHOOSE(CONTROL!$C$21, $C$9, 100%, $E$9)</f>
        <v>4.7339000000000002</v>
      </c>
      <c r="E72" s="10">
        <f>CHOOSE(CONTROL!$C$42, 4.7676, 4.7676) * CHOOSE(CONTROL!$C$21, $C$9, 100%, $E$9)</f>
        <v>4.7675999999999998</v>
      </c>
      <c r="F72" s="10">
        <f>CHOOSE(CONTROL!$C$42, 4.6659, 4.6659)*CHOOSE(CONTROL!$C$21, $C$9, 100%, $E$9)</f>
        <v>4.6658999999999997</v>
      </c>
      <c r="G72" s="10">
        <f>CHOOSE(CONTROL!$C$42, 4.6816, 4.6816)*CHOOSE(CONTROL!$C$21, $C$9, 100%, $E$9)</f>
        <v>4.6816000000000004</v>
      </c>
      <c r="H72" s="10">
        <f>CHOOSE(CONTROL!$C$42, 4.7568, 4.7568) * CHOOSE(CONTROL!$C$21, $C$9, 100%, $E$9)</f>
        <v>4.7568000000000001</v>
      </c>
      <c r="I72" s="10">
        <f>CHOOSE(CONTROL!$C$42, 4.6809, 4.6809)* CHOOSE(CONTROL!$C$21, $C$9, 100%, $E$9)</f>
        <v>4.6809000000000003</v>
      </c>
      <c r="J72" s="10">
        <f>CHOOSE(CONTROL!$C$42, 4.6589, 4.6589)* CHOOSE(CONTROL!$C$21, $C$9, 100%, $E$9)</f>
        <v>4.6589</v>
      </c>
      <c r="K72" s="53">
        <f>CHOOSE(CONTROL!$C$42, 4.677, 4.677) * CHOOSE(CONTROL!$C$21, $C$9, 100%, $E$9)</f>
        <v>4.6769999999999996</v>
      </c>
      <c r="L72" s="10">
        <f>CHOOSE(CONTROL!$C$42, 5.3438, 5.3438) * CHOOSE(CONTROL!$C$21, $C$9, 100%, $E$9)</f>
        <v>5.3437999999999999</v>
      </c>
      <c r="M72" s="10">
        <f>CHOOSE(CONTROL!$C$42, 4.6257, 4.6257) * CHOOSE(CONTROL!$C$21, $C$9, 100%, $E$9)</f>
        <v>4.6257000000000001</v>
      </c>
      <c r="N72" s="10">
        <f>CHOOSE(CONTROL!$C$42, 4.6412, 4.6412) * CHOOSE(CONTROL!$C$21, $C$9, 100%, $E$9)</f>
        <v>4.6412000000000004</v>
      </c>
      <c r="O72" s="10">
        <f>CHOOSE(CONTROL!$C$42, 4.7227, 4.7227) * CHOOSE(CONTROL!$C$21, $C$9, 100%, $E$9)</f>
        <v>4.7226999999999997</v>
      </c>
      <c r="P72" s="10">
        <f>CHOOSE(CONTROL!$C$42, 4.6476, 4.6476) * CHOOSE(CONTROL!$C$21, $C$9, 100%, $E$9)</f>
        <v>4.6475999999999997</v>
      </c>
      <c r="Q72" s="10">
        <f>CHOOSE(CONTROL!$C$42, 5.318, 5.318) * CHOOSE(CONTROL!$C$21, $C$9, 100%, $E$9)</f>
        <v>5.3179999999999996</v>
      </c>
      <c r="R72" s="10">
        <f>CHOOSE(CONTROL!$C$42, 5.9183, 5.9183) * CHOOSE(CONTROL!$C$21, $C$9, 100%, $E$9)</f>
        <v>5.9183000000000003</v>
      </c>
      <c r="S72" s="10">
        <f>CHOOSE(CONTROL!$C$42, 4.5314, 4.5314) * CHOOSE(CONTROL!$C$21, $C$9, 100%, $E$9)</f>
        <v>4.5313999999999997</v>
      </c>
      <c r="T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57">
        <f>(1000*CHOOSE(CONTROL!$C$42, 695, 695)*CHOOSE(CONTROL!$C$42, 0.5599, 0.5599)*CHOOSE(CONTROL!$C$42, 31, 31))/1000000</f>
        <v>12.063045499999998</v>
      </c>
      <c r="V72" s="57">
        <f>(1000*CHOOSE(CONTROL!$C$42, 580, 580)*CHOOSE(CONTROL!$C$42, 0.275, 0.275)*CHOOSE(CONTROL!$C$42, 31, 31))/1000000</f>
        <v>4.9444999999999997</v>
      </c>
      <c r="W72" s="57">
        <f>(1000*CHOOSE(CONTROL!$C$42, 0.1146, 0.1146)*CHOOSE(CONTROL!$C$42, 121.5, 121.5)*CHOOSE(CONTROL!$C$42, 31, 31))/1000000</f>
        <v>0.43164089999999994</v>
      </c>
      <c r="X72" s="57">
        <f>(31*0.1790888*100000/1000000)+(31*0.2374*100000/1000000)</f>
        <v>1.2911152800000001</v>
      </c>
      <c r="Y72" s="57"/>
      <c r="Z72" s="10"/>
      <c r="AA72" s="56"/>
      <c r="AB72" s="50">
        <f>(B72*122.58+C72*297.941+D72*89.177+E72*40.302+F72*40+G72*160+H72*0+I72*100+J72*300)/(122.58+297.941+89.177+40.302+0+40+160+100+300)</f>
        <v>4.6786093538260873</v>
      </c>
      <c r="AC72" s="45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4.6737071942446056</v>
      </c>
    </row>
    <row r="73" spans="1:29" ht="15.75" x14ac:dyDescent="0.25">
      <c r="A73" s="16">
        <v>43101</v>
      </c>
      <c r="B73" s="10">
        <f>CHOOSE(CONTROL!$C$42, 5.8658, 5.8658) * CHOOSE(CONTROL!$C$21, $C$9, 100%, $E$9)</f>
        <v>5.8658000000000001</v>
      </c>
      <c r="C73" s="10">
        <f>CHOOSE(CONTROL!$C$42, 5.8707, 5.8707) * CHOOSE(CONTROL!$C$21, $C$9, 100%, $E$9)</f>
        <v>5.8707000000000003</v>
      </c>
      <c r="D73" s="10">
        <f>CHOOSE(CONTROL!$C$42, 5.9278, 5.9278) * CHOOSE(CONTROL!$C$21, $C$9, 100%, $E$9)</f>
        <v>5.9278000000000004</v>
      </c>
      <c r="E73" s="10">
        <f>CHOOSE(CONTROL!$C$42, 5.9616, 5.9616) * CHOOSE(CONTROL!$C$21, $C$9, 100%, $E$9)</f>
        <v>5.9615999999999998</v>
      </c>
      <c r="F73" s="10">
        <f>CHOOSE(CONTROL!$C$42, 5.8636, 5.8636)*CHOOSE(CONTROL!$C$21, $C$9, 100%, $E$9)</f>
        <v>5.8635999999999999</v>
      </c>
      <c r="G73" s="10">
        <f>CHOOSE(CONTROL!$C$42, 5.8782, 5.8782)*CHOOSE(CONTROL!$C$21, $C$9, 100%, $E$9)</f>
        <v>5.8781999999999996</v>
      </c>
      <c r="H73" s="10">
        <f>CHOOSE(CONTROL!$C$42, 5.9508, 5.9508) * CHOOSE(CONTROL!$C$21, $C$9, 100%, $E$9)</f>
        <v>5.9508000000000001</v>
      </c>
      <c r="I73" s="10">
        <f>CHOOSE(CONTROL!$C$42, 5.8766, 5.8766)* CHOOSE(CONTROL!$C$21, $C$9, 100%, $E$9)</f>
        <v>5.8765999999999998</v>
      </c>
      <c r="J73" s="10">
        <f>CHOOSE(CONTROL!$C$42, 5.8566, 5.8566)* CHOOSE(CONTROL!$C$21, $C$9, 100%, $E$9)</f>
        <v>5.8566000000000003</v>
      </c>
      <c r="K73" s="53">
        <f>CHOOSE(CONTROL!$C$42, 5.8727, 5.8727) * CHOOSE(CONTROL!$C$21, $C$9, 100%, $E$9)</f>
        <v>5.8727</v>
      </c>
      <c r="L73" s="10">
        <f>CHOOSE(CONTROL!$C$42, 6.5378, 6.5378) * CHOOSE(CONTROL!$C$21, $C$9, 100%, $E$9)</f>
        <v>6.5377999999999998</v>
      </c>
      <c r="M73" s="10">
        <f>CHOOSE(CONTROL!$C$42, 5.8113, 5.8113) * CHOOSE(CONTROL!$C$21, $C$9, 100%, $E$9)</f>
        <v>5.8113000000000001</v>
      </c>
      <c r="N73" s="10">
        <f>CHOOSE(CONTROL!$C$42, 5.8258, 5.8258) * CHOOSE(CONTROL!$C$21, $C$9, 100%, $E$9)</f>
        <v>5.8258000000000001</v>
      </c>
      <c r="O73" s="10">
        <f>CHOOSE(CONTROL!$C$42, 5.9046, 5.9046) * CHOOSE(CONTROL!$C$21, $C$9, 100%, $E$9)</f>
        <v>5.9046000000000003</v>
      </c>
      <c r="P73" s="10">
        <f>CHOOSE(CONTROL!$C$42, 5.8311, 5.8311) * CHOOSE(CONTROL!$C$21, $C$9, 100%, $E$9)</f>
        <v>5.8311000000000002</v>
      </c>
      <c r="Q73" s="10">
        <f>CHOOSE(CONTROL!$C$42, 6.4999, 6.4999) * CHOOSE(CONTROL!$C$21, $C$9, 100%, $E$9)</f>
        <v>6.4999000000000002</v>
      </c>
      <c r="R73" s="10">
        <f>CHOOSE(CONTROL!$C$42, 7.1031, 7.1031) * CHOOSE(CONTROL!$C$21, $C$9, 100%, $E$9)</f>
        <v>7.1031000000000004</v>
      </c>
      <c r="S73" s="10">
        <f>CHOOSE(CONTROL!$C$42, 5.6941, 5.6941) * CHOOSE(CONTROL!$C$21, $C$9, 100%, $E$9)</f>
        <v>5.6940999999999997</v>
      </c>
      <c r="T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57">
        <f>(1000*CHOOSE(CONTROL!$C$42, 695, 695)*CHOOSE(CONTROL!$C$42, 0.5599, 0.5599)*CHOOSE(CONTROL!$C$42, 31, 31))/1000000</f>
        <v>12.063045499999998</v>
      </c>
      <c r="V73" s="57">
        <f>(1000*CHOOSE(CONTROL!$C$42, 500, 500)*CHOOSE(CONTROL!$C$42, 0.275, 0.275)*CHOOSE(CONTROL!$C$42, 31, 31))/1000000</f>
        <v>4.2625000000000002</v>
      </c>
      <c r="W73" s="57">
        <f>(1000*CHOOSE(CONTROL!$C$42, 0.1146, 0.1146)*CHOOSE(CONTROL!$C$42, 121.5, 121.5)*CHOOSE(CONTROL!$C$42, 31, 31))/1000000</f>
        <v>0.43164089999999994</v>
      </c>
      <c r="X73" s="57">
        <f>(31*0.1790888*100000/1000000)+(31*0.2374*100000/1000000)</f>
        <v>1.2911152800000001</v>
      </c>
      <c r="Y73" s="57"/>
      <c r="Z73" s="10"/>
      <c r="AA73" s="56"/>
      <c r="AB73" s="50">
        <f>(B73*122.58+C73*297.941+D73*89.177+E73*40.302+F73*40+G73*160+H73*0+I73*100+J73*300)/(122.58+297.941+89.177+40.302+0+40+160+100+300)</f>
        <v>5.8754224491304337</v>
      </c>
      <c r="AC73" s="45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5.8572705035971229</v>
      </c>
    </row>
    <row r="74" spans="1:29" ht="15.75" x14ac:dyDescent="0.25">
      <c r="A74" s="16">
        <v>43132</v>
      </c>
      <c r="B74" s="10">
        <f>CHOOSE(CONTROL!$C$42, 5.9702, 5.9702) * CHOOSE(CONTROL!$C$21, $C$9, 100%, $E$9)</f>
        <v>5.9702000000000002</v>
      </c>
      <c r="C74" s="10">
        <f>CHOOSE(CONTROL!$C$42, 5.9751, 5.9751) * CHOOSE(CONTROL!$C$21, $C$9, 100%, $E$9)</f>
        <v>5.9751000000000003</v>
      </c>
      <c r="D74" s="10">
        <f>CHOOSE(CONTROL!$C$42, 6.0322, 6.0322) * CHOOSE(CONTROL!$C$21, $C$9, 100%, $E$9)</f>
        <v>6.0321999999999996</v>
      </c>
      <c r="E74" s="10">
        <f>CHOOSE(CONTROL!$C$42, 6.066, 6.066) * CHOOSE(CONTROL!$C$21, $C$9, 100%, $E$9)</f>
        <v>6.0659999999999998</v>
      </c>
      <c r="F74" s="10">
        <f>CHOOSE(CONTROL!$C$42, 5.9681, 5.9681)*CHOOSE(CONTROL!$C$21, $C$9, 100%, $E$9)</f>
        <v>5.9680999999999997</v>
      </c>
      <c r="G74" s="10">
        <f>CHOOSE(CONTROL!$C$42, 5.9827, 5.9827)*CHOOSE(CONTROL!$C$21, $C$9, 100%, $E$9)</f>
        <v>5.9827000000000004</v>
      </c>
      <c r="H74" s="10">
        <f>CHOOSE(CONTROL!$C$42, 6.0551, 6.0551) * CHOOSE(CONTROL!$C$21, $C$9, 100%, $E$9)</f>
        <v>6.0551000000000004</v>
      </c>
      <c r="I74" s="10">
        <f>CHOOSE(CONTROL!$C$42, 5.9809, 5.9809)* CHOOSE(CONTROL!$C$21, $C$9, 100%, $E$9)</f>
        <v>5.9809000000000001</v>
      </c>
      <c r="J74" s="10">
        <f>CHOOSE(CONTROL!$C$42, 5.9611, 5.9611)* CHOOSE(CONTROL!$C$21, $C$9, 100%, $E$9)</f>
        <v>5.9611000000000001</v>
      </c>
      <c r="K74" s="53">
        <f>CHOOSE(CONTROL!$C$42, 5.9771, 5.9771) * CHOOSE(CONTROL!$C$21, $C$9, 100%, $E$9)</f>
        <v>5.9771000000000001</v>
      </c>
      <c r="L74" s="10">
        <f>CHOOSE(CONTROL!$C$42, 6.6421, 6.6421) * CHOOSE(CONTROL!$C$21, $C$9, 100%, $E$9)</f>
        <v>6.6421000000000001</v>
      </c>
      <c r="M74" s="10">
        <f>CHOOSE(CONTROL!$C$42, 5.9148, 5.9148) * CHOOSE(CONTROL!$C$21, $C$9, 100%, $E$9)</f>
        <v>5.9147999999999996</v>
      </c>
      <c r="N74" s="10">
        <f>CHOOSE(CONTROL!$C$42, 5.9293, 5.9293) * CHOOSE(CONTROL!$C$21, $C$9, 100%, $E$9)</f>
        <v>5.9292999999999996</v>
      </c>
      <c r="O74" s="10">
        <f>CHOOSE(CONTROL!$C$42, 6.0079, 6.0079) * CHOOSE(CONTROL!$C$21, $C$9, 100%, $E$9)</f>
        <v>6.0079000000000002</v>
      </c>
      <c r="P74" s="10">
        <f>CHOOSE(CONTROL!$C$42, 5.9345, 5.9345) * CHOOSE(CONTROL!$C$21, $C$9, 100%, $E$9)</f>
        <v>5.9344999999999999</v>
      </c>
      <c r="Q74" s="10">
        <f>CHOOSE(CONTROL!$C$42, 6.6032, 6.6032) * CHOOSE(CONTROL!$C$21, $C$9, 100%, $E$9)</f>
        <v>6.6032000000000002</v>
      </c>
      <c r="R74" s="10">
        <f>CHOOSE(CONTROL!$C$42, 7.2067, 7.2067) * CHOOSE(CONTROL!$C$21, $C$9, 100%, $E$9)</f>
        <v>7.2066999999999997</v>
      </c>
      <c r="S74" s="10">
        <f>CHOOSE(CONTROL!$C$42, 5.7955, 5.7955) * CHOOSE(CONTROL!$C$21, $C$9, 100%, $E$9)</f>
        <v>5.7954999999999997</v>
      </c>
      <c r="T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57">
        <f>(1000*CHOOSE(CONTROL!$C$42, 695, 695)*CHOOSE(CONTROL!$C$42, 0.5599, 0.5599)*CHOOSE(CONTROL!$C$42, 28, 28))/1000000</f>
        <v>10.895653999999999</v>
      </c>
      <c r="V74" s="57">
        <f>(1000*CHOOSE(CONTROL!$C$42, 500, 500)*CHOOSE(CONTROL!$C$42, 0.275, 0.275)*CHOOSE(CONTROL!$C$42, 28, 28))/1000000</f>
        <v>3.85</v>
      </c>
      <c r="W74" s="57">
        <f>(1000*CHOOSE(CONTROL!$C$42, 0.1146, 0.1146)*CHOOSE(CONTROL!$C$42, 121.5, 121.5)*CHOOSE(CONTROL!$C$42, 28, 28))/1000000</f>
        <v>0.38986920000000003</v>
      </c>
      <c r="X74" s="57">
        <f>(28*0.1790888*100000/1000000)+(28*0.2374*100000/1000000)</f>
        <v>1.16616864</v>
      </c>
      <c r="Y74" s="57"/>
      <c r="Z74" s="10"/>
      <c r="AA74" s="56"/>
      <c r="AB74" s="50">
        <f>(B74*122.58+C74*297.941+D74*89.177+E74*40.302+F74*40+G74*160+H74*0+I74*100+J74*300)/(122.58+297.941+89.177+40.302+0+40+160+100+300)</f>
        <v>5.9798572317391301</v>
      </c>
      <c r="AC74" s="45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5.9606654676258994</v>
      </c>
    </row>
    <row r="75" spans="1:29" ht="15.75" x14ac:dyDescent="0.25">
      <c r="A75" s="16">
        <v>43160</v>
      </c>
      <c r="B75" s="10">
        <f>CHOOSE(CONTROL!$C$42, 5.8007, 5.8007) * CHOOSE(CONTROL!$C$21, $C$9, 100%, $E$9)</f>
        <v>5.8007</v>
      </c>
      <c r="C75" s="10">
        <f>CHOOSE(CONTROL!$C$42, 5.8057, 5.8057) * CHOOSE(CONTROL!$C$21, $C$9, 100%, $E$9)</f>
        <v>5.8056999999999999</v>
      </c>
      <c r="D75" s="10">
        <f>CHOOSE(CONTROL!$C$42, 5.8628, 5.8628) * CHOOSE(CONTROL!$C$21, $C$9, 100%, $E$9)</f>
        <v>5.8628</v>
      </c>
      <c r="E75" s="10">
        <f>CHOOSE(CONTROL!$C$42, 5.8965, 5.8965) * CHOOSE(CONTROL!$C$21, $C$9, 100%, $E$9)</f>
        <v>5.8964999999999996</v>
      </c>
      <c r="F75" s="10">
        <f>CHOOSE(CONTROL!$C$42, 5.7985, 5.7985)*CHOOSE(CONTROL!$C$21, $C$9, 100%, $E$9)</f>
        <v>5.7984999999999998</v>
      </c>
      <c r="G75" s="10">
        <f>CHOOSE(CONTROL!$C$42, 5.8132, 5.8132)*CHOOSE(CONTROL!$C$21, $C$9, 100%, $E$9)</f>
        <v>5.8132000000000001</v>
      </c>
      <c r="H75" s="10">
        <f>CHOOSE(CONTROL!$C$42, 5.8857, 5.8857) * CHOOSE(CONTROL!$C$21, $C$9, 100%, $E$9)</f>
        <v>5.8856999999999999</v>
      </c>
      <c r="I75" s="10">
        <f>CHOOSE(CONTROL!$C$42, 5.8115, 5.8115)* CHOOSE(CONTROL!$C$21, $C$9, 100%, $E$9)</f>
        <v>5.8114999999999997</v>
      </c>
      <c r="J75" s="10">
        <f>CHOOSE(CONTROL!$C$42, 5.7915, 5.7915)* CHOOSE(CONTROL!$C$21, $C$9, 100%, $E$9)</f>
        <v>5.7915000000000001</v>
      </c>
      <c r="K75" s="53">
        <f>CHOOSE(CONTROL!$C$42, 5.8076, 5.8076) * CHOOSE(CONTROL!$C$21, $C$9, 100%, $E$9)</f>
        <v>5.8075999999999999</v>
      </c>
      <c r="L75" s="10">
        <f>CHOOSE(CONTROL!$C$42, 6.4727, 6.4727) * CHOOSE(CONTROL!$C$21, $C$9, 100%, $E$9)</f>
        <v>6.4726999999999997</v>
      </c>
      <c r="M75" s="10">
        <f>CHOOSE(CONTROL!$C$42, 5.7469, 5.7469) * CHOOSE(CONTROL!$C$21, $C$9, 100%, $E$9)</f>
        <v>5.7469000000000001</v>
      </c>
      <c r="N75" s="10">
        <f>CHOOSE(CONTROL!$C$42, 5.7614, 5.7614) * CHOOSE(CONTROL!$C$21, $C$9, 100%, $E$9)</f>
        <v>5.7614000000000001</v>
      </c>
      <c r="O75" s="10">
        <f>CHOOSE(CONTROL!$C$42, 5.8402, 5.8402) * CHOOSE(CONTROL!$C$21, $C$9, 100%, $E$9)</f>
        <v>5.8402000000000003</v>
      </c>
      <c r="P75" s="10">
        <f>CHOOSE(CONTROL!$C$42, 5.7668, 5.7668) * CHOOSE(CONTROL!$C$21, $C$9, 100%, $E$9)</f>
        <v>5.7667999999999999</v>
      </c>
      <c r="Q75" s="10">
        <f>CHOOSE(CONTROL!$C$42, 6.4355, 6.4355) * CHOOSE(CONTROL!$C$21, $C$9, 100%, $E$9)</f>
        <v>6.4355000000000002</v>
      </c>
      <c r="R75" s="10">
        <f>CHOOSE(CONTROL!$C$42, 7.0386, 7.0386) * CHOOSE(CONTROL!$C$21, $C$9, 100%, $E$9)</f>
        <v>7.0385999999999997</v>
      </c>
      <c r="S75" s="10">
        <f>CHOOSE(CONTROL!$C$42, 5.631, 5.631) * CHOOSE(CONTROL!$C$21, $C$9, 100%, $E$9)</f>
        <v>5.6310000000000002</v>
      </c>
      <c r="T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57">
        <f>(1000*CHOOSE(CONTROL!$C$42, 695, 695)*CHOOSE(CONTROL!$C$42, 0.5599, 0.5599)*CHOOSE(CONTROL!$C$42, 31, 31))/1000000</f>
        <v>12.063045499999998</v>
      </c>
      <c r="V75" s="57">
        <f>(1000*CHOOSE(CONTROL!$C$42, 500, 500)*CHOOSE(CONTROL!$C$42, 0.275, 0.275)*CHOOSE(CONTROL!$C$42, 31, 31))/1000000</f>
        <v>4.2625000000000002</v>
      </c>
      <c r="W75" s="57">
        <f>(1000*CHOOSE(CONTROL!$C$42, 0.1146, 0.1146)*CHOOSE(CONTROL!$C$42, 121.5, 121.5)*CHOOSE(CONTROL!$C$42, 31, 31))/1000000</f>
        <v>0.43164089999999994</v>
      </c>
      <c r="X75" s="57">
        <f>(31*0.1790888*100000/1000000)+(31*0.2374*100000/1000000)</f>
        <v>1.2911152800000001</v>
      </c>
      <c r="Y75" s="57"/>
      <c r="Z75" s="10"/>
      <c r="AA75" s="56"/>
      <c r="AB75" s="50">
        <f>(B75*122.58+C75*297.941+D75*89.177+E75*40.302+F75*40+G75*160+H75*0+I75*100+J75*300)/(122.58+297.941+89.177+40.302+0+40+160+100+300)</f>
        <v>5.8103700246086953</v>
      </c>
      <c r="AC75" s="45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5.792884892086331</v>
      </c>
    </row>
    <row r="76" spans="1:29" ht="15.75" x14ac:dyDescent="0.25">
      <c r="A76" s="16">
        <v>43191</v>
      </c>
      <c r="B76" s="10">
        <f>CHOOSE(CONTROL!$C$42, 5.7846, 5.7846) * CHOOSE(CONTROL!$C$21, $C$9, 100%, $E$9)</f>
        <v>5.7846000000000002</v>
      </c>
      <c r="C76" s="10">
        <f>CHOOSE(CONTROL!$C$42, 5.7889, 5.7889) * CHOOSE(CONTROL!$C$21, $C$9, 100%, $E$9)</f>
        <v>5.7888999999999999</v>
      </c>
      <c r="D76" s="10">
        <f>CHOOSE(CONTROL!$C$42, 5.9948, 5.9948) * CHOOSE(CONTROL!$C$21, $C$9, 100%, $E$9)</f>
        <v>5.9947999999999997</v>
      </c>
      <c r="E76" s="10">
        <f>CHOOSE(CONTROL!$C$42, 6.0266, 6.0266) * CHOOSE(CONTROL!$C$21, $C$9, 100%, $E$9)</f>
        <v>6.0266000000000002</v>
      </c>
      <c r="F76" s="10">
        <f>CHOOSE(CONTROL!$C$42, 5.7613, 5.7613)*CHOOSE(CONTROL!$C$21, $C$9, 100%, $E$9)</f>
        <v>5.7613000000000003</v>
      </c>
      <c r="G76" s="10">
        <f>CHOOSE(CONTROL!$C$42, 5.7758, 5.7758)*CHOOSE(CONTROL!$C$21, $C$9, 100%, $E$9)</f>
        <v>5.7758000000000003</v>
      </c>
      <c r="H76" s="10">
        <f>CHOOSE(CONTROL!$C$42, 6.0164, 6.0164) * CHOOSE(CONTROL!$C$21, $C$9, 100%, $E$9)</f>
        <v>6.0164</v>
      </c>
      <c r="I76" s="10">
        <f>CHOOSE(CONTROL!$C$42, 5.786, 5.786)* CHOOSE(CONTROL!$C$21, $C$9, 100%, $E$9)</f>
        <v>5.7859999999999996</v>
      </c>
      <c r="J76" s="10">
        <f>CHOOSE(CONTROL!$C$42, 5.7543, 5.7543)* CHOOSE(CONTROL!$C$21, $C$9, 100%, $E$9)</f>
        <v>5.7542999999999997</v>
      </c>
      <c r="K76" s="53">
        <f>CHOOSE(CONTROL!$C$42, 5.7821, 5.7821) * CHOOSE(CONTROL!$C$21, $C$9, 100%, $E$9)</f>
        <v>5.7820999999999998</v>
      </c>
      <c r="L76" s="10">
        <f>CHOOSE(CONTROL!$C$42, 6.6034, 6.6034) * CHOOSE(CONTROL!$C$21, $C$9, 100%, $E$9)</f>
        <v>6.6033999999999997</v>
      </c>
      <c r="M76" s="10">
        <f>CHOOSE(CONTROL!$C$42, 5.7101, 5.7101) * CHOOSE(CONTROL!$C$21, $C$9, 100%, $E$9)</f>
        <v>5.7100999999999997</v>
      </c>
      <c r="N76" s="10">
        <f>CHOOSE(CONTROL!$C$42, 5.7245, 5.7245) * CHOOSE(CONTROL!$C$21, $C$9, 100%, $E$9)</f>
        <v>5.7244999999999999</v>
      </c>
      <c r="O76" s="10">
        <f>CHOOSE(CONTROL!$C$42, 5.9695, 5.9695) * CHOOSE(CONTROL!$C$21, $C$9, 100%, $E$9)</f>
        <v>5.9695</v>
      </c>
      <c r="P76" s="10">
        <f>CHOOSE(CONTROL!$C$42, 5.7415, 5.7415) * CHOOSE(CONTROL!$C$21, $C$9, 100%, $E$9)</f>
        <v>5.7415000000000003</v>
      </c>
      <c r="Q76" s="10">
        <f>CHOOSE(CONTROL!$C$42, 6.5648, 6.5648) * CHOOSE(CONTROL!$C$21, $C$9, 100%, $E$9)</f>
        <v>6.5648</v>
      </c>
      <c r="R76" s="10">
        <f>CHOOSE(CONTROL!$C$42, 7.1682, 7.1682) * CHOOSE(CONTROL!$C$21, $C$9, 100%, $E$9)</f>
        <v>7.1681999999999997</v>
      </c>
      <c r="S76" s="10">
        <f>CHOOSE(CONTROL!$C$42, 5.6145, 5.6145) * CHOOSE(CONTROL!$C$21, $C$9, 100%, $E$9)</f>
        <v>5.6144999999999996</v>
      </c>
      <c r="T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57">
        <f>(1000*CHOOSE(CONTROL!$C$42, 695, 695)*CHOOSE(CONTROL!$C$42, 0.5599, 0.5599)*CHOOSE(CONTROL!$C$42, 30, 30))/1000000</f>
        <v>11.673914999999997</v>
      </c>
      <c r="V76" s="57">
        <f>(1000*CHOOSE(CONTROL!$C$42, 500, 500)*CHOOSE(CONTROL!$C$42, 0.275, 0.275)*CHOOSE(CONTROL!$C$42, 30, 30))/1000000</f>
        <v>4.125</v>
      </c>
      <c r="W76" s="57">
        <f>(1000*CHOOSE(CONTROL!$C$42, 0.1146, 0.1146)*CHOOSE(CONTROL!$C$42, 121.5, 121.5)*CHOOSE(CONTROL!$C$42, 30, 30))/1000000</f>
        <v>0.417717</v>
      </c>
      <c r="X76" s="57">
        <f>(30*0.1790888*245000/1000000)+(30*0.2374*100000/1000000)</f>
        <v>2.0285026799999999</v>
      </c>
      <c r="Y76" s="57"/>
      <c r="Z76" s="10"/>
      <c r="AA76" s="56"/>
      <c r="AB76" s="50">
        <f>(B76*141.293+C76*267.993+D76*115.016+E76*89.698+F76*40+G76*185+H76*0+I76*100+J76*300)/(141.293+267.993+115.016+89.698+0+40+185+100+300)</f>
        <v>5.8132728402744149</v>
      </c>
      <c r="AC76" s="45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5.7907143884892083</v>
      </c>
    </row>
    <row r="77" spans="1:29" ht="15.75" x14ac:dyDescent="0.25">
      <c r="A77" s="16">
        <v>43221</v>
      </c>
      <c r="B77" s="10">
        <f>CHOOSE(CONTROL!$C$42, 5.837, 5.837) * CHOOSE(CONTROL!$C$21, $C$9, 100%, $E$9)</f>
        <v>5.8369999999999997</v>
      </c>
      <c r="C77" s="10">
        <f>CHOOSE(CONTROL!$C$42, 5.8449, 5.8449) * CHOOSE(CONTROL!$C$21, $C$9, 100%, $E$9)</f>
        <v>5.8449</v>
      </c>
      <c r="D77" s="10">
        <f>CHOOSE(CONTROL!$C$42, 6.0476, 6.0476) * CHOOSE(CONTROL!$C$21, $C$9, 100%, $E$9)</f>
        <v>6.0476000000000001</v>
      </c>
      <c r="E77" s="10">
        <f>CHOOSE(CONTROL!$C$42, 6.0788, 6.0788) * CHOOSE(CONTROL!$C$21, $C$9, 100%, $E$9)</f>
        <v>6.0788000000000002</v>
      </c>
      <c r="F77" s="10">
        <f>CHOOSE(CONTROL!$C$42, 5.8127, 5.8127)*CHOOSE(CONTROL!$C$21, $C$9, 100%, $E$9)</f>
        <v>5.8127000000000004</v>
      </c>
      <c r="G77" s="10">
        <f>CHOOSE(CONTROL!$C$42, 5.8277, 5.8277)*CHOOSE(CONTROL!$C$21, $C$9, 100%, $E$9)</f>
        <v>5.8277000000000001</v>
      </c>
      <c r="H77" s="10">
        <f>CHOOSE(CONTROL!$C$42, 6.0674, 6.0674) * CHOOSE(CONTROL!$C$21, $C$9, 100%, $E$9)</f>
        <v>6.0674000000000001</v>
      </c>
      <c r="I77" s="10">
        <f>CHOOSE(CONTROL!$C$42, 5.837, 5.837)* CHOOSE(CONTROL!$C$21, $C$9, 100%, $E$9)</f>
        <v>5.8369999999999997</v>
      </c>
      <c r="J77" s="10">
        <f>CHOOSE(CONTROL!$C$42, 5.8057, 5.8057)* CHOOSE(CONTROL!$C$21, $C$9, 100%, $E$9)</f>
        <v>5.8056999999999999</v>
      </c>
      <c r="K77" s="53">
        <f>CHOOSE(CONTROL!$C$42, 5.8331, 5.8331) * CHOOSE(CONTROL!$C$21, $C$9, 100%, $E$9)</f>
        <v>5.8331</v>
      </c>
      <c r="L77" s="10">
        <f>CHOOSE(CONTROL!$C$42, 6.6544, 6.6544) * CHOOSE(CONTROL!$C$21, $C$9, 100%, $E$9)</f>
        <v>6.6543999999999999</v>
      </c>
      <c r="M77" s="10">
        <f>CHOOSE(CONTROL!$C$42, 5.7609, 5.7609) * CHOOSE(CONTROL!$C$21, $C$9, 100%, $E$9)</f>
        <v>5.7609000000000004</v>
      </c>
      <c r="N77" s="10">
        <f>CHOOSE(CONTROL!$C$42, 5.7758, 5.7758) * CHOOSE(CONTROL!$C$21, $C$9, 100%, $E$9)</f>
        <v>5.7758000000000003</v>
      </c>
      <c r="O77" s="10">
        <f>CHOOSE(CONTROL!$C$42, 6.02, 6.02) * CHOOSE(CONTROL!$C$21, $C$9, 100%, $E$9)</f>
        <v>6.02</v>
      </c>
      <c r="P77" s="10">
        <f>CHOOSE(CONTROL!$C$42, 5.792, 5.792) * CHOOSE(CONTROL!$C$21, $C$9, 100%, $E$9)</f>
        <v>5.7919999999999998</v>
      </c>
      <c r="Q77" s="10">
        <f>CHOOSE(CONTROL!$C$42, 6.6153, 6.6153) * CHOOSE(CONTROL!$C$21, $C$9, 100%, $E$9)</f>
        <v>6.6153000000000004</v>
      </c>
      <c r="R77" s="10">
        <f>CHOOSE(CONTROL!$C$42, 7.2188, 7.2188) * CHOOSE(CONTROL!$C$21, $C$9, 100%, $E$9)</f>
        <v>7.2187999999999999</v>
      </c>
      <c r="S77" s="10">
        <f>CHOOSE(CONTROL!$C$42, 5.664, 5.664) * CHOOSE(CONTROL!$C$21, $C$9, 100%, $E$9)</f>
        <v>5.6639999999999997</v>
      </c>
      <c r="T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57">
        <f>(1000*CHOOSE(CONTROL!$C$42, 695, 695)*CHOOSE(CONTROL!$C$42, 0.5599, 0.5599)*CHOOSE(CONTROL!$C$42, 31, 31))/1000000</f>
        <v>12.063045499999998</v>
      </c>
      <c r="V77" s="57">
        <f>(1000*CHOOSE(CONTROL!$C$42, 500, 500)*CHOOSE(CONTROL!$C$42, 0.275, 0.275)*CHOOSE(CONTROL!$C$42, 31, 31))/1000000</f>
        <v>4.2625000000000002</v>
      </c>
      <c r="W77" s="57">
        <f>(1000*CHOOSE(CONTROL!$C$42, 0.1146, 0.1146)*CHOOSE(CONTROL!$C$42, 121.5, 121.5)*CHOOSE(CONTROL!$C$42, 31, 31))/1000000</f>
        <v>0.43164089999999994</v>
      </c>
      <c r="X77" s="57">
        <f>(31*0.1790888*245000/1000000)+(31*0.2374*100000/1000000)</f>
        <v>2.0961194359999999</v>
      </c>
      <c r="Y77" s="57"/>
      <c r="Z77" s="10"/>
      <c r="AA77" s="56"/>
      <c r="AB77" s="50">
        <f>(B77*194.205+C77*267.466+D77*133.845+E77*53.484+F77*40+G77*185+H77*0+I77*100+J77*300)/(194.205+267.466+133.845+53.484+0+40+185+100+300)</f>
        <v>5.8614510750392466</v>
      </c>
      <c r="AC77" s="45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5.8415021582733813</v>
      </c>
    </row>
    <row r="78" spans="1:29" ht="15.75" x14ac:dyDescent="0.25">
      <c r="A78" s="16">
        <v>43252</v>
      </c>
      <c r="B78" s="10">
        <f>CHOOSE(CONTROL!$C$42, 6.0024, 6.0024) * CHOOSE(CONTROL!$C$21, $C$9, 100%, $E$9)</f>
        <v>6.0023999999999997</v>
      </c>
      <c r="C78" s="10">
        <f>CHOOSE(CONTROL!$C$42, 6.0103, 6.0103) * CHOOSE(CONTROL!$C$21, $C$9, 100%, $E$9)</f>
        <v>6.0103</v>
      </c>
      <c r="D78" s="10">
        <f>CHOOSE(CONTROL!$C$42, 6.213, 6.213) * CHOOSE(CONTROL!$C$21, $C$9, 100%, $E$9)</f>
        <v>6.2130000000000001</v>
      </c>
      <c r="E78" s="10">
        <f>CHOOSE(CONTROL!$C$42, 6.2442, 6.2442) * CHOOSE(CONTROL!$C$21, $C$9, 100%, $E$9)</f>
        <v>6.2442000000000002</v>
      </c>
      <c r="F78" s="10">
        <f>CHOOSE(CONTROL!$C$42, 5.9786, 5.9786)*CHOOSE(CONTROL!$C$21, $C$9, 100%, $E$9)</f>
        <v>5.9786000000000001</v>
      </c>
      <c r="G78" s="10">
        <f>CHOOSE(CONTROL!$C$42, 5.9938, 5.9938)*CHOOSE(CONTROL!$C$21, $C$9, 100%, $E$9)</f>
        <v>5.9938000000000002</v>
      </c>
      <c r="H78" s="10">
        <f>CHOOSE(CONTROL!$C$42, 6.2328, 6.2328) * CHOOSE(CONTROL!$C$21, $C$9, 100%, $E$9)</f>
        <v>6.2328000000000001</v>
      </c>
      <c r="I78" s="10">
        <f>CHOOSE(CONTROL!$C$42, 6.0024, 6.0024)* CHOOSE(CONTROL!$C$21, $C$9, 100%, $E$9)</f>
        <v>6.0023999999999997</v>
      </c>
      <c r="J78" s="10">
        <f>CHOOSE(CONTROL!$C$42, 5.9716, 5.9716)* CHOOSE(CONTROL!$C$21, $C$9, 100%, $E$9)</f>
        <v>5.9715999999999996</v>
      </c>
      <c r="K78" s="53">
        <f>CHOOSE(CONTROL!$C$42, 5.9985, 5.9985) * CHOOSE(CONTROL!$C$21, $C$9, 100%, $E$9)</f>
        <v>5.9984999999999999</v>
      </c>
      <c r="L78" s="10">
        <f>CHOOSE(CONTROL!$C$42, 6.8198, 6.8198) * CHOOSE(CONTROL!$C$21, $C$9, 100%, $E$9)</f>
        <v>6.8197999999999999</v>
      </c>
      <c r="M78" s="10">
        <f>CHOOSE(CONTROL!$C$42, 5.9252, 5.9252) * CHOOSE(CONTROL!$C$21, $C$9, 100%, $E$9)</f>
        <v>5.9252000000000002</v>
      </c>
      <c r="N78" s="10">
        <f>CHOOSE(CONTROL!$C$42, 5.9402, 5.9402) * CHOOSE(CONTROL!$C$21, $C$9, 100%, $E$9)</f>
        <v>5.9401999999999999</v>
      </c>
      <c r="O78" s="10">
        <f>CHOOSE(CONTROL!$C$42, 6.1837, 6.1837) * CHOOSE(CONTROL!$C$21, $C$9, 100%, $E$9)</f>
        <v>6.1837</v>
      </c>
      <c r="P78" s="10">
        <f>CHOOSE(CONTROL!$C$42, 5.9557, 5.9557) * CHOOSE(CONTROL!$C$21, $C$9, 100%, $E$9)</f>
        <v>5.9557000000000002</v>
      </c>
      <c r="Q78" s="10">
        <f>CHOOSE(CONTROL!$C$42, 6.779, 6.779) * CHOOSE(CONTROL!$C$21, $C$9, 100%, $E$9)</f>
        <v>6.7789999999999999</v>
      </c>
      <c r="R78" s="10">
        <f>CHOOSE(CONTROL!$C$42, 7.383, 7.383) * CHOOSE(CONTROL!$C$21, $C$9, 100%, $E$9)</f>
        <v>7.383</v>
      </c>
      <c r="S78" s="10">
        <f>CHOOSE(CONTROL!$C$42, 5.8247, 5.8247) * CHOOSE(CONTROL!$C$21, $C$9, 100%, $E$9)</f>
        <v>5.8247</v>
      </c>
      <c r="T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57">
        <f>(1000*CHOOSE(CONTROL!$C$42, 695, 695)*CHOOSE(CONTROL!$C$42, 0.5599, 0.5599)*CHOOSE(CONTROL!$C$42, 30, 30))/1000000</f>
        <v>11.673914999999997</v>
      </c>
      <c r="V78" s="57">
        <f>(1000*CHOOSE(CONTROL!$C$42, 500, 500)*CHOOSE(CONTROL!$C$42, 0.275, 0.275)*CHOOSE(CONTROL!$C$42, 30, 30))/1000000</f>
        <v>4.125</v>
      </c>
      <c r="W78" s="57">
        <f>(1000*CHOOSE(CONTROL!$C$42, 0.1146, 0.1146)*CHOOSE(CONTROL!$C$42, 121.5, 121.5)*CHOOSE(CONTROL!$C$42, 30, 30))/1000000</f>
        <v>0.417717</v>
      </c>
      <c r="X78" s="57">
        <f>(30*0.1790888*245000/1000000)+(30*0.2374*100000/1000000)</f>
        <v>2.0285026799999999</v>
      </c>
      <c r="Y78" s="57"/>
      <c r="Z78" s="10"/>
      <c r="AA78" s="56"/>
      <c r="AB78" s="50">
        <f>(B78*194.205+C78*267.466+D78*133.845+E78*53.484+F78*40+G78*185+H78*0+I78*100+J78*300)/(194.205+267.466+133.845+53.484+0+40+185+100+300)</f>
        <v>6.0270861613814759</v>
      </c>
      <c r="AC78" s="45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6.0055705035971227</v>
      </c>
    </row>
    <row r="79" spans="1:29" ht="15.75" x14ac:dyDescent="0.25">
      <c r="A79" s="16">
        <v>43282</v>
      </c>
      <c r="B79" s="10">
        <f>CHOOSE(CONTROL!$C$42, 5.8873, 5.8873) * CHOOSE(CONTROL!$C$21, $C$9, 100%, $E$9)</f>
        <v>5.8872999999999998</v>
      </c>
      <c r="C79" s="10">
        <f>CHOOSE(CONTROL!$C$42, 5.8953, 5.8953) * CHOOSE(CONTROL!$C$21, $C$9, 100%, $E$9)</f>
        <v>5.8952999999999998</v>
      </c>
      <c r="D79" s="10">
        <f>CHOOSE(CONTROL!$C$42, 6.098, 6.098) * CHOOSE(CONTROL!$C$21, $C$9, 100%, $E$9)</f>
        <v>6.0979999999999999</v>
      </c>
      <c r="E79" s="10">
        <f>CHOOSE(CONTROL!$C$42, 6.1291, 6.1291) * CHOOSE(CONTROL!$C$21, $C$9, 100%, $E$9)</f>
        <v>6.1291000000000002</v>
      </c>
      <c r="F79" s="10">
        <f>CHOOSE(CONTROL!$C$42, 5.8641, 5.8641)*CHOOSE(CONTROL!$C$21, $C$9, 100%, $E$9)</f>
        <v>5.8640999999999996</v>
      </c>
      <c r="G79" s="10">
        <f>CHOOSE(CONTROL!$C$42, 5.8794, 5.8794)*CHOOSE(CONTROL!$C$21, $C$9, 100%, $E$9)</f>
        <v>5.8794000000000004</v>
      </c>
      <c r="H79" s="10">
        <f>CHOOSE(CONTROL!$C$42, 6.1178, 6.1178) * CHOOSE(CONTROL!$C$21, $C$9, 100%, $E$9)</f>
        <v>6.1177999999999999</v>
      </c>
      <c r="I79" s="10">
        <f>CHOOSE(CONTROL!$C$42, 5.8874, 5.8874)* CHOOSE(CONTROL!$C$21, $C$9, 100%, $E$9)</f>
        <v>5.8874000000000004</v>
      </c>
      <c r="J79" s="10">
        <f>CHOOSE(CONTROL!$C$42, 5.8571, 5.8571)* CHOOSE(CONTROL!$C$21, $C$9, 100%, $E$9)</f>
        <v>5.8571</v>
      </c>
      <c r="K79" s="53">
        <f>CHOOSE(CONTROL!$C$42, 5.8835, 5.8835) * CHOOSE(CONTROL!$C$21, $C$9, 100%, $E$9)</f>
        <v>5.8834999999999997</v>
      </c>
      <c r="L79" s="10">
        <f>CHOOSE(CONTROL!$C$42, 6.7048, 6.7048) * CHOOSE(CONTROL!$C$21, $C$9, 100%, $E$9)</f>
        <v>6.7047999999999996</v>
      </c>
      <c r="M79" s="10">
        <f>CHOOSE(CONTROL!$C$42, 5.8118, 5.8118) * CHOOSE(CONTROL!$C$21, $C$9, 100%, $E$9)</f>
        <v>5.8117999999999999</v>
      </c>
      <c r="N79" s="10">
        <f>CHOOSE(CONTROL!$C$42, 5.8269, 5.8269) * CHOOSE(CONTROL!$C$21, $C$9, 100%, $E$9)</f>
        <v>5.8269000000000002</v>
      </c>
      <c r="O79" s="10">
        <f>CHOOSE(CONTROL!$C$42, 6.0698, 6.0698) * CHOOSE(CONTROL!$C$21, $C$9, 100%, $E$9)</f>
        <v>6.0697999999999999</v>
      </c>
      <c r="P79" s="10">
        <f>CHOOSE(CONTROL!$C$42, 5.8418, 5.8418) * CHOOSE(CONTROL!$C$21, $C$9, 100%, $E$9)</f>
        <v>5.8418000000000001</v>
      </c>
      <c r="Q79" s="10">
        <f>CHOOSE(CONTROL!$C$42, 6.6651, 6.6651) * CHOOSE(CONTROL!$C$21, $C$9, 100%, $E$9)</f>
        <v>6.6650999999999998</v>
      </c>
      <c r="R79" s="10">
        <f>CHOOSE(CONTROL!$C$42, 7.2688, 7.2688) * CHOOSE(CONTROL!$C$21, $C$9, 100%, $E$9)</f>
        <v>7.2687999999999997</v>
      </c>
      <c r="S79" s="10">
        <f>CHOOSE(CONTROL!$C$42, 5.7129, 5.7129) * CHOOSE(CONTROL!$C$21, $C$9, 100%, $E$9)</f>
        <v>5.7129000000000003</v>
      </c>
      <c r="T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57">
        <f>(1000*CHOOSE(CONTROL!$C$42, 695, 695)*CHOOSE(CONTROL!$C$42, 0.5599, 0.5599)*CHOOSE(CONTROL!$C$42, 31, 31))/1000000</f>
        <v>12.063045499999998</v>
      </c>
      <c r="V79" s="57">
        <f>(1000*CHOOSE(CONTROL!$C$42, 500, 500)*CHOOSE(CONTROL!$C$42, 0.275, 0.275)*CHOOSE(CONTROL!$C$42, 31, 31))/1000000</f>
        <v>4.2625000000000002</v>
      </c>
      <c r="W79" s="57">
        <f>(1000*CHOOSE(CONTROL!$C$42, 0.1146, 0.1146)*CHOOSE(CONTROL!$C$42, 121.5, 121.5)*CHOOSE(CONTROL!$C$42, 31, 31))/1000000</f>
        <v>0.43164089999999994</v>
      </c>
      <c r="X79" s="57">
        <f>(31*0.1790888*245000/1000000)+(31*0.2374*100000/1000000)</f>
        <v>2.0961194359999999</v>
      </c>
      <c r="Y79" s="57"/>
      <c r="Z79" s="10"/>
      <c r="AA79" s="56"/>
      <c r="AB79" s="50">
        <f>(B79*194.205+C79*267.466+D79*133.845+E79*53.484+F79*40+G79*185+H79*0+I79*100+J79*300)/(194.205+267.466+133.845+53.484+0+40+185+100+300)</f>
        <v>5.9122872846938783</v>
      </c>
      <c r="AC79" s="45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5.8919812949640287</v>
      </c>
    </row>
    <row r="80" spans="1:29" ht="15.75" x14ac:dyDescent="0.25">
      <c r="A80" s="16">
        <v>43313</v>
      </c>
      <c r="B80" s="10">
        <f>CHOOSE(CONTROL!$C$42, 5.5968, 5.5968) * CHOOSE(CONTROL!$C$21, $C$9, 100%, $E$9)</f>
        <v>5.5968</v>
      </c>
      <c r="C80" s="10">
        <f>CHOOSE(CONTROL!$C$42, 5.6047, 5.6047) * CHOOSE(CONTROL!$C$21, $C$9, 100%, $E$9)</f>
        <v>5.6047000000000002</v>
      </c>
      <c r="D80" s="10">
        <f>CHOOSE(CONTROL!$C$42, 5.8075, 5.8075) * CHOOSE(CONTROL!$C$21, $C$9, 100%, $E$9)</f>
        <v>5.8075000000000001</v>
      </c>
      <c r="E80" s="10">
        <f>CHOOSE(CONTROL!$C$42, 5.8386, 5.8386) * CHOOSE(CONTROL!$C$21, $C$9, 100%, $E$9)</f>
        <v>5.8385999999999996</v>
      </c>
      <c r="F80" s="10">
        <f>CHOOSE(CONTROL!$C$42, 5.5737, 5.5737)*CHOOSE(CONTROL!$C$21, $C$9, 100%, $E$9)</f>
        <v>5.5736999999999997</v>
      </c>
      <c r="G80" s="10">
        <f>CHOOSE(CONTROL!$C$42, 5.5891, 5.5891)*CHOOSE(CONTROL!$C$21, $C$9, 100%, $E$9)</f>
        <v>5.5891000000000002</v>
      </c>
      <c r="H80" s="10">
        <f>CHOOSE(CONTROL!$C$42, 5.8272, 5.8272) * CHOOSE(CONTROL!$C$21, $C$9, 100%, $E$9)</f>
        <v>5.8272000000000004</v>
      </c>
      <c r="I80" s="10">
        <f>CHOOSE(CONTROL!$C$42, 5.5968, 5.5968)* CHOOSE(CONTROL!$C$21, $C$9, 100%, $E$9)</f>
        <v>5.5968</v>
      </c>
      <c r="J80" s="10">
        <f>CHOOSE(CONTROL!$C$42, 5.5667, 5.5667)* CHOOSE(CONTROL!$C$21, $C$9, 100%, $E$9)</f>
        <v>5.5667</v>
      </c>
      <c r="K80" s="53">
        <f>CHOOSE(CONTROL!$C$42, 5.593, 5.593) * CHOOSE(CONTROL!$C$21, $C$9, 100%, $E$9)</f>
        <v>5.593</v>
      </c>
      <c r="L80" s="10">
        <f>CHOOSE(CONTROL!$C$42, 6.4142, 6.4142) * CHOOSE(CONTROL!$C$21, $C$9, 100%, $E$9)</f>
        <v>6.4142000000000001</v>
      </c>
      <c r="M80" s="10">
        <f>CHOOSE(CONTROL!$C$42, 5.5244, 5.5244) * CHOOSE(CONTROL!$C$21, $C$9, 100%, $E$9)</f>
        <v>5.5244</v>
      </c>
      <c r="N80" s="10">
        <f>CHOOSE(CONTROL!$C$42, 5.5396, 5.5396) * CHOOSE(CONTROL!$C$21, $C$9, 100%, $E$9)</f>
        <v>5.5396000000000001</v>
      </c>
      <c r="O80" s="10">
        <f>CHOOSE(CONTROL!$C$42, 5.7822, 5.7822) * CHOOSE(CONTROL!$C$21, $C$9, 100%, $E$9)</f>
        <v>5.7821999999999996</v>
      </c>
      <c r="P80" s="10">
        <f>CHOOSE(CONTROL!$C$42, 5.5542, 5.5542) * CHOOSE(CONTROL!$C$21, $C$9, 100%, $E$9)</f>
        <v>5.5541999999999998</v>
      </c>
      <c r="Q80" s="10">
        <f>CHOOSE(CONTROL!$C$42, 6.3775, 6.3775) * CHOOSE(CONTROL!$C$21, $C$9, 100%, $E$9)</f>
        <v>6.3775000000000004</v>
      </c>
      <c r="R80" s="10">
        <f>CHOOSE(CONTROL!$C$42, 6.9805, 6.9805) * CHOOSE(CONTROL!$C$21, $C$9, 100%, $E$9)</f>
        <v>6.9805000000000001</v>
      </c>
      <c r="S80" s="10">
        <f>CHOOSE(CONTROL!$C$42, 5.4308, 5.4308) * CHOOSE(CONTROL!$C$21, $C$9, 100%, $E$9)</f>
        <v>5.4307999999999996</v>
      </c>
      <c r="T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57">
        <f>(1000*CHOOSE(CONTROL!$C$42, 695, 695)*CHOOSE(CONTROL!$C$42, 0.5599, 0.5599)*CHOOSE(CONTROL!$C$42, 31, 31))/1000000</f>
        <v>12.063045499999998</v>
      </c>
      <c r="V80" s="57">
        <f>(1000*CHOOSE(CONTROL!$C$42, 500, 500)*CHOOSE(CONTROL!$C$42, 0.275, 0.275)*CHOOSE(CONTROL!$C$42, 31, 31))/1000000</f>
        <v>4.2625000000000002</v>
      </c>
      <c r="W80" s="57">
        <f>(1000*CHOOSE(CONTROL!$C$42, 0.1146, 0.1146)*CHOOSE(CONTROL!$C$42, 121.5, 121.5)*CHOOSE(CONTROL!$C$42, 31, 31))/1000000</f>
        <v>0.43164089999999994</v>
      </c>
      <c r="X80" s="57">
        <f>(31*0.1790888*245000/1000000)+(31*0.2374*100000/1000000)</f>
        <v>2.0961194359999999</v>
      </c>
      <c r="Y80" s="57"/>
      <c r="Z80" s="10"/>
      <c r="AA80" s="56"/>
      <c r="AB80" s="50">
        <f>(B80*194.205+C80*267.466+D80*133.845+E80*53.484+F80*40+G80*185+H80*0+I80*100+J80*300)/(194.205+267.466+133.845+53.484+0+40+185+100+300)</f>
        <v>5.6218141711930931</v>
      </c>
      <c r="AC80" s="45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5.6045194244604319</v>
      </c>
    </row>
    <row r="81" spans="1:29" ht="15.75" x14ac:dyDescent="0.25">
      <c r="A81" s="16">
        <v>43344</v>
      </c>
      <c r="B81" s="10">
        <f>CHOOSE(CONTROL!$C$42, 5.2414, 5.2414) * CHOOSE(CONTROL!$C$21, $C$9, 100%, $E$9)</f>
        <v>5.2413999999999996</v>
      </c>
      <c r="C81" s="10">
        <f>CHOOSE(CONTROL!$C$42, 5.2494, 5.2494) * CHOOSE(CONTROL!$C$21, $C$9, 100%, $E$9)</f>
        <v>5.2493999999999996</v>
      </c>
      <c r="D81" s="10">
        <f>CHOOSE(CONTROL!$C$42, 5.4521, 5.4521) * CHOOSE(CONTROL!$C$21, $C$9, 100%, $E$9)</f>
        <v>5.4520999999999997</v>
      </c>
      <c r="E81" s="10">
        <f>CHOOSE(CONTROL!$C$42, 5.4832, 5.4832) * CHOOSE(CONTROL!$C$21, $C$9, 100%, $E$9)</f>
        <v>5.4832000000000001</v>
      </c>
      <c r="F81" s="10">
        <f>CHOOSE(CONTROL!$C$42, 5.2182, 5.2182)*CHOOSE(CONTROL!$C$21, $C$9, 100%, $E$9)</f>
        <v>5.2182000000000004</v>
      </c>
      <c r="G81" s="10">
        <f>CHOOSE(CONTROL!$C$42, 5.2335, 5.2335)*CHOOSE(CONTROL!$C$21, $C$9, 100%, $E$9)</f>
        <v>5.2335000000000003</v>
      </c>
      <c r="H81" s="10">
        <f>CHOOSE(CONTROL!$C$42, 5.4719, 5.4719) * CHOOSE(CONTROL!$C$21, $C$9, 100%, $E$9)</f>
        <v>5.4718999999999998</v>
      </c>
      <c r="I81" s="10">
        <f>CHOOSE(CONTROL!$C$42, 5.2415, 5.2415)* CHOOSE(CONTROL!$C$21, $C$9, 100%, $E$9)</f>
        <v>5.2415000000000003</v>
      </c>
      <c r="J81" s="10">
        <f>CHOOSE(CONTROL!$C$42, 5.2112, 5.2112)* CHOOSE(CONTROL!$C$21, $C$9, 100%, $E$9)</f>
        <v>5.2111999999999998</v>
      </c>
      <c r="K81" s="53">
        <f>CHOOSE(CONTROL!$C$42, 5.2376, 5.2376) * CHOOSE(CONTROL!$C$21, $C$9, 100%, $E$9)</f>
        <v>5.2375999999999996</v>
      </c>
      <c r="L81" s="10">
        <f>CHOOSE(CONTROL!$C$42, 6.0589, 6.0589) * CHOOSE(CONTROL!$C$21, $C$9, 100%, $E$9)</f>
        <v>6.0589000000000004</v>
      </c>
      <c r="M81" s="10">
        <f>CHOOSE(CONTROL!$C$42, 5.1725, 5.1725) * CHOOSE(CONTROL!$C$21, $C$9, 100%, $E$9)</f>
        <v>5.1725000000000003</v>
      </c>
      <c r="N81" s="10">
        <f>CHOOSE(CONTROL!$C$42, 5.1876, 5.1876) * CHOOSE(CONTROL!$C$21, $C$9, 100%, $E$9)</f>
        <v>5.1875999999999998</v>
      </c>
      <c r="O81" s="10">
        <f>CHOOSE(CONTROL!$C$42, 5.4305, 5.4305) * CHOOSE(CONTROL!$C$21, $C$9, 100%, $E$9)</f>
        <v>5.4305000000000003</v>
      </c>
      <c r="P81" s="10">
        <f>CHOOSE(CONTROL!$C$42, 5.2024, 5.2024) * CHOOSE(CONTROL!$C$21, $C$9, 100%, $E$9)</f>
        <v>5.2023999999999999</v>
      </c>
      <c r="Q81" s="10">
        <f>CHOOSE(CONTROL!$C$42, 6.0258, 6.0258) * CHOOSE(CONTROL!$C$21, $C$9, 100%, $E$9)</f>
        <v>6.0258000000000003</v>
      </c>
      <c r="R81" s="10">
        <f>CHOOSE(CONTROL!$C$42, 6.6278, 6.6278) * CHOOSE(CONTROL!$C$21, $C$9, 100%, $E$9)</f>
        <v>6.6277999999999997</v>
      </c>
      <c r="S81" s="10">
        <f>CHOOSE(CONTROL!$C$42, 5.0857, 5.0857) * CHOOSE(CONTROL!$C$21, $C$9, 100%, $E$9)</f>
        <v>5.0857000000000001</v>
      </c>
      <c r="T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57">
        <f>(1000*CHOOSE(CONTROL!$C$42, 695, 695)*CHOOSE(CONTROL!$C$42, 0.5599, 0.5599)*CHOOSE(CONTROL!$C$42, 30, 30))/1000000</f>
        <v>11.673914999999997</v>
      </c>
      <c r="V81" s="57">
        <f>(1000*CHOOSE(CONTROL!$C$42, 500, 500)*CHOOSE(CONTROL!$C$42, 0.275, 0.275)*CHOOSE(CONTROL!$C$42, 30, 30))/1000000</f>
        <v>4.125</v>
      </c>
      <c r="W81" s="57">
        <f>(1000*CHOOSE(CONTROL!$C$42, 0.1146, 0.1146)*CHOOSE(CONTROL!$C$42, 121.5, 121.5)*CHOOSE(CONTROL!$C$42, 30, 30))/1000000</f>
        <v>0.417717</v>
      </c>
      <c r="X81" s="57">
        <f>(30*0.1790888*245000/1000000)+(30*0.2374*100000/1000000)</f>
        <v>2.0285026799999999</v>
      </c>
      <c r="Y81" s="57"/>
      <c r="Z81" s="10"/>
      <c r="AA81" s="56"/>
      <c r="AB81" s="50">
        <f>(B81*194.205+C81*267.466+D81*133.845+E81*53.484+F81*40+G81*185+H81*0+I81*100+J81*300)/(194.205+267.466+133.845+53.484+0+40+185+100+300)</f>
        <v>5.2663872846938773</v>
      </c>
      <c r="AC81" s="45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5.2526669064748202</v>
      </c>
    </row>
    <row r="82" spans="1:29" ht="15.75" x14ac:dyDescent="0.25">
      <c r="A82" s="16">
        <v>43374</v>
      </c>
      <c r="B82" s="10">
        <f>CHOOSE(CONTROL!$C$42, 5.1334, 5.1334) * CHOOSE(CONTROL!$C$21, $C$9, 100%, $E$9)</f>
        <v>5.1334</v>
      </c>
      <c r="C82" s="10">
        <f>CHOOSE(CONTROL!$C$42, 5.1386, 5.1386) * CHOOSE(CONTROL!$C$21, $C$9, 100%, $E$9)</f>
        <v>5.1386000000000003</v>
      </c>
      <c r="D82" s="10">
        <f>CHOOSE(CONTROL!$C$42, 5.3463, 5.3463) * CHOOSE(CONTROL!$C$21, $C$9, 100%, $E$9)</f>
        <v>5.3463000000000003</v>
      </c>
      <c r="E82" s="10">
        <f>CHOOSE(CONTROL!$C$42, 5.3751, 5.3751) * CHOOSE(CONTROL!$C$21, $C$9, 100%, $E$9)</f>
        <v>5.3750999999999998</v>
      </c>
      <c r="F82" s="10">
        <f>CHOOSE(CONTROL!$C$42, 5.1121, 5.1121)*CHOOSE(CONTROL!$C$21, $C$9, 100%, $E$9)</f>
        <v>5.1120999999999999</v>
      </c>
      <c r="G82" s="10">
        <f>CHOOSE(CONTROL!$C$42, 5.127, 5.127)*CHOOSE(CONTROL!$C$21, $C$9, 100%, $E$9)</f>
        <v>5.1269999999999998</v>
      </c>
      <c r="H82" s="10">
        <f>CHOOSE(CONTROL!$C$42, 5.3655, 5.3655) * CHOOSE(CONTROL!$C$21, $C$9, 100%, $E$9)</f>
        <v>5.3654999999999999</v>
      </c>
      <c r="I82" s="10">
        <f>CHOOSE(CONTROL!$C$42, 5.1352, 5.1352)* CHOOSE(CONTROL!$C$21, $C$9, 100%, $E$9)</f>
        <v>5.1352000000000002</v>
      </c>
      <c r="J82" s="10">
        <f>CHOOSE(CONTROL!$C$42, 5.1051, 5.1051)* CHOOSE(CONTROL!$C$21, $C$9, 100%, $E$9)</f>
        <v>5.1051000000000002</v>
      </c>
      <c r="K82" s="53">
        <f>CHOOSE(CONTROL!$C$42, 5.1313, 5.1313) * CHOOSE(CONTROL!$C$21, $C$9, 100%, $E$9)</f>
        <v>5.1313000000000004</v>
      </c>
      <c r="L82" s="10">
        <f>CHOOSE(CONTROL!$C$42, 5.9525, 5.9525) * CHOOSE(CONTROL!$C$21, $C$9, 100%, $E$9)</f>
        <v>5.9524999999999997</v>
      </c>
      <c r="M82" s="10">
        <f>CHOOSE(CONTROL!$C$42, 5.0674, 5.0674) * CHOOSE(CONTROL!$C$21, $C$9, 100%, $E$9)</f>
        <v>5.0674000000000001</v>
      </c>
      <c r="N82" s="10">
        <f>CHOOSE(CONTROL!$C$42, 5.0822, 5.0822) * CHOOSE(CONTROL!$C$21, $C$9, 100%, $E$9)</f>
        <v>5.0822000000000003</v>
      </c>
      <c r="O82" s="10">
        <f>CHOOSE(CONTROL!$C$42, 5.3252, 5.3252) * CHOOSE(CONTROL!$C$21, $C$9, 100%, $E$9)</f>
        <v>5.3251999999999997</v>
      </c>
      <c r="P82" s="10">
        <f>CHOOSE(CONTROL!$C$42, 5.0972, 5.0972) * CHOOSE(CONTROL!$C$21, $C$9, 100%, $E$9)</f>
        <v>5.0972</v>
      </c>
      <c r="Q82" s="10">
        <f>CHOOSE(CONTROL!$C$42, 5.9205, 5.9205) * CHOOSE(CONTROL!$C$21, $C$9, 100%, $E$9)</f>
        <v>5.9204999999999997</v>
      </c>
      <c r="R82" s="10">
        <f>CHOOSE(CONTROL!$C$42, 6.5223, 6.5223) * CHOOSE(CONTROL!$C$21, $C$9, 100%, $E$9)</f>
        <v>6.5223000000000004</v>
      </c>
      <c r="S82" s="10">
        <f>CHOOSE(CONTROL!$C$42, 4.9825, 4.9825) * CHOOSE(CONTROL!$C$21, $C$9, 100%, $E$9)</f>
        <v>4.9824999999999999</v>
      </c>
      <c r="T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57">
        <f>(1000*CHOOSE(CONTROL!$C$42, 695, 695)*CHOOSE(CONTROL!$C$42, 0.5599, 0.5599)*CHOOSE(CONTROL!$C$42, 31, 31))/1000000</f>
        <v>12.063045499999998</v>
      </c>
      <c r="V82" s="57">
        <f>(1000*CHOOSE(CONTROL!$C$42, 500, 500)*CHOOSE(CONTROL!$C$42, 0.275, 0.275)*CHOOSE(CONTROL!$C$42, 31, 31))/1000000</f>
        <v>4.2625000000000002</v>
      </c>
      <c r="W82" s="57">
        <f>(1000*CHOOSE(CONTROL!$C$42, 0.1146, 0.1146)*CHOOSE(CONTROL!$C$42, 121.5, 121.5)*CHOOSE(CONTROL!$C$42, 31, 31))/1000000</f>
        <v>0.43164089999999994</v>
      </c>
      <c r="X82" s="57">
        <f>(31*0.1790888*245000/1000000)+(31*0.2374*100000/1000000)</f>
        <v>2.0961194359999999</v>
      </c>
      <c r="Y82" s="57"/>
      <c r="Z82" s="10"/>
      <c r="AA82" s="56"/>
      <c r="AB82" s="50">
        <f>(B82*131.881+C82*277.167+D82*79.08+E82*125.872+F82*40+G82*185+H82*0+I82*100+J82*300)/(131.881+277.167+79.08+125.872+0+40+185+100+300)</f>
        <v>5.1643561443099273</v>
      </c>
      <c r="AC82" s="45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5.1474273381294964</v>
      </c>
    </row>
    <row r="83" spans="1:29" ht="15.75" x14ac:dyDescent="0.25">
      <c r="A83" s="16">
        <v>43405</v>
      </c>
      <c r="B83" s="10">
        <f>CHOOSE(CONTROL!$C$42, 5.2681, 5.2681) * CHOOSE(CONTROL!$C$21, $C$9, 100%, $E$9)</f>
        <v>5.2680999999999996</v>
      </c>
      <c r="C83" s="10">
        <f>CHOOSE(CONTROL!$C$42, 5.273, 5.273) * CHOOSE(CONTROL!$C$21, $C$9, 100%, $E$9)</f>
        <v>5.2729999999999997</v>
      </c>
      <c r="D83" s="10">
        <f>CHOOSE(CONTROL!$C$42, 5.3335, 5.3335) * CHOOSE(CONTROL!$C$21, $C$9, 100%, $E$9)</f>
        <v>5.3334999999999999</v>
      </c>
      <c r="E83" s="10">
        <f>CHOOSE(CONTROL!$C$42, 5.3673, 5.3673) * CHOOSE(CONTROL!$C$21, $C$9, 100%, $E$9)</f>
        <v>5.3673000000000002</v>
      </c>
      <c r="F83" s="10">
        <f>CHOOSE(CONTROL!$C$42, 5.2637, 5.2637)*CHOOSE(CONTROL!$C$21, $C$9, 100%, $E$9)</f>
        <v>5.2637</v>
      </c>
      <c r="G83" s="10">
        <f>CHOOSE(CONTROL!$C$42, 5.2789, 5.2789)*CHOOSE(CONTROL!$C$21, $C$9, 100%, $E$9)</f>
        <v>5.2789000000000001</v>
      </c>
      <c r="H83" s="10">
        <f>CHOOSE(CONTROL!$C$42, 5.3565, 5.3565) * CHOOSE(CONTROL!$C$21, $C$9, 100%, $E$9)</f>
        <v>5.3564999999999996</v>
      </c>
      <c r="I83" s="10">
        <f>CHOOSE(CONTROL!$C$42, 5.2806, 5.2806)* CHOOSE(CONTROL!$C$21, $C$9, 100%, $E$9)</f>
        <v>5.2805999999999997</v>
      </c>
      <c r="J83" s="10">
        <f>CHOOSE(CONTROL!$C$42, 5.2567, 5.2567)* CHOOSE(CONTROL!$C$21, $C$9, 100%, $E$9)</f>
        <v>5.2567000000000004</v>
      </c>
      <c r="K83" s="53">
        <f>CHOOSE(CONTROL!$C$42, 5.2767, 5.2767) * CHOOSE(CONTROL!$C$21, $C$9, 100%, $E$9)</f>
        <v>5.2766999999999999</v>
      </c>
      <c r="L83" s="10">
        <f>CHOOSE(CONTROL!$C$42, 5.9435, 5.9435) * CHOOSE(CONTROL!$C$21, $C$9, 100%, $E$9)</f>
        <v>5.9435000000000002</v>
      </c>
      <c r="M83" s="10">
        <f>CHOOSE(CONTROL!$C$42, 5.2175, 5.2175) * CHOOSE(CONTROL!$C$21, $C$9, 100%, $E$9)</f>
        <v>5.2175000000000002</v>
      </c>
      <c r="N83" s="10">
        <f>CHOOSE(CONTROL!$C$42, 5.2326, 5.2326) * CHOOSE(CONTROL!$C$21, $C$9, 100%, $E$9)</f>
        <v>5.2325999999999997</v>
      </c>
      <c r="O83" s="10">
        <f>CHOOSE(CONTROL!$C$42, 5.3163, 5.3163) * CHOOSE(CONTROL!$C$21, $C$9, 100%, $E$9)</f>
        <v>5.3163</v>
      </c>
      <c r="P83" s="10">
        <f>CHOOSE(CONTROL!$C$42, 5.2412, 5.2412) * CHOOSE(CONTROL!$C$21, $C$9, 100%, $E$9)</f>
        <v>5.2412000000000001</v>
      </c>
      <c r="Q83" s="10">
        <f>CHOOSE(CONTROL!$C$42, 5.9116, 5.9116) * CHOOSE(CONTROL!$C$21, $C$9, 100%, $E$9)</f>
        <v>5.9116</v>
      </c>
      <c r="R83" s="10">
        <f>CHOOSE(CONTROL!$C$42, 6.5134, 6.5134) * CHOOSE(CONTROL!$C$21, $C$9, 100%, $E$9)</f>
        <v>6.5133999999999999</v>
      </c>
      <c r="S83" s="10">
        <f>CHOOSE(CONTROL!$C$42, 5.1137, 5.1137) * CHOOSE(CONTROL!$C$21, $C$9, 100%, $E$9)</f>
        <v>5.1136999999999997</v>
      </c>
      <c r="T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57">
        <f>(1000*CHOOSE(CONTROL!$C$42, 695, 695)*CHOOSE(CONTROL!$C$42, 0.5599, 0.5599)*CHOOSE(CONTROL!$C$42, 30, 30))/1000000</f>
        <v>11.673914999999997</v>
      </c>
      <c r="V83" s="57">
        <f>(1000*CHOOSE(CONTROL!$C$42, 500, 500)*CHOOSE(CONTROL!$C$42, 0.275, 0.275)*CHOOSE(CONTROL!$C$42, 30, 30))/1000000</f>
        <v>4.125</v>
      </c>
      <c r="W83" s="57">
        <f>(1000*CHOOSE(CONTROL!$C$42, 0.1146, 0.1146)*CHOOSE(CONTROL!$C$42, 121.5, 121.5)*CHOOSE(CONTROL!$C$42, 30, 30))/1000000</f>
        <v>0.417717</v>
      </c>
      <c r="X83" s="57">
        <f>(30*0.1790888*100000/1000000)+(30*0.2374*100000/1000000)</f>
        <v>1.2494664</v>
      </c>
      <c r="Y83" s="57"/>
      <c r="Z83" s="10"/>
      <c r="AA83" s="56"/>
      <c r="AB83" s="50">
        <f>(B83*122.58+C83*297.941+D83*89.177+E83*40.302+F83*40+G83*160+H83*0+I83*100+J83*300)/(122.58+297.941+89.177+40.302+0+40+160+100+300)</f>
        <v>5.2773800392173902</v>
      </c>
      <c r="AC83" s="45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5.2665589928057557</v>
      </c>
    </row>
    <row r="84" spans="1:29" ht="15.75" x14ac:dyDescent="0.25">
      <c r="A84" s="16">
        <v>43435</v>
      </c>
      <c r="B84" s="10">
        <f>CHOOSE(CONTROL!$C$42, 5.6271, 5.6271) * CHOOSE(CONTROL!$C$21, $C$9, 100%, $E$9)</f>
        <v>5.6271000000000004</v>
      </c>
      <c r="C84" s="10">
        <f>CHOOSE(CONTROL!$C$42, 5.632, 5.632) * CHOOSE(CONTROL!$C$21, $C$9, 100%, $E$9)</f>
        <v>5.6319999999999997</v>
      </c>
      <c r="D84" s="10">
        <f>CHOOSE(CONTROL!$C$42, 5.6925, 5.6925) * CHOOSE(CONTROL!$C$21, $C$9, 100%, $E$9)</f>
        <v>5.6924999999999999</v>
      </c>
      <c r="E84" s="10">
        <f>CHOOSE(CONTROL!$C$42, 5.7263, 5.7263) * CHOOSE(CONTROL!$C$21, $C$9, 100%, $E$9)</f>
        <v>5.7263000000000002</v>
      </c>
      <c r="F84" s="10">
        <f>CHOOSE(CONTROL!$C$42, 5.6245, 5.6245)*CHOOSE(CONTROL!$C$21, $C$9, 100%, $E$9)</f>
        <v>5.6245000000000003</v>
      </c>
      <c r="G84" s="10">
        <f>CHOOSE(CONTROL!$C$42, 5.6402, 5.6402)*CHOOSE(CONTROL!$C$21, $C$9, 100%, $E$9)</f>
        <v>5.6402000000000001</v>
      </c>
      <c r="H84" s="10">
        <f>CHOOSE(CONTROL!$C$42, 5.7155, 5.7155) * CHOOSE(CONTROL!$C$21, $C$9, 100%, $E$9)</f>
        <v>5.7154999999999996</v>
      </c>
      <c r="I84" s="10">
        <f>CHOOSE(CONTROL!$C$42, 5.6396, 5.6396)* CHOOSE(CONTROL!$C$21, $C$9, 100%, $E$9)</f>
        <v>5.6395999999999997</v>
      </c>
      <c r="J84" s="10">
        <f>CHOOSE(CONTROL!$C$42, 5.6175, 5.6175)* CHOOSE(CONTROL!$C$21, $C$9, 100%, $E$9)</f>
        <v>5.6174999999999997</v>
      </c>
      <c r="K84" s="53">
        <f>CHOOSE(CONTROL!$C$42, 5.6357, 5.6357) * CHOOSE(CONTROL!$C$21, $C$9, 100%, $E$9)</f>
        <v>5.6356999999999999</v>
      </c>
      <c r="L84" s="10">
        <f>CHOOSE(CONTROL!$C$42, 6.3025, 6.3025) * CHOOSE(CONTROL!$C$21, $C$9, 100%, $E$9)</f>
        <v>6.3025000000000002</v>
      </c>
      <c r="M84" s="10">
        <f>CHOOSE(CONTROL!$C$42, 5.5747, 5.5747) * CHOOSE(CONTROL!$C$21, $C$9, 100%, $E$9)</f>
        <v>5.5747</v>
      </c>
      <c r="N84" s="10">
        <f>CHOOSE(CONTROL!$C$42, 5.5902, 5.5902) * CHOOSE(CONTROL!$C$21, $C$9, 100%, $E$9)</f>
        <v>5.5902000000000003</v>
      </c>
      <c r="O84" s="10">
        <f>CHOOSE(CONTROL!$C$42, 5.6716, 5.6716) * CHOOSE(CONTROL!$C$21, $C$9, 100%, $E$9)</f>
        <v>5.6715999999999998</v>
      </c>
      <c r="P84" s="10">
        <f>CHOOSE(CONTROL!$C$42, 5.5965, 5.5965) * CHOOSE(CONTROL!$C$21, $C$9, 100%, $E$9)</f>
        <v>5.5964999999999998</v>
      </c>
      <c r="Q84" s="10">
        <f>CHOOSE(CONTROL!$C$42, 6.2669, 6.2669) * CHOOSE(CONTROL!$C$21, $C$9, 100%, $E$9)</f>
        <v>6.2668999999999997</v>
      </c>
      <c r="R84" s="10">
        <f>CHOOSE(CONTROL!$C$42, 6.8696, 6.8696) * CHOOSE(CONTROL!$C$21, $C$9, 100%, $E$9)</f>
        <v>6.8696000000000002</v>
      </c>
      <c r="S84" s="10">
        <f>CHOOSE(CONTROL!$C$42, 5.4623, 5.4623) * CHOOSE(CONTROL!$C$21, $C$9, 100%, $E$9)</f>
        <v>5.4622999999999999</v>
      </c>
      <c r="T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57">
        <f>(1000*CHOOSE(CONTROL!$C$42, 695, 695)*CHOOSE(CONTROL!$C$42, 0.5599, 0.5599)*CHOOSE(CONTROL!$C$42, 31, 31))/1000000</f>
        <v>12.063045499999998</v>
      </c>
      <c r="V84" s="57">
        <f>(1000*CHOOSE(CONTROL!$C$42, 500, 500)*CHOOSE(CONTROL!$C$42, 0.275, 0.275)*CHOOSE(CONTROL!$C$42, 31, 31))/1000000</f>
        <v>4.2625000000000002</v>
      </c>
      <c r="W84" s="57">
        <f>(1000*CHOOSE(CONTROL!$C$42, 0.1146, 0.1146)*CHOOSE(CONTROL!$C$42, 121.5, 121.5)*CHOOSE(CONTROL!$C$42, 31, 31))/1000000</f>
        <v>0.43164089999999994</v>
      </c>
      <c r="X84" s="57">
        <f>(31*0.1790888*100000/1000000)+(31*0.2374*100000/1000000)</f>
        <v>1.2911152800000001</v>
      </c>
      <c r="Y84" s="57"/>
      <c r="Z84" s="10"/>
      <c r="AA84" s="56"/>
      <c r="AB84" s="50">
        <f>(B84*122.58+C84*297.941+D84*89.177+E84*40.302+F84*40+G84*160+H84*0+I84*100+J84*300)/(122.58+297.941+89.177+40.302+0+40+160+100+300)</f>
        <v>5.6372322131304342</v>
      </c>
      <c r="AC84" s="45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5.6226474820143881</v>
      </c>
    </row>
    <row r="85" spans="1:29" ht="15.75" x14ac:dyDescent="0.25">
      <c r="A85" s="16">
        <v>43466</v>
      </c>
      <c r="B85" s="10">
        <f>CHOOSE(CONTROL!$C$42, 6.3455, 6.3455) * CHOOSE(CONTROL!$C$21, $C$9, 100%, $E$9)</f>
        <v>6.3455000000000004</v>
      </c>
      <c r="C85" s="10">
        <f>CHOOSE(CONTROL!$C$42, 6.3504, 6.3504) * CHOOSE(CONTROL!$C$21, $C$9, 100%, $E$9)</f>
        <v>6.3503999999999996</v>
      </c>
      <c r="D85" s="10">
        <f>CHOOSE(CONTROL!$C$42, 6.4075, 6.4075) * CHOOSE(CONTROL!$C$21, $C$9, 100%, $E$9)</f>
        <v>6.4074999999999998</v>
      </c>
      <c r="E85" s="10">
        <f>CHOOSE(CONTROL!$C$42, 6.4413, 6.4413) * CHOOSE(CONTROL!$C$21, $C$9, 100%, $E$9)</f>
        <v>6.4413</v>
      </c>
      <c r="F85" s="10">
        <f>CHOOSE(CONTROL!$C$42, 6.3433, 6.3433)*CHOOSE(CONTROL!$C$21, $C$9, 100%, $E$9)</f>
        <v>6.3433000000000002</v>
      </c>
      <c r="G85" s="10">
        <f>CHOOSE(CONTROL!$C$42, 6.3579, 6.3579)*CHOOSE(CONTROL!$C$21, $C$9, 100%, $E$9)</f>
        <v>6.3578999999999999</v>
      </c>
      <c r="H85" s="10">
        <f>CHOOSE(CONTROL!$C$42, 6.4305, 6.4305) * CHOOSE(CONTROL!$C$21, $C$9, 100%, $E$9)</f>
        <v>6.4305000000000003</v>
      </c>
      <c r="I85" s="10">
        <f>CHOOSE(CONTROL!$C$42, 6.3563, 6.3563)* CHOOSE(CONTROL!$C$21, $C$9, 100%, $E$9)</f>
        <v>6.3563000000000001</v>
      </c>
      <c r="J85" s="10">
        <f>CHOOSE(CONTROL!$C$42, 6.3363, 6.3363)* CHOOSE(CONTROL!$C$21, $C$9, 100%, $E$9)</f>
        <v>6.3362999999999996</v>
      </c>
      <c r="K85" s="53">
        <f>CHOOSE(CONTROL!$C$42, 6.3524, 6.3524) * CHOOSE(CONTROL!$C$21, $C$9, 100%, $E$9)</f>
        <v>6.3524000000000003</v>
      </c>
      <c r="L85" s="10">
        <f>CHOOSE(CONTROL!$C$42, 7.0175, 7.0175) * CHOOSE(CONTROL!$C$21, $C$9, 100%, $E$9)</f>
        <v>7.0175000000000001</v>
      </c>
      <c r="M85" s="10">
        <f>CHOOSE(CONTROL!$C$42, 6.2862, 6.2862) * CHOOSE(CONTROL!$C$21, $C$9, 100%, $E$9)</f>
        <v>6.2862</v>
      </c>
      <c r="N85" s="10">
        <f>CHOOSE(CONTROL!$C$42, 6.3006, 6.3006) * CHOOSE(CONTROL!$C$21, $C$9, 100%, $E$9)</f>
        <v>6.3006000000000002</v>
      </c>
      <c r="O85" s="10">
        <f>CHOOSE(CONTROL!$C$42, 6.3794, 6.3794) * CHOOSE(CONTROL!$C$21, $C$9, 100%, $E$9)</f>
        <v>6.3794000000000004</v>
      </c>
      <c r="P85" s="10">
        <f>CHOOSE(CONTROL!$C$42, 6.306, 6.306) * CHOOSE(CONTROL!$C$21, $C$9, 100%, $E$9)</f>
        <v>6.306</v>
      </c>
      <c r="Q85" s="10">
        <f>CHOOSE(CONTROL!$C$42, 6.9747, 6.9747) * CHOOSE(CONTROL!$C$21, $C$9, 100%, $E$9)</f>
        <v>6.9747000000000003</v>
      </c>
      <c r="R85" s="10">
        <f>CHOOSE(CONTROL!$C$42, 7.5791, 7.5791) * CHOOSE(CONTROL!$C$21, $C$9, 100%, $E$9)</f>
        <v>7.5791000000000004</v>
      </c>
      <c r="S85" s="10">
        <f>CHOOSE(CONTROL!$C$42, 6.1599, 6.1599) * CHOOSE(CONTROL!$C$21, $C$9, 100%, $E$9)</f>
        <v>6.1599000000000004</v>
      </c>
      <c r="T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57">
        <f>(1000*CHOOSE(CONTROL!$C$42, 695, 695)*CHOOSE(CONTROL!$C$42, 0.5599, 0.5599)*CHOOSE(CONTROL!$C$42, 31, 31))/1000000</f>
        <v>12.063045499999998</v>
      </c>
      <c r="V85" s="57">
        <f>(1000*CHOOSE(CONTROL!$C$42, 500, 500)*CHOOSE(CONTROL!$C$42, 0.275, 0.275)*CHOOSE(CONTROL!$C$42, 31, 31))/1000000</f>
        <v>4.2625000000000002</v>
      </c>
      <c r="W85" s="57">
        <f>(1000*CHOOSE(CONTROL!$C$42, 0.1146, 0.1146)*CHOOSE(CONTROL!$C$42, 121.5, 121.5)*CHOOSE(CONTROL!$C$42, 31, 31))/1000000</f>
        <v>0.43164089999999994</v>
      </c>
      <c r="X85" s="57">
        <f>(31*0.1790888*100000/1000000)+(31*0.2374*100000/1000000)</f>
        <v>1.2911152800000001</v>
      </c>
      <c r="Y85" s="57"/>
      <c r="Z85" s="10"/>
      <c r="AA85" s="56"/>
      <c r="AB85" s="50">
        <f>(B85*122.58+C85*297.941+D85*89.177+E85*40.302+F85*40+G85*160+H85*0+I85*100+J85*300)/(122.58+297.941+89.177+40.302+0+40+160+100+300)</f>
        <v>6.3551224491304339</v>
      </c>
      <c r="AC85" s="45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6.3321194244604317</v>
      </c>
    </row>
    <row r="86" spans="1:29" ht="15.75" x14ac:dyDescent="0.25">
      <c r="A86" s="16">
        <v>43497</v>
      </c>
      <c r="B86" s="10">
        <f>CHOOSE(CONTROL!$C$42, 6.4584, 6.4584) * CHOOSE(CONTROL!$C$21, $C$9, 100%, $E$9)</f>
        <v>6.4584000000000001</v>
      </c>
      <c r="C86" s="10">
        <f>CHOOSE(CONTROL!$C$42, 6.4633, 6.4633) * CHOOSE(CONTROL!$C$21, $C$9, 100%, $E$9)</f>
        <v>6.4633000000000003</v>
      </c>
      <c r="D86" s="10">
        <f>CHOOSE(CONTROL!$C$42, 6.5204, 6.5204) * CHOOSE(CONTROL!$C$21, $C$9, 100%, $E$9)</f>
        <v>6.5204000000000004</v>
      </c>
      <c r="E86" s="10">
        <f>CHOOSE(CONTROL!$C$42, 6.5542, 6.5542) * CHOOSE(CONTROL!$C$21, $C$9, 100%, $E$9)</f>
        <v>6.5541999999999998</v>
      </c>
      <c r="F86" s="10">
        <f>CHOOSE(CONTROL!$C$42, 6.4563, 6.4563)*CHOOSE(CONTROL!$C$21, $C$9, 100%, $E$9)</f>
        <v>6.4562999999999997</v>
      </c>
      <c r="G86" s="10">
        <f>CHOOSE(CONTROL!$C$42, 6.471, 6.471)*CHOOSE(CONTROL!$C$21, $C$9, 100%, $E$9)</f>
        <v>6.4710000000000001</v>
      </c>
      <c r="H86" s="10">
        <f>CHOOSE(CONTROL!$C$42, 6.5434, 6.5434) * CHOOSE(CONTROL!$C$21, $C$9, 100%, $E$9)</f>
        <v>6.5434000000000001</v>
      </c>
      <c r="I86" s="10">
        <f>CHOOSE(CONTROL!$C$42, 6.4692, 6.4692)* CHOOSE(CONTROL!$C$21, $C$9, 100%, $E$9)</f>
        <v>6.4691999999999998</v>
      </c>
      <c r="J86" s="10">
        <f>CHOOSE(CONTROL!$C$42, 6.4493, 6.4493)* CHOOSE(CONTROL!$C$21, $C$9, 100%, $E$9)</f>
        <v>6.4493</v>
      </c>
      <c r="K86" s="53">
        <f>CHOOSE(CONTROL!$C$42, 6.4653, 6.4653) * CHOOSE(CONTROL!$C$21, $C$9, 100%, $E$9)</f>
        <v>6.4653</v>
      </c>
      <c r="L86" s="10">
        <f>CHOOSE(CONTROL!$C$42, 7.1304, 7.1304) * CHOOSE(CONTROL!$C$21, $C$9, 100%, $E$9)</f>
        <v>7.1303999999999998</v>
      </c>
      <c r="M86" s="10">
        <f>CHOOSE(CONTROL!$C$42, 6.3981, 6.3981) * CHOOSE(CONTROL!$C$21, $C$9, 100%, $E$9)</f>
        <v>6.3981000000000003</v>
      </c>
      <c r="N86" s="10">
        <f>CHOOSE(CONTROL!$C$42, 6.4126, 6.4126) * CHOOSE(CONTROL!$C$21, $C$9, 100%, $E$9)</f>
        <v>6.4126000000000003</v>
      </c>
      <c r="O86" s="10">
        <f>CHOOSE(CONTROL!$C$42, 6.4912, 6.4912) * CHOOSE(CONTROL!$C$21, $C$9, 100%, $E$9)</f>
        <v>6.4912000000000001</v>
      </c>
      <c r="P86" s="10">
        <f>CHOOSE(CONTROL!$C$42, 6.4177, 6.4177) * CHOOSE(CONTROL!$C$21, $C$9, 100%, $E$9)</f>
        <v>6.4177</v>
      </c>
      <c r="Q86" s="10">
        <f>CHOOSE(CONTROL!$C$42, 7.0865, 7.0865) * CHOOSE(CONTROL!$C$21, $C$9, 100%, $E$9)</f>
        <v>7.0865</v>
      </c>
      <c r="R86" s="10">
        <f>CHOOSE(CONTROL!$C$42, 7.6912, 7.6912) * CHOOSE(CONTROL!$C$21, $C$9, 100%, $E$9)</f>
        <v>7.6912000000000003</v>
      </c>
      <c r="S86" s="10">
        <f>CHOOSE(CONTROL!$C$42, 6.2696, 6.2696) * CHOOSE(CONTROL!$C$21, $C$9, 100%, $E$9)</f>
        <v>6.2695999999999996</v>
      </c>
      <c r="T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" s="57">
        <f>(1000*CHOOSE(CONTROL!$C$42, 695, 695)*CHOOSE(CONTROL!$C$42, 0.5599, 0.5599)*CHOOSE(CONTROL!$C$42, 28, 28))/1000000</f>
        <v>10.895653999999999</v>
      </c>
      <c r="V86" s="57">
        <f>(1000*CHOOSE(CONTROL!$C$42, 500, 500)*CHOOSE(CONTROL!$C$42, 0.275, 0.275)*CHOOSE(CONTROL!$C$42, 28, 28))/1000000</f>
        <v>3.85</v>
      </c>
      <c r="W86" s="57">
        <f>(1000*CHOOSE(CONTROL!$C$42, 0.1146, 0.1146)*CHOOSE(CONTROL!$C$42, 121.5, 121.5)*CHOOSE(CONTROL!$C$42, 28, 28))/1000000</f>
        <v>0.38986920000000003</v>
      </c>
      <c r="X86" s="57">
        <f>(28*0.1790888*100000/1000000)+(28*0.2374*100000/1000000)</f>
        <v>1.16616864</v>
      </c>
      <c r="Y86" s="57"/>
      <c r="Z86" s="10"/>
      <c r="AA86" s="56"/>
      <c r="AB86" s="50">
        <f>(B86*122.58+C86*297.941+D86*89.177+E86*40.302+F86*40+G86*160+H86*0+I86*100+J86*300)/(122.58+297.941+89.177+40.302+0+40+160+100+300)</f>
        <v>6.4680798404347826</v>
      </c>
      <c r="AC86" s="45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6.4439510791366912</v>
      </c>
    </row>
    <row r="87" spans="1:29" ht="15.75" x14ac:dyDescent="0.25">
      <c r="A87" s="16">
        <v>43525</v>
      </c>
      <c r="B87" s="10">
        <f>CHOOSE(CONTROL!$C$42, 6.2751, 6.2751) * CHOOSE(CONTROL!$C$21, $C$9, 100%, $E$9)</f>
        <v>6.2751000000000001</v>
      </c>
      <c r="C87" s="10">
        <f>CHOOSE(CONTROL!$C$42, 6.2801, 6.2801) * CHOOSE(CONTROL!$C$21, $C$9, 100%, $E$9)</f>
        <v>6.2801</v>
      </c>
      <c r="D87" s="10">
        <f>CHOOSE(CONTROL!$C$42, 6.3371, 6.3371) * CHOOSE(CONTROL!$C$21, $C$9, 100%, $E$9)</f>
        <v>6.3371000000000004</v>
      </c>
      <c r="E87" s="10">
        <f>CHOOSE(CONTROL!$C$42, 6.3709, 6.3709) * CHOOSE(CONTROL!$C$21, $C$9, 100%, $E$9)</f>
        <v>6.3708999999999998</v>
      </c>
      <c r="F87" s="10">
        <f>CHOOSE(CONTROL!$C$42, 6.2729, 6.2729)*CHOOSE(CONTROL!$C$21, $C$9, 100%, $E$9)</f>
        <v>6.2728999999999999</v>
      </c>
      <c r="G87" s="10">
        <f>CHOOSE(CONTROL!$C$42, 6.2875, 6.2875)*CHOOSE(CONTROL!$C$21, $C$9, 100%, $E$9)</f>
        <v>6.2874999999999996</v>
      </c>
      <c r="H87" s="10">
        <f>CHOOSE(CONTROL!$C$42, 6.3601, 6.3601) * CHOOSE(CONTROL!$C$21, $C$9, 100%, $E$9)</f>
        <v>6.3601000000000001</v>
      </c>
      <c r="I87" s="10">
        <f>CHOOSE(CONTROL!$C$42, 6.2859, 6.2859)* CHOOSE(CONTROL!$C$21, $C$9, 100%, $E$9)</f>
        <v>6.2858999999999998</v>
      </c>
      <c r="J87" s="10">
        <f>CHOOSE(CONTROL!$C$42, 6.2659, 6.2659)* CHOOSE(CONTROL!$C$21, $C$9, 100%, $E$9)</f>
        <v>6.2659000000000002</v>
      </c>
      <c r="K87" s="53">
        <f>CHOOSE(CONTROL!$C$42, 6.282, 6.282) * CHOOSE(CONTROL!$C$21, $C$9, 100%, $E$9)</f>
        <v>6.282</v>
      </c>
      <c r="L87" s="10">
        <f>CHOOSE(CONTROL!$C$42, 6.9471, 6.9471) * CHOOSE(CONTROL!$C$21, $C$9, 100%, $E$9)</f>
        <v>6.9470999999999998</v>
      </c>
      <c r="M87" s="10">
        <f>CHOOSE(CONTROL!$C$42, 6.2165, 6.2165) * CHOOSE(CONTROL!$C$21, $C$9, 100%, $E$9)</f>
        <v>6.2164999999999999</v>
      </c>
      <c r="N87" s="10">
        <f>CHOOSE(CONTROL!$C$42, 6.231, 6.231) * CHOOSE(CONTROL!$C$21, $C$9, 100%, $E$9)</f>
        <v>6.2309999999999999</v>
      </c>
      <c r="O87" s="10">
        <f>CHOOSE(CONTROL!$C$42, 6.3097, 6.3097) * CHOOSE(CONTROL!$C$21, $C$9, 100%, $E$9)</f>
        <v>6.3097000000000003</v>
      </c>
      <c r="P87" s="10">
        <f>CHOOSE(CONTROL!$C$42, 6.2363, 6.2363) * CHOOSE(CONTROL!$C$21, $C$9, 100%, $E$9)</f>
        <v>6.2363</v>
      </c>
      <c r="Q87" s="10">
        <f>CHOOSE(CONTROL!$C$42, 6.905, 6.905) * CHOOSE(CONTROL!$C$21, $C$9, 100%, $E$9)</f>
        <v>6.9050000000000002</v>
      </c>
      <c r="R87" s="10">
        <f>CHOOSE(CONTROL!$C$42, 7.5093, 7.5093) * CHOOSE(CONTROL!$C$21, $C$9, 100%, $E$9)</f>
        <v>7.5092999999999996</v>
      </c>
      <c r="S87" s="10">
        <f>CHOOSE(CONTROL!$C$42, 6.0916, 6.0916) * CHOOSE(CONTROL!$C$21, $C$9, 100%, $E$9)</f>
        <v>6.0915999999999997</v>
      </c>
      <c r="T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57">
        <f>(1000*CHOOSE(CONTROL!$C$42, 695, 695)*CHOOSE(CONTROL!$C$42, 0.5599, 0.5599)*CHOOSE(CONTROL!$C$42, 31, 31))/1000000</f>
        <v>12.063045499999998</v>
      </c>
      <c r="V87" s="57">
        <f>(1000*CHOOSE(CONTROL!$C$42, 500, 500)*CHOOSE(CONTROL!$C$42, 0.275, 0.275)*CHOOSE(CONTROL!$C$42, 31, 31))/1000000</f>
        <v>4.2625000000000002</v>
      </c>
      <c r="W87" s="57">
        <f>(1000*CHOOSE(CONTROL!$C$42, 0.1146, 0.1146)*CHOOSE(CONTROL!$C$42, 121.5, 121.5)*CHOOSE(CONTROL!$C$42, 31, 31))/1000000</f>
        <v>0.43164089999999994</v>
      </c>
      <c r="X87" s="57">
        <f>(31*0.1790888*100000/1000000)+(31*0.2374*100000/1000000)</f>
        <v>1.2911152800000001</v>
      </c>
      <c r="Y87" s="57"/>
      <c r="Z87" s="10"/>
      <c r="AA87" s="56"/>
      <c r="AB87" s="50">
        <f>(B87*122.58+C87*297.941+D87*89.177+E87*40.302+F87*40+G87*160+H87*0+I87*100+J87*300)/(122.58+297.941+89.177+40.302+0+40+160+100+300)</f>
        <v>6.2847483570434788</v>
      </c>
      <c r="AC87" s="45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6.2624251798561152</v>
      </c>
    </row>
    <row r="88" spans="1:29" ht="15.75" x14ac:dyDescent="0.25">
      <c r="A88" s="16">
        <v>43556</v>
      </c>
      <c r="B88" s="10">
        <f>CHOOSE(CONTROL!$C$42, 6.2575, 6.2575) * CHOOSE(CONTROL!$C$21, $C$9, 100%, $E$9)</f>
        <v>6.2575000000000003</v>
      </c>
      <c r="C88" s="10">
        <f>CHOOSE(CONTROL!$C$42, 6.2619, 6.2619) * CHOOSE(CONTROL!$C$21, $C$9, 100%, $E$9)</f>
        <v>6.2618999999999998</v>
      </c>
      <c r="D88" s="10">
        <f>CHOOSE(CONTROL!$C$42, 6.4677, 6.4677) * CHOOSE(CONTROL!$C$21, $C$9, 100%, $E$9)</f>
        <v>6.4676999999999998</v>
      </c>
      <c r="E88" s="10">
        <f>CHOOSE(CONTROL!$C$42, 6.4995, 6.4995) * CHOOSE(CONTROL!$C$21, $C$9, 100%, $E$9)</f>
        <v>6.4995000000000003</v>
      </c>
      <c r="F88" s="10">
        <f>CHOOSE(CONTROL!$C$42, 6.2343, 6.2343)*CHOOSE(CONTROL!$C$21, $C$9, 100%, $E$9)</f>
        <v>6.2343000000000002</v>
      </c>
      <c r="G88" s="10">
        <f>CHOOSE(CONTROL!$C$42, 6.2488, 6.2488)*CHOOSE(CONTROL!$C$21, $C$9, 100%, $E$9)</f>
        <v>6.2488000000000001</v>
      </c>
      <c r="H88" s="10">
        <f>CHOOSE(CONTROL!$C$42, 6.4893, 6.4893) * CHOOSE(CONTROL!$C$21, $C$9, 100%, $E$9)</f>
        <v>6.4893000000000001</v>
      </c>
      <c r="I88" s="10">
        <f>CHOOSE(CONTROL!$C$42, 6.2589, 6.2589)* CHOOSE(CONTROL!$C$21, $C$9, 100%, $E$9)</f>
        <v>6.2588999999999997</v>
      </c>
      <c r="J88" s="10">
        <f>CHOOSE(CONTROL!$C$42, 6.2273, 6.2273)* CHOOSE(CONTROL!$C$21, $C$9, 100%, $E$9)</f>
        <v>6.2272999999999996</v>
      </c>
      <c r="K88" s="53">
        <f>CHOOSE(CONTROL!$C$42, 6.255, 6.255) * CHOOSE(CONTROL!$C$21, $C$9, 100%, $E$9)</f>
        <v>6.2549999999999999</v>
      </c>
      <c r="L88" s="10">
        <f>CHOOSE(CONTROL!$C$42, 7.0763, 7.0763) * CHOOSE(CONTROL!$C$21, $C$9, 100%, $E$9)</f>
        <v>7.0762999999999998</v>
      </c>
      <c r="M88" s="10">
        <f>CHOOSE(CONTROL!$C$42, 6.1782, 6.1782) * CHOOSE(CONTROL!$C$21, $C$9, 100%, $E$9)</f>
        <v>6.1782000000000004</v>
      </c>
      <c r="N88" s="10">
        <f>CHOOSE(CONTROL!$C$42, 6.1926, 6.1926) * CHOOSE(CONTROL!$C$21, $C$9, 100%, $E$9)</f>
        <v>6.1925999999999997</v>
      </c>
      <c r="O88" s="10">
        <f>CHOOSE(CONTROL!$C$42, 6.4376, 6.4376) * CHOOSE(CONTROL!$C$21, $C$9, 100%, $E$9)</f>
        <v>6.4375999999999998</v>
      </c>
      <c r="P88" s="10">
        <f>CHOOSE(CONTROL!$C$42, 6.2096, 6.2096) * CHOOSE(CONTROL!$C$21, $C$9, 100%, $E$9)</f>
        <v>6.2096</v>
      </c>
      <c r="Q88" s="10">
        <f>CHOOSE(CONTROL!$C$42, 7.0329, 7.0329) * CHOOSE(CONTROL!$C$21, $C$9, 100%, $E$9)</f>
        <v>7.0328999999999997</v>
      </c>
      <c r="R88" s="10">
        <f>CHOOSE(CONTROL!$C$42, 7.6375, 7.6375) * CHOOSE(CONTROL!$C$21, $C$9, 100%, $E$9)</f>
        <v>7.6375000000000002</v>
      </c>
      <c r="S88" s="10">
        <f>CHOOSE(CONTROL!$C$42, 6.0738, 6.0738) * CHOOSE(CONTROL!$C$21, $C$9, 100%, $E$9)</f>
        <v>6.0738000000000003</v>
      </c>
      <c r="T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57">
        <f>(1000*CHOOSE(CONTROL!$C$42, 695, 695)*CHOOSE(CONTROL!$C$42, 0.5599, 0.5599)*CHOOSE(CONTROL!$C$42, 30, 30))/1000000</f>
        <v>11.673914999999997</v>
      </c>
      <c r="V88" s="57">
        <f>(1000*CHOOSE(CONTROL!$C$42, 500, 500)*CHOOSE(CONTROL!$C$42, 0.275, 0.275)*CHOOSE(CONTROL!$C$42, 30, 30))/1000000</f>
        <v>4.125</v>
      </c>
      <c r="W88" s="57">
        <f>(1000*CHOOSE(CONTROL!$C$42, 0.1146, 0.1146)*CHOOSE(CONTROL!$C$42, 121.5, 121.5)*CHOOSE(CONTROL!$C$42, 30, 30))/1000000</f>
        <v>0.417717</v>
      </c>
      <c r="X88" s="57">
        <f>(30*0.1790888*245000/1000000)+(30*0.2374*100000/1000000)</f>
        <v>2.0285026799999999</v>
      </c>
      <c r="Y88" s="57"/>
      <c r="Z88" s="10"/>
      <c r="AA88" s="56"/>
      <c r="AB88" s="50">
        <f>(B88*141.293+C88*267.993+D88*115.016+E88*89.698+F88*40+G88*185+H88*0+I88*100+J88*300)/(141.293+267.993+115.016+89.698+0+40+185+100+300)</f>
        <v>6.2862368429378535</v>
      </c>
      <c r="AC88" s="45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6.2588143884892089</v>
      </c>
    </row>
    <row r="89" spans="1:29" ht="15.75" x14ac:dyDescent="0.25">
      <c r="A89" s="16">
        <v>43586</v>
      </c>
      <c r="B89" s="10">
        <f>CHOOSE(CONTROL!$C$42, 6.3141, 6.3141) * CHOOSE(CONTROL!$C$21, $C$9, 100%, $E$9)</f>
        <v>6.3140999999999998</v>
      </c>
      <c r="C89" s="10">
        <f>CHOOSE(CONTROL!$C$42, 6.322, 6.322) * CHOOSE(CONTROL!$C$21, $C$9, 100%, $E$9)</f>
        <v>6.3220000000000001</v>
      </c>
      <c r="D89" s="10">
        <f>CHOOSE(CONTROL!$C$42, 6.5247, 6.5247) * CHOOSE(CONTROL!$C$21, $C$9, 100%, $E$9)</f>
        <v>6.5247000000000002</v>
      </c>
      <c r="E89" s="10">
        <f>CHOOSE(CONTROL!$C$42, 6.5559, 6.5559) * CHOOSE(CONTROL!$C$21, $C$9, 100%, $E$9)</f>
        <v>6.5559000000000003</v>
      </c>
      <c r="F89" s="10">
        <f>CHOOSE(CONTROL!$C$42, 6.2898, 6.2898)*CHOOSE(CONTROL!$C$21, $C$9, 100%, $E$9)</f>
        <v>6.2897999999999996</v>
      </c>
      <c r="G89" s="10">
        <f>CHOOSE(CONTROL!$C$42, 6.3048, 6.3048)*CHOOSE(CONTROL!$C$21, $C$9, 100%, $E$9)</f>
        <v>6.3048000000000002</v>
      </c>
      <c r="H89" s="10">
        <f>CHOOSE(CONTROL!$C$42, 6.5445, 6.5445) * CHOOSE(CONTROL!$C$21, $C$9, 100%, $E$9)</f>
        <v>6.5445000000000002</v>
      </c>
      <c r="I89" s="10">
        <f>CHOOSE(CONTROL!$C$42, 6.3141, 6.3141)* CHOOSE(CONTROL!$C$21, $C$9, 100%, $E$9)</f>
        <v>6.3140999999999998</v>
      </c>
      <c r="J89" s="10">
        <f>CHOOSE(CONTROL!$C$42, 6.2828, 6.2828)* CHOOSE(CONTROL!$C$21, $C$9, 100%, $E$9)</f>
        <v>6.2827999999999999</v>
      </c>
      <c r="K89" s="53">
        <f>CHOOSE(CONTROL!$C$42, 6.3102, 6.3102) * CHOOSE(CONTROL!$C$21, $C$9, 100%, $E$9)</f>
        <v>6.3102</v>
      </c>
      <c r="L89" s="10">
        <f>CHOOSE(CONTROL!$C$42, 7.1315, 7.1315) * CHOOSE(CONTROL!$C$21, $C$9, 100%, $E$9)</f>
        <v>7.1315</v>
      </c>
      <c r="M89" s="10">
        <f>CHOOSE(CONTROL!$C$42, 6.2332, 6.2332) * CHOOSE(CONTROL!$C$21, $C$9, 100%, $E$9)</f>
        <v>6.2332000000000001</v>
      </c>
      <c r="N89" s="10">
        <f>CHOOSE(CONTROL!$C$42, 6.2481, 6.2481) * CHOOSE(CONTROL!$C$21, $C$9, 100%, $E$9)</f>
        <v>6.2481</v>
      </c>
      <c r="O89" s="10">
        <f>CHOOSE(CONTROL!$C$42, 6.4923, 6.4923) * CHOOSE(CONTROL!$C$21, $C$9, 100%, $E$9)</f>
        <v>6.4923000000000002</v>
      </c>
      <c r="P89" s="10">
        <f>CHOOSE(CONTROL!$C$42, 6.2643, 6.2643) * CHOOSE(CONTROL!$C$21, $C$9, 100%, $E$9)</f>
        <v>6.2643000000000004</v>
      </c>
      <c r="Q89" s="10">
        <f>CHOOSE(CONTROL!$C$42, 7.0876, 7.0876) * CHOOSE(CONTROL!$C$21, $C$9, 100%, $E$9)</f>
        <v>7.0876000000000001</v>
      </c>
      <c r="R89" s="10">
        <f>CHOOSE(CONTROL!$C$42, 7.6923, 7.6923) * CHOOSE(CONTROL!$C$21, $C$9, 100%, $E$9)</f>
        <v>7.6923000000000004</v>
      </c>
      <c r="S89" s="10">
        <f>CHOOSE(CONTROL!$C$42, 6.1274, 6.1274) * CHOOSE(CONTROL!$C$21, $C$9, 100%, $E$9)</f>
        <v>6.1273999999999997</v>
      </c>
      <c r="T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57">
        <f>(1000*CHOOSE(CONTROL!$C$42, 695, 695)*CHOOSE(CONTROL!$C$42, 0.5599, 0.5599)*CHOOSE(CONTROL!$C$42, 31, 31))/1000000</f>
        <v>12.063045499999998</v>
      </c>
      <c r="V89" s="57">
        <f>(1000*CHOOSE(CONTROL!$C$42, 500, 500)*CHOOSE(CONTROL!$C$42, 0.275, 0.275)*CHOOSE(CONTROL!$C$42, 31, 31))/1000000</f>
        <v>4.2625000000000002</v>
      </c>
      <c r="W89" s="57">
        <f>(1000*CHOOSE(CONTROL!$C$42, 0.1146, 0.1146)*CHOOSE(CONTROL!$C$42, 121.5, 121.5)*CHOOSE(CONTROL!$C$42, 31, 31))/1000000</f>
        <v>0.43164089999999994</v>
      </c>
      <c r="X89" s="57">
        <f>(31*0.1790888*245000/1000000)+(31*0.2374*100000/1000000)</f>
        <v>2.0961194359999999</v>
      </c>
      <c r="Y89" s="57"/>
      <c r="Z89" s="10"/>
      <c r="AA89" s="56"/>
      <c r="AB89" s="50">
        <f>(B89*194.205+C89*267.466+D89*133.845+E89*53.484+F89*40+G89*185+H89*0+I89*100+J89*300)/(194.205+267.466+133.845+53.484+0+40+185+100+300)</f>
        <v>6.3385510750392466</v>
      </c>
      <c r="AC89" s="45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6.3138021582733819</v>
      </c>
    </row>
    <row r="90" spans="1:29" ht="15.75" x14ac:dyDescent="0.25">
      <c r="A90" s="16">
        <v>43617</v>
      </c>
      <c r="B90" s="10">
        <f>CHOOSE(CONTROL!$C$42, 6.493, 6.493) * CHOOSE(CONTROL!$C$21, $C$9, 100%, $E$9)</f>
        <v>6.4930000000000003</v>
      </c>
      <c r="C90" s="10">
        <f>CHOOSE(CONTROL!$C$42, 6.5009, 6.5009) * CHOOSE(CONTROL!$C$21, $C$9, 100%, $E$9)</f>
        <v>6.5008999999999997</v>
      </c>
      <c r="D90" s="10">
        <f>CHOOSE(CONTROL!$C$42, 6.7037, 6.7037) * CHOOSE(CONTROL!$C$21, $C$9, 100%, $E$9)</f>
        <v>6.7037000000000004</v>
      </c>
      <c r="E90" s="10">
        <f>CHOOSE(CONTROL!$C$42, 6.7348, 6.7348) * CHOOSE(CONTROL!$C$21, $C$9, 100%, $E$9)</f>
        <v>6.7347999999999999</v>
      </c>
      <c r="F90" s="10">
        <f>CHOOSE(CONTROL!$C$42, 6.4693, 6.4693)*CHOOSE(CONTROL!$C$21, $C$9, 100%, $E$9)</f>
        <v>6.4692999999999996</v>
      </c>
      <c r="G90" s="10">
        <f>CHOOSE(CONTROL!$C$42, 6.4844, 6.4844)*CHOOSE(CONTROL!$C$21, $C$9, 100%, $E$9)</f>
        <v>6.4843999999999999</v>
      </c>
      <c r="H90" s="10">
        <f>CHOOSE(CONTROL!$C$42, 6.7234, 6.7234) * CHOOSE(CONTROL!$C$21, $C$9, 100%, $E$9)</f>
        <v>6.7233999999999998</v>
      </c>
      <c r="I90" s="10">
        <f>CHOOSE(CONTROL!$C$42, 6.4931, 6.4931)* CHOOSE(CONTROL!$C$21, $C$9, 100%, $E$9)</f>
        <v>6.4931000000000001</v>
      </c>
      <c r="J90" s="10">
        <f>CHOOSE(CONTROL!$C$42, 6.4623, 6.4623)* CHOOSE(CONTROL!$C$21, $C$9, 100%, $E$9)</f>
        <v>6.4622999999999999</v>
      </c>
      <c r="K90" s="53">
        <f>CHOOSE(CONTROL!$C$42, 6.4892, 6.4892) * CHOOSE(CONTROL!$C$21, $C$9, 100%, $E$9)</f>
        <v>6.4892000000000003</v>
      </c>
      <c r="L90" s="10">
        <f>CHOOSE(CONTROL!$C$42, 7.3104, 7.3104) * CHOOSE(CONTROL!$C$21, $C$9, 100%, $E$9)</f>
        <v>7.3103999999999996</v>
      </c>
      <c r="M90" s="10">
        <f>CHOOSE(CONTROL!$C$42, 6.4109, 6.4109) * CHOOSE(CONTROL!$C$21, $C$9, 100%, $E$9)</f>
        <v>6.4108999999999998</v>
      </c>
      <c r="N90" s="10">
        <f>CHOOSE(CONTROL!$C$42, 6.4259, 6.4259) * CHOOSE(CONTROL!$C$21, $C$9, 100%, $E$9)</f>
        <v>6.4259000000000004</v>
      </c>
      <c r="O90" s="10">
        <f>CHOOSE(CONTROL!$C$42, 6.6694, 6.6694) * CHOOSE(CONTROL!$C$21, $C$9, 100%, $E$9)</f>
        <v>6.6694000000000004</v>
      </c>
      <c r="P90" s="10">
        <f>CHOOSE(CONTROL!$C$42, 6.4414, 6.4414) * CHOOSE(CONTROL!$C$21, $C$9, 100%, $E$9)</f>
        <v>6.4413999999999998</v>
      </c>
      <c r="Q90" s="10">
        <f>CHOOSE(CONTROL!$C$42, 7.2647, 7.2647) * CHOOSE(CONTROL!$C$21, $C$9, 100%, $E$9)</f>
        <v>7.2647000000000004</v>
      </c>
      <c r="R90" s="10">
        <f>CHOOSE(CONTROL!$C$42, 7.8699, 7.8699) * CHOOSE(CONTROL!$C$21, $C$9, 100%, $E$9)</f>
        <v>7.8699000000000003</v>
      </c>
      <c r="S90" s="10">
        <f>CHOOSE(CONTROL!$C$42, 6.3011, 6.3011) * CHOOSE(CONTROL!$C$21, $C$9, 100%, $E$9)</f>
        <v>6.3010999999999999</v>
      </c>
      <c r="T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57">
        <f>(1000*CHOOSE(CONTROL!$C$42, 695, 695)*CHOOSE(CONTROL!$C$42, 0.5599, 0.5599)*CHOOSE(CONTROL!$C$42, 30, 30))/1000000</f>
        <v>11.673914999999997</v>
      </c>
      <c r="V90" s="57">
        <f>(1000*CHOOSE(CONTROL!$C$42, 500, 500)*CHOOSE(CONTROL!$C$42, 0.275, 0.275)*CHOOSE(CONTROL!$C$42, 30, 30))/1000000</f>
        <v>4.125</v>
      </c>
      <c r="W90" s="57">
        <f>(1000*CHOOSE(CONTROL!$C$42, 0.1146, 0.1146)*CHOOSE(CONTROL!$C$42, 121.5, 121.5)*CHOOSE(CONTROL!$C$42, 30, 30))/1000000</f>
        <v>0.417717</v>
      </c>
      <c r="X90" s="57">
        <f>(30*0.1790888*245000/1000000)+(30*0.2374*100000/1000000)</f>
        <v>2.0285026799999999</v>
      </c>
      <c r="Y90" s="57"/>
      <c r="Z90" s="10"/>
      <c r="AA90" s="56"/>
      <c r="AB90" s="50">
        <f>(B90*194.205+C90*267.466+D90*133.845+E90*53.484+F90*40+G90*185+H90*0+I90*100+J90*300)/(194.205+267.466+133.845+53.484+0+40+185+100+300)</f>
        <v>6.5177312041601265</v>
      </c>
      <c r="AC90" s="45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6.4912705035971232</v>
      </c>
    </row>
    <row r="91" spans="1:29" ht="15.75" x14ac:dyDescent="0.25">
      <c r="A91" s="16">
        <v>43647</v>
      </c>
      <c r="B91" s="10">
        <f>CHOOSE(CONTROL!$C$42, 6.3686, 6.3686) * CHOOSE(CONTROL!$C$21, $C$9, 100%, $E$9)</f>
        <v>6.3685999999999998</v>
      </c>
      <c r="C91" s="10">
        <f>CHOOSE(CONTROL!$C$42, 6.3765, 6.3765) * CHOOSE(CONTROL!$C$21, $C$9, 100%, $E$9)</f>
        <v>6.3765000000000001</v>
      </c>
      <c r="D91" s="10">
        <f>CHOOSE(CONTROL!$C$42, 6.5792, 6.5792) * CHOOSE(CONTROL!$C$21, $C$9, 100%, $E$9)</f>
        <v>6.5792000000000002</v>
      </c>
      <c r="E91" s="10">
        <f>CHOOSE(CONTROL!$C$42, 6.6104, 6.6104) * CHOOSE(CONTROL!$C$21, $C$9, 100%, $E$9)</f>
        <v>6.6104000000000003</v>
      </c>
      <c r="F91" s="10">
        <f>CHOOSE(CONTROL!$C$42, 6.3453, 6.3453)*CHOOSE(CONTROL!$C$21, $C$9, 100%, $E$9)</f>
        <v>6.3452999999999999</v>
      </c>
      <c r="G91" s="10">
        <f>CHOOSE(CONTROL!$C$42, 6.3606, 6.3606)*CHOOSE(CONTROL!$C$21, $C$9, 100%, $E$9)</f>
        <v>6.3605999999999998</v>
      </c>
      <c r="H91" s="10">
        <f>CHOOSE(CONTROL!$C$42, 6.599, 6.599) * CHOOSE(CONTROL!$C$21, $C$9, 100%, $E$9)</f>
        <v>6.5990000000000002</v>
      </c>
      <c r="I91" s="10">
        <f>CHOOSE(CONTROL!$C$42, 6.3686, 6.3686)* CHOOSE(CONTROL!$C$21, $C$9, 100%, $E$9)</f>
        <v>6.3685999999999998</v>
      </c>
      <c r="J91" s="10">
        <f>CHOOSE(CONTROL!$C$42, 6.3383, 6.3383)* CHOOSE(CONTROL!$C$21, $C$9, 100%, $E$9)</f>
        <v>6.3383000000000003</v>
      </c>
      <c r="K91" s="53">
        <f>CHOOSE(CONTROL!$C$42, 6.3647, 6.3647) * CHOOSE(CONTROL!$C$21, $C$9, 100%, $E$9)</f>
        <v>6.3647</v>
      </c>
      <c r="L91" s="10">
        <f>CHOOSE(CONTROL!$C$42, 7.186, 7.186) * CHOOSE(CONTROL!$C$21, $C$9, 100%, $E$9)</f>
        <v>7.1859999999999999</v>
      </c>
      <c r="M91" s="10">
        <f>CHOOSE(CONTROL!$C$42, 6.2882, 6.2882) * CHOOSE(CONTROL!$C$21, $C$9, 100%, $E$9)</f>
        <v>6.2881999999999998</v>
      </c>
      <c r="N91" s="10">
        <f>CHOOSE(CONTROL!$C$42, 6.3033, 6.3033) * CHOOSE(CONTROL!$C$21, $C$9, 100%, $E$9)</f>
        <v>6.3033000000000001</v>
      </c>
      <c r="O91" s="10">
        <f>CHOOSE(CONTROL!$C$42, 6.5462, 6.5462) * CHOOSE(CONTROL!$C$21, $C$9, 100%, $E$9)</f>
        <v>6.5461999999999998</v>
      </c>
      <c r="P91" s="10">
        <f>CHOOSE(CONTROL!$C$42, 6.3182, 6.3182) * CHOOSE(CONTROL!$C$21, $C$9, 100%, $E$9)</f>
        <v>6.3182</v>
      </c>
      <c r="Q91" s="10">
        <f>CHOOSE(CONTROL!$C$42, 7.1415, 7.1415) * CHOOSE(CONTROL!$C$21, $C$9, 100%, $E$9)</f>
        <v>7.1414999999999997</v>
      </c>
      <c r="R91" s="10">
        <f>CHOOSE(CONTROL!$C$42, 7.7464, 7.7464) * CHOOSE(CONTROL!$C$21, $C$9, 100%, $E$9)</f>
        <v>7.7464000000000004</v>
      </c>
      <c r="S91" s="10">
        <f>CHOOSE(CONTROL!$C$42, 6.1803, 6.1803) * CHOOSE(CONTROL!$C$21, $C$9, 100%, $E$9)</f>
        <v>6.1802999999999999</v>
      </c>
      <c r="T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57">
        <f>(1000*CHOOSE(CONTROL!$C$42, 695, 695)*CHOOSE(CONTROL!$C$42, 0.5599, 0.5599)*CHOOSE(CONTROL!$C$42, 31, 31))/1000000</f>
        <v>12.063045499999998</v>
      </c>
      <c r="V91" s="57">
        <f>(1000*CHOOSE(CONTROL!$C$42, 500, 500)*CHOOSE(CONTROL!$C$42, 0.275, 0.275)*CHOOSE(CONTROL!$C$42, 31, 31))/1000000</f>
        <v>4.2625000000000002</v>
      </c>
      <c r="W91" s="57">
        <f>(1000*CHOOSE(CONTROL!$C$42, 0.1146, 0.1146)*CHOOSE(CONTROL!$C$42, 121.5, 121.5)*CHOOSE(CONTROL!$C$42, 31, 31))/1000000</f>
        <v>0.43164089999999994</v>
      </c>
      <c r="X91" s="57">
        <f>(31*0.1790888*245000/1000000)+(31*0.2374*100000/1000000)</f>
        <v>2.0961194359999999</v>
      </c>
      <c r="Y91" s="57"/>
      <c r="Z91" s="10"/>
      <c r="AA91" s="56"/>
      <c r="AB91" s="50">
        <f>(B91*194.205+C91*267.466+D91*133.845+E91*53.484+F91*40+G91*185+H91*0+I91*100+J91*300)/(194.205+267.466+133.845+53.484+0+40+185+100+300)</f>
        <v>6.3935067265306111</v>
      </c>
      <c r="AC91" s="45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6.3683812949640286</v>
      </c>
    </row>
    <row r="92" spans="1:29" ht="15.75" x14ac:dyDescent="0.25">
      <c r="A92" s="16">
        <v>43678</v>
      </c>
      <c r="B92" s="10">
        <f>CHOOSE(CONTROL!$C$42, 6.0543, 6.0543) * CHOOSE(CONTROL!$C$21, $C$9, 100%, $E$9)</f>
        <v>6.0542999999999996</v>
      </c>
      <c r="C92" s="10">
        <f>CHOOSE(CONTROL!$C$42, 6.0622, 6.0622) * CHOOSE(CONTROL!$C$21, $C$9, 100%, $E$9)</f>
        <v>6.0621999999999998</v>
      </c>
      <c r="D92" s="10">
        <f>CHOOSE(CONTROL!$C$42, 6.2649, 6.2649) * CHOOSE(CONTROL!$C$21, $C$9, 100%, $E$9)</f>
        <v>6.2648999999999999</v>
      </c>
      <c r="E92" s="10">
        <f>CHOOSE(CONTROL!$C$42, 6.2961, 6.2961) * CHOOSE(CONTROL!$C$21, $C$9, 100%, $E$9)</f>
        <v>6.2961</v>
      </c>
      <c r="F92" s="10">
        <f>CHOOSE(CONTROL!$C$42, 6.0312, 6.0312)*CHOOSE(CONTROL!$C$21, $C$9, 100%, $E$9)</f>
        <v>6.0312000000000001</v>
      </c>
      <c r="G92" s="10">
        <f>CHOOSE(CONTROL!$C$42, 6.0465, 6.0465)*CHOOSE(CONTROL!$C$21, $C$9, 100%, $E$9)</f>
        <v>6.0465</v>
      </c>
      <c r="H92" s="10">
        <f>CHOOSE(CONTROL!$C$42, 6.2847, 6.2847) * CHOOSE(CONTROL!$C$21, $C$9, 100%, $E$9)</f>
        <v>6.2847</v>
      </c>
      <c r="I92" s="10">
        <f>CHOOSE(CONTROL!$C$42, 6.0543, 6.0543)* CHOOSE(CONTROL!$C$21, $C$9, 100%, $E$9)</f>
        <v>6.0542999999999996</v>
      </c>
      <c r="J92" s="10">
        <f>CHOOSE(CONTROL!$C$42, 6.0242, 6.0242)* CHOOSE(CONTROL!$C$21, $C$9, 100%, $E$9)</f>
        <v>6.0242000000000004</v>
      </c>
      <c r="K92" s="53">
        <f>CHOOSE(CONTROL!$C$42, 6.0504, 6.0504) * CHOOSE(CONTROL!$C$21, $C$9, 100%, $E$9)</f>
        <v>6.0503999999999998</v>
      </c>
      <c r="L92" s="10">
        <f>CHOOSE(CONTROL!$C$42, 6.8717, 6.8717) * CHOOSE(CONTROL!$C$21, $C$9, 100%, $E$9)</f>
        <v>6.8716999999999997</v>
      </c>
      <c r="M92" s="10">
        <f>CHOOSE(CONTROL!$C$42, 5.9772, 5.9772) * CHOOSE(CONTROL!$C$21, $C$9, 100%, $E$9)</f>
        <v>5.9771999999999998</v>
      </c>
      <c r="N92" s="10">
        <f>CHOOSE(CONTROL!$C$42, 5.9924, 5.9924) * CHOOSE(CONTROL!$C$21, $C$9, 100%, $E$9)</f>
        <v>5.9923999999999999</v>
      </c>
      <c r="O92" s="10">
        <f>CHOOSE(CONTROL!$C$42, 6.2351, 6.2351) * CHOOSE(CONTROL!$C$21, $C$9, 100%, $E$9)</f>
        <v>6.2351000000000001</v>
      </c>
      <c r="P92" s="10">
        <f>CHOOSE(CONTROL!$C$42, 6.0071, 6.0071) * CHOOSE(CONTROL!$C$21, $C$9, 100%, $E$9)</f>
        <v>6.0071000000000003</v>
      </c>
      <c r="Q92" s="10">
        <f>CHOOSE(CONTROL!$C$42, 6.8304, 6.8304) * CHOOSE(CONTROL!$C$21, $C$9, 100%, $E$9)</f>
        <v>6.8304</v>
      </c>
      <c r="R92" s="10">
        <f>CHOOSE(CONTROL!$C$42, 7.4345, 7.4345) * CHOOSE(CONTROL!$C$21, $C$9, 100%, $E$9)</f>
        <v>7.4344999999999999</v>
      </c>
      <c r="S92" s="10">
        <f>CHOOSE(CONTROL!$C$42, 5.875, 5.875) * CHOOSE(CONTROL!$C$21, $C$9, 100%, $E$9)</f>
        <v>5.875</v>
      </c>
      <c r="T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57">
        <f>(1000*CHOOSE(CONTROL!$C$42, 695, 695)*CHOOSE(CONTROL!$C$42, 0.5599, 0.5599)*CHOOSE(CONTROL!$C$42, 31, 31))/1000000</f>
        <v>12.063045499999998</v>
      </c>
      <c r="V92" s="57">
        <f>(1000*CHOOSE(CONTROL!$C$42, 500, 500)*CHOOSE(CONTROL!$C$42, 0.275, 0.275)*CHOOSE(CONTROL!$C$42, 31, 31))/1000000</f>
        <v>4.2625000000000002</v>
      </c>
      <c r="W92" s="57">
        <f>(1000*CHOOSE(CONTROL!$C$42, 0.1146, 0.1146)*CHOOSE(CONTROL!$C$42, 121.5, 121.5)*CHOOSE(CONTROL!$C$42, 31, 31))/1000000</f>
        <v>0.43164089999999994</v>
      </c>
      <c r="X92" s="57">
        <f>(31*0.1790888*245000/1000000)+(31*0.2374*100000/1000000)</f>
        <v>2.0961194359999999</v>
      </c>
      <c r="Y92" s="57"/>
      <c r="Z92" s="10"/>
      <c r="AA92" s="56"/>
      <c r="AB92" s="50">
        <f>(B92*194.205+C92*267.466+D92*133.845+E92*53.484+F92*40+G92*185+H92*0+I92*100+J92*300)/(194.205+267.466+133.845+53.484+0+40+185+100+300)</f>
        <v>6.0792891441130292</v>
      </c>
      <c r="AC92" s="45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6.0573618705035974</v>
      </c>
    </row>
    <row r="93" spans="1:29" ht="15.75" x14ac:dyDescent="0.25">
      <c r="A93" s="16">
        <v>43709</v>
      </c>
      <c r="B93" s="10">
        <f>CHOOSE(CONTROL!$C$42, 5.6699, 5.6699) * CHOOSE(CONTROL!$C$21, $C$9, 100%, $E$9)</f>
        <v>5.6699000000000002</v>
      </c>
      <c r="C93" s="10">
        <f>CHOOSE(CONTROL!$C$42, 5.6778, 5.6778) * CHOOSE(CONTROL!$C$21, $C$9, 100%, $E$9)</f>
        <v>5.6778000000000004</v>
      </c>
      <c r="D93" s="10">
        <f>CHOOSE(CONTROL!$C$42, 5.8805, 5.8805) * CHOOSE(CONTROL!$C$21, $C$9, 100%, $E$9)</f>
        <v>5.8804999999999996</v>
      </c>
      <c r="E93" s="10">
        <f>CHOOSE(CONTROL!$C$42, 5.9116, 5.9116) * CHOOSE(CONTROL!$C$21, $C$9, 100%, $E$9)</f>
        <v>5.9116</v>
      </c>
      <c r="F93" s="10">
        <f>CHOOSE(CONTROL!$C$42, 5.6467, 5.6467)*CHOOSE(CONTROL!$C$21, $C$9, 100%, $E$9)</f>
        <v>5.6467000000000001</v>
      </c>
      <c r="G93" s="10">
        <f>CHOOSE(CONTROL!$C$42, 5.6619, 5.6619)*CHOOSE(CONTROL!$C$21, $C$9, 100%, $E$9)</f>
        <v>5.6619000000000002</v>
      </c>
      <c r="H93" s="10">
        <f>CHOOSE(CONTROL!$C$42, 5.9003, 5.9003) * CHOOSE(CONTROL!$C$21, $C$9, 100%, $E$9)</f>
        <v>5.9002999999999997</v>
      </c>
      <c r="I93" s="10">
        <f>CHOOSE(CONTROL!$C$42, 5.6699, 5.6699)* CHOOSE(CONTROL!$C$21, $C$9, 100%, $E$9)</f>
        <v>5.6699000000000002</v>
      </c>
      <c r="J93" s="10">
        <f>CHOOSE(CONTROL!$C$42, 5.6397, 5.6397)* CHOOSE(CONTROL!$C$21, $C$9, 100%, $E$9)</f>
        <v>5.6397000000000004</v>
      </c>
      <c r="K93" s="53">
        <f>CHOOSE(CONTROL!$C$42, 5.666, 5.666) * CHOOSE(CONTROL!$C$21, $C$9, 100%, $E$9)</f>
        <v>5.6660000000000004</v>
      </c>
      <c r="L93" s="10">
        <f>CHOOSE(CONTROL!$C$42, 6.4873, 6.4873) * CHOOSE(CONTROL!$C$21, $C$9, 100%, $E$9)</f>
        <v>6.4873000000000003</v>
      </c>
      <c r="M93" s="10">
        <f>CHOOSE(CONTROL!$C$42, 5.5966, 5.5966) * CHOOSE(CONTROL!$C$21, $C$9, 100%, $E$9)</f>
        <v>5.5965999999999996</v>
      </c>
      <c r="N93" s="10">
        <f>CHOOSE(CONTROL!$C$42, 5.6117, 5.6117) * CHOOSE(CONTROL!$C$21, $C$9, 100%, $E$9)</f>
        <v>5.6116999999999999</v>
      </c>
      <c r="O93" s="10">
        <f>CHOOSE(CONTROL!$C$42, 5.8546, 5.8546) * CHOOSE(CONTROL!$C$21, $C$9, 100%, $E$9)</f>
        <v>5.8545999999999996</v>
      </c>
      <c r="P93" s="10">
        <f>CHOOSE(CONTROL!$C$42, 5.6265, 5.6265) * CHOOSE(CONTROL!$C$21, $C$9, 100%, $E$9)</f>
        <v>5.6265000000000001</v>
      </c>
      <c r="Q93" s="10">
        <f>CHOOSE(CONTROL!$C$42, 6.4499, 6.4499) * CHOOSE(CONTROL!$C$21, $C$9, 100%, $E$9)</f>
        <v>6.4499000000000004</v>
      </c>
      <c r="R93" s="10">
        <f>CHOOSE(CONTROL!$C$42, 7.053, 7.053) * CHOOSE(CONTROL!$C$21, $C$9, 100%, $E$9)</f>
        <v>7.0529999999999999</v>
      </c>
      <c r="S93" s="10">
        <f>CHOOSE(CONTROL!$C$42, 5.5017, 5.5017) * CHOOSE(CONTROL!$C$21, $C$9, 100%, $E$9)</f>
        <v>5.5016999999999996</v>
      </c>
      <c r="T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57">
        <f>(1000*CHOOSE(CONTROL!$C$42, 695, 695)*CHOOSE(CONTROL!$C$42, 0.5599, 0.5599)*CHOOSE(CONTROL!$C$42, 30, 30))/1000000</f>
        <v>11.673914999999997</v>
      </c>
      <c r="V93" s="57">
        <f>(1000*CHOOSE(CONTROL!$C$42, 500, 500)*CHOOSE(CONTROL!$C$42, 0.275, 0.275)*CHOOSE(CONTROL!$C$42, 30, 30))/1000000</f>
        <v>4.125</v>
      </c>
      <c r="W93" s="57">
        <f>(1000*CHOOSE(CONTROL!$C$42, 0.1146, 0.1146)*CHOOSE(CONTROL!$C$42, 121.5, 121.5)*CHOOSE(CONTROL!$C$42, 30, 30))/1000000</f>
        <v>0.417717</v>
      </c>
      <c r="X93" s="57">
        <f>(30*0.1790888*245000/1000000)+(30*0.2374*100000/1000000)</f>
        <v>2.0285026799999999</v>
      </c>
      <c r="Y93" s="57"/>
      <c r="Z93" s="10"/>
      <c r="AA93" s="56"/>
      <c r="AB93" s="50">
        <f>(B93*194.205+C93*267.466+D93*133.845+E93*53.484+F93*40+G93*185+H93*0+I93*100+J93*300)/(194.205+267.466+133.845+53.484+0+40+185+100+300)</f>
        <v>5.6948292160125584</v>
      </c>
      <c r="AC93" s="45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5.6767669064748203</v>
      </c>
    </row>
    <row r="94" spans="1:29" ht="15.75" x14ac:dyDescent="0.25">
      <c r="A94" s="16">
        <v>43739</v>
      </c>
      <c r="B94" s="10">
        <f>CHOOSE(CONTROL!$C$42, 5.5531, 5.5531) * CHOOSE(CONTROL!$C$21, $C$9, 100%, $E$9)</f>
        <v>5.5530999999999997</v>
      </c>
      <c r="C94" s="10">
        <f>CHOOSE(CONTROL!$C$42, 5.5583, 5.5583) * CHOOSE(CONTROL!$C$21, $C$9, 100%, $E$9)</f>
        <v>5.5583</v>
      </c>
      <c r="D94" s="10">
        <f>CHOOSE(CONTROL!$C$42, 5.766, 5.766) * CHOOSE(CONTROL!$C$21, $C$9, 100%, $E$9)</f>
        <v>5.766</v>
      </c>
      <c r="E94" s="10">
        <f>CHOOSE(CONTROL!$C$42, 5.7948, 5.7948) * CHOOSE(CONTROL!$C$21, $C$9, 100%, $E$9)</f>
        <v>5.7948000000000004</v>
      </c>
      <c r="F94" s="10">
        <f>CHOOSE(CONTROL!$C$42, 5.5318, 5.5318)*CHOOSE(CONTROL!$C$21, $C$9, 100%, $E$9)</f>
        <v>5.5317999999999996</v>
      </c>
      <c r="G94" s="10">
        <f>CHOOSE(CONTROL!$C$42, 5.5467, 5.5467)*CHOOSE(CONTROL!$C$21, $C$9, 100%, $E$9)</f>
        <v>5.5467000000000004</v>
      </c>
      <c r="H94" s="10">
        <f>CHOOSE(CONTROL!$C$42, 5.7853, 5.7853) * CHOOSE(CONTROL!$C$21, $C$9, 100%, $E$9)</f>
        <v>5.7853000000000003</v>
      </c>
      <c r="I94" s="10">
        <f>CHOOSE(CONTROL!$C$42, 5.5549, 5.5549)* CHOOSE(CONTROL!$C$21, $C$9, 100%, $E$9)</f>
        <v>5.5548999999999999</v>
      </c>
      <c r="J94" s="10">
        <f>CHOOSE(CONTROL!$C$42, 5.5248, 5.5248)* CHOOSE(CONTROL!$C$21, $C$9, 100%, $E$9)</f>
        <v>5.5247999999999999</v>
      </c>
      <c r="K94" s="53">
        <f>CHOOSE(CONTROL!$C$42, 5.551, 5.551) * CHOOSE(CONTROL!$C$21, $C$9, 100%, $E$9)</f>
        <v>5.5510000000000002</v>
      </c>
      <c r="L94" s="10">
        <f>CHOOSE(CONTROL!$C$42, 6.3723, 6.3723) * CHOOSE(CONTROL!$C$21, $C$9, 100%, $E$9)</f>
        <v>6.3723000000000001</v>
      </c>
      <c r="M94" s="10">
        <f>CHOOSE(CONTROL!$C$42, 5.4829, 5.4829) * CHOOSE(CONTROL!$C$21, $C$9, 100%, $E$9)</f>
        <v>5.4828999999999999</v>
      </c>
      <c r="N94" s="10">
        <f>CHOOSE(CONTROL!$C$42, 5.4977, 5.4977) * CHOOSE(CONTROL!$C$21, $C$9, 100%, $E$9)</f>
        <v>5.4977</v>
      </c>
      <c r="O94" s="10">
        <f>CHOOSE(CONTROL!$C$42, 5.7407, 5.7407) * CHOOSE(CONTROL!$C$21, $C$9, 100%, $E$9)</f>
        <v>5.7407000000000004</v>
      </c>
      <c r="P94" s="10">
        <f>CHOOSE(CONTROL!$C$42, 5.5127, 5.5127) * CHOOSE(CONTROL!$C$21, $C$9, 100%, $E$9)</f>
        <v>5.5126999999999997</v>
      </c>
      <c r="Q94" s="10">
        <f>CHOOSE(CONTROL!$C$42, 6.336, 6.336) * CHOOSE(CONTROL!$C$21, $C$9, 100%, $E$9)</f>
        <v>6.3360000000000003</v>
      </c>
      <c r="R94" s="10">
        <f>CHOOSE(CONTROL!$C$42, 6.9388, 6.9388) * CHOOSE(CONTROL!$C$21, $C$9, 100%, $E$9)</f>
        <v>6.9387999999999996</v>
      </c>
      <c r="S94" s="10">
        <f>CHOOSE(CONTROL!$C$42, 5.3901, 5.3901) * CHOOSE(CONTROL!$C$21, $C$9, 100%, $E$9)</f>
        <v>5.3901000000000003</v>
      </c>
      <c r="T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57">
        <f>(1000*CHOOSE(CONTROL!$C$42, 695, 695)*CHOOSE(CONTROL!$C$42, 0.5599, 0.5599)*CHOOSE(CONTROL!$C$42, 31, 31))/1000000</f>
        <v>12.063045499999998</v>
      </c>
      <c r="V94" s="57">
        <f>(1000*CHOOSE(CONTROL!$C$42, 500, 500)*CHOOSE(CONTROL!$C$42, 0.275, 0.275)*CHOOSE(CONTROL!$C$42, 31, 31))/1000000</f>
        <v>4.2625000000000002</v>
      </c>
      <c r="W94" s="57">
        <f>(1000*CHOOSE(CONTROL!$C$42, 0.1146, 0.1146)*CHOOSE(CONTROL!$C$42, 121.5, 121.5)*CHOOSE(CONTROL!$C$42, 31, 31))/1000000</f>
        <v>0.43164089999999994</v>
      </c>
      <c r="X94" s="57">
        <f>(31*0.1790888*245000/1000000)+(31*0.2374*100000/1000000)</f>
        <v>2.0961194359999999</v>
      </c>
      <c r="Y94" s="57"/>
      <c r="Z94" s="10"/>
      <c r="AA94" s="56"/>
      <c r="AB94" s="50">
        <f>(B94*131.881+C94*277.167+D94*79.08+E94*125.872+F94*40+G94*185+H94*0+I94*100+J94*300)/(131.881+277.167+79.08+125.872+0+40+185+100+300)</f>
        <v>5.5840561443099279</v>
      </c>
      <c r="AC94" s="45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5.5629273381294961</v>
      </c>
    </row>
    <row r="95" spans="1:29" ht="15.75" x14ac:dyDescent="0.25">
      <c r="A95" s="16">
        <v>43770</v>
      </c>
      <c r="B95" s="10">
        <f>CHOOSE(CONTROL!$C$42, 5.6989, 5.6989) * CHOOSE(CONTROL!$C$21, $C$9, 100%, $E$9)</f>
        <v>5.6989000000000001</v>
      </c>
      <c r="C95" s="10">
        <f>CHOOSE(CONTROL!$C$42, 5.7038, 5.7038) * CHOOSE(CONTROL!$C$21, $C$9, 100%, $E$9)</f>
        <v>5.7038000000000002</v>
      </c>
      <c r="D95" s="10">
        <f>CHOOSE(CONTROL!$C$42, 5.7643, 5.7643) * CHOOSE(CONTROL!$C$21, $C$9, 100%, $E$9)</f>
        <v>5.7643000000000004</v>
      </c>
      <c r="E95" s="10">
        <f>CHOOSE(CONTROL!$C$42, 5.7981, 5.7981) * CHOOSE(CONTROL!$C$21, $C$9, 100%, $E$9)</f>
        <v>5.7980999999999998</v>
      </c>
      <c r="F95" s="10">
        <f>CHOOSE(CONTROL!$C$42, 5.6945, 5.6945)*CHOOSE(CONTROL!$C$21, $C$9, 100%, $E$9)</f>
        <v>5.6944999999999997</v>
      </c>
      <c r="G95" s="10">
        <f>CHOOSE(CONTROL!$C$42, 5.7097, 5.7097)*CHOOSE(CONTROL!$C$21, $C$9, 100%, $E$9)</f>
        <v>5.7096999999999998</v>
      </c>
      <c r="H95" s="10">
        <f>CHOOSE(CONTROL!$C$42, 5.7873, 5.7873) * CHOOSE(CONTROL!$C$21, $C$9, 100%, $E$9)</f>
        <v>5.7873000000000001</v>
      </c>
      <c r="I95" s="10">
        <f>CHOOSE(CONTROL!$C$42, 5.7114, 5.7114)* CHOOSE(CONTROL!$C$21, $C$9, 100%, $E$9)</f>
        <v>5.7114000000000003</v>
      </c>
      <c r="J95" s="10">
        <f>CHOOSE(CONTROL!$C$42, 5.6875, 5.6875)* CHOOSE(CONTROL!$C$21, $C$9, 100%, $E$9)</f>
        <v>5.6875</v>
      </c>
      <c r="K95" s="53">
        <f>CHOOSE(CONTROL!$C$42, 5.7075, 5.7075) * CHOOSE(CONTROL!$C$21, $C$9, 100%, $E$9)</f>
        <v>5.7074999999999996</v>
      </c>
      <c r="L95" s="10">
        <f>CHOOSE(CONTROL!$C$42, 6.3743, 6.3743) * CHOOSE(CONTROL!$C$21, $C$9, 100%, $E$9)</f>
        <v>6.3742999999999999</v>
      </c>
      <c r="M95" s="10">
        <f>CHOOSE(CONTROL!$C$42, 5.6439, 5.6439) * CHOOSE(CONTROL!$C$21, $C$9, 100%, $E$9)</f>
        <v>5.6439000000000004</v>
      </c>
      <c r="N95" s="10">
        <f>CHOOSE(CONTROL!$C$42, 5.659, 5.659) * CHOOSE(CONTROL!$C$21, $C$9, 100%, $E$9)</f>
        <v>5.6589999999999998</v>
      </c>
      <c r="O95" s="10">
        <f>CHOOSE(CONTROL!$C$42, 5.7427, 5.7427) * CHOOSE(CONTROL!$C$21, $C$9, 100%, $E$9)</f>
        <v>5.7427000000000001</v>
      </c>
      <c r="P95" s="10">
        <f>CHOOSE(CONTROL!$C$42, 5.6676, 5.6676) * CHOOSE(CONTROL!$C$21, $C$9, 100%, $E$9)</f>
        <v>5.6676000000000002</v>
      </c>
      <c r="Q95" s="10">
        <f>CHOOSE(CONTROL!$C$42, 6.338, 6.338) * CHOOSE(CONTROL!$C$21, $C$9, 100%, $E$9)</f>
        <v>6.3380000000000001</v>
      </c>
      <c r="R95" s="10">
        <f>CHOOSE(CONTROL!$C$42, 6.9409, 6.9409) * CHOOSE(CONTROL!$C$21, $C$9, 100%, $E$9)</f>
        <v>6.9409000000000001</v>
      </c>
      <c r="S95" s="10">
        <f>CHOOSE(CONTROL!$C$42, 5.532, 5.532) * CHOOSE(CONTROL!$C$21, $C$9, 100%, $E$9)</f>
        <v>5.532</v>
      </c>
      <c r="T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57">
        <f>(1000*CHOOSE(CONTROL!$C$42, 695, 695)*CHOOSE(CONTROL!$C$42, 0.5599, 0.5599)*CHOOSE(CONTROL!$C$42, 30, 30))/1000000</f>
        <v>11.673914999999997</v>
      </c>
      <c r="V95" s="57">
        <f>(1000*CHOOSE(CONTROL!$C$42, 500, 500)*CHOOSE(CONTROL!$C$42, 0.275, 0.275)*CHOOSE(CONTROL!$C$42, 30, 30))/1000000</f>
        <v>4.125</v>
      </c>
      <c r="W95" s="57">
        <f>(1000*CHOOSE(CONTROL!$C$42, 0.1146, 0.1146)*CHOOSE(CONTROL!$C$42, 121.5, 121.5)*CHOOSE(CONTROL!$C$42, 30, 30))/1000000</f>
        <v>0.417717</v>
      </c>
      <c r="X95" s="57">
        <f>(30*0.1790888*100000/1000000)+(30*0.2374*100000/1000000)</f>
        <v>1.2494664</v>
      </c>
      <c r="Y95" s="57"/>
      <c r="Z95" s="10"/>
      <c r="AA95" s="56"/>
      <c r="AB95" s="50">
        <f>(B95*122.58+C95*297.941+D95*89.177+E95*40.302+F95*40+G95*160+H95*0+I95*100+J95*300)/(122.58+297.941+89.177+40.302+0+40+160+100+300)</f>
        <v>5.7081800392173907</v>
      </c>
      <c r="AC95" s="45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5.6929589928057549</v>
      </c>
    </row>
    <row r="96" spans="1:29" ht="15.75" x14ac:dyDescent="0.25">
      <c r="A96" s="16">
        <v>43800</v>
      </c>
      <c r="B96" s="10">
        <f>CHOOSE(CONTROL!$C$42, 6.0872, 6.0872) * CHOOSE(CONTROL!$C$21, $C$9, 100%, $E$9)</f>
        <v>6.0872000000000002</v>
      </c>
      <c r="C96" s="10">
        <f>CHOOSE(CONTROL!$C$42, 6.0922, 6.0922) * CHOOSE(CONTROL!$C$21, $C$9, 100%, $E$9)</f>
        <v>6.0922000000000001</v>
      </c>
      <c r="D96" s="10">
        <f>CHOOSE(CONTROL!$C$42, 6.1527, 6.1527) * CHOOSE(CONTROL!$C$21, $C$9, 100%, $E$9)</f>
        <v>6.1527000000000003</v>
      </c>
      <c r="E96" s="10">
        <f>CHOOSE(CONTROL!$C$42, 6.1864, 6.1864) * CHOOSE(CONTROL!$C$21, $C$9, 100%, $E$9)</f>
        <v>6.1863999999999999</v>
      </c>
      <c r="F96" s="10">
        <f>CHOOSE(CONTROL!$C$42, 6.0847, 6.0847)*CHOOSE(CONTROL!$C$21, $C$9, 100%, $E$9)</f>
        <v>6.0846999999999998</v>
      </c>
      <c r="G96" s="10">
        <f>CHOOSE(CONTROL!$C$42, 6.1004, 6.1004)*CHOOSE(CONTROL!$C$21, $C$9, 100%, $E$9)</f>
        <v>6.1003999999999996</v>
      </c>
      <c r="H96" s="10">
        <f>CHOOSE(CONTROL!$C$42, 6.1756, 6.1756) * CHOOSE(CONTROL!$C$21, $C$9, 100%, $E$9)</f>
        <v>6.1756000000000002</v>
      </c>
      <c r="I96" s="10">
        <f>CHOOSE(CONTROL!$C$42, 6.0997, 6.0997)* CHOOSE(CONTROL!$C$21, $C$9, 100%, $E$9)</f>
        <v>6.0997000000000003</v>
      </c>
      <c r="J96" s="10">
        <f>CHOOSE(CONTROL!$C$42, 6.0777, 6.0777)* CHOOSE(CONTROL!$C$21, $C$9, 100%, $E$9)</f>
        <v>6.0777000000000001</v>
      </c>
      <c r="K96" s="53">
        <f>CHOOSE(CONTROL!$C$42, 6.0958, 6.0958) * CHOOSE(CONTROL!$C$21, $C$9, 100%, $E$9)</f>
        <v>6.0957999999999997</v>
      </c>
      <c r="L96" s="10">
        <f>CHOOSE(CONTROL!$C$42, 6.7626, 6.7626) * CHOOSE(CONTROL!$C$21, $C$9, 100%, $E$9)</f>
        <v>6.7625999999999999</v>
      </c>
      <c r="M96" s="10">
        <f>CHOOSE(CONTROL!$C$42, 6.0302, 6.0302) * CHOOSE(CONTROL!$C$21, $C$9, 100%, $E$9)</f>
        <v>6.0301999999999998</v>
      </c>
      <c r="N96" s="10">
        <f>CHOOSE(CONTROL!$C$42, 6.0457, 6.0457) * CHOOSE(CONTROL!$C$21, $C$9, 100%, $E$9)</f>
        <v>6.0457000000000001</v>
      </c>
      <c r="O96" s="10">
        <f>CHOOSE(CONTROL!$C$42, 6.1271, 6.1271) * CHOOSE(CONTROL!$C$21, $C$9, 100%, $E$9)</f>
        <v>6.1271000000000004</v>
      </c>
      <c r="P96" s="10">
        <f>CHOOSE(CONTROL!$C$42, 6.052, 6.052) * CHOOSE(CONTROL!$C$21, $C$9, 100%, $E$9)</f>
        <v>6.0519999999999996</v>
      </c>
      <c r="Q96" s="10">
        <f>CHOOSE(CONTROL!$C$42, 6.7224, 6.7224) * CHOOSE(CONTROL!$C$21, $C$9, 100%, $E$9)</f>
        <v>6.7224000000000004</v>
      </c>
      <c r="R96" s="10">
        <f>CHOOSE(CONTROL!$C$42, 7.3262, 7.3262) * CHOOSE(CONTROL!$C$21, $C$9, 100%, $E$9)</f>
        <v>7.3262</v>
      </c>
      <c r="S96" s="10">
        <f>CHOOSE(CONTROL!$C$42, 5.9092, 5.9092) * CHOOSE(CONTROL!$C$21, $C$9, 100%, $E$9)</f>
        <v>5.9092000000000002</v>
      </c>
      <c r="T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57">
        <f>(1000*CHOOSE(CONTROL!$C$42, 695, 695)*CHOOSE(CONTROL!$C$42, 0.5599, 0.5599)*CHOOSE(CONTROL!$C$42, 31, 31))/1000000</f>
        <v>12.063045499999998</v>
      </c>
      <c r="V96" s="57">
        <f>(1000*CHOOSE(CONTROL!$C$42, 500, 500)*CHOOSE(CONTROL!$C$42, 0.275, 0.275)*CHOOSE(CONTROL!$C$42, 31, 31))/1000000</f>
        <v>4.2625000000000002</v>
      </c>
      <c r="W96" s="57">
        <f>(1000*CHOOSE(CONTROL!$C$42, 0.1146, 0.1146)*CHOOSE(CONTROL!$C$42, 121.5, 121.5)*CHOOSE(CONTROL!$C$42, 31, 31))/1000000</f>
        <v>0.43164089999999994</v>
      </c>
      <c r="X96" s="57">
        <f>(31*0.1790888*100000/1000000)+(31*0.2374*100000/1000000)</f>
        <v>1.2911152800000001</v>
      </c>
      <c r="Y96" s="57"/>
      <c r="Z96" s="10"/>
      <c r="AA96" s="56"/>
      <c r="AB96" s="50">
        <f>(B96*122.58+C96*297.941+D96*89.177+E96*40.302+F96*40+G96*160+H96*0+I96*100+J96*300)/(122.58+297.941+89.177+40.302+0+40+160+100+300)</f>
        <v>6.0974093538260883</v>
      </c>
      <c r="AC96" s="45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6.0781474820143888</v>
      </c>
    </row>
    <row r="97" spans="1:29" ht="15.75" x14ac:dyDescent="0.25">
      <c r="A97" s="16">
        <v>43831</v>
      </c>
      <c r="B97" s="10">
        <f>CHOOSE(CONTROL!$C$42, 6.5054, 6.5054) * CHOOSE(CONTROL!$C$21, $C$9, 100%, $E$9)</f>
        <v>6.5053999999999998</v>
      </c>
      <c r="C97" s="10">
        <f>CHOOSE(CONTROL!$C$42, 6.5103, 6.5103) * CHOOSE(CONTROL!$C$21, $C$9, 100%, $E$9)</f>
        <v>6.5103</v>
      </c>
      <c r="D97" s="10">
        <f>CHOOSE(CONTROL!$C$42, 6.5674, 6.5674) * CHOOSE(CONTROL!$C$21, $C$9, 100%, $E$9)</f>
        <v>6.5674000000000001</v>
      </c>
      <c r="E97" s="10">
        <f>CHOOSE(CONTROL!$C$42, 6.6012, 6.6012) * CHOOSE(CONTROL!$C$21, $C$9, 100%, $E$9)</f>
        <v>6.6012000000000004</v>
      </c>
      <c r="F97" s="10">
        <f>CHOOSE(CONTROL!$C$42, 6.5032, 6.5032)*CHOOSE(CONTROL!$C$21, $C$9, 100%, $E$9)</f>
        <v>6.5031999999999996</v>
      </c>
      <c r="G97" s="10">
        <f>CHOOSE(CONTROL!$C$42, 6.5178, 6.5178)*CHOOSE(CONTROL!$C$21, $C$9, 100%, $E$9)</f>
        <v>6.5178000000000003</v>
      </c>
      <c r="H97" s="10">
        <f>CHOOSE(CONTROL!$C$42, 6.5904, 6.5904) * CHOOSE(CONTROL!$C$21, $C$9, 100%, $E$9)</f>
        <v>6.5903999999999998</v>
      </c>
      <c r="I97" s="10">
        <f>CHOOSE(CONTROL!$C$42, 6.5162, 6.5162)* CHOOSE(CONTROL!$C$21, $C$9, 100%, $E$9)</f>
        <v>6.5162000000000004</v>
      </c>
      <c r="J97" s="10">
        <f>CHOOSE(CONTROL!$C$42, 6.4962, 6.4962)* CHOOSE(CONTROL!$C$21, $C$9, 100%, $E$9)</f>
        <v>6.4962</v>
      </c>
      <c r="K97" s="53">
        <f>CHOOSE(CONTROL!$C$42, 6.5123, 6.5123) * CHOOSE(CONTROL!$C$21, $C$9, 100%, $E$9)</f>
        <v>6.5122999999999998</v>
      </c>
      <c r="L97" s="10">
        <f>CHOOSE(CONTROL!$C$42, 7.1774, 7.1774) * CHOOSE(CONTROL!$C$21, $C$9, 100%, $E$9)</f>
        <v>7.1773999999999996</v>
      </c>
      <c r="M97" s="10">
        <f>CHOOSE(CONTROL!$C$42, 6.4444, 6.4444) * CHOOSE(CONTROL!$C$21, $C$9, 100%, $E$9)</f>
        <v>6.4443999999999999</v>
      </c>
      <c r="N97" s="10">
        <f>CHOOSE(CONTROL!$C$42, 6.4589, 6.4589) * CHOOSE(CONTROL!$C$21, $C$9, 100%, $E$9)</f>
        <v>6.4588999999999999</v>
      </c>
      <c r="O97" s="10">
        <f>CHOOSE(CONTROL!$C$42, 6.5377, 6.5377) * CHOOSE(CONTROL!$C$21, $C$9, 100%, $E$9)</f>
        <v>6.5377000000000001</v>
      </c>
      <c r="P97" s="10">
        <f>CHOOSE(CONTROL!$C$42, 6.4643, 6.4643) * CHOOSE(CONTROL!$C$21, $C$9, 100%, $E$9)</f>
        <v>6.4642999999999997</v>
      </c>
      <c r="Q97" s="10">
        <f>CHOOSE(CONTROL!$C$42, 7.133, 7.133) * CHOOSE(CONTROL!$C$21, $C$9, 100%, $E$9)</f>
        <v>7.133</v>
      </c>
      <c r="R97" s="10">
        <f>CHOOSE(CONTROL!$C$42, 7.7378, 7.7378) * CHOOSE(CONTROL!$C$21, $C$9, 100%, $E$9)</f>
        <v>7.7378</v>
      </c>
      <c r="S97" s="10">
        <f>CHOOSE(CONTROL!$C$42, 6.3152, 6.3152) * CHOOSE(CONTROL!$C$21, $C$9, 100%, $E$9)</f>
        <v>6.3151999999999999</v>
      </c>
      <c r="T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57">
        <f>(1000*CHOOSE(CONTROL!$C$42, 695, 695)*CHOOSE(CONTROL!$C$42, 0.5599, 0.5599)*CHOOSE(CONTROL!$C$42, 31, 31))/1000000</f>
        <v>12.063045499999998</v>
      </c>
      <c r="V97" s="57">
        <f>(1000*CHOOSE(CONTROL!$C$42, 500, 500)*CHOOSE(CONTROL!$C$42, 0.275, 0.275)*CHOOSE(CONTROL!$C$42, 31, 31))/1000000</f>
        <v>4.2625000000000002</v>
      </c>
      <c r="W97" s="57">
        <f>(1000*CHOOSE(CONTROL!$C$42, 0.1146, 0.1146)*CHOOSE(CONTROL!$C$42, 121.5, 121.5)*CHOOSE(CONTROL!$C$42, 31, 31))/1000000</f>
        <v>0.43164089999999994</v>
      </c>
      <c r="X97" s="57">
        <f>(31*0.1790888*100000/1000000)+(31*0.2374*100000/1000000)</f>
        <v>1.2911152800000001</v>
      </c>
      <c r="Y97" s="57"/>
      <c r="Z97" s="10"/>
      <c r="AA97" s="56"/>
      <c r="AB97" s="50">
        <f>(B97*122.58+C97*297.941+D97*89.177+E97*40.302+F97*40+G97*160+H97*0+I97*100+J97*300)/(122.58+297.941+89.177+40.302+0+40+160+100+300)</f>
        <v>6.5150224491304343</v>
      </c>
      <c r="AC97" s="45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6.4903848920863307</v>
      </c>
    </row>
    <row r="98" spans="1:29" ht="15.75" x14ac:dyDescent="0.25">
      <c r="A98" s="16">
        <v>43862</v>
      </c>
      <c r="B98" s="10">
        <f>CHOOSE(CONTROL!$C$42, 6.6211, 6.6211) * CHOOSE(CONTROL!$C$21, $C$9, 100%, $E$9)</f>
        <v>6.6211000000000002</v>
      </c>
      <c r="C98" s="10">
        <f>CHOOSE(CONTROL!$C$42, 6.6261, 6.6261) * CHOOSE(CONTROL!$C$21, $C$9, 100%, $E$9)</f>
        <v>6.6261000000000001</v>
      </c>
      <c r="D98" s="10">
        <f>CHOOSE(CONTROL!$C$42, 6.6831, 6.6831) * CHOOSE(CONTROL!$C$21, $C$9, 100%, $E$9)</f>
        <v>6.6830999999999996</v>
      </c>
      <c r="E98" s="10">
        <f>CHOOSE(CONTROL!$C$42, 6.7169, 6.7169) * CHOOSE(CONTROL!$C$21, $C$9, 100%, $E$9)</f>
        <v>6.7168999999999999</v>
      </c>
      <c r="F98" s="10">
        <f>CHOOSE(CONTROL!$C$42, 6.6191, 6.6191)*CHOOSE(CONTROL!$C$21, $C$9, 100%, $E$9)</f>
        <v>6.6191000000000004</v>
      </c>
      <c r="G98" s="10">
        <f>CHOOSE(CONTROL!$C$42, 6.6337, 6.6337)*CHOOSE(CONTROL!$C$21, $C$9, 100%, $E$9)</f>
        <v>6.6337000000000002</v>
      </c>
      <c r="H98" s="10">
        <f>CHOOSE(CONTROL!$C$42, 6.7061, 6.7061) * CHOOSE(CONTROL!$C$21, $C$9, 100%, $E$9)</f>
        <v>6.7061000000000002</v>
      </c>
      <c r="I98" s="10">
        <f>CHOOSE(CONTROL!$C$42, 6.6319, 6.6319)* CHOOSE(CONTROL!$C$21, $C$9, 100%, $E$9)</f>
        <v>6.6318999999999999</v>
      </c>
      <c r="J98" s="10">
        <f>CHOOSE(CONTROL!$C$42, 6.6121, 6.6121)* CHOOSE(CONTROL!$C$21, $C$9, 100%, $E$9)</f>
        <v>6.6120999999999999</v>
      </c>
      <c r="K98" s="53">
        <f>CHOOSE(CONTROL!$C$42, 6.628, 6.628) * CHOOSE(CONTROL!$C$21, $C$9, 100%, $E$9)</f>
        <v>6.6280000000000001</v>
      </c>
      <c r="L98" s="10">
        <f>CHOOSE(CONTROL!$C$42, 7.2931, 7.2931) * CHOOSE(CONTROL!$C$21, $C$9, 100%, $E$9)</f>
        <v>7.2930999999999999</v>
      </c>
      <c r="M98" s="10">
        <f>CHOOSE(CONTROL!$C$42, 6.5592, 6.5592) * CHOOSE(CONTROL!$C$21, $C$9, 100%, $E$9)</f>
        <v>6.5591999999999997</v>
      </c>
      <c r="N98" s="10">
        <f>CHOOSE(CONTROL!$C$42, 6.5737, 6.5737) * CHOOSE(CONTROL!$C$21, $C$9, 100%, $E$9)</f>
        <v>6.5736999999999997</v>
      </c>
      <c r="O98" s="10">
        <f>CHOOSE(CONTROL!$C$42, 6.6523, 6.6523) * CHOOSE(CONTROL!$C$21, $C$9, 100%, $E$9)</f>
        <v>6.6523000000000003</v>
      </c>
      <c r="P98" s="10">
        <f>CHOOSE(CONTROL!$C$42, 6.5788, 6.5788) * CHOOSE(CONTROL!$C$21, $C$9, 100%, $E$9)</f>
        <v>6.5788000000000002</v>
      </c>
      <c r="Q98" s="10">
        <f>CHOOSE(CONTROL!$C$42, 7.2476, 7.2476) * CHOOSE(CONTROL!$C$21, $C$9, 100%, $E$9)</f>
        <v>7.2476000000000003</v>
      </c>
      <c r="R98" s="10">
        <f>CHOOSE(CONTROL!$C$42, 7.8527, 7.8527) * CHOOSE(CONTROL!$C$21, $C$9, 100%, $E$9)</f>
        <v>7.8526999999999996</v>
      </c>
      <c r="S98" s="10">
        <f>CHOOSE(CONTROL!$C$42, 6.4276, 6.4276) * CHOOSE(CONTROL!$C$21, $C$9, 100%, $E$9)</f>
        <v>6.4276</v>
      </c>
      <c r="T9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8" s="57">
        <f>(1000*CHOOSE(CONTROL!$C$42, 695, 695)*CHOOSE(CONTROL!$C$42, 0.5599, 0.5599)*CHOOSE(CONTROL!$C$42, 29, 29))/1000000</f>
        <v>11.284784499999999</v>
      </c>
      <c r="V98" s="57">
        <f>(1000*CHOOSE(CONTROL!$C$42, 500, 500)*CHOOSE(CONTROL!$C$42, 0.275, 0.275)*CHOOSE(CONTROL!$C$42, 29, 29))/1000000</f>
        <v>3.9874999999999998</v>
      </c>
      <c r="W98" s="57">
        <f>(1000*CHOOSE(CONTROL!$C$42, 0.1146, 0.1146)*CHOOSE(CONTROL!$C$42, 121.5, 121.5)*CHOOSE(CONTROL!$C$42, 29, 29))/1000000</f>
        <v>0.40379309999999996</v>
      </c>
      <c r="X98" s="57">
        <f>(29*0.1790888*100000/1000000)+(29*0.2374*100000/1000000)</f>
        <v>1.2078175199999999</v>
      </c>
      <c r="Y98" s="57"/>
      <c r="Z98" s="10"/>
      <c r="AA98" s="56"/>
      <c r="AB98" s="50">
        <f>(B98*122.58+C98*297.941+D98*89.177+E98*40.302+F98*40+G98*160+H98*0+I98*100+J98*300)/(122.58+297.941+89.177+40.302+0+40+160+100+300)</f>
        <v>6.6308353135652176</v>
      </c>
      <c r="AC98" s="45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6.6050510791366914</v>
      </c>
    </row>
    <row r="99" spans="1:29" ht="15.75" x14ac:dyDescent="0.25">
      <c r="A99" s="16">
        <v>43891</v>
      </c>
      <c r="B99" s="10">
        <f>CHOOSE(CONTROL!$C$42, 6.4332, 6.4332) * CHOOSE(CONTROL!$C$21, $C$9, 100%, $E$9)</f>
        <v>6.4332000000000003</v>
      </c>
      <c r="C99" s="10">
        <f>CHOOSE(CONTROL!$C$42, 6.4382, 6.4382) * CHOOSE(CONTROL!$C$21, $C$9, 100%, $E$9)</f>
        <v>6.4382000000000001</v>
      </c>
      <c r="D99" s="10">
        <f>CHOOSE(CONTROL!$C$42, 6.4952, 6.4952) * CHOOSE(CONTROL!$C$21, $C$9, 100%, $E$9)</f>
        <v>6.4951999999999996</v>
      </c>
      <c r="E99" s="10">
        <f>CHOOSE(CONTROL!$C$42, 6.529, 6.529) * CHOOSE(CONTROL!$C$21, $C$9, 100%, $E$9)</f>
        <v>6.5289999999999999</v>
      </c>
      <c r="F99" s="10">
        <f>CHOOSE(CONTROL!$C$42, 6.431, 6.431)*CHOOSE(CONTROL!$C$21, $C$9, 100%, $E$9)</f>
        <v>6.431</v>
      </c>
      <c r="G99" s="10">
        <f>CHOOSE(CONTROL!$C$42, 6.4456, 6.4456)*CHOOSE(CONTROL!$C$21, $C$9, 100%, $E$9)</f>
        <v>6.4455999999999998</v>
      </c>
      <c r="H99" s="10">
        <f>CHOOSE(CONTROL!$C$42, 6.5182, 6.5182) * CHOOSE(CONTROL!$C$21, $C$9, 100%, $E$9)</f>
        <v>6.5182000000000002</v>
      </c>
      <c r="I99" s="10">
        <f>CHOOSE(CONTROL!$C$42, 6.444, 6.444)* CHOOSE(CONTROL!$C$21, $C$9, 100%, $E$9)</f>
        <v>6.444</v>
      </c>
      <c r="J99" s="10">
        <f>CHOOSE(CONTROL!$C$42, 6.424, 6.424)* CHOOSE(CONTROL!$C$21, $C$9, 100%, $E$9)</f>
        <v>6.4240000000000004</v>
      </c>
      <c r="K99" s="53">
        <f>CHOOSE(CONTROL!$C$42, 6.4401, 6.4401) * CHOOSE(CONTROL!$C$21, $C$9, 100%, $E$9)</f>
        <v>6.4401000000000002</v>
      </c>
      <c r="L99" s="10">
        <f>CHOOSE(CONTROL!$C$42, 7.1052, 7.1052) * CHOOSE(CONTROL!$C$21, $C$9, 100%, $E$9)</f>
        <v>7.1052</v>
      </c>
      <c r="M99" s="10">
        <f>CHOOSE(CONTROL!$C$42, 6.373, 6.373) * CHOOSE(CONTROL!$C$21, $C$9, 100%, $E$9)</f>
        <v>6.3730000000000002</v>
      </c>
      <c r="N99" s="10">
        <f>CHOOSE(CONTROL!$C$42, 6.3875, 6.3875) * CHOOSE(CONTROL!$C$21, $C$9, 100%, $E$9)</f>
        <v>6.3875000000000002</v>
      </c>
      <c r="O99" s="10">
        <f>CHOOSE(CONTROL!$C$42, 6.4663, 6.4663) * CHOOSE(CONTROL!$C$21, $C$9, 100%, $E$9)</f>
        <v>6.4663000000000004</v>
      </c>
      <c r="P99" s="10">
        <f>CHOOSE(CONTROL!$C$42, 6.3929, 6.3929) * CHOOSE(CONTROL!$C$21, $C$9, 100%, $E$9)</f>
        <v>6.3929</v>
      </c>
      <c r="Q99" s="10">
        <f>CHOOSE(CONTROL!$C$42, 7.0616, 7.0616) * CHOOSE(CONTROL!$C$21, $C$9, 100%, $E$9)</f>
        <v>7.0616000000000003</v>
      </c>
      <c r="R99" s="10">
        <f>CHOOSE(CONTROL!$C$42, 7.6662, 7.6662) * CHOOSE(CONTROL!$C$21, $C$9, 100%, $E$9)</f>
        <v>7.6661999999999999</v>
      </c>
      <c r="S99" s="10">
        <f>CHOOSE(CONTROL!$C$42, 6.2452, 6.2452) * CHOOSE(CONTROL!$C$21, $C$9, 100%, $E$9)</f>
        <v>6.2451999999999996</v>
      </c>
      <c r="T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57">
        <f>(1000*CHOOSE(CONTROL!$C$42, 695, 695)*CHOOSE(CONTROL!$C$42, 0.5599, 0.5599)*CHOOSE(CONTROL!$C$42, 31, 31))/1000000</f>
        <v>12.063045499999998</v>
      </c>
      <c r="V99" s="57">
        <f>(1000*CHOOSE(CONTROL!$C$42, 500, 500)*CHOOSE(CONTROL!$C$42, 0.275, 0.275)*CHOOSE(CONTROL!$C$42, 31, 31))/1000000</f>
        <v>4.2625000000000002</v>
      </c>
      <c r="W99" s="57">
        <f>(1000*CHOOSE(CONTROL!$C$42, 0.1146, 0.1146)*CHOOSE(CONTROL!$C$42, 121.5, 121.5)*CHOOSE(CONTROL!$C$42, 31, 31))/1000000</f>
        <v>0.43164089999999994</v>
      </c>
      <c r="X99" s="57">
        <f>(31*0.1790888*100000/1000000)+(31*0.2374*100000/1000000)</f>
        <v>1.2911152800000001</v>
      </c>
      <c r="Y99" s="57"/>
      <c r="Z99" s="10"/>
      <c r="AA99" s="56"/>
      <c r="AB99" s="50">
        <f>(B99*122.58+C99*297.941+D99*89.177+E99*40.302+F99*40+G99*160+H99*0+I99*100+J99*300)/(122.58+297.941+89.177+40.302+0+40+160+100+300)</f>
        <v>6.442848357043478</v>
      </c>
      <c r="AC99" s="45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6.4189848920863302</v>
      </c>
    </row>
    <row r="100" spans="1:29" ht="15.75" x14ac:dyDescent="0.25">
      <c r="A100" s="16">
        <v>43922</v>
      </c>
      <c r="B100" s="10">
        <f>CHOOSE(CONTROL!$C$42, 6.4151, 6.4151) * CHOOSE(CONTROL!$C$21, $C$9, 100%, $E$9)</f>
        <v>6.4150999999999998</v>
      </c>
      <c r="C100" s="10">
        <f>CHOOSE(CONTROL!$C$42, 6.4195, 6.4195) * CHOOSE(CONTROL!$C$21, $C$9, 100%, $E$9)</f>
        <v>6.4195000000000002</v>
      </c>
      <c r="D100" s="10">
        <f>CHOOSE(CONTROL!$C$42, 6.6254, 6.6254) * CHOOSE(CONTROL!$C$21, $C$9, 100%, $E$9)</f>
        <v>6.6254</v>
      </c>
      <c r="E100" s="10">
        <f>CHOOSE(CONTROL!$C$42, 6.6572, 6.6572) * CHOOSE(CONTROL!$C$21, $C$9, 100%, $E$9)</f>
        <v>6.6571999999999996</v>
      </c>
      <c r="F100" s="10">
        <f>CHOOSE(CONTROL!$C$42, 6.3919, 6.3919)*CHOOSE(CONTROL!$C$21, $C$9, 100%, $E$9)</f>
        <v>6.3918999999999997</v>
      </c>
      <c r="G100" s="10">
        <f>CHOOSE(CONTROL!$C$42, 6.4064, 6.4064)*CHOOSE(CONTROL!$C$21, $C$9, 100%, $E$9)</f>
        <v>6.4063999999999997</v>
      </c>
      <c r="H100" s="10">
        <f>CHOOSE(CONTROL!$C$42, 6.647, 6.647) * CHOOSE(CONTROL!$C$21, $C$9, 100%, $E$9)</f>
        <v>6.6470000000000002</v>
      </c>
      <c r="I100" s="10">
        <f>CHOOSE(CONTROL!$C$42, 6.4166, 6.4166)* CHOOSE(CONTROL!$C$21, $C$9, 100%, $E$9)</f>
        <v>6.4165999999999999</v>
      </c>
      <c r="J100" s="10">
        <f>CHOOSE(CONTROL!$C$42, 6.3849, 6.3849)* CHOOSE(CONTROL!$C$21, $C$9, 100%, $E$9)</f>
        <v>6.3849</v>
      </c>
      <c r="K100" s="53">
        <f>CHOOSE(CONTROL!$C$42, 6.4127, 6.4127) * CHOOSE(CONTROL!$C$21, $C$9, 100%, $E$9)</f>
        <v>6.4127000000000001</v>
      </c>
      <c r="L100" s="10">
        <f>CHOOSE(CONTROL!$C$42, 7.234, 7.234) * CHOOSE(CONTROL!$C$21, $C$9, 100%, $E$9)</f>
        <v>7.234</v>
      </c>
      <c r="M100" s="10">
        <f>CHOOSE(CONTROL!$C$42, 6.3343, 6.3343) * CHOOSE(CONTROL!$C$21, $C$9, 100%, $E$9)</f>
        <v>6.3342999999999998</v>
      </c>
      <c r="N100" s="10">
        <f>CHOOSE(CONTROL!$C$42, 6.3487, 6.3487) * CHOOSE(CONTROL!$C$21, $C$9, 100%, $E$9)</f>
        <v>6.3487</v>
      </c>
      <c r="O100" s="10">
        <f>CHOOSE(CONTROL!$C$42, 6.5937, 6.5937) * CHOOSE(CONTROL!$C$21, $C$9, 100%, $E$9)</f>
        <v>6.5937000000000001</v>
      </c>
      <c r="P100" s="10">
        <f>CHOOSE(CONTROL!$C$42, 6.3657, 6.3657) * CHOOSE(CONTROL!$C$21, $C$9, 100%, $E$9)</f>
        <v>6.3657000000000004</v>
      </c>
      <c r="Q100" s="10">
        <f>CHOOSE(CONTROL!$C$42, 7.189, 7.189) * CHOOSE(CONTROL!$C$21, $C$9, 100%, $E$9)</f>
        <v>7.1890000000000001</v>
      </c>
      <c r="R100" s="10">
        <f>CHOOSE(CONTROL!$C$42, 7.794, 7.794) * CHOOSE(CONTROL!$C$21, $C$9, 100%, $E$9)</f>
        <v>7.7939999999999996</v>
      </c>
      <c r="S100" s="10">
        <f>CHOOSE(CONTROL!$C$42, 6.2268, 6.2268) * CHOOSE(CONTROL!$C$21, $C$9, 100%, $E$9)</f>
        <v>6.2267999999999999</v>
      </c>
      <c r="T1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57">
        <f>(1000*CHOOSE(CONTROL!$C$42, 695, 695)*CHOOSE(CONTROL!$C$42, 0.5599, 0.5599)*CHOOSE(CONTROL!$C$42, 30, 30))/1000000</f>
        <v>11.673914999999997</v>
      </c>
      <c r="V100" s="57">
        <f>(1000*CHOOSE(CONTROL!$C$42, 500, 500)*CHOOSE(CONTROL!$C$42, 0.275, 0.275)*CHOOSE(CONTROL!$C$42, 30, 30))/1000000</f>
        <v>4.125</v>
      </c>
      <c r="W100" s="57">
        <f>(1000*CHOOSE(CONTROL!$C$42, 0.1146, 0.1146)*CHOOSE(CONTROL!$C$42, 121.5, 121.5)*CHOOSE(CONTROL!$C$42, 30, 30))/1000000</f>
        <v>0.417717</v>
      </c>
      <c r="X100" s="57">
        <f>(30*0.1790888*245000/1000000)+(30*0.2374*100000/1000000)</f>
        <v>2.0285026799999999</v>
      </c>
      <c r="Y100" s="57"/>
      <c r="Z100" s="10"/>
      <c r="AA100" s="56"/>
      <c r="AB100" s="50">
        <f>(B100*141.293+C100*267.993+D100*115.016+E100*89.698+F100*40+G100*185+H100*0+I100*100+J100*300)/(141.293+267.993+115.016+89.698+0+40+185+100+300)</f>
        <v>6.4438614364810336</v>
      </c>
      <c r="AC100" s="45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6.4149143884892084</v>
      </c>
    </row>
    <row r="101" spans="1:29" ht="15.75" x14ac:dyDescent="0.25">
      <c r="A101" s="16">
        <v>43952</v>
      </c>
      <c r="B101" s="10">
        <f>CHOOSE(CONTROL!$C$42, 6.4731, 6.4731) * CHOOSE(CONTROL!$C$21, $C$9, 100%, $E$9)</f>
        <v>6.4730999999999996</v>
      </c>
      <c r="C101" s="10">
        <f>CHOOSE(CONTROL!$C$42, 6.481, 6.481) * CHOOSE(CONTROL!$C$21, $C$9, 100%, $E$9)</f>
        <v>6.4809999999999999</v>
      </c>
      <c r="D101" s="10">
        <f>CHOOSE(CONTROL!$C$42, 6.6838, 6.6838) * CHOOSE(CONTROL!$C$21, $C$9, 100%, $E$9)</f>
        <v>6.6837999999999997</v>
      </c>
      <c r="E101" s="10">
        <f>CHOOSE(CONTROL!$C$42, 6.7149, 6.7149) * CHOOSE(CONTROL!$C$21, $C$9, 100%, $E$9)</f>
        <v>6.7149000000000001</v>
      </c>
      <c r="F101" s="10">
        <f>CHOOSE(CONTROL!$C$42, 6.4488, 6.4488)*CHOOSE(CONTROL!$C$21, $C$9, 100%, $E$9)</f>
        <v>6.4488000000000003</v>
      </c>
      <c r="G101" s="10">
        <f>CHOOSE(CONTROL!$C$42, 6.4638, 6.4638)*CHOOSE(CONTROL!$C$21, $C$9, 100%, $E$9)</f>
        <v>6.4638</v>
      </c>
      <c r="H101" s="10">
        <f>CHOOSE(CONTROL!$C$42, 6.7035, 6.7035) * CHOOSE(CONTROL!$C$21, $C$9, 100%, $E$9)</f>
        <v>6.7035</v>
      </c>
      <c r="I101" s="10">
        <f>CHOOSE(CONTROL!$C$42, 6.4732, 6.4732)* CHOOSE(CONTROL!$C$21, $C$9, 100%, $E$9)</f>
        <v>6.4732000000000003</v>
      </c>
      <c r="J101" s="10">
        <f>CHOOSE(CONTROL!$C$42, 6.4418, 6.4418)* CHOOSE(CONTROL!$C$21, $C$9, 100%, $E$9)</f>
        <v>6.4417999999999997</v>
      </c>
      <c r="K101" s="53">
        <f>CHOOSE(CONTROL!$C$42, 6.4693, 6.4693) * CHOOSE(CONTROL!$C$21, $C$9, 100%, $E$9)</f>
        <v>6.4692999999999996</v>
      </c>
      <c r="L101" s="10">
        <f>CHOOSE(CONTROL!$C$42, 7.2905, 7.2905) * CHOOSE(CONTROL!$C$21, $C$9, 100%, $E$9)</f>
        <v>7.2904999999999998</v>
      </c>
      <c r="M101" s="10">
        <f>CHOOSE(CONTROL!$C$42, 6.3907, 6.3907) * CHOOSE(CONTROL!$C$21, $C$9, 100%, $E$9)</f>
        <v>6.3906999999999998</v>
      </c>
      <c r="N101" s="10">
        <f>CHOOSE(CONTROL!$C$42, 6.4055, 6.4055) * CHOOSE(CONTROL!$C$21, $C$9, 100%, $E$9)</f>
        <v>6.4055</v>
      </c>
      <c r="O101" s="10">
        <f>CHOOSE(CONTROL!$C$42, 6.6497, 6.6497) * CHOOSE(CONTROL!$C$21, $C$9, 100%, $E$9)</f>
        <v>6.6497000000000002</v>
      </c>
      <c r="P101" s="10">
        <f>CHOOSE(CONTROL!$C$42, 6.4217, 6.4217) * CHOOSE(CONTROL!$C$21, $C$9, 100%, $E$9)</f>
        <v>6.4217000000000004</v>
      </c>
      <c r="Q101" s="10">
        <f>CHOOSE(CONTROL!$C$42, 7.245, 7.245) * CHOOSE(CONTROL!$C$21, $C$9, 100%, $E$9)</f>
        <v>7.2450000000000001</v>
      </c>
      <c r="R101" s="10">
        <f>CHOOSE(CONTROL!$C$42, 7.8501, 7.8501) * CHOOSE(CONTROL!$C$21, $C$9, 100%, $E$9)</f>
        <v>7.8501000000000003</v>
      </c>
      <c r="S101" s="10">
        <f>CHOOSE(CONTROL!$C$42, 6.2818, 6.2818) * CHOOSE(CONTROL!$C$21, $C$9, 100%, $E$9)</f>
        <v>6.2817999999999996</v>
      </c>
      <c r="T1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57">
        <f>(1000*CHOOSE(CONTROL!$C$42, 695, 695)*CHOOSE(CONTROL!$C$42, 0.5599, 0.5599)*CHOOSE(CONTROL!$C$42, 31, 31))/1000000</f>
        <v>12.063045499999998</v>
      </c>
      <c r="V101" s="57">
        <f>(1000*CHOOSE(CONTROL!$C$42, 500, 500)*CHOOSE(CONTROL!$C$42, 0.275, 0.275)*CHOOSE(CONTROL!$C$42, 31, 31))/1000000</f>
        <v>4.2625000000000002</v>
      </c>
      <c r="W101" s="57">
        <f>(1000*CHOOSE(CONTROL!$C$42, 0.1146, 0.1146)*CHOOSE(CONTROL!$C$42, 121.5, 121.5)*CHOOSE(CONTROL!$C$42, 31, 31))/1000000</f>
        <v>0.43164089999999994</v>
      </c>
      <c r="X101" s="57">
        <f>(31*0.1790888*245000/1000000)+(31*0.2374*100000/1000000)</f>
        <v>2.0961194359999999</v>
      </c>
      <c r="Y101" s="57"/>
      <c r="Z101" s="10"/>
      <c r="AA101" s="56"/>
      <c r="AB101" s="50">
        <f>(B101*194.205+C101*267.466+D101*133.845+E101*53.484+F101*40+G101*185+H101*0+I101*100+J101*300)/(194.205+267.466+133.845+53.484+0+40+185+100+300)</f>
        <v>6.4975694302197802</v>
      </c>
      <c r="AC101" s="45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6.4712366906474825</v>
      </c>
    </row>
    <row r="102" spans="1:29" ht="15.75" x14ac:dyDescent="0.25">
      <c r="A102" s="16">
        <v>43983</v>
      </c>
      <c r="B102" s="10">
        <f>CHOOSE(CONTROL!$C$42, 6.6566, 6.6566) * CHOOSE(CONTROL!$C$21, $C$9, 100%, $E$9)</f>
        <v>6.6566000000000001</v>
      </c>
      <c r="C102" s="10">
        <f>CHOOSE(CONTROL!$C$42, 6.6645, 6.6645) * CHOOSE(CONTROL!$C$21, $C$9, 100%, $E$9)</f>
        <v>6.6645000000000003</v>
      </c>
      <c r="D102" s="10">
        <f>CHOOSE(CONTROL!$C$42, 6.8672, 6.8672) * CHOOSE(CONTROL!$C$21, $C$9, 100%, $E$9)</f>
        <v>6.8672000000000004</v>
      </c>
      <c r="E102" s="10">
        <f>CHOOSE(CONTROL!$C$42, 6.8984, 6.8984) * CHOOSE(CONTROL!$C$21, $C$9, 100%, $E$9)</f>
        <v>6.8983999999999996</v>
      </c>
      <c r="F102" s="10">
        <f>CHOOSE(CONTROL!$C$42, 6.6328, 6.6328)*CHOOSE(CONTROL!$C$21, $C$9, 100%, $E$9)</f>
        <v>6.6327999999999996</v>
      </c>
      <c r="G102" s="10">
        <f>CHOOSE(CONTROL!$C$42, 6.648, 6.648)*CHOOSE(CONTROL!$C$21, $C$9, 100%, $E$9)</f>
        <v>6.6479999999999997</v>
      </c>
      <c r="H102" s="10">
        <f>CHOOSE(CONTROL!$C$42, 6.887, 6.887) * CHOOSE(CONTROL!$C$21, $C$9, 100%, $E$9)</f>
        <v>6.8869999999999996</v>
      </c>
      <c r="I102" s="10">
        <f>CHOOSE(CONTROL!$C$42, 6.6566, 6.6566)* CHOOSE(CONTROL!$C$21, $C$9, 100%, $E$9)</f>
        <v>6.6566000000000001</v>
      </c>
      <c r="J102" s="10">
        <f>CHOOSE(CONTROL!$C$42, 6.6258, 6.6258)* CHOOSE(CONTROL!$C$21, $C$9, 100%, $E$9)</f>
        <v>6.6257999999999999</v>
      </c>
      <c r="K102" s="53">
        <f>CHOOSE(CONTROL!$C$42, 6.6527, 6.6527) * CHOOSE(CONTROL!$C$21, $C$9, 100%, $E$9)</f>
        <v>6.6527000000000003</v>
      </c>
      <c r="L102" s="10">
        <f>CHOOSE(CONTROL!$C$42, 7.474, 7.474) * CHOOSE(CONTROL!$C$21, $C$9, 100%, $E$9)</f>
        <v>7.4740000000000002</v>
      </c>
      <c r="M102" s="10">
        <f>CHOOSE(CONTROL!$C$42, 6.5728, 6.5728) * CHOOSE(CONTROL!$C$21, $C$9, 100%, $E$9)</f>
        <v>6.5728</v>
      </c>
      <c r="N102" s="10">
        <f>CHOOSE(CONTROL!$C$42, 6.5878, 6.5878) * CHOOSE(CONTROL!$C$21, $C$9, 100%, $E$9)</f>
        <v>6.5877999999999997</v>
      </c>
      <c r="O102" s="10">
        <f>CHOOSE(CONTROL!$C$42, 6.8313, 6.8313) * CHOOSE(CONTROL!$C$21, $C$9, 100%, $E$9)</f>
        <v>6.8312999999999997</v>
      </c>
      <c r="P102" s="10">
        <f>CHOOSE(CONTROL!$C$42, 6.6033, 6.6033) * CHOOSE(CONTROL!$C$21, $C$9, 100%, $E$9)</f>
        <v>6.6032999999999999</v>
      </c>
      <c r="Q102" s="10">
        <f>CHOOSE(CONTROL!$C$42, 7.4266, 7.4266) * CHOOSE(CONTROL!$C$21, $C$9, 100%, $E$9)</f>
        <v>7.4265999999999996</v>
      </c>
      <c r="R102" s="10">
        <f>CHOOSE(CONTROL!$C$42, 8.0322, 8.0322) * CHOOSE(CONTROL!$C$21, $C$9, 100%, $E$9)</f>
        <v>8.0321999999999996</v>
      </c>
      <c r="S102" s="10">
        <f>CHOOSE(CONTROL!$C$42, 6.46, 6.46) * CHOOSE(CONTROL!$C$21, $C$9, 100%, $E$9)</f>
        <v>6.46</v>
      </c>
      <c r="T1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57">
        <f>(1000*CHOOSE(CONTROL!$C$42, 695, 695)*CHOOSE(CONTROL!$C$42, 0.5599, 0.5599)*CHOOSE(CONTROL!$C$42, 30, 30))/1000000</f>
        <v>11.673914999999997</v>
      </c>
      <c r="V102" s="57">
        <f>(1000*CHOOSE(CONTROL!$C$42, 500, 500)*CHOOSE(CONTROL!$C$42, 0.275, 0.275)*CHOOSE(CONTROL!$C$42, 30, 30))/1000000</f>
        <v>4.125</v>
      </c>
      <c r="W102" s="57">
        <f>(1000*CHOOSE(CONTROL!$C$42, 0.1146, 0.1146)*CHOOSE(CONTROL!$C$42, 121.5, 121.5)*CHOOSE(CONTROL!$C$42, 30, 30))/1000000</f>
        <v>0.417717</v>
      </c>
      <c r="X102" s="57">
        <f>(30*0.1790888*245000/1000000)+(30*0.2374*100000/1000000)</f>
        <v>2.0285026799999999</v>
      </c>
      <c r="Y102" s="57"/>
      <c r="Z102" s="10"/>
      <c r="AA102" s="56"/>
      <c r="AB102" s="50">
        <f>(B102*194.205+C102*267.466+D102*133.845+E102*53.484+F102*40+G102*185+H102*0+I102*100+J102*300)/(194.205+267.466+133.845+53.484+0+40+185+100+300)</f>
        <v>6.6812861613814762</v>
      </c>
      <c r="AC102" s="45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6.6531705035971216</v>
      </c>
    </row>
    <row r="103" spans="1:29" ht="15.75" x14ac:dyDescent="0.25">
      <c r="A103" s="16">
        <v>44013</v>
      </c>
      <c r="B103" s="10">
        <f>CHOOSE(CONTROL!$C$42, 6.529, 6.529) * CHOOSE(CONTROL!$C$21, $C$9, 100%, $E$9)</f>
        <v>6.5289999999999999</v>
      </c>
      <c r="C103" s="10">
        <f>CHOOSE(CONTROL!$C$42, 6.5369, 6.5369) * CHOOSE(CONTROL!$C$21, $C$9, 100%, $E$9)</f>
        <v>6.5369000000000002</v>
      </c>
      <c r="D103" s="10">
        <f>CHOOSE(CONTROL!$C$42, 6.7396, 6.7396) * CHOOSE(CONTROL!$C$21, $C$9, 100%, $E$9)</f>
        <v>6.7396000000000003</v>
      </c>
      <c r="E103" s="10">
        <f>CHOOSE(CONTROL!$C$42, 6.7708, 6.7708) * CHOOSE(CONTROL!$C$21, $C$9, 100%, $E$9)</f>
        <v>6.7708000000000004</v>
      </c>
      <c r="F103" s="10">
        <f>CHOOSE(CONTROL!$C$42, 6.5057, 6.5057)*CHOOSE(CONTROL!$C$21, $C$9, 100%, $E$9)</f>
        <v>6.5057</v>
      </c>
      <c r="G103" s="10">
        <f>CHOOSE(CONTROL!$C$42, 6.521, 6.521)*CHOOSE(CONTROL!$C$21, $C$9, 100%, $E$9)</f>
        <v>6.5209999999999999</v>
      </c>
      <c r="H103" s="10">
        <f>CHOOSE(CONTROL!$C$42, 6.7594, 6.7594) * CHOOSE(CONTROL!$C$21, $C$9, 100%, $E$9)</f>
        <v>6.7594000000000003</v>
      </c>
      <c r="I103" s="10">
        <f>CHOOSE(CONTROL!$C$42, 6.529, 6.529)* CHOOSE(CONTROL!$C$21, $C$9, 100%, $E$9)</f>
        <v>6.5289999999999999</v>
      </c>
      <c r="J103" s="10">
        <f>CHOOSE(CONTROL!$C$42, 6.4987, 6.4987)* CHOOSE(CONTROL!$C$21, $C$9, 100%, $E$9)</f>
        <v>6.4987000000000004</v>
      </c>
      <c r="K103" s="53">
        <f>CHOOSE(CONTROL!$C$42, 6.5251, 6.5251) * CHOOSE(CONTROL!$C$21, $C$9, 100%, $E$9)</f>
        <v>6.5251000000000001</v>
      </c>
      <c r="L103" s="10">
        <f>CHOOSE(CONTROL!$C$42, 7.3464, 7.3464) * CHOOSE(CONTROL!$C$21, $C$9, 100%, $E$9)</f>
        <v>7.3464</v>
      </c>
      <c r="M103" s="10">
        <f>CHOOSE(CONTROL!$C$42, 6.447, 6.447) * CHOOSE(CONTROL!$C$21, $C$9, 100%, $E$9)</f>
        <v>6.4470000000000001</v>
      </c>
      <c r="N103" s="10">
        <f>CHOOSE(CONTROL!$C$42, 6.4621, 6.4621) * CHOOSE(CONTROL!$C$21, $C$9, 100%, $E$9)</f>
        <v>6.4621000000000004</v>
      </c>
      <c r="O103" s="10">
        <f>CHOOSE(CONTROL!$C$42, 6.705, 6.705) * CHOOSE(CONTROL!$C$21, $C$9, 100%, $E$9)</f>
        <v>6.7050000000000001</v>
      </c>
      <c r="P103" s="10">
        <f>CHOOSE(CONTROL!$C$42, 6.477, 6.477) * CHOOSE(CONTROL!$C$21, $C$9, 100%, $E$9)</f>
        <v>6.4770000000000003</v>
      </c>
      <c r="Q103" s="10">
        <f>CHOOSE(CONTROL!$C$42, 7.3003, 7.3003) * CHOOSE(CONTROL!$C$21, $C$9, 100%, $E$9)</f>
        <v>7.3003</v>
      </c>
      <c r="R103" s="10">
        <f>CHOOSE(CONTROL!$C$42, 7.9056, 7.9056) * CHOOSE(CONTROL!$C$21, $C$9, 100%, $E$9)</f>
        <v>7.9055999999999997</v>
      </c>
      <c r="S103" s="10">
        <f>CHOOSE(CONTROL!$C$42, 6.336, 6.336) * CHOOSE(CONTROL!$C$21, $C$9, 100%, $E$9)</f>
        <v>6.3360000000000003</v>
      </c>
      <c r="T1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57">
        <f>(1000*CHOOSE(CONTROL!$C$42, 695, 695)*CHOOSE(CONTROL!$C$42, 0.5599, 0.5599)*CHOOSE(CONTROL!$C$42, 31, 31))/1000000</f>
        <v>12.063045499999998</v>
      </c>
      <c r="V103" s="57">
        <f>(1000*CHOOSE(CONTROL!$C$42, 500, 500)*CHOOSE(CONTROL!$C$42, 0.275, 0.275)*CHOOSE(CONTROL!$C$42, 31, 31))/1000000</f>
        <v>4.2625000000000002</v>
      </c>
      <c r="W103" s="57">
        <f>(1000*CHOOSE(CONTROL!$C$42, 0.1146, 0.1146)*CHOOSE(CONTROL!$C$42, 121.5, 121.5)*CHOOSE(CONTROL!$C$42, 31, 31))/1000000</f>
        <v>0.43164089999999994</v>
      </c>
      <c r="X103" s="57">
        <f>(31*0.1790888*245000/1000000)+(31*0.2374*100000/1000000)</f>
        <v>2.0961194359999999</v>
      </c>
      <c r="Y103" s="57"/>
      <c r="Z103" s="10"/>
      <c r="AA103" s="56"/>
      <c r="AB103" s="50">
        <f>(B103*194.205+C103*267.466+D103*133.845+E103*53.484+F103*40+G103*185+H103*0+I103*100+J103*300)/(194.205+267.466+133.845+53.484+0+40+185+100+300)</f>
        <v>6.553906726530613</v>
      </c>
      <c r="AC103" s="45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6.5271812949640298</v>
      </c>
    </row>
    <row r="104" spans="1:29" ht="15.75" x14ac:dyDescent="0.25">
      <c r="A104" s="16">
        <v>44044</v>
      </c>
      <c r="B104" s="10">
        <f>CHOOSE(CONTROL!$C$42, 6.2068, 6.2068) * CHOOSE(CONTROL!$C$21, $C$9, 100%, $E$9)</f>
        <v>6.2068000000000003</v>
      </c>
      <c r="C104" s="10">
        <f>CHOOSE(CONTROL!$C$42, 6.2147, 6.2147) * CHOOSE(CONTROL!$C$21, $C$9, 100%, $E$9)</f>
        <v>6.2146999999999997</v>
      </c>
      <c r="D104" s="10">
        <f>CHOOSE(CONTROL!$C$42, 6.4174, 6.4174) * CHOOSE(CONTROL!$C$21, $C$9, 100%, $E$9)</f>
        <v>6.4173999999999998</v>
      </c>
      <c r="E104" s="10">
        <f>CHOOSE(CONTROL!$C$42, 6.4485, 6.4485) * CHOOSE(CONTROL!$C$21, $C$9, 100%, $E$9)</f>
        <v>6.4485000000000001</v>
      </c>
      <c r="F104" s="10">
        <f>CHOOSE(CONTROL!$C$42, 6.1837, 6.1837)*CHOOSE(CONTROL!$C$21, $C$9, 100%, $E$9)</f>
        <v>6.1837</v>
      </c>
      <c r="G104" s="10">
        <f>CHOOSE(CONTROL!$C$42, 6.199, 6.199)*CHOOSE(CONTROL!$C$21, $C$9, 100%, $E$9)</f>
        <v>6.1989999999999998</v>
      </c>
      <c r="H104" s="10">
        <f>CHOOSE(CONTROL!$C$42, 6.4372, 6.4372) * CHOOSE(CONTROL!$C$21, $C$9, 100%, $E$9)</f>
        <v>6.4371999999999998</v>
      </c>
      <c r="I104" s="10">
        <f>CHOOSE(CONTROL!$C$42, 6.2068, 6.2068)* CHOOSE(CONTROL!$C$21, $C$9, 100%, $E$9)</f>
        <v>6.2068000000000003</v>
      </c>
      <c r="J104" s="10">
        <f>CHOOSE(CONTROL!$C$42, 6.1767, 6.1767)* CHOOSE(CONTROL!$C$21, $C$9, 100%, $E$9)</f>
        <v>6.1767000000000003</v>
      </c>
      <c r="K104" s="53">
        <f>CHOOSE(CONTROL!$C$42, 6.2029, 6.2029) * CHOOSE(CONTROL!$C$21, $C$9, 100%, $E$9)</f>
        <v>6.2028999999999996</v>
      </c>
      <c r="L104" s="10">
        <f>CHOOSE(CONTROL!$C$42, 7.0242, 7.0242) * CHOOSE(CONTROL!$C$21, $C$9, 100%, $E$9)</f>
        <v>7.0242000000000004</v>
      </c>
      <c r="M104" s="10">
        <f>CHOOSE(CONTROL!$C$42, 6.1282, 6.1282) * CHOOSE(CONTROL!$C$21, $C$9, 100%, $E$9)</f>
        <v>6.1281999999999996</v>
      </c>
      <c r="N104" s="10">
        <f>CHOOSE(CONTROL!$C$42, 6.1434, 6.1434) * CHOOSE(CONTROL!$C$21, $C$9, 100%, $E$9)</f>
        <v>6.1433999999999997</v>
      </c>
      <c r="O104" s="10">
        <f>CHOOSE(CONTROL!$C$42, 6.386, 6.386) * CHOOSE(CONTROL!$C$21, $C$9, 100%, $E$9)</f>
        <v>6.3860000000000001</v>
      </c>
      <c r="P104" s="10">
        <f>CHOOSE(CONTROL!$C$42, 6.158, 6.158) * CHOOSE(CONTROL!$C$21, $C$9, 100%, $E$9)</f>
        <v>6.1580000000000004</v>
      </c>
      <c r="Q104" s="10">
        <f>CHOOSE(CONTROL!$C$42, 6.9813, 6.9813) * CHOOSE(CONTROL!$C$21, $C$9, 100%, $E$9)</f>
        <v>6.9813000000000001</v>
      </c>
      <c r="R104" s="10">
        <f>CHOOSE(CONTROL!$C$42, 7.5858, 7.5858) * CHOOSE(CONTROL!$C$21, $C$9, 100%, $E$9)</f>
        <v>7.5857999999999999</v>
      </c>
      <c r="S104" s="10">
        <f>CHOOSE(CONTROL!$C$42, 6.0231, 6.0231) * CHOOSE(CONTROL!$C$21, $C$9, 100%, $E$9)</f>
        <v>6.0231000000000003</v>
      </c>
      <c r="T1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57">
        <f>(1000*CHOOSE(CONTROL!$C$42, 695, 695)*CHOOSE(CONTROL!$C$42, 0.5599, 0.5599)*CHOOSE(CONTROL!$C$42, 31, 31))/1000000</f>
        <v>12.063045499999998</v>
      </c>
      <c r="V104" s="57">
        <f>(1000*CHOOSE(CONTROL!$C$42, 500, 500)*CHOOSE(CONTROL!$C$42, 0.275, 0.275)*CHOOSE(CONTROL!$C$42, 31, 31))/1000000</f>
        <v>4.2625000000000002</v>
      </c>
      <c r="W104" s="57">
        <f>(1000*CHOOSE(CONTROL!$C$42, 0.1146, 0.1146)*CHOOSE(CONTROL!$C$42, 121.5, 121.5)*CHOOSE(CONTROL!$C$42, 31, 31))/1000000</f>
        <v>0.43164089999999994</v>
      </c>
      <c r="X104" s="57">
        <f>(31*0.1790888*245000/1000000)+(31*0.2374*100000/1000000)</f>
        <v>2.0961194359999999</v>
      </c>
      <c r="Y104" s="57"/>
      <c r="Z104" s="10"/>
      <c r="AA104" s="56"/>
      <c r="AB104" s="50">
        <f>(B104*194.205+C104*267.466+D104*133.845+E104*53.484+F104*40+G104*185+H104*0+I104*100+J104*300)/(194.205+267.466+133.845+53.484+0+40+185+100+300)</f>
        <v>6.2317849459968615</v>
      </c>
      <c r="AC104" s="45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6.2083194244604316</v>
      </c>
    </row>
    <row r="105" spans="1:29" ht="15.75" x14ac:dyDescent="0.25">
      <c r="A105" s="16">
        <v>44075</v>
      </c>
      <c r="B105" s="10">
        <f>CHOOSE(CONTROL!$C$42, 5.8127, 5.8127) * CHOOSE(CONTROL!$C$21, $C$9, 100%, $E$9)</f>
        <v>5.8127000000000004</v>
      </c>
      <c r="C105" s="10">
        <f>CHOOSE(CONTROL!$C$42, 5.8206, 5.8206) * CHOOSE(CONTROL!$C$21, $C$9, 100%, $E$9)</f>
        <v>5.8205999999999998</v>
      </c>
      <c r="D105" s="10">
        <f>CHOOSE(CONTROL!$C$42, 6.0233, 6.0233) * CHOOSE(CONTROL!$C$21, $C$9, 100%, $E$9)</f>
        <v>6.0232999999999999</v>
      </c>
      <c r="E105" s="10">
        <f>CHOOSE(CONTROL!$C$42, 6.0544, 6.0544) * CHOOSE(CONTROL!$C$21, $C$9, 100%, $E$9)</f>
        <v>6.0544000000000002</v>
      </c>
      <c r="F105" s="10">
        <f>CHOOSE(CONTROL!$C$42, 5.7895, 5.7895)*CHOOSE(CONTROL!$C$21, $C$9, 100%, $E$9)</f>
        <v>5.7895000000000003</v>
      </c>
      <c r="G105" s="10">
        <f>CHOOSE(CONTROL!$C$42, 5.8048, 5.8048)*CHOOSE(CONTROL!$C$21, $C$9, 100%, $E$9)</f>
        <v>5.8048000000000002</v>
      </c>
      <c r="H105" s="10">
        <f>CHOOSE(CONTROL!$C$42, 6.0431, 6.0431) * CHOOSE(CONTROL!$C$21, $C$9, 100%, $E$9)</f>
        <v>6.0430999999999999</v>
      </c>
      <c r="I105" s="10">
        <f>CHOOSE(CONTROL!$C$42, 5.8127, 5.8127)* CHOOSE(CONTROL!$C$21, $C$9, 100%, $E$9)</f>
        <v>5.8127000000000004</v>
      </c>
      <c r="J105" s="10">
        <f>CHOOSE(CONTROL!$C$42, 5.7825, 5.7825)* CHOOSE(CONTROL!$C$21, $C$9, 100%, $E$9)</f>
        <v>5.7824999999999998</v>
      </c>
      <c r="K105" s="53">
        <f>CHOOSE(CONTROL!$C$42, 5.8088, 5.8088) * CHOOSE(CONTROL!$C$21, $C$9, 100%, $E$9)</f>
        <v>5.8087999999999997</v>
      </c>
      <c r="L105" s="10">
        <f>CHOOSE(CONTROL!$C$42, 6.6301, 6.6301) * CHOOSE(CONTROL!$C$21, $C$9, 100%, $E$9)</f>
        <v>6.6300999999999997</v>
      </c>
      <c r="M105" s="10">
        <f>CHOOSE(CONTROL!$C$42, 5.7379, 5.7379) * CHOOSE(CONTROL!$C$21, $C$9, 100%, $E$9)</f>
        <v>5.7378999999999998</v>
      </c>
      <c r="N105" s="10">
        <f>CHOOSE(CONTROL!$C$42, 5.7531, 5.7531) * CHOOSE(CONTROL!$C$21, $C$9, 100%, $E$9)</f>
        <v>5.7530999999999999</v>
      </c>
      <c r="O105" s="10">
        <f>CHOOSE(CONTROL!$C$42, 5.9959, 5.9959) * CHOOSE(CONTROL!$C$21, $C$9, 100%, $E$9)</f>
        <v>5.9958999999999998</v>
      </c>
      <c r="P105" s="10">
        <f>CHOOSE(CONTROL!$C$42, 5.7679, 5.7679) * CHOOSE(CONTROL!$C$21, $C$9, 100%, $E$9)</f>
        <v>5.7679</v>
      </c>
      <c r="Q105" s="10">
        <f>CHOOSE(CONTROL!$C$42, 6.5912, 6.5912) * CHOOSE(CONTROL!$C$21, $C$9, 100%, $E$9)</f>
        <v>6.5911999999999997</v>
      </c>
      <c r="R105" s="10">
        <f>CHOOSE(CONTROL!$C$42, 7.1947, 7.1947) * CHOOSE(CONTROL!$C$21, $C$9, 100%, $E$9)</f>
        <v>7.1947000000000001</v>
      </c>
      <c r="S105" s="10">
        <f>CHOOSE(CONTROL!$C$42, 5.6404, 5.6404) * CHOOSE(CONTROL!$C$21, $C$9, 100%, $E$9)</f>
        <v>5.6403999999999996</v>
      </c>
      <c r="T1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57">
        <f>(1000*CHOOSE(CONTROL!$C$42, 695, 695)*CHOOSE(CONTROL!$C$42, 0.5599, 0.5599)*CHOOSE(CONTROL!$C$42, 30, 30))/1000000</f>
        <v>11.673914999999997</v>
      </c>
      <c r="V105" s="57">
        <f>(1000*CHOOSE(CONTROL!$C$42, 500, 500)*CHOOSE(CONTROL!$C$42, 0.275, 0.275)*CHOOSE(CONTROL!$C$42, 30, 30))/1000000</f>
        <v>4.125</v>
      </c>
      <c r="W105" s="57">
        <f>(1000*CHOOSE(CONTROL!$C$42, 0.1146, 0.1146)*CHOOSE(CONTROL!$C$42, 121.5, 121.5)*CHOOSE(CONTROL!$C$42, 30, 30))/1000000</f>
        <v>0.417717</v>
      </c>
      <c r="X105" s="57">
        <f>(30*0.1790888*245000/1000000)+(30*0.2374*100000/1000000)</f>
        <v>2.0285026799999999</v>
      </c>
      <c r="Y105" s="57"/>
      <c r="Z105" s="10"/>
      <c r="AA105" s="56"/>
      <c r="AB105" s="50">
        <f>(B105*194.205+C105*267.466+D105*133.845+E105*53.484+F105*40+G105*185+H105*0+I105*100+J105*300)/(194.205+267.466+133.845+53.484+0+40+185+100+300)</f>
        <v>5.837643737205652</v>
      </c>
      <c r="AC105" s="45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5.818104316546763</v>
      </c>
    </row>
    <row r="106" spans="1:29" ht="15.75" x14ac:dyDescent="0.25">
      <c r="A106" s="16">
        <v>44105</v>
      </c>
      <c r="B106" s="10">
        <f>CHOOSE(CONTROL!$C$42, 5.693, 5.693) * CHOOSE(CONTROL!$C$21, $C$9, 100%, $E$9)</f>
        <v>5.6929999999999996</v>
      </c>
      <c r="C106" s="10">
        <f>CHOOSE(CONTROL!$C$42, 5.6982, 5.6982) * CHOOSE(CONTROL!$C$21, $C$9, 100%, $E$9)</f>
        <v>5.6981999999999999</v>
      </c>
      <c r="D106" s="10">
        <f>CHOOSE(CONTROL!$C$42, 5.9059, 5.9059) * CHOOSE(CONTROL!$C$21, $C$9, 100%, $E$9)</f>
        <v>5.9058999999999999</v>
      </c>
      <c r="E106" s="10">
        <f>CHOOSE(CONTROL!$C$42, 5.9347, 5.9347) * CHOOSE(CONTROL!$C$21, $C$9, 100%, $E$9)</f>
        <v>5.9347000000000003</v>
      </c>
      <c r="F106" s="10">
        <f>CHOOSE(CONTROL!$C$42, 5.6717, 5.6717)*CHOOSE(CONTROL!$C$21, $C$9, 100%, $E$9)</f>
        <v>5.6717000000000004</v>
      </c>
      <c r="G106" s="10">
        <f>CHOOSE(CONTROL!$C$42, 5.6867, 5.6867)*CHOOSE(CONTROL!$C$21, $C$9, 100%, $E$9)</f>
        <v>5.6867000000000001</v>
      </c>
      <c r="H106" s="10">
        <f>CHOOSE(CONTROL!$C$42, 5.9252, 5.9252) * CHOOSE(CONTROL!$C$21, $C$9, 100%, $E$9)</f>
        <v>5.9252000000000002</v>
      </c>
      <c r="I106" s="10">
        <f>CHOOSE(CONTROL!$C$42, 5.6948, 5.6948)* CHOOSE(CONTROL!$C$21, $C$9, 100%, $E$9)</f>
        <v>5.6947999999999999</v>
      </c>
      <c r="J106" s="10">
        <f>CHOOSE(CONTROL!$C$42, 5.6647, 5.6647)* CHOOSE(CONTROL!$C$21, $C$9, 100%, $E$9)</f>
        <v>5.6646999999999998</v>
      </c>
      <c r="K106" s="53">
        <f>CHOOSE(CONTROL!$C$42, 5.6909, 5.6909) * CHOOSE(CONTROL!$C$21, $C$9, 100%, $E$9)</f>
        <v>5.6909000000000001</v>
      </c>
      <c r="L106" s="10">
        <f>CHOOSE(CONTROL!$C$42, 6.5122, 6.5122) * CHOOSE(CONTROL!$C$21, $C$9, 100%, $E$9)</f>
        <v>6.5122</v>
      </c>
      <c r="M106" s="10">
        <f>CHOOSE(CONTROL!$C$42, 5.6214, 5.6214) * CHOOSE(CONTROL!$C$21, $C$9, 100%, $E$9)</f>
        <v>5.6214000000000004</v>
      </c>
      <c r="N106" s="10">
        <f>CHOOSE(CONTROL!$C$42, 5.6362, 5.6362) * CHOOSE(CONTROL!$C$21, $C$9, 100%, $E$9)</f>
        <v>5.6361999999999997</v>
      </c>
      <c r="O106" s="10">
        <f>CHOOSE(CONTROL!$C$42, 5.8792, 5.8792) * CHOOSE(CONTROL!$C$21, $C$9, 100%, $E$9)</f>
        <v>5.8792</v>
      </c>
      <c r="P106" s="10">
        <f>CHOOSE(CONTROL!$C$42, 5.6512, 5.6512) * CHOOSE(CONTROL!$C$21, $C$9, 100%, $E$9)</f>
        <v>5.6512000000000002</v>
      </c>
      <c r="Q106" s="10">
        <f>CHOOSE(CONTROL!$C$42, 6.4745, 6.4745) * CHOOSE(CONTROL!$C$21, $C$9, 100%, $E$9)</f>
        <v>6.4744999999999999</v>
      </c>
      <c r="R106" s="10">
        <f>CHOOSE(CONTROL!$C$42, 7.0777, 7.0777) * CHOOSE(CONTROL!$C$21, $C$9, 100%, $E$9)</f>
        <v>7.0777000000000001</v>
      </c>
      <c r="S106" s="10">
        <f>CHOOSE(CONTROL!$C$42, 5.5259, 5.5259) * CHOOSE(CONTROL!$C$21, $C$9, 100%, $E$9)</f>
        <v>5.5259</v>
      </c>
      <c r="T1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57">
        <f>(1000*CHOOSE(CONTROL!$C$42, 695, 695)*CHOOSE(CONTROL!$C$42, 0.5599, 0.5599)*CHOOSE(CONTROL!$C$42, 31, 31))/1000000</f>
        <v>12.063045499999998</v>
      </c>
      <c r="V106" s="57">
        <f>(1000*CHOOSE(CONTROL!$C$42, 500, 500)*CHOOSE(CONTROL!$C$42, 0.275, 0.275)*CHOOSE(CONTROL!$C$42, 31, 31))/1000000</f>
        <v>4.2625000000000002</v>
      </c>
      <c r="W106" s="57">
        <f>(1000*CHOOSE(CONTROL!$C$42, 0.1146, 0.1146)*CHOOSE(CONTROL!$C$42, 121.5, 121.5)*CHOOSE(CONTROL!$C$42, 31, 31))/1000000</f>
        <v>0.43164089999999994</v>
      </c>
      <c r="X106" s="57">
        <f>(31*0.1790888*245000/1000000)+(31*0.2374*100000/1000000)</f>
        <v>2.0961194359999999</v>
      </c>
      <c r="Y106" s="57"/>
      <c r="Z106" s="10"/>
      <c r="AA106" s="56"/>
      <c r="AB106" s="50">
        <f>(B106*131.881+C106*277.167+D106*79.08+E106*125.872+F106*40+G106*185+H106*0+I106*100+J106*300)/(131.881+277.167+79.08+125.872+0+40+185+100+300)</f>
        <v>5.7239710757062143</v>
      </c>
      <c r="AC106" s="45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5.7014273381294958</v>
      </c>
    </row>
    <row r="107" spans="1:29" ht="15.75" x14ac:dyDescent="0.25">
      <c r="A107" s="16">
        <v>44136</v>
      </c>
      <c r="B107" s="10">
        <f>CHOOSE(CONTROL!$C$42, 5.8425, 5.8425) * CHOOSE(CONTROL!$C$21, $C$9, 100%, $E$9)</f>
        <v>5.8425000000000002</v>
      </c>
      <c r="C107" s="10">
        <f>CHOOSE(CONTROL!$C$42, 5.8474, 5.8474) * CHOOSE(CONTROL!$C$21, $C$9, 100%, $E$9)</f>
        <v>5.8474000000000004</v>
      </c>
      <c r="D107" s="10">
        <f>CHOOSE(CONTROL!$C$42, 5.9079, 5.9079) * CHOOSE(CONTROL!$C$21, $C$9, 100%, $E$9)</f>
        <v>5.9078999999999997</v>
      </c>
      <c r="E107" s="10">
        <f>CHOOSE(CONTROL!$C$42, 5.9417, 5.9417) * CHOOSE(CONTROL!$C$21, $C$9, 100%, $E$9)</f>
        <v>5.9417</v>
      </c>
      <c r="F107" s="10">
        <f>CHOOSE(CONTROL!$C$42, 5.8381, 5.8381)*CHOOSE(CONTROL!$C$21, $C$9, 100%, $E$9)</f>
        <v>5.8380999999999998</v>
      </c>
      <c r="G107" s="10">
        <f>CHOOSE(CONTROL!$C$42, 5.8533, 5.8533)*CHOOSE(CONTROL!$C$21, $C$9, 100%, $E$9)</f>
        <v>5.8532999999999999</v>
      </c>
      <c r="H107" s="10">
        <f>CHOOSE(CONTROL!$C$42, 5.9309, 5.9309) * CHOOSE(CONTROL!$C$21, $C$9, 100%, $E$9)</f>
        <v>5.9309000000000003</v>
      </c>
      <c r="I107" s="10">
        <f>CHOOSE(CONTROL!$C$42, 5.855, 5.855)* CHOOSE(CONTROL!$C$21, $C$9, 100%, $E$9)</f>
        <v>5.8550000000000004</v>
      </c>
      <c r="J107" s="10">
        <f>CHOOSE(CONTROL!$C$42, 5.8311, 5.8311)* CHOOSE(CONTROL!$C$21, $C$9, 100%, $E$9)</f>
        <v>5.8311000000000002</v>
      </c>
      <c r="K107" s="53">
        <f>CHOOSE(CONTROL!$C$42, 5.8511, 5.8511) * CHOOSE(CONTROL!$C$21, $C$9, 100%, $E$9)</f>
        <v>5.8510999999999997</v>
      </c>
      <c r="L107" s="10">
        <f>CHOOSE(CONTROL!$C$42, 6.5179, 6.5179) * CHOOSE(CONTROL!$C$21, $C$9, 100%, $E$9)</f>
        <v>6.5179</v>
      </c>
      <c r="M107" s="10">
        <f>CHOOSE(CONTROL!$C$42, 5.7861, 5.7861) * CHOOSE(CONTROL!$C$21, $C$9, 100%, $E$9)</f>
        <v>5.7861000000000002</v>
      </c>
      <c r="N107" s="10">
        <f>CHOOSE(CONTROL!$C$42, 5.8011, 5.8011) * CHOOSE(CONTROL!$C$21, $C$9, 100%, $E$9)</f>
        <v>5.8010999999999999</v>
      </c>
      <c r="O107" s="10">
        <f>CHOOSE(CONTROL!$C$42, 5.8849, 5.8849) * CHOOSE(CONTROL!$C$21, $C$9, 100%, $E$9)</f>
        <v>5.8849</v>
      </c>
      <c r="P107" s="10">
        <f>CHOOSE(CONTROL!$C$42, 5.8098, 5.8098) * CHOOSE(CONTROL!$C$21, $C$9, 100%, $E$9)</f>
        <v>5.8098000000000001</v>
      </c>
      <c r="Q107" s="10">
        <f>CHOOSE(CONTROL!$C$42, 6.4802, 6.4802) * CHOOSE(CONTROL!$C$21, $C$9, 100%, $E$9)</f>
        <v>6.4802</v>
      </c>
      <c r="R107" s="10">
        <f>CHOOSE(CONTROL!$C$42, 7.0834, 7.0834) * CHOOSE(CONTROL!$C$21, $C$9, 100%, $E$9)</f>
        <v>7.0834000000000001</v>
      </c>
      <c r="S107" s="10">
        <f>CHOOSE(CONTROL!$C$42, 5.6715, 5.6715) * CHOOSE(CONTROL!$C$21, $C$9, 100%, $E$9)</f>
        <v>5.6715</v>
      </c>
      <c r="T1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57">
        <f>(1000*CHOOSE(CONTROL!$C$42, 695, 695)*CHOOSE(CONTROL!$C$42, 0.5599, 0.5599)*CHOOSE(CONTROL!$C$42, 30, 30))/1000000</f>
        <v>11.673914999999997</v>
      </c>
      <c r="V107" s="57">
        <f>(1000*CHOOSE(CONTROL!$C$42, 500, 500)*CHOOSE(CONTROL!$C$42, 0.275, 0.275)*CHOOSE(CONTROL!$C$42, 30, 30))/1000000</f>
        <v>4.125</v>
      </c>
      <c r="W107" s="57">
        <f>(1000*CHOOSE(CONTROL!$C$42, 0.1146, 0.1146)*CHOOSE(CONTROL!$C$42, 121.5, 121.5)*CHOOSE(CONTROL!$C$42, 30, 30))/1000000</f>
        <v>0.417717</v>
      </c>
      <c r="X107" s="57">
        <f>(30*0.1790888*100000/1000000)+(30*0.2374*100000/1000000)</f>
        <v>1.2494664</v>
      </c>
      <c r="Y107" s="57"/>
      <c r="Z107" s="10"/>
      <c r="AA107" s="56"/>
      <c r="AB107" s="50">
        <f>(B107*122.58+C107*297.941+D107*89.177+E107*40.302+F107*40+G107*160+H107*0+I107*100+J107*300)/(122.58+297.941+89.177+40.302+0+40+160+100+300)</f>
        <v>5.8517800392173918</v>
      </c>
      <c r="AC107" s="45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5.8351532374100721</v>
      </c>
    </row>
    <row r="108" spans="1:29" ht="15.75" x14ac:dyDescent="0.25">
      <c r="A108" s="16">
        <v>44166</v>
      </c>
      <c r="B108" s="10">
        <f>CHOOSE(CONTROL!$C$42, 6.2406, 6.2406) * CHOOSE(CONTROL!$C$21, $C$9, 100%, $E$9)</f>
        <v>6.2405999999999997</v>
      </c>
      <c r="C108" s="10">
        <f>CHOOSE(CONTROL!$C$42, 6.2455, 6.2455) * CHOOSE(CONTROL!$C$21, $C$9, 100%, $E$9)</f>
        <v>6.2454999999999998</v>
      </c>
      <c r="D108" s="10">
        <f>CHOOSE(CONTROL!$C$42, 6.306, 6.306) * CHOOSE(CONTROL!$C$21, $C$9, 100%, $E$9)</f>
        <v>6.306</v>
      </c>
      <c r="E108" s="10">
        <f>CHOOSE(CONTROL!$C$42, 6.3398, 6.3398) * CHOOSE(CONTROL!$C$21, $C$9, 100%, $E$9)</f>
        <v>6.3398000000000003</v>
      </c>
      <c r="F108" s="10">
        <f>CHOOSE(CONTROL!$C$42, 6.2381, 6.2381)*CHOOSE(CONTROL!$C$21, $C$9, 100%, $E$9)</f>
        <v>6.2381000000000002</v>
      </c>
      <c r="G108" s="10">
        <f>CHOOSE(CONTROL!$C$42, 6.2538, 6.2538)*CHOOSE(CONTROL!$C$21, $C$9, 100%, $E$9)</f>
        <v>6.2538</v>
      </c>
      <c r="H108" s="10">
        <f>CHOOSE(CONTROL!$C$42, 6.329, 6.329) * CHOOSE(CONTROL!$C$21, $C$9, 100%, $E$9)</f>
        <v>6.3289999999999997</v>
      </c>
      <c r="I108" s="10">
        <f>CHOOSE(CONTROL!$C$42, 6.2531, 6.2531)* CHOOSE(CONTROL!$C$21, $C$9, 100%, $E$9)</f>
        <v>6.2530999999999999</v>
      </c>
      <c r="J108" s="10">
        <f>CHOOSE(CONTROL!$C$42, 6.2311, 6.2311)* CHOOSE(CONTROL!$C$21, $C$9, 100%, $E$9)</f>
        <v>6.2310999999999996</v>
      </c>
      <c r="K108" s="53">
        <f>CHOOSE(CONTROL!$C$42, 6.2492, 6.2492) * CHOOSE(CONTROL!$C$21, $C$9, 100%, $E$9)</f>
        <v>6.2492000000000001</v>
      </c>
      <c r="L108" s="10">
        <f>CHOOSE(CONTROL!$C$42, 6.916, 6.916) * CHOOSE(CONTROL!$C$21, $C$9, 100%, $E$9)</f>
        <v>6.9160000000000004</v>
      </c>
      <c r="M108" s="10">
        <f>CHOOSE(CONTROL!$C$42, 6.182, 6.182) * CHOOSE(CONTROL!$C$21, $C$9, 100%, $E$9)</f>
        <v>6.1820000000000004</v>
      </c>
      <c r="N108" s="10">
        <f>CHOOSE(CONTROL!$C$42, 6.1975, 6.1975) * CHOOSE(CONTROL!$C$21, $C$9, 100%, $E$9)</f>
        <v>6.1974999999999998</v>
      </c>
      <c r="O108" s="10">
        <f>CHOOSE(CONTROL!$C$42, 6.279, 6.279) * CHOOSE(CONTROL!$C$21, $C$9, 100%, $E$9)</f>
        <v>6.2789999999999999</v>
      </c>
      <c r="P108" s="10">
        <f>CHOOSE(CONTROL!$C$42, 6.2039, 6.2039) * CHOOSE(CONTROL!$C$21, $C$9, 100%, $E$9)</f>
        <v>6.2039</v>
      </c>
      <c r="Q108" s="10">
        <f>CHOOSE(CONTROL!$C$42, 6.8743, 6.8743) * CHOOSE(CONTROL!$C$21, $C$9, 100%, $E$9)</f>
        <v>6.8742999999999999</v>
      </c>
      <c r="R108" s="10">
        <f>CHOOSE(CONTROL!$C$42, 7.4785, 7.4785) * CHOOSE(CONTROL!$C$21, $C$9, 100%, $E$9)</f>
        <v>7.4785000000000004</v>
      </c>
      <c r="S108" s="10">
        <f>CHOOSE(CONTROL!$C$42, 6.0581, 6.0581) * CHOOSE(CONTROL!$C$21, $C$9, 100%, $E$9)</f>
        <v>6.0580999999999996</v>
      </c>
      <c r="T1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57">
        <f>(1000*CHOOSE(CONTROL!$C$42, 695, 695)*CHOOSE(CONTROL!$C$42, 0.5599, 0.5599)*CHOOSE(CONTROL!$C$42, 31, 31))/1000000</f>
        <v>12.063045499999998</v>
      </c>
      <c r="V108" s="57">
        <f>(1000*CHOOSE(CONTROL!$C$42, 500, 500)*CHOOSE(CONTROL!$C$42, 0.275, 0.275)*CHOOSE(CONTROL!$C$42, 31, 31))/1000000</f>
        <v>4.2625000000000002</v>
      </c>
      <c r="W108" s="57">
        <f>(1000*CHOOSE(CONTROL!$C$42, 0.1146, 0.1146)*CHOOSE(CONTROL!$C$42, 121.5, 121.5)*CHOOSE(CONTROL!$C$42, 31, 31))/1000000</f>
        <v>0.43164089999999994</v>
      </c>
      <c r="X108" s="57">
        <f>(31*0.1790888*100000/1000000)+(31*0.2374*100000/1000000)</f>
        <v>1.2911152800000001</v>
      </c>
      <c r="Y108" s="57"/>
      <c r="Z108" s="10"/>
      <c r="AA108" s="56"/>
      <c r="AB108" s="50">
        <f>(B108*122.58+C108*297.941+D108*89.177+E108*40.302+F108*40+G108*160+H108*0+I108*100+J108*300)/(122.58+297.941+89.177+40.302+0+40+160+100+300)</f>
        <v>6.2507756913913042</v>
      </c>
      <c r="AC108" s="45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6.2300071942446049</v>
      </c>
    </row>
    <row r="109" spans="1:29" ht="15.75" x14ac:dyDescent="0.25">
      <c r="A109" s="16">
        <v>44197</v>
      </c>
      <c r="B109" s="10">
        <f>CHOOSE(CONTROL!$C$42, 6.612, 6.612) * CHOOSE(CONTROL!$C$21, $C$9, 100%, $E$9)</f>
        <v>6.6120000000000001</v>
      </c>
      <c r="C109" s="10">
        <f>CHOOSE(CONTROL!$C$42, 6.6169, 6.6169) * CHOOSE(CONTROL!$C$21, $C$9, 100%, $E$9)</f>
        <v>6.6169000000000002</v>
      </c>
      <c r="D109" s="10">
        <f>CHOOSE(CONTROL!$C$42, 6.674, 6.674) * CHOOSE(CONTROL!$C$21, $C$9, 100%, $E$9)</f>
        <v>6.6740000000000004</v>
      </c>
      <c r="E109" s="10">
        <f>CHOOSE(CONTROL!$C$42, 6.7078, 6.7078) * CHOOSE(CONTROL!$C$21, $C$9, 100%, $E$9)</f>
        <v>6.7077999999999998</v>
      </c>
      <c r="F109" s="10">
        <f>CHOOSE(CONTROL!$C$42, 6.6098, 6.6098)*CHOOSE(CONTROL!$C$21, $C$9, 100%, $E$9)</f>
        <v>6.6097999999999999</v>
      </c>
      <c r="G109" s="10">
        <f>CHOOSE(CONTROL!$C$42, 6.6244, 6.6244)*CHOOSE(CONTROL!$C$21, $C$9, 100%, $E$9)</f>
        <v>6.6243999999999996</v>
      </c>
      <c r="H109" s="10">
        <f>CHOOSE(CONTROL!$C$42, 6.697, 6.697) * CHOOSE(CONTROL!$C$21, $C$9, 100%, $E$9)</f>
        <v>6.6970000000000001</v>
      </c>
      <c r="I109" s="10">
        <f>CHOOSE(CONTROL!$C$42, 6.6228, 6.6228)* CHOOSE(CONTROL!$C$21, $C$9, 100%, $E$9)</f>
        <v>6.6227999999999998</v>
      </c>
      <c r="J109" s="10">
        <f>CHOOSE(CONTROL!$C$42, 6.6028, 6.6028)* CHOOSE(CONTROL!$C$21, $C$9, 100%, $E$9)</f>
        <v>6.6028000000000002</v>
      </c>
      <c r="K109" s="53">
        <f>CHOOSE(CONTROL!$C$42, 6.6189, 6.6189) * CHOOSE(CONTROL!$C$21, $C$9, 100%, $E$9)</f>
        <v>6.6189</v>
      </c>
      <c r="L109" s="10">
        <f>CHOOSE(CONTROL!$C$42, 7.284, 7.284) * CHOOSE(CONTROL!$C$21, $C$9, 100%, $E$9)</f>
        <v>7.2839999999999998</v>
      </c>
      <c r="M109" s="10">
        <f>CHOOSE(CONTROL!$C$42, 6.55, 6.55) * CHOOSE(CONTROL!$C$21, $C$9, 100%, $E$9)</f>
        <v>6.55</v>
      </c>
      <c r="N109" s="10">
        <f>CHOOSE(CONTROL!$C$42, 6.5644, 6.5644) * CHOOSE(CONTROL!$C$21, $C$9, 100%, $E$9)</f>
        <v>6.5644</v>
      </c>
      <c r="O109" s="10">
        <f>CHOOSE(CONTROL!$C$42, 6.6432, 6.6432) * CHOOSE(CONTROL!$C$21, $C$9, 100%, $E$9)</f>
        <v>6.6432000000000002</v>
      </c>
      <c r="P109" s="10">
        <f>CHOOSE(CONTROL!$C$42, 6.5698, 6.5698) * CHOOSE(CONTROL!$C$21, $C$9, 100%, $E$9)</f>
        <v>6.5697999999999999</v>
      </c>
      <c r="Q109" s="10">
        <f>CHOOSE(CONTROL!$C$42, 7.2385, 7.2385) * CHOOSE(CONTROL!$C$21, $C$9, 100%, $E$9)</f>
        <v>7.2385000000000002</v>
      </c>
      <c r="R109" s="10">
        <f>CHOOSE(CONTROL!$C$42, 7.8436, 7.8436) * CHOOSE(CONTROL!$C$21, $C$9, 100%, $E$9)</f>
        <v>7.8436000000000003</v>
      </c>
      <c r="S109" s="10">
        <f>CHOOSE(CONTROL!$C$42, 6.4187, 6.4187) * CHOOSE(CONTROL!$C$21, $C$9, 100%, $E$9)</f>
        <v>6.4187000000000003</v>
      </c>
      <c r="T1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57">
        <f>(1000*CHOOSE(CONTROL!$C$42, 695, 695)*CHOOSE(CONTROL!$C$42, 0.5599, 0.5599)*CHOOSE(CONTROL!$C$42, 31, 31))/1000000</f>
        <v>12.063045499999998</v>
      </c>
      <c r="V109" s="57">
        <f>(1000*CHOOSE(CONTROL!$C$42, 500, 500)*CHOOSE(CONTROL!$C$42, 0.275, 0.275)*CHOOSE(CONTROL!$C$42, 31, 31))/1000000</f>
        <v>4.2625000000000002</v>
      </c>
      <c r="W109" s="57">
        <f>(1000*CHOOSE(CONTROL!$C$42, 0.1146, 0.1146)*CHOOSE(CONTROL!$C$42, 121.5, 121.5)*CHOOSE(CONTROL!$C$42, 31, 31))/1000000</f>
        <v>0.43164089999999994</v>
      </c>
      <c r="X109" s="57">
        <f>(31*0.1790888*100000/1000000)+(31*0.2374*100000/1000000)</f>
        <v>1.2911152800000001</v>
      </c>
      <c r="Y109" s="57"/>
      <c r="Z109" s="10"/>
      <c r="AA109" s="56"/>
      <c r="AB109" s="50">
        <f>(B109*122.58+C109*297.941+D109*89.177+E109*40.302+F109*40+G109*160+H109*0+I109*100+J109*300)/(122.58+297.941+89.177+40.302+0+40+160+100+300)</f>
        <v>6.6216224491304345</v>
      </c>
      <c r="AC109" s="45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6.5959194244604324</v>
      </c>
    </row>
    <row r="110" spans="1:29" ht="15.75" x14ac:dyDescent="0.25">
      <c r="A110" s="16">
        <v>44228</v>
      </c>
      <c r="B110" s="10">
        <f>CHOOSE(CONTROL!$C$42, 6.7296, 6.7296) * CHOOSE(CONTROL!$C$21, $C$9, 100%, $E$9)</f>
        <v>6.7295999999999996</v>
      </c>
      <c r="C110" s="10">
        <f>CHOOSE(CONTROL!$C$42, 6.7346, 6.7346) * CHOOSE(CONTROL!$C$21, $C$9, 100%, $E$9)</f>
        <v>6.7346000000000004</v>
      </c>
      <c r="D110" s="10">
        <f>CHOOSE(CONTROL!$C$42, 6.7916, 6.7916) * CHOOSE(CONTROL!$C$21, $C$9, 100%, $E$9)</f>
        <v>6.7915999999999999</v>
      </c>
      <c r="E110" s="10">
        <f>CHOOSE(CONTROL!$C$42, 6.8254, 6.8254) * CHOOSE(CONTROL!$C$21, $C$9, 100%, $E$9)</f>
        <v>6.8254000000000001</v>
      </c>
      <c r="F110" s="10">
        <f>CHOOSE(CONTROL!$C$42, 6.7275, 6.7275)*CHOOSE(CONTROL!$C$21, $C$9, 100%, $E$9)</f>
        <v>6.7275</v>
      </c>
      <c r="G110" s="10">
        <f>CHOOSE(CONTROL!$C$42, 6.7422, 6.7422)*CHOOSE(CONTROL!$C$21, $C$9, 100%, $E$9)</f>
        <v>6.7422000000000004</v>
      </c>
      <c r="H110" s="10">
        <f>CHOOSE(CONTROL!$C$42, 6.8146, 6.8146) * CHOOSE(CONTROL!$C$21, $C$9, 100%, $E$9)</f>
        <v>6.8146000000000004</v>
      </c>
      <c r="I110" s="10">
        <f>CHOOSE(CONTROL!$C$42, 6.7404, 6.7404)* CHOOSE(CONTROL!$C$21, $C$9, 100%, $E$9)</f>
        <v>6.7404000000000002</v>
      </c>
      <c r="J110" s="10">
        <f>CHOOSE(CONTROL!$C$42, 6.7205, 6.7205)* CHOOSE(CONTROL!$C$21, $C$9, 100%, $E$9)</f>
        <v>6.7205000000000004</v>
      </c>
      <c r="K110" s="53">
        <f>CHOOSE(CONTROL!$C$42, 6.7365, 6.7365) * CHOOSE(CONTROL!$C$21, $C$9, 100%, $E$9)</f>
        <v>6.7365000000000004</v>
      </c>
      <c r="L110" s="10">
        <f>CHOOSE(CONTROL!$C$42, 7.4016, 7.4016) * CHOOSE(CONTROL!$C$21, $C$9, 100%, $E$9)</f>
        <v>7.4016000000000002</v>
      </c>
      <c r="M110" s="10">
        <f>CHOOSE(CONTROL!$C$42, 6.6665, 6.6665) * CHOOSE(CONTROL!$C$21, $C$9, 100%, $E$9)</f>
        <v>6.6665000000000001</v>
      </c>
      <c r="N110" s="10">
        <f>CHOOSE(CONTROL!$C$42, 6.681, 6.681) * CHOOSE(CONTROL!$C$21, $C$9, 100%, $E$9)</f>
        <v>6.681</v>
      </c>
      <c r="O110" s="10">
        <f>CHOOSE(CONTROL!$C$42, 6.7597, 6.7597) * CHOOSE(CONTROL!$C$21, $C$9, 100%, $E$9)</f>
        <v>6.7596999999999996</v>
      </c>
      <c r="P110" s="10">
        <f>CHOOSE(CONTROL!$C$42, 6.6862, 6.6862) * CHOOSE(CONTROL!$C$21, $C$9, 100%, $E$9)</f>
        <v>6.6862000000000004</v>
      </c>
      <c r="Q110" s="10">
        <f>CHOOSE(CONTROL!$C$42, 7.355, 7.355) * CHOOSE(CONTROL!$C$21, $C$9, 100%, $E$9)</f>
        <v>7.3550000000000004</v>
      </c>
      <c r="R110" s="10">
        <f>CHOOSE(CONTROL!$C$42, 7.9603, 7.9603) * CHOOSE(CONTROL!$C$21, $C$9, 100%, $E$9)</f>
        <v>7.9603000000000002</v>
      </c>
      <c r="S110" s="10">
        <f>CHOOSE(CONTROL!$C$42, 6.533, 6.533) * CHOOSE(CONTROL!$C$21, $C$9, 100%, $E$9)</f>
        <v>6.5330000000000004</v>
      </c>
      <c r="T1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57">
        <f>(1000*CHOOSE(CONTROL!$C$42, 695, 695)*CHOOSE(CONTROL!$C$42, 0.5599, 0.5599)*CHOOSE(CONTROL!$C$42, 28, 28))/1000000</f>
        <v>10.895653999999999</v>
      </c>
      <c r="V110" s="57">
        <f>(1000*CHOOSE(CONTROL!$C$42, 500, 500)*CHOOSE(CONTROL!$C$42, 0.275, 0.275)*CHOOSE(CONTROL!$C$42, 28, 28))/1000000</f>
        <v>3.85</v>
      </c>
      <c r="W110" s="57">
        <f>(1000*CHOOSE(CONTROL!$C$42, 0.1146, 0.1146)*CHOOSE(CONTROL!$C$42, 121.5, 121.5)*CHOOSE(CONTROL!$C$42, 28, 28))/1000000</f>
        <v>0.38986920000000003</v>
      </c>
      <c r="X110" s="57">
        <f>(28*0.1790888*100000/1000000)+(28*0.2374*100000/1000000)</f>
        <v>1.16616864</v>
      </c>
      <c r="Y110" s="57"/>
      <c r="Z110" s="10"/>
      <c r="AA110" s="56"/>
      <c r="AB110" s="50">
        <f>(B110*122.58+C110*297.941+D110*89.177+E110*40.302+F110*40+G110*160+H110*0+I110*100+J110*300)/(122.58+297.941+89.177+40.302+0+40+160+100+300)</f>
        <v>6.7393057483478271</v>
      </c>
      <c r="AC110" s="45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6.7124107913669064</v>
      </c>
    </row>
    <row r="111" spans="1:29" ht="15.75" x14ac:dyDescent="0.25">
      <c r="A111" s="16">
        <v>44256</v>
      </c>
      <c r="B111" s="10">
        <f>CHOOSE(CONTROL!$C$42, 6.5386, 6.5386) * CHOOSE(CONTROL!$C$21, $C$9, 100%, $E$9)</f>
        <v>6.5385999999999997</v>
      </c>
      <c r="C111" s="10">
        <f>CHOOSE(CONTROL!$C$42, 6.5436, 6.5436) * CHOOSE(CONTROL!$C$21, $C$9, 100%, $E$9)</f>
        <v>6.5435999999999996</v>
      </c>
      <c r="D111" s="10">
        <f>CHOOSE(CONTROL!$C$42, 6.6007, 6.6007) * CHOOSE(CONTROL!$C$21, $C$9, 100%, $E$9)</f>
        <v>6.6006999999999998</v>
      </c>
      <c r="E111" s="10">
        <f>CHOOSE(CONTROL!$C$42, 6.6344, 6.6344) * CHOOSE(CONTROL!$C$21, $C$9, 100%, $E$9)</f>
        <v>6.6344000000000003</v>
      </c>
      <c r="F111" s="10">
        <f>CHOOSE(CONTROL!$C$42, 6.5364, 6.5364)*CHOOSE(CONTROL!$C$21, $C$9, 100%, $E$9)</f>
        <v>6.5364000000000004</v>
      </c>
      <c r="G111" s="10">
        <f>CHOOSE(CONTROL!$C$42, 6.5511, 6.5511)*CHOOSE(CONTROL!$C$21, $C$9, 100%, $E$9)</f>
        <v>6.5510999999999999</v>
      </c>
      <c r="H111" s="10">
        <f>CHOOSE(CONTROL!$C$42, 6.6236, 6.6236) * CHOOSE(CONTROL!$C$21, $C$9, 100%, $E$9)</f>
        <v>6.6235999999999997</v>
      </c>
      <c r="I111" s="10">
        <f>CHOOSE(CONTROL!$C$42, 6.5494, 6.5494)* CHOOSE(CONTROL!$C$21, $C$9, 100%, $E$9)</f>
        <v>6.5494000000000003</v>
      </c>
      <c r="J111" s="10">
        <f>CHOOSE(CONTROL!$C$42, 6.5294, 6.5294)* CHOOSE(CONTROL!$C$21, $C$9, 100%, $E$9)</f>
        <v>6.5293999999999999</v>
      </c>
      <c r="K111" s="53">
        <f>CHOOSE(CONTROL!$C$42, 6.5455, 6.5455) * CHOOSE(CONTROL!$C$21, $C$9, 100%, $E$9)</f>
        <v>6.5454999999999997</v>
      </c>
      <c r="L111" s="10">
        <f>CHOOSE(CONTROL!$C$42, 7.2106, 7.2106) * CHOOSE(CONTROL!$C$21, $C$9, 100%, $E$9)</f>
        <v>7.2106000000000003</v>
      </c>
      <c r="M111" s="10">
        <f>CHOOSE(CONTROL!$C$42, 6.4774, 6.4774) * CHOOSE(CONTROL!$C$21, $C$9, 100%, $E$9)</f>
        <v>6.4774000000000003</v>
      </c>
      <c r="N111" s="10">
        <f>CHOOSE(CONTROL!$C$42, 6.4918, 6.4918) * CHOOSE(CONTROL!$C$21, $C$9, 100%, $E$9)</f>
        <v>6.4917999999999996</v>
      </c>
      <c r="O111" s="10">
        <f>CHOOSE(CONTROL!$C$42, 6.5706, 6.5706) * CHOOSE(CONTROL!$C$21, $C$9, 100%, $E$9)</f>
        <v>6.5705999999999998</v>
      </c>
      <c r="P111" s="10">
        <f>CHOOSE(CONTROL!$C$42, 6.4972, 6.4972) * CHOOSE(CONTROL!$C$21, $C$9, 100%, $E$9)</f>
        <v>6.4972000000000003</v>
      </c>
      <c r="Q111" s="10">
        <f>CHOOSE(CONTROL!$C$42, 7.1659, 7.1659) * CHOOSE(CONTROL!$C$21, $C$9, 100%, $E$9)</f>
        <v>7.1658999999999997</v>
      </c>
      <c r="R111" s="10">
        <f>CHOOSE(CONTROL!$C$42, 7.7708, 7.7708) * CHOOSE(CONTROL!$C$21, $C$9, 100%, $E$9)</f>
        <v>7.7708000000000004</v>
      </c>
      <c r="S111" s="10">
        <f>CHOOSE(CONTROL!$C$42, 6.3475, 6.3475) * CHOOSE(CONTROL!$C$21, $C$9, 100%, $E$9)</f>
        <v>6.3475000000000001</v>
      </c>
      <c r="T1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57">
        <f>(1000*CHOOSE(CONTROL!$C$42, 695, 695)*CHOOSE(CONTROL!$C$42, 0.5599, 0.5599)*CHOOSE(CONTROL!$C$42, 31, 31))/1000000</f>
        <v>12.063045499999998</v>
      </c>
      <c r="V111" s="57">
        <f>(1000*CHOOSE(CONTROL!$C$42, 500, 500)*CHOOSE(CONTROL!$C$42, 0.275, 0.275)*CHOOSE(CONTROL!$C$42, 31, 31))/1000000</f>
        <v>4.2625000000000002</v>
      </c>
      <c r="W111" s="57">
        <f>(1000*CHOOSE(CONTROL!$C$42, 0.1146, 0.1146)*CHOOSE(CONTROL!$C$42, 121.5, 121.5)*CHOOSE(CONTROL!$C$42, 31, 31))/1000000</f>
        <v>0.43164089999999994</v>
      </c>
      <c r="X111" s="57">
        <f>(31*0.1790888*100000/1000000)+(31*0.2374*100000/1000000)</f>
        <v>1.2911152800000001</v>
      </c>
      <c r="Y111" s="57"/>
      <c r="Z111" s="10"/>
      <c r="AA111" s="56"/>
      <c r="AB111" s="50">
        <f>(B111*122.58+C111*297.941+D111*89.177+E111*40.302+F111*40+G111*160+H111*0+I111*100+J111*300)/(122.58+297.941+89.177+40.302+0+40+160+100+300)</f>
        <v>6.5482700246086951</v>
      </c>
      <c r="AC111" s="45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6.523319424460432</v>
      </c>
    </row>
    <row r="112" spans="1:29" ht="15.75" x14ac:dyDescent="0.25">
      <c r="A112" s="16">
        <v>44287</v>
      </c>
      <c r="B112" s="10">
        <f>CHOOSE(CONTROL!$C$42, 6.5202, 6.5202) * CHOOSE(CONTROL!$C$21, $C$9, 100%, $E$9)</f>
        <v>6.5202</v>
      </c>
      <c r="C112" s="10">
        <f>CHOOSE(CONTROL!$C$42, 6.5246, 6.5246) * CHOOSE(CONTROL!$C$21, $C$9, 100%, $E$9)</f>
        <v>6.5246000000000004</v>
      </c>
      <c r="D112" s="10">
        <f>CHOOSE(CONTROL!$C$42, 6.7305, 6.7305) * CHOOSE(CONTROL!$C$21, $C$9, 100%, $E$9)</f>
        <v>6.7305000000000001</v>
      </c>
      <c r="E112" s="10">
        <f>CHOOSE(CONTROL!$C$42, 6.7623, 6.7623) * CHOOSE(CONTROL!$C$21, $C$9, 100%, $E$9)</f>
        <v>6.7622999999999998</v>
      </c>
      <c r="F112" s="10">
        <f>CHOOSE(CONTROL!$C$42, 6.497, 6.497)*CHOOSE(CONTROL!$C$21, $C$9, 100%, $E$9)</f>
        <v>6.4969999999999999</v>
      </c>
      <c r="G112" s="10">
        <f>CHOOSE(CONTROL!$C$42, 6.5115, 6.5115)*CHOOSE(CONTROL!$C$21, $C$9, 100%, $E$9)</f>
        <v>6.5114999999999998</v>
      </c>
      <c r="H112" s="10">
        <f>CHOOSE(CONTROL!$C$42, 6.752, 6.752) * CHOOSE(CONTROL!$C$21, $C$9, 100%, $E$9)</f>
        <v>6.7519999999999998</v>
      </c>
      <c r="I112" s="10">
        <f>CHOOSE(CONTROL!$C$42, 6.5217, 6.5217)* CHOOSE(CONTROL!$C$21, $C$9, 100%, $E$9)</f>
        <v>6.5217000000000001</v>
      </c>
      <c r="J112" s="10">
        <f>CHOOSE(CONTROL!$C$42, 6.49, 6.49)* CHOOSE(CONTROL!$C$21, $C$9, 100%, $E$9)</f>
        <v>6.49</v>
      </c>
      <c r="K112" s="53">
        <f>CHOOSE(CONTROL!$C$42, 6.5178, 6.5178) * CHOOSE(CONTROL!$C$21, $C$9, 100%, $E$9)</f>
        <v>6.5178000000000003</v>
      </c>
      <c r="L112" s="10">
        <f>CHOOSE(CONTROL!$C$42, 7.339, 7.339) * CHOOSE(CONTROL!$C$21, $C$9, 100%, $E$9)</f>
        <v>7.3390000000000004</v>
      </c>
      <c r="M112" s="10">
        <f>CHOOSE(CONTROL!$C$42, 6.4383, 6.4383) * CHOOSE(CONTROL!$C$21, $C$9, 100%, $E$9)</f>
        <v>6.4382999999999999</v>
      </c>
      <c r="N112" s="10">
        <f>CHOOSE(CONTROL!$C$42, 6.4527, 6.4527) * CHOOSE(CONTROL!$C$21, $C$9, 100%, $E$9)</f>
        <v>6.4527000000000001</v>
      </c>
      <c r="O112" s="10">
        <f>CHOOSE(CONTROL!$C$42, 6.6977, 6.6977) * CHOOSE(CONTROL!$C$21, $C$9, 100%, $E$9)</f>
        <v>6.6977000000000002</v>
      </c>
      <c r="P112" s="10">
        <f>CHOOSE(CONTROL!$C$42, 6.4697, 6.4697) * CHOOSE(CONTROL!$C$21, $C$9, 100%, $E$9)</f>
        <v>6.4696999999999996</v>
      </c>
      <c r="Q112" s="10">
        <f>CHOOSE(CONTROL!$C$42, 7.293, 7.293) * CHOOSE(CONTROL!$C$21, $C$9, 100%, $E$9)</f>
        <v>7.2930000000000001</v>
      </c>
      <c r="R112" s="10">
        <f>CHOOSE(CONTROL!$C$42, 7.8983, 7.8983) * CHOOSE(CONTROL!$C$21, $C$9, 100%, $E$9)</f>
        <v>7.8982999999999999</v>
      </c>
      <c r="S112" s="10">
        <f>CHOOSE(CONTROL!$C$42, 6.3289, 6.3289) * CHOOSE(CONTROL!$C$21, $C$9, 100%, $E$9)</f>
        <v>6.3289</v>
      </c>
      <c r="T1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57">
        <f>(1000*CHOOSE(CONTROL!$C$42, 695, 695)*CHOOSE(CONTROL!$C$42, 0.5599, 0.5599)*CHOOSE(CONTROL!$C$42, 30, 30))/1000000</f>
        <v>11.673914999999997</v>
      </c>
      <c r="V112" s="57">
        <f>(1000*CHOOSE(CONTROL!$C$42, 500, 500)*CHOOSE(CONTROL!$C$42, 0.275, 0.275)*CHOOSE(CONTROL!$C$42, 30, 30))/1000000</f>
        <v>4.125</v>
      </c>
      <c r="W112" s="57">
        <f>(1000*CHOOSE(CONTROL!$C$42, 0.1146, 0.1146)*CHOOSE(CONTROL!$C$42, 121.5, 121.5)*CHOOSE(CONTROL!$C$42, 30, 30))/1000000</f>
        <v>0.417717</v>
      </c>
      <c r="X112" s="57">
        <f>(30*0.1790888*245000/1000000)+(30*0.2374*100000/1000000)</f>
        <v>2.0285026799999999</v>
      </c>
      <c r="Y112" s="57"/>
      <c r="Z112" s="10"/>
      <c r="AA112" s="56"/>
      <c r="AB112" s="50">
        <f>(B112*141.293+C112*267.993+D112*115.016+E112*89.698+F112*40+G112*185+H112*0+I112*100+J112*300)/(141.293+267.993+115.016+89.698+0+40+185+100+300)</f>
        <v>6.5489614364810338</v>
      </c>
      <c r="AC112" s="45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6.5189143884892085</v>
      </c>
    </row>
    <row r="113" spans="1:29" ht="15.75" x14ac:dyDescent="0.25">
      <c r="A113" s="16">
        <v>44317</v>
      </c>
      <c r="B113" s="10">
        <f>CHOOSE(CONTROL!$C$42, 6.5791, 6.5791) * CHOOSE(CONTROL!$C$21, $C$9, 100%, $E$9)</f>
        <v>6.5791000000000004</v>
      </c>
      <c r="C113" s="10">
        <f>CHOOSE(CONTROL!$C$42, 6.5871, 6.5871) * CHOOSE(CONTROL!$C$21, $C$9, 100%, $E$9)</f>
        <v>6.5871000000000004</v>
      </c>
      <c r="D113" s="10">
        <f>CHOOSE(CONTROL!$C$42, 6.7898, 6.7898) * CHOOSE(CONTROL!$C$21, $C$9, 100%, $E$9)</f>
        <v>6.7897999999999996</v>
      </c>
      <c r="E113" s="10">
        <f>CHOOSE(CONTROL!$C$42, 6.8209, 6.8209) * CHOOSE(CONTROL!$C$21, $C$9, 100%, $E$9)</f>
        <v>6.8209</v>
      </c>
      <c r="F113" s="10">
        <f>CHOOSE(CONTROL!$C$42, 6.5549, 6.5549)*CHOOSE(CONTROL!$C$21, $C$9, 100%, $E$9)</f>
        <v>6.5548999999999999</v>
      </c>
      <c r="G113" s="10">
        <f>CHOOSE(CONTROL!$C$42, 6.5699, 6.5699)*CHOOSE(CONTROL!$C$21, $C$9, 100%, $E$9)</f>
        <v>6.5698999999999996</v>
      </c>
      <c r="H113" s="10">
        <f>CHOOSE(CONTROL!$C$42, 6.8096, 6.8096) * CHOOSE(CONTROL!$C$21, $C$9, 100%, $E$9)</f>
        <v>6.8095999999999997</v>
      </c>
      <c r="I113" s="10">
        <f>CHOOSE(CONTROL!$C$42, 6.5792, 6.5792)* CHOOSE(CONTROL!$C$21, $C$9, 100%, $E$9)</f>
        <v>6.5792000000000002</v>
      </c>
      <c r="J113" s="10">
        <f>CHOOSE(CONTROL!$C$42, 6.5479, 6.5479)* CHOOSE(CONTROL!$C$21, $C$9, 100%, $E$9)</f>
        <v>6.5479000000000003</v>
      </c>
      <c r="K113" s="53">
        <f>CHOOSE(CONTROL!$C$42, 6.5753, 6.5753) * CHOOSE(CONTROL!$C$21, $C$9, 100%, $E$9)</f>
        <v>6.5753000000000004</v>
      </c>
      <c r="L113" s="10">
        <f>CHOOSE(CONTROL!$C$42, 7.3966, 7.3966) * CHOOSE(CONTROL!$C$21, $C$9, 100%, $E$9)</f>
        <v>7.3966000000000003</v>
      </c>
      <c r="M113" s="10">
        <f>CHOOSE(CONTROL!$C$42, 6.4956, 6.4956) * CHOOSE(CONTROL!$C$21, $C$9, 100%, $E$9)</f>
        <v>6.4955999999999996</v>
      </c>
      <c r="N113" s="10">
        <f>CHOOSE(CONTROL!$C$42, 6.5105, 6.5105) * CHOOSE(CONTROL!$C$21, $C$9, 100%, $E$9)</f>
        <v>6.5105000000000004</v>
      </c>
      <c r="O113" s="10">
        <f>CHOOSE(CONTROL!$C$42, 6.7547, 6.7547) * CHOOSE(CONTROL!$C$21, $C$9, 100%, $E$9)</f>
        <v>6.7546999999999997</v>
      </c>
      <c r="P113" s="10">
        <f>CHOOSE(CONTROL!$C$42, 6.5267, 6.5267) * CHOOSE(CONTROL!$C$21, $C$9, 100%, $E$9)</f>
        <v>6.5266999999999999</v>
      </c>
      <c r="Q113" s="10">
        <f>CHOOSE(CONTROL!$C$42, 7.35, 7.35) * CHOOSE(CONTROL!$C$21, $C$9, 100%, $E$9)</f>
        <v>7.35</v>
      </c>
      <c r="R113" s="10">
        <f>CHOOSE(CONTROL!$C$42, 7.9553, 7.9553) * CHOOSE(CONTROL!$C$21, $C$9, 100%, $E$9)</f>
        <v>7.9553000000000003</v>
      </c>
      <c r="S113" s="10">
        <f>CHOOSE(CONTROL!$C$42, 6.3848, 6.3848) * CHOOSE(CONTROL!$C$21, $C$9, 100%, $E$9)</f>
        <v>6.3848000000000003</v>
      </c>
      <c r="T1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57">
        <f>(1000*CHOOSE(CONTROL!$C$42, 695, 695)*CHOOSE(CONTROL!$C$42, 0.5599, 0.5599)*CHOOSE(CONTROL!$C$42, 31, 31))/1000000</f>
        <v>12.063045499999998</v>
      </c>
      <c r="V113" s="57">
        <f>(1000*CHOOSE(CONTROL!$C$42, 500, 500)*CHOOSE(CONTROL!$C$42, 0.275, 0.275)*CHOOSE(CONTROL!$C$42, 31, 31))/1000000</f>
        <v>4.2625000000000002</v>
      </c>
      <c r="W113" s="57">
        <f>(1000*CHOOSE(CONTROL!$C$42, 0.1146, 0.1146)*CHOOSE(CONTROL!$C$42, 121.5, 121.5)*CHOOSE(CONTROL!$C$42, 31, 31))/1000000</f>
        <v>0.43164089999999994</v>
      </c>
      <c r="X113" s="57">
        <f>(31*0.1790888*245000/1000000)+(31*0.2374*100000/1000000)</f>
        <v>2.0961194359999999</v>
      </c>
      <c r="Y113" s="57"/>
      <c r="Z113" s="10"/>
      <c r="AA113" s="56"/>
      <c r="AB113" s="50">
        <f>(B113*194.205+C113*267.466+D113*133.845+E113*53.484+F113*40+G113*185+H113*0+I113*100+J113*300)/(194.205+267.466+133.845+53.484+0+40+185+100+300)</f>
        <v>6.6036316332025118</v>
      </c>
      <c r="AC113" s="45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6.5762021582733814</v>
      </c>
    </row>
    <row r="114" spans="1:29" ht="15.75" x14ac:dyDescent="0.25">
      <c r="A114" s="16">
        <v>44348</v>
      </c>
      <c r="B114" s="10">
        <f>CHOOSE(CONTROL!$C$42, 6.7656, 6.7656) * CHOOSE(CONTROL!$C$21, $C$9, 100%, $E$9)</f>
        <v>6.7656000000000001</v>
      </c>
      <c r="C114" s="10">
        <f>CHOOSE(CONTROL!$C$42, 6.7735, 6.7735) * CHOOSE(CONTROL!$C$21, $C$9, 100%, $E$9)</f>
        <v>6.7735000000000003</v>
      </c>
      <c r="D114" s="10">
        <f>CHOOSE(CONTROL!$C$42, 6.9763, 6.9763) * CHOOSE(CONTROL!$C$21, $C$9, 100%, $E$9)</f>
        <v>6.9763000000000002</v>
      </c>
      <c r="E114" s="10">
        <f>CHOOSE(CONTROL!$C$42, 7.0074, 7.0074) * CHOOSE(CONTROL!$C$21, $C$9, 100%, $E$9)</f>
        <v>7.0073999999999996</v>
      </c>
      <c r="F114" s="10">
        <f>CHOOSE(CONTROL!$C$42, 6.7418, 6.7418)*CHOOSE(CONTROL!$C$21, $C$9, 100%, $E$9)</f>
        <v>6.7417999999999996</v>
      </c>
      <c r="G114" s="10">
        <f>CHOOSE(CONTROL!$C$42, 6.757, 6.757)*CHOOSE(CONTROL!$C$21, $C$9, 100%, $E$9)</f>
        <v>6.7569999999999997</v>
      </c>
      <c r="H114" s="10">
        <f>CHOOSE(CONTROL!$C$42, 6.996, 6.996) * CHOOSE(CONTROL!$C$21, $C$9, 100%, $E$9)</f>
        <v>6.9960000000000004</v>
      </c>
      <c r="I114" s="10">
        <f>CHOOSE(CONTROL!$C$42, 6.7656, 6.7656)* CHOOSE(CONTROL!$C$21, $C$9, 100%, $E$9)</f>
        <v>6.7656000000000001</v>
      </c>
      <c r="J114" s="10">
        <f>CHOOSE(CONTROL!$C$42, 6.7348, 6.7348)* CHOOSE(CONTROL!$C$21, $C$9, 100%, $E$9)</f>
        <v>6.7347999999999999</v>
      </c>
      <c r="K114" s="53">
        <f>CHOOSE(CONTROL!$C$42, 6.7618, 6.7618) * CHOOSE(CONTROL!$C$21, $C$9, 100%, $E$9)</f>
        <v>6.7618</v>
      </c>
      <c r="L114" s="10">
        <f>CHOOSE(CONTROL!$C$42, 7.583, 7.583) * CHOOSE(CONTROL!$C$21, $C$9, 100%, $E$9)</f>
        <v>7.5830000000000002</v>
      </c>
      <c r="M114" s="10">
        <f>CHOOSE(CONTROL!$C$42, 6.6807, 6.6807) * CHOOSE(CONTROL!$C$21, $C$9, 100%, $E$9)</f>
        <v>6.6806999999999999</v>
      </c>
      <c r="N114" s="10">
        <f>CHOOSE(CONTROL!$C$42, 6.6957, 6.6957) * CHOOSE(CONTROL!$C$21, $C$9, 100%, $E$9)</f>
        <v>6.6957000000000004</v>
      </c>
      <c r="O114" s="10">
        <f>CHOOSE(CONTROL!$C$42, 6.9393, 6.9393) * CHOOSE(CONTROL!$C$21, $C$9, 100%, $E$9)</f>
        <v>6.9393000000000002</v>
      </c>
      <c r="P114" s="10">
        <f>CHOOSE(CONTROL!$C$42, 6.7112, 6.7112) * CHOOSE(CONTROL!$C$21, $C$9, 100%, $E$9)</f>
        <v>6.7111999999999998</v>
      </c>
      <c r="Q114" s="10">
        <f>CHOOSE(CONTROL!$C$42, 7.5346, 7.5346) * CHOOSE(CONTROL!$C$21, $C$9, 100%, $E$9)</f>
        <v>7.5346000000000002</v>
      </c>
      <c r="R114" s="10">
        <f>CHOOSE(CONTROL!$C$42, 8.1404, 8.1404) * CHOOSE(CONTROL!$C$21, $C$9, 100%, $E$9)</f>
        <v>8.1403999999999996</v>
      </c>
      <c r="S114" s="10">
        <f>CHOOSE(CONTROL!$C$42, 6.5658, 6.5658) * CHOOSE(CONTROL!$C$21, $C$9, 100%, $E$9)</f>
        <v>6.5658000000000003</v>
      </c>
      <c r="T1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57">
        <f>(1000*CHOOSE(CONTROL!$C$42, 695, 695)*CHOOSE(CONTROL!$C$42, 0.5599, 0.5599)*CHOOSE(CONTROL!$C$42, 30, 30))/1000000</f>
        <v>11.673914999999997</v>
      </c>
      <c r="V114" s="57">
        <f>(1000*CHOOSE(CONTROL!$C$42, 500, 500)*CHOOSE(CONTROL!$C$42, 0.275, 0.275)*CHOOSE(CONTROL!$C$42, 30, 30))/1000000</f>
        <v>4.125</v>
      </c>
      <c r="W114" s="57">
        <f>(1000*CHOOSE(CONTROL!$C$42, 0.1146, 0.1146)*CHOOSE(CONTROL!$C$42, 121.5, 121.5)*CHOOSE(CONTROL!$C$42, 30, 30))/1000000</f>
        <v>0.417717</v>
      </c>
      <c r="X114" s="57">
        <f>(30*0.1790888*245000/1000000)+(30*0.2374*100000/1000000)</f>
        <v>2.0285026799999999</v>
      </c>
      <c r="Y114" s="57"/>
      <c r="Z114" s="10"/>
      <c r="AA114" s="56"/>
      <c r="AB114" s="50">
        <f>(B114*194.205+C114*267.466+D114*133.845+E114*53.484+F114*40+G114*185+H114*0+I114*100+J114*300)/(194.205+267.466+133.845+53.484+0+40+185+100+300)</f>
        <v>6.7902966672684455</v>
      </c>
      <c r="AC114" s="45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6.7610985611510799</v>
      </c>
    </row>
    <row r="115" spans="1:29" ht="15.75" x14ac:dyDescent="0.25">
      <c r="A115" s="16">
        <v>44378</v>
      </c>
      <c r="B115" s="10">
        <f>CHOOSE(CONTROL!$C$42, 6.6359, 6.6359) * CHOOSE(CONTROL!$C$21, $C$9, 100%, $E$9)</f>
        <v>6.6359000000000004</v>
      </c>
      <c r="C115" s="10">
        <f>CHOOSE(CONTROL!$C$42, 6.6438, 6.6438) * CHOOSE(CONTROL!$C$21, $C$9, 100%, $E$9)</f>
        <v>6.6437999999999997</v>
      </c>
      <c r="D115" s="10">
        <f>CHOOSE(CONTROL!$C$42, 6.8466, 6.8466) * CHOOSE(CONTROL!$C$21, $C$9, 100%, $E$9)</f>
        <v>6.8465999999999996</v>
      </c>
      <c r="E115" s="10">
        <f>CHOOSE(CONTROL!$C$42, 6.8777, 6.8777) * CHOOSE(CONTROL!$C$21, $C$9, 100%, $E$9)</f>
        <v>6.8776999999999999</v>
      </c>
      <c r="F115" s="10">
        <f>CHOOSE(CONTROL!$C$42, 6.6127, 6.6127)*CHOOSE(CONTROL!$C$21, $C$9, 100%, $E$9)</f>
        <v>6.6127000000000002</v>
      </c>
      <c r="G115" s="10">
        <f>CHOOSE(CONTROL!$C$42, 6.6279, 6.6279)*CHOOSE(CONTROL!$C$21, $C$9, 100%, $E$9)</f>
        <v>6.6279000000000003</v>
      </c>
      <c r="H115" s="10">
        <f>CHOOSE(CONTROL!$C$42, 6.8663, 6.8663) * CHOOSE(CONTROL!$C$21, $C$9, 100%, $E$9)</f>
        <v>6.8662999999999998</v>
      </c>
      <c r="I115" s="10">
        <f>CHOOSE(CONTROL!$C$42, 6.636, 6.636)* CHOOSE(CONTROL!$C$21, $C$9, 100%, $E$9)</f>
        <v>6.6360000000000001</v>
      </c>
      <c r="J115" s="10">
        <f>CHOOSE(CONTROL!$C$42, 6.6057, 6.6057)* CHOOSE(CONTROL!$C$21, $C$9, 100%, $E$9)</f>
        <v>6.6056999999999997</v>
      </c>
      <c r="K115" s="53">
        <f>CHOOSE(CONTROL!$C$42, 6.6321, 6.6321) * CHOOSE(CONTROL!$C$21, $C$9, 100%, $E$9)</f>
        <v>6.6321000000000003</v>
      </c>
      <c r="L115" s="10">
        <f>CHOOSE(CONTROL!$C$42, 7.4533, 7.4533) * CHOOSE(CONTROL!$C$21, $C$9, 100%, $E$9)</f>
        <v>7.4532999999999996</v>
      </c>
      <c r="M115" s="10">
        <f>CHOOSE(CONTROL!$C$42, 6.5528, 6.5528) * CHOOSE(CONTROL!$C$21, $C$9, 100%, $E$9)</f>
        <v>6.5528000000000004</v>
      </c>
      <c r="N115" s="10">
        <f>CHOOSE(CONTROL!$C$42, 6.568, 6.568) * CHOOSE(CONTROL!$C$21, $C$9, 100%, $E$9)</f>
        <v>6.5679999999999996</v>
      </c>
      <c r="O115" s="10">
        <f>CHOOSE(CONTROL!$C$42, 6.8109, 6.8109) * CHOOSE(CONTROL!$C$21, $C$9, 100%, $E$9)</f>
        <v>6.8109000000000002</v>
      </c>
      <c r="P115" s="10">
        <f>CHOOSE(CONTROL!$C$42, 6.5829, 6.5829) * CHOOSE(CONTROL!$C$21, $C$9, 100%, $E$9)</f>
        <v>6.5829000000000004</v>
      </c>
      <c r="Q115" s="10">
        <f>CHOOSE(CONTROL!$C$42, 7.4062, 7.4062) * CHOOSE(CONTROL!$C$21, $C$9, 100%, $E$9)</f>
        <v>7.4062000000000001</v>
      </c>
      <c r="R115" s="10">
        <f>CHOOSE(CONTROL!$C$42, 8.0117, 8.0117) * CHOOSE(CONTROL!$C$21, $C$9, 100%, $E$9)</f>
        <v>8.0116999999999994</v>
      </c>
      <c r="S115" s="10">
        <f>CHOOSE(CONTROL!$C$42, 6.4399, 6.4399) * CHOOSE(CONTROL!$C$21, $C$9, 100%, $E$9)</f>
        <v>6.4398999999999997</v>
      </c>
      <c r="T1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57">
        <f>(1000*CHOOSE(CONTROL!$C$42, 695, 695)*CHOOSE(CONTROL!$C$42, 0.5599, 0.5599)*CHOOSE(CONTROL!$C$42, 31, 31))/1000000</f>
        <v>12.063045499999998</v>
      </c>
      <c r="V115" s="57">
        <f>(1000*CHOOSE(CONTROL!$C$42, 500, 500)*CHOOSE(CONTROL!$C$42, 0.275, 0.275)*CHOOSE(CONTROL!$C$42, 31, 31))/1000000</f>
        <v>4.2625000000000002</v>
      </c>
      <c r="W115" s="57">
        <f>(1000*CHOOSE(CONTROL!$C$42, 0.1146, 0.1146)*CHOOSE(CONTROL!$C$42, 121.5, 121.5)*CHOOSE(CONTROL!$C$42, 31, 31))/1000000</f>
        <v>0.43164089999999994</v>
      </c>
      <c r="X115" s="57">
        <f>(31*0.1790888*245000/1000000)+(31*0.2374*100000/1000000)</f>
        <v>2.0961194359999999</v>
      </c>
      <c r="Y115" s="57"/>
      <c r="Z115" s="10"/>
      <c r="AA115" s="56"/>
      <c r="AB115" s="50">
        <f>(B115*194.205+C115*267.466+D115*133.845+E115*53.484+F115*40+G115*185+H115*0+I115*100+J115*300)/(194.205+267.466+133.845+53.484+0+40+185+100+300)</f>
        <v>6.6608517693092617</v>
      </c>
      <c r="AC115" s="45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6.6330467625899274</v>
      </c>
    </row>
    <row r="116" spans="1:29" ht="15.75" x14ac:dyDescent="0.25">
      <c r="A116" s="16">
        <v>44409</v>
      </c>
      <c r="B116" s="10">
        <f>CHOOSE(CONTROL!$C$42, 6.3084, 6.3084) * CHOOSE(CONTROL!$C$21, $C$9, 100%, $E$9)</f>
        <v>6.3083999999999998</v>
      </c>
      <c r="C116" s="10">
        <f>CHOOSE(CONTROL!$C$42, 6.3163, 6.3163) * CHOOSE(CONTROL!$C$21, $C$9, 100%, $E$9)</f>
        <v>6.3163</v>
      </c>
      <c r="D116" s="10">
        <f>CHOOSE(CONTROL!$C$42, 6.5191, 6.5191) * CHOOSE(CONTROL!$C$21, $C$9, 100%, $E$9)</f>
        <v>6.5190999999999999</v>
      </c>
      <c r="E116" s="10">
        <f>CHOOSE(CONTROL!$C$42, 6.5502, 6.5502) * CHOOSE(CONTROL!$C$21, $C$9, 100%, $E$9)</f>
        <v>6.5502000000000002</v>
      </c>
      <c r="F116" s="10">
        <f>CHOOSE(CONTROL!$C$42, 6.2853, 6.2853)*CHOOSE(CONTROL!$C$21, $C$9, 100%, $E$9)</f>
        <v>6.2853000000000003</v>
      </c>
      <c r="G116" s="10">
        <f>CHOOSE(CONTROL!$C$42, 6.3007, 6.3007)*CHOOSE(CONTROL!$C$21, $C$9, 100%, $E$9)</f>
        <v>6.3007</v>
      </c>
      <c r="H116" s="10">
        <f>CHOOSE(CONTROL!$C$42, 6.5388, 6.5388) * CHOOSE(CONTROL!$C$21, $C$9, 100%, $E$9)</f>
        <v>6.5388000000000002</v>
      </c>
      <c r="I116" s="10">
        <f>CHOOSE(CONTROL!$C$42, 6.3085, 6.3085)* CHOOSE(CONTROL!$C$21, $C$9, 100%, $E$9)</f>
        <v>6.3085000000000004</v>
      </c>
      <c r="J116" s="10">
        <f>CHOOSE(CONTROL!$C$42, 6.2783, 6.2783)* CHOOSE(CONTROL!$C$21, $C$9, 100%, $E$9)</f>
        <v>6.2782999999999998</v>
      </c>
      <c r="K116" s="53">
        <f>CHOOSE(CONTROL!$C$42, 6.3046, 6.3046) * CHOOSE(CONTROL!$C$21, $C$9, 100%, $E$9)</f>
        <v>6.3045999999999998</v>
      </c>
      <c r="L116" s="10">
        <f>CHOOSE(CONTROL!$C$42, 7.1258, 7.1258) * CHOOSE(CONTROL!$C$21, $C$9, 100%, $E$9)</f>
        <v>7.1257999999999999</v>
      </c>
      <c r="M116" s="10">
        <f>CHOOSE(CONTROL!$C$42, 6.2288, 6.2288) * CHOOSE(CONTROL!$C$21, $C$9, 100%, $E$9)</f>
        <v>6.2287999999999997</v>
      </c>
      <c r="N116" s="10">
        <f>CHOOSE(CONTROL!$C$42, 6.244, 6.244) * CHOOSE(CONTROL!$C$21, $C$9, 100%, $E$9)</f>
        <v>6.2439999999999998</v>
      </c>
      <c r="O116" s="10">
        <f>CHOOSE(CONTROL!$C$42, 6.4867, 6.4867) * CHOOSE(CONTROL!$C$21, $C$9, 100%, $E$9)</f>
        <v>6.4866999999999999</v>
      </c>
      <c r="P116" s="10">
        <f>CHOOSE(CONTROL!$C$42, 6.2587, 6.2587) * CHOOSE(CONTROL!$C$21, $C$9, 100%, $E$9)</f>
        <v>6.2587000000000002</v>
      </c>
      <c r="Q116" s="10">
        <f>CHOOSE(CONTROL!$C$42, 7.082, 7.082) * CHOOSE(CONTROL!$C$21, $C$9, 100%, $E$9)</f>
        <v>7.0819999999999999</v>
      </c>
      <c r="R116" s="10">
        <f>CHOOSE(CONTROL!$C$42, 7.6867, 7.6867) * CHOOSE(CONTROL!$C$21, $C$9, 100%, $E$9)</f>
        <v>7.6867000000000001</v>
      </c>
      <c r="S116" s="10">
        <f>CHOOSE(CONTROL!$C$42, 6.1219, 6.1219) * CHOOSE(CONTROL!$C$21, $C$9, 100%, $E$9)</f>
        <v>6.1219000000000001</v>
      </c>
      <c r="T1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57">
        <f>(1000*CHOOSE(CONTROL!$C$42, 695, 695)*CHOOSE(CONTROL!$C$42, 0.5599, 0.5599)*CHOOSE(CONTROL!$C$42, 31, 31))/1000000</f>
        <v>12.063045499999998</v>
      </c>
      <c r="V116" s="57">
        <f>(1000*CHOOSE(CONTROL!$C$42, 500, 500)*CHOOSE(CONTROL!$C$42, 0.275, 0.275)*CHOOSE(CONTROL!$C$42, 31, 31))/1000000</f>
        <v>4.2625000000000002</v>
      </c>
      <c r="W116" s="57">
        <f>(1000*CHOOSE(CONTROL!$C$42, 0.1146, 0.1146)*CHOOSE(CONTROL!$C$42, 121.5, 121.5)*CHOOSE(CONTROL!$C$42, 31, 31))/1000000</f>
        <v>0.43164089999999994</v>
      </c>
      <c r="X116" s="57">
        <f>(31*0.1790888*245000/1000000)+(31*0.2374*100000/1000000)</f>
        <v>2.0961194359999999</v>
      </c>
      <c r="Y116" s="57"/>
      <c r="Z116" s="10"/>
      <c r="AA116" s="56"/>
      <c r="AB116" s="50">
        <f>(B116*194.205+C116*267.466+D116*133.845+E116*53.484+F116*40+G116*185+H116*0+I116*100+J116*300)/(194.205+267.466+133.845+53.484+0+40+185+100+300)</f>
        <v>6.3334220204866565</v>
      </c>
      <c r="AC116" s="45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6.3089618705035972</v>
      </c>
    </row>
    <row r="117" spans="1:29" ht="15.75" x14ac:dyDescent="0.25">
      <c r="A117" s="16">
        <v>44440</v>
      </c>
      <c r="B117" s="10">
        <f>CHOOSE(CONTROL!$C$42, 5.9079, 5.9079) * CHOOSE(CONTROL!$C$21, $C$9, 100%, $E$9)</f>
        <v>5.9078999999999997</v>
      </c>
      <c r="C117" s="10">
        <f>CHOOSE(CONTROL!$C$42, 5.9158, 5.9158) * CHOOSE(CONTROL!$C$21, $C$9, 100%, $E$9)</f>
        <v>5.9157999999999999</v>
      </c>
      <c r="D117" s="10">
        <f>CHOOSE(CONTROL!$C$42, 6.1185, 6.1185) * CHOOSE(CONTROL!$C$21, $C$9, 100%, $E$9)</f>
        <v>6.1185</v>
      </c>
      <c r="E117" s="10">
        <f>CHOOSE(CONTROL!$C$42, 6.1497, 6.1497) * CHOOSE(CONTROL!$C$21, $C$9, 100%, $E$9)</f>
        <v>6.1497000000000002</v>
      </c>
      <c r="F117" s="10">
        <f>CHOOSE(CONTROL!$C$42, 5.8847, 5.8847)*CHOOSE(CONTROL!$C$21, $C$9, 100%, $E$9)</f>
        <v>5.8846999999999996</v>
      </c>
      <c r="G117" s="10">
        <f>CHOOSE(CONTROL!$C$42, 5.9, 5.9)*CHOOSE(CONTROL!$C$21, $C$9, 100%, $E$9)</f>
        <v>5.9</v>
      </c>
      <c r="H117" s="10">
        <f>CHOOSE(CONTROL!$C$42, 6.1383, 6.1383) * CHOOSE(CONTROL!$C$21, $C$9, 100%, $E$9)</f>
        <v>6.1383000000000001</v>
      </c>
      <c r="I117" s="10">
        <f>CHOOSE(CONTROL!$C$42, 5.9079, 5.9079)* CHOOSE(CONTROL!$C$21, $C$9, 100%, $E$9)</f>
        <v>5.9078999999999997</v>
      </c>
      <c r="J117" s="10">
        <f>CHOOSE(CONTROL!$C$42, 5.8777, 5.8777)* CHOOSE(CONTROL!$C$21, $C$9, 100%, $E$9)</f>
        <v>5.8776999999999999</v>
      </c>
      <c r="K117" s="53">
        <f>CHOOSE(CONTROL!$C$42, 5.904, 5.904) * CHOOSE(CONTROL!$C$21, $C$9, 100%, $E$9)</f>
        <v>5.9039999999999999</v>
      </c>
      <c r="L117" s="10">
        <f>CHOOSE(CONTROL!$C$42, 6.7253, 6.7253) * CHOOSE(CONTROL!$C$21, $C$9, 100%, $E$9)</f>
        <v>6.7252999999999998</v>
      </c>
      <c r="M117" s="10">
        <f>CHOOSE(CONTROL!$C$42, 5.8322, 5.8322) * CHOOSE(CONTROL!$C$21, $C$9, 100%, $E$9)</f>
        <v>5.8322000000000003</v>
      </c>
      <c r="N117" s="10">
        <f>CHOOSE(CONTROL!$C$42, 5.8473, 5.8473) * CHOOSE(CONTROL!$C$21, $C$9, 100%, $E$9)</f>
        <v>5.8472999999999997</v>
      </c>
      <c r="O117" s="10">
        <f>CHOOSE(CONTROL!$C$42, 6.0902, 6.0902) * CHOOSE(CONTROL!$C$21, $C$9, 100%, $E$9)</f>
        <v>6.0902000000000003</v>
      </c>
      <c r="P117" s="10">
        <f>CHOOSE(CONTROL!$C$42, 5.8622, 5.8622) * CHOOSE(CONTROL!$C$21, $C$9, 100%, $E$9)</f>
        <v>5.8621999999999996</v>
      </c>
      <c r="Q117" s="10">
        <f>CHOOSE(CONTROL!$C$42, 6.6855, 6.6855) * CHOOSE(CONTROL!$C$21, $C$9, 100%, $E$9)</f>
        <v>6.6855000000000002</v>
      </c>
      <c r="R117" s="10">
        <f>CHOOSE(CONTROL!$C$42, 7.2892, 7.2892) * CHOOSE(CONTROL!$C$21, $C$9, 100%, $E$9)</f>
        <v>7.2892000000000001</v>
      </c>
      <c r="S117" s="10">
        <f>CHOOSE(CONTROL!$C$42, 5.7329, 5.7329) * CHOOSE(CONTROL!$C$21, $C$9, 100%, $E$9)</f>
        <v>5.7328999999999999</v>
      </c>
      <c r="T1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57">
        <f>(1000*CHOOSE(CONTROL!$C$42, 695, 695)*CHOOSE(CONTROL!$C$42, 0.5599, 0.5599)*CHOOSE(CONTROL!$C$42, 30, 30))/1000000</f>
        <v>11.673914999999997</v>
      </c>
      <c r="V117" s="57">
        <f>(1000*CHOOSE(CONTROL!$C$42, 500, 500)*CHOOSE(CONTROL!$C$42, 0.275, 0.275)*CHOOSE(CONTROL!$C$42, 30, 30))/1000000</f>
        <v>4.125</v>
      </c>
      <c r="W117" s="57">
        <f>(1000*CHOOSE(CONTROL!$C$42, 0.1146, 0.1146)*CHOOSE(CONTROL!$C$42, 121.5, 121.5)*CHOOSE(CONTROL!$C$42, 30, 30))/1000000</f>
        <v>0.417717</v>
      </c>
      <c r="X117" s="57">
        <f>(30*0.1790888*245000/1000000)+(30*0.2374*100000/1000000)</f>
        <v>2.0285026799999999</v>
      </c>
      <c r="Y117" s="57"/>
      <c r="Z117" s="10"/>
      <c r="AA117" s="56"/>
      <c r="AB117" s="50">
        <f>(B117*194.205+C117*267.466+D117*133.845+E117*53.484+F117*40+G117*185+H117*0+I117*100+J117*300)/(194.205+267.466+133.845+53.484+0+40+185+100+300)</f>
        <v>5.9328479353218206</v>
      </c>
      <c r="AC117" s="45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5.9123812949640291</v>
      </c>
    </row>
    <row r="118" spans="1:29" ht="15.75" x14ac:dyDescent="0.25">
      <c r="A118" s="16">
        <v>44470</v>
      </c>
      <c r="B118" s="10">
        <f>CHOOSE(CONTROL!$C$42, 5.7863, 5.7863) * CHOOSE(CONTROL!$C$21, $C$9, 100%, $E$9)</f>
        <v>5.7862999999999998</v>
      </c>
      <c r="C118" s="10">
        <f>CHOOSE(CONTROL!$C$42, 5.7915, 5.7915) * CHOOSE(CONTROL!$C$21, $C$9, 100%, $E$9)</f>
        <v>5.7915000000000001</v>
      </c>
      <c r="D118" s="10">
        <f>CHOOSE(CONTROL!$C$42, 5.9992, 5.9992) * CHOOSE(CONTROL!$C$21, $C$9, 100%, $E$9)</f>
        <v>5.9992000000000001</v>
      </c>
      <c r="E118" s="10">
        <f>CHOOSE(CONTROL!$C$42, 6.028, 6.028) * CHOOSE(CONTROL!$C$21, $C$9, 100%, $E$9)</f>
        <v>6.0279999999999996</v>
      </c>
      <c r="F118" s="10">
        <f>CHOOSE(CONTROL!$C$42, 5.765, 5.765)*CHOOSE(CONTROL!$C$21, $C$9, 100%, $E$9)</f>
        <v>5.7649999999999997</v>
      </c>
      <c r="G118" s="10">
        <f>CHOOSE(CONTROL!$C$42, 5.7799, 5.7799)*CHOOSE(CONTROL!$C$21, $C$9, 100%, $E$9)</f>
        <v>5.7798999999999996</v>
      </c>
      <c r="H118" s="10">
        <f>CHOOSE(CONTROL!$C$42, 6.0184, 6.0184) * CHOOSE(CONTROL!$C$21, $C$9, 100%, $E$9)</f>
        <v>6.0183999999999997</v>
      </c>
      <c r="I118" s="10">
        <f>CHOOSE(CONTROL!$C$42, 5.7881, 5.7881)* CHOOSE(CONTROL!$C$21, $C$9, 100%, $E$9)</f>
        <v>5.7881</v>
      </c>
      <c r="J118" s="10">
        <f>CHOOSE(CONTROL!$C$42, 5.758, 5.758)* CHOOSE(CONTROL!$C$21, $C$9, 100%, $E$9)</f>
        <v>5.758</v>
      </c>
      <c r="K118" s="53">
        <f>CHOOSE(CONTROL!$C$42, 5.7842, 5.7842) * CHOOSE(CONTROL!$C$21, $C$9, 100%, $E$9)</f>
        <v>5.7842000000000002</v>
      </c>
      <c r="L118" s="10">
        <f>CHOOSE(CONTROL!$C$42, 6.6054, 6.6054) * CHOOSE(CONTROL!$C$21, $C$9, 100%, $E$9)</f>
        <v>6.6054000000000004</v>
      </c>
      <c r="M118" s="10">
        <f>CHOOSE(CONTROL!$C$42, 5.7137, 5.7137) * CHOOSE(CONTROL!$C$21, $C$9, 100%, $E$9)</f>
        <v>5.7137000000000002</v>
      </c>
      <c r="N118" s="10">
        <f>CHOOSE(CONTROL!$C$42, 5.7285, 5.7285) * CHOOSE(CONTROL!$C$21, $C$9, 100%, $E$9)</f>
        <v>5.7285000000000004</v>
      </c>
      <c r="O118" s="10">
        <f>CHOOSE(CONTROL!$C$42, 5.9715, 5.9715) * CHOOSE(CONTROL!$C$21, $C$9, 100%, $E$9)</f>
        <v>5.9714999999999998</v>
      </c>
      <c r="P118" s="10">
        <f>CHOOSE(CONTROL!$C$42, 5.7435, 5.7435) * CHOOSE(CONTROL!$C$21, $C$9, 100%, $E$9)</f>
        <v>5.7435</v>
      </c>
      <c r="Q118" s="10">
        <f>CHOOSE(CONTROL!$C$42, 6.5668, 6.5668) * CHOOSE(CONTROL!$C$21, $C$9, 100%, $E$9)</f>
        <v>6.5667999999999997</v>
      </c>
      <c r="R118" s="10">
        <f>CHOOSE(CONTROL!$C$42, 7.1702, 7.1702) * CHOOSE(CONTROL!$C$21, $C$9, 100%, $E$9)</f>
        <v>7.1702000000000004</v>
      </c>
      <c r="S118" s="10">
        <f>CHOOSE(CONTROL!$C$42, 5.6165, 5.6165) * CHOOSE(CONTROL!$C$21, $C$9, 100%, $E$9)</f>
        <v>5.6165000000000003</v>
      </c>
      <c r="T1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57">
        <f>(1000*CHOOSE(CONTROL!$C$42, 695, 695)*CHOOSE(CONTROL!$C$42, 0.5599, 0.5599)*CHOOSE(CONTROL!$C$42, 31, 31))/1000000</f>
        <v>12.063045499999998</v>
      </c>
      <c r="V118" s="57">
        <f>(1000*CHOOSE(CONTROL!$C$42, 500, 500)*CHOOSE(CONTROL!$C$42, 0.275, 0.275)*CHOOSE(CONTROL!$C$42, 31, 31))/1000000</f>
        <v>4.2625000000000002</v>
      </c>
      <c r="W118" s="57">
        <f>(1000*CHOOSE(CONTROL!$C$42, 0.1146, 0.1146)*CHOOSE(CONTROL!$C$42, 121.5, 121.5)*CHOOSE(CONTROL!$C$42, 31, 31))/1000000</f>
        <v>0.43164089999999994</v>
      </c>
      <c r="X118" s="57">
        <f>(31*0.1790888*245000/1000000)+(31*0.2374*100000/1000000)</f>
        <v>2.0961194359999999</v>
      </c>
      <c r="Y118" s="57"/>
      <c r="Z118" s="10"/>
      <c r="AA118" s="56"/>
      <c r="AB118" s="50">
        <f>(B118*131.881+C118*277.167+D118*79.08+E118*125.872+F118*40+G118*185+H118*0+I118*100+J118*300)/(131.881+277.167+79.08+125.872+0+40+185+100+300)</f>
        <v>5.8172561443099271</v>
      </c>
      <c r="AC118" s="45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5.7937273381294965</v>
      </c>
    </row>
    <row r="119" spans="1:29" ht="15.75" x14ac:dyDescent="0.25">
      <c r="A119" s="16">
        <v>44501</v>
      </c>
      <c r="B119" s="10">
        <f>CHOOSE(CONTROL!$C$42, 5.9382, 5.9382) * CHOOSE(CONTROL!$C$21, $C$9, 100%, $E$9)</f>
        <v>5.9382000000000001</v>
      </c>
      <c r="C119" s="10">
        <f>CHOOSE(CONTROL!$C$42, 5.9431, 5.9431) * CHOOSE(CONTROL!$C$21, $C$9, 100%, $E$9)</f>
        <v>5.9431000000000003</v>
      </c>
      <c r="D119" s="10">
        <f>CHOOSE(CONTROL!$C$42, 6.0036, 6.0036) * CHOOSE(CONTROL!$C$21, $C$9, 100%, $E$9)</f>
        <v>6.0035999999999996</v>
      </c>
      <c r="E119" s="10">
        <f>CHOOSE(CONTROL!$C$42, 6.0374, 6.0374) * CHOOSE(CONTROL!$C$21, $C$9, 100%, $E$9)</f>
        <v>6.0373999999999999</v>
      </c>
      <c r="F119" s="10">
        <f>CHOOSE(CONTROL!$C$42, 5.9338, 5.9338)*CHOOSE(CONTROL!$C$21, $C$9, 100%, $E$9)</f>
        <v>5.9337999999999997</v>
      </c>
      <c r="G119" s="10">
        <f>CHOOSE(CONTROL!$C$42, 5.949, 5.949)*CHOOSE(CONTROL!$C$21, $C$9, 100%, $E$9)</f>
        <v>5.9489999999999998</v>
      </c>
      <c r="H119" s="10">
        <f>CHOOSE(CONTROL!$C$42, 6.0266, 6.0266) * CHOOSE(CONTROL!$C$21, $C$9, 100%, $E$9)</f>
        <v>6.0266000000000002</v>
      </c>
      <c r="I119" s="10">
        <f>CHOOSE(CONTROL!$C$42, 5.9507, 5.9507)* CHOOSE(CONTROL!$C$21, $C$9, 100%, $E$9)</f>
        <v>5.9507000000000003</v>
      </c>
      <c r="J119" s="10">
        <f>CHOOSE(CONTROL!$C$42, 5.9268, 5.9268)* CHOOSE(CONTROL!$C$21, $C$9, 100%, $E$9)</f>
        <v>5.9268000000000001</v>
      </c>
      <c r="K119" s="53">
        <f>CHOOSE(CONTROL!$C$42, 5.9468, 5.9468) * CHOOSE(CONTROL!$C$21, $C$9, 100%, $E$9)</f>
        <v>5.9467999999999996</v>
      </c>
      <c r="L119" s="10">
        <f>CHOOSE(CONTROL!$C$42, 6.6136, 6.6136) * CHOOSE(CONTROL!$C$21, $C$9, 100%, $E$9)</f>
        <v>6.6135999999999999</v>
      </c>
      <c r="M119" s="10">
        <f>CHOOSE(CONTROL!$C$42, 5.8808, 5.8808) * CHOOSE(CONTROL!$C$21, $C$9, 100%, $E$9)</f>
        <v>5.8807999999999998</v>
      </c>
      <c r="N119" s="10">
        <f>CHOOSE(CONTROL!$C$42, 5.8959, 5.8959) * CHOOSE(CONTROL!$C$21, $C$9, 100%, $E$9)</f>
        <v>5.8959000000000001</v>
      </c>
      <c r="O119" s="10">
        <f>CHOOSE(CONTROL!$C$42, 5.9796, 5.9796) * CHOOSE(CONTROL!$C$21, $C$9, 100%, $E$9)</f>
        <v>5.9795999999999996</v>
      </c>
      <c r="P119" s="10">
        <f>CHOOSE(CONTROL!$C$42, 5.9045, 5.9045) * CHOOSE(CONTROL!$C$21, $C$9, 100%, $E$9)</f>
        <v>5.9044999999999996</v>
      </c>
      <c r="Q119" s="10">
        <f>CHOOSE(CONTROL!$C$42, 6.5749, 6.5749) * CHOOSE(CONTROL!$C$21, $C$9, 100%, $E$9)</f>
        <v>6.5749000000000004</v>
      </c>
      <c r="R119" s="10">
        <f>CHOOSE(CONTROL!$C$42, 7.1784, 7.1784) * CHOOSE(CONTROL!$C$21, $C$9, 100%, $E$9)</f>
        <v>7.1783999999999999</v>
      </c>
      <c r="S119" s="10">
        <f>CHOOSE(CONTROL!$C$42, 5.7644, 5.7644) * CHOOSE(CONTROL!$C$21, $C$9, 100%, $E$9)</f>
        <v>5.7644000000000002</v>
      </c>
      <c r="T1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57">
        <f>(1000*CHOOSE(CONTROL!$C$42, 695, 695)*CHOOSE(CONTROL!$C$42, 0.5599, 0.5599)*CHOOSE(CONTROL!$C$42, 30, 30))/1000000</f>
        <v>11.673914999999997</v>
      </c>
      <c r="V119" s="57">
        <f>(1000*CHOOSE(CONTROL!$C$42, 500, 500)*CHOOSE(CONTROL!$C$42, 0.275, 0.275)*CHOOSE(CONTROL!$C$42, 30, 30))/1000000</f>
        <v>4.125</v>
      </c>
      <c r="W119" s="57">
        <f>(1000*CHOOSE(CONTROL!$C$42, 0.1146, 0.1146)*CHOOSE(CONTROL!$C$42, 121.5, 121.5)*CHOOSE(CONTROL!$C$42, 30, 30))/1000000</f>
        <v>0.417717</v>
      </c>
      <c r="X119" s="57">
        <f>(30*0.1790888*100000/1000000)+(30*0.2374*100000/1000000)</f>
        <v>1.2494664</v>
      </c>
      <c r="Y119" s="57"/>
      <c r="Z119" s="10"/>
      <c r="AA119" s="56"/>
      <c r="AB119" s="50">
        <f>(B119*122.58+C119*297.941+D119*89.177+E119*40.302+F119*40+G119*160+H119*0+I119*100+J119*300)/(122.58+297.941+89.177+40.302+0+40+160+100+300)</f>
        <v>5.9474800392173908</v>
      </c>
      <c r="AC119" s="45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5.9298589928057543</v>
      </c>
    </row>
    <row r="120" spans="1:29" ht="15.75" x14ac:dyDescent="0.25">
      <c r="A120" s="16">
        <v>44531</v>
      </c>
      <c r="B120" s="10">
        <f>CHOOSE(CONTROL!$C$42, 6.3428, 6.3428) * CHOOSE(CONTROL!$C$21, $C$9, 100%, $E$9)</f>
        <v>6.3428000000000004</v>
      </c>
      <c r="C120" s="10">
        <f>CHOOSE(CONTROL!$C$42, 6.3478, 6.3478) * CHOOSE(CONTROL!$C$21, $C$9, 100%, $E$9)</f>
        <v>6.3478000000000003</v>
      </c>
      <c r="D120" s="10">
        <f>CHOOSE(CONTROL!$C$42, 6.4083, 6.4083) * CHOOSE(CONTROL!$C$21, $C$9, 100%, $E$9)</f>
        <v>6.4082999999999997</v>
      </c>
      <c r="E120" s="10">
        <f>CHOOSE(CONTROL!$C$42, 6.4421, 6.4421) * CHOOSE(CONTROL!$C$21, $C$9, 100%, $E$9)</f>
        <v>6.4420999999999999</v>
      </c>
      <c r="F120" s="10">
        <f>CHOOSE(CONTROL!$C$42, 6.3403, 6.3403)*CHOOSE(CONTROL!$C$21, $C$9, 100%, $E$9)</f>
        <v>6.3403</v>
      </c>
      <c r="G120" s="10">
        <f>CHOOSE(CONTROL!$C$42, 6.356, 6.356)*CHOOSE(CONTROL!$C$21, $C$9, 100%, $E$9)</f>
        <v>6.3559999999999999</v>
      </c>
      <c r="H120" s="10">
        <f>CHOOSE(CONTROL!$C$42, 6.4313, 6.4313) * CHOOSE(CONTROL!$C$21, $C$9, 100%, $E$9)</f>
        <v>6.4313000000000002</v>
      </c>
      <c r="I120" s="10">
        <f>CHOOSE(CONTROL!$C$42, 6.3554, 6.3554)* CHOOSE(CONTROL!$C$21, $C$9, 100%, $E$9)</f>
        <v>6.3554000000000004</v>
      </c>
      <c r="J120" s="10">
        <f>CHOOSE(CONTROL!$C$42, 6.3333, 6.3333)* CHOOSE(CONTROL!$C$21, $C$9, 100%, $E$9)</f>
        <v>6.3333000000000004</v>
      </c>
      <c r="K120" s="53">
        <f>CHOOSE(CONTROL!$C$42, 6.3515, 6.3515) * CHOOSE(CONTROL!$C$21, $C$9, 100%, $E$9)</f>
        <v>6.3514999999999997</v>
      </c>
      <c r="L120" s="10">
        <f>CHOOSE(CONTROL!$C$42, 7.0183, 7.0183) * CHOOSE(CONTROL!$C$21, $C$9, 100%, $E$9)</f>
        <v>7.0183</v>
      </c>
      <c r="M120" s="10">
        <f>CHOOSE(CONTROL!$C$42, 6.2832, 6.2832) * CHOOSE(CONTROL!$C$21, $C$9, 100%, $E$9)</f>
        <v>6.2831999999999999</v>
      </c>
      <c r="N120" s="10">
        <f>CHOOSE(CONTROL!$C$42, 6.2988, 6.2988) * CHOOSE(CONTROL!$C$21, $C$9, 100%, $E$9)</f>
        <v>6.2988</v>
      </c>
      <c r="O120" s="10">
        <f>CHOOSE(CONTROL!$C$42, 6.3802, 6.3802) * CHOOSE(CONTROL!$C$21, $C$9, 100%, $E$9)</f>
        <v>6.3802000000000003</v>
      </c>
      <c r="P120" s="10">
        <f>CHOOSE(CONTROL!$C$42, 6.3051, 6.3051) * CHOOSE(CONTROL!$C$21, $C$9, 100%, $E$9)</f>
        <v>6.3051000000000004</v>
      </c>
      <c r="Q120" s="10">
        <f>CHOOSE(CONTROL!$C$42, 6.9755, 6.9755) * CHOOSE(CONTROL!$C$21, $C$9, 100%, $E$9)</f>
        <v>6.9755000000000003</v>
      </c>
      <c r="R120" s="10">
        <f>CHOOSE(CONTROL!$C$42, 7.5799, 7.5799) * CHOOSE(CONTROL!$C$21, $C$9, 100%, $E$9)</f>
        <v>7.5799000000000003</v>
      </c>
      <c r="S120" s="10">
        <f>CHOOSE(CONTROL!$C$42, 6.1574, 6.1574) * CHOOSE(CONTROL!$C$21, $C$9, 100%, $E$9)</f>
        <v>6.1574</v>
      </c>
      <c r="T1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57">
        <f>(1000*CHOOSE(CONTROL!$C$42, 695, 695)*CHOOSE(CONTROL!$C$42, 0.5599, 0.5599)*CHOOSE(CONTROL!$C$42, 31, 31))/1000000</f>
        <v>12.063045499999998</v>
      </c>
      <c r="V120" s="57">
        <f>(1000*CHOOSE(CONTROL!$C$42, 500, 500)*CHOOSE(CONTROL!$C$42, 0.275, 0.275)*CHOOSE(CONTROL!$C$42, 31, 31))/1000000</f>
        <v>4.2625000000000002</v>
      </c>
      <c r="W120" s="57">
        <f>(1000*CHOOSE(CONTROL!$C$42, 0.1146, 0.1146)*CHOOSE(CONTROL!$C$42, 121.5, 121.5)*CHOOSE(CONTROL!$C$42, 31, 31))/1000000</f>
        <v>0.43164089999999994</v>
      </c>
      <c r="X120" s="57">
        <f>(31*0.1790888*100000/1000000)+(31*0.2374*100000/1000000)</f>
        <v>1.2911152800000001</v>
      </c>
      <c r="Y120" s="57"/>
      <c r="Z120" s="10"/>
      <c r="AA120" s="56"/>
      <c r="AB120" s="50">
        <f>(B120*122.58+C120*297.941+D120*89.177+E120*40.302+F120*40+G120*160+H120*0+I120*100+J120*300)/(122.58+297.941+89.177+40.302+0+40+160+100+300)</f>
        <v>6.3530215539999997</v>
      </c>
      <c r="AC120" s="45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6.331212949640288</v>
      </c>
    </row>
    <row r="121" spans="1:29" ht="15.75" x14ac:dyDescent="0.25">
      <c r="A121" s="16">
        <v>44562</v>
      </c>
      <c r="B121" s="10">
        <f>CHOOSE(CONTROL!$C$42, 6.8251, 6.8251) * CHOOSE(CONTROL!$C$21, $C$9, 100%, $E$9)</f>
        <v>6.8250999999999999</v>
      </c>
      <c r="C121" s="10">
        <f>CHOOSE(CONTROL!$C$42, 6.8301, 6.8301) * CHOOSE(CONTROL!$C$21, $C$9, 100%, $E$9)</f>
        <v>6.8300999999999998</v>
      </c>
      <c r="D121" s="10">
        <f>CHOOSE(CONTROL!$C$42, 6.8872, 6.8872) * CHOOSE(CONTROL!$C$21, $C$9, 100%, $E$9)</f>
        <v>6.8872</v>
      </c>
      <c r="E121" s="10">
        <f>CHOOSE(CONTROL!$C$42, 6.9209, 6.9209) * CHOOSE(CONTROL!$C$21, $C$9, 100%, $E$9)</f>
        <v>6.9208999999999996</v>
      </c>
      <c r="F121" s="10">
        <f>CHOOSE(CONTROL!$C$42, 6.823, 6.823)*CHOOSE(CONTROL!$C$21, $C$9, 100%, $E$9)</f>
        <v>6.8230000000000004</v>
      </c>
      <c r="G121" s="10">
        <f>CHOOSE(CONTROL!$C$42, 6.8376, 6.8376)*CHOOSE(CONTROL!$C$21, $C$9, 100%, $E$9)</f>
        <v>6.8376000000000001</v>
      </c>
      <c r="H121" s="10">
        <f>CHOOSE(CONTROL!$C$42, 6.9101, 6.9101) * CHOOSE(CONTROL!$C$21, $C$9, 100%, $E$9)</f>
        <v>6.9100999999999999</v>
      </c>
      <c r="I121" s="10">
        <f>CHOOSE(CONTROL!$C$42, 6.8359, 6.8359)* CHOOSE(CONTROL!$C$21, $C$9, 100%, $E$9)</f>
        <v>6.8358999999999996</v>
      </c>
      <c r="J121" s="10">
        <f>CHOOSE(CONTROL!$C$42, 6.816, 6.816)* CHOOSE(CONTROL!$C$21, $C$9, 100%, $E$9)</f>
        <v>6.8159999999999998</v>
      </c>
      <c r="K121" s="53">
        <f>CHOOSE(CONTROL!$C$42, 6.8321, 6.8321) * CHOOSE(CONTROL!$C$21, $C$9, 100%, $E$9)</f>
        <v>6.8320999999999996</v>
      </c>
      <c r="L121" s="10">
        <f>CHOOSE(CONTROL!$C$42, 7.4971, 7.4971) * CHOOSE(CONTROL!$C$21, $C$9, 100%, $E$9)</f>
        <v>7.4970999999999997</v>
      </c>
      <c r="M121" s="10">
        <f>CHOOSE(CONTROL!$C$42, 6.761, 6.761) * CHOOSE(CONTROL!$C$21, $C$9, 100%, $E$9)</f>
        <v>6.7610000000000001</v>
      </c>
      <c r="N121" s="10">
        <f>CHOOSE(CONTROL!$C$42, 6.7755, 6.7755) * CHOOSE(CONTROL!$C$21, $C$9, 100%, $E$9)</f>
        <v>6.7755000000000001</v>
      </c>
      <c r="O121" s="10">
        <f>CHOOSE(CONTROL!$C$42, 6.8542, 6.8542) * CHOOSE(CONTROL!$C$21, $C$9, 100%, $E$9)</f>
        <v>6.8541999999999996</v>
      </c>
      <c r="P121" s="10">
        <f>CHOOSE(CONTROL!$C$42, 6.7808, 6.7808) * CHOOSE(CONTROL!$C$21, $C$9, 100%, $E$9)</f>
        <v>6.7808000000000002</v>
      </c>
      <c r="Q121" s="10">
        <f>CHOOSE(CONTROL!$C$42, 7.4495, 7.4495) * CHOOSE(CONTROL!$C$21, $C$9, 100%, $E$9)</f>
        <v>7.4494999999999996</v>
      </c>
      <c r="R121" s="10">
        <f>CHOOSE(CONTROL!$C$42, 8.0552, 8.0552) * CHOOSE(CONTROL!$C$21, $C$9, 100%, $E$9)</f>
        <v>8.0551999999999992</v>
      </c>
      <c r="S121" s="10">
        <f>CHOOSE(CONTROL!$C$42, 6.6258, 6.6258) * CHOOSE(CONTROL!$C$21, $C$9, 100%, $E$9)</f>
        <v>6.6257999999999999</v>
      </c>
      <c r="T1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57">
        <f>(1000*CHOOSE(CONTROL!$C$42, 695, 695)*CHOOSE(CONTROL!$C$42, 0.5599, 0.5599)*CHOOSE(CONTROL!$C$42, 31, 31))/1000000</f>
        <v>12.063045499999998</v>
      </c>
      <c r="V121" s="57">
        <f>(1000*CHOOSE(CONTROL!$C$42, 500, 500)*CHOOSE(CONTROL!$C$42, 0.275, 0.275)*CHOOSE(CONTROL!$C$42, 31, 31))/1000000</f>
        <v>4.2625000000000002</v>
      </c>
      <c r="W121" s="57">
        <f>(1000*CHOOSE(CONTROL!$C$42, 0.1146, 0.1146)*CHOOSE(CONTROL!$C$42, 121.5, 121.5)*CHOOSE(CONTROL!$C$42, 31, 31))/1000000</f>
        <v>0.43164089999999994</v>
      </c>
      <c r="X121" s="57">
        <f>(31*0.1790888*100000/1000000)+(31*0.2374*100000/1000000)</f>
        <v>1.2911152800000001</v>
      </c>
      <c r="Y121" s="57"/>
      <c r="Z121" s="10"/>
      <c r="AA121" s="56"/>
      <c r="AB121" s="50">
        <f>(B121*122.58+C121*297.941+D121*89.177+E121*40.302+F121*40+G121*160+H121*0+I121*100+J121*300)/(122.58+297.941+89.177+40.302+0+40+160+100+300)</f>
        <v>6.8347995898260869</v>
      </c>
      <c r="AC121" s="45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6.8069251798561154</v>
      </c>
    </row>
    <row r="122" spans="1:29" ht="15.75" x14ac:dyDescent="0.25">
      <c r="A122" s="16">
        <v>44593</v>
      </c>
      <c r="B122" s="10">
        <f>CHOOSE(CONTROL!$C$42, 6.9466, 6.9466) * CHOOSE(CONTROL!$C$21, $C$9, 100%, $E$9)</f>
        <v>6.9466000000000001</v>
      </c>
      <c r="C122" s="10">
        <f>CHOOSE(CONTROL!$C$42, 6.9515, 6.9515) * CHOOSE(CONTROL!$C$21, $C$9, 100%, $E$9)</f>
        <v>6.9515000000000002</v>
      </c>
      <c r="D122" s="10">
        <f>CHOOSE(CONTROL!$C$42, 7.0086, 7.0086) * CHOOSE(CONTROL!$C$21, $C$9, 100%, $E$9)</f>
        <v>7.0086000000000004</v>
      </c>
      <c r="E122" s="10">
        <f>CHOOSE(CONTROL!$C$42, 7.0424, 7.0424) * CHOOSE(CONTROL!$C$21, $C$9, 100%, $E$9)</f>
        <v>7.0423999999999998</v>
      </c>
      <c r="F122" s="10">
        <f>CHOOSE(CONTROL!$C$42, 6.9445, 6.9445)*CHOOSE(CONTROL!$C$21, $C$9, 100%, $E$9)</f>
        <v>6.9444999999999997</v>
      </c>
      <c r="G122" s="10">
        <f>CHOOSE(CONTROL!$C$42, 6.9592, 6.9592)*CHOOSE(CONTROL!$C$21, $C$9, 100%, $E$9)</f>
        <v>6.9592000000000001</v>
      </c>
      <c r="H122" s="10">
        <f>CHOOSE(CONTROL!$C$42, 7.0316, 7.0316) * CHOOSE(CONTROL!$C$21, $C$9, 100%, $E$9)</f>
        <v>7.0316000000000001</v>
      </c>
      <c r="I122" s="10">
        <f>CHOOSE(CONTROL!$C$42, 6.9574, 6.9574)* CHOOSE(CONTROL!$C$21, $C$9, 100%, $E$9)</f>
        <v>6.9573999999999998</v>
      </c>
      <c r="J122" s="10">
        <f>CHOOSE(CONTROL!$C$42, 6.9375, 6.9375)* CHOOSE(CONTROL!$C$21, $C$9, 100%, $E$9)</f>
        <v>6.9375</v>
      </c>
      <c r="K122" s="53">
        <f>CHOOSE(CONTROL!$C$42, 6.9535, 6.9535) * CHOOSE(CONTROL!$C$21, $C$9, 100%, $E$9)</f>
        <v>6.9535</v>
      </c>
      <c r="L122" s="10">
        <f>CHOOSE(CONTROL!$C$42, 7.6186, 7.6186) * CHOOSE(CONTROL!$C$21, $C$9, 100%, $E$9)</f>
        <v>7.6185999999999998</v>
      </c>
      <c r="M122" s="10">
        <f>CHOOSE(CONTROL!$C$42, 6.8813, 6.8813) * CHOOSE(CONTROL!$C$21, $C$9, 100%, $E$9)</f>
        <v>6.8813000000000004</v>
      </c>
      <c r="N122" s="10">
        <f>CHOOSE(CONTROL!$C$42, 6.8958, 6.8958) * CHOOSE(CONTROL!$C$21, $C$9, 100%, $E$9)</f>
        <v>6.8958000000000004</v>
      </c>
      <c r="O122" s="10">
        <f>CHOOSE(CONTROL!$C$42, 6.9745, 6.9745) * CHOOSE(CONTROL!$C$21, $C$9, 100%, $E$9)</f>
        <v>6.9744999999999999</v>
      </c>
      <c r="P122" s="10">
        <f>CHOOSE(CONTROL!$C$42, 6.901, 6.901) * CHOOSE(CONTROL!$C$21, $C$9, 100%, $E$9)</f>
        <v>6.9009999999999998</v>
      </c>
      <c r="Q122" s="10">
        <f>CHOOSE(CONTROL!$C$42, 7.5698, 7.5698) * CHOOSE(CONTROL!$C$21, $C$9, 100%, $E$9)</f>
        <v>7.5697999999999999</v>
      </c>
      <c r="R122" s="10">
        <f>CHOOSE(CONTROL!$C$42, 8.1757, 8.1757) * CHOOSE(CONTROL!$C$21, $C$9, 100%, $E$9)</f>
        <v>8.1757000000000009</v>
      </c>
      <c r="S122" s="10">
        <f>CHOOSE(CONTROL!$C$42, 6.7437, 6.7437) * CHOOSE(CONTROL!$C$21, $C$9, 100%, $E$9)</f>
        <v>6.7436999999999996</v>
      </c>
      <c r="T1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57">
        <f>(1000*CHOOSE(CONTROL!$C$42, 695, 695)*CHOOSE(CONTROL!$C$42, 0.5599, 0.5599)*CHOOSE(CONTROL!$C$42, 28, 28))/1000000</f>
        <v>10.895653999999999</v>
      </c>
      <c r="V122" s="57">
        <f>(1000*CHOOSE(CONTROL!$C$42, 500, 500)*CHOOSE(CONTROL!$C$42, 0.275, 0.275)*CHOOSE(CONTROL!$C$42, 28, 28))/1000000</f>
        <v>3.85</v>
      </c>
      <c r="W122" s="57">
        <f>(1000*CHOOSE(CONTROL!$C$42, 0.1146, 0.1146)*CHOOSE(CONTROL!$C$42, 121.5, 121.5)*CHOOSE(CONTROL!$C$42, 28, 28))/1000000</f>
        <v>0.38986920000000003</v>
      </c>
      <c r="X122" s="57">
        <f>(28*0.1790888*100000/1000000)+(28*0.2374*100000/1000000)</f>
        <v>1.16616864</v>
      </c>
      <c r="Y122" s="57"/>
      <c r="Z122" s="10"/>
      <c r="AA122" s="56"/>
      <c r="AB122" s="50">
        <f>(B122*122.58+C122*297.941+D122*89.177+E122*40.302+F122*40+G122*160+H122*0+I122*100+J122*300)/(122.58+297.941+89.177+40.302+0+40+160+100+300)</f>
        <v>6.9562798404347825</v>
      </c>
      <c r="AC122" s="45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6.9272107913669068</v>
      </c>
    </row>
    <row r="123" spans="1:29" ht="15.75" x14ac:dyDescent="0.25">
      <c r="A123" s="16">
        <v>44621</v>
      </c>
      <c r="B123" s="10">
        <f>CHOOSE(CONTROL!$C$42, 6.7495, 6.7495) * CHOOSE(CONTROL!$C$21, $C$9, 100%, $E$9)</f>
        <v>6.7495000000000003</v>
      </c>
      <c r="C123" s="10">
        <f>CHOOSE(CONTROL!$C$42, 6.7544, 6.7544) * CHOOSE(CONTROL!$C$21, $C$9, 100%, $E$9)</f>
        <v>6.7544000000000004</v>
      </c>
      <c r="D123" s="10">
        <f>CHOOSE(CONTROL!$C$42, 6.8115, 6.8115) * CHOOSE(CONTROL!$C$21, $C$9, 100%, $E$9)</f>
        <v>6.8114999999999997</v>
      </c>
      <c r="E123" s="10">
        <f>CHOOSE(CONTROL!$C$42, 6.8453, 6.8453) * CHOOSE(CONTROL!$C$21, $C$9, 100%, $E$9)</f>
        <v>6.8452999999999999</v>
      </c>
      <c r="F123" s="10">
        <f>CHOOSE(CONTROL!$C$42, 6.7473, 6.7473)*CHOOSE(CONTROL!$C$21, $C$9, 100%, $E$9)</f>
        <v>6.7473000000000001</v>
      </c>
      <c r="G123" s="10">
        <f>CHOOSE(CONTROL!$C$42, 6.7619, 6.7619)*CHOOSE(CONTROL!$C$21, $C$9, 100%, $E$9)</f>
        <v>6.7618999999999998</v>
      </c>
      <c r="H123" s="10">
        <f>CHOOSE(CONTROL!$C$42, 6.8345, 6.8345) * CHOOSE(CONTROL!$C$21, $C$9, 100%, $E$9)</f>
        <v>6.8345000000000002</v>
      </c>
      <c r="I123" s="10">
        <f>CHOOSE(CONTROL!$C$42, 6.7603, 6.7603)* CHOOSE(CONTROL!$C$21, $C$9, 100%, $E$9)</f>
        <v>6.7603</v>
      </c>
      <c r="J123" s="10">
        <f>CHOOSE(CONTROL!$C$42, 6.7403, 6.7403)* CHOOSE(CONTROL!$C$21, $C$9, 100%, $E$9)</f>
        <v>6.7403000000000004</v>
      </c>
      <c r="K123" s="53">
        <f>CHOOSE(CONTROL!$C$42, 6.7564, 6.7564) * CHOOSE(CONTROL!$C$21, $C$9, 100%, $E$9)</f>
        <v>6.7564000000000002</v>
      </c>
      <c r="L123" s="10">
        <f>CHOOSE(CONTROL!$C$42, 7.4215, 7.4215) * CHOOSE(CONTROL!$C$21, $C$9, 100%, $E$9)</f>
        <v>7.4215</v>
      </c>
      <c r="M123" s="10">
        <f>CHOOSE(CONTROL!$C$42, 6.6861, 6.6861) * CHOOSE(CONTROL!$C$21, $C$9, 100%, $E$9)</f>
        <v>6.6860999999999997</v>
      </c>
      <c r="N123" s="10">
        <f>CHOOSE(CONTROL!$C$42, 6.7005, 6.7005) * CHOOSE(CONTROL!$C$21, $C$9, 100%, $E$9)</f>
        <v>6.7004999999999999</v>
      </c>
      <c r="O123" s="10">
        <f>CHOOSE(CONTROL!$C$42, 6.7793, 6.7793) * CHOOSE(CONTROL!$C$21, $C$9, 100%, $E$9)</f>
        <v>6.7793000000000001</v>
      </c>
      <c r="P123" s="10">
        <f>CHOOSE(CONTROL!$C$42, 6.7059, 6.7059) * CHOOSE(CONTROL!$C$21, $C$9, 100%, $E$9)</f>
        <v>6.7058999999999997</v>
      </c>
      <c r="Q123" s="10">
        <f>CHOOSE(CONTROL!$C$42, 7.3746, 7.3746) * CHOOSE(CONTROL!$C$21, $C$9, 100%, $E$9)</f>
        <v>7.3746</v>
      </c>
      <c r="R123" s="10">
        <f>CHOOSE(CONTROL!$C$42, 7.98, 7.98) * CHOOSE(CONTROL!$C$21, $C$9, 100%, $E$9)</f>
        <v>7.98</v>
      </c>
      <c r="S123" s="10">
        <f>CHOOSE(CONTROL!$C$42, 6.5523, 6.5523) * CHOOSE(CONTROL!$C$21, $C$9, 100%, $E$9)</f>
        <v>6.5522999999999998</v>
      </c>
      <c r="T1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57">
        <f>(1000*CHOOSE(CONTROL!$C$42, 695, 695)*CHOOSE(CONTROL!$C$42, 0.5599, 0.5599)*CHOOSE(CONTROL!$C$42, 31, 31))/1000000</f>
        <v>12.063045499999998</v>
      </c>
      <c r="V123" s="57">
        <f>(1000*CHOOSE(CONTROL!$C$42, 500, 500)*CHOOSE(CONTROL!$C$42, 0.275, 0.275)*CHOOSE(CONTROL!$C$42, 31, 31))/1000000</f>
        <v>4.2625000000000002</v>
      </c>
      <c r="W123" s="57">
        <f>(1000*CHOOSE(CONTROL!$C$42, 0.1146, 0.1146)*CHOOSE(CONTROL!$C$42, 121.5, 121.5)*CHOOSE(CONTROL!$C$42, 31, 31))/1000000</f>
        <v>0.43164089999999994</v>
      </c>
      <c r="X123" s="57">
        <f>(31*0.1790888*100000/1000000)+(31*0.2374*100000/1000000)</f>
        <v>1.2911152800000001</v>
      </c>
      <c r="Y123" s="57"/>
      <c r="Z123" s="10"/>
      <c r="AA123" s="56"/>
      <c r="AB123" s="50">
        <f>(B123*122.58+C123*297.941+D123*89.177+E123*40.302+F123*40+G123*160+H123*0+I123*100+J123*300)/(122.58+297.941+89.177+40.302+0+40+160+100+300)</f>
        <v>6.7591224491304347</v>
      </c>
      <c r="AC123" s="45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6.7320194244604314</v>
      </c>
    </row>
    <row r="124" spans="1:29" ht="15.75" x14ac:dyDescent="0.25">
      <c r="A124" s="16">
        <v>44652</v>
      </c>
      <c r="B124" s="10">
        <f>CHOOSE(CONTROL!$C$42, 6.7304, 6.7304) * CHOOSE(CONTROL!$C$21, $C$9, 100%, $E$9)</f>
        <v>6.7304000000000004</v>
      </c>
      <c r="C124" s="10">
        <f>CHOOSE(CONTROL!$C$42, 6.7348, 6.7348) * CHOOSE(CONTROL!$C$21, $C$9, 100%, $E$9)</f>
        <v>6.7347999999999999</v>
      </c>
      <c r="D124" s="10">
        <f>CHOOSE(CONTROL!$C$42, 6.9407, 6.9407) * CHOOSE(CONTROL!$C$21, $C$9, 100%, $E$9)</f>
        <v>6.9406999999999996</v>
      </c>
      <c r="E124" s="10">
        <f>CHOOSE(CONTROL!$C$42, 6.9725, 6.9725) * CHOOSE(CONTROL!$C$21, $C$9, 100%, $E$9)</f>
        <v>6.9725000000000001</v>
      </c>
      <c r="F124" s="10">
        <f>CHOOSE(CONTROL!$C$42, 6.7072, 6.7072)*CHOOSE(CONTROL!$C$21, $C$9, 100%, $E$9)</f>
        <v>6.7072000000000003</v>
      </c>
      <c r="G124" s="10">
        <f>CHOOSE(CONTROL!$C$42, 6.7217, 6.7217)*CHOOSE(CONTROL!$C$21, $C$9, 100%, $E$9)</f>
        <v>6.7217000000000002</v>
      </c>
      <c r="H124" s="10">
        <f>CHOOSE(CONTROL!$C$42, 6.9622, 6.9622) * CHOOSE(CONTROL!$C$21, $C$9, 100%, $E$9)</f>
        <v>6.9622000000000002</v>
      </c>
      <c r="I124" s="10">
        <f>CHOOSE(CONTROL!$C$42, 6.7319, 6.7319)* CHOOSE(CONTROL!$C$21, $C$9, 100%, $E$9)</f>
        <v>6.7319000000000004</v>
      </c>
      <c r="J124" s="10">
        <f>CHOOSE(CONTROL!$C$42, 6.7002, 6.7002)* CHOOSE(CONTROL!$C$21, $C$9, 100%, $E$9)</f>
        <v>6.7001999999999997</v>
      </c>
      <c r="K124" s="53">
        <f>CHOOSE(CONTROL!$C$42, 6.728, 6.728) * CHOOSE(CONTROL!$C$21, $C$9, 100%, $E$9)</f>
        <v>6.7279999999999998</v>
      </c>
      <c r="L124" s="10">
        <f>CHOOSE(CONTROL!$C$42, 7.5492, 7.5492) * CHOOSE(CONTROL!$C$21, $C$9, 100%, $E$9)</f>
        <v>7.5491999999999999</v>
      </c>
      <c r="M124" s="10">
        <f>CHOOSE(CONTROL!$C$42, 6.6464, 6.6464) * CHOOSE(CONTROL!$C$21, $C$9, 100%, $E$9)</f>
        <v>6.6463999999999999</v>
      </c>
      <c r="N124" s="10">
        <f>CHOOSE(CONTROL!$C$42, 6.6608, 6.6608) * CHOOSE(CONTROL!$C$21, $C$9, 100%, $E$9)</f>
        <v>6.6608000000000001</v>
      </c>
      <c r="O124" s="10">
        <f>CHOOSE(CONTROL!$C$42, 6.9058, 6.9058) * CHOOSE(CONTROL!$C$21, $C$9, 100%, $E$9)</f>
        <v>6.9058000000000002</v>
      </c>
      <c r="P124" s="10">
        <f>CHOOSE(CONTROL!$C$42, 6.6778, 6.6778) * CHOOSE(CONTROL!$C$21, $C$9, 100%, $E$9)</f>
        <v>6.6778000000000004</v>
      </c>
      <c r="Q124" s="10">
        <f>CHOOSE(CONTROL!$C$42, 7.5011, 7.5011) * CHOOSE(CONTROL!$C$21, $C$9, 100%, $E$9)</f>
        <v>7.5011000000000001</v>
      </c>
      <c r="R124" s="10">
        <f>CHOOSE(CONTROL!$C$42, 8.1069, 8.1069) * CHOOSE(CONTROL!$C$21, $C$9, 100%, $E$9)</f>
        <v>8.1068999999999996</v>
      </c>
      <c r="S124" s="10">
        <f>CHOOSE(CONTROL!$C$42, 6.533, 6.533) * CHOOSE(CONTROL!$C$21, $C$9, 100%, $E$9)</f>
        <v>6.5330000000000004</v>
      </c>
      <c r="T1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57">
        <f>(1000*CHOOSE(CONTROL!$C$42, 695, 695)*CHOOSE(CONTROL!$C$42, 0.5599, 0.5599)*CHOOSE(CONTROL!$C$42, 30, 30))/1000000</f>
        <v>11.673914999999997</v>
      </c>
      <c r="V124" s="57">
        <f>(1000*CHOOSE(CONTROL!$C$42, 500, 500)*CHOOSE(CONTROL!$C$42, 0.275, 0.275)*CHOOSE(CONTROL!$C$42, 30, 30))/1000000</f>
        <v>4.125</v>
      </c>
      <c r="W124" s="57">
        <f>(1000*CHOOSE(CONTROL!$C$42, 0.1146, 0.1146)*CHOOSE(CONTROL!$C$42, 121.5, 121.5)*CHOOSE(CONTROL!$C$42, 30, 30))/1000000</f>
        <v>0.417717</v>
      </c>
      <c r="X124" s="57">
        <f>(30*0.1790888*245000/1000000)+(30*0.2374*100000/1000000)</f>
        <v>2.0285026799999999</v>
      </c>
      <c r="Y124" s="57"/>
      <c r="Z124" s="10"/>
      <c r="AA124" s="56"/>
      <c r="AB124" s="50">
        <f>(B124*141.293+C124*267.993+D124*115.016+E124*89.698+F124*40+G124*185+H124*0+I124*100+J124*300)/(141.293+267.993+115.016+89.698+0+40+185+100+300)</f>
        <v>6.7591614364810333</v>
      </c>
      <c r="AC124" s="45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6.7270143884892084</v>
      </c>
    </row>
    <row r="125" spans="1:29" ht="15.75" x14ac:dyDescent="0.25">
      <c r="A125" s="16">
        <v>44682</v>
      </c>
      <c r="B125" s="10">
        <f>CHOOSE(CONTROL!$C$42, 6.7912, 6.7912) * CHOOSE(CONTROL!$C$21, $C$9, 100%, $E$9)</f>
        <v>6.7911999999999999</v>
      </c>
      <c r="C125" s="10">
        <f>CHOOSE(CONTROL!$C$42, 6.7991, 6.7991) * CHOOSE(CONTROL!$C$21, $C$9, 100%, $E$9)</f>
        <v>6.7991000000000001</v>
      </c>
      <c r="D125" s="10">
        <f>CHOOSE(CONTROL!$C$42, 7.0018, 7.0018) * CHOOSE(CONTROL!$C$21, $C$9, 100%, $E$9)</f>
        <v>7.0018000000000002</v>
      </c>
      <c r="E125" s="10">
        <f>CHOOSE(CONTROL!$C$42, 7.033, 7.033) * CHOOSE(CONTROL!$C$21, $C$9, 100%, $E$9)</f>
        <v>7.0330000000000004</v>
      </c>
      <c r="F125" s="10">
        <f>CHOOSE(CONTROL!$C$42, 6.7669, 6.7669)*CHOOSE(CONTROL!$C$21, $C$9, 100%, $E$9)</f>
        <v>6.7668999999999997</v>
      </c>
      <c r="G125" s="10">
        <f>CHOOSE(CONTROL!$C$42, 6.7819, 6.7819)*CHOOSE(CONTROL!$C$21, $C$9, 100%, $E$9)</f>
        <v>6.7819000000000003</v>
      </c>
      <c r="H125" s="10">
        <f>CHOOSE(CONTROL!$C$42, 7.0216, 7.0216) * CHOOSE(CONTROL!$C$21, $C$9, 100%, $E$9)</f>
        <v>7.0216000000000003</v>
      </c>
      <c r="I125" s="10">
        <f>CHOOSE(CONTROL!$C$42, 6.7912, 6.7912)* CHOOSE(CONTROL!$C$21, $C$9, 100%, $E$9)</f>
        <v>6.7911999999999999</v>
      </c>
      <c r="J125" s="10">
        <f>CHOOSE(CONTROL!$C$42, 6.7599, 6.7599)* CHOOSE(CONTROL!$C$21, $C$9, 100%, $E$9)</f>
        <v>6.7599</v>
      </c>
      <c r="K125" s="53">
        <f>CHOOSE(CONTROL!$C$42, 6.7873, 6.7873) * CHOOSE(CONTROL!$C$21, $C$9, 100%, $E$9)</f>
        <v>6.7873000000000001</v>
      </c>
      <c r="L125" s="10">
        <f>CHOOSE(CONTROL!$C$42, 7.6086, 7.6086) * CHOOSE(CONTROL!$C$21, $C$9, 100%, $E$9)</f>
        <v>7.6086</v>
      </c>
      <c r="M125" s="10">
        <f>CHOOSE(CONTROL!$C$42, 6.7055, 6.7055) * CHOOSE(CONTROL!$C$21, $C$9, 100%, $E$9)</f>
        <v>6.7054999999999998</v>
      </c>
      <c r="N125" s="10">
        <f>CHOOSE(CONTROL!$C$42, 6.7204, 6.7204) * CHOOSE(CONTROL!$C$21, $C$9, 100%, $E$9)</f>
        <v>6.7203999999999997</v>
      </c>
      <c r="O125" s="10">
        <f>CHOOSE(CONTROL!$C$42, 6.9646, 6.9646) * CHOOSE(CONTROL!$C$21, $C$9, 100%, $E$9)</f>
        <v>6.9645999999999999</v>
      </c>
      <c r="P125" s="10">
        <f>CHOOSE(CONTROL!$C$42, 6.7366, 6.7366) * CHOOSE(CONTROL!$C$21, $C$9, 100%, $E$9)</f>
        <v>6.7366000000000001</v>
      </c>
      <c r="Q125" s="10">
        <f>CHOOSE(CONTROL!$C$42, 7.5599, 7.5599) * CHOOSE(CONTROL!$C$21, $C$9, 100%, $E$9)</f>
        <v>7.5598999999999998</v>
      </c>
      <c r="R125" s="10">
        <f>CHOOSE(CONTROL!$C$42, 8.1658, 8.1658) * CHOOSE(CONTROL!$C$21, $C$9, 100%, $E$9)</f>
        <v>8.1658000000000008</v>
      </c>
      <c r="S125" s="10">
        <f>CHOOSE(CONTROL!$C$42, 6.5907, 6.5907) * CHOOSE(CONTROL!$C$21, $C$9, 100%, $E$9)</f>
        <v>6.5907</v>
      </c>
      <c r="T1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57">
        <f>(1000*CHOOSE(CONTROL!$C$42, 695, 695)*CHOOSE(CONTROL!$C$42, 0.5599, 0.5599)*CHOOSE(CONTROL!$C$42, 31, 31))/1000000</f>
        <v>12.063045499999998</v>
      </c>
      <c r="V125" s="57">
        <f>(1000*CHOOSE(CONTROL!$C$42, 500, 500)*CHOOSE(CONTROL!$C$42, 0.275, 0.275)*CHOOSE(CONTROL!$C$42, 31, 31))/1000000</f>
        <v>4.2625000000000002</v>
      </c>
      <c r="W125" s="57">
        <f>(1000*CHOOSE(CONTROL!$C$42, 0.1146, 0.1146)*CHOOSE(CONTROL!$C$42, 121.5, 121.5)*CHOOSE(CONTROL!$C$42, 31, 31))/1000000</f>
        <v>0.43164089999999994</v>
      </c>
      <c r="X125" s="57">
        <f>(31*0.1790888*245000/1000000)+(31*0.2374*100000/1000000)</f>
        <v>2.0961194359999999</v>
      </c>
      <c r="Y125" s="57"/>
      <c r="Z125" s="10"/>
      <c r="AA125" s="56"/>
      <c r="AB125" s="50">
        <f>(B125*194.205+C125*267.466+D125*133.845+E125*53.484+F125*40+G125*185+H125*0+I125*100+J125*300)/(194.205+267.466+133.845+53.484+0+40+185+100+300)</f>
        <v>6.8156510750392467</v>
      </c>
      <c r="AC125" s="45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6.7861021582733807</v>
      </c>
    </row>
    <row r="126" spans="1:29" ht="15.75" x14ac:dyDescent="0.25">
      <c r="A126" s="16">
        <v>44713</v>
      </c>
      <c r="B126" s="10">
        <f>CHOOSE(CONTROL!$C$42, 6.9837, 6.9837) * CHOOSE(CONTROL!$C$21, $C$9, 100%, $E$9)</f>
        <v>6.9836999999999998</v>
      </c>
      <c r="C126" s="10">
        <f>CHOOSE(CONTROL!$C$42, 6.9916, 6.9916) * CHOOSE(CONTROL!$C$21, $C$9, 100%, $E$9)</f>
        <v>6.9916</v>
      </c>
      <c r="D126" s="10">
        <f>CHOOSE(CONTROL!$C$42, 7.1943, 7.1943) * CHOOSE(CONTROL!$C$21, $C$9, 100%, $E$9)</f>
        <v>7.1943000000000001</v>
      </c>
      <c r="E126" s="10">
        <f>CHOOSE(CONTROL!$C$42, 7.2255, 7.2255) * CHOOSE(CONTROL!$C$21, $C$9, 100%, $E$9)</f>
        <v>7.2255000000000003</v>
      </c>
      <c r="F126" s="10">
        <f>CHOOSE(CONTROL!$C$42, 6.9599, 6.9599)*CHOOSE(CONTROL!$C$21, $C$9, 100%, $E$9)</f>
        <v>6.9599000000000002</v>
      </c>
      <c r="G126" s="10">
        <f>CHOOSE(CONTROL!$C$42, 6.975, 6.975)*CHOOSE(CONTROL!$C$21, $C$9, 100%, $E$9)</f>
        <v>6.9749999999999996</v>
      </c>
      <c r="H126" s="10">
        <f>CHOOSE(CONTROL!$C$42, 7.2141, 7.2141) * CHOOSE(CONTROL!$C$21, $C$9, 100%, $E$9)</f>
        <v>7.2141000000000002</v>
      </c>
      <c r="I126" s="10">
        <f>CHOOSE(CONTROL!$C$42, 6.9837, 6.9837)* CHOOSE(CONTROL!$C$21, $C$9, 100%, $E$9)</f>
        <v>6.9836999999999998</v>
      </c>
      <c r="J126" s="10">
        <f>CHOOSE(CONTROL!$C$42, 6.9529, 6.9529)* CHOOSE(CONTROL!$C$21, $C$9, 100%, $E$9)</f>
        <v>6.9528999999999996</v>
      </c>
      <c r="K126" s="53">
        <f>CHOOSE(CONTROL!$C$42, 6.9798, 6.9798) * CHOOSE(CONTROL!$C$21, $C$9, 100%, $E$9)</f>
        <v>6.9798</v>
      </c>
      <c r="L126" s="10">
        <f>CHOOSE(CONTROL!$C$42, 7.8011, 7.8011) * CHOOSE(CONTROL!$C$21, $C$9, 100%, $E$9)</f>
        <v>7.8010999999999999</v>
      </c>
      <c r="M126" s="10">
        <f>CHOOSE(CONTROL!$C$42, 6.8966, 6.8966) * CHOOSE(CONTROL!$C$21, $C$9, 100%, $E$9)</f>
        <v>6.8966000000000003</v>
      </c>
      <c r="N126" s="10">
        <f>CHOOSE(CONTROL!$C$42, 6.9116, 6.9116) * CHOOSE(CONTROL!$C$21, $C$9, 100%, $E$9)</f>
        <v>6.9116</v>
      </c>
      <c r="O126" s="10">
        <f>CHOOSE(CONTROL!$C$42, 7.1551, 7.1551) * CHOOSE(CONTROL!$C$21, $C$9, 100%, $E$9)</f>
        <v>7.1551</v>
      </c>
      <c r="P126" s="10">
        <f>CHOOSE(CONTROL!$C$42, 6.9271, 6.9271) * CHOOSE(CONTROL!$C$21, $C$9, 100%, $E$9)</f>
        <v>6.9271000000000003</v>
      </c>
      <c r="Q126" s="10">
        <f>CHOOSE(CONTROL!$C$42, 7.7504, 7.7504) * CHOOSE(CONTROL!$C$21, $C$9, 100%, $E$9)</f>
        <v>7.7504</v>
      </c>
      <c r="R126" s="10">
        <f>CHOOSE(CONTROL!$C$42, 8.3568, 8.3568) * CHOOSE(CONTROL!$C$21, $C$9, 100%, $E$9)</f>
        <v>8.3567999999999998</v>
      </c>
      <c r="S126" s="10">
        <f>CHOOSE(CONTROL!$C$42, 6.7776, 6.7776) * CHOOSE(CONTROL!$C$21, $C$9, 100%, $E$9)</f>
        <v>6.7775999999999996</v>
      </c>
      <c r="T1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57">
        <f>(1000*CHOOSE(CONTROL!$C$42, 695, 695)*CHOOSE(CONTROL!$C$42, 0.5599, 0.5599)*CHOOSE(CONTROL!$C$42, 30, 30))/1000000</f>
        <v>11.673914999999997</v>
      </c>
      <c r="V126" s="57">
        <f>(1000*CHOOSE(CONTROL!$C$42, 500, 500)*CHOOSE(CONTROL!$C$42, 0.275, 0.275)*CHOOSE(CONTROL!$C$42, 30, 30))/1000000</f>
        <v>4.125</v>
      </c>
      <c r="W126" s="57">
        <f>(1000*CHOOSE(CONTROL!$C$42, 0.1146, 0.1146)*CHOOSE(CONTROL!$C$42, 121.5, 121.5)*CHOOSE(CONTROL!$C$42, 30, 30))/1000000</f>
        <v>0.417717</v>
      </c>
      <c r="X126" s="57">
        <f>(30*0.1790888*245000/1000000)+(30*0.2374*100000/1000000)</f>
        <v>2.0285026799999999</v>
      </c>
      <c r="Y126" s="57"/>
      <c r="Z126" s="10"/>
      <c r="AA126" s="56"/>
      <c r="AB126" s="50">
        <f>(B126*194.205+C126*267.466+D126*133.845+E126*53.484+F126*40+G126*185+H126*0+I126*100+J126*300)/(194.205+267.466+133.845+53.484+0+40+185+100+300)</f>
        <v>7.0083716401883835</v>
      </c>
      <c r="AC126" s="45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6.9769705035971219</v>
      </c>
    </row>
    <row r="127" spans="1:29" ht="15.75" x14ac:dyDescent="0.25">
      <c r="A127" s="16">
        <v>44743</v>
      </c>
      <c r="B127" s="10">
        <f>CHOOSE(CONTROL!$C$42, 6.8498, 6.8498) * CHOOSE(CONTROL!$C$21, $C$9, 100%, $E$9)</f>
        <v>6.8498000000000001</v>
      </c>
      <c r="C127" s="10">
        <f>CHOOSE(CONTROL!$C$42, 6.8577, 6.8577) * CHOOSE(CONTROL!$C$21, $C$9, 100%, $E$9)</f>
        <v>6.8577000000000004</v>
      </c>
      <c r="D127" s="10">
        <f>CHOOSE(CONTROL!$C$42, 7.0605, 7.0605) * CHOOSE(CONTROL!$C$21, $C$9, 100%, $E$9)</f>
        <v>7.0605000000000002</v>
      </c>
      <c r="E127" s="10">
        <f>CHOOSE(CONTROL!$C$42, 7.0916, 7.0916) * CHOOSE(CONTROL!$C$21, $C$9, 100%, $E$9)</f>
        <v>7.0915999999999997</v>
      </c>
      <c r="F127" s="10">
        <f>CHOOSE(CONTROL!$C$42, 6.8266, 6.8266)*CHOOSE(CONTROL!$C$21, $C$9, 100%, $E$9)</f>
        <v>6.8266</v>
      </c>
      <c r="G127" s="10">
        <f>CHOOSE(CONTROL!$C$42, 6.8418, 6.8418)*CHOOSE(CONTROL!$C$21, $C$9, 100%, $E$9)</f>
        <v>6.8418000000000001</v>
      </c>
      <c r="H127" s="10">
        <f>CHOOSE(CONTROL!$C$42, 7.0802, 7.0802) * CHOOSE(CONTROL!$C$21, $C$9, 100%, $E$9)</f>
        <v>7.0801999999999996</v>
      </c>
      <c r="I127" s="10">
        <f>CHOOSE(CONTROL!$C$42, 6.8498, 6.8498)* CHOOSE(CONTROL!$C$21, $C$9, 100%, $E$9)</f>
        <v>6.8498000000000001</v>
      </c>
      <c r="J127" s="10">
        <f>CHOOSE(CONTROL!$C$42, 6.8196, 6.8196)* CHOOSE(CONTROL!$C$21, $C$9, 100%, $E$9)</f>
        <v>6.8196000000000003</v>
      </c>
      <c r="K127" s="53">
        <f>CHOOSE(CONTROL!$C$42, 6.846, 6.846) * CHOOSE(CONTROL!$C$21, $C$9, 100%, $E$9)</f>
        <v>6.8460000000000001</v>
      </c>
      <c r="L127" s="10">
        <f>CHOOSE(CONTROL!$C$42, 7.6672, 7.6672) * CHOOSE(CONTROL!$C$21, $C$9, 100%, $E$9)</f>
        <v>7.6672000000000002</v>
      </c>
      <c r="M127" s="10">
        <f>CHOOSE(CONTROL!$C$42, 6.7646, 6.7646) * CHOOSE(CONTROL!$C$21, $C$9, 100%, $E$9)</f>
        <v>6.7645999999999997</v>
      </c>
      <c r="N127" s="10">
        <f>CHOOSE(CONTROL!$C$42, 6.7797, 6.7797) * CHOOSE(CONTROL!$C$21, $C$9, 100%, $E$9)</f>
        <v>6.7797000000000001</v>
      </c>
      <c r="O127" s="10">
        <f>CHOOSE(CONTROL!$C$42, 7.0226, 7.0226) * CHOOSE(CONTROL!$C$21, $C$9, 100%, $E$9)</f>
        <v>7.0225999999999997</v>
      </c>
      <c r="P127" s="10">
        <f>CHOOSE(CONTROL!$C$42, 6.7946, 6.7946) * CHOOSE(CONTROL!$C$21, $C$9, 100%, $E$9)</f>
        <v>6.7946</v>
      </c>
      <c r="Q127" s="10">
        <f>CHOOSE(CONTROL!$C$42, 7.6179, 7.6179) * CHOOSE(CONTROL!$C$21, $C$9, 100%, $E$9)</f>
        <v>7.6178999999999997</v>
      </c>
      <c r="R127" s="10">
        <f>CHOOSE(CONTROL!$C$42, 8.2239, 8.2239) * CHOOSE(CONTROL!$C$21, $C$9, 100%, $E$9)</f>
        <v>8.2239000000000004</v>
      </c>
      <c r="S127" s="10">
        <f>CHOOSE(CONTROL!$C$42, 6.6476, 6.6476) * CHOOSE(CONTROL!$C$21, $C$9, 100%, $E$9)</f>
        <v>6.6475999999999997</v>
      </c>
      <c r="T1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57">
        <f>(1000*CHOOSE(CONTROL!$C$42, 695, 695)*CHOOSE(CONTROL!$C$42, 0.5599, 0.5599)*CHOOSE(CONTROL!$C$42, 31, 31))/1000000</f>
        <v>12.063045499999998</v>
      </c>
      <c r="V127" s="57">
        <f>(1000*CHOOSE(CONTROL!$C$42, 500, 500)*CHOOSE(CONTROL!$C$42, 0.275, 0.275)*CHOOSE(CONTROL!$C$42, 31, 31))/1000000</f>
        <v>4.2625000000000002</v>
      </c>
      <c r="W127" s="57">
        <f>(1000*CHOOSE(CONTROL!$C$42, 0.1146, 0.1146)*CHOOSE(CONTROL!$C$42, 121.5, 121.5)*CHOOSE(CONTROL!$C$42, 31, 31))/1000000</f>
        <v>0.43164089999999994</v>
      </c>
      <c r="X127" s="57">
        <f>(31*0.1790888*245000/1000000)+(31*0.2374*100000/1000000)</f>
        <v>2.0961194359999999</v>
      </c>
      <c r="Y127" s="57"/>
      <c r="Z127" s="10"/>
      <c r="AA127" s="56"/>
      <c r="AB127" s="50">
        <f>(B127*194.205+C127*267.466+D127*133.845+E127*53.484+F127*40+G127*185+H127*0+I127*100+J127*300)/(194.205+267.466+133.845+53.484+0+40+185+100+300)</f>
        <v>6.8747439200156988</v>
      </c>
      <c r="AC127" s="45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6.8447812949640285</v>
      </c>
    </row>
    <row r="128" spans="1:29" ht="15.75" x14ac:dyDescent="0.25">
      <c r="A128" s="16">
        <v>44774</v>
      </c>
      <c r="B128" s="10">
        <f>CHOOSE(CONTROL!$C$42, 6.5117, 6.5117) * CHOOSE(CONTROL!$C$21, $C$9, 100%, $E$9)</f>
        <v>6.5117000000000003</v>
      </c>
      <c r="C128" s="10">
        <f>CHOOSE(CONTROL!$C$42, 6.5196, 6.5196) * CHOOSE(CONTROL!$C$21, $C$9, 100%, $E$9)</f>
        <v>6.5195999999999996</v>
      </c>
      <c r="D128" s="10">
        <f>CHOOSE(CONTROL!$C$42, 6.7224, 6.7224) * CHOOSE(CONTROL!$C$21, $C$9, 100%, $E$9)</f>
        <v>6.7224000000000004</v>
      </c>
      <c r="E128" s="10">
        <f>CHOOSE(CONTROL!$C$42, 6.7535, 6.7535) * CHOOSE(CONTROL!$C$21, $C$9, 100%, $E$9)</f>
        <v>6.7534999999999998</v>
      </c>
      <c r="F128" s="10">
        <f>CHOOSE(CONTROL!$C$42, 6.4887, 6.4887)*CHOOSE(CONTROL!$C$21, $C$9, 100%, $E$9)</f>
        <v>6.4886999999999997</v>
      </c>
      <c r="G128" s="10">
        <f>CHOOSE(CONTROL!$C$42, 6.504, 6.504)*CHOOSE(CONTROL!$C$21, $C$9, 100%, $E$9)</f>
        <v>6.5039999999999996</v>
      </c>
      <c r="H128" s="10">
        <f>CHOOSE(CONTROL!$C$42, 6.7421, 6.7421) * CHOOSE(CONTROL!$C$21, $C$9, 100%, $E$9)</f>
        <v>6.7420999999999998</v>
      </c>
      <c r="I128" s="10">
        <f>CHOOSE(CONTROL!$C$42, 6.5118, 6.5118)* CHOOSE(CONTROL!$C$21, $C$9, 100%, $E$9)</f>
        <v>6.5118</v>
      </c>
      <c r="J128" s="10">
        <f>CHOOSE(CONTROL!$C$42, 6.4817, 6.4817)* CHOOSE(CONTROL!$C$21, $C$9, 100%, $E$9)</f>
        <v>6.4817</v>
      </c>
      <c r="K128" s="53">
        <f>CHOOSE(CONTROL!$C$42, 6.5079, 6.5079) * CHOOSE(CONTROL!$C$21, $C$9, 100%, $E$9)</f>
        <v>6.5079000000000002</v>
      </c>
      <c r="L128" s="10">
        <f>CHOOSE(CONTROL!$C$42, 7.3291, 7.3291) * CHOOSE(CONTROL!$C$21, $C$9, 100%, $E$9)</f>
        <v>7.3291000000000004</v>
      </c>
      <c r="M128" s="10">
        <f>CHOOSE(CONTROL!$C$42, 6.4301, 6.4301) * CHOOSE(CONTROL!$C$21, $C$9, 100%, $E$9)</f>
        <v>6.4301000000000004</v>
      </c>
      <c r="N128" s="10">
        <f>CHOOSE(CONTROL!$C$42, 6.4453, 6.4453) * CHOOSE(CONTROL!$C$21, $C$9, 100%, $E$9)</f>
        <v>6.4452999999999996</v>
      </c>
      <c r="O128" s="10">
        <f>CHOOSE(CONTROL!$C$42, 6.6879, 6.6879) * CHOOSE(CONTROL!$C$21, $C$9, 100%, $E$9)</f>
        <v>6.6879</v>
      </c>
      <c r="P128" s="10">
        <f>CHOOSE(CONTROL!$C$42, 6.4599, 6.4599) * CHOOSE(CONTROL!$C$21, $C$9, 100%, $E$9)</f>
        <v>6.4599000000000002</v>
      </c>
      <c r="Q128" s="10">
        <f>CHOOSE(CONTROL!$C$42, 7.2832, 7.2832) * CHOOSE(CONTROL!$C$21, $C$9, 100%, $E$9)</f>
        <v>7.2831999999999999</v>
      </c>
      <c r="R128" s="10">
        <f>CHOOSE(CONTROL!$C$42, 7.8884, 7.8884) * CHOOSE(CONTROL!$C$21, $C$9, 100%, $E$9)</f>
        <v>7.8883999999999999</v>
      </c>
      <c r="S128" s="10">
        <f>CHOOSE(CONTROL!$C$42, 6.3193, 6.3193) * CHOOSE(CONTROL!$C$21, $C$9, 100%, $E$9)</f>
        <v>6.3193000000000001</v>
      </c>
      <c r="T1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57">
        <f>(1000*CHOOSE(CONTROL!$C$42, 695, 695)*CHOOSE(CONTROL!$C$42, 0.5599, 0.5599)*CHOOSE(CONTROL!$C$42, 31, 31))/1000000</f>
        <v>12.063045499999998</v>
      </c>
      <c r="V128" s="57">
        <f>(1000*CHOOSE(CONTROL!$C$42, 500, 500)*CHOOSE(CONTROL!$C$42, 0.275, 0.275)*CHOOSE(CONTROL!$C$42, 31, 31))/1000000</f>
        <v>4.2625000000000002</v>
      </c>
      <c r="W128" s="57">
        <f>(1000*CHOOSE(CONTROL!$C$42, 0.1146, 0.1146)*CHOOSE(CONTROL!$C$42, 121.5, 121.5)*CHOOSE(CONTROL!$C$42, 31, 31))/1000000</f>
        <v>0.43164089999999994</v>
      </c>
      <c r="X128" s="57">
        <f>(31*0.1790888*245000/1000000)+(31*0.2374*100000/1000000)</f>
        <v>2.0961194359999999</v>
      </c>
      <c r="Y128" s="57"/>
      <c r="Z128" s="10"/>
      <c r="AA128" s="56"/>
      <c r="AB128" s="50">
        <f>(B128*194.205+C128*267.466+D128*133.845+E128*53.484+F128*40+G128*185+H128*0+I128*100+J128*300)/(194.205+267.466+133.845+53.484+0+40+185+100+300)</f>
        <v>6.5367487080847724</v>
      </c>
      <c r="AC128" s="45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6.5102194244604314</v>
      </c>
    </row>
    <row r="129" spans="1:29" ht="15.75" x14ac:dyDescent="0.25">
      <c r="A129" s="16">
        <v>44805</v>
      </c>
      <c r="B129" s="10">
        <f>CHOOSE(CONTROL!$C$42, 6.0983, 6.0983) * CHOOSE(CONTROL!$C$21, $C$9, 100%, $E$9)</f>
        <v>6.0983000000000001</v>
      </c>
      <c r="C129" s="10">
        <f>CHOOSE(CONTROL!$C$42, 6.1062, 6.1062) * CHOOSE(CONTROL!$C$21, $C$9, 100%, $E$9)</f>
        <v>6.1062000000000003</v>
      </c>
      <c r="D129" s="10">
        <f>CHOOSE(CONTROL!$C$42, 6.3089, 6.3089) * CHOOSE(CONTROL!$C$21, $C$9, 100%, $E$9)</f>
        <v>6.3089000000000004</v>
      </c>
      <c r="E129" s="10">
        <f>CHOOSE(CONTROL!$C$42, 6.3401, 6.3401) * CHOOSE(CONTROL!$C$21, $C$9, 100%, $E$9)</f>
        <v>6.3400999999999996</v>
      </c>
      <c r="F129" s="10">
        <f>CHOOSE(CONTROL!$C$42, 6.0751, 6.0751)*CHOOSE(CONTROL!$C$21, $C$9, 100%, $E$9)</f>
        <v>6.0750999999999999</v>
      </c>
      <c r="G129" s="10">
        <f>CHOOSE(CONTROL!$C$42, 6.0904, 6.0904)*CHOOSE(CONTROL!$C$21, $C$9, 100%, $E$9)</f>
        <v>6.0903999999999998</v>
      </c>
      <c r="H129" s="10">
        <f>CHOOSE(CONTROL!$C$42, 6.3287, 6.3287) * CHOOSE(CONTROL!$C$21, $C$9, 100%, $E$9)</f>
        <v>6.3287000000000004</v>
      </c>
      <c r="I129" s="10">
        <f>CHOOSE(CONTROL!$C$42, 6.0983, 6.0983)* CHOOSE(CONTROL!$C$21, $C$9, 100%, $E$9)</f>
        <v>6.0983000000000001</v>
      </c>
      <c r="J129" s="10">
        <f>CHOOSE(CONTROL!$C$42, 6.0681, 6.0681)* CHOOSE(CONTROL!$C$21, $C$9, 100%, $E$9)</f>
        <v>6.0681000000000003</v>
      </c>
      <c r="K129" s="53">
        <f>CHOOSE(CONTROL!$C$42, 6.0944, 6.0944) * CHOOSE(CONTROL!$C$21, $C$9, 100%, $E$9)</f>
        <v>6.0944000000000003</v>
      </c>
      <c r="L129" s="10">
        <f>CHOOSE(CONTROL!$C$42, 6.9157, 6.9157) * CHOOSE(CONTROL!$C$21, $C$9, 100%, $E$9)</f>
        <v>6.9157000000000002</v>
      </c>
      <c r="M129" s="10">
        <f>CHOOSE(CONTROL!$C$42, 6.0207, 6.0207) * CHOOSE(CONTROL!$C$21, $C$9, 100%, $E$9)</f>
        <v>6.0206999999999997</v>
      </c>
      <c r="N129" s="10">
        <f>CHOOSE(CONTROL!$C$42, 6.0358, 6.0358) * CHOOSE(CONTROL!$C$21, $C$9, 100%, $E$9)</f>
        <v>6.0358000000000001</v>
      </c>
      <c r="O129" s="10">
        <f>CHOOSE(CONTROL!$C$42, 6.2787, 6.2787) * CHOOSE(CONTROL!$C$21, $C$9, 100%, $E$9)</f>
        <v>6.2786999999999997</v>
      </c>
      <c r="P129" s="10">
        <f>CHOOSE(CONTROL!$C$42, 6.0506, 6.0506) * CHOOSE(CONTROL!$C$21, $C$9, 100%, $E$9)</f>
        <v>6.0506000000000002</v>
      </c>
      <c r="Q129" s="10">
        <f>CHOOSE(CONTROL!$C$42, 6.874, 6.874) * CHOOSE(CONTROL!$C$21, $C$9, 100%, $E$9)</f>
        <v>6.8739999999999997</v>
      </c>
      <c r="R129" s="10">
        <f>CHOOSE(CONTROL!$C$42, 7.4781, 7.4781) * CHOOSE(CONTROL!$C$21, $C$9, 100%, $E$9)</f>
        <v>7.4781000000000004</v>
      </c>
      <c r="S129" s="10">
        <f>CHOOSE(CONTROL!$C$42, 5.9178, 5.9178) * CHOOSE(CONTROL!$C$21, $C$9, 100%, $E$9)</f>
        <v>5.9177999999999997</v>
      </c>
      <c r="T1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57">
        <f>(1000*CHOOSE(CONTROL!$C$42, 695, 695)*CHOOSE(CONTROL!$C$42, 0.5599, 0.5599)*CHOOSE(CONTROL!$C$42, 30, 30))/1000000</f>
        <v>11.673914999999997</v>
      </c>
      <c r="V129" s="57">
        <f>(1000*CHOOSE(CONTROL!$C$42, 500, 500)*CHOOSE(CONTROL!$C$42, 0.275, 0.275)*CHOOSE(CONTROL!$C$42, 30, 30))/1000000</f>
        <v>4.125</v>
      </c>
      <c r="W129" s="57">
        <f>(1000*CHOOSE(CONTROL!$C$42, 0.1146, 0.1146)*CHOOSE(CONTROL!$C$42, 121.5, 121.5)*CHOOSE(CONTROL!$C$42, 30, 30))/1000000</f>
        <v>0.417717</v>
      </c>
      <c r="X129" s="57">
        <f>(30*0.1790888*245000/1000000)+(30*0.2374*100000/1000000)</f>
        <v>2.0285026799999999</v>
      </c>
      <c r="Y129" s="57"/>
      <c r="Z129" s="10"/>
      <c r="AA129" s="56"/>
      <c r="AB129" s="50">
        <f>(B129*194.205+C129*267.466+D129*133.845+E129*53.484+F129*40+G129*185+H129*0+I129*100+J129*300)/(194.205+267.466+133.845+53.484+0+40+185+100+300)</f>
        <v>6.123247935321821</v>
      </c>
      <c r="AC129" s="45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6.1008669064748204</v>
      </c>
    </row>
    <row r="130" spans="1:29" ht="15.75" x14ac:dyDescent="0.25">
      <c r="A130" s="16">
        <v>44835</v>
      </c>
      <c r="B130" s="10">
        <f>CHOOSE(CONTROL!$C$42, 5.9728, 5.9728) * CHOOSE(CONTROL!$C$21, $C$9, 100%, $E$9)</f>
        <v>5.9728000000000003</v>
      </c>
      <c r="C130" s="10">
        <f>CHOOSE(CONTROL!$C$42, 5.978, 5.978) * CHOOSE(CONTROL!$C$21, $C$9, 100%, $E$9)</f>
        <v>5.9779999999999998</v>
      </c>
      <c r="D130" s="10">
        <f>CHOOSE(CONTROL!$C$42, 6.1857, 6.1857) * CHOOSE(CONTROL!$C$21, $C$9, 100%, $E$9)</f>
        <v>6.1856999999999998</v>
      </c>
      <c r="E130" s="10">
        <f>CHOOSE(CONTROL!$C$42, 6.2145, 6.2145) * CHOOSE(CONTROL!$C$21, $C$9, 100%, $E$9)</f>
        <v>6.2145000000000001</v>
      </c>
      <c r="F130" s="10">
        <f>CHOOSE(CONTROL!$C$42, 5.9515, 5.9515)*CHOOSE(CONTROL!$C$21, $C$9, 100%, $E$9)</f>
        <v>5.9515000000000002</v>
      </c>
      <c r="G130" s="10">
        <f>CHOOSE(CONTROL!$C$42, 5.9665, 5.9665)*CHOOSE(CONTROL!$C$21, $C$9, 100%, $E$9)</f>
        <v>5.9664999999999999</v>
      </c>
      <c r="H130" s="10">
        <f>CHOOSE(CONTROL!$C$42, 6.205, 6.205) * CHOOSE(CONTROL!$C$21, $C$9, 100%, $E$9)</f>
        <v>6.2050000000000001</v>
      </c>
      <c r="I130" s="10">
        <f>CHOOSE(CONTROL!$C$42, 5.9746, 5.9746)* CHOOSE(CONTROL!$C$21, $C$9, 100%, $E$9)</f>
        <v>5.9745999999999997</v>
      </c>
      <c r="J130" s="10">
        <f>CHOOSE(CONTROL!$C$42, 5.9445, 5.9445)* CHOOSE(CONTROL!$C$21, $C$9, 100%, $E$9)</f>
        <v>5.9444999999999997</v>
      </c>
      <c r="K130" s="53">
        <f>CHOOSE(CONTROL!$C$42, 5.9707, 5.9707) * CHOOSE(CONTROL!$C$21, $C$9, 100%, $E$9)</f>
        <v>5.9706999999999999</v>
      </c>
      <c r="L130" s="10">
        <f>CHOOSE(CONTROL!$C$42, 6.792, 6.792) * CHOOSE(CONTROL!$C$21, $C$9, 100%, $E$9)</f>
        <v>6.7919999999999998</v>
      </c>
      <c r="M130" s="10">
        <f>CHOOSE(CONTROL!$C$42, 5.8984, 5.8984) * CHOOSE(CONTROL!$C$21, $C$9, 100%, $E$9)</f>
        <v>5.8983999999999996</v>
      </c>
      <c r="N130" s="10">
        <f>CHOOSE(CONTROL!$C$42, 5.9132, 5.9132) * CHOOSE(CONTROL!$C$21, $C$9, 100%, $E$9)</f>
        <v>5.9131999999999998</v>
      </c>
      <c r="O130" s="10">
        <f>CHOOSE(CONTROL!$C$42, 6.1562, 6.1562) * CHOOSE(CONTROL!$C$21, $C$9, 100%, $E$9)</f>
        <v>6.1562000000000001</v>
      </c>
      <c r="P130" s="10">
        <f>CHOOSE(CONTROL!$C$42, 5.9282, 5.9282) * CHOOSE(CONTROL!$C$21, $C$9, 100%, $E$9)</f>
        <v>5.9282000000000004</v>
      </c>
      <c r="Q130" s="10">
        <f>CHOOSE(CONTROL!$C$42, 6.7515, 6.7515) * CHOOSE(CONTROL!$C$21, $C$9, 100%, $E$9)</f>
        <v>6.7515000000000001</v>
      </c>
      <c r="R130" s="10">
        <f>CHOOSE(CONTROL!$C$42, 7.3554, 7.3554) * CHOOSE(CONTROL!$C$21, $C$9, 100%, $E$9)</f>
        <v>7.3554000000000004</v>
      </c>
      <c r="S130" s="10">
        <f>CHOOSE(CONTROL!$C$42, 5.7976, 5.7976) * CHOOSE(CONTROL!$C$21, $C$9, 100%, $E$9)</f>
        <v>5.7976000000000001</v>
      </c>
      <c r="T1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57">
        <f>(1000*CHOOSE(CONTROL!$C$42, 695, 695)*CHOOSE(CONTROL!$C$42, 0.5599, 0.5599)*CHOOSE(CONTROL!$C$42, 31, 31))/1000000</f>
        <v>12.063045499999998</v>
      </c>
      <c r="V130" s="57">
        <f>(1000*CHOOSE(CONTROL!$C$42, 500, 500)*CHOOSE(CONTROL!$C$42, 0.275, 0.275)*CHOOSE(CONTROL!$C$42, 31, 31))/1000000</f>
        <v>4.2625000000000002</v>
      </c>
      <c r="W130" s="57">
        <f>(1000*CHOOSE(CONTROL!$C$42, 0.1146, 0.1146)*CHOOSE(CONTROL!$C$42, 121.5, 121.5)*CHOOSE(CONTROL!$C$42, 31, 31))/1000000</f>
        <v>0.43164089999999994</v>
      </c>
      <c r="X130" s="57">
        <f>(31*0.1790888*245000/1000000)+(31*0.2374*100000/1000000)</f>
        <v>2.0961194359999999</v>
      </c>
      <c r="Y130" s="57"/>
      <c r="Z130" s="10"/>
      <c r="AA130" s="56"/>
      <c r="AB130" s="50">
        <f>(B130*131.881+C130*277.167+D130*79.08+E130*125.872+F130*40+G130*185+H130*0+I130*100+J130*300)/(131.881+277.167+79.08+125.872+0+40+185+100+300)</f>
        <v>6.003771075706215</v>
      </c>
      <c r="AC130" s="45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5.9784273381294959</v>
      </c>
    </row>
    <row r="131" spans="1:29" ht="15.75" x14ac:dyDescent="0.25">
      <c r="A131" s="16">
        <v>44866</v>
      </c>
      <c r="B131" s="10">
        <f>CHOOSE(CONTROL!$C$42, 6.1296, 6.1296) * CHOOSE(CONTROL!$C$21, $C$9, 100%, $E$9)</f>
        <v>6.1295999999999999</v>
      </c>
      <c r="C131" s="10">
        <f>CHOOSE(CONTROL!$C$42, 6.1346, 6.1346) * CHOOSE(CONTROL!$C$21, $C$9, 100%, $E$9)</f>
        <v>6.1345999999999998</v>
      </c>
      <c r="D131" s="10">
        <f>CHOOSE(CONTROL!$C$42, 6.1951, 6.1951) * CHOOSE(CONTROL!$C$21, $C$9, 100%, $E$9)</f>
        <v>6.1951000000000001</v>
      </c>
      <c r="E131" s="10">
        <f>CHOOSE(CONTROL!$C$42, 6.2289, 6.2289) * CHOOSE(CONTROL!$C$21, $C$9, 100%, $E$9)</f>
        <v>6.2289000000000003</v>
      </c>
      <c r="F131" s="10">
        <f>CHOOSE(CONTROL!$C$42, 6.1253, 6.1253)*CHOOSE(CONTROL!$C$21, $C$9, 100%, $E$9)</f>
        <v>6.1253000000000002</v>
      </c>
      <c r="G131" s="10">
        <f>CHOOSE(CONTROL!$C$42, 6.1405, 6.1405)*CHOOSE(CONTROL!$C$21, $C$9, 100%, $E$9)</f>
        <v>6.1405000000000003</v>
      </c>
      <c r="H131" s="10">
        <f>CHOOSE(CONTROL!$C$42, 6.2181, 6.2181) * CHOOSE(CONTROL!$C$21, $C$9, 100%, $E$9)</f>
        <v>6.2180999999999997</v>
      </c>
      <c r="I131" s="10">
        <f>CHOOSE(CONTROL!$C$42, 6.1422, 6.1422)* CHOOSE(CONTROL!$C$21, $C$9, 100%, $E$9)</f>
        <v>6.1421999999999999</v>
      </c>
      <c r="J131" s="10">
        <f>CHOOSE(CONTROL!$C$42, 6.1183, 6.1183)* CHOOSE(CONTROL!$C$21, $C$9, 100%, $E$9)</f>
        <v>6.1182999999999996</v>
      </c>
      <c r="K131" s="53">
        <f>CHOOSE(CONTROL!$C$42, 6.1383, 6.1383) * CHOOSE(CONTROL!$C$21, $C$9, 100%, $E$9)</f>
        <v>6.1383000000000001</v>
      </c>
      <c r="L131" s="10">
        <f>CHOOSE(CONTROL!$C$42, 6.8051, 6.8051) * CHOOSE(CONTROL!$C$21, $C$9, 100%, $E$9)</f>
        <v>6.8051000000000004</v>
      </c>
      <c r="M131" s="10">
        <f>CHOOSE(CONTROL!$C$42, 6.0704, 6.0704) * CHOOSE(CONTROL!$C$21, $C$9, 100%, $E$9)</f>
        <v>6.0704000000000002</v>
      </c>
      <c r="N131" s="10">
        <f>CHOOSE(CONTROL!$C$42, 6.0854, 6.0854) * CHOOSE(CONTROL!$C$21, $C$9, 100%, $E$9)</f>
        <v>6.0853999999999999</v>
      </c>
      <c r="O131" s="10">
        <f>CHOOSE(CONTROL!$C$42, 6.1692, 6.1692) * CHOOSE(CONTROL!$C$21, $C$9, 100%, $E$9)</f>
        <v>6.1692</v>
      </c>
      <c r="P131" s="10">
        <f>CHOOSE(CONTROL!$C$42, 6.094, 6.094) * CHOOSE(CONTROL!$C$21, $C$9, 100%, $E$9)</f>
        <v>6.0940000000000003</v>
      </c>
      <c r="Q131" s="10">
        <f>CHOOSE(CONTROL!$C$42, 6.7645, 6.7645) * CHOOSE(CONTROL!$C$21, $C$9, 100%, $E$9)</f>
        <v>6.7645</v>
      </c>
      <c r="R131" s="10">
        <f>CHOOSE(CONTROL!$C$42, 7.3684, 7.3684) * CHOOSE(CONTROL!$C$21, $C$9, 100%, $E$9)</f>
        <v>7.3684000000000003</v>
      </c>
      <c r="S131" s="10">
        <f>CHOOSE(CONTROL!$C$42, 5.9504, 5.9504) * CHOOSE(CONTROL!$C$21, $C$9, 100%, $E$9)</f>
        <v>5.9504000000000001</v>
      </c>
      <c r="T1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57">
        <f>(1000*CHOOSE(CONTROL!$C$42, 695, 695)*CHOOSE(CONTROL!$C$42, 0.5599, 0.5599)*CHOOSE(CONTROL!$C$42, 30, 30))/1000000</f>
        <v>11.673914999999997</v>
      </c>
      <c r="V131" s="57">
        <f>(1000*CHOOSE(CONTROL!$C$42, 500, 500)*CHOOSE(CONTROL!$C$42, 0.275, 0.275)*CHOOSE(CONTROL!$C$42, 30, 30))/1000000</f>
        <v>4.125</v>
      </c>
      <c r="W131" s="57">
        <f>(1000*CHOOSE(CONTROL!$C$42, 0.1146, 0.1146)*CHOOSE(CONTROL!$C$42, 121.5, 121.5)*CHOOSE(CONTROL!$C$42, 30, 30))/1000000</f>
        <v>0.417717</v>
      </c>
      <c r="X131" s="57">
        <f>(30*0.1790888*100000/1000000)+(30*0.2374*100000/1000000)</f>
        <v>1.2494664</v>
      </c>
      <c r="Y131" s="57"/>
      <c r="Z131" s="10"/>
      <c r="AA131" s="56"/>
      <c r="AB131" s="50">
        <f>(B131*122.58+C131*297.941+D131*89.177+E131*40.302+F131*40+G131*160+H131*0+I131*100+J131*300)/(122.58+297.941+89.177+40.302+0+40+160+100+300)</f>
        <v>6.1389693800869569</v>
      </c>
      <c r="AC131" s="45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6.1194388489208622</v>
      </c>
    </row>
    <row r="132" spans="1:29" ht="15.75" x14ac:dyDescent="0.25">
      <c r="A132" s="16">
        <v>44896</v>
      </c>
      <c r="B132" s="10">
        <f>CHOOSE(CONTROL!$C$42, 6.5474, 6.5474) * CHOOSE(CONTROL!$C$21, $C$9, 100%, $E$9)</f>
        <v>6.5473999999999997</v>
      </c>
      <c r="C132" s="10">
        <f>CHOOSE(CONTROL!$C$42, 6.5523, 6.5523) * CHOOSE(CONTROL!$C$21, $C$9, 100%, $E$9)</f>
        <v>6.5522999999999998</v>
      </c>
      <c r="D132" s="10">
        <f>CHOOSE(CONTROL!$C$42, 6.6128, 6.6128) * CHOOSE(CONTROL!$C$21, $C$9, 100%, $E$9)</f>
        <v>6.6128</v>
      </c>
      <c r="E132" s="10">
        <f>CHOOSE(CONTROL!$C$42, 6.6466, 6.6466) * CHOOSE(CONTROL!$C$21, $C$9, 100%, $E$9)</f>
        <v>6.6466000000000003</v>
      </c>
      <c r="F132" s="10">
        <f>CHOOSE(CONTROL!$C$42, 6.5448, 6.5448)*CHOOSE(CONTROL!$C$21, $C$9, 100%, $E$9)</f>
        <v>6.5448000000000004</v>
      </c>
      <c r="G132" s="10">
        <f>CHOOSE(CONTROL!$C$42, 6.5605, 6.5605)*CHOOSE(CONTROL!$C$21, $C$9, 100%, $E$9)</f>
        <v>6.5605000000000002</v>
      </c>
      <c r="H132" s="10">
        <f>CHOOSE(CONTROL!$C$42, 6.6358, 6.6358) * CHOOSE(CONTROL!$C$21, $C$9, 100%, $E$9)</f>
        <v>6.6357999999999997</v>
      </c>
      <c r="I132" s="10">
        <f>CHOOSE(CONTROL!$C$42, 6.5599, 6.5599)* CHOOSE(CONTROL!$C$21, $C$9, 100%, $E$9)</f>
        <v>6.5598999999999998</v>
      </c>
      <c r="J132" s="10">
        <f>CHOOSE(CONTROL!$C$42, 6.5378, 6.5378)* CHOOSE(CONTROL!$C$21, $C$9, 100%, $E$9)</f>
        <v>6.5377999999999998</v>
      </c>
      <c r="K132" s="53">
        <f>CHOOSE(CONTROL!$C$42, 6.556, 6.556) * CHOOSE(CONTROL!$C$21, $C$9, 100%, $E$9)</f>
        <v>6.556</v>
      </c>
      <c r="L132" s="10">
        <f>CHOOSE(CONTROL!$C$42, 7.2228, 7.2228) * CHOOSE(CONTROL!$C$21, $C$9, 100%, $E$9)</f>
        <v>7.2228000000000003</v>
      </c>
      <c r="M132" s="10">
        <f>CHOOSE(CONTROL!$C$42, 6.4857, 6.4857) * CHOOSE(CONTROL!$C$21, $C$9, 100%, $E$9)</f>
        <v>6.4856999999999996</v>
      </c>
      <c r="N132" s="10">
        <f>CHOOSE(CONTROL!$C$42, 6.5012, 6.5012) * CHOOSE(CONTROL!$C$21, $C$9, 100%, $E$9)</f>
        <v>6.5011999999999999</v>
      </c>
      <c r="O132" s="10">
        <f>CHOOSE(CONTROL!$C$42, 6.5826, 6.5826) * CHOOSE(CONTROL!$C$21, $C$9, 100%, $E$9)</f>
        <v>6.5826000000000002</v>
      </c>
      <c r="P132" s="10">
        <f>CHOOSE(CONTROL!$C$42, 6.5075, 6.5075) * CHOOSE(CONTROL!$C$21, $C$9, 100%, $E$9)</f>
        <v>6.5075000000000003</v>
      </c>
      <c r="Q132" s="10">
        <f>CHOOSE(CONTROL!$C$42, 7.1779, 7.1779) * CHOOSE(CONTROL!$C$21, $C$9, 100%, $E$9)</f>
        <v>7.1779000000000002</v>
      </c>
      <c r="R132" s="10">
        <f>CHOOSE(CONTROL!$C$42, 7.7829, 7.7829) * CHOOSE(CONTROL!$C$21, $C$9, 100%, $E$9)</f>
        <v>7.7828999999999997</v>
      </c>
      <c r="S132" s="10">
        <f>CHOOSE(CONTROL!$C$42, 6.356, 6.356) * CHOOSE(CONTROL!$C$21, $C$9, 100%, $E$9)</f>
        <v>6.3559999999999999</v>
      </c>
      <c r="T1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57">
        <f>(1000*CHOOSE(CONTROL!$C$42, 695, 695)*CHOOSE(CONTROL!$C$42, 0.5599, 0.5599)*CHOOSE(CONTROL!$C$42, 31, 31))/1000000</f>
        <v>12.063045499999998</v>
      </c>
      <c r="V132" s="57">
        <f>(1000*CHOOSE(CONTROL!$C$42, 500, 500)*CHOOSE(CONTROL!$C$42, 0.275, 0.275)*CHOOSE(CONTROL!$C$42, 31, 31))/1000000</f>
        <v>4.2625000000000002</v>
      </c>
      <c r="W132" s="57">
        <f>(1000*CHOOSE(CONTROL!$C$42, 0.1146, 0.1146)*CHOOSE(CONTROL!$C$42, 121.5, 121.5)*CHOOSE(CONTROL!$C$42, 31, 31))/1000000</f>
        <v>0.43164089999999994</v>
      </c>
      <c r="X132" s="57">
        <f>(31*0.1790888*100000/1000000)+(31*0.2374*100000/1000000)</f>
        <v>1.2911152800000001</v>
      </c>
      <c r="Y132" s="57"/>
      <c r="Z132" s="10"/>
      <c r="AA132" s="56"/>
      <c r="AB132" s="50">
        <f>(B132*122.58+C132*297.941+D132*89.177+E132*40.302+F132*40+G132*160+H132*0+I132*100+J132*300)/(122.58+297.941+89.177+40.302+0+40+160+100+300)</f>
        <v>6.5575322131304343</v>
      </c>
      <c r="AC132" s="45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6.5336474820143886</v>
      </c>
    </row>
    <row r="133" spans="1:29" ht="15.75" x14ac:dyDescent="0.25">
      <c r="A133" s="16">
        <v>44927</v>
      </c>
      <c r="B133" s="10">
        <f>CHOOSE(CONTROL!$C$42, 7.1449, 7.1449) * CHOOSE(CONTROL!$C$21, $C$9, 100%, $E$9)</f>
        <v>7.1448999999999998</v>
      </c>
      <c r="C133" s="10">
        <f>CHOOSE(CONTROL!$C$42, 7.1499, 7.1499) * CHOOSE(CONTROL!$C$21, $C$9, 100%, $E$9)</f>
        <v>7.1498999999999997</v>
      </c>
      <c r="D133" s="10">
        <f>CHOOSE(CONTROL!$C$42, 7.207, 7.207) * CHOOSE(CONTROL!$C$21, $C$9, 100%, $E$9)</f>
        <v>7.2069999999999999</v>
      </c>
      <c r="E133" s="10">
        <f>CHOOSE(CONTROL!$C$42, 7.2407, 7.2407) * CHOOSE(CONTROL!$C$21, $C$9, 100%, $E$9)</f>
        <v>7.2407000000000004</v>
      </c>
      <c r="F133" s="10">
        <f>CHOOSE(CONTROL!$C$42, 7.1428, 7.1428)*CHOOSE(CONTROL!$C$21, $C$9, 100%, $E$9)</f>
        <v>7.1428000000000003</v>
      </c>
      <c r="G133" s="10">
        <f>CHOOSE(CONTROL!$C$42, 7.1574, 7.1574)*CHOOSE(CONTROL!$C$21, $C$9, 100%, $E$9)</f>
        <v>7.1574</v>
      </c>
      <c r="H133" s="10">
        <f>CHOOSE(CONTROL!$C$42, 7.2299, 7.2299) * CHOOSE(CONTROL!$C$21, $C$9, 100%, $E$9)</f>
        <v>7.2298999999999998</v>
      </c>
      <c r="I133" s="10">
        <f>CHOOSE(CONTROL!$C$42, 7.1557, 7.1557)* CHOOSE(CONTROL!$C$21, $C$9, 100%, $E$9)</f>
        <v>7.1557000000000004</v>
      </c>
      <c r="J133" s="10">
        <f>CHOOSE(CONTROL!$C$42, 7.1358, 7.1358)* CHOOSE(CONTROL!$C$21, $C$9, 100%, $E$9)</f>
        <v>7.1357999999999997</v>
      </c>
      <c r="K133" s="53">
        <f>CHOOSE(CONTROL!$C$42, 7.1518, 7.1518) * CHOOSE(CONTROL!$C$21, $C$9, 100%, $E$9)</f>
        <v>7.1517999999999997</v>
      </c>
      <c r="L133" s="10">
        <f>CHOOSE(CONTROL!$C$42, 7.8169, 7.8169) * CHOOSE(CONTROL!$C$21, $C$9, 100%, $E$9)</f>
        <v>7.8169000000000004</v>
      </c>
      <c r="M133" s="10">
        <f>CHOOSE(CONTROL!$C$42, 7.0776, 7.0776) * CHOOSE(CONTROL!$C$21, $C$9, 100%, $E$9)</f>
        <v>7.0776000000000003</v>
      </c>
      <c r="N133" s="10">
        <f>CHOOSE(CONTROL!$C$42, 7.092, 7.092) * CHOOSE(CONTROL!$C$21, $C$9, 100%, $E$9)</f>
        <v>7.0919999999999996</v>
      </c>
      <c r="O133" s="10">
        <f>CHOOSE(CONTROL!$C$42, 7.1708, 7.1708) * CHOOSE(CONTROL!$C$21, $C$9, 100%, $E$9)</f>
        <v>7.1707999999999998</v>
      </c>
      <c r="P133" s="10">
        <f>CHOOSE(CONTROL!$C$42, 7.0974, 7.0974) * CHOOSE(CONTROL!$C$21, $C$9, 100%, $E$9)</f>
        <v>7.0974000000000004</v>
      </c>
      <c r="Q133" s="10">
        <f>CHOOSE(CONTROL!$C$42, 7.7661, 7.7661) * CHOOSE(CONTROL!$C$21, $C$9, 100%, $E$9)</f>
        <v>7.7660999999999998</v>
      </c>
      <c r="R133" s="10">
        <f>CHOOSE(CONTROL!$C$42, 8.3725, 8.3725) * CHOOSE(CONTROL!$C$21, $C$9, 100%, $E$9)</f>
        <v>8.3725000000000005</v>
      </c>
      <c r="S133" s="10">
        <f>CHOOSE(CONTROL!$C$42, 6.9363, 6.9363) * CHOOSE(CONTROL!$C$21, $C$9, 100%, $E$9)</f>
        <v>6.9363000000000001</v>
      </c>
      <c r="T1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57">
        <f>(1000*CHOOSE(CONTROL!$C$42, 695, 695)*CHOOSE(CONTROL!$C$42, 0.5599, 0.5599)*CHOOSE(CONTROL!$C$42, 31, 31))/1000000</f>
        <v>12.063045499999998</v>
      </c>
      <c r="V133" s="57">
        <f>(1000*CHOOSE(CONTROL!$C$42, 500, 500)*CHOOSE(CONTROL!$C$42, 0.275, 0.275)*CHOOSE(CONTROL!$C$42, 31, 31))/1000000</f>
        <v>4.2625000000000002</v>
      </c>
      <c r="W133" s="57">
        <f>(1000*CHOOSE(CONTROL!$C$42, 0.1146, 0.1146)*CHOOSE(CONTROL!$C$42, 121.5, 121.5)*CHOOSE(CONTROL!$C$42, 31, 31))/1000000</f>
        <v>0.43164089999999994</v>
      </c>
      <c r="X133" s="57">
        <f>(31*0.1790888*100000/1000000)+(31*0.2374*100000/1000000)</f>
        <v>1.2911152800000001</v>
      </c>
      <c r="Y133" s="57"/>
      <c r="Z133" s="10"/>
      <c r="AA133" s="56"/>
      <c r="AB133" s="50">
        <f>(B133*122.58+C133*297.941+D133*89.177+E133*40.302+F133*40+G133*160+H133*0+I133*100+J133*300)/(122.58+297.941+89.177+40.302+0+40+160+100+300)</f>
        <v>7.1545995898260868</v>
      </c>
      <c r="AC133" s="45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7.1235194244604312</v>
      </c>
    </row>
    <row r="134" spans="1:29" ht="15.75" x14ac:dyDescent="0.25">
      <c r="A134" s="16">
        <v>44958</v>
      </c>
      <c r="B134" s="10">
        <f>CHOOSE(CONTROL!$C$42, 7.2721, 7.2721) * CHOOSE(CONTROL!$C$21, $C$9, 100%, $E$9)</f>
        <v>7.2721</v>
      </c>
      <c r="C134" s="10">
        <f>CHOOSE(CONTROL!$C$42, 7.277, 7.277) * CHOOSE(CONTROL!$C$21, $C$9, 100%, $E$9)</f>
        <v>7.2770000000000001</v>
      </c>
      <c r="D134" s="10">
        <f>CHOOSE(CONTROL!$C$42, 7.3341, 7.3341) * CHOOSE(CONTROL!$C$21, $C$9, 100%, $E$9)</f>
        <v>7.3341000000000003</v>
      </c>
      <c r="E134" s="10">
        <f>CHOOSE(CONTROL!$C$42, 7.3679, 7.3679) * CHOOSE(CONTROL!$C$21, $C$9, 100%, $E$9)</f>
        <v>7.3678999999999997</v>
      </c>
      <c r="F134" s="10">
        <f>CHOOSE(CONTROL!$C$42, 7.27, 7.27)*CHOOSE(CONTROL!$C$21, $C$9, 100%, $E$9)</f>
        <v>7.27</v>
      </c>
      <c r="G134" s="10">
        <f>CHOOSE(CONTROL!$C$42, 7.2847, 7.2847)*CHOOSE(CONTROL!$C$21, $C$9, 100%, $E$9)</f>
        <v>7.2847</v>
      </c>
      <c r="H134" s="10">
        <f>CHOOSE(CONTROL!$C$42, 7.3571, 7.3571) * CHOOSE(CONTROL!$C$21, $C$9, 100%, $E$9)</f>
        <v>7.3571</v>
      </c>
      <c r="I134" s="10">
        <f>CHOOSE(CONTROL!$C$42, 7.2829, 7.2829)* CHOOSE(CONTROL!$C$21, $C$9, 100%, $E$9)</f>
        <v>7.2828999999999997</v>
      </c>
      <c r="J134" s="10">
        <f>CHOOSE(CONTROL!$C$42, 7.263, 7.263)* CHOOSE(CONTROL!$C$21, $C$9, 100%, $E$9)</f>
        <v>7.2629999999999999</v>
      </c>
      <c r="K134" s="53">
        <f>CHOOSE(CONTROL!$C$42, 7.279, 7.279) * CHOOSE(CONTROL!$C$21, $C$9, 100%, $E$9)</f>
        <v>7.2789999999999999</v>
      </c>
      <c r="L134" s="10">
        <f>CHOOSE(CONTROL!$C$42, 7.9441, 7.9441) * CHOOSE(CONTROL!$C$21, $C$9, 100%, $E$9)</f>
        <v>7.9440999999999997</v>
      </c>
      <c r="M134" s="10">
        <f>CHOOSE(CONTROL!$C$42, 7.2035, 7.2035) * CHOOSE(CONTROL!$C$21, $C$9, 100%, $E$9)</f>
        <v>7.2035</v>
      </c>
      <c r="N134" s="10">
        <f>CHOOSE(CONTROL!$C$42, 7.218, 7.218) * CHOOSE(CONTROL!$C$21, $C$9, 100%, $E$9)</f>
        <v>7.218</v>
      </c>
      <c r="O134" s="10">
        <f>CHOOSE(CONTROL!$C$42, 7.2966, 7.2966) * CHOOSE(CONTROL!$C$21, $C$9, 100%, $E$9)</f>
        <v>7.2965999999999998</v>
      </c>
      <c r="P134" s="10">
        <f>CHOOSE(CONTROL!$C$42, 7.2232, 7.2232) * CHOOSE(CONTROL!$C$21, $C$9, 100%, $E$9)</f>
        <v>7.2232000000000003</v>
      </c>
      <c r="Q134" s="10">
        <f>CHOOSE(CONTROL!$C$42, 7.8919, 7.8919) * CHOOSE(CONTROL!$C$21, $C$9, 100%, $E$9)</f>
        <v>7.8918999999999997</v>
      </c>
      <c r="R134" s="10">
        <f>CHOOSE(CONTROL!$C$42, 8.4987, 8.4987) * CHOOSE(CONTROL!$C$21, $C$9, 100%, $E$9)</f>
        <v>8.4986999999999995</v>
      </c>
      <c r="S134" s="10">
        <f>CHOOSE(CONTROL!$C$42, 7.0598, 7.0598) * CHOOSE(CONTROL!$C$21, $C$9, 100%, $E$9)</f>
        <v>7.0598000000000001</v>
      </c>
      <c r="T1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34" s="57">
        <f>(1000*CHOOSE(CONTROL!$C$42, 695, 695)*CHOOSE(CONTROL!$C$42, 0.5599, 0.5599)*CHOOSE(CONTROL!$C$42, 28, 28))/1000000</f>
        <v>10.895653999999999</v>
      </c>
      <c r="V134" s="57">
        <f>(1000*CHOOSE(CONTROL!$C$42, 500, 500)*CHOOSE(CONTROL!$C$42, 0.275, 0.275)*CHOOSE(CONTROL!$C$42, 28, 28))/1000000</f>
        <v>3.85</v>
      </c>
      <c r="W134" s="57">
        <f>(1000*CHOOSE(CONTROL!$C$42, 0.1146, 0.1146)*CHOOSE(CONTROL!$C$42, 121.5, 121.5)*CHOOSE(CONTROL!$C$42, 28, 28))/1000000</f>
        <v>0.38986920000000003</v>
      </c>
      <c r="X134" s="57">
        <f>(28*0.1790888*100000/1000000)+(28*0.2374*100000/1000000)</f>
        <v>1.16616864</v>
      </c>
      <c r="Y134" s="57"/>
      <c r="Z134" s="10"/>
      <c r="AA134" s="56"/>
      <c r="AB134" s="50">
        <f>(B134*122.58+C134*297.941+D134*89.177+E134*40.302+F134*40+G134*160+H134*0+I134*100+J134*300)/(122.58+297.941+89.177+40.302+0+40+160+100+300)</f>
        <v>7.2817798404347824</v>
      </c>
      <c r="AC134" s="45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7.2493654676258981</v>
      </c>
    </row>
    <row r="135" spans="1:29" ht="15.75" x14ac:dyDescent="0.25">
      <c r="A135" s="16">
        <v>44986</v>
      </c>
      <c r="B135" s="10">
        <f>CHOOSE(CONTROL!$C$42, 7.0657, 7.0657) * CHOOSE(CONTROL!$C$21, $C$9, 100%, $E$9)</f>
        <v>7.0656999999999996</v>
      </c>
      <c r="C135" s="10">
        <f>CHOOSE(CONTROL!$C$42, 7.0707, 7.0707) * CHOOSE(CONTROL!$C$21, $C$9, 100%, $E$9)</f>
        <v>7.0707000000000004</v>
      </c>
      <c r="D135" s="10">
        <f>CHOOSE(CONTROL!$C$42, 7.1277, 7.1277) * CHOOSE(CONTROL!$C$21, $C$9, 100%, $E$9)</f>
        <v>7.1276999999999999</v>
      </c>
      <c r="E135" s="10">
        <f>CHOOSE(CONTROL!$C$42, 7.1615, 7.1615) * CHOOSE(CONTROL!$C$21, $C$9, 100%, $E$9)</f>
        <v>7.1615000000000002</v>
      </c>
      <c r="F135" s="10">
        <f>CHOOSE(CONTROL!$C$42, 7.0635, 7.0635)*CHOOSE(CONTROL!$C$21, $C$9, 100%, $E$9)</f>
        <v>7.0635000000000003</v>
      </c>
      <c r="G135" s="10">
        <f>CHOOSE(CONTROL!$C$42, 7.0781, 7.0781)*CHOOSE(CONTROL!$C$21, $C$9, 100%, $E$9)</f>
        <v>7.0781000000000001</v>
      </c>
      <c r="H135" s="10">
        <f>CHOOSE(CONTROL!$C$42, 7.1507, 7.1507) * CHOOSE(CONTROL!$C$21, $C$9, 100%, $E$9)</f>
        <v>7.1506999999999996</v>
      </c>
      <c r="I135" s="10">
        <f>CHOOSE(CONTROL!$C$42, 7.0765, 7.0765)* CHOOSE(CONTROL!$C$21, $C$9, 100%, $E$9)</f>
        <v>7.0765000000000002</v>
      </c>
      <c r="J135" s="10">
        <f>CHOOSE(CONTROL!$C$42, 7.0565, 7.0565)* CHOOSE(CONTROL!$C$21, $C$9, 100%, $E$9)</f>
        <v>7.0564999999999998</v>
      </c>
      <c r="K135" s="53">
        <f>CHOOSE(CONTROL!$C$42, 7.0726, 7.0726) * CHOOSE(CONTROL!$C$21, $C$9, 100%, $E$9)</f>
        <v>7.0726000000000004</v>
      </c>
      <c r="L135" s="10">
        <f>CHOOSE(CONTROL!$C$42, 7.7377, 7.7377) * CHOOSE(CONTROL!$C$21, $C$9, 100%, $E$9)</f>
        <v>7.7377000000000002</v>
      </c>
      <c r="M135" s="10">
        <f>CHOOSE(CONTROL!$C$42, 6.9991, 6.9991) * CHOOSE(CONTROL!$C$21, $C$9, 100%, $E$9)</f>
        <v>6.9991000000000003</v>
      </c>
      <c r="N135" s="10">
        <f>CHOOSE(CONTROL!$C$42, 7.0136, 7.0136) * CHOOSE(CONTROL!$C$21, $C$9, 100%, $E$9)</f>
        <v>7.0136000000000003</v>
      </c>
      <c r="O135" s="10">
        <f>CHOOSE(CONTROL!$C$42, 7.0924, 7.0924) * CHOOSE(CONTROL!$C$21, $C$9, 100%, $E$9)</f>
        <v>7.0923999999999996</v>
      </c>
      <c r="P135" s="10">
        <f>CHOOSE(CONTROL!$C$42, 7.0189, 7.0189) * CHOOSE(CONTROL!$C$21, $C$9, 100%, $E$9)</f>
        <v>7.0189000000000004</v>
      </c>
      <c r="Q135" s="10">
        <f>CHOOSE(CONTROL!$C$42, 7.6877, 7.6877) * CHOOSE(CONTROL!$C$21, $C$9, 100%, $E$9)</f>
        <v>7.6877000000000004</v>
      </c>
      <c r="R135" s="10">
        <f>CHOOSE(CONTROL!$C$42, 8.2939, 8.2939) * CHOOSE(CONTROL!$C$21, $C$9, 100%, $E$9)</f>
        <v>8.2939000000000007</v>
      </c>
      <c r="S135" s="10">
        <f>CHOOSE(CONTROL!$C$42, 6.8594, 6.8594) * CHOOSE(CONTROL!$C$21, $C$9, 100%, $E$9)</f>
        <v>6.8593999999999999</v>
      </c>
      <c r="T1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57">
        <f>(1000*CHOOSE(CONTROL!$C$42, 695, 695)*CHOOSE(CONTROL!$C$42, 0.5599, 0.5599)*CHOOSE(CONTROL!$C$42, 31, 31))/1000000</f>
        <v>12.063045499999998</v>
      </c>
      <c r="V135" s="57">
        <f>(1000*CHOOSE(CONTROL!$C$42, 500, 500)*CHOOSE(CONTROL!$C$42, 0.275, 0.275)*CHOOSE(CONTROL!$C$42, 31, 31))/1000000</f>
        <v>4.2625000000000002</v>
      </c>
      <c r="W135" s="57">
        <f>(1000*CHOOSE(CONTROL!$C$42, 0.1146, 0.1146)*CHOOSE(CONTROL!$C$42, 121.5, 121.5)*CHOOSE(CONTROL!$C$42, 31, 31))/1000000</f>
        <v>0.43164089999999994</v>
      </c>
      <c r="X135" s="57">
        <f>(31*0.1790888*100000/1000000)+(31*0.2374*100000/1000000)</f>
        <v>1.2911152800000001</v>
      </c>
      <c r="Y135" s="57"/>
      <c r="Z135" s="10"/>
      <c r="AA135" s="56"/>
      <c r="AB135" s="50">
        <f>(B135*122.58+C135*297.941+D135*89.177+E135*40.302+F135*40+G135*160+H135*0+I135*100+J135*300)/(122.58+297.941+89.177+40.302+0+40+160+100+300)</f>
        <v>7.0753483570434783</v>
      </c>
      <c r="AC135" s="45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7.0450705035971222</v>
      </c>
    </row>
    <row r="136" spans="1:29" ht="15.75" x14ac:dyDescent="0.25">
      <c r="A136" s="16">
        <v>45017</v>
      </c>
      <c r="B136" s="10">
        <f>CHOOSE(CONTROL!$C$42, 7.0457, 7.0457) * CHOOSE(CONTROL!$C$21, $C$9, 100%, $E$9)</f>
        <v>7.0457000000000001</v>
      </c>
      <c r="C136" s="10">
        <f>CHOOSE(CONTROL!$C$42, 7.0501, 7.0501) * CHOOSE(CONTROL!$C$21, $C$9, 100%, $E$9)</f>
        <v>7.0500999999999996</v>
      </c>
      <c r="D136" s="10">
        <f>CHOOSE(CONTROL!$C$42, 7.256, 7.256) * CHOOSE(CONTROL!$C$21, $C$9, 100%, $E$9)</f>
        <v>7.2560000000000002</v>
      </c>
      <c r="E136" s="10">
        <f>CHOOSE(CONTROL!$C$42, 7.2878, 7.2878) * CHOOSE(CONTROL!$C$21, $C$9, 100%, $E$9)</f>
        <v>7.2877999999999998</v>
      </c>
      <c r="F136" s="10">
        <f>CHOOSE(CONTROL!$C$42, 7.0225, 7.0225)*CHOOSE(CONTROL!$C$21, $C$9, 100%, $E$9)</f>
        <v>7.0225</v>
      </c>
      <c r="G136" s="10">
        <f>CHOOSE(CONTROL!$C$42, 7.037, 7.037)*CHOOSE(CONTROL!$C$21, $C$9, 100%, $E$9)</f>
        <v>7.0369999999999999</v>
      </c>
      <c r="H136" s="10">
        <f>CHOOSE(CONTROL!$C$42, 7.2775, 7.2775) * CHOOSE(CONTROL!$C$21, $C$9, 100%, $E$9)</f>
        <v>7.2774999999999999</v>
      </c>
      <c r="I136" s="10">
        <f>CHOOSE(CONTROL!$C$42, 7.0472, 7.0472)* CHOOSE(CONTROL!$C$21, $C$9, 100%, $E$9)</f>
        <v>7.0472000000000001</v>
      </c>
      <c r="J136" s="10">
        <f>CHOOSE(CONTROL!$C$42, 7.0155, 7.0155)* CHOOSE(CONTROL!$C$21, $C$9, 100%, $E$9)</f>
        <v>7.0155000000000003</v>
      </c>
      <c r="K136" s="53">
        <f>CHOOSE(CONTROL!$C$42, 7.0433, 7.0433) * CHOOSE(CONTROL!$C$21, $C$9, 100%, $E$9)</f>
        <v>7.0433000000000003</v>
      </c>
      <c r="L136" s="10">
        <f>CHOOSE(CONTROL!$C$42, 7.8645, 7.8645) * CHOOSE(CONTROL!$C$21, $C$9, 100%, $E$9)</f>
        <v>7.8644999999999996</v>
      </c>
      <c r="M136" s="10">
        <f>CHOOSE(CONTROL!$C$42, 6.9585, 6.9585) * CHOOSE(CONTROL!$C$21, $C$9, 100%, $E$9)</f>
        <v>6.9584999999999999</v>
      </c>
      <c r="N136" s="10">
        <f>CHOOSE(CONTROL!$C$42, 6.9729, 6.9729) * CHOOSE(CONTROL!$C$21, $C$9, 100%, $E$9)</f>
        <v>6.9729000000000001</v>
      </c>
      <c r="O136" s="10">
        <f>CHOOSE(CONTROL!$C$42, 7.2179, 7.2179) * CHOOSE(CONTROL!$C$21, $C$9, 100%, $E$9)</f>
        <v>7.2179000000000002</v>
      </c>
      <c r="P136" s="10">
        <f>CHOOSE(CONTROL!$C$42, 6.9899, 6.9899) * CHOOSE(CONTROL!$C$21, $C$9, 100%, $E$9)</f>
        <v>6.9898999999999996</v>
      </c>
      <c r="Q136" s="10">
        <f>CHOOSE(CONTROL!$C$42, 7.8132, 7.8132) * CHOOSE(CONTROL!$C$21, $C$9, 100%, $E$9)</f>
        <v>7.8132000000000001</v>
      </c>
      <c r="R136" s="10">
        <f>CHOOSE(CONTROL!$C$42, 8.4198, 8.4198) * CHOOSE(CONTROL!$C$21, $C$9, 100%, $E$9)</f>
        <v>8.4198000000000004</v>
      </c>
      <c r="S136" s="10">
        <f>CHOOSE(CONTROL!$C$42, 6.8392, 6.8392) * CHOOSE(CONTROL!$C$21, $C$9, 100%, $E$9)</f>
        <v>6.8391999999999999</v>
      </c>
      <c r="T1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57">
        <f>(1000*CHOOSE(CONTROL!$C$42, 695, 695)*CHOOSE(CONTROL!$C$42, 0.5599, 0.5599)*CHOOSE(CONTROL!$C$42, 30, 30))/1000000</f>
        <v>11.673914999999997</v>
      </c>
      <c r="V136" s="57">
        <f>(1000*CHOOSE(CONTROL!$C$42, 500, 500)*CHOOSE(CONTROL!$C$42, 0.275, 0.275)*CHOOSE(CONTROL!$C$42, 30, 30))/1000000</f>
        <v>4.125</v>
      </c>
      <c r="W136" s="57">
        <f>(1000*CHOOSE(CONTROL!$C$42, 0.1146, 0.1146)*CHOOSE(CONTROL!$C$42, 121.5, 121.5)*CHOOSE(CONTROL!$C$42, 30, 30))/1000000</f>
        <v>0.417717</v>
      </c>
      <c r="X136" s="57">
        <f>(30*0.1790888*245000/1000000)+(30*0.2374*100000/1000000)</f>
        <v>2.0285026799999999</v>
      </c>
      <c r="Y136" s="57"/>
      <c r="Z136" s="10"/>
      <c r="AA136" s="56"/>
      <c r="AB136" s="50">
        <f>(B136*141.293+C136*267.993+D136*115.016+E136*89.698+F136*40+G136*185+H136*0+I136*100+J136*300)/(141.293+267.993+115.016+89.698+0+40+185+100+300)</f>
        <v>7.074461436481033</v>
      </c>
      <c r="AC136" s="45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7.0391143884892076</v>
      </c>
    </row>
    <row r="137" spans="1:29" ht="15.75" x14ac:dyDescent="0.25">
      <c r="A137" s="16">
        <v>45047</v>
      </c>
      <c r="B137" s="10">
        <f>CHOOSE(CONTROL!$C$42, 7.1093, 7.1093) * CHOOSE(CONTROL!$C$21, $C$9, 100%, $E$9)</f>
        <v>7.1093000000000002</v>
      </c>
      <c r="C137" s="10">
        <f>CHOOSE(CONTROL!$C$42, 7.1172, 7.1172) * CHOOSE(CONTROL!$C$21, $C$9, 100%, $E$9)</f>
        <v>7.1172000000000004</v>
      </c>
      <c r="D137" s="10">
        <f>CHOOSE(CONTROL!$C$42, 7.3199, 7.3199) * CHOOSE(CONTROL!$C$21, $C$9, 100%, $E$9)</f>
        <v>7.3198999999999996</v>
      </c>
      <c r="E137" s="10">
        <f>CHOOSE(CONTROL!$C$42, 7.3511, 7.3511) * CHOOSE(CONTROL!$C$21, $C$9, 100%, $E$9)</f>
        <v>7.3510999999999997</v>
      </c>
      <c r="F137" s="10">
        <f>CHOOSE(CONTROL!$C$42, 7.085, 7.085)*CHOOSE(CONTROL!$C$21, $C$9, 100%, $E$9)</f>
        <v>7.085</v>
      </c>
      <c r="G137" s="10">
        <f>CHOOSE(CONTROL!$C$42, 7.1, 7.1)*CHOOSE(CONTROL!$C$21, $C$9, 100%, $E$9)</f>
        <v>7.1</v>
      </c>
      <c r="H137" s="10">
        <f>CHOOSE(CONTROL!$C$42, 7.3397, 7.3397) * CHOOSE(CONTROL!$C$21, $C$9, 100%, $E$9)</f>
        <v>7.3396999999999997</v>
      </c>
      <c r="I137" s="10">
        <f>CHOOSE(CONTROL!$C$42, 7.1093, 7.1093)* CHOOSE(CONTROL!$C$21, $C$9, 100%, $E$9)</f>
        <v>7.1093000000000002</v>
      </c>
      <c r="J137" s="10">
        <f>CHOOSE(CONTROL!$C$42, 7.078, 7.078)* CHOOSE(CONTROL!$C$21, $C$9, 100%, $E$9)</f>
        <v>7.0780000000000003</v>
      </c>
      <c r="K137" s="53">
        <f>CHOOSE(CONTROL!$C$42, 7.1054, 7.1054) * CHOOSE(CONTROL!$C$21, $C$9, 100%, $E$9)</f>
        <v>7.1054000000000004</v>
      </c>
      <c r="L137" s="10">
        <f>CHOOSE(CONTROL!$C$42, 7.9267, 7.9267) * CHOOSE(CONTROL!$C$21, $C$9, 100%, $E$9)</f>
        <v>7.9267000000000003</v>
      </c>
      <c r="M137" s="10">
        <f>CHOOSE(CONTROL!$C$42, 7.0204, 7.0204) * CHOOSE(CONTROL!$C$21, $C$9, 100%, $E$9)</f>
        <v>7.0204000000000004</v>
      </c>
      <c r="N137" s="10">
        <f>CHOOSE(CONTROL!$C$42, 7.0352, 7.0352) * CHOOSE(CONTROL!$C$21, $C$9, 100%, $E$9)</f>
        <v>7.0351999999999997</v>
      </c>
      <c r="O137" s="10">
        <f>CHOOSE(CONTROL!$C$42, 7.2794, 7.2794) * CHOOSE(CONTROL!$C$21, $C$9, 100%, $E$9)</f>
        <v>7.2793999999999999</v>
      </c>
      <c r="P137" s="10">
        <f>CHOOSE(CONTROL!$C$42, 7.0514, 7.0514) * CHOOSE(CONTROL!$C$21, $C$9, 100%, $E$9)</f>
        <v>7.0514000000000001</v>
      </c>
      <c r="Q137" s="10">
        <f>CHOOSE(CONTROL!$C$42, 7.8747, 7.8747) * CHOOSE(CONTROL!$C$21, $C$9, 100%, $E$9)</f>
        <v>7.8746999999999998</v>
      </c>
      <c r="R137" s="10">
        <f>CHOOSE(CONTROL!$C$42, 8.4814, 8.4814) * CHOOSE(CONTROL!$C$21, $C$9, 100%, $E$9)</f>
        <v>8.4814000000000007</v>
      </c>
      <c r="S137" s="10">
        <f>CHOOSE(CONTROL!$C$42, 6.8996, 6.8996) * CHOOSE(CONTROL!$C$21, $C$9, 100%, $E$9)</f>
        <v>6.8996000000000004</v>
      </c>
      <c r="T1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57">
        <f>(1000*CHOOSE(CONTROL!$C$42, 695, 695)*CHOOSE(CONTROL!$C$42, 0.5599, 0.5599)*CHOOSE(CONTROL!$C$42, 31, 31))/1000000</f>
        <v>12.063045499999998</v>
      </c>
      <c r="V137" s="57">
        <f>(1000*CHOOSE(CONTROL!$C$42, 500, 500)*CHOOSE(CONTROL!$C$42, 0.275, 0.275)*CHOOSE(CONTROL!$C$42, 31, 31))/1000000</f>
        <v>4.2625000000000002</v>
      </c>
      <c r="W137" s="57">
        <f>(1000*CHOOSE(CONTROL!$C$42, 0.1146, 0.1146)*CHOOSE(CONTROL!$C$42, 121.5, 121.5)*CHOOSE(CONTROL!$C$42, 31, 31))/1000000</f>
        <v>0.43164089999999994</v>
      </c>
      <c r="X137" s="57">
        <f>(31*0.1790888*245000/1000000)+(31*0.2374*100000/1000000)</f>
        <v>2.0961194359999999</v>
      </c>
      <c r="Y137" s="57"/>
      <c r="Z137" s="10"/>
      <c r="AA137" s="56"/>
      <c r="AB137" s="50">
        <f>(B137*194.205+C137*267.466+D137*133.845+E137*53.484+F137*40+G137*185+H137*0+I137*100+J137*300)/(194.205+267.466+133.845+53.484+0+40+185+100+300)</f>
        <v>7.1337510750392461</v>
      </c>
      <c r="AC137" s="45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7.1009366906474831</v>
      </c>
    </row>
    <row r="138" spans="1:29" ht="15.75" x14ac:dyDescent="0.25">
      <c r="A138" s="16">
        <v>45078</v>
      </c>
      <c r="B138" s="10">
        <f>CHOOSE(CONTROL!$C$42, 7.3108, 7.3108) * CHOOSE(CONTROL!$C$21, $C$9, 100%, $E$9)</f>
        <v>7.3108000000000004</v>
      </c>
      <c r="C138" s="10">
        <f>CHOOSE(CONTROL!$C$42, 7.3187, 7.3187) * CHOOSE(CONTROL!$C$21, $C$9, 100%, $E$9)</f>
        <v>7.3186999999999998</v>
      </c>
      <c r="D138" s="10">
        <f>CHOOSE(CONTROL!$C$42, 7.5214, 7.5214) * CHOOSE(CONTROL!$C$21, $C$9, 100%, $E$9)</f>
        <v>7.5213999999999999</v>
      </c>
      <c r="E138" s="10">
        <f>CHOOSE(CONTROL!$C$42, 7.5526, 7.5526) * CHOOSE(CONTROL!$C$21, $C$9, 100%, $E$9)</f>
        <v>7.5526</v>
      </c>
      <c r="F138" s="10">
        <f>CHOOSE(CONTROL!$C$42, 7.287, 7.287)*CHOOSE(CONTROL!$C$21, $C$9, 100%, $E$9)</f>
        <v>7.2869999999999999</v>
      </c>
      <c r="G138" s="10">
        <f>CHOOSE(CONTROL!$C$42, 7.3021, 7.3021)*CHOOSE(CONTROL!$C$21, $C$9, 100%, $E$9)</f>
        <v>7.3021000000000003</v>
      </c>
      <c r="H138" s="10">
        <f>CHOOSE(CONTROL!$C$42, 7.5412, 7.5412) * CHOOSE(CONTROL!$C$21, $C$9, 100%, $E$9)</f>
        <v>7.5411999999999999</v>
      </c>
      <c r="I138" s="10">
        <f>CHOOSE(CONTROL!$C$42, 7.3108, 7.3108)* CHOOSE(CONTROL!$C$21, $C$9, 100%, $E$9)</f>
        <v>7.3108000000000004</v>
      </c>
      <c r="J138" s="10">
        <f>CHOOSE(CONTROL!$C$42, 7.28, 7.28)* CHOOSE(CONTROL!$C$21, $C$9, 100%, $E$9)</f>
        <v>7.28</v>
      </c>
      <c r="K138" s="53">
        <f>CHOOSE(CONTROL!$C$42, 7.3069, 7.3069) * CHOOSE(CONTROL!$C$21, $C$9, 100%, $E$9)</f>
        <v>7.3068999999999997</v>
      </c>
      <c r="L138" s="10">
        <f>CHOOSE(CONTROL!$C$42, 8.1282, 8.1282) * CHOOSE(CONTROL!$C$21, $C$9, 100%, $E$9)</f>
        <v>8.1281999999999996</v>
      </c>
      <c r="M138" s="10">
        <f>CHOOSE(CONTROL!$C$42, 7.2204, 7.2204) * CHOOSE(CONTROL!$C$21, $C$9, 100%, $E$9)</f>
        <v>7.2203999999999997</v>
      </c>
      <c r="N138" s="10">
        <f>CHOOSE(CONTROL!$C$42, 7.2354, 7.2354) * CHOOSE(CONTROL!$C$21, $C$9, 100%, $E$9)</f>
        <v>7.2354000000000003</v>
      </c>
      <c r="O138" s="10">
        <f>CHOOSE(CONTROL!$C$42, 7.4789, 7.4789) * CHOOSE(CONTROL!$C$21, $C$9, 100%, $E$9)</f>
        <v>7.4789000000000003</v>
      </c>
      <c r="P138" s="10">
        <f>CHOOSE(CONTROL!$C$42, 7.2509, 7.2509) * CHOOSE(CONTROL!$C$21, $C$9, 100%, $E$9)</f>
        <v>7.2508999999999997</v>
      </c>
      <c r="Q138" s="10">
        <f>CHOOSE(CONTROL!$C$42, 8.0742, 8.0742) * CHOOSE(CONTROL!$C$21, $C$9, 100%, $E$9)</f>
        <v>8.0741999999999994</v>
      </c>
      <c r="R138" s="10">
        <f>CHOOSE(CONTROL!$C$42, 8.6814, 8.6814) * CHOOSE(CONTROL!$C$21, $C$9, 100%, $E$9)</f>
        <v>8.6814</v>
      </c>
      <c r="S138" s="10">
        <f>CHOOSE(CONTROL!$C$42, 7.0952, 7.0952) * CHOOSE(CONTROL!$C$21, $C$9, 100%, $E$9)</f>
        <v>7.0952000000000002</v>
      </c>
      <c r="T1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57">
        <f>(1000*CHOOSE(CONTROL!$C$42, 695, 695)*CHOOSE(CONTROL!$C$42, 0.5599, 0.5599)*CHOOSE(CONTROL!$C$42, 30, 30))/1000000</f>
        <v>11.673914999999997</v>
      </c>
      <c r="V138" s="57">
        <f>(1000*CHOOSE(CONTROL!$C$42, 500, 500)*CHOOSE(CONTROL!$C$42, 0.275, 0.275)*CHOOSE(CONTROL!$C$42, 30, 30))/1000000</f>
        <v>4.125</v>
      </c>
      <c r="W138" s="57">
        <f>(1000*CHOOSE(CONTROL!$C$42, 0.1146, 0.1146)*CHOOSE(CONTROL!$C$42, 121.5, 121.5)*CHOOSE(CONTROL!$C$42, 30, 30))/1000000</f>
        <v>0.417717</v>
      </c>
      <c r="X138" s="57">
        <f>(30*0.1790888*245000/1000000)+(30*0.2374*100000/1000000)</f>
        <v>2.0285026799999999</v>
      </c>
      <c r="Y138" s="57"/>
      <c r="Z138" s="10"/>
      <c r="AA138" s="56"/>
      <c r="AB138" s="50">
        <f>(B138*194.205+C138*267.466+D138*133.845+E138*53.484+F138*40+G138*185+H138*0+I138*100+J138*300)/(194.205+267.466+133.845+53.484+0+40+185+100+300)</f>
        <v>7.3354716401883833</v>
      </c>
      <c r="AC138" s="45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7.3007705035971222</v>
      </c>
    </row>
    <row r="139" spans="1:29" ht="15.75" x14ac:dyDescent="0.25">
      <c r="A139" s="16">
        <v>45108</v>
      </c>
      <c r="B139" s="10">
        <f>CHOOSE(CONTROL!$C$42, 7.1706, 7.1706) * CHOOSE(CONTROL!$C$21, $C$9, 100%, $E$9)</f>
        <v>7.1706000000000003</v>
      </c>
      <c r="C139" s="10">
        <f>CHOOSE(CONTROL!$C$42, 7.1785, 7.1785) * CHOOSE(CONTROL!$C$21, $C$9, 100%, $E$9)</f>
        <v>7.1784999999999997</v>
      </c>
      <c r="D139" s="10">
        <f>CHOOSE(CONTROL!$C$42, 7.3813, 7.3813) * CHOOSE(CONTROL!$C$21, $C$9, 100%, $E$9)</f>
        <v>7.3813000000000004</v>
      </c>
      <c r="E139" s="10">
        <f>CHOOSE(CONTROL!$C$42, 7.4124, 7.4124) * CHOOSE(CONTROL!$C$21, $C$9, 100%, $E$9)</f>
        <v>7.4123999999999999</v>
      </c>
      <c r="F139" s="10">
        <f>CHOOSE(CONTROL!$C$42, 7.1474, 7.1474)*CHOOSE(CONTROL!$C$21, $C$9, 100%, $E$9)</f>
        <v>7.1474000000000002</v>
      </c>
      <c r="G139" s="10">
        <f>CHOOSE(CONTROL!$C$42, 7.1627, 7.1627)*CHOOSE(CONTROL!$C$21, $C$9, 100%, $E$9)</f>
        <v>7.1627000000000001</v>
      </c>
      <c r="H139" s="10">
        <f>CHOOSE(CONTROL!$C$42, 7.401, 7.401) * CHOOSE(CONTROL!$C$21, $C$9, 100%, $E$9)</f>
        <v>7.4009999999999998</v>
      </c>
      <c r="I139" s="10">
        <f>CHOOSE(CONTROL!$C$42, 7.1707, 7.1707)* CHOOSE(CONTROL!$C$21, $C$9, 100%, $E$9)</f>
        <v>7.1707000000000001</v>
      </c>
      <c r="J139" s="10">
        <f>CHOOSE(CONTROL!$C$42, 7.1404, 7.1404)* CHOOSE(CONTROL!$C$21, $C$9, 100%, $E$9)</f>
        <v>7.1403999999999996</v>
      </c>
      <c r="K139" s="53">
        <f>CHOOSE(CONTROL!$C$42, 7.1668, 7.1668) * CHOOSE(CONTROL!$C$21, $C$9, 100%, $E$9)</f>
        <v>7.1668000000000003</v>
      </c>
      <c r="L139" s="10">
        <f>CHOOSE(CONTROL!$C$42, 7.988, 7.988) * CHOOSE(CONTROL!$C$21, $C$9, 100%, $E$9)</f>
        <v>7.9880000000000004</v>
      </c>
      <c r="M139" s="10">
        <f>CHOOSE(CONTROL!$C$42, 7.0821, 7.0821) * CHOOSE(CONTROL!$C$21, $C$9, 100%, $E$9)</f>
        <v>7.0820999999999996</v>
      </c>
      <c r="N139" s="10">
        <f>CHOOSE(CONTROL!$C$42, 7.0973, 7.0973) * CHOOSE(CONTROL!$C$21, $C$9, 100%, $E$9)</f>
        <v>7.0972999999999997</v>
      </c>
      <c r="O139" s="10">
        <f>CHOOSE(CONTROL!$C$42, 7.3402, 7.3402) * CHOOSE(CONTROL!$C$21, $C$9, 100%, $E$9)</f>
        <v>7.3402000000000003</v>
      </c>
      <c r="P139" s="10">
        <f>CHOOSE(CONTROL!$C$42, 7.1122, 7.1122) * CHOOSE(CONTROL!$C$21, $C$9, 100%, $E$9)</f>
        <v>7.1121999999999996</v>
      </c>
      <c r="Q139" s="10">
        <f>CHOOSE(CONTROL!$C$42, 7.9355, 7.9355) * CHOOSE(CONTROL!$C$21, $C$9, 100%, $E$9)</f>
        <v>7.9355000000000002</v>
      </c>
      <c r="R139" s="10">
        <f>CHOOSE(CONTROL!$C$42, 8.5423, 8.5423) * CHOOSE(CONTROL!$C$21, $C$9, 100%, $E$9)</f>
        <v>8.5422999999999991</v>
      </c>
      <c r="S139" s="10">
        <f>CHOOSE(CONTROL!$C$42, 6.9591, 6.9591) * CHOOSE(CONTROL!$C$21, $C$9, 100%, $E$9)</f>
        <v>6.9591000000000003</v>
      </c>
      <c r="T1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57">
        <f>(1000*CHOOSE(CONTROL!$C$42, 695, 695)*CHOOSE(CONTROL!$C$42, 0.5599, 0.5599)*CHOOSE(CONTROL!$C$42, 31, 31))/1000000</f>
        <v>12.063045499999998</v>
      </c>
      <c r="V139" s="57">
        <f>(1000*CHOOSE(CONTROL!$C$42, 500, 500)*CHOOSE(CONTROL!$C$42, 0.275, 0.275)*CHOOSE(CONTROL!$C$42, 31, 31))/1000000</f>
        <v>4.2625000000000002</v>
      </c>
      <c r="W139" s="57">
        <f>(1000*CHOOSE(CONTROL!$C$42, 0.1146, 0.1146)*CHOOSE(CONTROL!$C$42, 121.5, 121.5)*CHOOSE(CONTROL!$C$42, 31, 31))/1000000</f>
        <v>0.43164089999999994</v>
      </c>
      <c r="X139" s="57">
        <f>(31*0.1790888*245000/1000000)+(31*0.2374*100000/1000000)</f>
        <v>2.0961194359999999</v>
      </c>
      <c r="Y139" s="57"/>
      <c r="Z139" s="10"/>
      <c r="AA139" s="56"/>
      <c r="AB139" s="50">
        <f>(B139*194.205+C139*267.466+D139*133.845+E139*53.484+F139*40+G139*185+H139*0+I139*100+J139*300)/(194.205+267.466+133.845+53.484+0+40+185+100+300)</f>
        <v>7.195566290502355</v>
      </c>
      <c r="AC139" s="45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7.1623467625899284</v>
      </c>
    </row>
    <row r="140" spans="1:29" ht="15.75" x14ac:dyDescent="0.25">
      <c r="A140" s="16">
        <v>45139</v>
      </c>
      <c r="B140" s="10">
        <f>CHOOSE(CONTROL!$C$42, 6.8167, 6.8167) * CHOOSE(CONTROL!$C$21, $C$9, 100%, $E$9)</f>
        <v>6.8167</v>
      </c>
      <c r="C140" s="10">
        <f>CHOOSE(CONTROL!$C$42, 6.8246, 6.8246) * CHOOSE(CONTROL!$C$21, $C$9, 100%, $E$9)</f>
        <v>6.8246000000000002</v>
      </c>
      <c r="D140" s="10">
        <f>CHOOSE(CONTROL!$C$42, 7.0274, 7.0274) * CHOOSE(CONTROL!$C$21, $C$9, 100%, $E$9)</f>
        <v>7.0274000000000001</v>
      </c>
      <c r="E140" s="10">
        <f>CHOOSE(CONTROL!$C$42, 7.0585, 7.0585) * CHOOSE(CONTROL!$C$21, $C$9, 100%, $E$9)</f>
        <v>7.0585000000000004</v>
      </c>
      <c r="F140" s="10">
        <f>CHOOSE(CONTROL!$C$42, 6.7936, 6.7936)*CHOOSE(CONTROL!$C$21, $C$9, 100%, $E$9)</f>
        <v>6.7935999999999996</v>
      </c>
      <c r="G140" s="10">
        <f>CHOOSE(CONTROL!$C$42, 6.809, 6.809)*CHOOSE(CONTROL!$C$21, $C$9, 100%, $E$9)</f>
        <v>6.8090000000000002</v>
      </c>
      <c r="H140" s="10">
        <f>CHOOSE(CONTROL!$C$42, 7.0471, 7.0471) * CHOOSE(CONTROL!$C$21, $C$9, 100%, $E$9)</f>
        <v>7.0471000000000004</v>
      </c>
      <c r="I140" s="10">
        <f>CHOOSE(CONTROL!$C$42, 6.8167, 6.8167)* CHOOSE(CONTROL!$C$21, $C$9, 100%, $E$9)</f>
        <v>6.8167</v>
      </c>
      <c r="J140" s="10">
        <f>CHOOSE(CONTROL!$C$42, 6.7866, 6.7866)* CHOOSE(CONTROL!$C$21, $C$9, 100%, $E$9)</f>
        <v>6.7866</v>
      </c>
      <c r="K140" s="53">
        <f>CHOOSE(CONTROL!$C$42, 6.8129, 6.8129) * CHOOSE(CONTROL!$C$21, $C$9, 100%, $E$9)</f>
        <v>6.8129</v>
      </c>
      <c r="L140" s="10">
        <f>CHOOSE(CONTROL!$C$42, 7.6341, 7.6341) * CHOOSE(CONTROL!$C$21, $C$9, 100%, $E$9)</f>
        <v>7.6341000000000001</v>
      </c>
      <c r="M140" s="10">
        <f>CHOOSE(CONTROL!$C$42, 6.732, 6.732) * CHOOSE(CONTROL!$C$21, $C$9, 100%, $E$9)</f>
        <v>6.7320000000000002</v>
      </c>
      <c r="N140" s="10">
        <f>CHOOSE(CONTROL!$C$42, 6.7471, 6.7471) * CHOOSE(CONTROL!$C$21, $C$9, 100%, $E$9)</f>
        <v>6.7470999999999997</v>
      </c>
      <c r="O140" s="10">
        <f>CHOOSE(CONTROL!$C$42, 6.9898, 6.9898) * CHOOSE(CONTROL!$C$21, $C$9, 100%, $E$9)</f>
        <v>6.9897999999999998</v>
      </c>
      <c r="P140" s="10">
        <f>CHOOSE(CONTROL!$C$42, 6.7618, 6.7618) * CHOOSE(CONTROL!$C$21, $C$9, 100%, $E$9)</f>
        <v>6.7618</v>
      </c>
      <c r="Q140" s="10">
        <f>CHOOSE(CONTROL!$C$42, 7.5851, 7.5851) * CHOOSE(CONTROL!$C$21, $C$9, 100%, $E$9)</f>
        <v>7.5850999999999997</v>
      </c>
      <c r="R140" s="10">
        <f>CHOOSE(CONTROL!$C$42, 8.1911, 8.1911) * CHOOSE(CONTROL!$C$21, $C$9, 100%, $E$9)</f>
        <v>8.1911000000000005</v>
      </c>
      <c r="S140" s="10">
        <f>CHOOSE(CONTROL!$C$42, 6.6155, 6.6155) * CHOOSE(CONTROL!$C$21, $C$9, 100%, $E$9)</f>
        <v>6.6154999999999999</v>
      </c>
      <c r="T1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57">
        <f>(1000*CHOOSE(CONTROL!$C$42, 695, 695)*CHOOSE(CONTROL!$C$42, 0.5599, 0.5599)*CHOOSE(CONTROL!$C$42, 31, 31))/1000000</f>
        <v>12.063045499999998</v>
      </c>
      <c r="V140" s="57">
        <f>(1000*CHOOSE(CONTROL!$C$42, 500, 500)*CHOOSE(CONTROL!$C$42, 0.275, 0.275)*CHOOSE(CONTROL!$C$42, 31, 31))/1000000</f>
        <v>4.2625000000000002</v>
      </c>
      <c r="W140" s="57">
        <f>(1000*CHOOSE(CONTROL!$C$42, 0.1146, 0.1146)*CHOOSE(CONTROL!$C$42, 121.5, 121.5)*CHOOSE(CONTROL!$C$42, 31, 31))/1000000</f>
        <v>0.43164089999999994</v>
      </c>
      <c r="X140" s="57">
        <f>(31*0.1790888*245000/1000000)+(31*0.2374*100000/1000000)</f>
        <v>2.0961194359999999</v>
      </c>
      <c r="Y140" s="57"/>
      <c r="Z140" s="10"/>
      <c r="AA140" s="56"/>
      <c r="AB140" s="50">
        <f>(B140*194.205+C140*267.466+D140*133.845+E140*53.484+F140*40+G140*185+H140*0+I140*100+J140*300)/(194.205+267.466+133.845+53.484+0+40+185+100+300)</f>
        <v>6.8417141711930922</v>
      </c>
      <c r="AC140" s="45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6.8120964028776978</v>
      </c>
    </row>
    <row r="141" spans="1:29" ht="15.75" x14ac:dyDescent="0.25">
      <c r="A141" s="16">
        <v>45170</v>
      </c>
      <c r="B141" s="10">
        <f>CHOOSE(CONTROL!$C$42, 6.3839, 6.3839) * CHOOSE(CONTROL!$C$21, $C$9, 100%, $E$9)</f>
        <v>6.3838999999999997</v>
      </c>
      <c r="C141" s="10">
        <f>CHOOSE(CONTROL!$C$42, 6.3918, 6.3918) * CHOOSE(CONTROL!$C$21, $C$9, 100%, $E$9)</f>
        <v>6.3917999999999999</v>
      </c>
      <c r="D141" s="10">
        <f>CHOOSE(CONTROL!$C$42, 6.5945, 6.5945) * CHOOSE(CONTROL!$C$21, $C$9, 100%, $E$9)</f>
        <v>6.5945</v>
      </c>
      <c r="E141" s="10">
        <f>CHOOSE(CONTROL!$C$42, 6.6257, 6.6257) * CHOOSE(CONTROL!$C$21, $C$9, 100%, $E$9)</f>
        <v>6.6257000000000001</v>
      </c>
      <c r="F141" s="10">
        <f>CHOOSE(CONTROL!$C$42, 6.3607, 6.3607)*CHOOSE(CONTROL!$C$21, $C$9, 100%, $E$9)</f>
        <v>6.3606999999999996</v>
      </c>
      <c r="G141" s="10">
        <f>CHOOSE(CONTROL!$C$42, 6.376, 6.376)*CHOOSE(CONTROL!$C$21, $C$9, 100%, $E$9)</f>
        <v>6.3760000000000003</v>
      </c>
      <c r="H141" s="10">
        <f>CHOOSE(CONTROL!$C$42, 6.6143, 6.6143) * CHOOSE(CONTROL!$C$21, $C$9, 100%, $E$9)</f>
        <v>6.6143000000000001</v>
      </c>
      <c r="I141" s="10">
        <f>CHOOSE(CONTROL!$C$42, 6.3839, 6.3839)* CHOOSE(CONTROL!$C$21, $C$9, 100%, $E$9)</f>
        <v>6.3838999999999997</v>
      </c>
      <c r="J141" s="10">
        <f>CHOOSE(CONTROL!$C$42, 6.3537, 6.3537)* CHOOSE(CONTROL!$C$21, $C$9, 100%, $E$9)</f>
        <v>6.3536999999999999</v>
      </c>
      <c r="K141" s="53">
        <f>CHOOSE(CONTROL!$C$42, 6.38, 6.38) * CHOOSE(CONTROL!$C$21, $C$9, 100%, $E$9)</f>
        <v>6.38</v>
      </c>
      <c r="L141" s="10">
        <f>CHOOSE(CONTROL!$C$42, 7.2013, 7.2013) * CHOOSE(CONTROL!$C$21, $C$9, 100%, $E$9)</f>
        <v>7.2012999999999998</v>
      </c>
      <c r="M141" s="10">
        <f>CHOOSE(CONTROL!$C$42, 6.3034, 6.3034) * CHOOSE(CONTROL!$C$21, $C$9, 100%, $E$9)</f>
        <v>6.3033999999999999</v>
      </c>
      <c r="N141" s="10">
        <f>CHOOSE(CONTROL!$C$42, 6.3185, 6.3185) * CHOOSE(CONTROL!$C$21, $C$9, 100%, $E$9)</f>
        <v>6.3185000000000002</v>
      </c>
      <c r="O141" s="10">
        <f>CHOOSE(CONTROL!$C$42, 6.5614, 6.5614) * CHOOSE(CONTROL!$C$21, $C$9, 100%, $E$9)</f>
        <v>6.5613999999999999</v>
      </c>
      <c r="P141" s="10">
        <f>CHOOSE(CONTROL!$C$42, 6.3334, 6.3334) * CHOOSE(CONTROL!$C$21, $C$9, 100%, $E$9)</f>
        <v>6.3334000000000001</v>
      </c>
      <c r="Q141" s="10">
        <f>CHOOSE(CONTROL!$C$42, 7.1567, 7.1567) * CHOOSE(CONTROL!$C$21, $C$9, 100%, $E$9)</f>
        <v>7.1566999999999998</v>
      </c>
      <c r="R141" s="10">
        <f>CHOOSE(CONTROL!$C$42, 7.7616, 7.7616) * CHOOSE(CONTROL!$C$21, $C$9, 100%, $E$9)</f>
        <v>7.7615999999999996</v>
      </c>
      <c r="S141" s="10">
        <f>CHOOSE(CONTROL!$C$42, 6.1951, 6.1951) * CHOOSE(CONTROL!$C$21, $C$9, 100%, $E$9)</f>
        <v>6.1951000000000001</v>
      </c>
      <c r="T1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57">
        <f>(1000*CHOOSE(CONTROL!$C$42, 695, 695)*CHOOSE(CONTROL!$C$42, 0.5599, 0.5599)*CHOOSE(CONTROL!$C$42, 30, 30))/1000000</f>
        <v>11.673914999999997</v>
      </c>
      <c r="V141" s="57">
        <f>(1000*CHOOSE(CONTROL!$C$42, 500, 500)*CHOOSE(CONTROL!$C$42, 0.275, 0.275)*CHOOSE(CONTROL!$C$42, 30, 30))/1000000</f>
        <v>4.125</v>
      </c>
      <c r="W141" s="57">
        <f>(1000*CHOOSE(CONTROL!$C$42, 0.1146, 0.1146)*CHOOSE(CONTROL!$C$42, 121.5, 121.5)*CHOOSE(CONTROL!$C$42, 30, 30))/1000000</f>
        <v>0.417717</v>
      </c>
      <c r="X141" s="57">
        <f>(30*0.1790888*245000/1000000)+(30*0.2374*100000/1000000)</f>
        <v>2.0285026799999999</v>
      </c>
      <c r="Y141" s="57"/>
      <c r="Z141" s="10"/>
      <c r="AA141" s="56"/>
      <c r="AB141" s="50">
        <f>(B141*194.205+C141*267.466+D141*133.845+E141*53.484+F141*40+G141*185+H141*0+I141*100+J141*300)/(194.205+267.466+133.845+53.484+0+40+185+100+300)</f>
        <v>6.4088479353218215</v>
      </c>
      <c r="AC141" s="45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6.3835812949640287</v>
      </c>
    </row>
    <row r="142" spans="1:29" ht="15.75" x14ac:dyDescent="0.25">
      <c r="A142" s="16">
        <v>45200</v>
      </c>
      <c r="B142" s="10">
        <f>CHOOSE(CONTROL!$C$42, 6.2526, 6.2526) * CHOOSE(CONTROL!$C$21, $C$9, 100%, $E$9)</f>
        <v>6.2526000000000002</v>
      </c>
      <c r="C142" s="10">
        <f>CHOOSE(CONTROL!$C$42, 6.2578, 6.2578) * CHOOSE(CONTROL!$C$21, $C$9, 100%, $E$9)</f>
        <v>6.2577999999999996</v>
      </c>
      <c r="D142" s="10">
        <f>CHOOSE(CONTROL!$C$42, 6.4655, 6.4655) * CHOOSE(CONTROL!$C$21, $C$9, 100%, $E$9)</f>
        <v>6.4654999999999996</v>
      </c>
      <c r="E142" s="10">
        <f>CHOOSE(CONTROL!$C$42, 6.4943, 6.4943) * CHOOSE(CONTROL!$C$21, $C$9, 100%, $E$9)</f>
        <v>6.4943</v>
      </c>
      <c r="F142" s="10">
        <f>CHOOSE(CONTROL!$C$42, 6.2313, 6.2313)*CHOOSE(CONTROL!$C$21, $C$9, 100%, $E$9)</f>
        <v>6.2313000000000001</v>
      </c>
      <c r="G142" s="10">
        <f>CHOOSE(CONTROL!$C$42, 6.2463, 6.2463)*CHOOSE(CONTROL!$C$21, $C$9, 100%, $E$9)</f>
        <v>6.2462999999999997</v>
      </c>
      <c r="H142" s="10">
        <f>CHOOSE(CONTROL!$C$42, 6.4848, 6.4848) * CHOOSE(CONTROL!$C$21, $C$9, 100%, $E$9)</f>
        <v>6.4847999999999999</v>
      </c>
      <c r="I142" s="10">
        <f>CHOOSE(CONTROL!$C$42, 6.2544, 6.2544)* CHOOSE(CONTROL!$C$21, $C$9, 100%, $E$9)</f>
        <v>6.2544000000000004</v>
      </c>
      <c r="J142" s="10">
        <f>CHOOSE(CONTROL!$C$42, 6.2243, 6.2243)* CHOOSE(CONTROL!$C$21, $C$9, 100%, $E$9)</f>
        <v>6.2243000000000004</v>
      </c>
      <c r="K142" s="53">
        <f>CHOOSE(CONTROL!$C$42, 6.2505, 6.2505) * CHOOSE(CONTROL!$C$21, $C$9, 100%, $E$9)</f>
        <v>6.2504999999999997</v>
      </c>
      <c r="L142" s="10">
        <f>CHOOSE(CONTROL!$C$42, 7.0718, 7.0718) * CHOOSE(CONTROL!$C$21, $C$9, 100%, $E$9)</f>
        <v>7.0717999999999996</v>
      </c>
      <c r="M142" s="10">
        <f>CHOOSE(CONTROL!$C$42, 6.1754, 6.1754) * CHOOSE(CONTROL!$C$21, $C$9, 100%, $E$9)</f>
        <v>6.1753999999999998</v>
      </c>
      <c r="N142" s="10">
        <f>CHOOSE(CONTROL!$C$42, 6.1901, 6.1901) * CHOOSE(CONTROL!$C$21, $C$9, 100%, $E$9)</f>
        <v>6.1901000000000002</v>
      </c>
      <c r="O142" s="10">
        <f>CHOOSE(CONTROL!$C$42, 6.4332, 6.4332) * CHOOSE(CONTROL!$C$21, $C$9, 100%, $E$9)</f>
        <v>6.4332000000000003</v>
      </c>
      <c r="P142" s="10">
        <f>CHOOSE(CONTROL!$C$42, 6.2052, 6.2052) * CHOOSE(CONTROL!$C$21, $C$9, 100%, $E$9)</f>
        <v>6.2051999999999996</v>
      </c>
      <c r="Q142" s="10">
        <f>CHOOSE(CONTROL!$C$42, 7.0285, 7.0285) * CHOOSE(CONTROL!$C$21, $C$9, 100%, $E$9)</f>
        <v>7.0285000000000002</v>
      </c>
      <c r="R142" s="10">
        <f>CHOOSE(CONTROL!$C$42, 7.6331, 7.6331) * CHOOSE(CONTROL!$C$21, $C$9, 100%, $E$9)</f>
        <v>7.6330999999999998</v>
      </c>
      <c r="S142" s="10">
        <f>CHOOSE(CONTROL!$C$42, 6.0694, 6.0694) * CHOOSE(CONTROL!$C$21, $C$9, 100%, $E$9)</f>
        <v>6.0693999999999999</v>
      </c>
      <c r="T1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57">
        <f>(1000*CHOOSE(CONTROL!$C$42, 695, 695)*CHOOSE(CONTROL!$C$42, 0.5599, 0.5599)*CHOOSE(CONTROL!$C$42, 31, 31))/1000000</f>
        <v>12.063045499999998</v>
      </c>
      <c r="V142" s="57">
        <f>(1000*CHOOSE(CONTROL!$C$42, 500, 500)*CHOOSE(CONTROL!$C$42, 0.275, 0.275)*CHOOSE(CONTROL!$C$42, 31, 31))/1000000</f>
        <v>4.2625000000000002</v>
      </c>
      <c r="W142" s="57">
        <f>(1000*CHOOSE(CONTROL!$C$42, 0.1146, 0.1146)*CHOOSE(CONTROL!$C$42, 121.5, 121.5)*CHOOSE(CONTROL!$C$42, 31, 31))/1000000</f>
        <v>0.43164089999999994</v>
      </c>
      <c r="X142" s="57">
        <f>(31*0.1790888*245000/1000000)+(31*0.2374*100000/1000000)</f>
        <v>2.0961194359999999</v>
      </c>
      <c r="Y142" s="57"/>
      <c r="Z142" s="10"/>
      <c r="AA142" s="56"/>
      <c r="AB142" s="50">
        <f>(B142*131.881+C142*277.167+D142*79.08+E142*125.872+F142*40+G142*185+H142*0+I142*100+J142*300)/(131.881+277.167+79.08+125.872+0+40+185+100+300)</f>
        <v>6.2835710757062149</v>
      </c>
      <c r="AC142" s="45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6.2554043165467634</v>
      </c>
    </row>
    <row r="143" spans="1:29" ht="15.75" x14ac:dyDescent="0.25">
      <c r="A143" s="16">
        <v>45231</v>
      </c>
      <c r="B143" s="10">
        <f>CHOOSE(CONTROL!$C$42, 6.4168, 6.4168) * CHOOSE(CONTROL!$C$21, $C$9, 100%, $E$9)</f>
        <v>6.4168000000000003</v>
      </c>
      <c r="C143" s="10">
        <f>CHOOSE(CONTROL!$C$42, 6.4218, 6.4218) * CHOOSE(CONTROL!$C$21, $C$9, 100%, $E$9)</f>
        <v>6.4218000000000002</v>
      </c>
      <c r="D143" s="10">
        <f>CHOOSE(CONTROL!$C$42, 6.4823, 6.4823) * CHOOSE(CONTROL!$C$21, $C$9, 100%, $E$9)</f>
        <v>6.4823000000000004</v>
      </c>
      <c r="E143" s="10">
        <f>CHOOSE(CONTROL!$C$42, 6.5161, 6.5161) * CHOOSE(CONTROL!$C$21, $C$9, 100%, $E$9)</f>
        <v>6.5160999999999998</v>
      </c>
      <c r="F143" s="10">
        <f>CHOOSE(CONTROL!$C$42, 6.4125, 6.4125)*CHOOSE(CONTROL!$C$21, $C$9, 100%, $E$9)</f>
        <v>6.4124999999999996</v>
      </c>
      <c r="G143" s="10">
        <f>CHOOSE(CONTROL!$C$42, 6.4277, 6.4277)*CHOOSE(CONTROL!$C$21, $C$9, 100%, $E$9)</f>
        <v>6.4276999999999997</v>
      </c>
      <c r="H143" s="10">
        <f>CHOOSE(CONTROL!$C$42, 6.5053, 6.5053) * CHOOSE(CONTROL!$C$21, $C$9, 100%, $E$9)</f>
        <v>6.5053000000000001</v>
      </c>
      <c r="I143" s="10">
        <f>CHOOSE(CONTROL!$C$42, 6.4293, 6.4293)* CHOOSE(CONTROL!$C$21, $C$9, 100%, $E$9)</f>
        <v>6.4292999999999996</v>
      </c>
      <c r="J143" s="10">
        <f>CHOOSE(CONTROL!$C$42, 6.4055, 6.4055)* CHOOSE(CONTROL!$C$21, $C$9, 100%, $E$9)</f>
        <v>6.4055</v>
      </c>
      <c r="K143" s="53">
        <f>CHOOSE(CONTROL!$C$42, 6.4255, 6.4255) * CHOOSE(CONTROL!$C$21, $C$9, 100%, $E$9)</f>
        <v>6.4255000000000004</v>
      </c>
      <c r="L143" s="10">
        <f>CHOOSE(CONTROL!$C$42, 7.0923, 7.0923) * CHOOSE(CONTROL!$C$21, $C$9, 100%, $E$9)</f>
        <v>7.0922999999999998</v>
      </c>
      <c r="M143" s="10">
        <f>CHOOSE(CONTROL!$C$42, 6.3547, 6.3547) * CHOOSE(CONTROL!$C$21, $C$9, 100%, $E$9)</f>
        <v>6.3547000000000002</v>
      </c>
      <c r="N143" s="10">
        <f>CHOOSE(CONTROL!$C$42, 6.3697, 6.3697) * CHOOSE(CONTROL!$C$21, $C$9, 100%, $E$9)</f>
        <v>6.3696999999999999</v>
      </c>
      <c r="O143" s="10">
        <f>CHOOSE(CONTROL!$C$42, 6.4534, 6.4534) * CHOOSE(CONTROL!$C$21, $C$9, 100%, $E$9)</f>
        <v>6.4534000000000002</v>
      </c>
      <c r="P143" s="10">
        <f>CHOOSE(CONTROL!$C$42, 6.3783, 6.3783) * CHOOSE(CONTROL!$C$21, $C$9, 100%, $E$9)</f>
        <v>6.3783000000000003</v>
      </c>
      <c r="Q143" s="10">
        <f>CHOOSE(CONTROL!$C$42, 7.0487, 7.0487) * CHOOSE(CONTROL!$C$21, $C$9, 100%, $E$9)</f>
        <v>7.0487000000000002</v>
      </c>
      <c r="R143" s="10">
        <f>CHOOSE(CONTROL!$C$42, 7.6534, 7.6534) * CHOOSE(CONTROL!$C$21, $C$9, 100%, $E$9)</f>
        <v>7.6534000000000004</v>
      </c>
      <c r="S143" s="10">
        <f>CHOOSE(CONTROL!$C$42, 6.2293, 6.2293) * CHOOSE(CONTROL!$C$21, $C$9, 100%, $E$9)</f>
        <v>6.2293000000000003</v>
      </c>
      <c r="T1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57">
        <f>(1000*CHOOSE(CONTROL!$C$42, 695, 695)*CHOOSE(CONTROL!$C$42, 0.5599, 0.5599)*CHOOSE(CONTROL!$C$42, 30, 30))/1000000</f>
        <v>11.673914999999997</v>
      </c>
      <c r="V143" s="57">
        <f>(1000*CHOOSE(CONTROL!$C$42, 500, 500)*CHOOSE(CONTROL!$C$42, 0.275, 0.275)*CHOOSE(CONTROL!$C$42, 30, 30))/1000000</f>
        <v>4.125</v>
      </c>
      <c r="W143" s="57">
        <f>(1000*CHOOSE(CONTROL!$C$42, 0.1146, 0.1146)*CHOOSE(CONTROL!$C$42, 121.5, 121.5)*CHOOSE(CONTROL!$C$42, 30, 30))/1000000</f>
        <v>0.417717</v>
      </c>
      <c r="X143" s="57">
        <f>(30*0.1790888*100000/1000000)+(30*0.2374*100000/1000000)</f>
        <v>1.2494664</v>
      </c>
      <c r="Y143" s="57"/>
      <c r="Z143" s="10"/>
      <c r="AA143" s="56"/>
      <c r="AB143" s="50">
        <f>(B143*122.58+C143*297.941+D143*89.177+E143*40.302+F143*40+G143*160+H143*0+I143*100+J143*300)/(122.58+297.941+89.177+40.302+0+40+160+100+300)</f>
        <v>6.4261606844347829</v>
      </c>
      <c r="AC143" s="45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6.4036935251798557</v>
      </c>
    </row>
    <row r="144" spans="1:29" ht="15.75" x14ac:dyDescent="0.25">
      <c r="A144" s="16">
        <v>45261</v>
      </c>
      <c r="B144" s="10">
        <f>CHOOSE(CONTROL!$C$42, 6.8541, 6.8541) * CHOOSE(CONTROL!$C$21, $C$9, 100%, $E$9)</f>
        <v>6.8540999999999999</v>
      </c>
      <c r="C144" s="10">
        <f>CHOOSE(CONTROL!$C$42, 6.8591, 6.8591) * CHOOSE(CONTROL!$C$21, $C$9, 100%, $E$9)</f>
        <v>6.8590999999999998</v>
      </c>
      <c r="D144" s="10">
        <f>CHOOSE(CONTROL!$C$42, 6.9196, 6.9196) * CHOOSE(CONTROL!$C$21, $C$9, 100%, $E$9)</f>
        <v>6.9196</v>
      </c>
      <c r="E144" s="10">
        <f>CHOOSE(CONTROL!$C$42, 6.9534, 6.9534) * CHOOSE(CONTROL!$C$21, $C$9, 100%, $E$9)</f>
        <v>6.9534000000000002</v>
      </c>
      <c r="F144" s="10">
        <f>CHOOSE(CONTROL!$C$42, 6.8516, 6.8516)*CHOOSE(CONTROL!$C$21, $C$9, 100%, $E$9)</f>
        <v>6.8516000000000004</v>
      </c>
      <c r="G144" s="10">
        <f>CHOOSE(CONTROL!$C$42, 6.8673, 6.8673)*CHOOSE(CONTROL!$C$21, $C$9, 100%, $E$9)</f>
        <v>6.8673000000000002</v>
      </c>
      <c r="H144" s="10">
        <f>CHOOSE(CONTROL!$C$42, 6.9426, 6.9426) * CHOOSE(CONTROL!$C$21, $C$9, 100%, $E$9)</f>
        <v>6.9425999999999997</v>
      </c>
      <c r="I144" s="10">
        <f>CHOOSE(CONTROL!$C$42, 6.8666, 6.8666)* CHOOSE(CONTROL!$C$21, $C$9, 100%, $E$9)</f>
        <v>6.8666</v>
      </c>
      <c r="J144" s="10">
        <f>CHOOSE(CONTROL!$C$42, 6.8446, 6.8446)* CHOOSE(CONTROL!$C$21, $C$9, 100%, $E$9)</f>
        <v>6.8445999999999998</v>
      </c>
      <c r="K144" s="53">
        <f>CHOOSE(CONTROL!$C$42, 6.8627, 6.8627) * CHOOSE(CONTROL!$C$21, $C$9, 100%, $E$9)</f>
        <v>6.8627000000000002</v>
      </c>
      <c r="L144" s="10">
        <f>CHOOSE(CONTROL!$C$42, 7.5296, 7.5296) * CHOOSE(CONTROL!$C$21, $C$9, 100%, $E$9)</f>
        <v>7.5296000000000003</v>
      </c>
      <c r="M144" s="10">
        <f>CHOOSE(CONTROL!$C$42, 6.7893, 6.7893) * CHOOSE(CONTROL!$C$21, $C$9, 100%, $E$9)</f>
        <v>6.7892999999999999</v>
      </c>
      <c r="N144" s="10">
        <f>CHOOSE(CONTROL!$C$42, 6.8049, 6.8049) * CHOOSE(CONTROL!$C$21, $C$9, 100%, $E$9)</f>
        <v>6.8048999999999999</v>
      </c>
      <c r="O144" s="10">
        <f>CHOOSE(CONTROL!$C$42, 6.8863, 6.8863) * CHOOSE(CONTROL!$C$21, $C$9, 100%, $E$9)</f>
        <v>6.8863000000000003</v>
      </c>
      <c r="P144" s="10">
        <f>CHOOSE(CONTROL!$C$42, 6.8112, 6.8112) * CHOOSE(CONTROL!$C$21, $C$9, 100%, $E$9)</f>
        <v>6.8112000000000004</v>
      </c>
      <c r="Q144" s="10">
        <f>CHOOSE(CONTROL!$C$42, 7.4816, 7.4816) * CHOOSE(CONTROL!$C$21, $C$9, 100%, $E$9)</f>
        <v>7.4816000000000003</v>
      </c>
      <c r="R144" s="10">
        <f>CHOOSE(CONTROL!$C$42, 8.0873, 8.0873) * CHOOSE(CONTROL!$C$21, $C$9, 100%, $E$9)</f>
        <v>8.0873000000000008</v>
      </c>
      <c r="S144" s="10">
        <f>CHOOSE(CONTROL!$C$42, 6.6539, 6.6539) * CHOOSE(CONTROL!$C$21, $C$9, 100%, $E$9)</f>
        <v>6.6539000000000001</v>
      </c>
      <c r="T1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57">
        <f>(1000*CHOOSE(CONTROL!$C$42, 695, 695)*CHOOSE(CONTROL!$C$42, 0.5599, 0.5599)*CHOOSE(CONTROL!$C$42, 31, 31))/1000000</f>
        <v>12.063045499999998</v>
      </c>
      <c r="V144" s="57">
        <f>(1000*CHOOSE(CONTROL!$C$42, 500, 500)*CHOOSE(CONTROL!$C$42, 0.275, 0.275)*CHOOSE(CONTROL!$C$42, 31, 31))/1000000</f>
        <v>4.2625000000000002</v>
      </c>
      <c r="W144" s="57">
        <f>(1000*CHOOSE(CONTROL!$C$42, 0.1146, 0.1146)*CHOOSE(CONTROL!$C$42, 121.5, 121.5)*CHOOSE(CONTROL!$C$42, 31, 31))/1000000</f>
        <v>0.43164089999999994</v>
      </c>
      <c r="X144" s="57">
        <f>(31*0.1790888*100000/1000000)+(31*0.2374*100000/1000000)</f>
        <v>1.2911152800000001</v>
      </c>
      <c r="Y144" s="57"/>
      <c r="Z144" s="10"/>
      <c r="AA144" s="56"/>
      <c r="AB144" s="50">
        <f>(B144*122.58+C144*297.941+D144*89.177+E144*40.302+F144*40+G144*160+H144*0+I144*100+J144*300)/(122.58+297.941+89.177+40.302+0+40+160+100+300)</f>
        <v>6.8643128583478257</v>
      </c>
      <c r="AC144" s="45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6.8373129496402889</v>
      </c>
    </row>
    <row r="145" spans="1:29" ht="15.75" x14ac:dyDescent="0.25">
      <c r="A145" s="16">
        <v>45292</v>
      </c>
      <c r="B145" s="10">
        <f>CHOOSE(CONTROL!$C$42, 7.5713, 7.5713) * CHOOSE(CONTROL!$C$21, $C$9, 100%, $E$9)</f>
        <v>7.5712999999999999</v>
      </c>
      <c r="C145" s="10">
        <f>CHOOSE(CONTROL!$C$42, 7.5763, 7.5763) * CHOOSE(CONTROL!$C$21, $C$9, 100%, $E$9)</f>
        <v>7.5762999999999998</v>
      </c>
      <c r="D145" s="10">
        <f>CHOOSE(CONTROL!$C$42, 7.6333, 7.6333) * CHOOSE(CONTROL!$C$21, $C$9, 100%, $E$9)</f>
        <v>7.6333000000000002</v>
      </c>
      <c r="E145" s="10">
        <f>CHOOSE(CONTROL!$C$42, 7.6671, 7.6671) * CHOOSE(CONTROL!$C$21, $C$9, 100%, $E$9)</f>
        <v>7.6670999999999996</v>
      </c>
      <c r="F145" s="10">
        <f>CHOOSE(CONTROL!$C$42, 7.5691, 7.5691)*CHOOSE(CONTROL!$C$21, $C$9, 100%, $E$9)</f>
        <v>7.5690999999999997</v>
      </c>
      <c r="G145" s="10">
        <f>CHOOSE(CONTROL!$C$42, 7.5838, 7.5838)*CHOOSE(CONTROL!$C$21, $C$9, 100%, $E$9)</f>
        <v>7.5838000000000001</v>
      </c>
      <c r="H145" s="10">
        <f>CHOOSE(CONTROL!$C$42, 7.6563, 7.6563) * CHOOSE(CONTROL!$C$21, $C$9, 100%, $E$9)</f>
        <v>7.6562999999999999</v>
      </c>
      <c r="I145" s="10">
        <f>CHOOSE(CONTROL!$C$42, 7.5821, 7.5821)* CHOOSE(CONTROL!$C$21, $C$9, 100%, $E$9)</f>
        <v>7.5820999999999996</v>
      </c>
      <c r="J145" s="10">
        <f>CHOOSE(CONTROL!$C$42, 7.5621, 7.5621)* CHOOSE(CONTROL!$C$21, $C$9, 100%, $E$9)</f>
        <v>7.5621</v>
      </c>
      <c r="K145" s="53">
        <f>CHOOSE(CONTROL!$C$42, 7.5782, 7.5782) * CHOOSE(CONTROL!$C$21, $C$9, 100%, $E$9)</f>
        <v>7.5781999999999998</v>
      </c>
      <c r="L145" s="10">
        <f>CHOOSE(CONTROL!$C$42, 8.2433, 8.2433) * CHOOSE(CONTROL!$C$21, $C$9, 100%, $E$9)</f>
        <v>8.2432999999999996</v>
      </c>
      <c r="M145" s="10">
        <f>CHOOSE(CONTROL!$C$42, 7.4997, 7.4997) * CHOOSE(CONTROL!$C$21, $C$9, 100%, $E$9)</f>
        <v>7.4996999999999998</v>
      </c>
      <c r="N145" s="10">
        <f>CHOOSE(CONTROL!$C$42, 7.5141, 7.5141) * CHOOSE(CONTROL!$C$21, $C$9, 100%, $E$9)</f>
        <v>7.5141</v>
      </c>
      <c r="O145" s="10">
        <f>CHOOSE(CONTROL!$C$42, 7.5929, 7.5929) * CHOOSE(CONTROL!$C$21, $C$9, 100%, $E$9)</f>
        <v>7.5929000000000002</v>
      </c>
      <c r="P145" s="10">
        <f>CHOOSE(CONTROL!$C$42, 7.5195, 7.5195) * CHOOSE(CONTROL!$C$21, $C$9, 100%, $E$9)</f>
        <v>7.5194999999999999</v>
      </c>
      <c r="Q145" s="10">
        <f>CHOOSE(CONTROL!$C$42, 8.1882, 8.1882) * CHOOSE(CONTROL!$C$21, $C$9, 100%, $E$9)</f>
        <v>8.1882000000000001</v>
      </c>
      <c r="R145" s="10">
        <f>CHOOSE(CONTROL!$C$42, 8.7956, 8.7956) * CHOOSE(CONTROL!$C$21, $C$9, 100%, $E$9)</f>
        <v>8.7956000000000003</v>
      </c>
      <c r="S145" s="10">
        <f>CHOOSE(CONTROL!$C$42, 7.3504, 7.3504) * CHOOSE(CONTROL!$C$21, $C$9, 100%, $E$9)</f>
        <v>7.3503999999999996</v>
      </c>
      <c r="T1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57">
        <f>(1000*CHOOSE(CONTROL!$C$42, 695, 695)*CHOOSE(CONTROL!$C$42, 0.5599, 0.5599)*CHOOSE(CONTROL!$C$42, 31, 31))/1000000</f>
        <v>12.063045499999998</v>
      </c>
      <c r="V145" s="57">
        <f>(1000*CHOOSE(CONTROL!$C$42, 500, 500)*CHOOSE(CONTROL!$C$42, 0.275, 0.275)*CHOOSE(CONTROL!$C$42, 31, 31))/1000000</f>
        <v>4.2625000000000002</v>
      </c>
      <c r="W145" s="57">
        <f>(1000*CHOOSE(CONTROL!$C$42, 0.1146, 0.1146)*CHOOSE(CONTROL!$C$42, 121.5, 121.5)*CHOOSE(CONTROL!$C$42, 31, 31))/1000000</f>
        <v>0.43164089999999994</v>
      </c>
      <c r="X145" s="57">
        <f>(31*0.1790888*100000/1000000)+(31*0.2374*100000/1000000)</f>
        <v>1.2911152800000001</v>
      </c>
      <c r="Y145" s="57"/>
      <c r="Z145" s="10"/>
      <c r="AA145" s="56"/>
      <c r="AB145" s="50">
        <f>(B145*122.58+C145*297.941+D145*89.177+E145*40.302+F145*40+G145*160+H145*0+I145*100+J145*300)/(122.58+297.941+89.177+40.302+0+40+160+100+300)</f>
        <v>7.5809622700869568</v>
      </c>
      <c r="AC145" s="45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7.5456194244604307</v>
      </c>
    </row>
    <row r="146" spans="1:29" ht="15.75" x14ac:dyDescent="0.25">
      <c r="A146" s="16">
        <v>45323</v>
      </c>
      <c r="B146" s="10">
        <f>CHOOSE(CONTROL!$C$42, 7.706, 7.706) * CHOOSE(CONTROL!$C$21, $C$9, 100%, $E$9)</f>
        <v>7.7060000000000004</v>
      </c>
      <c r="C146" s="10">
        <f>CHOOSE(CONTROL!$C$42, 7.711, 7.711) * CHOOSE(CONTROL!$C$21, $C$9, 100%, $E$9)</f>
        <v>7.7110000000000003</v>
      </c>
      <c r="D146" s="10">
        <f>CHOOSE(CONTROL!$C$42, 7.7681, 7.7681) * CHOOSE(CONTROL!$C$21, $C$9, 100%, $E$9)</f>
        <v>7.7680999999999996</v>
      </c>
      <c r="E146" s="10">
        <f>CHOOSE(CONTROL!$C$42, 7.8018, 7.8018) * CHOOSE(CONTROL!$C$21, $C$9, 100%, $E$9)</f>
        <v>7.8018000000000001</v>
      </c>
      <c r="F146" s="10">
        <f>CHOOSE(CONTROL!$C$42, 7.704, 7.704)*CHOOSE(CONTROL!$C$21, $C$9, 100%, $E$9)</f>
        <v>7.7039999999999997</v>
      </c>
      <c r="G146" s="10">
        <f>CHOOSE(CONTROL!$C$42, 7.7186, 7.7186)*CHOOSE(CONTROL!$C$21, $C$9, 100%, $E$9)</f>
        <v>7.7186000000000003</v>
      </c>
      <c r="H146" s="10">
        <f>CHOOSE(CONTROL!$C$42, 7.791, 7.791) * CHOOSE(CONTROL!$C$21, $C$9, 100%, $E$9)</f>
        <v>7.7910000000000004</v>
      </c>
      <c r="I146" s="10">
        <f>CHOOSE(CONTROL!$C$42, 7.7168, 7.7168)* CHOOSE(CONTROL!$C$21, $C$9, 100%, $E$9)</f>
        <v>7.7168000000000001</v>
      </c>
      <c r="J146" s="10">
        <f>CHOOSE(CONTROL!$C$42, 7.697, 7.697)* CHOOSE(CONTROL!$C$21, $C$9, 100%, $E$9)</f>
        <v>7.6970000000000001</v>
      </c>
      <c r="K146" s="53">
        <f>CHOOSE(CONTROL!$C$42, 7.713, 7.713) * CHOOSE(CONTROL!$C$21, $C$9, 100%, $E$9)</f>
        <v>7.7130000000000001</v>
      </c>
      <c r="L146" s="10">
        <f>CHOOSE(CONTROL!$C$42, 8.378, 8.378) * CHOOSE(CONTROL!$C$21, $C$9, 100%, $E$9)</f>
        <v>8.3780000000000001</v>
      </c>
      <c r="M146" s="10">
        <f>CHOOSE(CONTROL!$C$42, 7.6331, 7.6331) * CHOOSE(CONTROL!$C$21, $C$9, 100%, $E$9)</f>
        <v>7.6330999999999998</v>
      </c>
      <c r="N146" s="10">
        <f>CHOOSE(CONTROL!$C$42, 7.6476, 7.6476) * CHOOSE(CONTROL!$C$21, $C$9, 100%, $E$9)</f>
        <v>7.6475999999999997</v>
      </c>
      <c r="O146" s="10">
        <f>CHOOSE(CONTROL!$C$42, 7.7262, 7.7262) * CHOOSE(CONTROL!$C$21, $C$9, 100%, $E$9)</f>
        <v>7.7262000000000004</v>
      </c>
      <c r="P146" s="10">
        <f>CHOOSE(CONTROL!$C$42, 7.6528, 7.6528) * CHOOSE(CONTROL!$C$21, $C$9, 100%, $E$9)</f>
        <v>7.6528</v>
      </c>
      <c r="Q146" s="10">
        <f>CHOOSE(CONTROL!$C$42, 8.3215, 8.3215) * CHOOSE(CONTROL!$C$21, $C$9, 100%, $E$9)</f>
        <v>8.3215000000000003</v>
      </c>
      <c r="R146" s="10">
        <f>CHOOSE(CONTROL!$C$42, 8.9293, 8.9293) * CHOOSE(CONTROL!$C$21, $C$9, 100%, $E$9)</f>
        <v>8.9292999999999996</v>
      </c>
      <c r="S146" s="10">
        <f>CHOOSE(CONTROL!$C$42, 7.4812, 7.4812) * CHOOSE(CONTROL!$C$21, $C$9, 100%, $E$9)</f>
        <v>7.4812000000000003</v>
      </c>
      <c r="T14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46" s="57">
        <f>(1000*CHOOSE(CONTROL!$C$42, 695, 695)*CHOOSE(CONTROL!$C$42, 0.5599, 0.5599)*CHOOSE(CONTROL!$C$42, 29, 29))/1000000</f>
        <v>11.284784499999999</v>
      </c>
      <c r="V146" s="57">
        <f>(1000*CHOOSE(CONTROL!$C$42, 500, 500)*CHOOSE(CONTROL!$C$42, 0.275, 0.275)*CHOOSE(CONTROL!$C$42, 29, 29))/1000000</f>
        <v>3.9874999999999998</v>
      </c>
      <c r="W146" s="57">
        <f>(1000*CHOOSE(CONTROL!$C$42, 0.1146, 0.1146)*CHOOSE(CONTROL!$C$42, 121.5, 121.5)*CHOOSE(CONTROL!$C$42, 29, 29))/1000000</f>
        <v>0.40379309999999996</v>
      </c>
      <c r="X146" s="57">
        <f>(29*0.1790888*100000/1000000)+(29*0.2374*100000/1000000)</f>
        <v>1.2078175199999999</v>
      </c>
      <c r="Y146" s="57"/>
      <c r="Z146" s="10"/>
      <c r="AA146" s="56"/>
      <c r="AB146" s="50">
        <f>(B146*122.58+C146*297.941+D146*89.177+E146*40.302+F146*40+G146*160+H146*0+I146*100+J146*300)/(122.58+297.941+89.177+40.302+0+40+160+100+300)</f>
        <v>7.7157430680869572</v>
      </c>
      <c r="AC146" s="45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7.6789654676258996</v>
      </c>
    </row>
    <row r="147" spans="1:29" ht="15.75" x14ac:dyDescent="0.25">
      <c r="A147" s="16">
        <v>45352</v>
      </c>
      <c r="B147" s="10">
        <f>CHOOSE(CONTROL!$C$42, 7.4874, 7.4874) * CHOOSE(CONTROL!$C$21, $C$9, 100%, $E$9)</f>
        <v>7.4874000000000001</v>
      </c>
      <c r="C147" s="10">
        <f>CHOOSE(CONTROL!$C$42, 7.4923, 7.4923) * CHOOSE(CONTROL!$C$21, $C$9, 100%, $E$9)</f>
        <v>7.4923000000000002</v>
      </c>
      <c r="D147" s="10">
        <f>CHOOSE(CONTROL!$C$42, 7.5494, 7.5494) * CHOOSE(CONTROL!$C$21, $C$9, 100%, $E$9)</f>
        <v>7.5494000000000003</v>
      </c>
      <c r="E147" s="10">
        <f>CHOOSE(CONTROL!$C$42, 7.5832, 7.5832) * CHOOSE(CONTROL!$C$21, $C$9, 100%, $E$9)</f>
        <v>7.5831999999999997</v>
      </c>
      <c r="F147" s="10">
        <f>CHOOSE(CONTROL!$C$42, 7.4852, 7.4852)*CHOOSE(CONTROL!$C$21, $C$9, 100%, $E$9)</f>
        <v>7.4851999999999999</v>
      </c>
      <c r="G147" s="10">
        <f>CHOOSE(CONTROL!$C$42, 7.4998, 7.4998)*CHOOSE(CONTROL!$C$21, $C$9, 100%, $E$9)</f>
        <v>7.4997999999999996</v>
      </c>
      <c r="H147" s="10">
        <f>CHOOSE(CONTROL!$C$42, 7.5723, 7.5723) * CHOOSE(CONTROL!$C$21, $C$9, 100%, $E$9)</f>
        <v>7.5723000000000003</v>
      </c>
      <c r="I147" s="10">
        <f>CHOOSE(CONTROL!$C$42, 7.4981, 7.4981)* CHOOSE(CONTROL!$C$21, $C$9, 100%, $E$9)</f>
        <v>7.4981</v>
      </c>
      <c r="J147" s="10">
        <f>CHOOSE(CONTROL!$C$42, 7.4782, 7.4782)* CHOOSE(CONTROL!$C$21, $C$9, 100%, $E$9)</f>
        <v>7.4782000000000002</v>
      </c>
      <c r="K147" s="53">
        <f>CHOOSE(CONTROL!$C$42, 7.4943, 7.4943) * CHOOSE(CONTROL!$C$21, $C$9, 100%, $E$9)</f>
        <v>7.4943</v>
      </c>
      <c r="L147" s="10">
        <f>CHOOSE(CONTROL!$C$42, 8.1593, 8.1593) * CHOOSE(CONTROL!$C$21, $C$9, 100%, $E$9)</f>
        <v>8.1593</v>
      </c>
      <c r="M147" s="10">
        <f>CHOOSE(CONTROL!$C$42, 7.4165, 7.4165) * CHOOSE(CONTROL!$C$21, $C$9, 100%, $E$9)</f>
        <v>7.4165000000000001</v>
      </c>
      <c r="N147" s="10">
        <f>CHOOSE(CONTROL!$C$42, 7.431, 7.431) * CHOOSE(CONTROL!$C$21, $C$9, 100%, $E$9)</f>
        <v>7.431</v>
      </c>
      <c r="O147" s="10">
        <f>CHOOSE(CONTROL!$C$42, 7.5098, 7.5098) * CHOOSE(CONTROL!$C$21, $C$9, 100%, $E$9)</f>
        <v>7.5098000000000003</v>
      </c>
      <c r="P147" s="10">
        <f>CHOOSE(CONTROL!$C$42, 7.4363, 7.4363) * CHOOSE(CONTROL!$C$21, $C$9, 100%, $E$9)</f>
        <v>7.4363000000000001</v>
      </c>
      <c r="Q147" s="10">
        <f>CHOOSE(CONTROL!$C$42, 8.1051, 8.1051) * CHOOSE(CONTROL!$C$21, $C$9, 100%, $E$9)</f>
        <v>8.1051000000000002</v>
      </c>
      <c r="R147" s="10">
        <f>CHOOSE(CONTROL!$C$42, 8.7123, 8.7123) * CHOOSE(CONTROL!$C$21, $C$9, 100%, $E$9)</f>
        <v>8.7123000000000008</v>
      </c>
      <c r="S147" s="10">
        <f>CHOOSE(CONTROL!$C$42, 7.2688, 7.2688) * CHOOSE(CONTROL!$C$21, $C$9, 100%, $E$9)</f>
        <v>7.2687999999999997</v>
      </c>
      <c r="T1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57">
        <f>(1000*CHOOSE(CONTROL!$C$42, 695, 695)*CHOOSE(CONTROL!$C$42, 0.5599, 0.5599)*CHOOSE(CONTROL!$C$42, 31, 31))/1000000</f>
        <v>12.063045499999998</v>
      </c>
      <c r="V147" s="57">
        <f>(1000*CHOOSE(CONTROL!$C$42, 500, 500)*CHOOSE(CONTROL!$C$42, 0.275, 0.275)*CHOOSE(CONTROL!$C$42, 31, 31))/1000000</f>
        <v>4.2625000000000002</v>
      </c>
      <c r="W147" s="57">
        <f>(1000*CHOOSE(CONTROL!$C$42, 0.1146, 0.1146)*CHOOSE(CONTROL!$C$42, 121.5, 121.5)*CHOOSE(CONTROL!$C$42, 31, 31))/1000000</f>
        <v>0.43164089999999994</v>
      </c>
      <c r="X147" s="57">
        <f>(31*0.1790888*100000/1000000)+(31*0.2374*100000/1000000)</f>
        <v>1.2911152800000001</v>
      </c>
      <c r="Y147" s="57"/>
      <c r="Z147" s="10"/>
      <c r="AA147" s="56"/>
      <c r="AB147" s="50">
        <f>(B147*122.58+C147*297.941+D147*89.177+E147*40.302+F147*40+G147*160+H147*0+I147*100+J147*300)/(122.58+297.941+89.177+40.302+0+40+160+100+300)</f>
        <v>7.4970137534782593</v>
      </c>
      <c r="AC147" s="45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7.4624705035971228</v>
      </c>
    </row>
    <row r="148" spans="1:29" ht="15.75" x14ac:dyDescent="0.25">
      <c r="A148" s="16">
        <v>45383</v>
      </c>
      <c r="B148" s="10">
        <f>CHOOSE(CONTROL!$C$42, 7.4661, 7.4661) * CHOOSE(CONTROL!$C$21, $C$9, 100%, $E$9)</f>
        <v>7.4661</v>
      </c>
      <c r="C148" s="10">
        <f>CHOOSE(CONTROL!$C$42, 7.4705, 7.4705) * CHOOSE(CONTROL!$C$21, $C$9, 100%, $E$9)</f>
        <v>7.4705000000000004</v>
      </c>
      <c r="D148" s="10">
        <f>CHOOSE(CONTROL!$C$42, 7.6764, 7.6764) * CHOOSE(CONTROL!$C$21, $C$9, 100%, $E$9)</f>
        <v>7.6764000000000001</v>
      </c>
      <c r="E148" s="10">
        <f>CHOOSE(CONTROL!$C$42, 7.7081, 7.7081) * CHOOSE(CONTROL!$C$21, $C$9, 100%, $E$9)</f>
        <v>7.7081</v>
      </c>
      <c r="F148" s="10">
        <f>CHOOSE(CONTROL!$C$42, 7.4429, 7.4429)*CHOOSE(CONTROL!$C$21, $C$9, 100%, $E$9)</f>
        <v>7.4428999999999998</v>
      </c>
      <c r="G148" s="10">
        <f>CHOOSE(CONTROL!$C$42, 7.4574, 7.4574)*CHOOSE(CONTROL!$C$21, $C$9, 100%, $E$9)</f>
        <v>7.4573999999999998</v>
      </c>
      <c r="H148" s="10">
        <f>CHOOSE(CONTROL!$C$42, 7.6979, 7.6979) * CHOOSE(CONTROL!$C$21, $C$9, 100%, $E$9)</f>
        <v>7.6978999999999997</v>
      </c>
      <c r="I148" s="10">
        <f>CHOOSE(CONTROL!$C$42, 7.4675, 7.4675)* CHOOSE(CONTROL!$C$21, $C$9, 100%, $E$9)</f>
        <v>7.4675000000000002</v>
      </c>
      <c r="J148" s="10">
        <f>CHOOSE(CONTROL!$C$42, 7.4359, 7.4359)* CHOOSE(CONTROL!$C$21, $C$9, 100%, $E$9)</f>
        <v>7.4359000000000002</v>
      </c>
      <c r="K148" s="53">
        <f>CHOOSE(CONTROL!$C$42, 7.4637, 7.4637) * CHOOSE(CONTROL!$C$21, $C$9, 100%, $E$9)</f>
        <v>7.4637000000000002</v>
      </c>
      <c r="L148" s="10">
        <f>CHOOSE(CONTROL!$C$42, 8.2849, 8.2849) * CHOOSE(CONTROL!$C$21, $C$9, 100%, $E$9)</f>
        <v>8.2849000000000004</v>
      </c>
      <c r="M148" s="10">
        <f>CHOOSE(CONTROL!$C$42, 7.3747, 7.3747) * CHOOSE(CONTROL!$C$21, $C$9, 100%, $E$9)</f>
        <v>7.3746999999999998</v>
      </c>
      <c r="N148" s="10">
        <f>CHOOSE(CONTROL!$C$42, 7.389, 7.389) * CHOOSE(CONTROL!$C$21, $C$9, 100%, $E$9)</f>
        <v>7.3890000000000002</v>
      </c>
      <c r="O148" s="10">
        <f>CHOOSE(CONTROL!$C$42, 7.6341, 7.6341) * CHOOSE(CONTROL!$C$21, $C$9, 100%, $E$9)</f>
        <v>7.6341000000000001</v>
      </c>
      <c r="P148" s="10">
        <f>CHOOSE(CONTROL!$C$42, 7.4061, 7.4061) * CHOOSE(CONTROL!$C$21, $C$9, 100%, $E$9)</f>
        <v>7.4061000000000003</v>
      </c>
      <c r="Q148" s="10">
        <f>CHOOSE(CONTROL!$C$42, 8.2294, 8.2294) * CHOOSE(CONTROL!$C$21, $C$9, 100%, $E$9)</f>
        <v>8.2294</v>
      </c>
      <c r="R148" s="10">
        <f>CHOOSE(CONTROL!$C$42, 8.8369, 8.8369) * CHOOSE(CONTROL!$C$21, $C$9, 100%, $E$9)</f>
        <v>8.8369</v>
      </c>
      <c r="S148" s="10">
        <f>CHOOSE(CONTROL!$C$42, 7.2474, 7.2474) * CHOOSE(CONTROL!$C$21, $C$9, 100%, $E$9)</f>
        <v>7.2473999999999998</v>
      </c>
      <c r="T1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57">
        <f>(1000*CHOOSE(CONTROL!$C$42, 695, 695)*CHOOSE(CONTROL!$C$42, 0.5599, 0.5599)*CHOOSE(CONTROL!$C$42, 30, 30))/1000000</f>
        <v>11.673914999999997</v>
      </c>
      <c r="V148" s="57">
        <f>(1000*CHOOSE(CONTROL!$C$42, 500, 500)*CHOOSE(CONTROL!$C$42, 0.275, 0.275)*CHOOSE(CONTROL!$C$42, 30, 30))/1000000</f>
        <v>4.125</v>
      </c>
      <c r="W148" s="57">
        <f>(1000*CHOOSE(CONTROL!$C$42, 0.1146, 0.1146)*CHOOSE(CONTROL!$C$42, 121.5, 121.5)*CHOOSE(CONTROL!$C$42, 30, 30))/1000000</f>
        <v>0.417717</v>
      </c>
      <c r="X148" s="57">
        <f>(30*0.1790888*245000/1000000)+(30*0.2374*100000/1000000)</f>
        <v>2.0285026799999999</v>
      </c>
      <c r="Y148" s="57"/>
      <c r="Z148" s="10"/>
      <c r="AA148" s="56"/>
      <c r="AB148" s="50">
        <f>(B148*141.293+C148*267.993+D148*115.016+E148*89.698+F148*40+G148*185+H148*0+I148*100+J148*300)/(141.293+267.993+115.016+89.698+0+40+185+100+300)</f>
        <v>7.4948461259079906</v>
      </c>
      <c r="AC148" s="45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7.4552913669064731</v>
      </c>
    </row>
    <row r="149" spans="1:29" ht="15.75" x14ac:dyDescent="0.25">
      <c r="A149" s="16">
        <v>45413</v>
      </c>
      <c r="B149" s="10">
        <f>CHOOSE(CONTROL!$C$42, 7.5334, 7.5334) * CHOOSE(CONTROL!$C$21, $C$9, 100%, $E$9)</f>
        <v>7.5334000000000003</v>
      </c>
      <c r="C149" s="10">
        <f>CHOOSE(CONTROL!$C$42, 7.5413, 7.5413) * CHOOSE(CONTROL!$C$21, $C$9, 100%, $E$9)</f>
        <v>7.5412999999999997</v>
      </c>
      <c r="D149" s="10">
        <f>CHOOSE(CONTROL!$C$42, 7.744, 7.744) * CHOOSE(CONTROL!$C$21, $C$9, 100%, $E$9)</f>
        <v>7.7439999999999998</v>
      </c>
      <c r="E149" s="10">
        <f>CHOOSE(CONTROL!$C$42, 7.7752, 7.7752) * CHOOSE(CONTROL!$C$21, $C$9, 100%, $E$9)</f>
        <v>7.7751999999999999</v>
      </c>
      <c r="F149" s="10">
        <f>CHOOSE(CONTROL!$C$42, 7.5091, 7.5091)*CHOOSE(CONTROL!$C$21, $C$9, 100%, $E$9)</f>
        <v>7.5091000000000001</v>
      </c>
      <c r="G149" s="10">
        <f>CHOOSE(CONTROL!$C$42, 7.5241, 7.5241)*CHOOSE(CONTROL!$C$21, $C$9, 100%, $E$9)</f>
        <v>7.5240999999999998</v>
      </c>
      <c r="H149" s="10">
        <f>CHOOSE(CONTROL!$C$42, 7.7638, 7.7638) * CHOOSE(CONTROL!$C$21, $C$9, 100%, $E$9)</f>
        <v>7.7637999999999998</v>
      </c>
      <c r="I149" s="10">
        <f>CHOOSE(CONTROL!$C$42, 7.5334, 7.5334)* CHOOSE(CONTROL!$C$21, $C$9, 100%, $E$9)</f>
        <v>7.5334000000000003</v>
      </c>
      <c r="J149" s="10">
        <f>CHOOSE(CONTROL!$C$42, 7.5021, 7.5021)* CHOOSE(CONTROL!$C$21, $C$9, 100%, $E$9)</f>
        <v>7.5021000000000004</v>
      </c>
      <c r="K149" s="53">
        <f>CHOOSE(CONTROL!$C$42, 7.5295, 7.5295) * CHOOSE(CONTROL!$C$21, $C$9, 100%, $E$9)</f>
        <v>7.5294999999999996</v>
      </c>
      <c r="L149" s="10">
        <f>CHOOSE(CONTROL!$C$42, 8.3508, 8.3508) * CHOOSE(CONTROL!$C$21, $C$9, 100%, $E$9)</f>
        <v>8.3507999999999996</v>
      </c>
      <c r="M149" s="10">
        <f>CHOOSE(CONTROL!$C$42, 7.4402, 7.4402) * CHOOSE(CONTROL!$C$21, $C$9, 100%, $E$9)</f>
        <v>7.4401999999999999</v>
      </c>
      <c r="N149" s="10">
        <f>CHOOSE(CONTROL!$C$42, 7.4551, 7.4551) * CHOOSE(CONTROL!$C$21, $C$9, 100%, $E$9)</f>
        <v>7.4550999999999998</v>
      </c>
      <c r="O149" s="10">
        <f>CHOOSE(CONTROL!$C$42, 7.6993, 7.6993) * CHOOSE(CONTROL!$C$21, $C$9, 100%, $E$9)</f>
        <v>7.6993</v>
      </c>
      <c r="P149" s="10">
        <f>CHOOSE(CONTROL!$C$42, 7.4712, 7.4712) * CHOOSE(CONTROL!$C$21, $C$9, 100%, $E$9)</f>
        <v>7.4711999999999996</v>
      </c>
      <c r="Q149" s="10">
        <f>CHOOSE(CONTROL!$C$42, 8.2946, 8.2946) * CHOOSE(CONTROL!$C$21, $C$9, 100%, $E$9)</f>
        <v>8.2946000000000009</v>
      </c>
      <c r="R149" s="10">
        <f>CHOOSE(CONTROL!$C$42, 8.9023, 8.9023) * CHOOSE(CONTROL!$C$21, $C$9, 100%, $E$9)</f>
        <v>8.9023000000000003</v>
      </c>
      <c r="S149" s="10">
        <f>CHOOSE(CONTROL!$C$42, 7.3114, 7.3114) * CHOOSE(CONTROL!$C$21, $C$9, 100%, $E$9)</f>
        <v>7.3113999999999999</v>
      </c>
      <c r="T1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57">
        <f>(1000*CHOOSE(CONTROL!$C$42, 695, 695)*CHOOSE(CONTROL!$C$42, 0.5599, 0.5599)*CHOOSE(CONTROL!$C$42, 31, 31))/1000000</f>
        <v>12.063045499999998</v>
      </c>
      <c r="V149" s="57">
        <f>(1000*CHOOSE(CONTROL!$C$42, 500, 500)*CHOOSE(CONTROL!$C$42, 0.275, 0.275)*CHOOSE(CONTROL!$C$42, 31, 31))/1000000</f>
        <v>4.2625000000000002</v>
      </c>
      <c r="W149" s="57">
        <f>(1000*CHOOSE(CONTROL!$C$42, 0.1146, 0.1146)*CHOOSE(CONTROL!$C$42, 121.5, 121.5)*CHOOSE(CONTROL!$C$42, 31, 31))/1000000</f>
        <v>0.43164089999999994</v>
      </c>
      <c r="X149" s="57">
        <f>(31*0.1790888*245000/1000000)+(31*0.2374*100000/1000000)</f>
        <v>2.0961194359999999</v>
      </c>
      <c r="Y149" s="57"/>
      <c r="Z149" s="10"/>
      <c r="AA149" s="56"/>
      <c r="AB149" s="50">
        <f>(B149*194.205+C149*267.466+D149*133.845+E149*53.484+F149*40+G149*185+H149*0+I149*100+J149*300)/(194.205+267.466+133.845+53.484+0+40+185+100+300)</f>
        <v>7.5578510750392471</v>
      </c>
      <c r="AC149" s="45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7.5207877697841719</v>
      </c>
    </row>
    <row r="150" spans="1:29" ht="15.75" x14ac:dyDescent="0.25">
      <c r="A150" s="16">
        <v>45444</v>
      </c>
      <c r="B150" s="10">
        <f>CHOOSE(CONTROL!$C$42, 7.7469, 7.7469) * CHOOSE(CONTROL!$C$21, $C$9, 100%, $E$9)</f>
        <v>7.7469000000000001</v>
      </c>
      <c r="C150" s="10">
        <f>CHOOSE(CONTROL!$C$42, 7.7548, 7.7548) * CHOOSE(CONTROL!$C$21, $C$9, 100%, $E$9)</f>
        <v>7.7548000000000004</v>
      </c>
      <c r="D150" s="10">
        <f>CHOOSE(CONTROL!$C$42, 7.9576, 7.9576) * CHOOSE(CONTROL!$C$21, $C$9, 100%, $E$9)</f>
        <v>7.9576000000000002</v>
      </c>
      <c r="E150" s="10">
        <f>CHOOSE(CONTROL!$C$42, 7.9887, 7.9887) * CHOOSE(CONTROL!$C$21, $C$9, 100%, $E$9)</f>
        <v>7.9886999999999997</v>
      </c>
      <c r="F150" s="10">
        <f>CHOOSE(CONTROL!$C$42, 7.7231, 7.7231)*CHOOSE(CONTROL!$C$21, $C$9, 100%, $E$9)</f>
        <v>7.7230999999999996</v>
      </c>
      <c r="G150" s="10">
        <f>CHOOSE(CONTROL!$C$42, 7.7383, 7.7383)*CHOOSE(CONTROL!$C$21, $C$9, 100%, $E$9)</f>
        <v>7.7382999999999997</v>
      </c>
      <c r="H150" s="10">
        <f>CHOOSE(CONTROL!$C$42, 7.9773, 7.9773) * CHOOSE(CONTROL!$C$21, $C$9, 100%, $E$9)</f>
        <v>7.9772999999999996</v>
      </c>
      <c r="I150" s="10">
        <f>CHOOSE(CONTROL!$C$42, 7.7469, 7.7469)* CHOOSE(CONTROL!$C$21, $C$9, 100%, $E$9)</f>
        <v>7.7469000000000001</v>
      </c>
      <c r="J150" s="10">
        <f>CHOOSE(CONTROL!$C$42, 7.7161, 7.7161)* CHOOSE(CONTROL!$C$21, $C$9, 100%, $E$9)</f>
        <v>7.7161</v>
      </c>
      <c r="K150" s="53">
        <f>CHOOSE(CONTROL!$C$42, 7.7431, 7.7431) * CHOOSE(CONTROL!$C$21, $C$9, 100%, $E$9)</f>
        <v>7.7431000000000001</v>
      </c>
      <c r="L150" s="10">
        <f>CHOOSE(CONTROL!$C$42, 8.5643, 8.5643) * CHOOSE(CONTROL!$C$21, $C$9, 100%, $E$9)</f>
        <v>8.5642999999999994</v>
      </c>
      <c r="M150" s="10">
        <f>CHOOSE(CONTROL!$C$42, 7.6521, 7.6521) * CHOOSE(CONTROL!$C$21, $C$9, 100%, $E$9)</f>
        <v>7.6520999999999999</v>
      </c>
      <c r="N150" s="10">
        <f>CHOOSE(CONTROL!$C$42, 7.6671, 7.6671) * CHOOSE(CONTROL!$C$21, $C$9, 100%, $E$9)</f>
        <v>7.6670999999999996</v>
      </c>
      <c r="O150" s="10">
        <f>CHOOSE(CONTROL!$C$42, 7.9106, 7.9106) * CHOOSE(CONTROL!$C$21, $C$9, 100%, $E$9)</f>
        <v>7.9105999999999996</v>
      </c>
      <c r="P150" s="10">
        <f>CHOOSE(CONTROL!$C$42, 7.6826, 7.6826) * CHOOSE(CONTROL!$C$21, $C$9, 100%, $E$9)</f>
        <v>7.6825999999999999</v>
      </c>
      <c r="Q150" s="10">
        <f>CHOOSE(CONTROL!$C$42, 8.5059, 8.5059) * CHOOSE(CONTROL!$C$21, $C$9, 100%, $E$9)</f>
        <v>8.5059000000000005</v>
      </c>
      <c r="R150" s="10">
        <f>CHOOSE(CONTROL!$C$42, 9.1142, 9.1142) * CHOOSE(CONTROL!$C$21, $C$9, 100%, $E$9)</f>
        <v>9.1142000000000003</v>
      </c>
      <c r="S150" s="10">
        <f>CHOOSE(CONTROL!$C$42, 7.5188, 7.5188) * CHOOSE(CONTROL!$C$21, $C$9, 100%, $E$9)</f>
        <v>7.5187999999999997</v>
      </c>
      <c r="T1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57">
        <f>(1000*CHOOSE(CONTROL!$C$42, 695, 695)*CHOOSE(CONTROL!$C$42, 0.5599, 0.5599)*CHOOSE(CONTROL!$C$42, 30, 30))/1000000</f>
        <v>11.673914999999997</v>
      </c>
      <c r="V150" s="57">
        <f>(1000*CHOOSE(CONTROL!$C$42, 500, 500)*CHOOSE(CONTROL!$C$42, 0.275, 0.275)*CHOOSE(CONTROL!$C$42, 30, 30))/1000000</f>
        <v>4.125</v>
      </c>
      <c r="W150" s="57">
        <f>(1000*CHOOSE(CONTROL!$C$42, 0.1146, 0.1146)*CHOOSE(CONTROL!$C$42, 121.5, 121.5)*CHOOSE(CONTROL!$C$42, 30, 30))/1000000</f>
        <v>0.417717</v>
      </c>
      <c r="X150" s="57">
        <f>(30*0.1790888*245000/1000000)+(30*0.2374*100000/1000000)</f>
        <v>2.0285026799999999</v>
      </c>
      <c r="Y150" s="57"/>
      <c r="Z150" s="10"/>
      <c r="AA150" s="56"/>
      <c r="AB150" s="50">
        <f>(B150*194.205+C150*267.466+D150*133.845+E150*53.484+F150*40+G150*185+H150*0+I150*100+J150*300)/(194.205+267.466+133.845+53.484+0+40+185+100+300)</f>
        <v>7.7715966672684456</v>
      </c>
      <c r="AC150" s="45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7.7324705035971224</v>
      </c>
    </row>
    <row r="151" spans="1:29" ht="15.75" x14ac:dyDescent="0.25">
      <c r="A151" s="16">
        <v>45474</v>
      </c>
      <c r="B151" s="10">
        <f>CHOOSE(CONTROL!$C$42, 7.5984, 7.5984) * CHOOSE(CONTROL!$C$21, $C$9, 100%, $E$9)</f>
        <v>7.5983999999999998</v>
      </c>
      <c r="C151" s="10">
        <f>CHOOSE(CONTROL!$C$42, 7.6063, 7.6063) * CHOOSE(CONTROL!$C$21, $C$9, 100%, $E$9)</f>
        <v>7.6063000000000001</v>
      </c>
      <c r="D151" s="10">
        <f>CHOOSE(CONTROL!$C$42, 7.809, 7.809) * CHOOSE(CONTROL!$C$21, $C$9, 100%, $E$9)</f>
        <v>7.8090000000000002</v>
      </c>
      <c r="E151" s="10">
        <f>CHOOSE(CONTROL!$C$42, 7.8402, 7.8402) * CHOOSE(CONTROL!$C$21, $C$9, 100%, $E$9)</f>
        <v>7.8402000000000003</v>
      </c>
      <c r="F151" s="10">
        <f>CHOOSE(CONTROL!$C$42, 7.5751, 7.5751)*CHOOSE(CONTROL!$C$21, $C$9, 100%, $E$9)</f>
        <v>7.5750999999999999</v>
      </c>
      <c r="G151" s="10">
        <f>CHOOSE(CONTROL!$C$42, 7.5904, 7.5904)*CHOOSE(CONTROL!$C$21, $C$9, 100%, $E$9)</f>
        <v>7.5903999999999998</v>
      </c>
      <c r="H151" s="10">
        <f>CHOOSE(CONTROL!$C$42, 7.8288, 7.8288) * CHOOSE(CONTROL!$C$21, $C$9, 100%, $E$9)</f>
        <v>7.8288000000000002</v>
      </c>
      <c r="I151" s="10">
        <f>CHOOSE(CONTROL!$C$42, 7.5984, 7.5984)* CHOOSE(CONTROL!$C$21, $C$9, 100%, $E$9)</f>
        <v>7.5983999999999998</v>
      </c>
      <c r="J151" s="10">
        <f>CHOOSE(CONTROL!$C$42, 7.5681, 7.5681)* CHOOSE(CONTROL!$C$21, $C$9, 100%, $E$9)</f>
        <v>7.5681000000000003</v>
      </c>
      <c r="K151" s="53">
        <f>CHOOSE(CONTROL!$C$42, 7.5945, 7.5945) * CHOOSE(CONTROL!$C$21, $C$9, 100%, $E$9)</f>
        <v>7.5945</v>
      </c>
      <c r="L151" s="10">
        <f>CHOOSE(CONTROL!$C$42, 8.4158, 8.4158) * CHOOSE(CONTROL!$C$21, $C$9, 100%, $E$9)</f>
        <v>8.4158000000000008</v>
      </c>
      <c r="M151" s="10">
        <f>CHOOSE(CONTROL!$C$42, 7.5056, 7.5056) * CHOOSE(CONTROL!$C$21, $C$9, 100%, $E$9)</f>
        <v>7.5056000000000003</v>
      </c>
      <c r="N151" s="10">
        <f>CHOOSE(CONTROL!$C$42, 7.5207, 7.5207) * CHOOSE(CONTROL!$C$21, $C$9, 100%, $E$9)</f>
        <v>7.5206999999999997</v>
      </c>
      <c r="O151" s="10">
        <f>CHOOSE(CONTROL!$C$42, 7.7636, 7.7636) * CHOOSE(CONTROL!$C$21, $C$9, 100%, $E$9)</f>
        <v>7.7636000000000003</v>
      </c>
      <c r="P151" s="10">
        <f>CHOOSE(CONTROL!$C$42, 7.5356, 7.5356) * CHOOSE(CONTROL!$C$21, $C$9, 100%, $E$9)</f>
        <v>7.5355999999999996</v>
      </c>
      <c r="Q151" s="10">
        <f>CHOOSE(CONTROL!$C$42, 8.3589, 8.3589) * CHOOSE(CONTROL!$C$21, $C$9, 100%, $E$9)</f>
        <v>8.3589000000000002</v>
      </c>
      <c r="R151" s="10">
        <f>CHOOSE(CONTROL!$C$42, 8.9668, 8.9668) * CHOOSE(CONTROL!$C$21, $C$9, 100%, $E$9)</f>
        <v>8.9667999999999992</v>
      </c>
      <c r="S151" s="10">
        <f>CHOOSE(CONTROL!$C$42, 7.3745, 7.3745) * CHOOSE(CONTROL!$C$21, $C$9, 100%, $E$9)</f>
        <v>7.3745000000000003</v>
      </c>
      <c r="T1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57">
        <f>(1000*CHOOSE(CONTROL!$C$42, 695, 695)*CHOOSE(CONTROL!$C$42, 0.5599, 0.5599)*CHOOSE(CONTROL!$C$42, 31, 31))/1000000</f>
        <v>12.063045499999998</v>
      </c>
      <c r="V151" s="57">
        <f>(1000*CHOOSE(CONTROL!$C$42, 500, 500)*CHOOSE(CONTROL!$C$42, 0.275, 0.275)*CHOOSE(CONTROL!$C$42, 31, 31))/1000000</f>
        <v>4.2625000000000002</v>
      </c>
      <c r="W151" s="57">
        <f>(1000*CHOOSE(CONTROL!$C$42, 0.1146, 0.1146)*CHOOSE(CONTROL!$C$42, 121.5, 121.5)*CHOOSE(CONTROL!$C$42, 31, 31))/1000000</f>
        <v>0.43164089999999994</v>
      </c>
      <c r="X151" s="57">
        <f>(31*0.1790888*245000/1000000)+(31*0.2374*100000/1000000)</f>
        <v>2.0961194359999999</v>
      </c>
      <c r="Y151" s="57"/>
      <c r="Z151" s="10"/>
      <c r="AA151" s="56"/>
      <c r="AB151" s="50">
        <f>(B151*194.205+C151*267.466+D151*133.845+E151*53.484+F151*40+G151*185+H151*0+I151*100+J151*300)/(194.205+267.466+133.845+53.484+0+40+185+100+300)</f>
        <v>7.623306726530612</v>
      </c>
      <c r="AC151" s="45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7.5857812949640291</v>
      </c>
    </row>
    <row r="152" spans="1:29" ht="15.75" x14ac:dyDescent="0.25">
      <c r="A152" s="16">
        <v>45505</v>
      </c>
      <c r="B152" s="10">
        <f>CHOOSE(CONTROL!$C$42, 7.2233, 7.2233) * CHOOSE(CONTROL!$C$21, $C$9, 100%, $E$9)</f>
        <v>7.2233000000000001</v>
      </c>
      <c r="C152" s="10">
        <f>CHOOSE(CONTROL!$C$42, 7.2313, 7.2313) * CHOOSE(CONTROL!$C$21, $C$9, 100%, $E$9)</f>
        <v>7.2313000000000001</v>
      </c>
      <c r="D152" s="10">
        <f>CHOOSE(CONTROL!$C$42, 7.434, 7.434) * CHOOSE(CONTROL!$C$21, $C$9, 100%, $E$9)</f>
        <v>7.4340000000000002</v>
      </c>
      <c r="E152" s="10">
        <f>CHOOSE(CONTROL!$C$42, 7.4651, 7.4651) * CHOOSE(CONTROL!$C$21, $C$9, 100%, $E$9)</f>
        <v>7.4650999999999996</v>
      </c>
      <c r="F152" s="10">
        <f>CHOOSE(CONTROL!$C$42, 7.2003, 7.2003)*CHOOSE(CONTROL!$C$21, $C$9, 100%, $E$9)</f>
        <v>7.2003000000000004</v>
      </c>
      <c r="G152" s="10">
        <f>CHOOSE(CONTROL!$C$42, 7.2156, 7.2156)*CHOOSE(CONTROL!$C$21, $C$9, 100%, $E$9)</f>
        <v>7.2156000000000002</v>
      </c>
      <c r="H152" s="10">
        <f>CHOOSE(CONTROL!$C$42, 7.4538, 7.4538) * CHOOSE(CONTROL!$C$21, $C$9, 100%, $E$9)</f>
        <v>7.4538000000000002</v>
      </c>
      <c r="I152" s="10">
        <f>CHOOSE(CONTROL!$C$42, 7.2234, 7.2234)* CHOOSE(CONTROL!$C$21, $C$9, 100%, $E$9)</f>
        <v>7.2233999999999998</v>
      </c>
      <c r="J152" s="10">
        <f>CHOOSE(CONTROL!$C$42, 7.1933, 7.1933)* CHOOSE(CONTROL!$C$21, $C$9, 100%, $E$9)</f>
        <v>7.1932999999999998</v>
      </c>
      <c r="K152" s="53">
        <f>CHOOSE(CONTROL!$C$42, 7.2195, 7.2195) * CHOOSE(CONTROL!$C$21, $C$9, 100%, $E$9)</f>
        <v>7.2195</v>
      </c>
      <c r="L152" s="10">
        <f>CHOOSE(CONTROL!$C$42, 8.0408, 8.0408) * CHOOSE(CONTROL!$C$21, $C$9, 100%, $E$9)</f>
        <v>8.0408000000000008</v>
      </c>
      <c r="M152" s="10">
        <f>CHOOSE(CONTROL!$C$42, 7.1345, 7.1345) * CHOOSE(CONTROL!$C$21, $C$9, 100%, $E$9)</f>
        <v>7.1345000000000001</v>
      </c>
      <c r="N152" s="10">
        <f>CHOOSE(CONTROL!$C$42, 7.1497, 7.1497) * CHOOSE(CONTROL!$C$21, $C$9, 100%, $E$9)</f>
        <v>7.1497000000000002</v>
      </c>
      <c r="O152" s="10">
        <f>CHOOSE(CONTROL!$C$42, 7.3924, 7.3924) * CHOOSE(CONTROL!$C$21, $C$9, 100%, $E$9)</f>
        <v>7.3924000000000003</v>
      </c>
      <c r="P152" s="10">
        <f>CHOOSE(CONTROL!$C$42, 7.1643, 7.1643) * CHOOSE(CONTROL!$C$21, $C$9, 100%, $E$9)</f>
        <v>7.1642999999999999</v>
      </c>
      <c r="Q152" s="10">
        <f>CHOOSE(CONTROL!$C$42, 7.9877, 7.9877) * CHOOSE(CONTROL!$C$21, $C$9, 100%, $E$9)</f>
        <v>7.9877000000000002</v>
      </c>
      <c r="R152" s="10">
        <f>CHOOSE(CONTROL!$C$42, 8.5946, 8.5946) * CHOOSE(CONTROL!$C$21, $C$9, 100%, $E$9)</f>
        <v>8.5945999999999998</v>
      </c>
      <c r="S152" s="10">
        <f>CHOOSE(CONTROL!$C$42, 7.0103, 7.0103) * CHOOSE(CONTROL!$C$21, $C$9, 100%, $E$9)</f>
        <v>7.0103</v>
      </c>
      <c r="T1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57">
        <f>(1000*CHOOSE(CONTROL!$C$42, 695, 695)*CHOOSE(CONTROL!$C$42, 0.5599, 0.5599)*CHOOSE(CONTROL!$C$42, 31, 31))/1000000</f>
        <v>12.063045499999998</v>
      </c>
      <c r="V152" s="57">
        <f>(1000*CHOOSE(CONTROL!$C$42, 500, 500)*CHOOSE(CONTROL!$C$42, 0.275, 0.275)*CHOOSE(CONTROL!$C$42, 31, 31))/1000000</f>
        <v>4.2625000000000002</v>
      </c>
      <c r="W152" s="57">
        <f>(1000*CHOOSE(CONTROL!$C$42, 0.1146, 0.1146)*CHOOSE(CONTROL!$C$42, 121.5, 121.5)*CHOOSE(CONTROL!$C$42, 31, 31))/1000000</f>
        <v>0.43164089999999994</v>
      </c>
      <c r="X152" s="57">
        <f>(31*0.1790888*245000/1000000)+(31*0.2374*100000/1000000)</f>
        <v>2.0961194359999999</v>
      </c>
      <c r="Y152" s="57"/>
      <c r="Z152" s="10"/>
      <c r="AA152" s="56"/>
      <c r="AB152" s="50">
        <f>(B152*194.205+C152*267.466+D152*133.845+E152*53.484+F152*40+G152*185+H152*0+I152*100+J152*300)/(194.205+267.466+133.845+53.484+0+40+185+100+300)</f>
        <v>7.2483697022762952</v>
      </c>
      <c r="AC152" s="45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7.2146474820143887</v>
      </c>
    </row>
    <row r="153" spans="1:29" ht="15.75" x14ac:dyDescent="0.25">
      <c r="A153" s="16">
        <v>45536</v>
      </c>
      <c r="B153" s="10">
        <f>CHOOSE(CONTROL!$C$42, 6.7647, 6.7647) * CHOOSE(CONTROL!$C$21, $C$9, 100%, $E$9)</f>
        <v>6.7647000000000004</v>
      </c>
      <c r="C153" s="10">
        <f>CHOOSE(CONTROL!$C$42, 6.7726, 6.7726) * CHOOSE(CONTROL!$C$21, $C$9, 100%, $E$9)</f>
        <v>6.7725999999999997</v>
      </c>
      <c r="D153" s="10">
        <f>CHOOSE(CONTROL!$C$42, 6.9754, 6.9754) * CHOOSE(CONTROL!$C$21, $C$9, 100%, $E$9)</f>
        <v>6.9753999999999996</v>
      </c>
      <c r="E153" s="10">
        <f>CHOOSE(CONTROL!$C$42, 7.0065, 7.0065) * CHOOSE(CONTROL!$C$21, $C$9, 100%, $E$9)</f>
        <v>7.0065</v>
      </c>
      <c r="F153" s="10">
        <f>CHOOSE(CONTROL!$C$42, 6.7415, 6.7415)*CHOOSE(CONTROL!$C$21, $C$9, 100%, $E$9)</f>
        <v>6.7415000000000003</v>
      </c>
      <c r="G153" s="10">
        <f>CHOOSE(CONTROL!$C$42, 6.7568, 6.7568)*CHOOSE(CONTROL!$C$21, $C$9, 100%, $E$9)</f>
        <v>6.7568000000000001</v>
      </c>
      <c r="H153" s="10">
        <f>CHOOSE(CONTROL!$C$42, 6.9951, 6.9951) * CHOOSE(CONTROL!$C$21, $C$9, 100%, $E$9)</f>
        <v>6.9950999999999999</v>
      </c>
      <c r="I153" s="10">
        <f>CHOOSE(CONTROL!$C$42, 6.7647, 6.7647)* CHOOSE(CONTROL!$C$21, $C$9, 100%, $E$9)</f>
        <v>6.7647000000000004</v>
      </c>
      <c r="J153" s="10">
        <f>CHOOSE(CONTROL!$C$42, 6.7345, 6.7345)* CHOOSE(CONTROL!$C$21, $C$9, 100%, $E$9)</f>
        <v>6.7344999999999997</v>
      </c>
      <c r="K153" s="53">
        <f>CHOOSE(CONTROL!$C$42, 6.7609, 6.7609) * CHOOSE(CONTROL!$C$21, $C$9, 100%, $E$9)</f>
        <v>6.7609000000000004</v>
      </c>
      <c r="L153" s="10">
        <f>CHOOSE(CONTROL!$C$42, 7.5821, 7.5821) * CHOOSE(CONTROL!$C$21, $C$9, 100%, $E$9)</f>
        <v>7.5820999999999996</v>
      </c>
      <c r="M153" s="10">
        <f>CHOOSE(CONTROL!$C$42, 6.6804, 6.6804) * CHOOSE(CONTROL!$C$21, $C$9, 100%, $E$9)</f>
        <v>6.6803999999999997</v>
      </c>
      <c r="N153" s="10">
        <f>CHOOSE(CONTROL!$C$42, 6.6955, 6.6955) * CHOOSE(CONTROL!$C$21, $C$9, 100%, $E$9)</f>
        <v>6.6955</v>
      </c>
      <c r="O153" s="10">
        <f>CHOOSE(CONTROL!$C$42, 6.9384, 6.9384) * CHOOSE(CONTROL!$C$21, $C$9, 100%, $E$9)</f>
        <v>6.9383999999999997</v>
      </c>
      <c r="P153" s="10">
        <f>CHOOSE(CONTROL!$C$42, 6.7103, 6.7103) * CHOOSE(CONTROL!$C$21, $C$9, 100%, $E$9)</f>
        <v>6.7103000000000002</v>
      </c>
      <c r="Q153" s="10">
        <f>CHOOSE(CONTROL!$C$42, 7.5337, 7.5337) * CHOOSE(CONTROL!$C$21, $C$9, 100%, $E$9)</f>
        <v>7.5336999999999996</v>
      </c>
      <c r="R153" s="10">
        <f>CHOOSE(CONTROL!$C$42, 8.1395, 8.1395) * CHOOSE(CONTROL!$C$21, $C$9, 100%, $E$9)</f>
        <v>8.1395</v>
      </c>
      <c r="S153" s="10">
        <f>CHOOSE(CONTROL!$C$42, 6.565, 6.565) * CHOOSE(CONTROL!$C$21, $C$9, 100%, $E$9)</f>
        <v>6.5650000000000004</v>
      </c>
      <c r="T1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57">
        <f>(1000*CHOOSE(CONTROL!$C$42, 695, 695)*CHOOSE(CONTROL!$C$42, 0.5599, 0.5599)*CHOOSE(CONTROL!$C$42, 30, 30))/1000000</f>
        <v>11.673914999999997</v>
      </c>
      <c r="V153" s="57">
        <f>(1000*CHOOSE(CONTROL!$C$42, 500, 500)*CHOOSE(CONTROL!$C$42, 0.275, 0.275)*CHOOSE(CONTROL!$C$42, 30, 30))/1000000</f>
        <v>4.125</v>
      </c>
      <c r="W153" s="57">
        <f>(1000*CHOOSE(CONTROL!$C$42, 0.1146, 0.1146)*CHOOSE(CONTROL!$C$42, 121.5, 121.5)*CHOOSE(CONTROL!$C$42, 30, 30))/1000000</f>
        <v>0.417717</v>
      </c>
      <c r="X153" s="57">
        <f>(30*0.1790888*245000/1000000)+(30*0.2374*100000/1000000)</f>
        <v>2.0285026799999999</v>
      </c>
      <c r="Y153" s="57"/>
      <c r="Z153" s="10"/>
      <c r="AA153" s="56"/>
      <c r="AB153" s="50">
        <f>(B153*194.205+C153*267.466+D153*133.845+E153*53.484+F153*40+G153*185+H153*0+I153*100+J153*300)/(194.205+267.466+133.845+53.484+0+40+185+100+300)</f>
        <v>6.7896584412087915</v>
      </c>
      <c r="AC153" s="45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6.7605669064748204</v>
      </c>
    </row>
    <row r="154" spans="1:29" ht="15.75" x14ac:dyDescent="0.25">
      <c r="A154" s="16">
        <v>45566</v>
      </c>
      <c r="B154" s="10">
        <f>CHOOSE(CONTROL!$C$42, 6.6257, 6.6257) * CHOOSE(CONTROL!$C$21, $C$9, 100%, $E$9)</f>
        <v>6.6257000000000001</v>
      </c>
      <c r="C154" s="10">
        <f>CHOOSE(CONTROL!$C$42, 6.6309, 6.6309) * CHOOSE(CONTROL!$C$21, $C$9, 100%, $E$9)</f>
        <v>6.6308999999999996</v>
      </c>
      <c r="D154" s="10">
        <f>CHOOSE(CONTROL!$C$42, 6.8386, 6.8386) * CHOOSE(CONTROL!$C$21, $C$9, 100%, $E$9)</f>
        <v>6.8385999999999996</v>
      </c>
      <c r="E154" s="10">
        <f>CHOOSE(CONTROL!$C$42, 6.8674, 6.8674) * CHOOSE(CONTROL!$C$21, $C$9, 100%, $E$9)</f>
        <v>6.8673999999999999</v>
      </c>
      <c r="F154" s="10">
        <f>CHOOSE(CONTROL!$C$42, 6.6044, 6.6044)*CHOOSE(CONTROL!$C$21, $C$9, 100%, $E$9)</f>
        <v>6.6044</v>
      </c>
      <c r="G154" s="10">
        <f>CHOOSE(CONTROL!$C$42, 6.6194, 6.6194)*CHOOSE(CONTROL!$C$21, $C$9, 100%, $E$9)</f>
        <v>6.6193999999999997</v>
      </c>
      <c r="H154" s="10">
        <f>CHOOSE(CONTROL!$C$42, 6.8579, 6.8579) * CHOOSE(CONTROL!$C$21, $C$9, 100%, $E$9)</f>
        <v>6.8578999999999999</v>
      </c>
      <c r="I154" s="10">
        <f>CHOOSE(CONTROL!$C$42, 6.6275, 6.6275)* CHOOSE(CONTROL!$C$21, $C$9, 100%, $E$9)</f>
        <v>6.6275000000000004</v>
      </c>
      <c r="J154" s="10">
        <f>CHOOSE(CONTROL!$C$42, 6.5974, 6.5974)* CHOOSE(CONTROL!$C$21, $C$9, 100%, $E$9)</f>
        <v>6.5974000000000004</v>
      </c>
      <c r="K154" s="53">
        <f>CHOOSE(CONTROL!$C$42, 6.6236, 6.6236) * CHOOSE(CONTROL!$C$21, $C$9, 100%, $E$9)</f>
        <v>6.6235999999999997</v>
      </c>
      <c r="L154" s="10">
        <f>CHOOSE(CONTROL!$C$42, 7.4449, 7.4449) * CHOOSE(CONTROL!$C$21, $C$9, 100%, $E$9)</f>
        <v>7.4448999999999996</v>
      </c>
      <c r="M154" s="10">
        <f>CHOOSE(CONTROL!$C$42, 6.5447, 6.5447) * CHOOSE(CONTROL!$C$21, $C$9, 100%, $E$9)</f>
        <v>6.5446999999999997</v>
      </c>
      <c r="N154" s="10">
        <f>CHOOSE(CONTROL!$C$42, 6.5595, 6.5595) * CHOOSE(CONTROL!$C$21, $C$9, 100%, $E$9)</f>
        <v>6.5594999999999999</v>
      </c>
      <c r="O154" s="10">
        <f>CHOOSE(CONTROL!$C$42, 6.8025, 6.8025) * CHOOSE(CONTROL!$C$21, $C$9, 100%, $E$9)</f>
        <v>6.8025000000000002</v>
      </c>
      <c r="P154" s="10">
        <f>CHOOSE(CONTROL!$C$42, 6.5745, 6.5745) * CHOOSE(CONTROL!$C$21, $C$9, 100%, $E$9)</f>
        <v>6.5744999999999996</v>
      </c>
      <c r="Q154" s="10">
        <f>CHOOSE(CONTROL!$C$42, 7.3978, 7.3978) * CHOOSE(CONTROL!$C$21, $C$9, 100%, $E$9)</f>
        <v>7.3978000000000002</v>
      </c>
      <c r="R154" s="10">
        <f>CHOOSE(CONTROL!$C$42, 8.0033, 8.0033) * CHOOSE(CONTROL!$C$21, $C$9, 100%, $E$9)</f>
        <v>8.0032999999999994</v>
      </c>
      <c r="S154" s="10">
        <f>CHOOSE(CONTROL!$C$42, 6.4317, 6.4317) * CHOOSE(CONTROL!$C$21, $C$9, 100%, $E$9)</f>
        <v>6.4317000000000002</v>
      </c>
      <c r="T1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57">
        <f>(1000*CHOOSE(CONTROL!$C$42, 695, 695)*CHOOSE(CONTROL!$C$42, 0.5599, 0.5599)*CHOOSE(CONTROL!$C$42, 31, 31))/1000000</f>
        <v>12.063045499999998</v>
      </c>
      <c r="V154" s="57">
        <f>(1000*CHOOSE(CONTROL!$C$42, 500, 500)*CHOOSE(CONTROL!$C$42, 0.275, 0.275)*CHOOSE(CONTROL!$C$42, 31, 31))/1000000</f>
        <v>4.2625000000000002</v>
      </c>
      <c r="W154" s="57">
        <f>(1000*CHOOSE(CONTROL!$C$42, 0.1146, 0.1146)*CHOOSE(CONTROL!$C$42, 121.5, 121.5)*CHOOSE(CONTROL!$C$42, 31, 31))/1000000</f>
        <v>0.43164089999999994</v>
      </c>
      <c r="X154" s="57">
        <f>(31*0.1790888*245000/1000000)+(31*0.2374*100000/1000000)</f>
        <v>2.0961194359999999</v>
      </c>
      <c r="Y154" s="57"/>
      <c r="Z154" s="10"/>
      <c r="AA154" s="56"/>
      <c r="AB154" s="50">
        <f>(B154*131.881+C154*277.167+D154*79.08+E154*125.872+F154*40+G154*185+H154*0+I154*100+J154*300)/(131.881+277.167+79.08+125.872+0+40+185+100+300)</f>
        <v>6.6566710757062149</v>
      </c>
      <c r="AC154" s="45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6.624727338129496</v>
      </c>
    </row>
    <row r="155" spans="1:29" ht="15.75" x14ac:dyDescent="0.25">
      <c r="A155" s="16">
        <v>45597</v>
      </c>
      <c r="B155" s="10">
        <f>CHOOSE(CONTROL!$C$42, 6.7997, 6.7997) * CHOOSE(CONTROL!$C$21, $C$9, 100%, $E$9)</f>
        <v>6.7996999999999996</v>
      </c>
      <c r="C155" s="10">
        <f>CHOOSE(CONTROL!$C$42, 6.8047, 6.8047) * CHOOSE(CONTROL!$C$21, $C$9, 100%, $E$9)</f>
        <v>6.8047000000000004</v>
      </c>
      <c r="D155" s="10">
        <f>CHOOSE(CONTROL!$C$42, 6.8652, 6.8652) * CHOOSE(CONTROL!$C$21, $C$9, 100%, $E$9)</f>
        <v>6.8651999999999997</v>
      </c>
      <c r="E155" s="10">
        <f>CHOOSE(CONTROL!$C$42, 6.899, 6.899) * CHOOSE(CONTROL!$C$21, $C$9, 100%, $E$9)</f>
        <v>6.899</v>
      </c>
      <c r="F155" s="10">
        <f>CHOOSE(CONTROL!$C$42, 6.7954, 6.7954)*CHOOSE(CONTROL!$C$21, $C$9, 100%, $E$9)</f>
        <v>6.7953999999999999</v>
      </c>
      <c r="G155" s="10">
        <f>CHOOSE(CONTROL!$C$42, 6.8106, 6.8106)*CHOOSE(CONTROL!$C$21, $C$9, 100%, $E$9)</f>
        <v>6.8106</v>
      </c>
      <c r="H155" s="10">
        <f>CHOOSE(CONTROL!$C$42, 6.8882, 6.8882) * CHOOSE(CONTROL!$C$21, $C$9, 100%, $E$9)</f>
        <v>6.8882000000000003</v>
      </c>
      <c r="I155" s="10">
        <f>CHOOSE(CONTROL!$C$42, 6.8123, 6.8123)* CHOOSE(CONTROL!$C$21, $C$9, 100%, $E$9)</f>
        <v>6.8122999999999996</v>
      </c>
      <c r="J155" s="10">
        <f>CHOOSE(CONTROL!$C$42, 6.7884, 6.7884)* CHOOSE(CONTROL!$C$21, $C$9, 100%, $E$9)</f>
        <v>6.7884000000000002</v>
      </c>
      <c r="K155" s="53">
        <f>CHOOSE(CONTROL!$C$42, 6.8084, 6.8084) * CHOOSE(CONTROL!$C$21, $C$9, 100%, $E$9)</f>
        <v>6.8083999999999998</v>
      </c>
      <c r="L155" s="10">
        <f>CHOOSE(CONTROL!$C$42, 7.4752, 7.4752) * CHOOSE(CONTROL!$C$21, $C$9, 100%, $E$9)</f>
        <v>7.4752000000000001</v>
      </c>
      <c r="M155" s="10">
        <f>CHOOSE(CONTROL!$C$42, 6.7337, 6.7337) * CHOOSE(CONTROL!$C$21, $C$9, 100%, $E$9)</f>
        <v>6.7336999999999998</v>
      </c>
      <c r="N155" s="10">
        <f>CHOOSE(CONTROL!$C$42, 6.7488, 6.7488) * CHOOSE(CONTROL!$C$21, $C$9, 100%, $E$9)</f>
        <v>6.7488000000000001</v>
      </c>
      <c r="O155" s="10">
        <f>CHOOSE(CONTROL!$C$42, 6.8325, 6.8325) * CHOOSE(CONTROL!$C$21, $C$9, 100%, $E$9)</f>
        <v>6.8324999999999996</v>
      </c>
      <c r="P155" s="10">
        <f>CHOOSE(CONTROL!$C$42, 6.7574, 6.7574) * CHOOSE(CONTROL!$C$21, $C$9, 100%, $E$9)</f>
        <v>6.7573999999999996</v>
      </c>
      <c r="Q155" s="10">
        <f>CHOOSE(CONTROL!$C$42, 7.4278, 7.4278) * CHOOSE(CONTROL!$C$21, $C$9, 100%, $E$9)</f>
        <v>7.4278000000000004</v>
      </c>
      <c r="R155" s="10">
        <f>CHOOSE(CONTROL!$C$42, 8.0334, 8.0334) * CHOOSE(CONTROL!$C$21, $C$9, 100%, $E$9)</f>
        <v>8.0334000000000003</v>
      </c>
      <c r="S155" s="10">
        <f>CHOOSE(CONTROL!$C$42, 6.6011, 6.6011) * CHOOSE(CONTROL!$C$21, $C$9, 100%, $E$9)</f>
        <v>6.6010999999999997</v>
      </c>
      <c r="T1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57">
        <f>(1000*CHOOSE(CONTROL!$C$42, 695, 695)*CHOOSE(CONTROL!$C$42, 0.5599, 0.5599)*CHOOSE(CONTROL!$C$42, 30, 30))/1000000</f>
        <v>11.673914999999997</v>
      </c>
      <c r="V155" s="57">
        <f>(1000*CHOOSE(CONTROL!$C$42, 500, 500)*CHOOSE(CONTROL!$C$42, 0.275, 0.275)*CHOOSE(CONTROL!$C$42, 30, 30))/1000000</f>
        <v>4.125</v>
      </c>
      <c r="W155" s="57">
        <f>(1000*CHOOSE(CONTROL!$C$42, 0.1146, 0.1146)*CHOOSE(CONTROL!$C$42, 121.5, 121.5)*CHOOSE(CONTROL!$C$42, 30, 30))/1000000</f>
        <v>0.417717</v>
      </c>
      <c r="X155" s="57">
        <f>(30*0.1790888*100000/1000000)+(30*0.2374*100000/1000000)</f>
        <v>1.2494664</v>
      </c>
      <c r="Y155" s="57"/>
      <c r="Z155" s="10"/>
      <c r="AA155" s="56"/>
      <c r="AB155" s="50">
        <f>(B155*122.58+C155*297.941+D155*89.177+E155*40.302+F155*40+G155*160+H155*0+I155*100+J155*300)/(122.58+297.941+89.177+40.302+0+40+160+100+300)</f>
        <v>6.8090693800869566</v>
      </c>
      <c r="AC155" s="45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6.7827589928057552</v>
      </c>
    </row>
    <row r="156" spans="1:29" ht="15.75" x14ac:dyDescent="0.25">
      <c r="A156" s="16">
        <v>45627</v>
      </c>
      <c r="B156" s="10">
        <f>CHOOSE(CONTROL!$C$42, 7.2631, 7.2631) * CHOOSE(CONTROL!$C$21, $C$9, 100%, $E$9)</f>
        <v>7.2630999999999997</v>
      </c>
      <c r="C156" s="10">
        <f>CHOOSE(CONTROL!$C$42, 7.2681, 7.2681) * CHOOSE(CONTROL!$C$21, $C$9, 100%, $E$9)</f>
        <v>7.2680999999999996</v>
      </c>
      <c r="D156" s="10">
        <f>CHOOSE(CONTROL!$C$42, 7.3286, 7.3286) * CHOOSE(CONTROL!$C$21, $C$9, 100%, $E$9)</f>
        <v>7.3285999999999998</v>
      </c>
      <c r="E156" s="10">
        <f>CHOOSE(CONTROL!$C$42, 7.3624, 7.3624) * CHOOSE(CONTROL!$C$21, $C$9, 100%, $E$9)</f>
        <v>7.3624000000000001</v>
      </c>
      <c r="F156" s="10">
        <f>CHOOSE(CONTROL!$C$42, 7.2606, 7.2606)*CHOOSE(CONTROL!$C$21, $C$9, 100%, $E$9)</f>
        <v>7.2606000000000002</v>
      </c>
      <c r="G156" s="10">
        <f>CHOOSE(CONTROL!$C$42, 7.2763, 7.2763)*CHOOSE(CONTROL!$C$21, $C$9, 100%, $E$9)</f>
        <v>7.2763</v>
      </c>
      <c r="H156" s="10">
        <f>CHOOSE(CONTROL!$C$42, 7.3516, 7.3516) * CHOOSE(CONTROL!$C$21, $C$9, 100%, $E$9)</f>
        <v>7.3516000000000004</v>
      </c>
      <c r="I156" s="10">
        <f>CHOOSE(CONTROL!$C$42, 7.2757, 7.2757)* CHOOSE(CONTROL!$C$21, $C$9, 100%, $E$9)</f>
        <v>7.2756999999999996</v>
      </c>
      <c r="J156" s="10">
        <f>CHOOSE(CONTROL!$C$42, 7.2536, 7.2536)* CHOOSE(CONTROL!$C$21, $C$9, 100%, $E$9)</f>
        <v>7.2535999999999996</v>
      </c>
      <c r="K156" s="53">
        <f>CHOOSE(CONTROL!$C$42, 7.2718, 7.2718) * CHOOSE(CONTROL!$C$21, $C$9, 100%, $E$9)</f>
        <v>7.2717999999999998</v>
      </c>
      <c r="L156" s="10">
        <f>CHOOSE(CONTROL!$C$42, 7.9386, 7.9386) * CHOOSE(CONTROL!$C$21, $C$9, 100%, $E$9)</f>
        <v>7.9386000000000001</v>
      </c>
      <c r="M156" s="10">
        <f>CHOOSE(CONTROL!$C$42, 7.1942, 7.1942) * CHOOSE(CONTROL!$C$21, $C$9, 100%, $E$9)</f>
        <v>7.1942000000000004</v>
      </c>
      <c r="N156" s="10">
        <f>CHOOSE(CONTROL!$C$42, 7.2098, 7.2098) * CHOOSE(CONTROL!$C$21, $C$9, 100%, $E$9)</f>
        <v>7.2098000000000004</v>
      </c>
      <c r="O156" s="10">
        <f>CHOOSE(CONTROL!$C$42, 7.2912, 7.2912) * CHOOSE(CONTROL!$C$21, $C$9, 100%, $E$9)</f>
        <v>7.2911999999999999</v>
      </c>
      <c r="P156" s="10">
        <f>CHOOSE(CONTROL!$C$42, 7.2161, 7.2161) * CHOOSE(CONTROL!$C$21, $C$9, 100%, $E$9)</f>
        <v>7.2161</v>
      </c>
      <c r="Q156" s="10">
        <f>CHOOSE(CONTROL!$C$42, 7.8865, 7.8865) * CHOOSE(CONTROL!$C$21, $C$9, 100%, $E$9)</f>
        <v>7.8864999999999998</v>
      </c>
      <c r="R156" s="10">
        <f>CHOOSE(CONTROL!$C$42, 8.4932, 8.4932) * CHOOSE(CONTROL!$C$21, $C$9, 100%, $E$9)</f>
        <v>8.4931999999999999</v>
      </c>
      <c r="S156" s="10">
        <f>CHOOSE(CONTROL!$C$42, 7.0511, 7.0511) * CHOOSE(CONTROL!$C$21, $C$9, 100%, $E$9)</f>
        <v>7.0510999999999999</v>
      </c>
      <c r="T1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57">
        <f>(1000*CHOOSE(CONTROL!$C$42, 695, 695)*CHOOSE(CONTROL!$C$42, 0.5599, 0.5599)*CHOOSE(CONTROL!$C$42, 31, 31))/1000000</f>
        <v>12.063045499999998</v>
      </c>
      <c r="V156" s="57">
        <f>(1000*CHOOSE(CONTROL!$C$42, 500, 500)*CHOOSE(CONTROL!$C$42, 0.275, 0.275)*CHOOSE(CONTROL!$C$42, 31, 31))/1000000</f>
        <v>4.2625000000000002</v>
      </c>
      <c r="W156" s="57">
        <f>(1000*CHOOSE(CONTROL!$C$42, 0.1146, 0.1146)*CHOOSE(CONTROL!$C$42, 121.5, 121.5)*CHOOSE(CONTROL!$C$42, 31, 31))/1000000</f>
        <v>0.43164089999999994</v>
      </c>
      <c r="X156" s="57">
        <f>(31*0.1790888*100000/1000000)+(31*0.2374*100000/1000000)</f>
        <v>1.2911152800000001</v>
      </c>
      <c r="Y156" s="57"/>
      <c r="Z156" s="10"/>
      <c r="AA156" s="56"/>
      <c r="AB156" s="50">
        <f>(B156*122.58+C156*297.941+D156*89.177+E156*40.302+F156*40+G156*160+H156*0+I156*100+J156*300)/(122.58+297.941+89.177+40.302+0+40+160+100+300)</f>
        <v>7.2733215539999998</v>
      </c>
      <c r="AC156" s="45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7.2422129496402876</v>
      </c>
    </row>
    <row r="157" spans="1:29" ht="15.75" x14ac:dyDescent="0.25">
      <c r="A157" s="16">
        <v>45658</v>
      </c>
      <c r="B157" s="10">
        <f>CHOOSE(CONTROL!$C$42, 7.8911, 7.8911) * CHOOSE(CONTROL!$C$21, $C$9, 100%, $E$9)</f>
        <v>7.8910999999999998</v>
      </c>
      <c r="C157" s="10">
        <f>CHOOSE(CONTROL!$C$42, 7.8961, 7.8961) * CHOOSE(CONTROL!$C$21, $C$9, 100%, $E$9)</f>
        <v>7.8960999999999997</v>
      </c>
      <c r="D157" s="10">
        <f>CHOOSE(CONTROL!$C$42, 7.9531, 7.9531) * CHOOSE(CONTROL!$C$21, $C$9, 100%, $E$9)</f>
        <v>7.9531000000000001</v>
      </c>
      <c r="E157" s="10">
        <f>CHOOSE(CONTROL!$C$42, 7.9869, 7.9869) * CHOOSE(CONTROL!$C$21, $C$9, 100%, $E$9)</f>
        <v>7.9869000000000003</v>
      </c>
      <c r="F157" s="10">
        <f>CHOOSE(CONTROL!$C$42, 7.8889, 7.8889)*CHOOSE(CONTROL!$C$21, $C$9, 100%, $E$9)</f>
        <v>7.8888999999999996</v>
      </c>
      <c r="G157" s="10">
        <f>CHOOSE(CONTROL!$C$42, 7.9035, 7.9035)*CHOOSE(CONTROL!$C$21, $C$9, 100%, $E$9)</f>
        <v>7.9035000000000002</v>
      </c>
      <c r="H157" s="10">
        <f>CHOOSE(CONTROL!$C$42, 7.9761, 7.9761) * CHOOSE(CONTROL!$C$21, $C$9, 100%, $E$9)</f>
        <v>7.9760999999999997</v>
      </c>
      <c r="I157" s="10">
        <f>CHOOSE(CONTROL!$C$42, 7.9019, 7.9019)* CHOOSE(CONTROL!$C$21, $C$9, 100%, $E$9)</f>
        <v>7.9019000000000004</v>
      </c>
      <c r="J157" s="10">
        <f>CHOOSE(CONTROL!$C$42, 7.8819, 7.8819)* CHOOSE(CONTROL!$C$21, $C$9, 100%, $E$9)</f>
        <v>7.8818999999999999</v>
      </c>
      <c r="K157" s="53">
        <f>CHOOSE(CONTROL!$C$42, 7.898, 7.898) * CHOOSE(CONTROL!$C$21, $C$9, 100%, $E$9)</f>
        <v>7.8979999999999997</v>
      </c>
      <c r="L157" s="10">
        <f>CHOOSE(CONTROL!$C$42, 8.5631, 8.5631) * CHOOSE(CONTROL!$C$21, $C$9, 100%, $E$9)</f>
        <v>8.5631000000000004</v>
      </c>
      <c r="M157" s="10">
        <f>CHOOSE(CONTROL!$C$42, 7.8162, 7.8162) * CHOOSE(CONTROL!$C$21, $C$9, 100%, $E$9)</f>
        <v>7.8162000000000003</v>
      </c>
      <c r="N157" s="10">
        <f>CHOOSE(CONTROL!$C$42, 7.8307, 7.8307) * CHOOSE(CONTROL!$C$21, $C$9, 100%, $E$9)</f>
        <v>7.8307000000000002</v>
      </c>
      <c r="O157" s="10">
        <f>CHOOSE(CONTROL!$C$42, 7.9094, 7.9094) * CHOOSE(CONTROL!$C$21, $C$9, 100%, $E$9)</f>
        <v>7.9093999999999998</v>
      </c>
      <c r="P157" s="10">
        <f>CHOOSE(CONTROL!$C$42, 7.836, 7.836) * CHOOSE(CONTROL!$C$21, $C$9, 100%, $E$9)</f>
        <v>7.8360000000000003</v>
      </c>
      <c r="Q157" s="10">
        <f>CHOOSE(CONTROL!$C$42, 8.5047, 8.5047) * CHOOSE(CONTROL!$C$21, $C$9, 100%, $E$9)</f>
        <v>8.5046999999999997</v>
      </c>
      <c r="R157" s="10">
        <f>CHOOSE(CONTROL!$C$42, 9.113, 9.113) * CHOOSE(CONTROL!$C$21, $C$9, 100%, $E$9)</f>
        <v>9.1129999999999995</v>
      </c>
      <c r="S157" s="10">
        <f>CHOOSE(CONTROL!$C$42, 7.6609, 7.6609) * CHOOSE(CONTROL!$C$21, $C$9, 100%, $E$9)</f>
        <v>7.6608999999999998</v>
      </c>
      <c r="T1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57">
        <f>(1000*CHOOSE(CONTROL!$C$42, 695, 695)*CHOOSE(CONTROL!$C$42, 0.5599, 0.5599)*CHOOSE(CONTROL!$C$42, 31, 31))/1000000</f>
        <v>12.063045499999998</v>
      </c>
      <c r="V157" s="57">
        <f>(1000*CHOOSE(CONTROL!$C$42, 500, 500)*CHOOSE(CONTROL!$C$42, 0.275, 0.275)*CHOOSE(CONTROL!$C$42, 31, 31))/1000000</f>
        <v>4.2625000000000002</v>
      </c>
      <c r="W157" s="57">
        <f>(1000*CHOOSE(CONTROL!$C$42, 0.1146, 0.1146)*CHOOSE(CONTROL!$C$42, 121.5, 121.5)*CHOOSE(CONTROL!$C$42, 31, 31))/1000000</f>
        <v>0.43164089999999994</v>
      </c>
      <c r="X157" s="57">
        <f>(31*0.1790888*100000/1000000)+(31*0.2374*100000/1000000)</f>
        <v>1.2911152800000001</v>
      </c>
      <c r="Y157" s="57"/>
      <c r="Z157" s="10"/>
      <c r="AA157" s="56"/>
      <c r="AB157" s="50">
        <f>(B157*122.58+C157*297.941+D157*89.177+E157*40.302+F157*40+G157*160+H157*0+I157*100+J157*300)/(122.58+297.941+89.177+40.302+0+40+160+100+300)</f>
        <v>7.9007483570434776</v>
      </c>
      <c r="AC157" s="45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7.8621251798561147</v>
      </c>
    </row>
    <row r="158" spans="1:29" ht="15.75" x14ac:dyDescent="0.25">
      <c r="A158" s="16">
        <v>45689</v>
      </c>
      <c r="B158" s="10">
        <f>CHOOSE(CONTROL!$C$42, 8.0315, 8.0315) * CHOOSE(CONTROL!$C$21, $C$9, 100%, $E$9)</f>
        <v>8.0314999999999994</v>
      </c>
      <c r="C158" s="10">
        <f>CHOOSE(CONTROL!$C$42, 8.0365, 8.0365) * CHOOSE(CONTROL!$C$21, $C$9, 100%, $E$9)</f>
        <v>8.0365000000000002</v>
      </c>
      <c r="D158" s="10">
        <f>CHOOSE(CONTROL!$C$42, 8.0935, 8.0935) * CHOOSE(CONTROL!$C$21, $C$9, 100%, $E$9)</f>
        <v>8.0935000000000006</v>
      </c>
      <c r="E158" s="10">
        <f>CHOOSE(CONTROL!$C$42, 8.1273, 8.1273) * CHOOSE(CONTROL!$C$21, $C$9, 100%, $E$9)</f>
        <v>8.1273</v>
      </c>
      <c r="F158" s="10">
        <f>CHOOSE(CONTROL!$C$42, 8.0295, 8.0295)*CHOOSE(CONTROL!$C$21, $C$9, 100%, $E$9)</f>
        <v>8.0295000000000005</v>
      </c>
      <c r="G158" s="10">
        <f>CHOOSE(CONTROL!$C$42, 8.0441, 8.0441)*CHOOSE(CONTROL!$C$21, $C$9, 100%, $E$9)</f>
        <v>8.0441000000000003</v>
      </c>
      <c r="H158" s="10">
        <f>CHOOSE(CONTROL!$C$42, 8.1165, 8.1165) * CHOOSE(CONTROL!$C$21, $C$9, 100%, $E$9)</f>
        <v>8.1165000000000003</v>
      </c>
      <c r="I158" s="10">
        <f>CHOOSE(CONTROL!$C$42, 8.0423, 8.0423)* CHOOSE(CONTROL!$C$21, $C$9, 100%, $E$9)</f>
        <v>8.0422999999999991</v>
      </c>
      <c r="J158" s="10">
        <f>CHOOSE(CONTROL!$C$42, 8.0225, 8.0225)* CHOOSE(CONTROL!$C$21, $C$9, 100%, $E$9)</f>
        <v>8.0225000000000009</v>
      </c>
      <c r="K158" s="53">
        <f>CHOOSE(CONTROL!$C$42, 8.0384, 8.0384) * CHOOSE(CONTROL!$C$21, $C$9, 100%, $E$9)</f>
        <v>8.0383999999999993</v>
      </c>
      <c r="L158" s="10">
        <f>CHOOSE(CONTROL!$C$42, 8.7035, 8.7035) * CHOOSE(CONTROL!$C$21, $C$9, 100%, $E$9)</f>
        <v>8.7035</v>
      </c>
      <c r="M158" s="10">
        <f>CHOOSE(CONTROL!$C$42, 7.9553, 7.9553) * CHOOSE(CONTROL!$C$21, $C$9, 100%, $E$9)</f>
        <v>7.9553000000000003</v>
      </c>
      <c r="N158" s="10">
        <f>CHOOSE(CONTROL!$C$42, 7.9698, 7.9698) * CHOOSE(CONTROL!$C$21, $C$9, 100%, $E$9)</f>
        <v>7.9698000000000002</v>
      </c>
      <c r="O158" s="10">
        <f>CHOOSE(CONTROL!$C$42, 8.0484, 8.0484) * CHOOSE(CONTROL!$C$21, $C$9, 100%, $E$9)</f>
        <v>8.0484000000000009</v>
      </c>
      <c r="P158" s="10">
        <f>CHOOSE(CONTROL!$C$42, 7.975, 7.975) * CHOOSE(CONTROL!$C$21, $C$9, 100%, $E$9)</f>
        <v>7.9749999999999996</v>
      </c>
      <c r="Q158" s="10">
        <f>CHOOSE(CONTROL!$C$42, 8.6437, 8.6437) * CHOOSE(CONTROL!$C$21, $C$9, 100%, $E$9)</f>
        <v>8.6437000000000008</v>
      </c>
      <c r="R158" s="10">
        <f>CHOOSE(CONTROL!$C$42, 9.2523, 9.2523) * CHOOSE(CONTROL!$C$21, $C$9, 100%, $E$9)</f>
        <v>9.2523</v>
      </c>
      <c r="S158" s="10">
        <f>CHOOSE(CONTROL!$C$42, 7.7973, 7.7973) * CHOOSE(CONTROL!$C$21, $C$9, 100%, $E$9)</f>
        <v>7.7972999999999999</v>
      </c>
      <c r="T1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57">
        <f>(1000*CHOOSE(CONTROL!$C$42, 695, 695)*CHOOSE(CONTROL!$C$42, 0.5599, 0.5599)*CHOOSE(CONTROL!$C$42, 28, 28))/1000000</f>
        <v>10.895653999999999</v>
      </c>
      <c r="V158" s="57">
        <f>(1000*CHOOSE(CONTROL!$C$42, 500, 500)*CHOOSE(CONTROL!$C$42, 0.275, 0.275)*CHOOSE(CONTROL!$C$42, 28, 28))/1000000</f>
        <v>3.85</v>
      </c>
      <c r="W158" s="57">
        <f>(1000*CHOOSE(CONTROL!$C$42, 0.1146, 0.1146)*CHOOSE(CONTROL!$C$42, 121.5, 121.5)*CHOOSE(CONTROL!$C$42, 28, 28))/1000000</f>
        <v>0.38986920000000003</v>
      </c>
      <c r="X158" s="57">
        <f>(28*0.1790888*100000/1000000)+(28*0.2374*100000/1000000)</f>
        <v>1.16616864</v>
      </c>
      <c r="Y158" s="57"/>
      <c r="Z158" s="10"/>
      <c r="AA158" s="56"/>
      <c r="AB158" s="50">
        <f>(B158*122.58+C158*297.941+D158*89.177+E158*40.302+F158*40+G158*160+H158*0+I158*100+J158*300)/(122.58+297.941+89.177+40.302+0+40+160+100+300)</f>
        <v>8.0412353135652168</v>
      </c>
      <c r="AC158" s="45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8.0011654676258992</v>
      </c>
    </row>
    <row r="159" spans="1:29" ht="15.75" x14ac:dyDescent="0.25">
      <c r="A159" s="16">
        <v>45717</v>
      </c>
      <c r="B159" s="10">
        <f>CHOOSE(CONTROL!$C$42, 7.8036, 7.8036) * CHOOSE(CONTROL!$C$21, $C$9, 100%, $E$9)</f>
        <v>7.8036000000000003</v>
      </c>
      <c r="C159" s="10">
        <f>CHOOSE(CONTROL!$C$42, 7.8085, 7.8085) * CHOOSE(CONTROL!$C$21, $C$9, 100%, $E$9)</f>
        <v>7.8085000000000004</v>
      </c>
      <c r="D159" s="10">
        <f>CHOOSE(CONTROL!$C$42, 7.8656, 7.8656) * CHOOSE(CONTROL!$C$21, $C$9, 100%, $E$9)</f>
        <v>7.8655999999999997</v>
      </c>
      <c r="E159" s="10">
        <f>CHOOSE(CONTROL!$C$42, 7.8994, 7.8994) * CHOOSE(CONTROL!$C$21, $C$9, 100%, $E$9)</f>
        <v>7.8994</v>
      </c>
      <c r="F159" s="10">
        <f>CHOOSE(CONTROL!$C$42, 7.8014, 7.8014)*CHOOSE(CONTROL!$C$21, $C$9, 100%, $E$9)</f>
        <v>7.8014000000000001</v>
      </c>
      <c r="G159" s="10">
        <f>CHOOSE(CONTROL!$C$42, 7.816, 7.816)*CHOOSE(CONTROL!$C$21, $C$9, 100%, $E$9)</f>
        <v>7.8159999999999998</v>
      </c>
      <c r="H159" s="10">
        <f>CHOOSE(CONTROL!$C$42, 7.8886, 7.8886) * CHOOSE(CONTROL!$C$21, $C$9, 100%, $E$9)</f>
        <v>7.8886000000000003</v>
      </c>
      <c r="I159" s="10">
        <f>CHOOSE(CONTROL!$C$42, 7.8144, 7.8144)* CHOOSE(CONTROL!$C$21, $C$9, 100%, $E$9)</f>
        <v>7.8144</v>
      </c>
      <c r="J159" s="10">
        <f>CHOOSE(CONTROL!$C$42, 7.7944, 7.7944)* CHOOSE(CONTROL!$C$21, $C$9, 100%, $E$9)</f>
        <v>7.7944000000000004</v>
      </c>
      <c r="K159" s="53">
        <f>CHOOSE(CONTROL!$C$42, 7.8105, 7.8105) * CHOOSE(CONTROL!$C$21, $C$9, 100%, $E$9)</f>
        <v>7.8105000000000002</v>
      </c>
      <c r="L159" s="10">
        <f>CHOOSE(CONTROL!$C$42, 8.4756, 8.4756) * CHOOSE(CONTROL!$C$21, $C$9, 100%, $E$9)</f>
        <v>8.4756</v>
      </c>
      <c r="M159" s="10">
        <f>CHOOSE(CONTROL!$C$42, 7.7296, 7.7296) * CHOOSE(CONTROL!$C$21, $C$9, 100%, $E$9)</f>
        <v>7.7295999999999996</v>
      </c>
      <c r="N159" s="10">
        <f>CHOOSE(CONTROL!$C$42, 7.744, 7.744) * CHOOSE(CONTROL!$C$21, $C$9, 100%, $E$9)</f>
        <v>7.7439999999999998</v>
      </c>
      <c r="O159" s="10">
        <f>CHOOSE(CONTROL!$C$42, 7.8228, 7.8228) * CHOOSE(CONTROL!$C$21, $C$9, 100%, $E$9)</f>
        <v>7.8228</v>
      </c>
      <c r="P159" s="10">
        <f>CHOOSE(CONTROL!$C$42, 7.7494, 7.7494) * CHOOSE(CONTROL!$C$21, $C$9, 100%, $E$9)</f>
        <v>7.7493999999999996</v>
      </c>
      <c r="Q159" s="10">
        <f>CHOOSE(CONTROL!$C$42, 8.4181, 8.4181) * CHOOSE(CONTROL!$C$21, $C$9, 100%, $E$9)</f>
        <v>8.4181000000000008</v>
      </c>
      <c r="R159" s="10">
        <f>CHOOSE(CONTROL!$C$42, 9.0261, 9.0261) * CHOOSE(CONTROL!$C$21, $C$9, 100%, $E$9)</f>
        <v>9.0260999999999996</v>
      </c>
      <c r="S159" s="10">
        <f>CHOOSE(CONTROL!$C$42, 7.5759, 7.5759) * CHOOSE(CONTROL!$C$21, $C$9, 100%, $E$9)</f>
        <v>7.5758999999999999</v>
      </c>
      <c r="T1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57">
        <f>(1000*CHOOSE(CONTROL!$C$42, 695, 695)*CHOOSE(CONTROL!$C$42, 0.5599, 0.5599)*CHOOSE(CONTROL!$C$42, 31, 31))/1000000</f>
        <v>12.063045499999998</v>
      </c>
      <c r="V159" s="57">
        <f>(1000*CHOOSE(CONTROL!$C$42, 500, 500)*CHOOSE(CONTROL!$C$42, 0.275, 0.275)*CHOOSE(CONTROL!$C$42, 31, 31))/1000000</f>
        <v>4.2625000000000002</v>
      </c>
      <c r="W159" s="57">
        <f>(1000*CHOOSE(CONTROL!$C$42, 0.1146, 0.1146)*CHOOSE(CONTROL!$C$42, 121.5, 121.5)*CHOOSE(CONTROL!$C$42, 31, 31))/1000000</f>
        <v>0.43164089999999994</v>
      </c>
      <c r="X159" s="57">
        <f>(31*0.1790888*100000/1000000)+(31*0.2374*100000/1000000)</f>
        <v>1.2911152800000001</v>
      </c>
      <c r="Y159" s="57"/>
      <c r="Z159" s="10"/>
      <c r="AA159" s="56"/>
      <c r="AB159" s="50">
        <f>(B159*122.58+C159*297.941+D159*89.177+E159*40.302+F159*40+G159*160+H159*0+I159*100+J159*300)/(122.58+297.941+89.177+40.302+0+40+160+100+300)</f>
        <v>7.8132224491304347</v>
      </c>
      <c r="AC159" s="45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7.7755194244604304</v>
      </c>
    </row>
    <row r="160" spans="1:29" ht="15.75" x14ac:dyDescent="0.25">
      <c r="A160" s="16">
        <v>45748</v>
      </c>
      <c r="B160" s="10">
        <f>CHOOSE(CONTROL!$C$42, 7.7814, 7.7814) * CHOOSE(CONTROL!$C$21, $C$9, 100%, $E$9)</f>
        <v>7.7813999999999997</v>
      </c>
      <c r="C160" s="10">
        <f>CHOOSE(CONTROL!$C$42, 7.7858, 7.7858) * CHOOSE(CONTROL!$C$21, $C$9, 100%, $E$9)</f>
        <v>7.7858000000000001</v>
      </c>
      <c r="D160" s="10">
        <f>CHOOSE(CONTROL!$C$42, 7.9917, 7.9917) * CHOOSE(CONTROL!$C$21, $C$9, 100%, $E$9)</f>
        <v>7.9916999999999998</v>
      </c>
      <c r="E160" s="10">
        <f>CHOOSE(CONTROL!$C$42, 8.0234, 8.0234) * CHOOSE(CONTROL!$C$21, $C$9, 100%, $E$9)</f>
        <v>8.0234000000000005</v>
      </c>
      <c r="F160" s="10">
        <f>CHOOSE(CONTROL!$C$42, 7.7582, 7.7582)*CHOOSE(CONTROL!$C$21, $C$9, 100%, $E$9)</f>
        <v>7.7582000000000004</v>
      </c>
      <c r="G160" s="10">
        <f>CHOOSE(CONTROL!$C$42, 7.7727, 7.7727)*CHOOSE(CONTROL!$C$21, $C$9, 100%, $E$9)</f>
        <v>7.7727000000000004</v>
      </c>
      <c r="H160" s="10">
        <f>CHOOSE(CONTROL!$C$42, 8.0132, 8.0132) * CHOOSE(CONTROL!$C$21, $C$9, 100%, $E$9)</f>
        <v>8.0131999999999994</v>
      </c>
      <c r="I160" s="10">
        <f>CHOOSE(CONTROL!$C$42, 7.7828, 7.7828)* CHOOSE(CONTROL!$C$21, $C$9, 100%, $E$9)</f>
        <v>7.7827999999999999</v>
      </c>
      <c r="J160" s="10">
        <f>CHOOSE(CONTROL!$C$42, 7.7512, 7.7512)* CHOOSE(CONTROL!$C$21, $C$9, 100%, $E$9)</f>
        <v>7.7511999999999999</v>
      </c>
      <c r="K160" s="53">
        <f>CHOOSE(CONTROL!$C$42, 7.7789, 7.7789) * CHOOSE(CONTROL!$C$21, $C$9, 100%, $E$9)</f>
        <v>7.7789000000000001</v>
      </c>
      <c r="L160" s="10">
        <f>CHOOSE(CONTROL!$C$42, 8.6002, 8.6002) * CHOOSE(CONTROL!$C$21, $C$9, 100%, $E$9)</f>
        <v>8.6001999999999992</v>
      </c>
      <c r="M160" s="10">
        <f>CHOOSE(CONTROL!$C$42, 7.6868, 7.6868) * CHOOSE(CONTROL!$C$21, $C$9, 100%, $E$9)</f>
        <v>7.6867999999999999</v>
      </c>
      <c r="N160" s="10">
        <f>CHOOSE(CONTROL!$C$42, 7.7012, 7.7012) * CHOOSE(CONTROL!$C$21, $C$9, 100%, $E$9)</f>
        <v>7.7012</v>
      </c>
      <c r="O160" s="10">
        <f>CHOOSE(CONTROL!$C$42, 7.9462, 7.9462) * CHOOSE(CONTROL!$C$21, $C$9, 100%, $E$9)</f>
        <v>7.9462000000000002</v>
      </c>
      <c r="P160" s="10">
        <f>CHOOSE(CONTROL!$C$42, 7.7182, 7.7182) * CHOOSE(CONTROL!$C$21, $C$9, 100%, $E$9)</f>
        <v>7.7182000000000004</v>
      </c>
      <c r="Q160" s="10">
        <f>CHOOSE(CONTROL!$C$42, 8.5415, 8.5415) * CHOOSE(CONTROL!$C$21, $C$9, 100%, $E$9)</f>
        <v>8.5414999999999992</v>
      </c>
      <c r="R160" s="10">
        <f>CHOOSE(CONTROL!$C$42, 9.1498, 9.1498) * CHOOSE(CONTROL!$C$21, $C$9, 100%, $E$9)</f>
        <v>9.1498000000000008</v>
      </c>
      <c r="S160" s="10">
        <f>CHOOSE(CONTROL!$C$42, 7.5536, 7.5536) * CHOOSE(CONTROL!$C$21, $C$9, 100%, $E$9)</f>
        <v>7.5536000000000003</v>
      </c>
      <c r="T1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57">
        <f>(1000*CHOOSE(CONTROL!$C$42, 695, 695)*CHOOSE(CONTROL!$C$42, 0.5599, 0.5599)*CHOOSE(CONTROL!$C$42, 30, 30))/1000000</f>
        <v>11.673914999999997</v>
      </c>
      <c r="V160" s="57">
        <f>(1000*CHOOSE(CONTROL!$C$42, 500, 500)*CHOOSE(CONTROL!$C$42, 0.275, 0.275)*CHOOSE(CONTROL!$C$42, 30, 30))/1000000</f>
        <v>4.125</v>
      </c>
      <c r="W160" s="57">
        <f>(1000*CHOOSE(CONTROL!$C$42, 0.1146, 0.1146)*CHOOSE(CONTROL!$C$42, 121.5, 121.5)*CHOOSE(CONTROL!$C$42, 30, 30))/1000000</f>
        <v>0.417717</v>
      </c>
      <c r="X160" s="57">
        <f>(30*0.1790888*245000/1000000)+(30*0.2374*100000/1000000)</f>
        <v>2.0285026799999999</v>
      </c>
      <c r="Y160" s="57"/>
      <c r="Z160" s="10"/>
      <c r="AA160" s="56"/>
      <c r="AB160" s="50">
        <f>(B160*141.293+C160*267.993+D160*115.016+E160*89.698+F160*40+G160*185+H160*0+I160*100+J160*300)/(141.293+267.993+115.016+89.698+0+40+185+100+300)</f>
        <v>7.8101461259079894</v>
      </c>
      <c r="AC160" s="45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7.7674143884892075</v>
      </c>
    </row>
    <row r="161" spans="1:29" ht="15.75" x14ac:dyDescent="0.25">
      <c r="A161" s="16">
        <v>45778</v>
      </c>
      <c r="B161" s="10">
        <f>CHOOSE(CONTROL!$C$42, 7.8514, 7.8514) * CHOOSE(CONTROL!$C$21, $C$9, 100%, $E$9)</f>
        <v>7.8513999999999999</v>
      </c>
      <c r="C161" s="10">
        <f>CHOOSE(CONTROL!$C$42, 7.8594, 7.8594) * CHOOSE(CONTROL!$C$21, $C$9, 100%, $E$9)</f>
        <v>7.8593999999999999</v>
      </c>
      <c r="D161" s="10">
        <f>CHOOSE(CONTROL!$C$42, 8.0621, 8.0621) * CHOOSE(CONTROL!$C$21, $C$9, 100%, $E$9)</f>
        <v>8.0620999999999992</v>
      </c>
      <c r="E161" s="10">
        <f>CHOOSE(CONTROL!$C$42, 8.0932, 8.0932) * CHOOSE(CONTROL!$C$21, $C$9, 100%, $E$9)</f>
        <v>8.0931999999999995</v>
      </c>
      <c r="F161" s="10">
        <f>CHOOSE(CONTROL!$C$42, 7.8272, 7.8272)*CHOOSE(CONTROL!$C$21, $C$9, 100%, $E$9)</f>
        <v>7.8272000000000004</v>
      </c>
      <c r="G161" s="10">
        <f>CHOOSE(CONTROL!$C$42, 7.8422, 7.8422)*CHOOSE(CONTROL!$C$21, $C$9, 100%, $E$9)</f>
        <v>7.8422000000000001</v>
      </c>
      <c r="H161" s="10">
        <f>CHOOSE(CONTROL!$C$42, 8.0819, 8.0819) * CHOOSE(CONTROL!$C$21, $C$9, 100%, $E$9)</f>
        <v>8.0818999999999992</v>
      </c>
      <c r="I161" s="10">
        <f>CHOOSE(CONTROL!$C$42, 7.8515, 7.8515)* CHOOSE(CONTROL!$C$21, $C$9, 100%, $E$9)</f>
        <v>7.8514999999999997</v>
      </c>
      <c r="J161" s="10">
        <f>CHOOSE(CONTROL!$C$42, 7.8202, 7.8202)* CHOOSE(CONTROL!$C$21, $C$9, 100%, $E$9)</f>
        <v>7.8201999999999998</v>
      </c>
      <c r="K161" s="53">
        <f>CHOOSE(CONTROL!$C$42, 7.8476, 7.8476) * CHOOSE(CONTROL!$C$21, $C$9, 100%, $E$9)</f>
        <v>7.8475999999999999</v>
      </c>
      <c r="L161" s="10">
        <f>CHOOSE(CONTROL!$C$42, 8.6689, 8.6689) * CHOOSE(CONTROL!$C$21, $C$9, 100%, $E$9)</f>
        <v>8.6689000000000007</v>
      </c>
      <c r="M161" s="10">
        <f>CHOOSE(CONTROL!$C$42, 7.7551, 7.7551) * CHOOSE(CONTROL!$C$21, $C$9, 100%, $E$9)</f>
        <v>7.7550999999999997</v>
      </c>
      <c r="N161" s="10">
        <f>CHOOSE(CONTROL!$C$42, 7.7699, 7.7699) * CHOOSE(CONTROL!$C$21, $C$9, 100%, $E$9)</f>
        <v>7.7698999999999998</v>
      </c>
      <c r="O161" s="10">
        <f>CHOOSE(CONTROL!$C$42, 8.0141, 8.0141) * CHOOSE(CONTROL!$C$21, $C$9, 100%, $E$9)</f>
        <v>8.0140999999999991</v>
      </c>
      <c r="P161" s="10">
        <f>CHOOSE(CONTROL!$C$42, 7.7861, 7.7861) * CHOOSE(CONTROL!$C$21, $C$9, 100%, $E$9)</f>
        <v>7.7861000000000002</v>
      </c>
      <c r="Q161" s="10">
        <f>CHOOSE(CONTROL!$C$42, 8.6094, 8.6094) * CHOOSE(CONTROL!$C$21, $C$9, 100%, $E$9)</f>
        <v>8.6094000000000008</v>
      </c>
      <c r="R161" s="10">
        <f>CHOOSE(CONTROL!$C$42, 9.218, 9.218) * CHOOSE(CONTROL!$C$21, $C$9, 100%, $E$9)</f>
        <v>9.218</v>
      </c>
      <c r="S161" s="10">
        <f>CHOOSE(CONTROL!$C$42, 7.6203, 7.6203) * CHOOSE(CONTROL!$C$21, $C$9, 100%, $E$9)</f>
        <v>7.6203000000000003</v>
      </c>
      <c r="T1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57">
        <f>(1000*CHOOSE(CONTROL!$C$42, 695, 695)*CHOOSE(CONTROL!$C$42, 0.5599, 0.5599)*CHOOSE(CONTROL!$C$42, 31, 31))/1000000</f>
        <v>12.063045499999998</v>
      </c>
      <c r="V161" s="57">
        <f>(1000*CHOOSE(CONTROL!$C$42, 500, 500)*CHOOSE(CONTROL!$C$42, 0.275, 0.275)*CHOOSE(CONTROL!$C$42, 31, 31))/1000000</f>
        <v>4.2625000000000002</v>
      </c>
      <c r="W161" s="57">
        <f>(1000*CHOOSE(CONTROL!$C$42, 0.1146, 0.1146)*CHOOSE(CONTROL!$C$42, 121.5, 121.5)*CHOOSE(CONTROL!$C$42, 31, 31))/1000000</f>
        <v>0.43164089999999994</v>
      </c>
      <c r="X161" s="57">
        <f>(31*0.1790888*245000/1000000)+(31*0.2374*100000/1000000)</f>
        <v>2.0961194359999999</v>
      </c>
      <c r="Y161" s="57"/>
      <c r="Z161" s="10"/>
      <c r="AA161" s="56"/>
      <c r="AB161" s="50">
        <f>(B161*194.205+C161*267.466+D161*133.845+E161*53.484+F161*40+G161*185+H161*0+I161*100+J161*300)/(194.205+267.466+133.845+53.484+0+40+185+100+300)</f>
        <v>7.8759316332025104</v>
      </c>
      <c r="AC161" s="45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7.8356366906474806</v>
      </c>
    </row>
    <row r="162" spans="1:29" ht="15.75" x14ac:dyDescent="0.25">
      <c r="A162" s="16">
        <v>45809</v>
      </c>
      <c r="B162" s="10">
        <f>CHOOSE(CONTROL!$C$42, 8.074, 8.074) * CHOOSE(CONTROL!$C$21, $C$9, 100%, $E$9)</f>
        <v>8.0739999999999998</v>
      </c>
      <c r="C162" s="10">
        <f>CHOOSE(CONTROL!$C$42, 8.0819, 8.0819) * CHOOSE(CONTROL!$C$21, $C$9, 100%, $E$9)</f>
        <v>8.0818999999999992</v>
      </c>
      <c r="D162" s="10">
        <f>CHOOSE(CONTROL!$C$42, 8.2847, 8.2847) * CHOOSE(CONTROL!$C$21, $C$9, 100%, $E$9)</f>
        <v>8.2847000000000008</v>
      </c>
      <c r="E162" s="10">
        <f>CHOOSE(CONTROL!$C$42, 8.3158, 8.3158) * CHOOSE(CONTROL!$C$21, $C$9, 100%, $E$9)</f>
        <v>8.3157999999999994</v>
      </c>
      <c r="F162" s="10">
        <f>CHOOSE(CONTROL!$C$42, 8.0502, 8.0502)*CHOOSE(CONTROL!$C$21, $C$9, 100%, $E$9)</f>
        <v>8.0502000000000002</v>
      </c>
      <c r="G162" s="10">
        <f>CHOOSE(CONTROL!$C$42, 8.0654, 8.0654)*CHOOSE(CONTROL!$C$21, $C$9, 100%, $E$9)</f>
        <v>8.0654000000000003</v>
      </c>
      <c r="H162" s="10">
        <f>CHOOSE(CONTROL!$C$42, 8.3044, 8.3044) * CHOOSE(CONTROL!$C$21, $C$9, 100%, $E$9)</f>
        <v>8.3043999999999993</v>
      </c>
      <c r="I162" s="10">
        <f>CHOOSE(CONTROL!$C$42, 8.074, 8.074)* CHOOSE(CONTROL!$C$21, $C$9, 100%, $E$9)</f>
        <v>8.0739999999999998</v>
      </c>
      <c r="J162" s="10">
        <f>CHOOSE(CONTROL!$C$42, 8.0432, 8.0432)* CHOOSE(CONTROL!$C$21, $C$9, 100%, $E$9)</f>
        <v>8.0432000000000006</v>
      </c>
      <c r="K162" s="53">
        <f>CHOOSE(CONTROL!$C$42, 8.0702, 8.0702) * CHOOSE(CONTROL!$C$21, $C$9, 100%, $E$9)</f>
        <v>8.0701999999999998</v>
      </c>
      <c r="L162" s="10">
        <f>CHOOSE(CONTROL!$C$42, 8.8914, 8.8914) * CHOOSE(CONTROL!$C$21, $C$9, 100%, $E$9)</f>
        <v>8.8914000000000009</v>
      </c>
      <c r="M162" s="10">
        <f>CHOOSE(CONTROL!$C$42, 7.9759, 7.9759) * CHOOSE(CONTROL!$C$21, $C$9, 100%, $E$9)</f>
        <v>7.9759000000000002</v>
      </c>
      <c r="N162" s="10">
        <f>CHOOSE(CONTROL!$C$42, 7.9909, 7.9909) * CHOOSE(CONTROL!$C$21, $C$9, 100%, $E$9)</f>
        <v>7.9908999999999999</v>
      </c>
      <c r="O162" s="10">
        <f>CHOOSE(CONTROL!$C$42, 8.2344, 8.2344) * CHOOSE(CONTROL!$C$21, $C$9, 100%, $E$9)</f>
        <v>8.2344000000000008</v>
      </c>
      <c r="P162" s="10">
        <f>CHOOSE(CONTROL!$C$42, 8.0064, 8.0064) * CHOOSE(CONTROL!$C$21, $C$9, 100%, $E$9)</f>
        <v>8.0063999999999993</v>
      </c>
      <c r="Q162" s="10">
        <f>CHOOSE(CONTROL!$C$42, 8.8297, 8.8297) * CHOOSE(CONTROL!$C$21, $C$9, 100%, $E$9)</f>
        <v>8.8297000000000008</v>
      </c>
      <c r="R162" s="10">
        <f>CHOOSE(CONTROL!$C$42, 9.4388, 9.4388) * CHOOSE(CONTROL!$C$21, $C$9, 100%, $E$9)</f>
        <v>9.4388000000000005</v>
      </c>
      <c r="S162" s="10">
        <f>CHOOSE(CONTROL!$C$42, 7.8364, 7.8364) * CHOOSE(CONTROL!$C$21, $C$9, 100%, $E$9)</f>
        <v>7.8364000000000003</v>
      </c>
      <c r="T1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57">
        <f>(1000*CHOOSE(CONTROL!$C$42, 695, 695)*CHOOSE(CONTROL!$C$42, 0.5599, 0.5599)*CHOOSE(CONTROL!$C$42, 30, 30))/1000000</f>
        <v>11.673914999999997</v>
      </c>
      <c r="V162" s="57">
        <f>(1000*CHOOSE(CONTROL!$C$42, 500, 500)*CHOOSE(CONTROL!$C$42, 0.275, 0.275)*CHOOSE(CONTROL!$C$42, 30, 30))/1000000</f>
        <v>4.125</v>
      </c>
      <c r="W162" s="57">
        <f>(1000*CHOOSE(CONTROL!$C$42, 0.1146, 0.1146)*CHOOSE(CONTROL!$C$42, 121.5, 121.5)*CHOOSE(CONTROL!$C$42, 30, 30))/1000000</f>
        <v>0.417717</v>
      </c>
      <c r="X162" s="57">
        <f>(30*0.1790888*245000/1000000)+(30*0.2374*100000/1000000)</f>
        <v>2.0285026799999999</v>
      </c>
      <c r="Y162" s="57"/>
      <c r="Z162" s="10"/>
      <c r="AA162" s="56"/>
      <c r="AB162" s="50">
        <f>(B162*194.205+C162*267.466+D162*133.845+E162*53.484+F162*40+G162*185+H162*0+I162*100+J162*300)/(194.205+267.466+133.845+53.484+0+40+185+100+300)</f>
        <v>8.0986966672684471</v>
      </c>
      <c r="AC162" s="45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8.0562705035971227</v>
      </c>
    </row>
    <row r="163" spans="1:29" ht="15.75" x14ac:dyDescent="0.25">
      <c r="A163" s="16">
        <v>45839</v>
      </c>
      <c r="B163" s="10">
        <f>CHOOSE(CONTROL!$C$42, 7.9192, 7.9192) * CHOOSE(CONTROL!$C$21, $C$9, 100%, $E$9)</f>
        <v>7.9192</v>
      </c>
      <c r="C163" s="10">
        <f>CHOOSE(CONTROL!$C$42, 7.9271, 7.9271) * CHOOSE(CONTROL!$C$21, $C$9, 100%, $E$9)</f>
        <v>7.9271000000000003</v>
      </c>
      <c r="D163" s="10">
        <f>CHOOSE(CONTROL!$C$42, 8.1299, 8.1299) * CHOOSE(CONTROL!$C$21, $C$9, 100%, $E$9)</f>
        <v>8.1298999999999992</v>
      </c>
      <c r="E163" s="10">
        <f>CHOOSE(CONTROL!$C$42, 8.161, 8.161) * CHOOSE(CONTROL!$C$21, $C$9, 100%, $E$9)</f>
        <v>8.1609999999999996</v>
      </c>
      <c r="F163" s="10">
        <f>CHOOSE(CONTROL!$C$42, 7.896, 7.896)*CHOOSE(CONTROL!$C$21, $C$9, 100%, $E$9)</f>
        <v>7.8959999999999999</v>
      </c>
      <c r="G163" s="10">
        <f>CHOOSE(CONTROL!$C$42, 7.9112, 7.9112)*CHOOSE(CONTROL!$C$21, $C$9, 100%, $E$9)</f>
        <v>7.9112</v>
      </c>
      <c r="H163" s="10">
        <f>CHOOSE(CONTROL!$C$42, 8.1496, 8.1496) * CHOOSE(CONTROL!$C$21, $C$9, 100%, $E$9)</f>
        <v>8.1495999999999995</v>
      </c>
      <c r="I163" s="10">
        <f>CHOOSE(CONTROL!$C$42, 7.9193, 7.9193)* CHOOSE(CONTROL!$C$21, $C$9, 100%, $E$9)</f>
        <v>7.9192999999999998</v>
      </c>
      <c r="J163" s="10">
        <f>CHOOSE(CONTROL!$C$42, 7.889, 7.889)* CHOOSE(CONTROL!$C$21, $C$9, 100%, $E$9)</f>
        <v>7.8890000000000002</v>
      </c>
      <c r="K163" s="53">
        <f>CHOOSE(CONTROL!$C$42, 7.9154, 7.9154) * CHOOSE(CONTROL!$C$21, $C$9, 100%, $E$9)</f>
        <v>7.9154</v>
      </c>
      <c r="L163" s="10">
        <f>CHOOSE(CONTROL!$C$42, 8.7366, 8.7366) * CHOOSE(CONTROL!$C$21, $C$9, 100%, $E$9)</f>
        <v>8.7365999999999993</v>
      </c>
      <c r="M163" s="10">
        <f>CHOOSE(CONTROL!$C$42, 7.8232, 7.8232) * CHOOSE(CONTROL!$C$21, $C$9, 100%, $E$9)</f>
        <v>7.8231999999999999</v>
      </c>
      <c r="N163" s="10">
        <f>CHOOSE(CONTROL!$C$42, 7.8383, 7.8383) * CHOOSE(CONTROL!$C$21, $C$9, 100%, $E$9)</f>
        <v>7.8383000000000003</v>
      </c>
      <c r="O163" s="10">
        <f>CHOOSE(CONTROL!$C$42, 8.0812, 8.0812) * CHOOSE(CONTROL!$C$21, $C$9, 100%, $E$9)</f>
        <v>8.0812000000000008</v>
      </c>
      <c r="P163" s="10">
        <f>CHOOSE(CONTROL!$C$42, 7.8532, 7.8532) * CHOOSE(CONTROL!$C$21, $C$9, 100%, $E$9)</f>
        <v>7.8532000000000002</v>
      </c>
      <c r="Q163" s="10">
        <f>CHOOSE(CONTROL!$C$42, 8.6765, 8.6765) * CHOOSE(CONTROL!$C$21, $C$9, 100%, $E$9)</f>
        <v>8.6765000000000008</v>
      </c>
      <c r="R163" s="10">
        <f>CHOOSE(CONTROL!$C$42, 9.2852, 9.2852) * CHOOSE(CONTROL!$C$21, $C$9, 100%, $E$9)</f>
        <v>9.2851999999999997</v>
      </c>
      <c r="S163" s="10">
        <f>CHOOSE(CONTROL!$C$42, 7.6861, 7.6861) * CHOOSE(CONTROL!$C$21, $C$9, 100%, $E$9)</f>
        <v>7.6860999999999997</v>
      </c>
      <c r="T1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57">
        <f>(1000*CHOOSE(CONTROL!$C$42, 695, 695)*CHOOSE(CONTROL!$C$42, 0.5599, 0.5599)*CHOOSE(CONTROL!$C$42, 31, 31))/1000000</f>
        <v>12.063045499999998</v>
      </c>
      <c r="V163" s="57">
        <f>(1000*CHOOSE(CONTROL!$C$42, 500, 500)*CHOOSE(CONTROL!$C$42, 0.275, 0.275)*CHOOSE(CONTROL!$C$42, 31, 31))/1000000</f>
        <v>4.2625000000000002</v>
      </c>
      <c r="W163" s="57">
        <f>(1000*CHOOSE(CONTROL!$C$42, 0.1146, 0.1146)*CHOOSE(CONTROL!$C$42, 121.5, 121.5)*CHOOSE(CONTROL!$C$42, 31, 31))/1000000</f>
        <v>0.43164089999999994</v>
      </c>
      <c r="X163" s="57">
        <f>(31*0.1790888*245000/1000000)+(31*0.2374*100000/1000000)</f>
        <v>2.0961194359999999</v>
      </c>
      <c r="Y163" s="57"/>
      <c r="Z163" s="10"/>
      <c r="AA163" s="56"/>
      <c r="AB163" s="50">
        <f>(B163*194.205+C163*267.466+D163*133.845+E163*53.484+F163*40+G163*185+H163*0+I163*100+J163*300)/(194.205+267.466+133.845+53.484+0+40+185+100+300)</f>
        <v>7.9441517693092631</v>
      </c>
      <c r="AC163" s="45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7.9033812949640279</v>
      </c>
    </row>
    <row r="164" spans="1:29" ht="15.75" x14ac:dyDescent="0.25">
      <c r="A164" s="16">
        <v>45870</v>
      </c>
      <c r="B164" s="10">
        <f>CHOOSE(CONTROL!$C$42, 7.5283, 7.5283) * CHOOSE(CONTROL!$C$21, $C$9, 100%, $E$9)</f>
        <v>7.5282999999999998</v>
      </c>
      <c r="C164" s="10">
        <f>CHOOSE(CONTROL!$C$42, 7.5362, 7.5362) * CHOOSE(CONTROL!$C$21, $C$9, 100%, $E$9)</f>
        <v>7.5362</v>
      </c>
      <c r="D164" s="10">
        <f>CHOOSE(CONTROL!$C$42, 7.739, 7.739) * CHOOSE(CONTROL!$C$21, $C$9, 100%, $E$9)</f>
        <v>7.7389999999999999</v>
      </c>
      <c r="E164" s="10">
        <f>CHOOSE(CONTROL!$C$42, 7.7701, 7.7701) * CHOOSE(CONTROL!$C$21, $C$9, 100%, $E$9)</f>
        <v>7.7701000000000002</v>
      </c>
      <c r="F164" s="10">
        <f>CHOOSE(CONTROL!$C$42, 7.5053, 7.5053)*CHOOSE(CONTROL!$C$21, $C$9, 100%, $E$9)</f>
        <v>7.5053000000000001</v>
      </c>
      <c r="G164" s="10">
        <f>CHOOSE(CONTROL!$C$42, 7.5206, 7.5206)*CHOOSE(CONTROL!$C$21, $C$9, 100%, $E$9)</f>
        <v>7.5206</v>
      </c>
      <c r="H164" s="10">
        <f>CHOOSE(CONTROL!$C$42, 7.7587, 7.7587) * CHOOSE(CONTROL!$C$21, $C$9, 100%, $E$9)</f>
        <v>7.7587000000000002</v>
      </c>
      <c r="I164" s="10">
        <f>CHOOSE(CONTROL!$C$42, 7.5284, 7.5284)* CHOOSE(CONTROL!$C$21, $C$9, 100%, $E$9)</f>
        <v>7.5284000000000004</v>
      </c>
      <c r="J164" s="10">
        <f>CHOOSE(CONTROL!$C$42, 7.4983, 7.4983)* CHOOSE(CONTROL!$C$21, $C$9, 100%, $E$9)</f>
        <v>7.4983000000000004</v>
      </c>
      <c r="K164" s="53">
        <f>CHOOSE(CONTROL!$C$42, 7.5245, 7.5245) * CHOOSE(CONTROL!$C$21, $C$9, 100%, $E$9)</f>
        <v>7.5244999999999997</v>
      </c>
      <c r="L164" s="10">
        <f>CHOOSE(CONTROL!$C$42, 8.3457, 8.3457) * CHOOSE(CONTROL!$C$21, $C$9, 100%, $E$9)</f>
        <v>8.3457000000000008</v>
      </c>
      <c r="M164" s="10">
        <f>CHOOSE(CONTROL!$C$42, 7.4364, 7.4364) * CHOOSE(CONTROL!$C$21, $C$9, 100%, $E$9)</f>
        <v>7.4363999999999999</v>
      </c>
      <c r="N164" s="10">
        <f>CHOOSE(CONTROL!$C$42, 7.4516, 7.4516) * CHOOSE(CONTROL!$C$21, $C$9, 100%, $E$9)</f>
        <v>7.4516</v>
      </c>
      <c r="O164" s="10">
        <f>CHOOSE(CONTROL!$C$42, 7.6943, 7.6943) * CHOOSE(CONTROL!$C$21, $C$9, 100%, $E$9)</f>
        <v>7.6943000000000001</v>
      </c>
      <c r="P164" s="10">
        <f>CHOOSE(CONTROL!$C$42, 7.4662, 7.4662) * CHOOSE(CONTROL!$C$21, $C$9, 100%, $E$9)</f>
        <v>7.4661999999999997</v>
      </c>
      <c r="Q164" s="10">
        <f>CHOOSE(CONTROL!$C$42, 8.2896, 8.2896) * CHOOSE(CONTROL!$C$21, $C$9, 100%, $E$9)</f>
        <v>8.2896000000000001</v>
      </c>
      <c r="R164" s="10">
        <f>CHOOSE(CONTROL!$C$42, 8.8973, 8.8973) * CHOOSE(CONTROL!$C$21, $C$9, 100%, $E$9)</f>
        <v>8.8972999999999995</v>
      </c>
      <c r="S164" s="10">
        <f>CHOOSE(CONTROL!$C$42, 7.3065, 7.3065) * CHOOSE(CONTROL!$C$21, $C$9, 100%, $E$9)</f>
        <v>7.3064999999999998</v>
      </c>
      <c r="T1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57">
        <f>(1000*CHOOSE(CONTROL!$C$42, 695, 695)*CHOOSE(CONTROL!$C$42, 0.5599, 0.5599)*CHOOSE(CONTROL!$C$42, 31, 31))/1000000</f>
        <v>12.063045499999998</v>
      </c>
      <c r="V164" s="57">
        <f>(1000*CHOOSE(CONTROL!$C$42, 500, 500)*CHOOSE(CONTROL!$C$42, 0.275, 0.275)*CHOOSE(CONTROL!$C$42, 31, 31))/1000000</f>
        <v>4.2625000000000002</v>
      </c>
      <c r="W164" s="57">
        <f>(1000*CHOOSE(CONTROL!$C$42, 0.1146, 0.1146)*CHOOSE(CONTROL!$C$42, 121.5, 121.5)*CHOOSE(CONTROL!$C$42, 31, 31))/1000000</f>
        <v>0.43164089999999994</v>
      </c>
      <c r="X164" s="57">
        <f>(31*0.1790888*245000/1000000)+(31*0.2374*100000/1000000)</f>
        <v>2.0961194359999999</v>
      </c>
      <c r="Y164" s="57"/>
      <c r="Z164" s="10"/>
      <c r="AA164" s="56"/>
      <c r="AB164" s="50">
        <f>(B164*194.205+C164*267.466+D164*133.845+E164*53.484+F164*40+G164*185+H164*0+I164*100+J164*300)/(194.205+267.466+133.845+53.484+0+40+185+100+300)</f>
        <v>7.5533487080847719</v>
      </c>
      <c r="AC164" s="45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7.5165474820143885</v>
      </c>
    </row>
    <row r="165" spans="1:29" ht="15.75" x14ac:dyDescent="0.25">
      <c r="A165" s="16">
        <v>45901</v>
      </c>
      <c r="B165" s="10">
        <f>CHOOSE(CONTROL!$C$42, 7.0503, 7.0503) * CHOOSE(CONTROL!$C$21, $C$9, 100%, $E$9)</f>
        <v>7.0503</v>
      </c>
      <c r="C165" s="10">
        <f>CHOOSE(CONTROL!$C$42, 7.0582, 7.0582) * CHOOSE(CONTROL!$C$21, $C$9, 100%, $E$9)</f>
        <v>7.0582000000000003</v>
      </c>
      <c r="D165" s="10">
        <f>CHOOSE(CONTROL!$C$42, 7.261, 7.261) * CHOOSE(CONTROL!$C$21, $C$9, 100%, $E$9)</f>
        <v>7.2610000000000001</v>
      </c>
      <c r="E165" s="10">
        <f>CHOOSE(CONTROL!$C$42, 7.2921, 7.2921) * CHOOSE(CONTROL!$C$21, $C$9, 100%, $E$9)</f>
        <v>7.2920999999999996</v>
      </c>
      <c r="F165" s="10">
        <f>CHOOSE(CONTROL!$C$42, 7.0271, 7.0271)*CHOOSE(CONTROL!$C$21, $C$9, 100%, $E$9)</f>
        <v>7.0270999999999999</v>
      </c>
      <c r="G165" s="10">
        <f>CHOOSE(CONTROL!$C$42, 7.0424, 7.0424)*CHOOSE(CONTROL!$C$21, $C$9, 100%, $E$9)</f>
        <v>7.0423999999999998</v>
      </c>
      <c r="H165" s="10">
        <f>CHOOSE(CONTROL!$C$42, 7.2807, 7.2807) * CHOOSE(CONTROL!$C$21, $C$9, 100%, $E$9)</f>
        <v>7.2807000000000004</v>
      </c>
      <c r="I165" s="10">
        <f>CHOOSE(CONTROL!$C$42, 7.0504, 7.0504)* CHOOSE(CONTROL!$C$21, $C$9, 100%, $E$9)</f>
        <v>7.0503999999999998</v>
      </c>
      <c r="J165" s="10">
        <f>CHOOSE(CONTROL!$C$42, 7.0201, 7.0201)* CHOOSE(CONTROL!$C$21, $C$9, 100%, $E$9)</f>
        <v>7.0201000000000002</v>
      </c>
      <c r="K165" s="53">
        <f>CHOOSE(CONTROL!$C$42, 7.0465, 7.0465) * CHOOSE(CONTROL!$C$21, $C$9, 100%, $E$9)</f>
        <v>7.0465</v>
      </c>
      <c r="L165" s="10">
        <f>CHOOSE(CONTROL!$C$42, 7.8677, 7.8677) * CHOOSE(CONTROL!$C$21, $C$9, 100%, $E$9)</f>
        <v>7.8677000000000001</v>
      </c>
      <c r="M165" s="10">
        <f>CHOOSE(CONTROL!$C$42, 6.9631, 6.9631) * CHOOSE(CONTROL!$C$21, $C$9, 100%, $E$9)</f>
        <v>6.9630999999999998</v>
      </c>
      <c r="N165" s="10">
        <f>CHOOSE(CONTROL!$C$42, 6.9782, 6.9782) * CHOOSE(CONTROL!$C$21, $C$9, 100%, $E$9)</f>
        <v>6.9782000000000002</v>
      </c>
      <c r="O165" s="10">
        <f>CHOOSE(CONTROL!$C$42, 7.2211, 7.2211) * CHOOSE(CONTROL!$C$21, $C$9, 100%, $E$9)</f>
        <v>7.2210999999999999</v>
      </c>
      <c r="P165" s="10">
        <f>CHOOSE(CONTROL!$C$42, 6.9931, 6.9931) * CHOOSE(CONTROL!$C$21, $C$9, 100%, $E$9)</f>
        <v>6.9931000000000001</v>
      </c>
      <c r="Q165" s="10">
        <f>CHOOSE(CONTROL!$C$42, 7.8164, 7.8164) * CHOOSE(CONTROL!$C$21, $C$9, 100%, $E$9)</f>
        <v>7.8163999999999998</v>
      </c>
      <c r="R165" s="10">
        <f>CHOOSE(CONTROL!$C$42, 8.4229, 8.4229) * CHOOSE(CONTROL!$C$21, $C$9, 100%, $E$9)</f>
        <v>8.4229000000000003</v>
      </c>
      <c r="S165" s="10">
        <f>CHOOSE(CONTROL!$C$42, 6.8423, 6.8423) * CHOOSE(CONTROL!$C$21, $C$9, 100%, $E$9)</f>
        <v>6.8422999999999998</v>
      </c>
      <c r="T1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57">
        <f>(1000*CHOOSE(CONTROL!$C$42, 695, 695)*CHOOSE(CONTROL!$C$42, 0.5599, 0.5599)*CHOOSE(CONTROL!$C$42, 30, 30))/1000000</f>
        <v>11.673914999999997</v>
      </c>
      <c r="V165" s="57">
        <f>(1000*CHOOSE(CONTROL!$C$42, 500, 500)*CHOOSE(CONTROL!$C$42, 0.275, 0.275)*CHOOSE(CONTROL!$C$42, 30, 30))/1000000</f>
        <v>4.125</v>
      </c>
      <c r="W165" s="57">
        <f>(1000*CHOOSE(CONTROL!$C$42, 0.1146, 0.1146)*CHOOSE(CONTROL!$C$42, 121.5, 121.5)*CHOOSE(CONTROL!$C$42, 30, 30))/1000000</f>
        <v>0.417717</v>
      </c>
      <c r="X165" s="57">
        <f>(30*0.1790888*245000/1000000)+(30*0.2374*100000/1000000)</f>
        <v>2.0285026799999999</v>
      </c>
      <c r="Y165" s="57"/>
      <c r="Z165" s="10"/>
      <c r="AA165" s="56"/>
      <c r="AB165" s="50">
        <f>(B165*194.205+C165*267.466+D165*133.845+E165*53.484+F165*40+G165*185+H165*0+I165*100+J165*300)/(194.205+267.466+133.845+53.484+0+40+185+100+300)</f>
        <v>7.0752662905023556</v>
      </c>
      <c r="AC165" s="45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7.0432812949640287</v>
      </c>
    </row>
    <row r="166" spans="1:29" ht="15.75" x14ac:dyDescent="0.25">
      <c r="A166" s="16">
        <v>45931</v>
      </c>
      <c r="B166" s="10">
        <f>CHOOSE(CONTROL!$C$42, 6.9055, 6.9055) * CHOOSE(CONTROL!$C$21, $C$9, 100%, $E$9)</f>
        <v>6.9055</v>
      </c>
      <c r="C166" s="10">
        <f>CHOOSE(CONTROL!$C$42, 6.9107, 6.9107) * CHOOSE(CONTROL!$C$21, $C$9, 100%, $E$9)</f>
        <v>6.9107000000000003</v>
      </c>
      <c r="D166" s="10">
        <f>CHOOSE(CONTROL!$C$42, 7.1184, 7.1184) * CHOOSE(CONTROL!$C$21, $C$9, 100%, $E$9)</f>
        <v>7.1184000000000003</v>
      </c>
      <c r="E166" s="10">
        <f>CHOOSE(CONTROL!$C$42, 7.1472, 7.1472) * CHOOSE(CONTROL!$C$21, $C$9, 100%, $E$9)</f>
        <v>7.1471999999999998</v>
      </c>
      <c r="F166" s="10">
        <f>CHOOSE(CONTROL!$C$42, 6.8842, 6.8842)*CHOOSE(CONTROL!$C$21, $C$9, 100%, $E$9)</f>
        <v>6.8841999999999999</v>
      </c>
      <c r="G166" s="10">
        <f>CHOOSE(CONTROL!$C$42, 6.8992, 6.8992)*CHOOSE(CONTROL!$C$21, $C$9, 100%, $E$9)</f>
        <v>6.8992000000000004</v>
      </c>
      <c r="H166" s="10">
        <f>CHOOSE(CONTROL!$C$42, 7.1377, 7.1377) * CHOOSE(CONTROL!$C$21, $C$9, 100%, $E$9)</f>
        <v>7.1376999999999997</v>
      </c>
      <c r="I166" s="10">
        <f>CHOOSE(CONTROL!$C$42, 6.9073, 6.9073)* CHOOSE(CONTROL!$C$21, $C$9, 100%, $E$9)</f>
        <v>6.9073000000000002</v>
      </c>
      <c r="J166" s="10">
        <f>CHOOSE(CONTROL!$C$42, 6.8772, 6.8772)* CHOOSE(CONTROL!$C$21, $C$9, 100%, $E$9)</f>
        <v>6.8772000000000002</v>
      </c>
      <c r="K166" s="53">
        <f>CHOOSE(CONTROL!$C$42, 6.9034, 6.9034) * CHOOSE(CONTROL!$C$21, $C$9, 100%, $E$9)</f>
        <v>6.9034000000000004</v>
      </c>
      <c r="L166" s="10">
        <f>CHOOSE(CONTROL!$C$42, 7.7247, 7.7247) * CHOOSE(CONTROL!$C$21, $C$9, 100%, $E$9)</f>
        <v>7.7247000000000003</v>
      </c>
      <c r="M166" s="10">
        <f>CHOOSE(CONTROL!$C$42, 6.8217, 6.8217) * CHOOSE(CONTROL!$C$21, $C$9, 100%, $E$9)</f>
        <v>6.8216999999999999</v>
      </c>
      <c r="N166" s="10">
        <f>CHOOSE(CONTROL!$C$42, 6.8365, 6.8365) * CHOOSE(CONTROL!$C$21, $C$9, 100%, $E$9)</f>
        <v>6.8365</v>
      </c>
      <c r="O166" s="10">
        <f>CHOOSE(CONTROL!$C$42, 7.0795, 7.0795) * CHOOSE(CONTROL!$C$21, $C$9, 100%, $E$9)</f>
        <v>7.0795000000000003</v>
      </c>
      <c r="P166" s="10">
        <f>CHOOSE(CONTROL!$C$42, 6.8515, 6.8515) * CHOOSE(CONTROL!$C$21, $C$9, 100%, $E$9)</f>
        <v>6.8514999999999997</v>
      </c>
      <c r="Q166" s="10">
        <f>CHOOSE(CONTROL!$C$42, 7.6748, 7.6748) * CHOOSE(CONTROL!$C$21, $C$9, 100%, $E$9)</f>
        <v>7.6748000000000003</v>
      </c>
      <c r="R166" s="10">
        <f>CHOOSE(CONTROL!$C$42, 8.281, 8.281) * CHOOSE(CONTROL!$C$21, $C$9, 100%, $E$9)</f>
        <v>8.2810000000000006</v>
      </c>
      <c r="S166" s="10">
        <f>CHOOSE(CONTROL!$C$42, 6.7034, 6.7034) * CHOOSE(CONTROL!$C$21, $C$9, 100%, $E$9)</f>
        <v>6.7034000000000002</v>
      </c>
      <c r="T1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57">
        <f>(1000*CHOOSE(CONTROL!$C$42, 695, 695)*CHOOSE(CONTROL!$C$42, 0.5599, 0.5599)*CHOOSE(CONTROL!$C$42, 31, 31))/1000000</f>
        <v>12.063045499999998</v>
      </c>
      <c r="V166" s="57">
        <f>(1000*CHOOSE(CONTROL!$C$42, 500, 500)*CHOOSE(CONTROL!$C$42, 0.275, 0.275)*CHOOSE(CONTROL!$C$42, 31, 31))/1000000</f>
        <v>4.2625000000000002</v>
      </c>
      <c r="W166" s="57">
        <f>(1000*CHOOSE(CONTROL!$C$42, 0.1146, 0.1146)*CHOOSE(CONTROL!$C$42, 121.5, 121.5)*CHOOSE(CONTROL!$C$42, 31, 31))/1000000</f>
        <v>0.43164089999999994</v>
      </c>
      <c r="X166" s="57">
        <f>(31*0.1790888*245000/1000000)+(31*0.2374*100000/1000000)</f>
        <v>2.0961194359999999</v>
      </c>
      <c r="Y166" s="57"/>
      <c r="Z166" s="10"/>
      <c r="AA166" s="56"/>
      <c r="AB166" s="50">
        <f>(B166*131.881+C166*277.167+D166*79.08+E166*125.872+F166*40+G166*185+H166*0+I166*100+J166*300)/(131.881+277.167+79.08+125.872+0+40+185+100+300)</f>
        <v>6.9364710757062147</v>
      </c>
      <c r="AC166" s="45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6.9017273381294952</v>
      </c>
    </row>
    <row r="167" spans="1:29" ht="15.75" x14ac:dyDescent="0.25">
      <c r="A167" s="16">
        <v>45962</v>
      </c>
      <c r="B167" s="10">
        <f>CHOOSE(CONTROL!$C$42, 7.0869, 7.0869) * CHOOSE(CONTROL!$C$21, $C$9, 100%, $E$9)</f>
        <v>7.0869</v>
      </c>
      <c r="C167" s="10">
        <f>CHOOSE(CONTROL!$C$42, 7.0919, 7.0919) * CHOOSE(CONTROL!$C$21, $C$9, 100%, $E$9)</f>
        <v>7.0918999999999999</v>
      </c>
      <c r="D167" s="10">
        <f>CHOOSE(CONTROL!$C$42, 7.1524, 7.1524) * CHOOSE(CONTROL!$C$21, $C$9, 100%, $E$9)</f>
        <v>7.1524000000000001</v>
      </c>
      <c r="E167" s="10">
        <f>CHOOSE(CONTROL!$C$42, 7.1862, 7.1862) * CHOOSE(CONTROL!$C$21, $C$9, 100%, $E$9)</f>
        <v>7.1862000000000004</v>
      </c>
      <c r="F167" s="10">
        <f>CHOOSE(CONTROL!$C$42, 7.0826, 7.0826)*CHOOSE(CONTROL!$C$21, $C$9, 100%, $E$9)</f>
        <v>7.0826000000000002</v>
      </c>
      <c r="G167" s="10">
        <f>CHOOSE(CONTROL!$C$42, 7.0978, 7.0978)*CHOOSE(CONTROL!$C$21, $C$9, 100%, $E$9)</f>
        <v>7.0978000000000003</v>
      </c>
      <c r="H167" s="10">
        <f>CHOOSE(CONTROL!$C$42, 7.1754, 7.1754) * CHOOSE(CONTROL!$C$21, $C$9, 100%, $E$9)</f>
        <v>7.1753999999999998</v>
      </c>
      <c r="I167" s="10">
        <f>CHOOSE(CONTROL!$C$42, 7.0994, 7.0994)* CHOOSE(CONTROL!$C$21, $C$9, 100%, $E$9)</f>
        <v>7.0994000000000002</v>
      </c>
      <c r="J167" s="10">
        <f>CHOOSE(CONTROL!$C$42, 7.0756, 7.0756)* CHOOSE(CONTROL!$C$21, $C$9, 100%, $E$9)</f>
        <v>7.0755999999999997</v>
      </c>
      <c r="K167" s="53">
        <f>CHOOSE(CONTROL!$C$42, 7.0956, 7.0956) * CHOOSE(CONTROL!$C$21, $C$9, 100%, $E$9)</f>
        <v>7.0956000000000001</v>
      </c>
      <c r="L167" s="10">
        <f>CHOOSE(CONTROL!$C$42, 7.7624, 7.7624) * CHOOSE(CONTROL!$C$21, $C$9, 100%, $E$9)</f>
        <v>7.7624000000000004</v>
      </c>
      <c r="M167" s="10">
        <f>CHOOSE(CONTROL!$C$42, 7.018, 7.018) * CHOOSE(CONTROL!$C$21, $C$9, 100%, $E$9)</f>
        <v>7.0179999999999998</v>
      </c>
      <c r="N167" s="10">
        <f>CHOOSE(CONTROL!$C$42, 7.0331, 7.0331) * CHOOSE(CONTROL!$C$21, $C$9, 100%, $E$9)</f>
        <v>7.0331000000000001</v>
      </c>
      <c r="O167" s="10">
        <f>CHOOSE(CONTROL!$C$42, 7.1168, 7.1168) * CHOOSE(CONTROL!$C$21, $C$9, 100%, $E$9)</f>
        <v>7.1167999999999996</v>
      </c>
      <c r="P167" s="10">
        <f>CHOOSE(CONTROL!$C$42, 7.0417, 7.0417) * CHOOSE(CONTROL!$C$21, $C$9, 100%, $E$9)</f>
        <v>7.0416999999999996</v>
      </c>
      <c r="Q167" s="10">
        <f>CHOOSE(CONTROL!$C$42, 7.7121, 7.7121) * CHOOSE(CONTROL!$C$21, $C$9, 100%, $E$9)</f>
        <v>7.7121000000000004</v>
      </c>
      <c r="R167" s="10">
        <f>CHOOSE(CONTROL!$C$42, 8.3184, 8.3184) * CHOOSE(CONTROL!$C$21, $C$9, 100%, $E$9)</f>
        <v>8.3184000000000005</v>
      </c>
      <c r="S167" s="10">
        <f>CHOOSE(CONTROL!$C$42, 6.88, 6.88) * CHOOSE(CONTROL!$C$21, $C$9, 100%, $E$9)</f>
        <v>6.88</v>
      </c>
      <c r="T1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57">
        <f>(1000*CHOOSE(CONTROL!$C$42, 695, 695)*CHOOSE(CONTROL!$C$42, 0.5599, 0.5599)*CHOOSE(CONTROL!$C$42, 30, 30))/1000000</f>
        <v>11.673914999999997</v>
      </c>
      <c r="V167" s="57">
        <f>(1000*CHOOSE(CONTROL!$C$42, 500, 500)*CHOOSE(CONTROL!$C$42, 0.275, 0.275)*CHOOSE(CONTROL!$C$42, 30, 30))/1000000</f>
        <v>4.125</v>
      </c>
      <c r="W167" s="57">
        <f>(1000*CHOOSE(CONTROL!$C$42, 0.1146, 0.1146)*CHOOSE(CONTROL!$C$42, 121.5, 121.5)*CHOOSE(CONTROL!$C$42, 30, 30))/1000000</f>
        <v>0.417717</v>
      </c>
      <c r="X167" s="57">
        <f>(30*0.1790888*100000/1000000)+(30*0.2374*100000/1000000)</f>
        <v>1.2494664</v>
      </c>
      <c r="Y167" s="57"/>
      <c r="Z167" s="10"/>
      <c r="AA167" s="56"/>
      <c r="AB167" s="50">
        <f>(B167*122.58+C167*297.941+D167*89.177+E167*40.302+F167*40+G167*160+H167*0+I167*100+J167*300)/(122.58+297.941+89.177+40.302+0+40+160+100+300)</f>
        <v>7.0962606844347826</v>
      </c>
      <c r="AC167" s="45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7.0670589928057552</v>
      </c>
    </row>
    <row r="168" spans="1:29" ht="15.75" x14ac:dyDescent="0.25">
      <c r="A168" s="16">
        <v>45992</v>
      </c>
      <c r="B168" s="10">
        <f>CHOOSE(CONTROL!$C$42, 7.5699, 7.5699) * CHOOSE(CONTROL!$C$21, $C$9, 100%, $E$9)</f>
        <v>7.5698999999999996</v>
      </c>
      <c r="C168" s="10">
        <f>CHOOSE(CONTROL!$C$42, 7.5749, 7.5749) * CHOOSE(CONTROL!$C$21, $C$9, 100%, $E$9)</f>
        <v>7.5749000000000004</v>
      </c>
      <c r="D168" s="10">
        <f>CHOOSE(CONTROL!$C$42, 7.6354, 7.6354) * CHOOSE(CONTROL!$C$21, $C$9, 100%, $E$9)</f>
        <v>7.6353999999999997</v>
      </c>
      <c r="E168" s="10">
        <f>CHOOSE(CONTROL!$C$42, 7.6691, 7.6691) * CHOOSE(CONTROL!$C$21, $C$9, 100%, $E$9)</f>
        <v>7.6691000000000003</v>
      </c>
      <c r="F168" s="10">
        <f>CHOOSE(CONTROL!$C$42, 7.5674, 7.5674)*CHOOSE(CONTROL!$C$21, $C$9, 100%, $E$9)</f>
        <v>7.5674000000000001</v>
      </c>
      <c r="G168" s="10">
        <f>CHOOSE(CONTROL!$C$42, 7.5831, 7.5831)*CHOOSE(CONTROL!$C$21, $C$9, 100%, $E$9)</f>
        <v>7.5831</v>
      </c>
      <c r="H168" s="10">
        <f>CHOOSE(CONTROL!$C$42, 7.6583, 7.6583) * CHOOSE(CONTROL!$C$21, $C$9, 100%, $E$9)</f>
        <v>7.6582999999999997</v>
      </c>
      <c r="I168" s="10">
        <f>CHOOSE(CONTROL!$C$42, 7.5824, 7.5824)* CHOOSE(CONTROL!$C$21, $C$9, 100%, $E$9)</f>
        <v>7.5823999999999998</v>
      </c>
      <c r="J168" s="10">
        <f>CHOOSE(CONTROL!$C$42, 7.5604, 7.5604)* CHOOSE(CONTROL!$C$21, $C$9, 100%, $E$9)</f>
        <v>7.5603999999999996</v>
      </c>
      <c r="K168" s="53">
        <f>CHOOSE(CONTROL!$C$42, 7.5785, 7.5785) * CHOOSE(CONTROL!$C$21, $C$9, 100%, $E$9)</f>
        <v>7.5785</v>
      </c>
      <c r="L168" s="10">
        <f>CHOOSE(CONTROL!$C$42, 8.2453, 8.2453) * CHOOSE(CONTROL!$C$21, $C$9, 100%, $E$9)</f>
        <v>8.2453000000000003</v>
      </c>
      <c r="M168" s="10">
        <f>CHOOSE(CONTROL!$C$42, 7.4979, 7.4979) * CHOOSE(CONTROL!$C$21, $C$9, 100%, $E$9)</f>
        <v>7.4978999999999996</v>
      </c>
      <c r="N168" s="10">
        <f>CHOOSE(CONTROL!$C$42, 7.5134, 7.5134) * CHOOSE(CONTROL!$C$21, $C$9, 100%, $E$9)</f>
        <v>7.5133999999999999</v>
      </c>
      <c r="O168" s="10">
        <f>CHOOSE(CONTROL!$C$42, 7.5949, 7.5949) * CHOOSE(CONTROL!$C$21, $C$9, 100%, $E$9)</f>
        <v>7.5949</v>
      </c>
      <c r="P168" s="10">
        <f>CHOOSE(CONTROL!$C$42, 7.5198, 7.5198) * CHOOSE(CONTROL!$C$21, $C$9, 100%, $E$9)</f>
        <v>7.5198</v>
      </c>
      <c r="Q168" s="10">
        <f>CHOOSE(CONTROL!$C$42, 8.1902, 8.1902) * CHOOSE(CONTROL!$C$21, $C$9, 100%, $E$9)</f>
        <v>8.1902000000000008</v>
      </c>
      <c r="R168" s="10">
        <f>CHOOSE(CONTROL!$C$42, 8.7977, 8.7977) * CHOOSE(CONTROL!$C$21, $C$9, 100%, $E$9)</f>
        <v>8.7977000000000007</v>
      </c>
      <c r="S168" s="10">
        <f>CHOOSE(CONTROL!$C$42, 7.349, 7.349) * CHOOSE(CONTROL!$C$21, $C$9, 100%, $E$9)</f>
        <v>7.3490000000000002</v>
      </c>
      <c r="T1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57">
        <f>(1000*CHOOSE(CONTROL!$C$42, 695, 695)*CHOOSE(CONTROL!$C$42, 0.5599, 0.5599)*CHOOSE(CONTROL!$C$42, 31, 31))/1000000</f>
        <v>12.063045499999998</v>
      </c>
      <c r="V168" s="57">
        <f>(1000*CHOOSE(CONTROL!$C$42, 500, 500)*CHOOSE(CONTROL!$C$42, 0.275, 0.275)*CHOOSE(CONTROL!$C$42, 31, 31))/1000000</f>
        <v>4.2625000000000002</v>
      </c>
      <c r="W168" s="57">
        <f>(1000*CHOOSE(CONTROL!$C$42, 0.1146, 0.1146)*CHOOSE(CONTROL!$C$42, 121.5, 121.5)*CHOOSE(CONTROL!$C$42, 31, 31))/1000000</f>
        <v>0.43164089999999994</v>
      </c>
      <c r="X168" s="57">
        <f>(31*0.1790888*100000/1000000)+(31*0.2374*100000/1000000)</f>
        <v>1.2911152800000001</v>
      </c>
      <c r="Y168" s="57"/>
      <c r="Z168" s="10"/>
      <c r="AA168" s="56"/>
      <c r="AB168" s="50">
        <f>(B168*122.58+C168*297.941+D168*89.177+E168*40.302+F168*40+G168*160+H168*0+I168*100+J168*300)/(122.58+297.941+89.177+40.302+0+40+160+100+300)</f>
        <v>7.5801093538260877</v>
      </c>
      <c r="AC168" s="45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7.5459071942446032</v>
      </c>
    </row>
    <row r="169" spans="1:29" ht="15.75" x14ac:dyDescent="0.25">
      <c r="A169" s="16">
        <v>46023</v>
      </c>
      <c r="B169" s="10">
        <f>CHOOSE(CONTROL!$C$42, 8.2109, 8.2109) * CHOOSE(CONTROL!$C$21, $C$9, 100%, $E$9)</f>
        <v>8.2109000000000005</v>
      </c>
      <c r="C169" s="10">
        <f>CHOOSE(CONTROL!$C$42, 8.2158, 8.2158) * CHOOSE(CONTROL!$C$21, $C$9, 100%, $E$9)</f>
        <v>8.2157999999999998</v>
      </c>
      <c r="D169" s="10">
        <f>CHOOSE(CONTROL!$C$42, 8.2729, 8.2729) * CHOOSE(CONTROL!$C$21, $C$9, 100%, $E$9)</f>
        <v>8.2728999999999999</v>
      </c>
      <c r="E169" s="10">
        <f>CHOOSE(CONTROL!$C$42, 8.3067, 8.3067) * CHOOSE(CONTROL!$C$21, $C$9, 100%, $E$9)</f>
        <v>8.3066999999999993</v>
      </c>
      <c r="F169" s="10">
        <f>CHOOSE(CONTROL!$C$42, 8.2087, 8.2087)*CHOOSE(CONTROL!$C$21, $C$9, 100%, $E$9)</f>
        <v>8.2087000000000003</v>
      </c>
      <c r="G169" s="10">
        <f>CHOOSE(CONTROL!$C$42, 8.2233, 8.2233)*CHOOSE(CONTROL!$C$21, $C$9, 100%, $E$9)</f>
        <v>8.2233000000000001</v>
      </c>
      <c r="H169" s="10">
        <f>CHOOSE(CONTROL!$C$42, 8.2959, 8.2959) * CHOOSE(CONTROL!$C$21, $C$9, 100%, $E$9)</f>
        <v>8.2958999999999996</v>
      </c>
      <c r="I169" s="10">
        <f>CHOOSE(CONTROL!$C$42, 8.2217, 8.2217)* CHOOSE(CONTROL!$C$21, $C$9, 100%, $E$9)</f>
        <v>8.2217000000000002</v>
      </c>
      <c r="J169" s="10">
        <f>CHOOSE(CONTROL!$C$42, 8.2017, 8.2017)* CHOOSE(CONTROL!$C$21, $C$9, 100%, $E$9)</f>
        <v>8.2017000000000007</v>
      </c>
      <c r="K169" s="53">
        <f>CHOOSE(CONTROL!$C$42, 8.2178, 8.2178) * CHOOSE(CONTROL!$C$21, $C$9, 100%, $E$9)</f>
        <v>8.2178000000000004</v>
      </c>
      <c r="L169" s="10">
        <f>CHOOSE(CONTROL!$C$42, 8.8829, 8.8829) * CHOOSE(CONTROL!$C$21, $C$9, 100%, $E$9)</f>
        <v>8.8828999999999994</v>
      </c>
      <c r="M169" s="10">
        <f>CHOOSE(CONTROL!$C$42, 8.1328, 8.1328) * CHOOSE(CONTROL!$C$21, $C$9, 100%, $E$9)</f>
        <v>8.1327999999999996</v>
      </c>
      <c r="N169" s="10">
        <f>CHOOSE(CONTROL!$C$42, 8.1472, 8.1472) * CHOOSE(CONTROL!$C$21, $C$9, 100%, $E$9)</f>
        <v>8.1471999999999998</v>
      </c>
      <c r="O169" s="10">
        <f>CHOOSE(CONTROL!$C$42, 8.226, 8.226) * CHOOSE(CONTROL!$C$21, $C$9, 100%, $E$9)</f>
        <v>8.2260000000000009</v>
      </c>
      <c r="P169" s="10">
        <f>CHOOSE(CONTROL!$C$42, 8.1526, 8.1526) * CHOOSE(CONTROL!$C$21, $C$9, 100%, $E$9)</f>
        <v>8.1525999999999996</v>
      </c>
      <c r="Q169" s="10">
        <f>CHOOSE(CONTROL!$C$42, 8.8213, 8.8213) * CHOOSE(CONTROL!$C$21, $C$9, 100%, $E$9)</f>
        <v>8.8213000000000008</v>
      </c>
      <c r="R169" s="10">
        <f>CHOOSE(CONTROL!$C$42, 9.4303, 9.4303) * CHOOSE(CONTROL!$C$21, $C$9, 100%, $E$9)</f>
        <v>9.4303000000000008</v>
      </c>
      <c r="S169" s="10">
        <f>CHOOSE(CONTROL!$C$42, 7.9715, 7.9715) * CHOOSE(CONTROL!$C$21, $C$9, 100%, $E$9)</f>
        <v>7.9714999999999998</v>
      </c>
      <c r="T1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57">
        <f>(1000*CHOOSE(CONTROL!$C$42, 695, 695)*CHOOSE(CONTROL!$C$42, 0.5599, 0.5599)*CHOOSE(CONTROL!$C$42, 31, 31))/1000000</f>
        <v>12.063045499999998</v>
      </c>
      <c r="V169" s="57">
        <f>(1000*CHOOSE(CONTROL!$C$42, 500, 500)*CHOOSE(CONTROL!$C$42, 0.275, 0.275)*CHOOSE(CONTROL!$C$42, 31, 31))/1000000</f>
        <v>4.2625000000000002</v>
      </c>
      <c r="W169" s="57">
        <f>(1000*CHOOSE(CONTROL!$C$42, 0.1146, 0.1146)*CHOOSE(CONTROL!$C$42, 121.5, 121.5)*CHOOSE(CONTROL!$C$42, 31, 31))/1000000</f>
        <v>0.43164089999999994</v>
      </c>
      <c r="X169" s="57">
        <f>(31*0.1790888*100000/1000000)+(31*0.2374*100000/1000000)</f>
        <v>1.2911152800000001</v>
      </c>
      <c r="Y169" s="57"/>
      <c r="Z169" s="10"/>
      <c r="AA169" s="56"/>
      <c r="AB169" s="50">
        <f>(B169*122.58+C169*297.941+D169*89.177+E169*40.302+F169*40+G169*160+H169*0+I169*100+J169*300)/(122.58+297.941+89.177+40.302+0+40+160+100+300)</f>
        <v>8.2205224491304349</v>
      </c>
      <c r="AC169" s="45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8.1787194244604322</v>
      </c>
    </row>
    <row r="170" spans="1:29" ht="15.75" x14ac:dyDescent="0.25">
      <c r="A170" s="16">
        <v>46054</v>
      </c>
      <c r="B170" s="10">
        <f>CHOOSE(CONTROL!$C$42, 8.357, 8.357) * CHOOSE(CONTROL!$C$21, $C$9, 100%, $E$9)</f>
        <v>8.3569999999999993</v>
      </c>
      <c r="C170" s="10">
        <f>CHOOSE(CONTROL!$C$42, 8.362, 8.362) * CHOOSE(CONTROL!$C$21, $C$9, 100%, $E$9)</f>
        <v>8.3620000000000001</v>
      </c>
      <c r="D170" s="10">
        <f>CHOOSE(CONTROL!$C$42, 8.419, 8.419) * CHOOSE(CONTROL!$C$21, $C$9, 100%, $E$9)</f>
        <v>8.4190000000000005</v>
      </c>
      <c r="E170" s="10">
        <f>CHOOSE(CONTROL!$C$42, 8.4528, 8.4528) * CHOOSE(CONTROL!$C$21, $C$9, 100%, $E$9)</f>
        <v>8.4527999999999999</v>
      </c>
      <c r="F170" s="10">
        <f>CHOOSE(CONTROL!$C$42, 8.3549, 8.3549)*CHOOSE(CONTROL!$C$21, $C$9, 100%, $E$9)</f>
        <v>8.3549000000000007</v>
      </c>
      <c r="G170" s="10">
        <f>CHOOSE(CONTROL!$C$42, 8.3696, 8.3696)*CHOOSE(CONTROL!$C$21, $C$9, 100%, $E$9)</f>
        <v>8.3696000000000002</v>
      </c>
      <c r="H170" s="10">
        <f>CHOOSE(CONTROL!$C$42, 8.442, 8.442) * CHOOSE(CONTROL!$C$21, $C$9, 100%, $E$9)</f>
        <v>8.4420000000000002</v>
      </c>
      <c r="I170" s="10">
        <f>CHOOSE(CONTROL!$C$42, 8.3678, 8.3678)* CHOOSE(CONTROL!$C$21, $C$9, 100%, $E$9)</f>
        <v>8.3678000000000008</v>
      </c>
      <c r="J170" s="10">
        <f>CHOOSE(CONTROL!$C$42, 8.3479, 8.3479)* CHOOSE(CONTROL!$C$21, $C$9, 100%, $E$9)</f>
        <v>8.3478999999999992</v>
      </c>
      <c r="K170" s="53">
        <f>CHOOSE(CONTROL!$C$42, 8.3639, 8.3639) * CHOOSE(CONTROL!$C$21, $C$9, 100%, $E$9)</f>
        <v>8.3638999999999992</v>
      </c>
      <c r="L170" s="10">
        <f>CHOOSE(CONTROL!$C$42, 9.029, 9.029) * CHOOSE(CONTROL!$C$21, $C$9, 100%, $E$9)</f>
        <v>9.0289999999999999</v>
      </c>
      <c r="M170" s="10">
        <f>CHOOSE(CONTROL!$C$42, 8.2775, 8.2775) * CHOOSE(CONTROL!$C$21, $C$9, 100%, $E$9)</f>
        <v>8.2774999999999999</v>
      </c>
      <c r="N170" s="10">
        <f>CHOOSE(CONTROL!$C$42, 8.292, 8.292) * CHOOSE(CONTROL!$C$21, $C$9, 100%, $E$9)</f>
        <v>8.2919999999999998</v>
      </c>
      <c r="O170" s="10">
        <f>CHOOSE(CONTROL!$C$42, 8.3706, 8.3706) * CHOOSE(CONTROL!$C$21, $C$9, 100%, $E$9)</f>
        <v>8.3705999999999996</v>
      </c>
      <c r="P170" s="10">
        <f>CHOOSE(CONTROL!$C$42, 8.2972, 8.2972) * CHOOSE(CONTROL!$C$21, $C$9, 100%, $E$9)</f>
        <v>8.2972000000000001</v>
      </c>
      <c r="Q170" s="10">
        <f>CHOOSE(CONTROL!$C$42, 8.9659, 8.9659) * CHOOSE(CONTROL!$C$21, $C$9, 100%, $E$9)</f>
        <v>8.9658999999999995</v>
      </c>
      <c r="R170" s="10">
        <f>CHOOSE(CONTROL!$C$42, 9.5753, 9.5753) * CHOOSE(CONTROL!$C$21, $C$9, 100%, $E$9)</f>
        <v>9.5753000000000004</v>
      </c>
      <c r="S170" s="10">
        <f>CHOOSE(CONTROL!$C$42, 8.1134, 8.1134) * CHOOSE(CONTROL!$C$21, $C$9, 100%, $E$9)</f>
        <v>8.1134000000000004</v>
      </c>
      <c r="T1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57">
        <f>(1000*CHOOSE(CONTROL!$C$42, 695, 695)*CHOOSE(CONTROL!$C$42, 0.5599, 0.5599)*CHOOSE(CONTROL!$C$42, 28, 28))/1000000</f>
        <v>10.895653999999999</v>
      </c>
      <c r="V170" s="57">
        <f>(1000*CHOOSE(CONTROL!$C$42, 500, 500)*CHOOSE(CONTROL!$C$42, 0.275, 0.275)*CHOOSE(CONTROL!$C$42, 28, 28))/1000000</f>
        <v>3.85</v>
      </c>
      <c r="W170" s="57">
        <f>(1000*CHOOSE(CONTROL!$C$42, 0.1146, 0.1146)*CHOOSE(CONTROL!$C$42, 121.5, 121.5)*CHOOSE(CONTROL!$C$42, 28, 28))/1000000</f>
        <v>0.38986920000000003</v>
      </c>
      <c r="X170" s="57">
        <f>(28*0.1790888*100000/1000000)+(28*0.2374*100000/1000000)</f>
        <v>1.16616864</v>
      </c>
      <c r="Y170" s="57"/>
      <c r="Z170" s="10"/>
      <c r="AA170" s="56"/>
      <c r="AB170" s="50">
        <f>(B170*122.58+C170*297.941+D170*89.177+E170*40.302+F170*40+G170*160+H170*0+I170*100+J170*300)/(122.58+297.941+89.177+40.302+0+40+160+100+300)</f>
        <v>8.366705748347826</v>
      </c>
      <c r="AC170" s="45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8.3233654676258997</v>
      </c>
    </row>
    <row r="171" spans="1:29" ht="15.75" x14ac:dyDescent="0.25">
      <c r="A171" s="16">
        <v>46082</v>
      </c>
      <c r="B171" s="10">
        <f>CHOOSE(CONTROL!$C$42, 8.1198, 8.1198) * CHOOSE(CONTROL!$C$21, $C$9, 100%, $E$9)</f>
        <v>8.1197999999999997</v>
      </c>
      <c r="C171" s="10">
        <f>CHOOSE(CONTROL!$C$42, 8.1248, 8.1248) * CHOOSE(CONTROL!$C$21, $C$9, 100%, $E$9)</f>
        <v>8.1248000000000005</v>
      </c>
      <c r="D171" s="10">
        <f>CHOOSE(CONTROL!$C$42, 8.1819, 8.1819) * CHOOSE(CONTROL!$C$21, $C$9, 100%, $E$9)</f>
        <v>8.1819000000000006</v>
      </c>
      <c r="E171" s="10">
        <f>CHOOSE(CONTROL!$C$42, 8.2156, 8.2156) * CHOOSE(CONTROL!$C$21, $C$9, 100%, $E$9)</f>
        <v>8.2156000000000002</v>
      </c>
      <c r="F171" s="10">
        <f>CHOOSE(CONTROL!$C$42, 8.1176, 8.1176)*CHOOSE(CONTROL!$C$21, $C$9, 100%, $E$9)</f>
        <v>8.1175999999999995</v>
      </c>
      <c r="G171" s="10">
        <f>CHOOSE(CONTROL!$C$42, 8.1322, 8.1322)*CHOOSE(CONTROL!$C$21, $C$9, 100%, $E$9)</f>
        <v>8.1321999999999992</v>
      </c>
      <c r="H171" s="10">
        <f>CHOOSE(CONTROL!$C$42, 8.2048, 8.2048) * CHOOSE(CONTROL!$C$21, $C$9, 100%, $E$9)</f>
        <v>8.2048000000000005</v>
      </c>
      <c r="I171" s="10">
        <f>CHOOSE(CONTROL!$C$42, 8.1306, 8.1306)* CHOOSE(CONTROL!$C$21, $C$9, 100%, $E$9)</f>
        <v>8.1305999999999994</v>
      </c>
      <c r="J171" s="10">
        <f>CHOOSE(CONTROL!$C$42, 8.1106, 8.1106)* CHOOSE(CONTROL!$C$21, $C$9, 100%, $E$9)</f>
        <v>8.1105999999999998</v>
      </c>
      <c r="K171" s="53">
        <f>CHOOSE(CONTROL!$C$42, 8.1267, 8.1267) * CHOOSE(CONTROL!$C$21, $C$9, 100%, $E$9)</f>
        <v>8.1266999999999996</v>
      </c>
      <c r="L171" s="10">
        <f>CHOOSE(CONTROL!$C$42, 8.7918, 8.7918) * CHOOSE(CONTROL!$C$21, $C$9, 100%, $E$9)</f>
        <v>8.7918000000000003</v>
      </c>
      <c r="M171" s="10">
        <f>CHOOSE(CONTROL!$C$42, 8.0426, 8.0426) * CHOOSE(CONTROL!$C$21, $C$9, 100%, $E$9)</f>
        <v>8.0426000000000002</v>
      </c>
      <c r="N171" s="10">
        <f>CHOOSE(CONTROL!$C$42, 8.0571, 8.0571) * CHOOSE(CONTROL!$C$21, $C$9, 100%, $E$9)</f>
        <v>8.0571000000000002</v>
      </c>
      <c r="O171" s="10">
        <f>CHOOSE(CONTROL!$C$42, 8.1359, 8.1359) * CHOOSE(CONTROL!$C$21, $C$9, 100%, $E$9)</f>
        <v>8.1358999999999995</v>
      </c>
      <c r="P171" s="10">
        <f>CHOOSE(CONTROL!$C$42, 8.0624, 8.0624) * CHOOSE(CONTROL!$C$21, $C$9, 100%, $E$9)</f>
        <v>8.0624000000000002</v>
      </c>
      <c r="Q171" s="10">
        <f>CHOOSE(CONTROL!$C$42, 8.7312, 8.7312) * CHOOSE(CONTROL!$C$21, $C$9, 100%, $E$9)</f>
        <v>8.7311999999999994</v>
      </c>
      <c r="R171" s="10">
        <f>CHOOSE(CONTROL!$C$42, 9.34, 9.34) * CHOOSE(CONTROL!$C$21, $C$9, 100%, $E$9)</f>
        <v>9.34</v>
      </c>
      <c r="S171" s="10">
        <f>CHOOSE(CONTROL!$C$42, 7.883, 7.883) * CHOOSE(CONTROL!$C$21, $C$9, 100%, $E$9)</f>
        <v>7.883</v>
      </c>
      <c r="T1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57">
        <f>(1000*CHOOSE(CONTROL!$C$42, 695, 695)*CHOOSE(CONTROL!$C$42, 0.5599, 0.5599)*CHOOSE(CONTROL!$C$42, 31, 31))/1000000</f>
        <v>12.063045499999998</v>
      </c>
      <c r="V171" s="57">
        <f>(1000*CHOOSE(CONTROL!$C$42, 500, 500)*CHOOSE(CONTROL!$C$42, 0.275, 0.275)*CHOOSE(CONTROL!$C$42, 31, 31))/1000000</f>
        <v>4.2625000000000002</v>
      </c>
      <c r="W171" s="57">
        <f>(1000*CHOOSE(CONTROL!$C$42, 0.1146, 0.1146)*CHOOSE(CONTROL!$C$42, 121.5, 121.5)*CHOOSE(CONTROL!$C$42, 31, 31))/1000000</f>
        <v>0.43164089999999994</v>
      </c>
      <c r="X171" s="57">
        <f>(31*0.1790888*100000/1000000)+(31*0.2374*100000/1000000)</f>
        <v>1.2911152800000001</v>
      </c>
      <c r="Y171" s="57"/>
      <c r="Z171" s="10"/>
      <c r="AA171" s="56"/>
      <c r="AB171" s="50">
        <f>(B171*122.58+C171*297.941+D171*89.177+E171*40.302+F171*40+G171*160+H171*0+I171*100+J171*300)/(122.58+297.941+89.177+40.302+0+40+160+100+300)</f>
        <v>8.1294561115652169</v>
      </c>
      <c r="AC171" s="45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8.088570503597122</v>
      </c>
    </row>
    <row r="172" spans="1:29" ht="15.75" x14ac:dyDescent="0.25">
      <c r="A172" s="16">
        <v>46113</v>
      </c>
      <c r="B172" s="10">
        <f>CHOOSE(CONTROL!$C$42, 8.0967, 8.0967) * CHOOSE(CONTROL!$C$21, $C$9, 100%, $E$9)</f>
        <v>8.0967000000000002</v>
      </c>
      <c r="C172" s="10">
        <f>CHOOSE(CONTROL!$C$42, 8.1011, 8.1011) * CHOOSE(CONTROL!$C$21, $C$9, 100%, $E$9)</f>
        <v>8.1011000000000006</v>
      </c>
      <c r="D172" s="10">
        <f>CHOOSE(CONTROL!$C$42, 8.3069, 8.3069) * CHOOSE(CONTROL!$C$21, $C$9, 100%, $E$9)</f>
        <v>8.3069000000000006</v>
      </c>
      <c r="E172" s="10">
        <f>CHOOSE(CONTROL!$C$42, 8.3387, 8.3387) * CHOOSE(CONTROL!$C$21, $C$9, 100%, $E$9)</f>
        <v>8.3386999999999993</v>
      </c>
      <c r="F172" s="10">
        <f>CHOOSE(CONTROL!$C$42, 8.0735, 8.0735)*CHOOSE(CONTROL!$C$21, $C$9, 100%, $E$9)</f>
        <v>8.0734999999999992</v>
      </c>
      <c r="G172" s="10">
        <f>CHOOSE(CONTROL!$C$42, 8.088, 8.088)*CHOOSE(CONTROL!$C$21, $C$9, 100%, $E$9)</f>
        <v>8.0879999999999992</v>
      </c>
      <c r="H172" s="10">
        <f>CHOOSE(CONTROL!$C$42, 8.3285, 8.3285) * CHOOSE(CONTROL!$C$21, $C$9, 100%, $E$9)</f>
        <v>8.3285</v>
      </c>
      <c r="I172" s="10">
        <f>CHOOSE(CONTROL!$C$42, 8.0981, 8.0981)* CHOOSE(CONTROL!$C$21, $C$9, 100%, $E$9)</f>
        <v>8.0981000000000005</v>
      </c>
      <c r="J172" s="10">
        <f>CHOOSE(CONTROL!$C$42, 8.0665, 8.0665)* CHOOSE(CONTROL!$C$21, $C$9, 100%, $E$9)</f>
        <v>8.0664999999999996</v>
      </c>
      <c r="K172" s="53">
        <f>CHOOSE(CONTROL!$C$42, 8.0942, 8.0942) * CHOOSE(CONTROL!$C$21, $C$9, 100%, $E$9)</f>
        <v>8.0942000000000007</v>
      </c>
      <c r="L172" s="10">
        <f>CHOOSE(CONTROL!$C$42, 8.9155, 8.9155) * CHOOSE(CONTROL!$C$21, $C$9, 100%, $E$9)</f>
        <v>8.9154999999999998</v>
      </c>
      <c r="M172" s="10">
        <f>CHOOSE(CONTROL!$C$42, 7.9989, 7.9989) * CHOOSE(CONTROL!$C$21, $C$9, 100%, $E$9)</f>
        <v>7.9988999999999999</v>
      </c>
      <c r="N172" s="10">
        <f>CHOOSE(CONTROL!$C$42, 8.0133, 8.0133) * CHOOSE(CONTROL!$C$21, $C$9, 100%, $E$9)</f>
        <v>8.0132999999999992</v>
      </c>
      <c r="O172" s="10">
        <f>CHOOSE(CONTROL!$C$42, 8.2583, 8.2583) * CHOOSE(CONTROL!$C$21, $C$9, 100%, $E$9)</f>
        <v>8.2583000000000002</v>
      </c>
      <c r="P172" s="10">
        <f>CHOOSE(CONTROL!$C$42, 8.0303, 8.0303) * CHOOSE(CONTROL!$C$21, $C$9, 100%, $E$9)</f>
        <v>8.0303000000000004</v>
      </c>
      <c r="Q172" s="10">
        <f>CHOOSE(CONTROL!$C$42, 8.8536, 8.8536) * CHOOSE(CONTROL!$C$21, $C$9, 100%, $E$9)</f>
        <v>8.8536000000000001</v>
      </c>
      <c r="R172" s="10">
        <f>CHOOSE(CONTROL!$C$42, 9.4627, 9.4627) * CHOOSE(CONTROL!$C$21, $C$9, 100%, $E$9)</f>
        <v>9.4626999999999999</v>
      </c>
      <c r="S172" s="10">
        <f>CHOOSE(CONTROL!$C$42, 7.8598, 7.8598) * CHOOSE(CONTROL!$C$21, $C$9, 100%, $E$9)</f>
        <v>7.8597999999999999</v>
      </c>
      <c r="T1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57">
        <f>(1000*CHOOSE(CONTROL!$C$42, 695, 695)*CHOOSE(CONTROL!$C$42, 0.5599, 0.5599)*CHOOSE(CONTROL!$C$42, 30, 30))/1000000</f>
        <v>11.673914999999997</v>
      </c>
      <c r="V172" s="57">
        <f>(1000*CHOOSE(CONTROL!$C$42, 500, 500)*CHOOSE(CONTROL!$C$42, 0.275, 0.275)*CHOOSE(CONTROL!$C$42, 30, 30))/1000000</f>
        <v>4.125</v>
      </c>
      <c r="W172" s="57">
        <f>(1000*CHOOSE(CONTROL!$C$42, 0.1146, 0.1146)*CHOOSE(CONTROL!$C$42, 121.5, 121.5)*CHOOSE(CONTROL!$C$42, 30, 30))/1000000</f>
        <v>0.417717</v>
      </c>
      <c r="X172" s="57">
        <f>(30*0.1790888*245000/1000000)+(30*0.2374*100000/1000000)</f>
        <v>2.0285026799999999</v>
      </c>
      <c r="Y172" s="57"/>
      <c r="Z172" s="10"/>
      <c r="AA172" s="56"/>
      <c r="AB172" s="50">
        <f>(B172*141.293+C172*267.993+D172*115.016+E172*89.698+F172*40+G172*185+H172*0+I172*100+J172*300)/(141.293+267.993+115.016+89.698+0+40+185+100+300)</f>
        <v>8.1254368429378534</v>
      </c>
      <c r="AC172" s="45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8.0795143884892084</v>
      </c>
    </row>
    <row r="173" spans="1:29" ht="15.75" x14ac:dyDescent="0.25">
      <c r="A173" s="16">
        <v>46143</v>
      </c>
      <c r="B173" s="10">
        <f>CHOOSE(CONTROL!$C$42, 8.1695, 8.1695) * CHOOSE(CONTROL!$C$21, $C$9, 100%, $E$9)</f>
        <v>8.1694999999999993</v>
      </c>
      <c r="C173" s="10">
        <f>CHOOSE(CONTROL!$C$42, 8.1774, 8.1774) * CHOOSE(CONTROL!$C$21, $C$9, 100%, $E$9)</f>
        <v>8.1774000000000004</v>
      </c>
      <c r="D173" s="10">
        <f>CHOOSE(CONTROL!$C$42, 8.3802, 8.3802) * CHOOSE(CONTROL!$C$21, $C$9, 100%, $E$9)</f>
        <v>8.3802000000000003</v>
      </c>
      <c r="E173" s="10">
        <f>CHOOSE(CONTROL!$C$42, 8.4113, 8.4113) * CHOOSE(CONTROL!$C$21, $C$9, 100%, $E$9)</f>
        <v>8.4113000000000007</v>
      </c>
      <c r="F173" s="10">
        <f>CHOOSE(CONTROL!$C$42, 8.1452, 8.1452)*CHOOSE(CONTROL!$C$21, $C$9, 100%, $E$9)</f>
        <v>8.1452000000000009</v>
      </c>
      <c r="G173" s="10">
        <f>CHOOSE(CONTROL!$C$42, 8.1602, 8.1602)*CHOOSE(CONTROL!$C$21, $C$9, 100%, $E$9)</f>
        <v>8.1601999999999997</v>
      </c>
      <c r="H173" s="10">
        <f>CHOOSE(CONTROL!$C$42, 8.3999, 8.3999) * CHOOSE(CONTROL!$C$21, $C$9, 100%, $E$9)</f>
        <v>8.3999000000000006</v>
      </c>
      <c r="I173" s="10">
        <f>CHOOSE(CONTROL!$C$42, 8.1696, 8.1696)* CHOOSE(CONTROL!$C$21, $C$9, 100%, $E$9)</f>
        <v>8.1696000000000009</v>
      </c>
      <c r="J173" s="10">
        <f>CHOOSE(CONTROL!$C$42, 8.1382, 8.1382)* CHOOSE(CONTROL!$C$21, $C$9, 100%, $E$9)</f>
        <v>8.1381999999999994</v>
      </c>
      <c r="K173" s="53">
        <f>CHOOSE(CONTROL!$C$42, 8.1657, 8.1657) * CHOOSE(CONTROL!$C$21, $C$9, 100%, $E$9)</f>
        <v>8.1656999999999993</v>
      </c>
      <c r="L173" s="10">
        <f>CHOOSE(CONTROL!$C$42, 8.9869, 8.9869) * CHOOSE(CONTROL!$C$21, $C$9, 100%, $E$9)</f>
        <v>8.9869000000000003</v>
      </c>
      <c r="M173" s="10">
        <f>CHOOSE(CONTROL!$C$42, 8.0699, 8.0699) * CHOOSE(CONTROL!$C$21, $C$9, 100%, $E$9)</f>
        <v>8.0699000000000005</v>
      </c>
      <c r="N173" s="10">
        <f>CHOOSE(CONTROL!$C$42, 8.0848, 8.0848) * CHOOSE(CONTROL!$C$21, $C$9, 100%, $E$9)</f>
        <v>8.0847999999999995</v>
      </c>
      <c r="O173" s="10">
        <f>CHOOSE(CONTROL!$C$42, 8.329, 8.329) * CHOOSE(CONTROL!$C$21, $C$9, 100%, $E$9)</f>
        <v>8.3290000000000006</v>
      </c>
      <c r="P173" s="10">
        <f>CHOOSE(CONTROL!$C$42, 8.101, 8.101) * CHOOSE(CONTROL!$C$21, $C$9, 100%, $E$9)</f>
        <v>8.1010000000000009</v>
      </c>
      <c r="Q173" s="10">
        <f>CHOOSE(CONTROL!$C$42, 8.9243, 8.9243) * CHOOSE(CONTROL!$C$21, $C$9, 100%, $E$9)</f>
        <v>8.9243000000000006</v>
      </c>
      <c r="R173" s="10">
        <f>CHOOSE(CONTROL!$C$42, 9.5336, 9.5336) * CHOOSE(CONTROL!$C$21, $C$9, 100%, $E$9)</f>
        <v>9.5335999999999999</v>
      </c>
      <c r="S173" s="10">
        <f>CHOOSE(CONTROL!$C$42, 7.9292, 7.9292) * CHOOSE(CONTROL!$C$21, $C$9, 100%, $E$9)</f>
        <v>7.9291999999999998</v>
      </c>
      <c r="T1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57">
        <f>(1000*CHOOSE(CONTROL!$C$42, 695, 695)*CHOOSE(CONTROL!$C$42, 0.5599, 0.5599)*CHOOSE(CONTROL!$C$42, 31, 31))/1000000</f>
        <v>12.063045499999998</v>
      </c>
      <c r="V173" s="57">
        <f>(1000*CHOOSE(CONTROL!$C$42, 500, 500)*CHOOSE(CONTROL!$C$42, 0.275, 0.275)*CHOOSE(CONTROL!$C$42, 31, 31))/1000000</f>
        <v>4.2625000000000002</v>
      </c>
      <c r="W173" s="57">
        <f>(1000*CHOOSE(CONTROL!$C$42, 0.1146, 0.1146)*CHOOSE(CONTROL!$C$42, 121.5, 121.5)*CHOOSE(CONTROL!$C$42, 31, 31))/1000000</f>
        <v>0.43164089999999994</v>
      </c>
      <c r="X173" s="57">
        <f>(31*0.1790888*245000/1000000)+(31*0.2374*100000/1000000)</f>
        <v>2.0961194359999999</v>
      </c>
      <c r="Y173" s="57"/>
      <c r="Z173" s="10"/>
      <c r="AA173" s="56"/>
      <c r="AB173" s="50">
        <f>(B173*194.205+C173*267.466+D173*133.845+E173*53.484+F173*40+G173*185+H173*0+I173*100+J173*300)/(194.205+267.466+133.845+53.484+0+40+185+100+300)</f>
        <v>8.193969430219779</v>
      </c>
      <c r="AC173" s="45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8.1505021582733814</v>
      </c>
    </row>
    <row r="174" spans="1:29" ht="15.75" x14ac:dyDescent="0.25">
      <c r="A174" s="16">
        <v>46174</v>
      </c>
      <c r="B174" s="10">
        <f>CHOOSE(CONTROL!$C$42, 8.4011, 8.4011) * CHOOSE(CONTROL!$C$21, $C$9, 100%, $E$9)</f>
        <v>8.4010999999999996</v>
      </c>
      <c r="C174" s="10">
        <f>CHOOSE(CONTROL!$C$42, 8.409, 8.409) * CHOOSE(CONTROL!$C$21, $C$9, 100%, $E$9)</f>
        <v>8.4090000000000007</v>
      </c>
      <c r="D174" s="10">
        <f>CHOOSE(CONTROL!$C$42, 8.6118, 8.6118) * CHOOSE(CONTROL!$C$21, $C$9, 100%, $E$9)</f>
        <v>8.6118000000000006</v>
      </c>
      <c r="E174" s="10">
        <f>CHOOSE(CONTROL!$C$42, 8.6429, 8.6429) * CHOOSE(CONTROL!$C$21, $C$9, 100%, $E$9)</f>
        <v>8.6428999999999991</v>
      </c>
      <c r="F174" s="10">
        <f>CHOOSE(CONTROL!$C$42, 8.3773, 8.3773)*CHOOSE(CONTROL!$C$21, $C$9, 100%, $E$9)</f>
        <v>8.3773</v>
      </c>
      <c r="G174" s="10">
        <f>CHOOSE(CONTROL!$C$42, 8.3925, 8.3925)*CHOOSE(CONTROL!$C$21, $C$9, 100%, $E$9)</f>
        <v>8.3925000000000001</v>
      </c>
      <c r="H174" s="10">
        <f>CHOOSE(CONTROL!$C$42, 8.6315, 8.6315) * CHOOSE(CONTROL!$C$21, $C$9, 100%, $E$9)</f>
        <v>8.6315000000000008</v>
      </c>
      <c r="I174" s="10">
        <f>CHOOSE(CONTROL!$C$42, 8.4011, 8.4011)* CHOOSE(CONTROL!$C$21, $C$9, 100%, $E$9)</f>
        <v>8.4010999999999996</v>
      </c>
      <c r="J174" s="10">
        <f>CHOOSE(CONTROL!$C$42, 8.3703, 8.3703)* CHOOSE(CONTROL!$C$21, $C$9, 100%, $E$9)</f>
        <v>8.3703000000000003</v>
      </c>
      <c r="K174" s="53">
        <f>CHOOSE(CONTROL!$C$42, 8.3972, 8.3972) * CHOOSE(CONTROL!$C$21, $C$9, 100%, $E$9)</f>
        <v>8.3971999999999998</v>
      </c>
      <c r="L174" s="10">
        <f>CHOOSE(CONTROL!$C$42, 9.2185, 9.2185) * CHOOSE(CONTROL!$C$21, $C$9, 100%, $E$9)</f>
        <v>9.2185000000000006</v>
      </c>
      <c r="M174" s="10">
        <f>CHOOSE(CONTROL!$C$42, 8.2997, 8.2997) * CHOOSE(CONTROL!$C$21, $C$9, 100%, $E$9)</f>
        <v>8.2996999999999996</v>
      </c>
      <c r="N174" s="10">
        <f>CHOOSE(CONTROL!$C$42, 8.3147, 8.3147) * CHOOSE(CONTROL!$C$21, $C$9, 100%, $E$9)</f>
        <v>8.3147000000000002</v>
      </c>
      <c r="O174" s="10">
        <f>CHOOSE(CONTROL!$C$42, 8.5582, 8.5582) * CHOOSE(CONTROL!$C$21, $C$9, 100%, $E$9)</f>
        <v>8.5581999999999994</v>
      </c>
      <c r="P174" s="10">
        <f>CHOOSE(CONTROL!$C$42, 8.3302, 8.3302) * CHOOSE(CONTROL!$C$21, $C$9, 100%, $E$9)</f>
        <v>8.3301999999999996</v>
      </c>
      <c r="Q174" s="10">
        <f>CHOOSE(CONTROL!$C$42, 9.1535, 9.1535) * CHOOSE(CONTROL!$C$21, $C$9, 100%, $E$9)</f>
        <v>9.1534999999999993</v>
      </c>
      <c r="R174" s="10">
        <f>CHOOSE(CONTROL!$C$42, 9.7634, 9.7634) * CHOOSE(CONTROL!$C$21, $C$9, 100%, $E$9)</f>
        <v>9.7634000000000007</v>
      </c>
      <c r="S174" s="10">
        <f>CHOOSE(CONTROL!$C$42, 8.1541, 8.1541) * CHOOSE(CONTROL!$C$21, $C$9, 100%, $E$9)</f>
        <v>8.1540999999999997</v>
      </c>
      <c r="T1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57">
        <f>(1000*CHOOSE(CONTROL!$C$42, 695, 695)*CHOOSE(CONTROL!$C$42, 0.5599, 0.5599)*CHOOSE(CONTROL!$C$42, 30, 30))/1000000</f>
        <v>11.673914999999997</v>
      </c>
      <c r="V174" s="57">
        <f>(1000*CHOOSE(CONTROL!$C$42, 500, 500)*CHOOSE(CONTROL!$C$42, 0.275, 0.275)*CHOOSE(CONTROL!$C$42, 30, 30))/1000000</f>
        <v>4.125</v>
      </c>
      <c r="W174" s="57">
        <f>(1000*CHOOSE(CONTROL!$C$42, 0.1146, 0.1146)*CHOOSE(CONTROL!$C$42, 121.5, 121.5)*CHOOSE(CONTROL!$C$42, 30, 30))/1000000</f>
        <v>0.417717</v>
      </c>
      <c r="X174" s="57">
        <f>(30*0.1790888*245000/1000000)+(30*0.2374*100000/1000000)</f>
        <v>2.0285026799999999</v>
      </c>
      <c r="Y174" s="57"/>
      <c r="Z174" s="10"/>
      <c r="AA174" s="56"/>
      <c r="AB174" s="50">
        <f>(B174*194.205+C174*267.466+D174*133.845+E174*53.484+F174*40+G174*185+H174*0+I174*100+J174*300)/(194.205+267.466+133.845+53.484+0+40+185+100+300)</f>
        <v>8.425796667268445</v>
      </c>
      <c r="AC174" s="45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8.3800705035971212</v>
      </c>
    </row>
    <row r="175" spans="1:29" ht="15.75" x14ac:dyDescent="0.25">
      <c r="A175" s="16">
        <v>46204</v>
      </c>
      <c r="B175" s="10">
        <f>CHOOSE(CONTROL!$C$42, 8.24, 8.24) * CHOOSE(CONTROL!$C$21, $C$9, 100%, $E$9)</f>
        <v>8.24</v>
      </c>
      <c r="C175" s="10">
        <f>CHOOSE(CONTROL!$C$42, 8.248, 8.248) * CHOOSE(CONTROL!$C$21, $C$9, 100%, $E$9)</f>
        <v>8.2479999999999993</v>
      </c>
      <c r="D175" s="10">
        <f>CHOOSE(CONTROL!$C$42, 8.4507, 8.4507) * CHOOSE(CONTROL!$C$21, $C$9, 100%, $E$9)</f>
        <v>8.4506999999999994</v>
      </c>
      <c r="E175" s="10">
        <f>CHOOSE(CONTROL!$C$42, 8.4818, 8.4818) * CHOOSE(CONTROL!$C$21, $C$9, 100%, $E$9)</f>
        <v>8.4817999999999998</v>
      </c>
      <c r="F175" s="10">
        <f>CHOOSE(CONTROL!$C$42, 8.2168, 8.2168)*CHOOSE(CONTROL!$C$21, $C$9, 100%, $E$9)</f>
        <v>8.2167999999999992</v>
      </c>
      <c r="G175" s="10">
        <f>CHOOSE(CONTROL!$C$42, 8.2321, 8.2321)*CHOOSE(CONTROL!$C$21, $C$9, 100%, $E$9)</f>
        <v>8.2321000000000009</v>
      </c>
      <c r="H175" s="10">
        <f>CHOOSE(CONTROL!$C$42, 8.4705, 8.4705) * CHOOSE(CONTROL!$C$21, $C$9, 100%, $E$9)</f>
        <v>8.4704999999999995</v>
      </c>
      <c r="I175" s="10">
        <f>CHOOSE(CONTROL!$C$42, 8.2401, 8.2401)* CHOOSE(CONTROL!$C$21, $C$9, 100%, $E$9)</f>
        <v>8.2401</v>
      </c>
      <c r="J175" s="10">
        <f>CHOOSE(CONTROL!$C$42, 8.2098, 8.2098)* CHOOSE(CONTROL!$C$21, $C$9, 100%, $E$9)</f>
        <v>8.2097999999999995</v>
      </c>
      <c r="K175" s="53">
        <f>CHOOSE(CONTROL!$C$42, 8.2362, 8.2362) * CHOOSE(CONTROL!$C$21, $C$9, 100%, $E$9)</f>
        <v>8.2362000000000002</v>
      </c>
      <c r="L175" s="10">
        <f>CHOOSE(CONTROL!$C$42, 9.0575, 9.0575) * CHOOSE(CONTROL!$C$21, $C$9, 100%, $E$9)</f>
        <v>9.0574999999999992</v>
      </c>
      <c r="M175" s="10">
        <f>CHOOSE(CONTROL!$C$42, 8.1408, 8.1408) * CHOOSE(CONTROL!$C$21, $C$9, 100%, $E$9)</f>
        <v>8.1408000000000005</v>
      </c>
      <c r="N175" s="10">
        <f>CHOOSE(CONTROL!$C$42, 8.1559, 8.1559) * CHOOSE(CONTROL!$C$21, $C$9, 100%, $E$9)</f>
        <v>8.1559000000000008</v>
      </c>
      <c r="O175" s="10">
        <f>CHOOSE(CONTROL!$C$42, 8.3988, 8.3988) * CHOOSE(CONTROL!$C$21, $C$9, 100%, $E$9)</f>
        <v>8.3987999999999996</v>
      </c>
      <c r="P175" s="10">
        <f>CHOOSE(CONTROL!$C$42, 8.1708, 8.1708) * CHOOSE(CONTROL!$C$21, $C$9, 100%, $E$9)</f>
        <v>8.1707999999999998</v>
      </c>
      <c r="Q175" s="10">
        <f>CHOOSE(CONTROL!$C$42, 8.9941, 8.9941) * CHOOSE(CONTROL!$C$21, $C$9, 100%, $E$9)</f>
        <v>8.9940999999999995</v>
      </c>
      <c r="R175" s="10">
        <f>CHOOSE(CONTROL!$C$42, 9.6036, 9.6036) * CHOOSE(CONTROL!$C$21, $C$9, 100%, $E$9)</f>
        <v>9.6036000000000001</v>
      </c>
      <c r="S175" s="10">
        <f>CHOOSE(CONTROL!$C$42, 7.9976, 7.9976) * CHOOSE(CONTROL!$C$21, $C$9, 100%, $E$9)</f>
        <v>7.9976000000000003</v>
      </c>
      <c r="T1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57">
        <f>(1000*CHOOSE(CONTROL!$C$42, 695, 695)*CHOOSE(CONTROL!$C$42, 0.5599, 0.5599)*CHOOSE(CONTROL!$C$42, 31, 31))/1000000</f>
        <v>12.063045499999998</v>
      </c>
      <c r="V175" s="57">
        <f>(1000*CHOOSE(CONTROL!$C$42, 500, 500)*CHOOSE(CONTROL!$C$42, 0.275, 0.275)*CHOOSE(CONTROL!$C$42, 31, 31))/1000000</f>
        <v>4.2625000000000002</v>
      </c>
      <c r="W175" s="57">
        <f>(1000*CHOOSE(CONTROL!$C$42, 0.1146, 0.1146)*CHOOSE(CONTROL!$C$42, 121.5, 121.5)*CHOOSE(CONTROL!$C$42, 31, 31))/1000000</f>
        <v>0.43164089999999994</v>
      </c>
      <c r="X175" s="57">
        <f>(31*0.1790888*245000/1000000)+(31*0.2374*100000/1000000)</f>
        <v>2.0961194359999999</v>
      </c>
      <c r="Y175" s="57"/>
      <c r="Z175" s="10"/>
      <c r="AA175" s="56"/>
      <c r="AB175" s="50">
        <f>(B175*194.205+C175*267.466+D175*133.845+E175*53.484+F175*40+G175*185+H175*0+I175*100+J175*300)/(194.205+267.466+133.845+53.484+0+40+185+100+300)</f>
        <v>8.264987284693877</v>
      </c>
      <c r="AC175" s="45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8.2209812949640284</v>
      </c>
    </row>
    <row r="176" spans="1:29" ht="15.75" x14ac:dyDescent="0.25">
      <c r="A176" s="16">
        <v>46235</v>
      </c>
      <c r="B176" s="10">
        <f>CHOOSE(CONTROL!$C$42, 7.8333, 7.8333) * CHOOSE(CONTROL!$C$21, $C$9, 100%, $E$9)</f>
        <v>7.8333000000000004</v>
      </c>
      <c r="C176" s="10">
        <f>CHOOSE(CONTROL!$C$42, 7.8412, 7.8412) * CHOOSE(CONTROL!$C$21, $C$9, 100%, $E$9)</f>
        <v>7.8411999999999997</v>
      </c>
      <c r="D176" s="10">
        <f>CHOOSE(CONTROL!$C$42, 8.0439, 8.0439) * CHOOSE(CONTROL!$C$21, $C$9, 100%, $E$9)</f>
        <v>8.0439000000000007</v>
      </c>
      <c r="E176" s="10">
        <f>CHOOSE(CONTROL!$C$42, 8.0751, 8.0751) * CHOOSE(CONTROL!$C$21, $C$9, 100%, $E$9)</f>
        <v>8.0751000000000008</v>
      </c>
      <c r="F176" s="10">
        <f>CHOOSE(CONTROL!$C$42, 7.8102, 7.8102)*CHOOSE(CONTROL!$C$21, $C$9, 100%, $E$9)</f>
        <v>7.8102</v>
      </c>
      <c r="G176" s="10">
        <f>CHOOSE(CONTROL!$C$42, 7.8256, 7.8256)*CHOOSE(CONTROL!$C$21, $C$9, 100%, $E$9)</f>
        <v>7.8255999999999997</v>
      </c>
      <c r="H176" s="10">
        <f>CHOOSE(CONTROL!$C$42, 8.0637, 8.0637) * CHOOSE(CONTROL!$C$21, $C$9, 100%, $E$9)</f>
        <v>8.0637000000000008</v>
      </c>
      <c r="I176" s="10">
        <f>CHOOSE(CONTROL!$C$42, 7.8333, 7.8333)* CHOOSE(CONTROL!$C$21, $C$9, 100%, $E$9)</f>
        <v>7.8333000000000004</v>
      </c>
      <c r="J176" s="10">
        <f>CHOOSE(CONTROL!$C$42, 7.8032, 7.8032)* CHOOSE(CONTROL!$C$21, $C$9, 100%, $E$9)</f>
        <v>7.8032000000000004</v>
      </c>
      <c r="K176" s="53">
        <f>CHOOSE(CONTROL!$C$42, 7.8294, 7.8294) * CHOOSE(CONTROL!$C$21, $C$9, 100%, $E$9)</f>
        <v>7.8293999999999997</v>
      </c>
      <c r="L176" s="10">
        <f>CHOOSE(CONTROL!$C$42, 8.6507, 8.6507) * CHOOSE(CONTROL!$C$21, $C$9, 100%, $E$9)</f>
        <v>8.6507000000000005</v>
      </c>
      <c r="M176" s="10">
        <f>CHOOSE(CONTROL!$C$42, 7.7383, 7.7383) * CHOOSE(CONTROL!$C$21, $C$9, 100%, $E$9)</f>
        <v>7.7382999999999997</v>
      </c>
      <c r="N176" s="10">
        <f>CHOOSE(CONTROL!$C$42, 7.7535, 7.7535) * CHOOSE(CONTROL!$C$21, $C$9, 100%, $E$9)</f>
        <v>7.7534999999999998</v>
      </c>
      <c r="O176" s="10">
        <f>CHOOSE(CONTROL!$C$42, 7.9962, 7.9962) * CHOOSE(CONTROL!$C$21, $C$9, 100%, $E$9)</f>
        <v>7.9962</v>
      </c>
      <c r="P176" s="10">
        <f>CHOOSE(CONTROL!$C$42, 7.7681, 7.7681) * CHOOSE(CONTROL!$C$21, $C$9, 100%, $E$9)</f>
        <v>7.7680999999999996</v>
      </c>
      <c r="Q176" s="10">
        <f>CHOOSE(CONTROL!$C$42, 8.5915, 8.5915) * CHOOSE(CONTROL!$C$21, $C$9, 100%, $E$9)</f>
        <v>8.5914999999999999</v>
      </c>
      <c r="R176" s="10">
        <f>CHOOSE(CONTROL!$C$42, 9.1999, 9.1999) * CHOOSE(CONTROL!$C$21, $C$9, 100%, $E$9)</f>
        <v>9.1998999999999995</v>
      </c>
      <c r="S176" s="10">
        <f>CHOOSE(CONTROL!$C$42, 7.6027, 7.6027) * CHOOSE(CONTROL!$C$21, $C$9, 100%, $E$9)</f>
        <v>7.6026999999999996</v>
      </c>
      <c r="T1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57">
        <f>(1000*CHOOSE(CONTROL!$C$42, 695, 695)*CHOOSE(CONTROL!$C$42, 0.5599, 0.5599)*CHOOSE(CONTROL!$C$42, 31, 31))/1000000</f>
        <v>12.063045499999998</v>
      </c>
      <c r="V176" s="57">
        <f>(1000*CHOOSE(CONTROL!$C$42, 500, 500)*CHOOSE(CONTROL!$C$42, 0.275, 0.275)*CHOOSE(CONTROL!$C$42, 31, 31))/1000000</f>
        <v>4.2625000000000002</v>
      </c>
      <c r="W176" s="57">
        <f>(1000*CHOOSE(CONTROL!$C$42, 0.1146, 0.1146)*CHOOSE(CONTROL!$C$42, 121.5, 121.5)*CHOOSE(CONTROL!$C$42, 31, 31))/1000000</f>
        <v>0.43164089999999994</v>
      </c>
      <c r="X176" s="57">
        <f>(31*0.1790888*245000/1000000)+(31*0.2374*100000/1000000)</f>
        <v>2.0961194359999999</v>
      </c>
      <c r="Y176" s="57"/>
      <c r="Z176" s="10"/>
      <c r="AA176" s="56"/>
      <c r="AB176" s="50">
        <f>(B176*194.205+C176*267.466+D176*133.845+E176*53.484+F176*40+G176*185+H176*0+I176*100+J176*300)/(194.205+267.466+133.845+53.484+0+40+185+100+300)</f>
        <v>7.8583036653061233</v>
      </c>
      <c r="AC176" s="45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7.8184474820143883</v>
      </c>
    </row>
    <row r="177" spans="1:29" ht="15.75" x14ac:dyDescent="0.25">
      <c r="A177" s="16">
        <v>46266</v>
      </c>
      <c r="B177" s="10">
        <f>CHOOSE(CONTROL!$C$42, 7.3359, 7.3359) * CHOOSE(CONTROL!$C$21, $C$9, 100%, $E$9)</f>
        <v>7.3358999999999996</v>
      </c>
      <c r="C177" s="10">
        <f>CHOOSE(CONTROL!$C$42, 7.3439, 7.3439) * CHOOSE(CONTROL!$C$21, $C$9, 100%, $E$9)</f>
        <v>7.3438999999999997</v>
      </c>
      <c r="D177" s="10">
        <f>CHOOSE(CONTROL!$C$42, 7.5466, 7.5466) * CHOOSE(CONTROL!$C$21, $C$9, 100%, $E$9)</f>
        <v>7.5465999999999998</v>
      </c>
      <c r="E177" s="10">
        <f>CHOOSE(CONTROL!$C$42, 7.5777, 7.5777) * CHOOSE(CONTROL!$C$21, $C$9, 100%, $E$9)</f>
        <v>7.5777000000000001</v>
      </c>
      <c r="F177" s="10">
        <f>CHOOSE(CONTROL!$C$42, 7.3127, 7.3127)*CHOOSE(CONTROL!$C$21, $C$9, 100%, $E$9)</f>
        <v>7.3127000000000004</v>
      </c>
      <c r="G177" s="10">
        <f>CHOOSE(CONTROL!$C$42, 7.328, 7.328)*CHOOSE(CONTROL!$C$21, $C$9, 100%, $E$9)</f>
        <v>7.3280000000000003</v>
      </c>
      <c r="H177" s="10">
        <f>CHOOSE(CONTROL!$C$42, 7.5664, 7.5664) * CHOOSE(CONTROL!$C$21, $C$9, 100%, $E$9)</f>
        <v>7.5663999999999998</v>
      </c>
      <c r="I177" s="10">
        <f>CHOOSE(CONTROL!$C$42, 7.336, 7.336)* CHOOSE(CONTROL!$C$21, $C$9, 100%, $E$9)</f>
        <v>7.3360000000000003</v>
      </c>
      <c r="J177" s="10">
        <f>CHOOSE(CONTROL!$C$42, 7.3057, 7.3057)* CHOOSE(CONTROL!$C$21, $C$9, 100%, $E$9)</f>
        <v>7.3056999999999999</v>
      </c>
      <c r="K177" s="53">
        <f>CHOOSE(CONTROL!$C$42, 7.3321, 7.3321) * CHOOSE(CONTROL!$C$21, $C$9, 100%, $E$9)</f>
        <v>7.3320999999999996</v>
      </c>
      <c r="L177" s="10">
        <f>CHOOSE(CONTROL!$C$42, 8.1534, 8.1534) * CHOOSE(CONTROL!$C$21, $C$9, 100%, $E$9)</f>
        <v>8.1533999999999995</v>
      </c>
      <c r="M177" s="10">
        <f>CHOOSE(CONTROL!$C$42, 7.2458, 7.2458) * CHOOSE(CONTROL!$C$21, $C$9, 100%, $E$9)</f>
        <v>7.2458</v>
      </c>
      <c r="N177" s="10">
        <f>CHOOSE(CONTROL!$C$42, 7.261, 7.261) * CHOOSE(CONTROL!$C$21, $C$9, 100%, $E$9)</f>
        <v>7.2610000000000001</v>
      </c>
      <c r="O177" s="10">
        <f>CHOOSE(CONTROL!$C$42, 7.5038, 7.5038) * CHOOSE(CONTROL!$C$21, $C$9, 100%, $E$9)</f>
        <v>7.5038</v>
      </c>
      <c r="P177" s="10">
        <f>CHOOSE(CONTROL!$C$42, 7.2758, 7.2758) * CHOOSE(CONTROL!$C$21, $C$9, 100%, $E$9)</f>
        <v>7.2758000000000003</v>
      </c>
      <c r="Q177" s="10">
        <f>CHOOSE(CONTROL!$C$42, 8.0991, 8.0991) * CHOOSE(CONTROL!$C$21, $C$9, 100%, $E$9)</f>
        <v>8.0991</v>
      </c>
      <c r="R177" s="10">
        <f>CHOOSE(CONTROL!$C$42, 8.7064, 8.7064) * CHOOSE(CONTROL!$C$21, $C$9, 100%, $E$9)</f>
        <v>8.7064000000000004</v>
      </c>
      <c r="S177" s="10">
        <f>CHOOSE(CONTROL!$C$42, 7.1197, 7.1197) * CHOOSE(CONTROL!$C$21, $C$9, 100%, $E$9)</f>
        <v>7.1196999999999999</v>
      </c>
      <c r="T1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57">
        <f>(1000*CHOOSE(CONTROL!$C$42, 695, 695)*CHOOSE(CONTROL!$C$42, 0.5599, 0.5599)*CHOOSE(CONTROL!$C$42, 30, 30))/1000000</f>
        <v>11.673914999999997</v>
      </c>
      <c r="V177" s="57">
        <f>(1000*CHOOSE(CONTROL!$C$42, 500, 500)*CHOOSE(CONTROL!$C$42, 0.275, 0.275)*CHOOSE(CONTROL!$C$42, 30, 30))/1000000</f>
        <v>4.125</v>
      </c>
      <c r="W177" s="57">
        <f>(1000*CHOOSE(CONTROL!$C$42, 0.1146, 0.1146)*CHOOSE(CONTROL!$C$42, 121.5, 121.5)*CHOOSE(CONTROL!$C$42, 30, 30))/1000000</f>
        <v>0.417717</v>
      </c>
      <c r="X177" s="57">
        <f>(30*0.1790888*245000/1000000)+(30*0.2374*100000/1000000)</f>
        <v>2.0285026799999999</v>
      </c>
      <c r="Y177" s="57"/>
      <c r="Z177" s="10"/>
      <c r="AA177" s="56"/>
      <c r="AB177" s="50">
        <f>(B177*194.205+C177*267.466+D177*133.845+E177*53.484+F177*40+G177*185+H177*0+I177*100+J177*300)/(194.205+267.466+133.845+53.484+0+40+185+100+300)</f>
        <v>7.3608872846938773</v>
      </c>
      <c r="AC177" s="45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7.3260043165467632</v>
      </c>
    </row>
    <row r="178" spans="1:29" ht="15.75" x14ac:dyDescent="0.25">
      <c r="A178" s="16">
        <v>46296</v>
      </c>
      <c r="B178" s="10">
        <f>CHOOSE(CONTROL!$C$42, 7.1853, 7.1853) * CHOOSE(CONTROL!$C$21, $C$9, 100%, $E$9)</f>
        <v>7.1852999999999998</v>
      </c>
      <c r="C178" s="10">
        <f>CHOOSE(CONTROL!$C$42, 7.1905, 7.1905) * CHOOSE(CONTROL!$C$21, $C$9, 100%, $E$9)</f>
        <v>7.1905000000000001</v>
      </c>
      <c r="D178" s="10">
        <f>CHOOSE(CONTROL!$C$42, 7.3982, 7.3982) * CHOOSE(CONTROL!$C$21, $C$9, 100%, $E$9)</f>
        <v>7.3982000000000001</v>
      </c>
      <c r="E178" s="10">
        <f>CHOOSE(CONTROL!$C$42, 7.427, 7.427) * CHOOSE(CONTROL!$C$21, $C$9, 100%, $E$9)</f>
        <v>7.4269999999999996</v>
      </c>
      <c r="F178" s="10">
        <f>CHOOSE(CONTROL!$C$42, 7.1641, 7.1641)*CHOOSE(CONTROL!$C$21, $C$9, 100%, $E$9)</f>
        <v>7.1641000000000004</v>
      </c>
      <c r="G178" s="10">
        <f>CHOOSE(CONTROL!$C$42, 7.179, 7.179)*CHOOSE(CONTROL!$C$21, $C$9, 100%, $E$9)</f>
        <v>7.1790000000000003</v>
      </c>
      <c r="H178" s="10">
        <f>CHOOSE(CONTROL!$C$42, 7.4175, 7.4175) * CHOOSE(CONTROL!$C$21, $C$9, 100%, $E$9)</f>
        <v>7.4175000000000004</v>
      </c>
      <c r="I178" s="10">
        <f>CHOOSE(CONTROL!$C$42, 7.1871, 7.1871)* CHOOSE(CONTROL!$C$21, $C$9, 100%, $E$9)</f>
        <v>7.1871</v>
      </c>
      <c r="J178" s="10">
        <f>CHOOSE(CONTROL!$C$42, 7.1571, 7.1571)* CHOOSE(CONTROL!$C$21, $C$9, 100%, $E$9)</f>
        <v>7.1570999999999998</v>
      </c>
      <c r="K178" s="53">
        <f>CHOOSE(CONTROL!$C$42, 7.1832, 7.1832) * CHOOSE(CONTROL!$C$21, $C$9, 100%, $E$9)</f>
        <v>7.1832000000000003</v>
      </c>
      <c r="L178" s="10">
        <f>CHOOSE(CONTROL!$C$42, 8.0045, 8.0045) * CHOOSE(CONTROL!$C$21, $C$9, 100%, $E$9)</f>
        <v>8.0045000000000002</v>
      </c>
      <c r="M178" s="10">
        <f>CHOOSE(CONTROL!$C$42, 7.0987, 7.0987) * CHOOSE(CONTROL!$C$21, $C$9, 100%, $E$9)</f>
        <v>7.0987</v>
      </c>
      <c r="N178" s="10">
        <f>CHOOSE(CONTROL!$C$42, 7.1134, 7.1134) * CHOOSE(CONTROL!$C$21, $C$9, 100%, $E$9)</f>
        <v>7.1134000000000004</v>
      </c>
      <c r="O178" s="10">
        <f>CHOOSE(CONTROL!$C$42, 7.3565, 7.3565) * CHOOSE(CONTROL!$C$21, $C$9, 100%, $E$9)</f>
        <v>7.3564999999999996</v>
      </c>
      <c r="P178" s="10">
        <f>CHOOSE(CONTROL!$C$42, 7.1285, 7.1285) * CHOOSE(CONTROL!$C$21, $C$9, 100%, $E$9)</f>
        <v>7.1284999999999998</v>
      </c>
      <c r="Q178" s="10">
        <f>CHOOSE(CONTROL!$C$42, 7.9518, 7.9518) * CHOOSE(CONTROL!$C$21, $C$9, 100%, $E$9)</f>
        <v>7.9518000000000004</v>
      </c>
      <c r="R178" s="10">
        <f>CHOOSE(CONTROL!$C$42, 8.5587, 8.5587) * CHOOSE(CONTROL!$C$21, $C$9, 100%, $E$9)</f>
        <v>8.5587</v>
      </c>
      <c r="S178" s="10">
        <f>CHOOSE(CONTROL!$C$42, 6.9751, 6.9751) * CHOOSE(CONTROL!$C$21, $C$9, 100%, $E$9)</f>
        <v>6.9751000000000003</v>
      </c>
      <c r="T1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57">
        <f>(1000*CHOOSE(CONTROL!$C$42, 695, 695)*CHOOSE(CONTROL!$C$42, 0.5599, 0.5599)*CHOOSE(CONTROL!$C$42, 31, 31))/1000000</f>
        <v>12.063045499999998</v>
      </c>
      <c r="V178" s="57">
        <f>(1000*CHOOSE(CONTROL!$C$42, 500, 500)*CHOOSE(CONTROL!$C$42, 0.275, 0.275)*CHOOSE(CONTROL!$C$42, 31, 31))/1000000</f>
        <v>4.2625000000000002</v>
      </c>
      <c r="W178" s="57">
        <f>(1000*CHOOSE(CONTROL!$C$42, 0.1146, 0.1146)*CHOOSE(CONTROL!$C$42, 121.5, 121.5)*CHOOSE(CONTROL!$C$42, 31, 31))/1000000</f>
        <v>0.43164089999999994</v>
      </c>
      <c r="X178" s="57">
        <f>(31*0.1790888*245000/1000000)+(31*0.2374*100000/1000000)</f>
        <v>2.0961194359999999</v>
      </c>
      <c r="Y178" s="57"/>
      <c r="Z178" s="10"/>
      <c r="AA178" s="56"/>
      <c r="AB178" s="50">
        <f>(B178*131.881+C178*277.167+D178*79.08+E178*125.872+F178*40+G178*185+H178*0+I178*100+J178*300)/(131.881+277.167+79.08+125.872+0+40+185+100+300)</f>
        <v>7.2162985171912837</v>
      </c>
      <c r="AC178" s="45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7.1787043165467637</v>
      </c>
    </row>
    <row r="179" spans="1:29" ht="15.75" x14ac:dyDescent="0.25">
      <c r="A179" s="16">
        <v>46327</v>
      </c>
      <c r="B179" s="10">
        <f>CHOOSE(CONTROL!$C$42, 7.3741, 7.3741) * CHOOSE(CONTROL!$C$21, $C$9, 100%, $E$9)</f>
        <v>7.3741000000000003</v>
      </c>
      <c r="C179" s="10">
        <f>CHOOSE(CONTROL!$C$42, 7.3791, 7.3791) * CHOOSE(CONTROL!$C$21, $C$9, 100%, $E$9)</f>
        <v>7.3791000000000002</v>
      </c>
      <c r="D179" s="10">
        <f>CHOOSE(CONTROL!$C$42, 7.4396, 7.4396) * CHOOSE(CONTROL!$C$21, $C$9, 100%, $E$9)</f>
        <v>7.4396000000000004</v>
      </c>
      <c r="E179" s="10">
        <f>CHOOSE(CONTROL!$C$42, 7.4734, 7.4734) * CHOOSE(CONTROL!$C$21, $C$9, 100%, $E$9)</f>
        <v>7.4733999999999998</v>
      </c>
      <c r="F179" s="10">
        <f>CHOOSE(CONTROL!$C$42, 7.3698, 7.3698)*CHOOSE(CONTROL!$C$21, $C$9, 100%, $E$9)</f>
        <v>7.3697999999999997</v>
      </c>
      <c r="G179" s="10">
        <f>CHOOSE(CONTROL!$C$42, 7.385, 7.385)*CHOOSE(CONTROL!$C$21, $C$9, 100%, $E$9)</f>
        <v>7.3849999999999998</v>
      </c>
      <c r="H179" s="10">
        <f>CHOOSE(CONTROL!$C$42, 7.4625, 7.4625) * CHOOSE(CONTROL!$C$21, $C$9, 100%, $E$9)</f>
        <v>7.4625000000000004</v>
      </c>
      <c r="I179" s="10">
        <f>CHOOSE(CONTROL!$C$42, 7.3866, 7.3866)* CHOOSE(CONTROL!$C$21, $C$9, 100%, $E$9)</f>
        <v>7.3865999999999996</v>
      </c>
      <c r="J179" s="10">
        <f>CHOOSE(CONTROL!$C$42, 7.3628, 7.3628)* CHOOSE(CONTROL!$C$21, $C$9, 100%, $E$9)</f>
        <v>7.3628</v>
      </c>
      <c r="K179" s="53">
        <f>CHOOSE(CONTROL!$C$42, 7.3827, 7.3827) * CHOOSE(CONTROL!$C$21, $C$9, 100%, $E$9)</f>
        <v>7.3826999999999998</v>
      </c>
      <c r="L179" s="10">
        <f>CHOOSE(CONTROL!$C$42, 8.0495, 8.0495) * CHOOSE(CONTROL!$C$21, $C$9, 100%, $E$9)</f>
        <v>8.0495000000000001</v>
      </c>
      <c r="M179" s="10">
        <f>CHOOSE(CONTROL!$C$42, 7.3023, 7.3023) * CHOOSE(CONTROL!$C$21, $C$9, 100%, $E$9)</f>
        <v>7.3022999999999998</v>
      </c>
      <c r="N179" s="10">
        <f>CHOOSE(CONTROL!$C$42, 7.3173, 7.3173) * CHOOSE(CONTROL!$C$21, $C$9, 100%, $E$9)</f>
        <v>7.3173000000000004</v>
      </c>
      <c r="O179" s="10">
        <f>CHOOSE(CONTROL!$C$42, 7.4011, 7.4011) * CHOOSE(CONTROL!$C$21, $C$9, 100%, $E$9)</f>
        <v>7.4010999999999996</v>
      </c>
      <c r="P179" s="10">
        <f>CHOOSE(CONTROL!$C$42, 7.326, 7.326) * CHOOSE(CONTROL!$C$21, $C$9, 100%, $E$9)</f>
        <v>7.3259999999999996</v>
      </c>
      <c r="Q179" s="10">
        <f>CHOOSE(CONTROL!$C$42, 7.9964, 7.9964) * CHOOSE(CONTROL!$C$21, $C$9, 100%, $E$9)</f>
        <v>7.9964000000000004</v>
      </c>
      <c r="R179" s="10">
        <f>CHOOSE(CONTROL!$C$42, 8.6034, 8.6034) * CHOOSE(CONTROL!$C$21, $C$9, 100%, $E$9)</f>
        <v>8.6034000000000006</v>
      </c>
      <c r="S179" s="10">
        <f>CHOOSE(CONTROL!$C$42, 7.1589, 7.1589) * CHOOSE(CONTROL!$C$21, $C$9, 100%, $E$9)</f>
        <v>7.1589</v>
      </c>
      <c r="T1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57">
        <f>(1000*CHOOSE(CONTROL!$C$42, 695, 695)*CHOOSE(CONTROL!$C$42, 0.5599, 0.5599)*CHOOSE(CONTROL!$C$42, 30, 30))/1000000</f>
        <v>11.673914999999997</v>
      </c>
      <c r="V179" s="57">
        <f>(1000*CHOOSE(CONTROL!$C$42, 500, 500)*CHOOSE(CONTROL!$C$42, 0.275, 0.275)*CHOOSE(CONTROL!$C$42, 30, 30))/1000000</f>
        <v>4.125</v>
      </c>
      <c r="W179" s="57">
        <f>(1000*CHOOSE(CONTROL!$C$42, 0.1146, 0.1146)*CHOOSE(CONTROL!$C$42, 121.5, 121.5)*CHOOSE(CONTROL!$C$42, 30, 30))/1000000</f>
        <v>0.417717</v>
      </c>
      <c r="X179" s="57">
        <f>(30*0.1790888*100000/1000000)+(30*0.2374*100000/1000000)</f>
        <v>1.2494664</v>
      </c>
      <c r="Y179" s="57"/>
      <c r="Z179" s="10"/>
      <c r="AA179" s="56"/>
      <c r="AB179" s="50">
        <f>(B179*122.58+C179*297.941+D179*89.177+E179*40.302+F179*40+G179*160+H179*0+I179*100+J179*300)/(122.58+297.941+89.177+40.302+0+40+160+100+300)</f>
        <v>7.3834606844347839</v>
      </c>
      <c r="AC179" s="45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7.3513532374100699</v>
      </c>
    </row>
    <row r="180" spans="1:29" ht="15.75" x14ac:dyDescent="0.25">
      <c r="A180" s="16">
        <v>46357</v>
      </c>
      <c r="B180" s="10">
        <f>CHOOSE(CONTROL!$C$42, 7.8767, 7.8767) * CHOOSE(CONTROL!$C$21, $C$9, 100%, $E$9)</f>
        <v>7.8766999999999996</v>
      </c>
      <c r="C180" s="10">
        <f>CHOOSE(CONTROL!$C$42, 7.8816, 7.8816) * CHOOSE(CONTROL!$C$21, $C$9, 100%, $E$9)</f>
        <v>7.8815999999999997</v>
      </c>
      <c r="D180" s="10">
        <f>CHOOSE(CONTROL!$C$42, 7.9421, 7.9421) * CHOOSE(CONTROL!$C$21, $C$9, 100%, $E$9)</f>
        <v>7.9420999999999999</v>
      </c>
      <c r="E180" s="10">
        <f>CHOOSE(CONTROL!$C$42, 7.9759, 7.9759) * CHOOSE(CONTROL!$C$21, $C$9, 100%, $E$9)</f>
        <v>7.9759000000000002</v>
      </c>
      <c r="F180" s="10">
        <f>CHOOSE(CONTROL!$C$42, 7.8741, 7.8741)*CHOOSE(CONTROL!$C$21, $C$9, 100%, $E$9)</f>
        <v>7.8741000000000003</v>
      </c>
      <c r="G180" s="10">
        <f>CHOOSE(CONTROL!$C$42, 7.8898, 7.8898)*CHOOSE(CONTROL!$C$21, $C$9, 100%, $E$9)</f>
        <v>7.8898000000000001</v>
      </c>
      <c r="H180" s="10">
        <f>CHOOSE(CONTROL!$C$42, 7.9651, 7.9651) * CHOOSE(CONTROL!$C$21, $C$9, 100%, $E$9)</f>
        <v>7.9650999999999996</v>
      </c>
      <c r="I180" s="10">
        <f>CHOOSE(CONTROL!$C$42, 7.8892, 7.8892)* CHOOSE(CONTROL!$C$21, $C$9, 100%, $E$9)</f>
        <v>7.8891999999999998</v>
      </c>
      <c r="J180" s="10">
        <f>CHOOSE(CONTROL!$C$42, 7.8671, 7.8671)* CHOOSE(CONTROL!$C$21, $C$9, 100%, $E$9)</f>
        <v>7.8670999999999998</v>
      </c>
      <c r="K180" s="53">
        <f>CHOOSE(CONTROL!$C$42, 7.8853, 7.8853) * CHOOSE(CONTROL!$C$21, $C$9, 100%, $E$9)</f>
        <v>7.8853</v>
      </c>
      <c r="L180" s="10">
        <f>CHOOSE(CONTROL!$C$42, 8.5521, 8.5521) * CHOOSE(CONTROL!$C$21, $C$9, 100%, $E$9)</f>
        <v>8.5520999999999994</v>
      </c>
      <c r="M180" s="10">
        <f>CHOOSE(CONTROL!$C$42, 7.8016, 7.8016) * CHOOSE(CONTROL!$C$21, $C$9, 100%, $E$9)</f>
        <v>7.8015999999999996</v>
      </c>
      <c r="N180" s="10">
        <f>CHOOSE(CONTROL!$C$42, 7.8171, 7.8171) * CHOOSE(CONTROL!$C$21, $C$9, 100%, $E$9)</f>
        <v>7.8170999999999999</v>
      </c>
      <c r="O180" s="10">
        <f>CHOOSE(CONTROL!$C$42, 7.8986, 7.8986) * CHOOSE(CONTROL!$C$21, $C$9, 100%, $E$9)</f>
        <v>7.8986000000000001</v>
      </c>
      <c r="P180" s="10">
        <f>CHOOSE(CONTROL!$C$42, 7.8234, 7.8234) * CHOOSE(CONTROL!$C$21, $C$9, 100%, $E$9)</f>
        <v>7.8234000000000004</v>
      </c>
      <c r="Q180" s="10">
        <f>CHOOSE(CONTROL!$C$42, 8.4939, 8.4939) * CHOOSE(CONTROL!$C$21, $C$9, 100%, $E$9)</f>
        <v>8.4939</v>
      </c>
      <c r="R180" s="10">
        <f>CHOOSE(CONTROL!$C$42, 9.1021, 9.1021) * CHOOSE(CONTROL!$C$21, $C$9, 100%, $E$9)</f>
        <v>9.1021000000000001</v>
      </c>
      <c r="S180" s="10">
        <f>CHOOSE(CONTROL!$C$42, 7.6469, 7.6469) * CHOOSE(CONTROL!$C$21, $C$9, 100%, $E$9)</f>
        <v>7.6468999999999996</v>
      </c>
      <c r="T1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57">
        <f>(1000*CHOOSE(CONTROL!$C$42, 695, 695)*CHOOSE(CONTROL!$C$42, 0.5599, 0.5599)*CHOOSE(CONTROL!$C$42, 31, 31))/1000000</f>
        <v>12.063045499999998</v>
      </c>
      <c r="V180" s="57">
        <f>(1000*CHOOSE(CONTROL!$C$42, 500, 500)*CHOOSE(CONTROL!$C$42, 0.275, 0.275)*CHOOSE(CONTROL!$C$42, 31, 31))/1000000</f>
        <v>4.2625000000000002</v>
      </c>
      <c r="W180" s="57">
        <f>(1000*CHOOSE(CONTROL!$C$42, 0.1146, 0.1146)*CHOOSE(CONTROL!$C$42, 121.5, 121.5)*CHOOSE(CONTROL!$C$42, 31, 31))/1000000</f>
        <v>0.43164089999999994</v>
      </c>
      <c r="X180" s="57">
        <f>(31*0.1790888*100000/1000000)+(31*0.2374*100000/1000000)</f>
        <v>1.2911152800000001</v>
      </c>
      <c r="Y180" s="57"/>
      <c r="Z180" s="10"/>
      <c r="AA180" s="56"/>
      <c r="AB180" s="50">
        <f>(B180*122.58+C180*297.941+D180*89.177+E180*40.302+F180*40+G180*160+H180*0+I180*100+J180*300)/(122.58+297.941+89.177+40.302+0+40+160+100+300)</f>
        <v>7.886832213130436</v>
      </c>
      <c r="AC180" s="45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7.8495928057553961</v>
      </c>
    </row>
    <row r="181" spans="1:29" ht="15.75" x14ac:dyDescent="0.25">
      <c r="A181" s="16">
        <v>46388</v>
      </c>
      <c r="B181" s="10">
        <f>CHOOSE(CONTROL!$C$42, 8.5307, 8.5307) * CHOOSE(CONTROL!$C$21, $C$9, 100%, $E$9)</f>
        <v>8.5306999999999995</v>
      </c>
      <c r="C181" s="10">
        <f>CHOOSE(CONTROL!$C$42, 8.5356, 8.5356) * CHOOSE(CONTROL!$C$21, $C$9, 100%, $E$9)</f>
        <v>8.5356000000000005</v>
      </c>
      <c r="D181" s="10">
        <f>CHOOSE(CONTROL!$C$42, 8.5927, 8.5927) * CHOOSE(CONTROL!$C$21, $C$9, 100%, $E$9)</f>
        <v>8.5927000000000007</v>
      </c>
      <c r="E181" s="10">
        <f>CHOOSE(CONTROL!$C$42, 8.6265, 8.6265) * CHOOSE(CONTROL!$C$21, $C$9, 100%, $E$9)</f>
        <v>8.6265000000000001</v>
      </c>
      <c r="F181" s="10">
        <f>CHOOSE(CONTROL!$C$42, 8.5285, 8.5285)*CHOOSE(CONTROL!$C$21, $C$9, 100%, $E$9)</f>
        <v>8.5284999999999993</v>
      </c>
      <c r="G181" s="10">
        <f>CHOOSE(CONTROL!$C$42, 8.5431, 8.5431)*CHOOSE(CONTROL!$C$21, $C$9, 100%, $E$9)</f>
        <v>8.5431000000000008</v>
      </c>
      <c r="H181" s="10">
        <f>CHOOSE(CONTROL!$C$42, 8.6157, 8.6157) * CHOOSE(CONTROL!$C$21, $C$9, 100%, $E$9)</f>
        <v>8.6157000000000004</v>
      </c>
      <c r="I181" s="10">
        <f>CHOOSE(CONTROL!$C$42, 8.5415, 8.5415)* CHOOSE(CONTROL!$C$21, $C$9, 100%, $E$9)</f>
        <v>8.5414999999999992</v>
      </c>
      <c r="J181" s="10">
        <f>CHOOSE(CONTROL!$C$42, 8.5215, 8.5215)* CHOOSE(CONTROL!$C$21, $C$9, 100%, $E$9)</f>
        <v>8.5214999999999996</v>
      </c>
      <c r="K181" s="53">
        <f>CHOOSE(CONTROL!$C$42, 8.5376, 8.5376) * CHOOSE(CONTROL!$C$21, $C$9, 100%, $E$9)</f>
        <v>8.5375999999999994</v>
      </c>
      <c r="L181" s="10">
        <f>CHOOSE(CONTROL!$C$42, 9.2027, 9.2027) * CHOOSE(CONTROL!$C$21, $C$9, 100%, $E$9)</f>
        <v>9.2027000000000001</v>
      </c>
      <c r="M181" s="10">
        <f>CHOOSE(CONTROL!$C$42, 8.4493, 8.4493) * CHOOSE(CONTROL!$C$21, $C$9, 100%, $E$9)</f>
        <v>8.4492999999999991</v>
      </c>
      <c r="N181" s="10">
        <f>CHOOSE(CONTROL!$C$42, 8.4638, 8.4638) * CHOOSE(CONTROL!$C$21, $C$9, 100%, $E$9)</f>
        <v>8.4638000000000009</v>
      </c>
      <c r="O181" s="10">
        <f>CHOOSE(CONTROL!$C$42, 8.5426, 8.5426) * CHOOSE(CONTROL!$C$21, $C$9, 100%, $E$9)</f>
        <v>8.5426000000000002</v>
      </c>
      <c r="P181" s="10">
        <f>CHOOSE(CONTROL!$C$42, 8.4691, 8.4691) * CHOOSE(CONTROL!$C$21, $C$9, 100%, $E$9)</f>
        <v>8.4690999999999992</v>
      </c>
      <c r="Q181" s="10">
        <f>CHOOSE(CONTROL!$C$42, 9.1379, 9.1379) * CHOOSE(CONTROL!$C$21, $C$9, 100%, $E$9)</f>
        <v>9.1379000000000001</v>
      </c>
      <c r="R181" s="10">
        <f>CHOOSE(CONTROL!$C$42, 9.7477, 9.7477) * CHOOSE(CONTROL!$C$21, $C$9, 100%, $E$9)</f>
        <v>9.7477</v>
      </c>
      <c r="S181" s="10">
        <f>CHOOSE(CONTROL!$C$42, 8.282, 8.282) * CHOOSE(CONTROL!$C$21, $C$9, 100%, $E$9)</f>
        <v>8.282</v>
      </c>
      <c r="T1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57">
        <f>(1000*CHOOSE(CONTROL!$C$42, 695, 695)*CHOOSE(CONTROL!$C$42, 0.5599, 0.5599)*CHOOSE(CONTROL!$C$42, 31, 31))/1000000</f>
        <v>12.063045499999998</v>
      </c>
      <c r="V181" s="57">
        <f>(1000*CHOOSE(CONTROL!$C$42, 500, 500)*CHOOSE(CONTROL!$C$42, 0.275, 0.275)*CHOOSE(CONTROL!$C$42, 31, 31))/1000000</f>
        <v>4.2625000000000002</v>
      </c>
      <c r="W181" s="57">
        <f>(1000*CHOOSE(CONTROL!$C$42, 0.1146, 0.1146)*CHOOSE(CONTROL!$C$42, 121.5, 121.5)*CHOOSE(CONTROL!$C$42, 31, 31))/1000000</f>
        <v>0.43164089999999994</v>
      </c>
      <c r="X181" s="57">
        <f>(31*0.1790888*100000/1000000)+(31*0.2374*100000/1000000)</f>
        <v>1.2911152800000001</v>
      </c>
      <c r="Y181" s="57"/>
      <c r="Z181" s="10"/>
      <c r="AA181" s="56"/>
      <c r="AB181" s="50">
        <f>(B181*122.58+C181*297.941+D181*89.177+E181*40.302+F181*40+G181*160+H181*0+I181*100+J181*300)/(122.58+297.941+89.177+40.302+0+40+160+100+300)</f>
        <v>8.5403224491304339</v>
      </c>
      <c r="AC181" s="45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8.4952705035971228</v>
      </c>
    </row>
    <row r="182" spans="1:29" ht="15.75" x14ac:dyDescent="0.25">
      <c r="A182" s="16">
        <v>46419</v>
      </c>
      <c r="B182" s="10">
        <f>CHOOSE(CONTROL!$C$42, 8.6825, 8.6825) * CHOOSE(CONTROL!$C$21, $C$9, 100%, $E$9)</f>
        <v>8.6824999999999992</v>
      </c>
      <c r="C182" s="10">
        <f>CHOOSE(CONTROL!$C$42, 8.6874, 8.6874) * CHOOSE(CONTROL!$C$21, $C$9, 100%, $E$9)</f>
        <v>8.6874000000000002</v>
      </c>
      <c r="D182" s="10">
        <f>CHOOSE(CONTROL!$C$42, 8.7445, 8.7445) * CHOOSE(CONTROL!$C$21, $C$9, 100%, $E$9)</f>
        <v>8.7445000000000004</v>
      </c>
      <c r="E182" s="10">
        <f>CHOOSE(CONTROL!$C$42, 8.7783, 8.7783) * CHOOSE(CONTROL!$C$21, $C$9, 100%, $E$9)</f>
        <v>8.7782999999999998</v>
      </c>
      <c r="F182" s="10">
        <f>CHOOSE(CONTROL!$C$42, 8.6804, 8.6804)*CHOOSE(CONTROL!$C$21, $C$9, 100%, $E$9)</f>
        <v>8.6804000000000006</v>
      </c>
      <c r="G182" s="10">
        <f>CHOOSE(CONTROL!$C$42, 8.6951, 8.6951)*CHOOSE(CONTROL!$C$21, $C$9, 100%, $E$9)</f>
        <v>8.6951000000000001</v>
      </c>
      <c r="H182" s="10">
        <f>CHOOSE(CONTROL!$C$42, 8.7675, 8.7675) * CHOOSE(CONTROL!$C$21, $C$9, 100%, $E$9)</f>
        <v>8.7675000000000001</v>
      </c>
      <c r="I182" s="10">
        <f>CHOOSE(CONTROL!$C$42, 8.6933, 8.6933)* CHOOSE(CONTROL!$C$21, $C$9, 100%, $E$9)</f>
        <v>8.6933000000000007</v>
      </c>
      <c r="J182" s="10">
        <f>CHOOSE(CONTROL!$C$42, 8.6734, 8.6734)* CHOOSE(CONTROL!$C$21, $C$9, 100%, $E$9)</f>
        <v>8.6734000000000009</v>
      </c>
      <c r="K182" s="53">
        <f>CHOOSE(CONTROL!$C$42, 8.6894, 8.6894) * CHOOSE(CONTROL!$C$21, $C$9, 100%, $E$9)</f>
        <v>8.6893999999999991</v>
      </c>
      <c r="L182" s="10">
        <f>CHOOSE(CONTROL!$C$42, 9.3545, 9.3545) * CHOOSE(CONTROL!$C$21, $C$9, 100%, $E$9)</f>
        <v>9.3544999999999998</v>
      </c>
      <c r="M182" s="10">
        <f>CHOOSE(CONTROL!$C$42, 8.5997, 8.5997) * CHOOSE(CONTROL!$C$21, $C$9, 100%, $E$9)</f>
        <v>8.5997000000000003</v>
      </c>
      <c r="N182" s="10">
        <f>CHOOSE(CONTROL!$C$42, 8.6142, 8.6142) * CHOOSE(CONTROL!$C$21, $C$9, 100%, $E$9)</f>
        <v>8.6142000000000003</v>
      </c>
      <c r="O182" s="10">
        <f>CHOOSE(CONTROL!$C$42, 8.6928, 8.6928) * CHOOSE(CONTROL!$C$21, $C$9, 100%, $E$9)</f>
        <v>8.6928000000000001</v>
      </c>
      <c r="P182" s="10">
        <f>CHOOSE(CONTROL!$C$42, 8.6194, 8.6194) * CHOOSE(CONTROL!$C$21, $C$9, 100%, $E$9)</f>
        <v>8.6194000000000006</v>
      </c>
      <c r="Q182" s="10">
        <f>CHOOSE(CONTROL!$C$42, 9.2881, 9.2881) * CHOOSE(CONTROL!$C$21, $C$9, 100%, $E$9)</f>
        <v>9.2881</v>
      </c>
      <c r="R182" s="10">
        <f>CHOOSE(CONTROL!$C$42, 9.8983, 9.8983) * CHOOSE(CONTROL!$C$21, $C$9, 100%, $E$9)</f>
        <v>9.8983000000000008</v>
      </c>
      <c r="S182" s="10">
        <f>CHOOSE(CONTROL!$C$42, 8.4294, 8.4294) * CHOOSE(CONTROL!$C$21, $C$9, 100%, $E$9)</f>
        <v>8.4293999999999993</v>
      </c>
      <c r="T1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82" s="57">
        <f>(1000*CHOOSE(CONTROL!$C$42, 695, 695)*CHOOSE(CONTROL!$C$42, 0.5599, 0.5599)*CHOOSE(CONTROL!$C$42, 28, 28))/1000000</f>
        <v>10.895653999999999</v>
      </c>
      <c r="V182" s="57">
        <f>(1000*CHOOSE(CONTROL!$C$42, 500, 500)*CHOOSE(CONTROL!$C$42, 0.275, 0.275)*CHOOSE(CONTROL!$C$42, 28, 28))/1000000</f>
        <v>3.85</v>
      </c>
      <c r="W182" s="57">
        <f>(1000*CHOOSE(CONTROL!$C$42, 0.1146, 0.1146)*CHOOSE(CONTROL!$C$42, 121.5, 121.5)*CHOOSE(CONTROL!$C$42, 28, 28))/1000000</f>
        <v>0.38986920000000003</v>
      </c>
      <c r="X182" s="57">
        <f>(28*0.1790888*100000/1000000)+(28*0.2374*100000/1000000)</f>
        <v>1.16616864</v>
      </c>
      <c r="Y182" s="57"/>
      <c r="Z182" s="10"/>
      <c r="AA182" s="56"/>
      <c r="AB182" s="50">
        <f>(B182*122.58+C182*297.941+D182*89.177+E182*40.302+F182*40+G182*160+H182*0+I182*100+J182*300)/(122.58+297.941+89.177+40.302+0+40+160+100+300)</f>
        <v>8.6921798404347825</v>
      </c>
      <c r="AC182" s="45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8.6455654676258984</v>
      </c>
    </row>
    <row r="183" spans="1:29" ht="15.75" x14ac:dyDescent="0.25">
      <c r="A183" s="16">
        <v>46447</v>
      </c>
      <c r="B183" s="10">
        <f>CHOOSE(CONTROL!$C$42, 8.4361, 8.4361) * CHOOSE(CONTROL!$C$21, $C$9, 100%, $E$9)</f>
        <v>8.4360999999999997</v>
      </c>
      <c r="C183" s="10">
        <f>CHOOSE(CONTROL!$C$42, 8.441, 8.441) * CHOOSE(CONTROL!$C$21, $C$9, 100%, $E$9)</f>
        <v>8.4410000000000007</v>
      </c>
      <c r="D183" s="10">
        <f>CHOOSE(CONTROL!$C$42, 8.4981, 8.4981) * CHOOSE(CONTROL!$C$21, $C$9, 100%, $E$9)</f>
        <v>8.4981000000000009</v>
      </c>
      <c r="E183" s="10">
        <f>CHOOSE(CONTROL!$C$42, 8.5319, 8.5319) * CHOOSE(CONTROL!$C$21, $C$9, 100%, $E$9)</f>
        <v>8.5319000000000003</v>
      </c>
      <c r="F183" s="10">
        <f>CHOOSE(CONTROL!$C$42, 8.4339, 8.4339)*CHOOSE(CONTROL!$C$21, $C$9, 100%, $E$9)</f>
        <v>8.4338999999999995</v>
      </c>
      <c r="G183" s="10">
        <f>CHOOSE(CONTROL!$C$42, 8.4485, 8.4485)*CHOOSE(CONTROL!$C$21, $C$9, 100%, $E$9)</f>
        <v>8.4484999999999992</v>
      </c>
      <c r="H183" s="10">
        <f>CHOOSE(CONTROL!$C$42, 8.5211, 8.5211) * CHOOSE(CONTROL!$C$21, $C$9, 100%, $E$9)</f>
        <v>8.5211000000000006</v>
      </c>
      <c r="I183" s="10">
        <f>CHOOSE(CONTROL!$C$42, 8.4469, 8.4469)* CHOOSE(CONTROL!$C$21, $C$9, 100%, $E$9)</f>
        <v>8.4468999999999994</v>
      </c>
      <c r="J183" s="10">
        <f>CHOOSE(CONTROL!$C$42, 8.4269, 8.4269)* CHOOSE(CONTROL!$C$21, $C$9, 100%, $E$9)</f>
        <v>8.4268999999999998</v>
      </c>
      <c r="K183" s="53">
        <f>CHOOSE(CONTROL!$C$42, 8.443, 8.443) * CHOOSE(CONTROL!$C$21, $C$9, 100%, $E$9)</f>
        <v>8.4429999999999996</v>
      </c>
      <c r="L183" s="10">
        <f>CHOOSE(CONTROL!$C$42, 9.1081, 9.1081) * CHOOSE(CONTROL!$C$21, $C$9, 100%, $E$9)</f>
        <v>9.1081000000000003</v>
      </c>
      <c r="M183" s="10">
        <f>CHOOSE(CONTROL!$C$42, 8.3557, 8.3557) * CHOOSE(CONTROL!$C$21, $C$9, 100%, $E$9)</f>
        <v>8.3557000000000006</v>
      </c>
      <c r="N183" s="10">
        <f>CHOOSE(CONTROL!$C$42, 8.3701, 8.3701) * CHOOSE(CONTROL!$C$21, $C$9, 100%, $E$9)</f>
        <v>8.3701000000000008</v>
      </c>
      <c r="O183" s="10">
        <f>CHOOSE(CONTROL!$C$42, 8.4489, 8.4489) * CHOOSE(CONTROL!$C$21, $C$9, 100%, $E$9)</f>
        <v>8.4489000000000001</v>
      </c>
      <c r="P183" s="10">
        <f>CHOOSE(CONTROL!$C$42, 8.3755, 8.3755) * CHOOSE(CONTROL!$C$21, $C$9, 100%, $E$9)</f>
        <v>8.3755000000000006</v>
      </c>
      <c r="Q183" s="10">
        <f>CHOOSE(CONTROL!$C$42, 9.0442, 9.0442) * CHOOSE(CONTROL!$C$21, $C$9, 100%, $E$9)</f>
        <v>9.0442</v>
      </c>
      <c r="R183" s="10">
        <f>CHOOSE(CONTROL!$C$42, 9.6538, 9.6538) * CHOOSE(CONTROL!$C$21, $C$9, 100%, $E$9)</f>
        <v>9.6538000000000004</v>
      </c>
      <c r="S183" s="10">
        <f>CHOOSE(CONTROL!$C$42, 8.1901, 8.1901) * CHOOSE(CONTROL!$C$21, $C$9, 100%, $E$9)</f>
        <v>8.1900999999999993</v>
      </c>
      <c r="T1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57">
        <f>(1000*CHOOSE(CONTROL!$C$42, 695, 695)*CHOOSE(CONTROL!$C$42, 0.5599, 0.5599)*CHOOSE(CONTROL!$C$42, 31, 31))/1000000</f>
        <v>12.063045499999998</v>
      </c>
      <c r="V183" s="57">
        <f>(1000*CHOOSE(CONTROL!$C$42, 500, 500)*CHOOSE(CONTROL!$C$42, 0.275, 0.275)*CHOOSE(CONTROL!$C$42, 31, 31))/1000000</f>
        <v>4.2625000000000002</v>
      </c>
      <c r="W183" s="57">
        <f>(1000*CHOOSE(CONTROL!$C$42, 0.1146, 0.1146)*CHOOSE(CONTROL!$C$42, 121.5, 121.5)*CHOOSE(CONTROL!$C$42, 31, 31))/1000000</f>
        <v>0.43164089999999994</v>
      </c>
      <c r="X183" s="57">
        <f>(31*0.1790888*100000/1000000)+(31*0.2374*100000/1000000)</f>
        <v>1.2911152800000001</v>
      </c>
      <c r="Y183" s="57"/>
      <c r="Z183" s="10"/>
      <c r="AA183" s="56"/>
      <c r="AB183" s="50">
        <f>(B183*122.58+C183*297.941+D183*89.177+E183*40.302+F183*40+G183*160+H183*0+I183*100+J183*300)/(122.58+297.941+89.177+40.302+0+40+160+100+300)</f>
        <v>8.4457224491304341</v>
      </c>
      <c r="AC183" s="45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8.4016194244604314</v>
      </c>
    </row>
    <row r="184" spans="1:29" ht="15.75" x14ac:dyDescent="0.25">
      <c r="A184" s="16">
        <v>46478</v>
      </c>
      <c r="B184" s="10">
        <f>CHOOSE(CONTROL!$C$42, 8.412, 8.412) * CHOOSE(CONTROL!$C$21, $C$9, 100%, $E$9)</f>
        <v>8.4120000000000008</v>
      </c>
      <c r="C184" s="10">
        <f>CHOOSE(CONTROL!$C$42, 8.4164, 8.4164) * CHOOSE(CONTROL!$C$21, $C$9, 100%, $E$9)</f>
        <v>8.4163999999999994</v>
      </c>
      <c r="D184" s="10">
        <f>CHOOSE(CONTROL!$C$42, 8.6222, 8.6222) * CHOOSE(CONTROL!$C$21, $C$9, 100%, $E$9)</f>
        <v>8.6221999999999994</v>
      </c>
      <c r="E184" s="10">
        <f>CHOOSE(CONTROL!$C$42, 8.654, 8.654) * CHOOSE(CONTROL!$C$21, $C$9, 100%, $E$9)</f>
        <v>8.6539999999999999</v>
      </c>
      <c r="F184" s="10">
        <f>CHOOSE(CONTROL!$C$42, 8.3888, 8.3888)*CHOOSE(CONTROL!$C$21, $C$9, 100%, $E$9)</f>
        <v>8.3887999999999998</v>
      </c>
      <c r="G184" s="10">
        <f>CHOOSE(CONTROL!$C$42, 8.4033, 8.4033)*CHOOSE(CONTROL!$C$21, $C$9, 100%, $E$9)</f>
        <v>8.4032999999999998</v>
      </c>
      <c r="H184" s="10">
        <f>CHOOSE(CONTROL!$C$42, 8.6438, 8.6438) * CHOOSE(CONTROL!$C$21, $C$9, 100%, $E$9)</f>
        <v>8.6438000000000006</v>
      </c>
      <c r="I184" s="10">
        <f>CHOOSE(CONTROL!$C$42, 8.4134, 8.4134)* CHOOSE(CONTROL!$C$21, $C$9, 100%, $E$9)</f>
        <v>8.4133999999999993</v>
      </c>
      <c r="J184" s="10">
        <f>CHOOSE(CONTROL!$C$42, 8.3818, 8.3818)* CHOOSE(CONTROL!$C$21, $C$9, 100%, $E$9)</f>
        <v>8.3818000000000001</v>
      </c>
      <c r="K184" s="53">
        <f>CHOOSE(CONTROL!$C$42, 8.4095, 8.4095) * CHOOSE(CONTROL!$C$21, $C$9, 100%, $E$9)</f>
        <v>8.4094999999999995</v>
      </c>
      <c r="L184" s="10">
        <f>CHOOSE(CONTROL!$C$42, 9.2308, 9.2308) * CHOOSE(CONTROL!$C$21, $C$9, 100%, $E$9)</f>
        <v>9.2308000000000003</v>
      </c>
      <c r="M184" s="10">
        <f>CHOOSE(CONTROL!$C$42, 8.311, 8.311) * CHOOSE(CONTROL!$C$21, $C$9, 100%, $E$9)</f>
        <v>8.3109999999999999</v>
      </c>
      <c r="N184" s="10">
        <f>CHOOSE(CONTROL!$C$42, 8.3254, 8.3254) * CHOOSE(CONTROL!$C$21, $C$9, 100%, $E$9)</f>
        <v>8.3254000000000001</v>
      </c>
      <c r="O184" s="10">
        <f>CHOOSE(CONTROL!$C$42, 8.5704, 8.5704) * CHOOSE(CONTROL!$C$21, $C$9, 100%, $E$9)</f>
        <v>8.5703999999999994</v>
      </c>
      <c r="P184" s="10">
        <f>CHOOSE(CONTROL!$C$42, 8.3424, 8.3424) * CHOOSE(CONTROL!$C$21, $C$9, 100%, $E$9)</f>
        <v>8.3423999999999996</v>
      </c>
      <c r="Q184" s="10">
        <f>CHOOSE(CONTROL!$C$42, 9.1657, 9.1657) * CHOOSE(CONTROL!$C$21, $C$9, 100%, $E$9)</f>
        <v>9.1656999999999993</v>
      </c>
      <c r="R184" s="10">
        <f>CHOOSE(CONTROL!$C$42, 9.7756, 9.7756) * CHOOSE(CONTROL!$C$21, $C$9, 100%, $E$9)</f>
        <v>9.7756000000000007</v>
      </c>
      <c r="S184" s="10">
        <f>CHOOSE(CONTROL!$C$42, 8.166, 8.166) * CHOOSE(CONTROL!$C$21, $C$9, 100%, $E$9)</f>
        <v>8.1660000000000004</v>
      </c>
      <c r="T1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57">
        <f>(1000*CHOOSE(CONTROL!$C$42, 695, 695)*CHOOSE(CONTROL!$C$42, 0.5599, 0.5599)*CHOOSE(CONTROL!$C$42, 30, 30))/1000000</f>
        <v>11.673914999999997</v>
      </c>
      <c r="V184" s="57">
        <f>(1000*CHOOSE(CONTROL!$C$42, 500, 500)*CHOOSE(CONTROL!$C$42, 0.275, 0.275)*CHOOSE(CONTROL!$C$42, 30, 30))/1000000</f>
        <v>4.125</v>
      </c>
      <c r="W184" s="57">
        <f>(1000*CHOOSE(CONTROL!$C$42, 0.1146, 0.1146)*CHOOSE(CONTROL!$C$42, 121.5, 121.5)*CHOOSE(CONTROL!$C$42, 30, 30))/1000000</f>
        <v>0.417717</v>
      </c>
      <c r="X184" s="57">
        <f>(30*0.1790888*245000/1000000)+(30*0.2374*100000/1000000)</f>
        <v>2.0285026799999999</v>
      </c>
      <c r="Y184" s="57"/>
      <c r="Z184" s="10"/>
      <c r="AA184" s="56"/>
      <c r="AB184" s="50">
        <f>(B184*141.293+C184*267.993+D184*115.016+E184*89.698+F184*40+G184*185+H184*0+I184*100+J184*300)/(141.293+267.993+115.016+89.698+0+40+185+100+300)</f>
        <v>8.440736842937854</v>
      </c>
      <c r="AC184" s="45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8.3916143884892076</v>
      </c>
    </row>
    <row r="185" spans="1:29" ht="15.75" x14ac:dyDescent="0.25">
      <c r="A185" s="16">
        <v>46508</v>
      </c>
      <c r="B185" s="10">
        <f>CHOOSE(CONTROL!$C$42, 8.4876, 8.4876) * CHOOSE(CONTROL!$C$21, $C$9, 100%, $E$9)</f>
        <v>8.4876000000000005</v>
      </c>
      <c r="C185" s="10">
        <f>CHOOSE(CONTROL!$C$42, 8.4955, 8.4955) * CHOOSE(CONTROL!$C$21, $C$9, 100%, $E$9)</f>
        <v>8.4954999999999998</v>
      </c>
      <c r="D185" s="10">
        <f>CHOOSE(CONTROL!$C$42, 8.6982, 8.6982) * CHOOSE(CONTROL!$C$21, $C$9, 100%, $E$9)</f>
        <v>8.6981999999999999</v>
      </c>
      <c r="E185" s="10">
        <f>CHOOSE(CONTROL!$C$42, 8.7294, 8.7294) * CHOOSE(CONTROL!$C$21, $C$9, 100%, $E$9)</f>
        <v>8.7294</v>
      </c>
      <c r="F185" s="10">
        <f>CHOOSE(CONTROL!$C$42, 8.4633, 8.4633)*CHOOSE(CONTROL!$C$21, $C$9, 100%, $E$9)</f>
        <v>8.4633000000000003</v>
      </c>
      <c r="G185" s="10">
        <f>CHOOSE(CONTROL!$C$42, 8.4783, 8.4783)*CHOOSE(CONTROL!$C$21, $C$9, 100%, $E$9)</f>
        <v>8.4783000000000008</v>
      </c>
      <c r="H185" s="10">
        <f>CHOOSE(CONTROL!$C$42, 8.718, 8.718) * CHOOSE(CONTROL!$C$21, $C$9, 100%, $E$9)</f>
        <v>8.718</v>
      </c>
      <c r="I185" s="10">
        <f>CHOOSE(CONTROL!$C$42, 8.4876, 8.4876)* CHOOSE(CONTROL!$C$21, $C$9, 100%, $E$9)</f>
        <v>8.4876000000000005</v>
      </c>
      <c r="J185" s="10">
        <f>CHOOSE(CONTROL!$C$42, 8.4563, 8.4563)* CHOOSE(CONTROL!$C$21, $C$9, 100%, $E$9)</f>
        <v>8.4563000000000006</v>
      </c>
      <c r="K185" s="53">
        <f>CHOOSE(CONTROL!$C$42, 8.4837, 8.4837) * CHOOSE(CONTROL!$C$21, $C$9, 100%, $E$9)</f>
        <v>8.4837000000000007</v>
      </c>
      <c r="L185" s="10">
        <f>CHOOSE(CONTROL!$C$42, 9.305, 9.305) * CHOOSE(CONTROL!$C$21, $C$9, 100%, $E$9)</f>
        <v>9.3049999999999997</v>
      </c>
      <c r="M185" s="10">
        <f>CHOOSE(CONTROL!$C$42, 8.3848, 8.3848) * CHOOSE(CONTROL!$C$21, $C$9, 100%, $E$9)</f>
        <v>8.3848000000000003</v>
      </c>
      <c r="N185" s="10">
        <f>CHOOSE(CONTROL!$C$42, 8.3997, 8.3997) * CHOOSE(CONTROL!$C$21, $C$9, 100%, $E$9)</f>
        <v>8.3996999999999993</v>
      </c>
      <c r="O185" s="10">
        <f>CHOOSE(CONTROL!$C$42, 8.6439, 8.6439) * CHOOSE(CONTROL!$C$21, $C$9, 100%, $E$9)</f>
        <v>8.6439000000000004</v>
      </c>
      <c r="P185" s="10">
        <f>CHOOSE(CONTROL!$C$42, 8.4158, 8.4158) * CHOOSE(CONTROL!$C$21, $C$9, 100%, $E$9)</f>
        <v>8.4158000000000008</v>
      </c>
      <c r="Q185" s="10">
        <f>CHOOSE(CONTROL!$C$42, 9.2392, 9.2392) * CHOOSE(CONTROL!$C$21, $C$9, 100%, $E$9)</f>
        <v>9.2392000000000003</v>
      </c>
      <c r="R185" s="10">
        <f>CHOOSE(CONTROL!$C$42, 9.8493, 9.8493) * CHOOSE(CONTROL!$C$21, $C$9, 100%, $E$9)</f>
        <v>9.8492999999999995</v>
      </c>
      <c r="S185" s="10">
        <f>CHOOSE(CONTROL!$C$42, 8.2381, 8.2381) * CHOOSE(CONTROL!$C$21, $C$9, 100%, $E$9)</f>
        <v>8.2380999999999993</v>
      </c>
      <c r="T1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57">
        <f>(1000*CHOOSE(CONTROL!$C$42, 695, 695)*CHOOSE(CONTROL!$C$42, 0.5599, 0.5599)*CHOOSE(CONTROL!$C$42, 31, 31))/1000000</f>
        <v>12.063045499999998</v>
      </c>
      <c r="V185" s="57">
        <f>(1000*CHOOSE(CONTROL!$C$42, 500, 500)*CHOOSE(CONTROL!$C$42, 0.275, 0.275)*CHOOSE(CONTROL!$C$42, 31, 31))/1000000</f>
        <v>4.2625000000000002</v>
      </c>
      <c r="W185" s="57">
        <f>(1000*CHOOSE(CONTROL!$C$42, 0.1146, 0.1146)*CHOOSE(CONTROL!$C$42, 121.5, 121.5)*CHOOSE(CONTROL!$C$42, 31, 31))/1000000</f>
        <v>0.43164089999999994</v>
      </c>
      <c r="X185" s="57">
        <f>(31*0.1790888*245000/1000000)+(31*0.2374*100000/1000000)</f>
        <v>2.0961194359999999</v>
      </c>
      <c r="Y185" s="57"/>
      <c r="Z185" s="10"/>
      <c r="AA185" s="56"/>
      <c r="AB185" s="50">
        <f>(B185*194.205+C185*267.466+D185*133.845+E185*53.484+F185*40+G185*185+H185*0+I185*100+J185*300)/(194.205+267.466+133.845+53.484+0+40+185+100+300)</f>
        <v>8.5120510750392473</v>
      </c>
      <c r="AC185" s="45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8.4653877697841722</v>
      </c>
    </row>
    <row r="186" spans="1:29" ht="15.75" x14ac:dyDescent="0.25">
      <c r="A186" s="16">
        <v>46539</v>
      </c>
      <c r="B186" s="10">
        <f>CHOOSE(CONTROL!$C$42, 8.7282, 8.7282) * CHOOSE(CONTROL!$C$21, $C$9, 100%, $E$9)</f>
        <v>8.7281999999999993</v>
      </c>
      <c r="C186" s="10">
        <f>CHOOSE(CONTROL!$C$42, 8.7361, 8.7361) * CHOOSE(CONTROL!$C$21, $C$9, 100%, $E$9)</f>
        <v>8.7361000000000004</v>
      </c>
      <c r="D186" s="10">
        <f>CHOOSE(CONTROL!$C$42, 8.9388, 8.9388) * CHOOSE(CONTROL!$C$21, $C$9, 100%, $E$9)</f>
        <v>8.9388000000000005</v>
      </c>
      <c r="E186" s="10">
        <f>CHOOSE(CONTROL!$C$42, 8.97, 8.97) * CHOOSE(CONTROL!$C$21, $C$9, 100%, $E$9)</f>
        <v>8.9700000000000006</v>
      </c>
      <c r="F186" s="10">
        <f>CHOOSE(CONTROL!$C$42, 8.7044, 8.7044)*CHOOSE(CONTROL!$C$21, $C$9, 100%, $E$9)</f>
        <v>8.7043999999999997</v>
      </c>
      <c r="G186" s="10">
        <f>CHOOSE(CONTROL!$C$42, 8.7196, 8.7196)*CHOOSE(CONTROL!$C$21, $C$9, 100%, $E$9)</f>
        <v>8.7195999999999998</v>
      </c>
      <c r="H186" s="10">
        <f>CHOOSE(CONTROL!$C$42, 8.9586, 8.9586) * CHOOSE(CONTROL!$C$21, $C$9, 100%, $E$9)</f>
        <v>8.9586000000000006</v>
      </c>
      <c r="I186" s="10">
        <f>CHOOSE(CONTROL!$C$42, 8.7282, 8.7282)* CHOOSE(CONTROL!$C$21, $C$9, 100%, $E$9)</f>
        <v>8.7281999999999993</v>
      </c>
      <c r="J186" s="10">
        <f>CHOOSE(CONTROL!$C$42, 8.6974, 8.6974)* CHOOSE(CONTROL!$C$21, $C$9, 100%, $E$9)</f>
        <v>8.6974</v>
      </c>
      <c r="K186" s="53">
        <f>CHOOSE(CONTROL!$C$42, 8.7243, 8.7243) * CHOOSE(CONTROL!$C$21, $C$9, 100%, $E$9)</f>
        <v>8.7242999999999995</v>
      </c>
      <c r="L186" s="10">
        <f>CHOOSE(CONTROL!$C$42, 9.5456, 9.5456) * CHOOSE(CONTROL!$C$21, $C$9, 100%, $E$9)</f>
        <v>9.5456000000000003</v>
      </c>
      <c r="M186" s="10">
        <f>CHOOSE(CONTROL!$C$42, 8.6235, 8.6235) * CHOOSE(CONTROL!$C$21, $C$9, 100%, $E$9)</f>
        <v>8.6234999999999999</v>
      </c>
      <c r="N186" s="10">
        <f>CHOOSE(CONTROL!$C$42, 8.6385, 8.6385) * CHOOSE(CONTROL!$C$21, $C$9, 100%, $E$9)</f>
        <v>8.6385000000000005</v>
      </c>
      <c r="O186" s="10">
        <f>CHOOSE(CONTROL!$C$42, 8.882, 8.882) * CHOOSE(CONTROL!$C$21, $C$9, 100%, $E$9)</f>
        <v>8.8819999999999997</v>
      </c>
      <c r="P186" s="10">
        <f>CHOOSE(CONTROL!$C$42, 8.654, 8.654) * CHOOSE(CONTROL!$C$21, $C$9, 100%, $E$9)</f>
        <v>8.6539999999999999</v>
      </c>
      <c r="Q186" s="10">
        <f>CHOOSE(CONTROL!$C$42, 9.4773, 9.4773) * CHOOSE(CONTROL!$C$21, $C$9, 100%, $E$9)</f>
        <v>9.4772999999999996</v>
      </c>
      <c r="R186" s="10">
        <f>CHOOSE(CONTROL!$C$42, 10.088, 10.088) * CHOOSE(CONTROL!$C$21, $C$9, 100%, $E$9)</f>
        <v>10.087999999999999</v>
      </c>
      <c r="S186" s="10">
        <f>CHOOSE(CONTROL!$C$42, 8.4717, 8.4717) * CHOOSE(CONTROL!$C$21, $C$9, 100%, $E$9)</f>
        <v>8.4717000000000002</v>
      </c>
      <c r="T1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57">
        <f>(1000*CHOOSE(CONTROL!$C$42, 695, 695)*CHOOSE(CONTROL!$C$42, 0.5599, 0.5599)*CHOOSE(CONTROL!$C$42, 30, 30))/1000000</f>
        <v>11.673914999999997</v>
      </c>
      <c r="V186" s="57">
        <f>(1000*CHOOSE(CONTROL!$C$42, 500, 500)*CHOOSE(CONTROL!$C$42, 0.275, 0.275)*CHOOSE(CONTROL!$C$42, 30, 30))/1000000</f>
        <v>4.125</v>
      </c>
      <c r="W186" s="57">
        <f>(1000*CHOOSE(CONTROL!$C$42, 0.1146, 0.1146)*CHOOSE(CONTROL!$C$42, 121.5, 121.5)*CHOOSE(CONTROL!$C$42, 30, 30))/1000000</f>
        <v>0.417717</v>
      </c>
      <c r="X186" s="57">
        <f>(30*0.1790888*245000/1000000)+(30*0.2374*100000/1000000)</f>
        <v>2.0285026799999999</v>
      </c>
      <c r="Y186" s="57"/>
      <c r="Z186" s="10"/>
      <c r="AA186" s="56"/>
      <c r="AB186" s="50">
        <f>(B186*194.205+C186*267.466+D186*133.845+E186*53.484+F186*40+G186*185+H186*0+I186*100+J186*300)/(194.205+267.466+133.845+53.484+0+40+185+100+300)</f>
        <v>8.7528861613814772</v>
      </c>
      <c r="AC186" s="45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8.7038705035971216</v>
      </c>
    </row>
    <row r="187" spans="1:29" ht="15.75" x14ac:dyDescent="0.25">
      <c r="A187" s="16">
        <v>46569</v>
      </c>
      <c r="B187" s="10">
        <f>CHOOSE(CONTROL!$C$42, 8.5609, 8.5609) * CHOOSE(CONTROL!$C$21, $C$9, 100%, $E$9)</f>
        <v>8.5609000000000002</v>
      </c>
      <c r="C187" s="10">
        <f>CHOOSE(CONTROL!$C$42, 8.5688, 8.5688) * CHOOSE(CONTROL!$C$21, $C$9, 100%, $E$9)</f>
        <v>8.5687999999999995</v>
      </c>
      <c r="D187" s="10">
        <f>CHOOSE(CONTROL!$C$42, 8.7715, 8.7715) * CHOOSE(CONTROL!$C$21, $C$9, 100%, $E$9)</f>
        <v>8.7714999999999996</v>
      </c>
      <c r="E187" s="10">
        <f>CHOOSE(CONTROL!$C$42, 8.8026, 8.8026) * CHOOSE(CONTROL!$C$21, $C$9, 100%, $E$9)</f>
        <v>8.8026</v>
      </c>
      <c r="F187" s="10">
        <f>CHOOSE(CONTROL!$C$42, 8.5376, 8.5376)*CHOOSE(CONTROL!$C$21, $C$9, 100%, $E$9)</f>
        <v>8.5375999999999994</v>
      </c>
      <c r="G187" s="10">
        <f>CHOOSE(CONTROL!$C$42, 8.5529, 8.5529)*CHOOSE(CONTROL!$C$21, $C$9, 100%, $E$9)</f>
        <v>8.5528999999999993</v>
      </c>
      <c r="H187" s="10">
        <f>CHOOSE(CONTROL!$C$42, 8.7913, 8.7913) * CHOOSE(CONTROL!$C$21, $C$9, 100%, $E$9)</f>
        <v>8.7912999999999997</v>
      </c>
      <c r="I187" s="10">
        <f>CHOOSE(CONTROL!$C$42, 8.5609, 8.5609)* CHOOSE(CONTROL!$C$21, $C$9, 100%, $E$9)</f>
        <v>8.5609000000000002</v>
      </c>
      <c r="J187" s="10">
        <f>CHOOSE(CONTROL!$C$42, 8.5306, 8.5306)* CHOOSE(CONTROL!$C$21, $C$9, 100%, $E$9)</f>
        <v>8.5305999999999997</v>
      </c>
      <c r="K187" s="53">
        <f>CHOOSE(CONTROL!$C$42, 8.557, 8.557) * CHOOSE(CONTROL!$C$21, $C$9, 100%, $E$9)</f>
        <v>8.5570000000000004</v>
      </c>
      <c r="L187" s="10">
        <f>CHOOSE(CONTROL!$C$42, 9.3783, 9.3783) * CHOOSE(CONTROL!$C$21, $C$9, 100%, $E$9)</f>
        <v>9.3782999999999994</v>
      </c>
      <c r="M187" s="10">
        <f>CHOOSE(CONTROL!$C$42, 8.4583, 8.4583) * CHOOSE(CONTROL!$C$21, $C$9, 100%, $E$9)</f>
        <v>8.4582999999999995</v>
      </c>
      <c r="N187" s="10">
        <f>CHOOSE(CONTROL!$C$42, 8.4735, 8.4735) * CHOOSE(CONTROL!$C$21, $C$9, 100%, $E$9)</f>
        <v>8.4734999999999996</v>
      </c>
      <c r="O187" s="10">
        <f>CHOOSE(CONTROL!$C$42, 8.7164, 8.7164) * CHOOSE(CONTROL!$C$21, $C$9, 100%, $E$9)</f>
        <v>8.7164000000000001</v>
      </c>
      <c r="P187" s="10">
        <f>CHOOSE(CONTROL!$C$42, 8.4884, 8.4884) * CHOOSE(CONTROL!$C$21, $C$9, 100%, $E$9)</f>
        <v>8.4884000000000004</v>
      </c>
      <c r="Q187" s="10">
        <f>CHOOSE(CONTROL!$C$42, 9.3117, 9.3117) * CHOOSE(CONTROL!$C$21, $C$9, 100%, $E$9)</f>
        <v>9.3117000000000001</v>
      </c>
      <c r="R187" s="10">
        <f>CHOOSE(CONTROL!$C$42, 9.922, 9.922) * CHOOSE(CONTROL!$C$21, $C$9, 100%, $E$9)</f>
        <v>9.9220000000000006</v>
      </c>
      <c r="S187" s="10">
        <f>CHOOSE(CONTROL!$C$42, 8.3092, 8.3092) * CHOOSE(CONTROL!$C$21, $C$9, 100%, $E$9)</f>
        <v>8.3092000000000006</v>
      </c>
      <c r="T1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57">
        <f>(1000*CHOOSE(CONTROL!$C$42, 695, 695)*CHOOSE(CONTROL!$C$42, 0.5599, 0.5599)*CHOOSE(CONTROL!$C$42, 31, 31))/1000000</f>
        <v>12.063045499999998</v>
      </c>
      <c r="V187" s="57">
        <f>(1000*CHOOSE(CONTROL!$C$42, 500, 500)*CHOOSE(CONTROL!$C$42, 0.275, 0.275)*CHOOSE(CONTROL!$C$42, 31, 31))/1000000</f>
        <v>4.2625000000000002</v>
      </c>
      <c r="W187" s="57">
        <f>(1000*CHOOSE(CONTROL!$C$42, 0.1146, 0.1146)*CHOOSE(CONTROL!$C$42, 121.5, 121.5)*CHOOSE(CONTROL!$C$42, 31, 31))/1000000</f>
        <v>0.43164089999999994</v>
      </c>
      <c r="X187" s="57">
        <f>(31*0.1790888*245000/1000000)+(31*0.2374*100000/1000000)</f>
        <v>2.0961194359999999</v>
      </c>
      <c r="Y187" s="57"/>
      <c r="Z187" s="10"/>
      <c r="AA187" s="56"/>
      <c r="AB187" s="50">
        <f>(B187*194.205+C187*267.466+D187*133.845+E187*53.484+F187*40+G187*185+H187*0+I187*100+J187*300)/(194.205+267.466+133.845+53.484+0+40+185+100+300)</f>
        <v>8.5858025284144421</v>
      </c>
      <c r="AC187" s="45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8.5385467625899274</v>
      </c>
    </row>
    <row r="188" spans="1:29" ht="15.75" x14ac:dyDescent="0.25">
      <c r="A188" s="16">
        <v>46600</v>
      </c>
      <c r="B188" s="10">
        <f>CHOOSE(CONTROL!$C$42, 8.1383, 8.1383) * CHOOSE(CONTROL!$C$21, $C$9, 100%, $E$9)</f>
        <v>8.1382999999999992</v>
      </c>
      <c r="C188" s="10">
        <f>CHOOSE(CONTROL!$C$42, 8.1462, 8.1462) * CHOOSE(CONTROL!$C$21, $C$9, 100%, $E$9)</f>
        <v>8.1462000000000003</v>
      </c>
      <c r="D188" s="10">
        <f>CHOOSE(CONTROL!$C$42, 8.3489, 8.3489) * CHOOSE(CONTROL!$C$21, $C$9, 100%, $E$9)</f>
        <v>8.3489000000000004</v>
      </c>
      <c r="E188" s="10">
        <f>CHOOSE(CONTROL!$C$42, 8.3801, 8.3801) * CHOOSE(CONTROL!$C$21, $C$9, 100%, $E$9)</f>
        <v>8.3801000000000005</v>
      </c>
      <c r="F188" s="10">
        <f>CHOOSE(CONTROL!$C$42, 8.1152, 8.1152)*CHOOSE(CONTROL!$C$21, $C$9, 100%, $E$9)</f>
        <v>8.1151999999999997</v>
      </c>
      <c r="G188" s="10">
        <f>CHOOSE(CONTROL!$C$42, 8.1305, 8.1305)*CHOOSE(CONTROL!$C$21, $C$9, 100%, $E$9)</f>
        <v>8.1304999999999996</v>
      </c>
      <c r="H188" s="10">
        <f>CHOOSE(CONTROL!$C$42, 8.3687, 8.3687) * CHOOSE(CONTROL!$C$21, $C$9, 100%, $E$9)</f>
        <v>8.3687000000000005</v>
      </c>
      <c r="I188" s="10">
        <f>CHOOSE(CONTROL!$C$42, 8.1383, 8.1383)* CHOOSE(CONTROL!$C$21, $C$9, 100%, $E$9)</f>
        <v>8.1382999999999992</v>
      </c>
      <c r="J188" s="10">
        <f>CHOOSE(CONTROL!$C$42, 8.1082, 8.1082)* CHOOSE(CONTROL!$C$21, $C$9, 100%, $E$9)</f>
        <v>8.1082000000000001</v>
      </c>
      <c r="K188" s="53">
        <f>CHOOSE(CONTROL!$C$42, 8.1344, 8.1344) * CHOOSE(CONTROL!$C$21, $C$9, 100%, $E$9)</f>
        <v>8.1343999999999994</v>
      </c>
      <c r="L188" s="10">
        <f>CHOOSE(CONTROL!$C$42, 8.9557, 8.9557) * CHOOSE(CONTROL!$C$21, $C$9, 100%, $E$9)</f>
        <v>8.9557000000000002</v>
      </c>
      <c r="M188" s="10">
        <f>CHOOSE(CONTROL!$C$42, 8.0402, 8.0402) * CHOOSE(CONTROL!$C$21, $C$9, 100%, $E$9)</f>
        <v>8.0402000000000005</v>
      </c>
      <c r="N188" s="10">
        <f>CHOOSE(CONTROL!$C$42, 8.0554, 8.0554) * CHOOSE(CONTROL!$C$21, $C$9, 100%, $E$9)</f>
        <v>8.0554000000000006</v>
      </c>
      <c r="O188" s="10">
        <f>CHOOSE(CONTROL!$C$42, 8.2981, 8.2981) * CHOOSE(CONTROL!$C$21, $C$9, 100%, $E$9)</f>
        <v>8.2980999999999998</v>
      </c>
      <c r="P188" s="10">
        <f>CHOOSE(CONTROL!$C$42, 8.07, 8.07) * CHOOSE(CONTROL!$C$21, $C$9, 100%, $E$9)</f>
        <v>8.07</v>
      </c>
      <c r="Q188" s="10">
        <f>CHOOSE(CONTROL!$C$42, 8.8934, 8.8934) * CHOOSE(CONTROL!$C$21, $C$9, 100%, $E$9)</f>
        <v>8.8933999999999997</v>
      </c>
      <c r="R188" s="10">
        <f>CHOOSE(CONTROL!$C$42, 9.5026, 9.5026) * CHOOSE(CONTROL!$C$21, $C$9, 100%, $E$9)</f>
        <v>9.5025999999999993</v>
      </c>
      <c r="S188" s="10">
        <f>CHOOSE(CONTROL!$C$42, 7.8988, 7.8988) * CHOOSE(CONTROL!$C$21, $C$9, 100%, $E$9)</f>
        <v>7.8987999999999996</v>
      </c>
      <c r="T1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57">
        <f>(1000*CHOOSE(CONTROL!$C$42, 695, 695)*CHOOSE(CONTROL!$C$42, 0.5599, 0.5599)*CHOOSE(CONTROL!$C$42, 31, 31))/1000000</f>
        <v>12.063045499999998</v>
      </c>
      <c r="V188" s="57">
        <f>(1000*CHOOSE(CONTROL!$C$42, 500, 500)*CHOOSE(CONTROL!$C$42, 0.275, 0.275)*CHOOSE(CONTROL!$C$42, 31, 31))/1000000</f>
        <v>4.2625000000000002</v>
      </c>
      <c r="W188" s="57">
        <f>(1000*CHOOSE(CONTROL!$C$42, 0.1146, 0.1146)*CHOOSE(CONTROL!$C$42, 121.5, 121.5)*CHOOSE(CONTROL!$C$42, 31, 31))/1000000</f>
        <v>0.43164089999999994</v>
      </c>
      <c r="X188" s="57">
        <f>(31*0.1790888*245000/1000000)+(31*0.2374*100000/1000000)</f>
        <v>2.0961194359999999</v>
      </c>
      <c r="Y188" s="57"/>
      <c r="Z188" s="10"/>
      <c r="AA188" s="56"/>
      <c r="AB188" s="50">
        <f>(B188*194.205+C188*267.466+D188*133.845+E188*53.484+F188*40+G188*185+H188*0+I188*100+J188*300)/(194.205+267.466+133.845+53.484+0+40+185+100+300)</f>
        <v>8.1632891441130297</v>
      </c>
      <c r="AC188" s="45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8.1203474820143882</v>
      </c>
    </row>
    <row r="189" spans="1:29" ht="15.75" x14ac:dyDescent="0.25">
      <c r="A189" s="16">
        <v>46631</v>
      </c>
      <c r="B189" s="10">
        <f>CHOOSE(CONTROL!$C$42, 7.6215, 7.6215) * CHOOSE(CONTROL!$C$21, $C$9, 100%, $E$9)</f>
        <v>7.6215000000000002</v>
      </c>
      <c r="C189" s="10">
        <f>CHOOSE(CONTROL!$C$42, 7.6295, 7.6295) * CHOOSE(CONTROL!$C$21, $C$9, 100%, $E$9)</f>
        <v>7.6295000000000002</v>
      </c>
      <c r="D189" s="10">
        <f>CHOOSE(CONTROL!$C$42, 7.8322, 7.8322) * CHOOSE(CONTROL!$C$21, $C$9, 100%, $E$9)</f>
        <v>7.8322000000000003</v>
      </c>
      <c r="E189" s="10">
        <f>CHOOSE(CONTROL!$C$42, 7.8633, 7.8633) * CHOOSE(CONTROL!$C$21, $C$9, 100%, $E$9)</f>
        <v>7.8632999999999997</v>
      </c>
      <c r="F189" s="10">
        <f>CHOOSE(CONTROL!$C$42, 7.5984, 7.5984)*CHOOSE(CONTROL!$C$21, $C$9, 100%, $E$9)</f>
        <v>7.5983999999999998</v>
      </c>
      <c r="G189" s="10">
        <f>CHOOSE(CONTROL!$C$42, 7.6136, 7.6136)*CHOOSE(CONTROL!$C$21, $C$9, 100%, $E$9)</f>
        <v>7.6135999999999999</v>
      </c>
      <c r="H189" s="10">
        <f>CHOOSE(CONTROL!$C$42, 7.852, 7.852) * CHOOSE(CONTROL!$C$21, $C$9, 100%, $E$9)</f>
        <v>7.8520000000000003</v>
      </c>
      <c r="I189" s="10">
        <f>CHOOSE(CONTROL!$C$42, 7.6216, 7.6216)* CHOOSE(CONTROL!$C$21, $C$9, 100%, $E$9)</f>
        <v>7.6215999999999999</v>
      </c>
      <c r="J189" s="10">
        <f>CHOOSE(CONTROL!$C$42, 7.5914, 7.5914)* CHOOSE(CONTROL!$C$21, $C$9, 100%, $E$9)</f>
        <v>7.5914000000000001</v>
      </c>
      <c r="K189" s="53">
        <f>CHOOSE(CONTROL!$C$42, 7.6177, 7.6177) * CHOOSE(CONTROL!$C$21, $C$9, 100%, $E$9)</f>
        <v>7.6177000000000001</v>
      </c>
      <c r="L189" s="10">
        <f>CHOOSE(CONTROL!$C$42, 8.439, 8.439) * CHOOSE(CONTROL!$C$21, $C$9, 100%, $E$9)</f>
        <v>8.4390000000000001</v>
      </c>
      <c r="M189" s="10">
        <f>CHOOSE(CONTROL!$C$42, 7.5286, 7.5286) * CHOOSE(CONTROL!$C$21, $C$9, 100%, $E$9)</f>
        <v>7.5286</v>
      </c>
      <c r="N189" s="10">
        <f>CHOOSE(CONTROL!$C$42, 7.5437, 7.5437) * CHOOSE(CONTROL!$C$21, $C$9, 100%, $E$9)</f>
        <v>7.5437000000000003</v>
      </c>
      <c r="O189" s="10">
        <f>CHOOSE(CONTROL!$C$42, 7.7866, 7.7866) * CHOOSE(CONTROL!$C$21, $C$9, 100%, $E$9)</f>
        <v>7.7866</v>
      </c>
      <c r="P189" s="10">
        <f>CHOOSE(CONTROL!$C$42, 7.5585, 7.5585) * CHOOSE(CONTROL!$C$21, $C$9, 100%, $E$9)</f>
        <v>7.5585000000000004</v>
      </c>
      <c r="Q189" s="10">
        <f>CHOOSE(CONTROL!$C$42, 8.3819, 8.3819) * CHOOSE(CONTROL!$C$21, $C$9, 100%, $E$9)</f>
        <v>8.3818999999999999</v>
      </c>
      <c r="R189" s="10">
        <f>CHOOSE(CONTROL!$C$42, 8.9898, 8.9898) * CHOOSE(CONTROL!$C$21, $C$9, 100%, $E$9)</f>
        <v>8.9898000000000007</v>
      </c>
      <c r="S189" s="10">
        <f>CHOOSE(CONTROL!$C$42, 7.397, 7.397) * CHOOSE(CONTROL!$C$21, $C$9, 100%, $E$9)</f>
        <v>7.3970000000000002</v>
      </c>
      <c r="T1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57">
        <f>(1000*CHOOSE(CONTROL!$C$42, 695, 695)*CHOOSE(CONTROL!$C$42, 0.5599, 0.5599)*CHOOSE(CONTROL!$C$42, 30, 30))/1000000</f>
        <v>11.673914999999997</v>
      </c>
      <c r="V189" s="57">
        <f>(1000*CHOOSE(CONTROL!$C$42, 500, 500)*CHOOSE(CONTROL!$C$42, 0.275, 0.275)*CHOOSE(CONTROL!$C$42, 30, 30))/1000000</f>
        <v>4.125</v>
      </c>
      <c r="W189" s="57">
        <f>(1000*CHOOSE(CONTROL!$C$42, 0.1146, 0.1146)*CHOOSE(CONTROL!$C$42, 121.5, 121.5)*CHOOSE(CONTROL!$C$42, 30, 30))/1000000</f>
        <v>0.417717</v>
      </c>
      <c r="X189" s="57">
        <f>(30*0.1790888*245000/1000000)+(30*0.2374*100000/1000000)</f>
        <v>2.0285026799999999</v>
      </c>
      <c r="Y189" s="57"/>
      <c r="Z189" s="10"/>
      <c r="AA189" s="56"/>
      <c r="AB189" s="50">
        <f>(B189*194.205+C189*267.466+D189*133.845+E189*53.484+F189*40+G189*185+H189*0+I189*100+J189*300)/(194.205+267.466+133.845+53.484+0+40+185+100+300)</f>
        <v>7.6465139722919941</v>
      </c>
      <c r="AC189" s="45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7.6087669064748198</v>
      </c>
    </row>
    <row r="190" spans="1:29" ht="15.75" x14ac:dyDescent="0.25">
      <c r="A190" s="16">
        <v>46661</v>
      </c>
      <c r="B190" s="10">
        <f>CHOOSE(CONTROL!$C$42, 7.4651, 7.4651) * CHOOSE(CONTROL!$C$21, $C$9, 100%, $E$9)</f>
        <v>7.4650999999999996</v>
      </c>
      <c r="C190" s="10">
        <f>CHOOSE(CONTROL!$C$42, 7.4704, 7.4704) * CHOOSE(CONTROL!$C$21, $C$9, 100%, $E$9)</f>
        <v>7.4703999999999997</v>
      </c>
      <c r="D190" s="10">
        <f>CHOOSE(CONTROL!$C$42, 7.6781, 7.6781) * CHOOSE(CONTROL!$C$21, $C$9, 100%, $E$9)</f>
        <v>7.6780999999999997</v>
      </c>
      <c r="E190" s="10">
        <f>CHOOSE(CONTROL!$C$42, 7.7069, 7.7069) * CHOOSE(CONTROL!$C$21, $C$9, 100%, $E$9)</f>
        <v>7.7069000000000001</v>
      </c>
      <c r="F190" s="10">
        <f>CHOOSE(CONTROL!$C$42, 7.4439, 7.4439)*CHOOSE(CONTROL!$C$21, $C$9, 100%, $E$9)</f>
        <v>7.4439000000000002</v>
      </c>
      <c r="G190" s="10">
        <f>CHOOSE(CONTROL!$C$42, 7.4588, 7.4588)*CHOOSE(CONTROL!$C$21, $C$9, 100%, $E$9)</f>
        <v>7.4588000000000001</v>
      </c>
      <c r="H190" s="10">
        <f>CHOOSE(CONTROL!$C$42, 7.6973, 7.6973) * CHOOSE(CONTROL!$C$21, $C$9, 100%, $E$9)</f>
        <v>7.6973000000000003</v>
      </c>
      <c r="I190" s="10">
        <f>CHOOSE(CONTROL!$C$42, 7.4669, 7.4669)* CHOOSE(CONTROL!$C$21, $C$9, 100%, $E$9)</f>
        <v>7.4668999999999999</v>
      </c>
      <c r="J190" s="10">
        <f>CHOOSE(CONTROL!$C$42, 7.4369, 7.4369)* CHOOSE(CONTROL!$C$21, $C$9, 100%, $E$9)</f>
        <v>7.4368999999999996</v>
      </c>
      <c r="K190" s="53">
        <f>CHOOSE(CONTROL!$C$42, 7.4631, 7.4631) * CHOOSE(CONTROL!$C$21, $C$9, 100%, $E$9)</f>
        <v>7.4630999999999998</v>
      </c>
      <c r="L190" s="10">
        <f>CHOOSE(CONTROL!$C$42, 8.2843, 8.2843) * CHOOSE(CONTROL!$C$21, $C$9, 100%, $E$9)</f>
        <v>8.2843</v>
      </c>
      <c r="M190" s="10">
        <f>CHOOSE(CONTROL!$C$42, 7.3756, 7.3756) * CHOOSE(CONTROL!$C$21, $C$9, 100%, $E$9)</f>
        <v>7.3756000000000004</v>
      </c>
      <c r="N190" s="10">
        <f>CHOOSE(CONTROL!$C$42, 7.3904, 7.3904) * CHOOSE(CONTROL!$C$21, $C$9, 100%, $E$9)</f>
        <v>7.3903999999999996</v>
      </c>
      <c r="O190" s="10">
        <f>CHOOSE(CONTROL!$C$42, 7.6335, 7.6335) * CHOOSE(CONTROL!$C$21, $C$9, 100%, $E$9)</f>
        <v>7.6334999999999997</v>
      </c>
      <c r="P190" s="10">
        <f>CHOOSE(CONTROL!$C$42, 7.4055, 7.4055) * CHOOSE(CONTROL!$C$21, $C$9, 100%, $E$9)</f>
        <v>7.4055</v>
      </c>
      <c r="Q190" s="10">
        <f>CHOOSE(CONTROL!$C$42, 8.2288, 8.2288) * CHOOSE(CONTROL!$C$21, $C$9, 100%, $E$9)</f>
        <v>8.2287999999999997</v>
      </c>
      <c r="R190" s="10">
        <f>CHOOSE(CONTROL!$C$42, 8.8363, 8.8363) * CHOOSE(CONTROL!$C$21, $C$9, 100%, $E$9)</f>
        <v>8.8362999999999996</v>
      </c>
      <c r="S190" s="10">
        <f>CHOOSE(CONTROL!$C$42, 7.2469, 7.2469) * CHOOSE(CONTROL!$C$21, $C$9, 100%, $E$9)</f>
        <v>7.2469000000000001</v>
      </c>
      <c r="T1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57">
        <f>(1000*CHOOSE(CONTROL!$C$42, 695, 695)*CHOOSE(CONTROL!$C$42, 0.5599, 0.5599)*CHOOSE(CONTROL!$C$42, 31, 31))/1000000</f>
        <v>12.063045499999998</v>
      </c>
      <c r="V190" s="57">
        <f>(1000*CHOOSE(CONTROL!$C$42, 500, 500)*CHOOSE(CONTROL!$C$42, 0.275, 0.275)*CHOOSE(CONTROL!$C$42, 31, 31))/1000000</f>
        <v>4.2625000000000002</v>
      </c>
      <c r="W190" s="57">
        <f>(1000*CHOOSE(CONTROL!$C$42, 0.1146, 0.1146)*CHOOSE(CONTROL!$C$42, 121.5, 121.5)*CHOOSE(CONTROL!$C$42, 31, 31))/1000000</f>
        <v>0.43164089999999994</v>
      </c>
      <c r="X190" s="57">
        <f>(31*0.1790888*245000/1000000)+(31*0.2374*100000/1000000)</f>
        <v>2.0961194359999999</v>
      </c>
      <c r="Y190" s="57"/>
      <c r="Z190" s="10"/>
      <c r="AA190" s="56"/>
      <c r="AB190" s="50">
        <f>(B190*131.881+C190*277.167+D190*79.08+E190*125.872+F190*40+G190*185+H190*0+I190*100+J190*300)/(131.881+277.167+79.08+125.872+0+40+185+100+300)</f>
        <v>7.4961374291364002</v>
      </c>
      <c r="AC190" s="45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7.4556697841726631</v>
      </c>
    </row>
    <row r="191" spans="1:29" ht="15.75" x14ac:dyDescent="0.25">
      <c r="A191" s="16">
        <v>46692</v>
      </c>
      <c r="B191" s="10">
        <f>CHOOSE(CONTROL!$C$42, 7.6613, 7.6613) * CHOOSE(CONTROL!$C$21, $C$9, 100%, $E$9)</f>
        <v>7.6612999999999998</v>
      </c>
      <c r="C191" s="10">
        <f>CHOOSE(CONTROL!$C$42, 7.6663, 7.6663) * CHOOSE(CONTROL!$C$21, $C$9, 100%, $E$9)</f>
        <v>7.6662999999999997</v>
      </c>
      <c r="D191" s="10">
        <f>CHOOSE(CONTROL!$C$42, 7.7268, 7.7268) * CHOOSE(CONTROL!$C$21, $C$9, 100%, $E$9)</f>
        <v>7.7267999999999999</v>
      </c>
      <c r="E191" s="10">
        <f>CHOOSE(CONTROL!$C$42, 7.7605, 7.7605) * CHOOSE(CONTROL!$C$21, $C$9, 100%, $E$9)</f>
        <v>7.7605000000000004</v>
      </c>
      <c r="F191" s="10">
        <f>CHOOSE(CONTROL!$C$42, 7.6569, 7.6569)*CHOOSE(CONTROL!$C$21, $C$9, 100%, $E$9)</f>
        <v>7.6569000000000003</v>
      </c>
      <c r="G191" s="10">
        <f>CHOOSE(CONTROL!$C$42, 7.6722, 7.6722)*CHOOSE(CONTROL!$C$21, $C$9, 100%, $E$9)</f>
        <v>7.6722000000000001</v>
      </c>
      <c r="H191" s="10">
        <f>CHOOSE(CONTROL!$C$42, 7.7497, 7.7497) * CHOOSE(CONTROL!$C$21, $C$9, 100%, $E$9)</f>
        <v>7.7496999999999998</v>
      </c>
      <c r="I191" s="10">
        <f>CHOOSE(CONTROL!$C$42, 7.6738, 7.6738)* CHOOSE(CONTROL!$C$21, $C$9, 100%, $E$9)</f>
        <v>7.6738</v>
      </c>
      <c r="J191" s="10">
        <f>CHOOSE(CONTROL!$C$42, 7.6499, 7.6499)* CHOOSE(CONTROL!$C$21, $C$9, 100%, $E$9)</f>
        <v>7.6498999999999997</v>
      </c>
      <c r="K191" s="53">
        <f>CHOOSE(CONTROL!$C$42, 7.6699, 7.6699) * CHOOSE(CONTROL!$C$21, $C$9, 100%, $E$9)</f>
        <v>7.6699000000000002</v>
      </c>
      <c r="L191" s="10">
        <f>CHOOSE(CONTROL!$C$42, 8.3367, 8.3367) * CHOOSE(CONTROL!$C$21, $C$9, 100%, $E$9)</f>
        <v>8.3367000000000004</v>
      </c>
      <c r="M191" s="10">
        <f>CHOOSE(CONTROL!$C$42, 7.5866, 7.5866) * CHOOSE(CONTROL!$C$21, $C$9, 100%, $E$9)</f>
        <v>7.5865999999999998</v>
      </c>
      <c r="N191" s="10">
        <f>CHOOSE(CONTROL!$C$42, 7.6016, 7.6016) * CHOOSE(CONTROL!$C$21, $C$9, 100%, $E$9)</f>
        <v>7.6016000000000004</v>
      </c>
      <c r="O191" s="10">
        <f>CHOOSE(CONTROL!$C$42, 7.6854, 7.6854) * CHOOSE(CONTROL!$C$21, $C$9, 100%, $E$9)</f>
        <v>7.6853999999999996</v>
      </c>
      <c r="P191" s="10">
        <f>CHOOSE(CONTROL!$C$42, 7.6102, 7.6102) * CHOOSE(CONTROL!$C$21, $C$9, 100%, $E$9)</f>
        <v>7.6101999999999999</v>
      </c>
      <c r="Q191" s="10">
        <f>CHOOSE(CONTROL!$C$42, 8.2807, 8.2807) * CHOOSE(CONTROL!$C$21, $C$9, 100%, $E$9)</f>
        <v>8.2806999999999995</v>
      </c>
      <c r="R191" s="10">
        <f>CHOOSE(CONTROL!$C$42, 8.8884, 8.8884) * CHOOSE(CONTROL!$C$21, $C$9, 100%, $E$9)</f>
        <v>8.8884000000000007</v>
      </c>
      <c r="S191" s="10">
        <f>CHOOSE(CONTROL!$C$42, 7.4378, 7.4378) * CHOOSE(CONTROL!$C$21, $C$9, 100%, $E$9)</f>
        <v>7.4378000000000002</v>
      </c>
      <c r="T1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57">
        <f>(1000*CHOOSE(CONTROL!$C$42, 695, 695)*CHOOSE(CONTROL!$C$42, 0.5599, 0.5599)*CHOOSE(CONTROL!$C$42, 30, 30))/1000000</f>
        <v>11.673914999999997</v>
      </c>
      <c r="V191" s="57">
        <f>(1000*CHOOSE(CONTROL!$C$42, 500, 500)*CHOOSE(CONTROL!$C$42, 0.275, 0.275)*CHOOSE(CONTROL!$C$42, 30, 30))/1000000</f>
        <v>4.125</v>
      </c>
      <c r="W191" s="57">
        <f>(1000*CHOOSE(CONTROL!$C$42, 0.1146, 0.1146)*CHOOSE(CONTROL!$C$42, 121.5, 121.5)*CHOOSE(CONTROL!$C$42, 30, 30))/1000000</f>
        <v>0.417717</v>
      </c>
      <c r="X191" s="57">
        <f>(30*0.1790888*100000/1000000)+(30*0.2374*100000/1000000)</f>
        <v>1.2494664</v>
      </c>
      <c r="Y191" s="57"/>
      <c r="Z191" s="10"/>
      <c r="AA191" s="56"/>
      <c r="AB191" s="50">
        <f>(B191*122.58+C191*297.941+D191*89.177+E191*40.302+F191*40+G191*160+H191*0+I191*100+J191*300)/(122.58+297.941+89.177+40.302+0+40+160+100+300)</f>
        <v>7.6706276146956522</v>
      </c>
      <c r="AC191" s="45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7.6356388489208635</v>
      </c>
    </row>
    <row r="192" spans="1:29" ht="15.75" x14ac:dyDescent="0.25">
      <c r="A192" s="16">
        <v>46722</v>
      </c>
      <c r="B192" s="10">
        <f>CHOOSE(CONTROL!$C$42, 8.1834, 8.1834) * CHOOSE(CONTROL!$C$21, $C$9, 100%, $E$9)</f>
        <v>8.1834000000000007</v>
      </c>
      <c r="C192" s="10">
        <f>CHOOSE(CONTROL!$C$42, 8.1884, 8.1884) * CHOOSE(CONTROL!$C$21, $C$9, 100%, $E$9)</f>
        <v>8.1883999999999997</v>
      </c>
      <c r="D192" s="10">
        <f>CHOOSE(CONTROL!$C$42, 8.2489, 8.2489) * CHOOSE(CONTROL!$C$21, $C$9, 100%, $E$9)</f>
        <v>8.2489000000000008</v>
      </c>
      <c r="E192" s="10">
        <f>CHOOSE(CONTROL!$C$42, 8.2827, 8.2827) * CHOOSE(CONTROL!$C$21, $C$9, 100%, $E$9)</f>
        <v>8.2827000000000002</v>
      </c>
      <c r="F192" s="10">
        <f>CHOOSE(CONTROL!$C$42, 8.1809, 8.1809)*CHOOSE(CONTROL!$C$21, $C$9, 100%, $E$9)</f>
        <v>8.1808999999999994</v>
      </c>
      <c r="G192" s="10">
        <f>CHOOSE(CONTROL!$C$42, 8.1966, 8.1966)*CHOOSE(CONTROL!$C$21, $C$9, 100%, $E$9)</f>
        <v>8.1966000000000001</v>
      </c>
      <c r="H192" s="10">
        <f>CHOOSE(CONTROL!$C$42, 8.2719, 8.2719) * CHOOSE(CONTROL!$C$21, $C$9, 100%, $E$9)</f>
        <v>8.2719000000000005</v>
      </c>
      <c r="I192" s="10">
        <f>CHOOSE(CONTROL!$C$42, 8.196, 8.196)* CHOOSE(CONTROL!$C$21, $C$9, 100%, $E$9)</f>
        <v>8.1959999999999997</v>
      </c>
      <c r="J192" s="10">
        <f>CHOOSE(CONTROL!$C$42, 8.1739, 8.1739)* CHOOSE(CONTROL!$C$21, $C$9, 100%, $E$9)</f>
        <v>8.1738999999999997</v>
      </c>
      <c r="K192" s="53">
        <f>CHOOSE(CONTROL!$C$42, 8.1921, 8.1921) * CHOOSE(CONTROL!$C$21, $C$9, 100%, $E$9)</f>
        <v>8.1920999999999999</v>
      </c>
      <c r="L192" s="10">
        <f>CHOOSE(CONTROL!$C$42, 8.8589, 8.8589) * CHOOSE(CONTROL!$C$21, $C$9, 100%, $E$9)</f>
        <v>8.8589000000000002</v>
      </c>
      <c r="M192" s="10">
        <f>CHOOSE(CONTROL!$C$42, 8.1052, 8.1052) * CHOOSE(CONTROL!$C$21, $C$9, 100%, $E$9)</f>
        <v>8.1052</v>
      </c>
      <c r="N192" s="10">
        <f>CHOOSE(CONTROL!$C$42, 8.1208, 8.1208) * CHOOSE(CONTROL!$C$21, $C$9, 100%, $E$9)</f>
        <v>8.1207999999999991</v>
      </c>
      <c r="O192" s="10">
        <f>CHOOSE(CONTROL!$C$42, 8.2022, 8.2022) * CHOOSE(CONTROL!$C$21, $C$9, 100%, $E$9)</f>
        <v>8.2021999999999995</v>
      </c>
      <c r="P192" s="10">
        <f>CHOOSE(CONTROL!$C$42, 8.1271, 8.1271) * CHOOSE(CONTROL!$C$21, $C$9, 100%, $E$9)</f>
        <v>8.1271000000000004</v>
      </c>
      <c r="Q192" s="10">
        <f>CHOOSE(CONTROL!$C$42, 8.7975, 8.7975) * CHOOSE(CONTROL!$C$21, $C$9, 100%, $E$9)</f>
        <v>8.7974999999999994</v>
      </c>
      <c r="R192" s="10">
        <f>CHOOSE(CONTROL!$C$42, 9.4065, 9.4065) * CHOOSE(CONTROL!$C$21, $C$9, 100%, $E$9)</f>
        <v>9.4064999999999994</v>
      </c>
      <c r="S192" s="10">
        <f>CHOOSE(CONTROL!$C$42, 7.9448, 7.9448) * CHOOSE(CONTROL!$C$21, $C$9, 100%, $E$9)</f>
        <v>7.9447999999999999</v>
      </c>
      <c r="T1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57">
        <f>(1000*CHOOSE(CONTROL!$C$42, 695, 695)*CHOOSE(CONTROL!$C$42, 0.5599, 0.5599)*CHOOSE(CONTROL!$C$42, 31, 31))/1000000</f>
        <v>12.063045499999998</v>
      </c>
      <c r="V192" s="57">
        <f>(1000*CHOOSE(CONTROL!$C$42, 500, 500)*CHOOSE(CONTROL!$C$42, 0.275, 0.275)*CHOOSE(CONTROL!$C$42, 31, 31))/1000000</f>
        <v>4.2625000000000002</v>
      </c>
      <c r="W192" s="57">
        <f>(1000*CHOOSE(CONTROL!$C$42, 0.1146, 0.1146)*CHOOSE(CONTROL!$C$42, 121.5, 121.5)*CHOOSE(CONTROL!$C$42, 31, 31))/1000000</f>
        <v>0.43164089999999994</v>
      </c>
      <c r="X192" s="57">
        <f>(31*0.1790888*100000/1000000)+(31*0.2374*100000/1000000)</f>
        <v>1.2911152800000001</v>
      </c>
      <c r="Y192" s="57"/>
      <c r="Z192" s="10"/>
      <c r="AA192" s="56"/>
      <c r="AB192" s="50">
        <f>(B192*122.58+C192*297.941+D192*89.177+E192*40.302+F192*40+G192*160+H192*0+I192*100+J192*300)/(122.58+297.941+89.177+40.302+0+40+160+100+300)</f>
        <v>8.1936215539999999</v>
      </c>
      <c r="AC192" s="45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8.1532129496402863</v>
      </c>
    </row>
    <row r="193" spans="1:29" ht="15.75" x14ac:dyDescent="0.25">
      <c r="A193" s="16">
        <v>46753</v>
      </c>
      <c r="B193" s="10">
        <f>CHOOSE(CONTROL!$C$42, 8.9571, 8.9571) * CHOOSE(CONTROL!$C$21, $C$9, 100%, $E$9)</f>
        <v>8.9571000000000005</v>
      </c>
      <c r="C193" s="10">
        <f>CHOOSE(CONTROL!$C$42, 8.962, 8.962) * CHOOSE(CONTROL!$C$21, $C$9, 100%, $E$9)</f>
        <v>8.9619999999999997</v>
      </c>
      <c r="D193" s="10">
        <f>CHOOSE(CONTROL!$C$42, 9.0191, 9.0191) * CHOOSE(CONTROL!$C$21, $C$9, 100%, $E$9)</f>
        <v>9.0190999999999999</v>
      </c>
      <c r="E193" s="10">
        <f>CHOOSE(CONTROL!$C$42, 9.0529, 9.0529) * CHOOSE(CONTROL!$C$21, $C$9, 100%, $E$9)</f>
        <v>9.0528999999999993</v>
      </c>
      <c r="F193" s="10">
        <f>CHOOSE(CONTROL!$C$42, 8.9549, 8.9549)*CHOOSE(CONTROL!$C$21, $C$9, 100%, $E$9)</f>
        <v>8.9549000000000003</v>
      </c>
      <c r="G193" s="10">
        <f>CHOOSE(CONTROL!$C$42, 8.9695, 8.9695)*CHOOSE(CONTROL!$C$21, $C$9, 100%, $E$9)</f>
        <v>8.9695</v>
      </c>
      <c r="H193" s="10">
        <f>CHOOSE(CONTROL!$C$42, 9.0421, 9.0421) * CHOOSE(CONTROL!$C$21, $C$9, 100%, $E$9)</f>
        <v>9.0420999999999996</v>
      </c>
      <c r="I193" s="10">
        <f>CHOOSE(CONTROL!$C$42, 8.9679, 8.9679)* CHOOSE(CONTROL!$C$21, $C$9, 100%, $E$9)</f>
        <v>8.9679000000000002</v>
      </c>
      <c r="J193" s="10">
        <f>CHOOSE(CONTROL!$C$42, 8.9479, 8.9479)* CHOOSE(CONTROL!$C$21, $C$9, 100%, $E$9)</f>
        <v>8.9479000000000006</v>
      </c>
      <c r="K193" s="53">
        <f>CHOOSE(CONTROL!$C$42, 8.964, 8.964) * CHOOSE(CONTROL!$C$21, $C$9, 100%, $E$9)</f>
        <v>8.9640000000000004</v>
      </c>
      <c r="L193" s="10">
        <f>CHOOSE(CONTROL!$C$42, 9.6291, 9.6291) * CHOOSE(CONTROL!$C$21, $C$9, 100%, $E$9)</f>
        <v>9.6290999999999993</v>
      </c>
      <c r="M193" s="10">
        <f>CHOOSE(CONTROL!$C$42, 8.8714, 8.8714) * CHOOSE(CONTROL!$C$21, $C$9, 100%, $E$9)</f>
        <v>8.8713999999999995</v>
      </c>
      <c r="N193" s="10">
        <f>CHOOSE(CONTROL!$C$42, 8.8859, 8.8859) * CHOOSE(CONTROL!$C$21, $C$9, 100%, $E$9)</f>
        <v>8.8858999999999995</v>
      </c>
      <c r="O193" s="10">
        <f>CHOOSE(CONTROL!$C$42, 8.9646, 8.9646) * CHOOSE(CONTROL!$C$21, $C$9, 100%, $E$9)</f>
        <v>8.9646000000000008</v>
      </c>
      <c r="P193" s="10">
        <f>CHOOSE(CONTROL!$C$42, 8.8912, 8.8912) * CHOOSE(CONTROL!$C$21, $C$9, 100%, $E$9)</f>
        <v>8.8911999999999995</v>
      </c>
      <c r="Q193" s="10">
        <f>CHOOSE(CONTROL!$C$42, 9.5599, 9.5599) * CHOOSE(CONTROL!$C$21, $C$9, 100%, $E$9)</f>
        <v>9.5599000000000007</v>
      </c>
      <c r="R193" s="10">
        <f>CHOOSE(CONTROL!$C$42, 10.1708, 10.1708) * CHOOSE(CONTROL!$C$21, $C$9, 100%, $E$9)</f>
        <v>10.1708</v>
      </c>
      <c r="S193" s="10">
        <f>CHOOSE(CONTROL!$C$42, 8.6961, 8.6961) * CHOOSE(CONTROL!$C$21, $C$9, 100%, $E$9)</f>
        <v>8.6960999999999995</v>
      </c>
      <c r="T1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57">
        <f>(1000*CHOOSE(CONTROL!$C$42, 695, 695)*CHOOSE(CONTROL!$C$42, 0.5599, 0.5599)*CHOOSE(CONTROL!$C$42, 31, 31))/1000000</f>
        <v>12.063045499999998</v>
      </c>
      <c r="V193" s="57">
        <f>(1000*CHOOSE(CONTROL!$C$42, 500, 500)*CHOOSE(CONTROL!$C$42, 0.275, 0.275)*CHOOSE(CONTROL!$C$42, 31, 31))/1000000</f>
        <v>4.2625000000000002</v>
      </c>
      <c r="W193" s="57">
        <f>(1000*CHOOSE(CONTROL!$C$42, 0.1146, 0.1146)*CHOOSE(CONTROL!$C$42, 121.5, 121.5)*CHOOSE(CONTROL!$C$42, 31, 31))/1000000</f>
        <v>0.43164089999999994</v>
      </c>
      <c r="X193" s="57">
        <f>(31*0.1790888*100000/1000000)+(31*0.2374*100000/1000000)</f>
        <v>1.2911152800000001</v>
      </c>
      <c r="Y193" s="57"/>
      <c r="Z193" s="10"/>
      <c r="AA193" s="56"/>
      <c r="AB193" s="50">
        <f>(B193*122.58+C193*297.941+D193*89.177+E193*40.302+F193*40+G193*160+H193*0+I193*100+J193*300)/(122.58+297.941+89.177+40.302+0+40+160+100+300)</f>
        <v>8.9667224491304349</v>
      </c>
      <c r="AC193" s="45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8.9173251798561157</v>
      </c>
    </row>
    <row r="194" spans="1:29" ht="15.75" x14ac:dyDescent="0.25">
      <c r="A194" s="16">
        <v>46784</v>
      </c>
      <c r="B194" s="10">
        <f>CHOOSE(CONTROL!$C$42, 9.1165, 9.1165) * CHOOSE(CONTROL!$C$21, $C$9, 100%, $E$9)</f>
        <v>9.1165000000000003</v>
      </c>
      <c r="C194" s="10">
        <f>CHOOSE(CONTROL!$C$42, 9.1214, 9.1214) * CHOOSE(CONTROL!$C$21, $C$9, 100%, $E$9)</f>
        <v>9.1213999999999995</v>
      </c>
      <c r="D194" s="10">
        <f>CHOOSE(CONTROL!$C$42, 9.1785, 9.1785) * CHOOSE(CONTROL!$C$21, $C$9, 100%, $E$9)</f>
        <v>9.1784999999999997</v>
      </c>
      <c r="E194" s="10">
        <f>CHOOSE(CONTROL!$C$42, 9.2123, 9.2123) * CHOOSE(CONTROL!$C$21, $C$9, 100%, $E$9)</f>
        <v>9.2123000000000008</v>
      </c>
      <c r="F194" s="10">
        <f>CHOOSE(CONTROL!$C$42, 9.1144, 9.1144)*CHOOSE(CONTROL!$C$21, $C$9, 100%, $E$9)</f>
        <v>9.1143999999999998</v>
      </c>
      <c r="G194" s="10">
        <f>CHOOSE(CONTROL!$C$42, 9.129, 9.129)*CHOOSE(CONTROL!$C$21, $C$9, 100%, $E$9)</f>
        <v>9.1289999999999996</v>
      </c>
      <c r="H194" s="10">
        <f>CHOOSE(CONTROL!$C$42, 9.2015, 9.2015) * CHOOSE(CONTROL!$C$21, $C$9, 100%, $E$9)</f>
        <v>9.2014999999999993</v>
      </c>
      <c r="I194" s="10">
        <f>CHOOSE(CONTROL!$C$42, 9.1273, 9.1273)* CHOOSE(CONTROL!$C$21, $C$9, 100%, $E$9)</f>
        <v>9.1273</v>
      </c>
      <c r="J194" s="10">
        <f>CHOOSE(CONTROL!$C$42, 9.1074, 9.1074)* CHOOSE(CONTROL!$C$21, $C$9, 100%, $E$9)</f>
        <v>9.1074000000000002</v>
      </c>
      <c r="K194" s="53">
        <f>CHOOSE(CONTROL!$C$42, 9.1234, 9.1234) * CHOOSE(CONTROL!$C$21, $C$9, 100%, $E$9)</f>
        <v>9.1234000000000002</v>
      </c>
      <c r="L194" s="10">
        <f>CHOOSE(CONTROL!$C$42, 9.7885, 9.7885) * CHOOSE(CONTROL!$C$21, $C$9, 100%, $E$9)</f>
        <v>9.7885000000000009</v>
      </c>
      <c r="M194" s="10">
        <f>CHOOSE(CONTROL!$C$42, 9.0293, 9.0293) * CHOOSE(CONTROL!$C$21, $C$9, 100%, $E$9)</f>
        <v>9.0292999999999992</v>
      </c>
      <c r="N194" s="10">
        <f>CHOOSE(CONTROL!$C$42, 9.0438, 9.0438) * CHOOSE(CONTROL!$C$21, $C$9, 100%, $E$9)</f>
        <v>9.0437999999999992</v>
      </c>
      <c r="O194" s="10">
        <f>CHOOSE(CONTROL!$C$42, 9.1224, 9.1224) * CHOOSE(CONTROL!$C$21, $C$9, 100%, $E$9)</f>
        <v>9.1224000000000007</v>
      </c>
      <c r="P194" s="10">
        <f>CHOOSE(CONTROL!$C$42, 9.049, 9.049) * CHOOSE(CONTROL!$C$21, $C$9, 100%, $E$9)</f>
        <v>9.0489999999999995</v>
      </c>
      <c r="Q194" s="10">
        <f>CHOOSE(CONTROL!$C$42, 9.7177, 9.7177) * CHOOSE(CONTROL!$C$21, $C$9, 100%, $E$9)</f>
        <v>9.7177000000000007</v>
      </c>
      <c r="R194" s="10">
        <f>CHOOSE(CONTROL!$C$42, 10.329, 10.329) * CHOOSE(CONTROL!$C$21, $C$9, 100%, $E$9)</f>
        <v>10.329000000000001</v>
      </c>
      <c r="S194" s="10">
        <f>CHOOSE(CONTROL!$C$42, 8.8509, 8.8509) * CHOOSE(CONTROL!$C$21, $C$9, 100%, $E$9)</f>
        <v>8.8508999999999993</v>
      </c>
      <c r="T19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94" s="57">
        <f>(1000*CHOOSE(CONTROL!$C$42, 695, 695)*CHOOSE(CONTROL!$C$42, 0.5599, 0.5599)*CHOOSE(CONTROL!$C$42, 29, 29))/1000000</f>
        <v>11.284784499999999</v>
      </c>
      <c r="V194" s="57">
        <f>(1000*CHOOSE(CONTROL!$C$42, 500, 500)*CHOOSE(CONTROL!$C$42, 0.275, 0.275)*CHOOSE(CONTROL!$C$42, 29, 29))/1000000</f>
        <v>3.9874999999999998</v>
      </c>
      <c r="W194" s="57">
        <f>(1000*CHOOSE(CONTROL!$C$42, 0.1146, 0.1146)*CHOOSE(CONTROL!$C$42, 121.5, 121.5)*CHOOSE(CONTROL!$C$42, 29, 29))/1000000</f>
        <v>0.40379309999999996</v>
      </c>
      <c r="X194" s="57">
        <f>(29*0.1790888*100000/1000000)+(29*0.2374*100000/1000000)</f>
        <v>1.2078175199999999</v>
      </c>
      <c r="Y194" s="57"/>
      <c r="Z194" s="10"/>
      <c r="AA194" s="56"/>
      <c r="AB194" s="50">
        <f>(B194*122.58+C194*297.941+D194*89.177+E194*40.302+F194*40+G194*160+H194*0+I194*100+J194*300)/(122.58+297.941+89.177+40.302+0+40+160+100+300)</f>
        <v>9.1261659273913036</v>
      </c>
      <c r="AC194" s="45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9.075165467625899</v>
      </c>
    </row>
    <row r="195" spans="1:29" ht="15.75" x14ac:dyDescent="0.25">
      <c r="A195" s="16">
        <v>46813</v>
      </c>
      <c r="B195" s="10">
        <f>CHOOSE(CONTROL!$C$42, 8.8577, 8.8577) * CHOOSE(CONTROL!$C$21, $C$9, 100%, $E$9)</f>
        <v>8.8576999999999995</v>
      </c>
      <c r="C195" s="10">
        <f>CHOOSE(CONTROL!$C$42, 8.8627, 8.8627) * CHOOSE(CONTROL!$C$21, $C$9, 100%, $E$9)</f>
        <v>8.8627000000000002</v>
      </c>
      <c r="D195" s="10">
        <f>CHOOSE(CONTROL!$C$42, 8.9197, 8.9197) * CHOOSE(CONTROL!$C$21, $C$9, 100%, $E$9)</f>
        <v>8.9197000000000006</v>
      </c>
      <c r="E195" s="10">
        <f>CHOOSE(CONTROL!$C$42, 8.9535, 8.9535) * CHOOSE(CONTROL!$C$21, $C$9, 100%, $E$9)</f>
        <v>8.9535</v>
      </c>
      <c r="F195" s="10">
        <f>CHOOSE(CONTROL!$C$42, 8.8555, 8.8555)*CHOOSE(CONTROL!$C$21, $C$9, 100%, $E$9)</f>
        <v>8.8554999999999993</v>
      </c>
      <c r="G195" s="10">
        <f>CHOOSE(CONTROL!$C$42, 8.8701, 8.8701)*CHOOSE(CONTROL!$C$21, $C$9, 100%, $E$9)</f>
        <v>8.8701000000000008</v>
      </c>
      <c r="H195" s="10">
        <f>CHOOSE(CONTROL!$C$42, 8.9427, 8.9427) * CHOOSE(CONTROL!$C$21, $C$9, 100%, $E$9)</f>
        <v>8.9427000000000003</v>
      </c>
      <c r="I195" s="10">
        <f>CHOOSE(CONTROL!$C$42, 8.8685, 8.8685)* CHOOSE(CONTROL!$C$21, $C$9, 100%, $E$9)</f>
        <v>8.8684999999999992</v>
      </c>
      <c r="J195" s="10">
        <f>CHOOSE(CONTROL!$C$42, 8.8485, 8.8485)* CHOOSE(CONTROL!$C$21, $C$9, 100%, $E$9)</f>
        <v>8.8484999999999996</v>
      </c>
      <c r="K195" s="53">
        <f>CHOOSE(CONTROL!$C$42, 8.8646, 8.8646) * CHOOSE(CONTROL!$C$21, $C$9, 100%, $E$9)</f>
        <v>8.8645999999999994</v>
      </c>
      <c r="L195" s="10">
        <f>CHOOSE(CONTROL!$C$42, 9.5297, 9.5297) * CHOOSE(CONTROL!$C$21, $C$9, 100%, $E$9)</f>
        <v>9.5297000000000001</v>
      </c>
      <c r="M195" s="10">
        <f>CHOOSE(CONTROL!$C$42, 8.7731, 8.7731) * CHOOSE(CONTROL!$C$21, $C$9, 100%, $E$9)</f>
        <v>8.7730999999999995</v>
      </c>
      <c r="N195" s="10">
        <f>CHOOSE(CONTROL!$C$42, 8.7875, 8.7875) * CHOOSE(CONTROL!$C$21, $C$9, 100%, $E$9)</f>
        <v>8.7874999999999996</v>
      </c>
      <c r="O195" s="10">
        <f>CHOOSE(CONTROL!$C$42, 8.8663, 8.8663) * CHOOSE(CONTROL!$C$21, $C$9, 100%, $E$9)</f>
        <v>8.8663000000000007</v>
      </c>
      <c r="P195" s="10">
        <f>CHOOSE(CONTROL!$C$42, 8.7929, 8.7929) * CHOOSE(CONTROL!$C$21, $C$9, 100%, $E$9)</f>
        <v>8.7928999999999995</v>
      </c>
      <c r="Q195" s="10">
        <f>CHOOSE(CONTROL!$C$42, 9.4616, 9.4616) * CHOOSE(CONTROL!$C$21, $C$9, 100%, $E$9)</f>
        <v>9.4616000000000007</v>
      </c>
      <c r="R195" s="10">
        <f>CHOOSE(CONTROL!$C$42, 10.0723, 10.0723) * CHOOSE(CONTROL!$C$21, $C$9, 100%, $E$9)</f>
        <v>10.0723</v>
      </c>
      <c r="S195" s="10">
        <f>CHOOSE(CONTROL!$C$42, 8.5996, 8.5996) * CHOOSE(CONTROL!$C$21, $C$9, 100%, $E$9)</f>
        <v>8.5996000000000006</v>
      </c>
      <c r="T1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57">
        <f>(1000*CHOOSE(CONTROL!$C$42, 695, 695)*CHOOSE(CONTROL!$C$42, 0.5599, 0.5599)*CHOOSE(CONTROL!$C$42, 31, 31))/1000000</f>
        <v>12.063045499999998</v>
      </c>
      <c r="V195" s="57">
        <f>(1000*CHOOSE(CONTROL!$C$42, 500, 500)*CHOOSE(CONTROL!$C$42, 0.275, 0.275)*CHOOSE(CONTROL!$C$42, 31, 31))/1000000</f>
        <v>4.2625000000000002</v>
      </c>
      <c r="W195" s="57">
        <f>(1000*CHOOSE(CONTROL!$C$42, 0.1146, 0.1146)*CHOOSE(CONTROL!$C$42, 121.5, 121.5)*CHOOSE(CONTROL!$C$42, 31, 31))/1000000</f>
        <v>0.43164089999999994</v>
      </c>
      <c r="X195" s="57">
        <f>(31*0.1790888*100000/1000000)+(31*0.2374*100000/1000000)</f>
        <v>1.2911152800000001</v>
      </c>
      <c r="Y195" s="57"/>
      <c r="Z195" s="10"/>
      <c r="AA195" s="56"/>
      <c r="AB195" s="50">
        <f>(B195*122.58+C195*297.941+D195*89.177+E195*40.302+F195*40+G195*160+H195*0+I195*100+J195*300)/(122.58+297.941+89.177+40.302+0+40+160+100+300)</f>
        <v>8.8673483570434772</v>
      </c>
      <c r="AC195" s="45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8.8190194244604321</v>
      </c>
    </row>
    <row r="196" spans="1:29" ht="15.75" x14ac:dyDescent="0.25">
      <c r="A196" s="16">
        <v>46844</v>
      </c>
      <c r="B196" s="10">
        <f>CHOOSE(CONTROL!$C$42, 8.8324, 8.8324) * CHOOSE(CONTROL!$C$21, $C$9, 100%, $E$9)</f>
        <v>8.8323999999999998</v>
      </c>
      <c r="C196" s="10">
        <f>CHOOSE(CONTROL!$C$42, 8.8368, 8.8368) * CHOOSE(CONTROL!$C$21, $C$9, 100%, $E$9)</f>
        <v>8.8368000000000002</v>
      </c>
      <c r="D196" s="10">
        <f>CHOOSE(CONTROL!$C$42, 9.0426, 9.0426) * CHOOSE(CONTROL!$C$21, $C$9, 100%, $E$9)</f>
        <v>9.0426000000000002</v>
      </c>
      <c r="E196" s="10">
        <f>CHOOSE(CONTROL!$C$42, 9.0744, 9.0744) * CHOOSE(CONTROL!$C$21, $C$9, 100%, $E$9)</f>
        <v>9.0744000000000007</v>
      </c>
      <c r="F196" s="10">
        <f>CHOOSE(CONTROL!$C$42, 8.8091, 8.8091)*CHOOSE(CONTROL!$C$21, $C$9, 100%, $E$9)</f>
        <v>8.8091000000000008</v>
      </c>
      <c r="G196" s="10">
        <f>CHOOSE(CONTROL!$C$42, 8.8237, 8.8237)*CHOOSE(CONTROL!$C$21, $C$9, 100%, $E$9)</f>
        <v>8.8237000000000005</v>
      </c>
      <c r="H196" s="10">
        <f>CHOOSE(CONTROL!$C$42, 9.0642, 9.0642) * CHOOSE(CONTROL!$C$21, $C$9, 100%, $E$9)</f>
        <v>9.0641999999999996</v>
      </c>
      <c r="I196" s="10">
        <f>CHOOSE(CONTROL!$C$42, 8.8338, 8.8338)* CHOOSE(CONTROL!$C$21, $C$9, 100%, $E$9)</f>
        <v>8.8338000000000001</v>
      </c>
      <c r="J196" s="10">
        <f>CHOOSE(CONTROL!$C$42, 8.8021, 8.8021)* CHOOSE(CONTROL!$C$21, $C$9, 100%, $E$9)</f>
        <v>8.8020999999999994</v>
      </c>
      <c r="K196" s="53">
        <f>CHOOSE(CONTROL!$C$42, 8.8299, 8.8299) * CHOOSE(CONTROL!$C$21, $C$9, 100%, $E$9)</f>
        <v>8.8299000000000003</v>
      </c>
      <c r="L196" s="10">
        <f>CHOOSE(CONTROL!$C$42, 9.6512, 9.6512) * CHOOSE(CONTROL!$C$21, $C$9, 100%, $E$9)</f>
        <v>9.6511999999999993</v>
      </c>
      <c r="M196" s="10">
        <f>CHOOSE(CONTROL!$C$42, 8.7271, 8.7271) * CHOOSE(CONTROL!$C$21, $C$9, 100%, $E$9)</f>
        <v>8.7271000000000001</v>
      </c>
      <c r="N196" s="10">
        <f>CHOOSE(CONTROL!$C$42, 8.7415, 8.7415) * CHOOSE(CONTROL!$C$21, $C$9, 100%, $E$9)</f>
        <v>8.7415000000000003</v>
      </c>
      <c r="O196" s="10">
        <f>CHOOSE(CONTROL!$C$42, 8.9865, 8.9865) * CHOOSE(CONTROL!$C$21, $C$9, 100%, $E$9)</f>
        <v>8.9864999999999995</v>
      </c>
      <c r="P196" s="10">
        <f>CHOOSE(CONTROL!$C$42, 8.7585, 8.7585) * CHOOSE(CONTROL!$C$21, $C$9, 100%, $E$9)</f>
        <v>8.7584999999999997</v>
      </c>
      <c r="Q196" s="10">
        <f>CHOOSE(CONTROL!$C$42, 9.5818, 9.5818) * CHOOSE(CONTROL!$C$21, $C$9, 100%, $E$9)</f>
        <v>9.5817999999999994</v>
      </c>
      <c r="R196" s="10">
        <f>CHOOSE(CONTROL!$C$42, 10.1928, 10.1928) * CHOOSE(CONTROL!$C$21, $C$9, 100%, $E$9)</f>
        <v>10.1928</v>
      </c>
      <c r="S196" s="10">
        <f>CHOOSE(CONTROL!$C$42, 8.5742, 8.5742) * CHOOSE(CONTROL!$C$21, $C$9, 100%, $E$9)</f>
        <v>8.5741999999999994</v>
      </c>
      <c r="T1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57">
        <f>(1000*CHOOSE(CONTROL!$C$42, 695, 695)*CHOOSE(CONTROL!$C$42, 0.5599, 0.5599)*CHOOSE(CONTROL!$C$42, 30, 30))/1000000</f>
        <v>11.673914999999997</v>
      </c>
      <c r="V196" s="57">
        <f>(1000*CHOOSE(CONTROL!$C$42, 500, 500)*CHOOSE(CONTROL!$C$42, 0.275, 0.275)*CHOOSE(CONTROL!$C$42, 30, 30))/1000000</f>
        <v>4.125</v>
      </c>
      <c r="W196" s="57">
        <f>(1000*CHOOSE(CONTROL!$C$42, 0.1146, 0.1146)*CHOOSE(CONTROL!$C$42, 121.5, 121.5)*CHOOSE(CONTROL!$C$42, 30, 30))/1000000</f>
        <v>0.417717</v>
      </c>
      <c r="X196" s="57">
        <f>(30*0.1790888*245000/1000000)+(30*0.2374*100000/1000000)</f>
        <v>2.0285026799999999</v>
      </c>
      <c r="Y196" s="57"/>
      <c r="Z196" s="10"/>
      <c r="AA196" s="56"/>
      <c r="AB196" s="50">
        <f>(B196*141.293+C196*267.993+D196*115.016+E196*89.698+F196*40+G196*185+H196*0+I196*100+J196*300)/(141.293+267.993+115.016+89.698+0+40+185+100+300)</f>
        <v>8.8611094014527829</v>
      </c>
      <c r="AC196" s="45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8.8077143884892095</v>
      </c>
    </row>
    <row r="197" spans="1:29" ht="15.75" x14ac:dyDescent="0.25">
      <c r="A197" s="16">
        <v>46874</v>
      </c>
      <c r="B197" s="10">
        <f>CHOOSE(CONTROL!$C$42, 8.9117, 8.9117) * CHOOSE(CONTROL!$C$21, $C$9, 100%, $E$9)</f>
        <v>8.9116999999999997</v>
      </c>
      <c r="C197" s="10">
        <f>CHOOSE(CONTROL!$C$42, 8.9196, 8.9196) * CHOOSE(CONTROL!$C$21, $C$9, 100%, $E$9)</f>
        <v>8.9196000000000009</v>
      </c>
      <c r="D197" s="10">
        <f>CHOOSE(CONTROL!$C$42, 9.1223, 9.1223) * CHOOSE(CONTROL!$C$21, $C$9, 100%, $E$9)</f>
        <v>9.1222999999999992</v>
      </c>
      <c r="E197" s="10">
        <f>CHOOSE(CONTROL!$C$42, 9.1535, 9.1535) * CHOOSE(CONTROL!$C$21, $C$9, 100%, $E$9)</f>
        <v>9.1534999999999993</v>
      </c>
      <c r="F197" s="10">
        <f>CHOOSE(CONTROL!$C$42, 8.8874, 8.8874)*CHOOSE(CONTROL!$C$21, $C$9, 100%, $E$9)</f>
        <v>8.8873999999999995</v>
      </c>
      <c r="G197" s="10">
        <f>CHOOSE(CONTROL!$C$42, 8.9024, 8.9024)*CHOOSE(CONTROL!$C$21, $C$9, 100%, $E$9)</f>
        <v>8.9024000000000001</v>
      </c>
      <c r="H197" s="10">
        <f>CHOOSE(CONTROL!$C$42, 9.1421, 9.1421) * CHOOSE(CONTROL!$C$21, $C$9, 100%, $E$9)</f>
        <v>9.1420999999999992</v>
      </c>
      <c r="I197" s="10">
        <f>CHOOSE(CONTROL!$C$42, 8.9117, 8.9117)* CHOOSE(CONTROL!$C$21, $C$9, 100%, $E$9)</f>
        <v>8.9116999999999997</v>
      </c>
      <c r="J197" s="10">
        <f>CHOOSE(CONTROL!$C$42, 8.8804, 8.8804)* CHOOSE(CONTROL!$C$21, $C$9, 100%, $E$9)</f>
        <v>8.8803999999999998</v>
      </c>
      <c r="K197" s="53">
        <f>CHOOSE(CONTROL!$C$42, 8.9078, 8.9078) * CHOOSE(CONTROL!$C$21, $C$9, 100%, $E$9)</f>
        <v>8.9077999999999999</v>
      </c>
      <c r="L197" s="10">
        <f>CHOOSE(CONTROL!$C$42, 9.7291, 9.7291) * CHOOSE(CONTROL!$C$21, $C$9, 100%, $E$9)</f>
        <v>9.7291000000000007</v>
      </c>
      <c r="M197" s="10">
        <f>CHOOSE(CONTROL!$C$42, 8.8046, 8.8046) * CHOOSE(CONTROL!$C$21, $C$9, 100%, $E$9)</f>
        <v>8.8046000000000006</v>
      </c>
      <c r="N197" s="10">
        <f>CHOOSE(CONTROL!$C$42, 8.8195, 8.8195) * CHOOSE(CONTROL!$C$21, $C$9, 100%, $E$9)</f>
        <v>8.8194999999999997</v>
      </c>
      <c r="O197" s="10">
        <f>CHOOSE(CONTROL!$C$42, 9.0637, 9.0637) * CHOOSE(CONTROL!$C$21, $C$9, 100%, $E$9)</f>
        <v>9.0637000000000008</v>
      </c>
      <c r="P197" s="10">
        <f>CHOOSE(CONTROL!$C$42, 8.8357, 8.8357) * CHOOSE(CONTROL!$C$21, $C$9, 100%, $E$9)</f>
        <v>8.8356999999999992</v>
      </c>
      <c r="Q197" s="10">
        <f>CHOOSE(CONTROL!$C$42, 9.659, 9.659) * CHOOSE(CONTROL!$C$21, $C$9, 100%, $E$9)</f>
        <v>9.6590000000000007</v>
      </c>
      <c r="R197" s="10">
        <f>CHOOSE(CONTROL!$C$42, 10.2701, 10.2701) * CHOOSE(CONTROL!$C$21, $C$9, 100%, $E$9)</f>
        <v>10.270099999999999</v>
      </c>
      <c r="S197" s="10">
        <f>CHOOSE(CONTROL!$C$42, 8.6499, 8.6499) * CHOOSE(CONTROL!$C$21, $C$9, 100%, $E$9)</f>
        <v>8.6499000000000006</v>
      </c>
      <c r="T1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57">
        <f>(1000*CHOOSE(CONTROL!$C$42, 695, 695)*CHOOSE(CONTROL!$C$42, 0.5599, 0.5599)*CHOOSE(CONTROL!$C$42, 31, 31))/1000000</f>
        <v>12.063045499999998</v>
      </c>
      <c r="V197" s="57">
        <f>(1000*CHOOSE(CONTROL!$C$42, 500, 500)*CHOOSE(CONTROL!$C$42, 0.275, 0.275)*CHOOSE(CONTROL!$C$42, 31, 31))/1000000</f>
        <v>4.2625000000000002</v>
      </c>
      <c r="W197" s="57">
        <f>(1000*CHOOSE(CONTROL!$C$42, 0.1146, 0.1146)*CHOOSE(CONTROL!$C$42, 121.5, 121.5)*CHOOSE(CONTROL!$C$42, 31, 31))/1000000</f>
        <v>0.43164089999999994</v>
      </c>
      <c r="X197" s="57">
        <f>(31*0.1790888*245000/1000000)+(31*0.2374*100000/1000000)</f>
        <v>2.0961194359999999</v>
      </c>
      <c r="Y197" s="57"/>
      <c r="Z197" s="10"/>
      <c r="AA197" s="56"/>
      <c r="AB197" s="50">
        <f>(B197*194.205+C197*267.466+D197*133.845+E197*53.484+F197*40+G197*185+H197*0+I197*100+J197*300)/(194.205+267.466+133.845+53.484+0+40+185+100+300)</f>
        <v>8.9361510750392448</v>
      </c>
      <c r="AC197" s="45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8.8852021582733816</v>
      </c>
    </row>
    <row r="198" spans="1:29" ht="15.75" x14ac:dyDescent="0.25">
      <c r="A198" s="16">
        <v>46905</v>
      </c>
      <c r="B198" s="10">
        <f>CHOOSE(CONTROL!$C$42, 9.1643, 9.1643) * CHOOSE(CONTROL!$C$21, $C$9, 100%, $E$9)</f>
        <v>9.1643000000000008</v>
      </c>
      <c r="C198" s="10">
        <f>CHOOSE(CONTROL!$C$42, 9.1722, 9.1722) * CHOOSE(CONTROL!$C$21, $C$9, 100%, $E$9)</f>
        <v>9.1722000000000001</v>
      </c>
      <c r="D198" s="10">
        <f>CHOOSE(CONTROL!$C$42, 9.375, 9.375) * CHOOSE(CONTROL!$C$21, $C$9, 100%, $E$9)</f>
        <v>9.375</v>
      </c>
      <c r="E198" s="10">
        <f>CHOOSE(CONTROL!$C$42, 9.4061, 9.4061) * CHOOSE(CONTROL!$C$21, $C$9, 100%, $E$9)</f>
        <v>9.4061000000000003</v>
      </c>
      <c r="F198" s="10">
        <f>CHOOSE(CONTROL!$C$42, 9.1406, 9.1406)*CHOOSE(CONTROL!$C$21, $C$9, 100%, $E$9)</f>
        <v>9.1405999999999992</v>
      </c>
      <c r="G198" s="10">
        <f>CHOOSE(CONTROL!$C$42, 9.1557, 9.1557)*CHOOSE(CONTROL!$C$21, $C$9, 100%, $E$9)</f>
        <v>9.1556999999999995</v>
      </c>
      <c r="H198" s="10">
        <f>CHOOSE(CONTROL!$C$42, 9.3947, 9.3947) * CHOOSE(CONTROL!$C$21, $C$9, 100%, $E$9)</f>
        <v>9.3947000000000003</v>
      </c>
      <c r="I198" s="10">
        <f>CHOOSE(CONTROL!$C$42, 9.1644, 9.1644)* CHOOSE(CONTROL!$C$21, $C$9, 100%, $E$9)</f>
        <v>9.1644000000000005</v>
      </c>
      <c r="J198" s="10">
        <f>CHOOSE(CONTROL!$C$42, 9.1336, 9.1336)* CHOOSE(CONTROL!$C$21, $C$9, 100%, $E$9)</f>
        <v>9.1335999999999995</v>
      </c>
      <c r="K198" s="53">
        <f>CHOOSE(CONTROL!$C$42, 9.1605, 9.1605) * CHOOSE(CONTROL!$C$21, $C$9, 100%, $E$9)</f>
        <v>9.1605000000000008</v>
      </c>
      <c r="L198" s="10">
        <f>CHOOSE(CONTROL!$C$42, 9.9817, 9.9817) * CHOOSE(CONTROL!$C$21, $C$9, 100%, $E$9)</f>
        <v>9.9817</v>
      </c>
      <c r="M198" s="10">
        <f>CHOOSE(CONTROL!$C$42, 9.0552, 9.0552) * CHOOSE(CONTROL!$C$21, $C$9, 100%, $E$9)</f>
        <v>9.0551999999999992</v>
      </c>
      <c r="N198" s="10">
        <f>CHOOSE(CONTROL!$C$42, 9.0702, 9.0702) * CHOOSE(CONTROL!$C$21, $C$9, 100%, $E$9)</f>
        <v>9.0701999999999998</v>
      </c>
      <c r="O198" s="10">
        <f>CHOOSE(CONTROL!$C$42, 9.3138, 9.3138) * CHOOSE(CONTROL!$C$21, $C$9, 100%, $E$9)</f>
        <v>9.3138000000000005</v>
      </c>
      <c r="P198" s="10">
        <f>CHOOSE(CONTROL!$C$42, 9.0858, 9.0858) * CHOOSE(CONTROL!$C$21, $C$9, 100%, $E$9)</f>
        <v>9.0858000000000008</v>
      </c>
      <c r="Q198" s="10">
        <f>CHOOSE(CONTROL!$C$42, 9.9091, 9.9091) * CHOOSE(CONTROL!$C$21, $C$9, 100%, $E$9)</f>
        <v>9.9091000000000005</v>
      </c>
      <c r="R198" s="10">
        <f>CHOOSE(CONTROL!$C$42, 10.5208, 10.5208) * CHOOSE(CONTROL!$C$21, $C$9, 100%, $E$9)</f>
        <v>10.520799999999999</v>
      </c>
      <c r="S198" s="10">
        <f>CHOOSE(CONTROL!$C$42, 8.8952, 8.8952) * CHOOSE(CONTROL!$C$21, $C$9, 100%, $E$9)</f>
        <v>8.8952000000000009</v>
      </c>
      <c r="T1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57">
        <f>(1000*CHOOSE(CONTROL!$C$42, 695, 695)*CHOOSE(CONTROL!$C$42, 0.5599, 0.5599)*CHOOSE(CONTROL!$C$42, 30, 30))/1000000</f>
        <v>11.673914999999997</v>
      </c>
      <c r="V198" s="57">
        <f>(1000*CHOOSE(CONTROL!$C$42, 500, 500)*CHOOSE(CONTROL!$C$42, 0.275, 0.275)*CHOOSE(CONTROL!$C$42, 30, 30))/1000000</f>
        <v>4.125</v>
      </c>
      <c r="W198" s="57">
        <f>(1000*CHOOSE(CONTROL!$C$42, 0.1146, 0.1146)*CHOOSE(CONTROL!$C$42, 121.5, 121.5)*CHOOSE(CONTROL!$C$42, 30, 30))/1000000</f>
        <v>0.417717</v>
      </c>
      <c r="X198" s="57">
        <f>(30*0.1790888*245000/1000000)+(30*0.2374*100000/1000000)</f>
        <v>2.0285026799999999</v>
      </c>
      <c r="Y198" s="57"/>
      <c r="Z198" s="10"/>
      <c r="AA198" s="56"/>
      <c r="AB198" s="50">
        <f>(B198*194.205+C198*267.466+D198*133.845+E198*53.484+F198*40+G198*185+H198*0+I198*100+J198*300)/(194.205+267.466+133.845+53.484+0+40+185+100+300)</f>
        <v>9.1890312041601252</v>
      </c>
      <c r="AC198" s="45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9.1356129496402865</v>
      </c>
    </row>
    <row r="199" spans="1:29" ht="15.75" x14ac:dyDescent="0.25">
      <c r="A199" s="16">
        <v>46935</v>
      </c>
      <c r="B199" s="10">
        <f>CHOOSE(CONTROL!$C$42, 8.9886, 8.9886) * CHOOSE(CONTROL!$C$21, $C$9, 100%, $E$9)</f>
        <v>8.9885999999999999</v>
      </c>
      <c r="C199" s="10">
        <f>CHOOSE(CONTROL!$C$42, 8.9965, 8.9965) * CHOOSE(CONTROL!$C$21, $C$9, 100%, $E$9)</f>
        <v>8.9964999999999993</v>
      </c>
      <c r="D199" s="10">
        <f>CHOOSE(CONTROL!$C$42, 9.1993, 9.1993) * CHOOSE(CONTROL!$C$21, $C$9, 100%, $E$9)</f>
        <v>9.1992999999999991</v>
      </c>
      <c r="E199" s="10">
        <f>CHOOSE(CONTROL!$C$42, 9.2304, 9.2304) * CHOOSE(CONTROL!$C$21, $C$9, 100%, $E$9)</f>
        <v>9.2303999999999995</v>
      </c>
      <c r="F199" s="10">
        <f>CHOOSE(CONTROL!$C$42, 8.9654, 8.9654)*CHOOSE(CONTROL!$C$21, $C$9, 100%, $E$9)</f>
        <v>8.9654000000000007</v>
      </c>
      <c r="G199" s="10">
        <f>CHOOSE(CONTROL!$C$42, 8.9806, 8.9806)*CHOOSE(CONTROL!$C$21, $C$9, 100%, $E$9)</f>
        <v>8.9806000000000008</v>
      </c>
      <c r="H199" s="10">
        <f>CHOOSE(CONTROL!$C$42, 9.219, 9.219) * CHOOSE(CONTROL!$C$21, $C$9, 100%, $E$9)</f>
        <v>9.2189999999999994</v>
      </c>
      <c r="I199" s="10">
        <f>CHOOSE(CONTROL!$C$42, 8.9887, 8.9887)* CHOOSE(CONTROL!$C$21, $C$9, 100%, $E$9)</f>
        <v>8.9886999999999997</v>
      </c>
      <c r="J199" s="10">
        <f>CHOOSE(CONTROL!$C$42, 8.9584, 8.9584)* CHOOSE(CONTROL!$C$21, $C$9, 100%, $E$9)</f>
        <v>8.9583999999999993</v>
      </c>
      <c r="K199" s="53">
        <f>CHOOSE(CONTROL!$C$42, 8.9848, 8.9848) * CHOOSE(CONTROL!$C$21, $C$9, 100%, $E$9)</f>
        <v>8.9847999999999999</v>
      </c>
      <c r="L199" s="10">
        <f>CHOOSE(CONTROL!$C$42, 9.806, 9.806) * CHOOSE(CONTROL!$C$21, $C$9, 100%, $E$9)</f>
        <v>9.8059999999999992</v>
      </c>
      <c r="M199" s="10">
        <f>CHOOSE(CONTROL!$C$42, 8.8818, 8.8818) * CHOOSE(CONTROL!$C$21, $C$9, 100%, $E$9)</f>
        <v>8.8818000000000001</v>
      </c>
      <c r="N199" s="10">
        <f>CHOOSE(CONTROL!$C$42, 8.8969, 8.8969) * CHOOSE(CONTROL!$C$21, $C$9, 100%, $E$9)</f>
        <v>8.8969000000000005</v>
      </c>
      <c r="O199" s="10">
        <f>CHOOSE(CONTROL!$C$42, 9.1398, 9.1398) * CHOOSE(CONTROL!$C$21, $C$9, 100%, $E$9)</f>
        <v>9.1397999999999993</v>
      </c>
      <c r="P199" s="10">
        <f>CHOOSE(CONTROL!$C$42, 8.9118, 8.9118) * CHOOSE(CONTROL!$C$21, $C$9, 100%, $E$9)</f>
        <v>8.9117999999999995</v>
      </c>
      <c r="Q199" s="10">
        <f>CHOOSE(CONTROL!$C$42, 9.7351, 9.7351) * CHOOSE(CONTROL!$C$21, $C$9, 100%, $E$9)</f>
        <v>9.7350999999999992</v>
      </c>
      <c r="R199" s="10">
        <f>CHOOSE(CONTROL!$C$42, 10.3465, 10.3465) * CHOOSE(CONTROL!$C$21, $C$9, 100%, $E$9)</f>
        <v>10.346500000000001</v>
      </c>
      <c r="S199" s="10">
        <f>CHOOSE(CONTROL!$C$42, 8.7246, 8.7246) * CHOOSE(CONTROL!$C$21, $C$9, 100%, $E$9)</f>
        <v>8.7246000000000006</v>
      </c>
      <c r="T1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57">
        <f>(1000*CHOOSE(CONTROL!$C$42, 695, 695)*CHOOSE(CONTROL!$C$42, 0.5599, 0.5599)*CHOOSE(CONTROL!$C$42, 31, 31))/1000000</f>
        <v>12.063045499999998</v>
      </c>
      <c r="V199" s="57">
        <f>(1000*CHOOSE(CONTROL!$C$42, 500, 500)*CHOOSE(CONTROL!$C$42, 0.275, 0.275)*CHOOSE(CONTROL!$C$42, 31, 31))/1000000</f>
        <v>4.2625000000000002</v>
      </c>
      <c r="W199" s="57">
        <f>(1000*CHOOSE(CONTROL!$C$42, 0.1146, 0.1146)*CHOOSE(CONTROL!$C$42, 121.5, 121.5)*CHOOSE(CONTROL!$C$42, 31, 31))/1000000</f>
        <v>0.43164089999999994</v>
      </c>
      <c r="X199" s="57">
        <f>(31*0.1790888*245000/1000000)+(31*0.2374*100000/1000000)</f>
        <v>2.0961194359999999</v>
      </c>
      <c r="Y199" s="57"/>
      <c r="Z199" s="10"/>
      <c r="AA199" s="56"/>
      <c r="AB199" s="50">
        <f>(B199*194.205+C199*267.466+D199*133.845+E199*53.484+F199*40+G199*185+H199*0+I199*100+J199*300)/(194.205+267.466+133.845+53.484+0+40+185+100+300)</f>
        <v>9.0135517693092631</v>
      </c>
      <c r="AC199" s="45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8.9619812949640298</v>
      </c>
    </row>
    <row r="200" spans="1:29" ht="15.75" x14ac:dyDescent="0.25">
      <c r="A200" s="16">
        <v>46966</v>
      </c>
      <c r="B200" s="10">
        <f>CHOOSE(CONTROL!$C$42, 8.5449, 8.5449) * CHOOSE(CONTROL!$C$21, $C$9, 100%, $E$9)</f>
        <v>8.5449000000000002</v>
      </c>
      <c r="C200" s="10">
        <f>CHOOSE(CONTROL!$C$42, 8.5528, 8.5528) * CHOOSE(CONTROL!$C$21, $C$9, 100%, $E$9)</f>
        <v>8.5527999999999995</v>
      </c>
      <c r="D200" s="10">
        <f>CHOOSE(CONTROL!$C$42, 8.7555, 8.7555) * CHOOSE(CONTROL!$C$21, $C$9, 100%, $E$9)</f>
        <v>8.7554999999999996</v>
      </c>
      <c r="E200" s="10">
        <f>CHOOSE(CONTROL!$C$42, 8.7867, 8.7867) * CHOOSE(CONTROL!$C$21, $C$9, 100%, $E$9)</f>
        <v>8.7866999999999997</v>
      </c>
      <c r="F200" s="10">
        <f>CHOOSE(CONTROL!$C$42, 8.5218, 8.5218)*CHOOSE(CONTROL!$C$21, $C$9, 100%, $E$9)</f>
        <v>8.5218000000000007</v>
      </c>
      <c r="G200" s="10">
        <f>CHOOSE(CONTROL!$C$42, 8.5372, 8.5372)*CHOOSE(CONTROL!$C$21, $C$9, 100%, $E$9)</f>
        <v>8.5372000000000003</v>
      </c>
      <c r="H200" s="10">
        <f>CHOOSE(CONTROL!$C$42, 8.7753, 8.7753) * CHOOSE(CONTROL!$C$21, $C$9, 100%, $E$9)</f>
        <v>8.7752999999999997</v>
      </c>
      <c r="I200" s="10">
        <f>CHOOSE(CONTROL!$C$42, 8.5449, 8.5449)* CHOOSE(CONTROL!$C$21, $C$9, 100%, $E$9)</f>
        <v>8.5449000000000002</v>
      </c>
      <c r="J200" s="10">
        <f>CHOOSE(CONTROL!$C$42, 8.5148, 8.5148)* CHOOSE(CONTROL!$C$21, $C$9, 100%, $E$9)</f>
        <v>8.5147999999999993</v>
      </c>
      <c r="K200" s="53">
        <f>CHOOSE(CONTROL!$C$42, 8.541, 8.541) * CHOOSE(CONTROL!$C$21, $C$9, 100%, $E$9)</f>
        <v>8.5410000000000004</v>
      </c>
      <c r="L200" s="10">
        <f>CHOOSE(CONTROL!$C$42, 9.3623, 9.3623) * CHOOSE(CONTROL!$C$21, $C$9, 100%, $E$9)</f>
        <v>9.3622999999999994</v>
      </c>
      <c r="M200" s="10">
        <f>CHOOSE(CONTROL!$C$42, 8.4427, 8.4427) * CHOOSE(CONTROL!$C$21, $C$9, 100%, $E$9)</f>
        <v>8.4427000000000003</v>
      </c>
      <c r="N200" s="10">
        <f>CHOOSE(CONTROL!$C$42, 8.4579, 8.4579) * CHOOSE(CONTROL!$C$21, $C$9, 100%, $E$9)</f>
        <v>8.4579000000000004</v>
      </c>
      <c r="O200" s="10">
        <f>CHOOSE(CONTROL!$C$42, 8.7006, 8.7006) * CHOOSE(CONTROL!$C$21, $C$9, 100%, $E$9)</f>
        <v>8.7005999999999997</v>
      </c>
      <c r="P200" s="10">
        <f>CHOOSE(CONTROL!$C$42, 8.4726, 8.4726) * CHOOSE(CONTROL!$C$21, $C$9, 100%, $E$9)</f>
        <v>8.4725999999999999</v>
      </c>
      <c r="Q200" s="10">
        <f>CHOOSE(CONTROL!$C$42, 9.2959, 9.2959) * CHOOSE(CONTROL!$C$21, $C$9, 100%, $E$9)</f>
        <v>9.2958999999999996</v>
      </c>
      <c r="R200" s="10">
        <f>CHOOSE(CONTROL!$C$42, 9.9061, 9.9061) * CHOOSE(CONTROL!$C$21, $C$9, 100%, $E$9)</f>
        <v>9.9061000000000003</v>
      </c>
      <c r="S200" s="10">
        <f>CHOOSE(CONTROL!$C$42, 8.2937, 8.2937) * CHOOSE(CONTROL!$C$21, $C$9, 100%, $E$9)</f>
        <v>8.2936999999999994</v>
      </c>
      <c r="T2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57">
        <f>(1000*CHOOSE(CONTROL!$C$42, 695, 695)*CHOOSE(CONTROL!$C$42, 0.5599, 0.5599)*CHOOSE(CONTROL!$C$42, 31, 31))/1000000</f>
        <v>12.063045499999998</v>
      </c>
      <c r="V200" s="57">
        <f>(1000*CHOOSE(CONTROL!$C$42, 500, 500)*CHOOSE(CONTROL!$C$42, 0.275, 0.275)*CHOOSE(CONTROL!$C$42, 31, 31))/1000000</f>
        <v>4.2625000000000002</v>
      </c>
      <c r="W200" s="57">
        <f>(1000*CHOOSE(CONTROL!$C$42, 0.1146, 0.1146)*CHOOSE(CONTROL!$C$42, 121.5, 121.5)*CHOOSE(CONTROL!$C$42, 31, 31))/1000000</f>
        <v>0.43164089999999994</v>
      </c>
      <c r="X200" s="57">
        <f>(31*0.1790888*245000/1000000)+(31*0.2374*100000/1000000)</f>
        <v>2.0961194359999999</v>
      </c>
      <c r="Y200" s="57"/>
      <c r="Z200" s="10"/>
      <c r="AA200" s="56"/>
      <c r="AB200" s="50">
        <f>(B200*194.205+C200*267.466+D200*133.845+E200*53.484+F200*40+G200*185+H200*0+I200*100+J200*300)/(194.205+267.466+133.845+53.484+0+40+185+100+300)</f>
        <v>8.5699036653061214</v>
      </c>
      <c r="AC200" s="45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8.522861870503597</v>
      </c>
    </row>
    <row r="201" spans="1:29" ht="15.75" x14ac:dyDescent="0.25">
      <c r="A201" s="16">
        <v>46997</v>
      </c>
      <c r="B201" s="10">
        <f>CHOOSE(CONTROL!$C$42, 8.0024, 8.0024) * CHOOSE(CONTROL!$C$21, $C$9, 100%, $E$9)</f>
        <v>8.0023999999999997</v>
      </c>
      <c r="C201" s="10">
        <f>CHOOSE(CONTROL!$C$42, 8.0103, 8.0103) * CHOOSE(CONTROL!$C$21, $C$9, 100%, $E$9)</f>
        <v>8.0103000000000009</v>
      </c>
      <c r="D201" s="10">
        <f>CHOOSE(CONTROL!$C$42, 8.213, 8.213) * CHOOSE(CONTROL!$C$21, $C$9, 100%, $E$9)</f>
        <v>8.2129999999999992</v>
      </c>
      <c r="E201" s="10">
        <f>CHOOSE(CONTROL!$C$42, 8.2442, 8.2442) * CHOOSE(CONTROL!$C$21, $C$9, 100%, $E$9)</f>
        <v>8.2441999999999993</v>
      </c>
      <c r="F201" s="10">
        <f>CHOOSE(CONTROL!$C$42, 7.9792, 7.9792)*CHOOSE(CONTROL!$C$21, $C$9, 100%, $E$9)</f>
        <v>7.9791999999999996</v>
      </c>
      <c r="G201" s="10">
        <f>CHOOSE(CONTROL!$C$42, 7.9945, 7.9945)*CHOOSE(CONTROL!$C$21, $C$9, 100%, $E$9)</f>
        <v>7.9945000000000004</v>
      </c>
      <c r="H201" s="10">
        <f>CHOOSE(CONTROL!$C$42, 8.2328, 8.2328) * CHOOSE(CONTROL!$C$21, $C$9, 100%, $E$9)</f>
        <v>8.2327999999999992</v>
      </c>
      <c r="I201" s="10">
        <f>CHOOSE(CONTROL!$C$42, 8.0024, 8.0024)* CHOOSE(CONTROL!$C$21, $C$9, 100%, $E$9)</f>
        <v>8.0023999999999997</v>
      </c>
      <c r="J201" s="10">
        <f>CHOOSE(CONTROL!$C$42, 7.9722, 7.9722)* CHOOSE(CONTROL!$C$21, $C$9, 100%, $E$9)</f>
        <v>7.9722</v>
      </c>
      <c r="K201" s="53">
        <f>CHOOSE(CONTROL!$C$42, 7.9985, 7.9985) * CHOOSE(CONTROL!$C$21, $C$9, 100%, $E$9)</f>
        <v>7.9984999999999999</v>
      </c>
      <c r="L201" s="10">
        <f>CHOOSE(CONTROL!$C$42, 8.8198, 8.8198) * CHOOSE(CONTROL!$C$21, $C$9, 100%, $E$9)</f>
        <v>8.8198000000000008</v>
      </c>
      <c r="M201" s="10">
        <f>CHOOSE(CONTROL!$C$42, 7.9055, 7.9055) * CHOOSE(CONTROL!$C$21, $C$9, 100%, $E$9)</f>
        <v>7.9055</v>
      </c>
      <c r="N201" s="10">
        <f>CHOOSE(CONTROL!$C$42, 7.9207, 7.9207) * CHOOSE(CONTROL!$C$21, $C$9, 100%, $E$9)</f>
        <v>7.9207000000000001</v>
      </c>
      <c r="O201" s="10">
        <f>CHOOSE(CONTROL!$C$42, 8.1635, 8.1635) * CHOOSE(CONTROL!$C$21, $C$9, 100%, $E$9)</f>
        <v>8.1635000000000009</v>
      </c>
      <c r="P201" s="10">
        <f>CHOOSE(CONTROL!$C$42, 7.9355, 7.9355) * CHOOSE(CONTROL!$C$21, $C$9, 100%, $E$9)</f>
        <v>7.9355000000000002</v>
      </c>
      <c r="Q201" s="10">
        <f>CHOOSE(CONTROL!$C$42, 8.7588, 8.7588) * CHOOSE(CONTROL!$C$21, $C$9, 100%, $E$9)</f>
        <v>8.7588000000000008</v>
      </c>
      <c r="R201" s="10">
        <f>CHOOSE(CONTROL!$C$42, 9.3677, 9.3677) * CHOOSE(CONTROL!$C$21, $C$9, 100%, $E$9)</f>
        <v>9.3676999999999992</v>
      </c>
      <c r="S201" s="10">
        <f>CHOOSE(CONTROL!$C$42, 7.7668, 7.7668) * CHOOSE(CONTROL!$C$21, $C$9, 100%, $E$9)</f>
        <v>7.7667999999999999</v>
      </c>
      <c r="T2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57">
        <f>(1000*CHOOSE(CONTROL!$C$42, 695, 695)*CHOOSE(CONTROL!$C$42, 0.5599, 0.5599)*CHOOSE(CONTROL!$C$42, 30, 30))/1000000</f>
        <v>11.673914999999997</v>
      </c>
      <c r="V201" s="57">
        <f>(1000*CHOOSE(CONTROL!$C$42, 500, 500)*CHOOSE(CONTROL!$C$42, 0.275, 0.275)*CHOOSE(CONTROL!$C$42, 30, 30))/1000000</f>
        <v>4.125</v>
      </c>
      <c r="W201" s="57">
        <f>(1000*CHOOSE(CONTROL!$C$42, 0.1146, 0.1146)*CHOOSE(CONTROL!$C$42, 121.5, 121.5)*CHOOSE(CONTROL!$C$42, 30, 30))/1000000</f>
        <v>0.417717</v>
      </c>
      <c r="X201" s="57">
        <f>(30*0.1790888*245000/1000000)+(30*0.2374*100000/1000000)</f>
        <v>2.0285026799999999</v>
      </c>
      <c r="Y201" s="57"/>
      <c r="Z201" s="10"/>
      <c r="AA201" s="56"/>
      <c r="AB201" s="50">
        <f>(B201*194.205+C201*267.466+D201*133.845+E201*53.484+F201*40+G201*185+H201*0+I201*100+J201*300)/(194.205+267.466+133.845+53.484+0+40+185+100+300)</f>
        <v>8.0273479353218207</v>
      </c>
      <c r="AC201" s="45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7.9857043165467623</v>
      </c>
    </row>
    <row r="202" spans="1:29" ht="15.75" x14ac:dyDescent="0.25">
      <c r="A202" s="16">
        <v>47027</v>
      </c>
      <c r="B202" s="10">
        <f>CHOOSE(CONTROL!$C$42, 7.8382, 7.8382) * CHOOSE(CONTROL!$C$21, $C$9, 100%, $E$9)</f>
        <v>7.8381999999999996</v>
      </c>
      <c r="C202" s="10">
        <f>CHOOSE(CONTROL!$C$42, 7.8434, 7.8434) * CHOOSE(CONTROL!$C$21, $C$9, 100%, $E$9)</f>
        <v>7.8433999999999999</v>
      </c>
      <c r="D202" s="10">
        <f>CHOOSE(CONTROL!$C$42, 8.0511, 8.0511) * CHOOSE(CONTROL!$C$21, $C$9, 100%, $E$9)</f>
        <v>8.0510999999999999</v>
      </c>
      <c r="E202" s="10">
        <f>CHOOSE(CONTROL!$C$42, 8.0799, 8.0799) * CHOOSE(CONTROL!$C$21, $C$9, 100%, $E$9)</f>
        <v>8.0799000000000003</v>
      </c>
      <c r="F202" s="10">
        <f>CHOOSE(CONTROL!$C$42, 7.817, 7.817)*CHOOSE(CONTROL!$C$21, $C$9, 100%, $E$9)</f>
        <v>7.8170000000000002</v>
      </c>
      <c r="G202" s="10">
        <f>CHOOSE(CONTROL!$C$42, 7.8319, 7.8319)*CHOOSE(CONTROL!$C$21, $C$9, 100%, $E$9)</f>
        <v>7.8319000000000001</v>
      </c>
      <c r="H202" s="10">
        <f>CHOOSE(CONTROL!$C$42, 8.0704, 8.0704) * CHOOSE(CONTROL!$C$21, $C$9, 100%, $E$9)</f>
        <v>8.0703999999999994</v>
      </c>
      <c r="I202" s="10">
        <f>CHOOSE(CONTROL!$C$42, 7.84, 7.84)* CHOOSE(CONTROL!$C$21, $C$9, 100%, $E$9)</f>
        <v>7.84</v>
      </c>
      <c r="J202" s="10">
        <f>CHOOSE(CONTROL!$C$42, 7.81, 7.81)* CHOOSE(CONTROL!$C$21, $C$9, 100%, $E$9)</f>
        <v>7.81</v>
      </c>
      <c r="K202" s="53">
        <f>CHOOSE(CONTROL!$C$42, 7.8361, 7.8361) * CHOOSE(CONTROL!$C$21, $C$9, 100%, $E$9)</f>
        <v>7.8361000000000001</v>
      </c>
      <c r="L202" s="10">
        <f>CHOOSE(CONTROL!$C$42, 8.6574, 8.6574) * CHOOSE(CONTROL!$C$21, $C$9, 100%, $E$9)</f>
        <v>8.6574000000000009</v>
      </c>
      <c r="M202" s="10">
        <f>CHOOSE(CONTROL!$C$42, 7.745, 7.745) * CHOOSE(CONTROL!$C$21, $C$9, 100%, $E$9)</f>
        <v>7.7450000000000001</v>
      </c>
      <c r="N202" s="10">
        <f>CHOOSE(CONTROL!$C$42, 7.7598, 7.7598) * CHOOSE(CONTROL!$C$21, $C$9, 100%, $E$9)</f>
        <v>7.7598000000000003</v>
      </c>
      <c r="O202" s="10">
        <f>CHOOSE(CONTROL!$C$42, 8.0028, 8.0028) * CHOOSE(CONTROL!$C$21, $C$9, 100%, $E$9)</f>
        <v>8.0028000000000006</v>
      </c>
      <c r="P202" s="10">
        <f>CHOOSE(CONTROL!$C$42, 7.7748, 7.7748) * CHOOSE(CONTROL!$C$21, $C$9, 100%, $E$9)</f>
        <v>7.7747999999999999</v>
      </c>
      <c r="Q202" s="10">
        <f>CHOOSE(CONTROL!$C$42, 8.5981, 8.5981) * CHOOSE(CONTROL!$C$21, $C$9, 100%, $E$9)</f>
        <v>8.5981000000000005</v>
      </c>
      <c r="R202" s="10">
        <f>CHOOSE(CONTROL!$C$42, 9.2066, 9.2066) * CHOOSE(CONTROL!$C$21, $C$9, 100%, $E$9)</f>
        <v>9.2065999999999999</v>
      </c>
      <c r="S202" s="10">
        <f>CHOOSE(CONTROL!$C$42, 7.6092, 7.6092) * CHOOSE(CONTROL!$C$21, $C$9, 100%, $E$9)</f>
        <v>7.6092000000000004</v>
      </c>
      <c r="T2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57">
        <f>(1000*CHOOSE(CONTROL!$C$42, 695, 695)*CHOOSE(CONTROL!$C$42, 0.5599, 0.5599)*CHOOSE(CONTROL!$C$42, 31, 31))/1000000</f>
        <v>12.063045499999998</v>
      </c>
      <c r="V202" s="57">
        <f>(1000*CHOOSE(CONTROL!$C$42, 500, 500)*CHOOSE(CONTROL!$C$42, 0.275, 0.275)*CHOOSE(CONTROL!$C$42, 31, 31))/1000000</f>
        <v>4.2625000000000002</v>
      </c>
      <c r="W202" s="57">
        <f>(1000*CHOOSE(CONTROL!$C$42, 0.1146, 0.1146)*CHOOSE(CONTROL!$C$42, 121.5, 121.5)*CHOOSE(CONTROL!$C$42, 31, 31))/1000000</f>
        <v>0.43164089999999994</v>
      </c>
      <c r="X202" s="57">
        <f>(31*0.1790888*245000/1000000)+(31*0.2374*100000/1000000)</f>
        <v>2.0961194359999999</v>
      </c>
      <c r="Y202" s="57"/>
      <c r="Z202" s="10"/>
      <c r="AA202" s="56"/>
      <c r="AB202" s="50">
        <f>(B202*131.881+C202*277.167+D202*79.08+E202*125.872+F202*40+G202*185+H202*0+I202*100+J202*300)/(131.881+277.167+79.08+125.872+0+40+185+100+300)</f>
        <v>7.8691985171912817</v>
      </c>
      <c r="AC202" s="45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7.8250273381294964</v>
      </c>
    </row>
    <row r="203" spans="1:29" ht="15.75" x14ac:dyDescent="0.25">
      <c r="A203" s="16">
        <v>47058</v>
      </c>
      <c r="B203" s="10">
        <f>CHOOSE(CONTROL!$C$42, 8.0442, 8.0442) * CHOOSE(CONTROL!$C$21, $C$9, 100%, $E$9)</f>
        <v>8.0442</v>
      </c>
      <c r="C203" s="10">
        <f>CHOOSE(CONTROL!$C$42, 8.0492, 8.0492) * CHOOSE(CONTROL!$C$21, $C$9, 100%, $E$9)</f>
        <v>8.0492000000000008</v>
      </c>
      <c r="D203" s="10">
        <f>CHOOSE(CONTROL!$C$42, 8.1097, 8.1097) * CHOOSE(CONTROL!$C$21, $C$9, 100%, $E$9)</f>
        <v>8.1097000000000001</v>
      </c>
      <c r="E203" s="10">
        <f>CHOOSE(CONTROL!$C$42, 8.1435, 8.1435) * CHOOSE(CONTROL!$C$21, $C$9, 100%, $E$9)</f>
        <v>8.1434999999999995</v>
      </c>
      <c r="F203" s="10">
        <f>CHOOSE(CONTROL!$C$42, 8.0399, 8.0399)*CHOOSE(CONTROL!$C$21, $C$9, 100%, $E$9)</f>
        <v>8.0398999999999994</v>
      </c>
      <c r="G203" s="10">
        <f>CHOOSE(CONTROL!$C$42, 8.0551, 8.0551)*CHOOSE(CONTROL!$C$21, $C$9, 100%, $E$9)</f>
        <v>8.0550999999999995</v>
      </c>
      <c r="H203" s="10">
        <f>CHOOSE(CONTROL!$C$42, 8.1326, 8.1326) * CHOOSE(CONTROL!$C$21, $C$9, 100%, $E$9)</f>
        <v>8.1326000000000001</v>
      </c>
      <c r="I203" s="10">
        <f>CHOOSE(CONTROL!$C$42, 8.0567, 8.0567)* CHOOSE(CONTROL!$C$21, $C$9, 100%, $E$9)</f>
        <v>8.0566999999999993</v>
      </c>
      <c r="J203" s="10">
        <f>CHOOSE(CONTROL!$C$42, 8.0329, 8.0329)* CHOOSE(CONTROL!$C$21, $C$9, 100%, $E$9)</f>
        <v>8.0328999999999997</v>
      </c>
      <c r="K203" s="53">
        <f>CHOOSE(CONTROL!$C$42, 8.0528, 8.0528) * CHOOSE(CONTROL!$C$21, $C$9, 100%, $E$9)</f>
        <v>8.0527999999999995</v>
      </c>
      <c r="L203" s="10">
        <f>CHOOSE(CONTROL!$C$42, 8.7196, 8.7196) * CHOOSE(CONTROL!$C$21, $C$9, 100%, $E$9)</f>
        <v>8.7195999999999998</v>
      </c>
      <c r="M203" s="10">
        <f>CHOOSE(CONTROL!$C$42, 7.9656, 7.9656) * CHOOSE(CONTROL!$C$21, $C$9, 100%, $E$9)</f>
        <v>7.9656000000000002</v>
      </c>
      <c r="N203" s="10">
        <f>CHOOSE(CONTROL!$C$42, 7.9807, 7.9807) * CHOOSE(CONTROL!$C$21, $C$9, 100%, $E$9)</f>
        <v>7.9806999999999997</v>
      </c>
      <c r="O203" s="10">
        <f>CHOOSE(CONTROL!$C$42, 8.0644, 8.0644) * CHOOSE(CONTROL!$C$21, $C$9, 100%, $E$9)</f>
        <v>8.0643999999999991</v>
      </c>
      <c r="P203" s="10">
        <f>CHOOSE(CONTROL!$C$42, 7.9893, 7.9893) * CHOOSE(CONTROL!$C$21, $C$9, 100%, $E$9)</f>
        <v>7.9893000000000001</v>
      </c>
      <c r="Q203" s="10">
        <f>CHOOSE(CONTROL!$C$42, 8.6597, 8.6597) * CHOOSE(CONTROL!$C$21, $C$9, 100%, $E$9)</f>
        <v>8.6597000000000008</v>
      </c>
      <c r="R203" s="10">
        <f>CHOOSE(CONTROL!$C$42, 9.2684, 9.2684) * CHOOSE(CONTROL!$C$21, $C$9, 100%, $E$9)</f>
        <v>9.2683999999999997</v>
      </c>
      <c r="S203" s="10">
        <f>CHOOSE(CONTROL!$C$42, 7.8096, 7.8096) * CHOOSE(CONTROL!$C$21, $C$9, 100%, $E$9)</f>
        <v>7.8095999999999997</v>
      </c>
      <c r="T2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57">
        <f>(1000*CHOOSE(CONTROL!$C$42, 695, 695)*CHOOSE(CONTROL!$C$42, 0.5599, 0.5599)*CHOOSE(CONTROL!$C$42, 30, 30))/1000000</f>
        <v>11.673914999999997</v>
      </c>
      <c r="V203" s="57">
        <f>(1000*CHOOSE(CONTROL!$C$42, 500, 500)*CHOOSE(CONTROL!$C$42, 0.275, 0.275)*CHOOSE(CONTROL!$C$42, 30, 30))/1000000</f>
        <v>4.125</v>
      </c>
      <c r="W203" s="57">
        <f>(1000*CHOOSE(CONTROL!$C$42, 0.1146, 0.1146)*CHOOSE(CONTROL!$C$42, 121.5, 121.5)*CHOOSE(CONTROL!$C$42, 30, 30))/1000000</f>
        <v>0.417717</v>
      </c>
      <c r="X203" s="57">
        <f>(30*0.1790888*100000/1000000)+(30*0.2374*100000/1000000)</f>
        <v>1.2494664</v>
      </c>
      <c r="Y203" s="57"/>
      <c r="Z203" s="10"/>
      <c r="AA203" s="56"/>
      <c r="AB203" s="50">
        <f>(B203*122.58+C203*297.941+D203*89.177+E203*40.302+F203*40+G203*160+H203*0+I203*100+J203*300)/(122.58+297.941+89.177+40.302+0+40+160+100+300)</f>
        <v>8.0535606844347836</v>
      </c>
      <c r="AC203" s="45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8.0146589928057548</v>
      </c>
    </row>
    <row r="204" spans="1:29" ht="15.75" x14ac:dyDescent="0.25">
      <c r="A204" s="16">
        <v>47088</v>
      </c>
      <c r="B204" s="10">
        <f>CHOOSE(CONTROL!$C$42, 8.5925, 8.5925) * CHOOSE(CONTROL!$C$21, $C$9, 100%, $E$9)</f>
        <v>8.5924999999999994</v>
      </c>
      <c r="C204" s="10">
        <f>CHOOSE(CONTROL!$C$42, 8.5974, 8.5974) * CHOOSE(CONTROL!$C$21, $C$9, 100%, $E$9)</f>
        <v>8.5974000000000004</v>
      </c>
      <c r="D204" s="10">
        <f>CHOOSE(CONTROL!$C$42, 8.6579, 8.6579) * CHOOSE(CONTROL!$C$21, $C$9, 100%, $E$9)</f>
        <v>8.6578999999999997</v>
      </c>
      <c r="E204" s="10">
        <f>CHOOSE(CONTROL!$C$42, 8.6917, 8.6917) * CHOOSE(CONTROL!$C$21, $C$9, 100%, $E$9)</f>
        <v>8.6917000000000009</v>
      </c>
      <c r="F204" s="10">
        <f>CHOOSE(CONTROL!$C$42, 8.5899, 8.5899)*CHOOSE(CONTROL!$C$21, $C$9, 100%, $E$9)</f>
        <v>8.5899000000000001</v>
      </c>
      <c r="G204" s="10">
        <f>CHOOSE(CONTROL!$C$42, 8.6056, 8.6056)*CHOOSE(CONTROL!$C$21, $C$9, 100%, $E$9)</f>
        <v>8.6056000000000008</v>
      </c>
      <c r="H204" s="10">
        <f>CHOOSE(CONTROL!$C$42, 8.6809, 8.6809) * CHOOSE(CONTROL!$C$21, $C$9, 100%, $E$9)</f>
        <v>8.6808999999999994</v>
      </c>
      <c r="I204" s="10">
        <f>CHOOSE(CONTROL!$C$42, 8.605, 8.605)* CHOOSE(CONTROL!$C$21, $C$9, 100%, $E$9)</f>
        <v>8.6050000000000004</v>
      </c>
      <c r="J204" s="10">
        <f>CHOOSE(CONTROL!$C$42, 8.5829, 8.5829)* CHOOSE(CONTROL!$C$21, $C$9, 100%, $E$9)</f>
        <v>8.5829000000000004</v>
      </c>
      <c r="K204" s="53">
        <f>CHOOSE(CONTROL!$C$42, 8.6011, 8.6011) * CHOOSE(CONTROL!$C$21, $C$9, 100%, $E$9)</f>
        <v>8.6011000000000006</v>
      </c>
      <c r="L204" s="10">
        <f>CHOOSE(CONTROL!$C$42, 9.2679, 9.2679) * CHOOSE(CONTROL!$C$21, $C$9, 100%, $E$9)</f>
        <v>9.2678999999999991</v>
      </c>
      <c r="M204" s="10">
        <f>CHOOSE(CONTROL!$C$42, 8.5101, 8.5101) * CHOOSE(CONTROL!$C$21, $C$9, 100%, $E$9)</f>
        <v>8.5100999999999996</v>
      </c>
      <c r="N204" s="10">
        <f>CHOOSE(CONTROL!$C$42, 8.5257, 8.5257) * CHOOSE(CONTROL!$C$21, $C$9, 100%, $E$9)</f>
        <v>8.5257000000000005</v>
      </c>
      <c r="O204" s="10">
        <f>CHOOSE(CONTROL!$C$42, 8.6071, 8.6071) * CHOOSE(CONTROL!$C$21, $C$9, 100%, $E$9)</f>
        <v>8.6071000000000009</v>
      </c>
      <c r="P204" s="10">
        <f>CHOOSE(CONTROL!$C$42, 8.532, 8.532) * CHOOSE(CONTROL!$C$21, $C$9, 100%, $E$9)</f>
        <v>8.532</v>
      </c>
      <c r="Q204" s="10">
        <f>CHOOSE(CONTROL!$C$42, 9.2024, 9.2024) * CHOOSE(CONTROL!$C$21, $C$9, 100%, $E$9)</f>
        <v>9.2024000000000008</v>
      </c>
      <c r="R204" s="10">
        <f>CHOOSE(CONTROL!$C$42, 9.8124, 9.8124) * CHOOSE(CONTROL!$C$21, $C$9, 100%, $E$9)</f>
        <v>9.8124000000000002</v>
      </c>
      <c r="S204" s="10">
        <f>CHOOSE(CONTROL!$C$42, 8.342, 8.342) * CHOOSE(CONTROL!$C$21, $C$9, 100%, $E$9)</f>
        <v>8.3420000000000005</v>
      </c>
      <c r="T2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57">
        <f>(1000*CHOOSE(CONTROL!$C$42, 695, 695)*CHOOSE(CONTROL!$C$42, 0.5599, 0.5599)*CHOOSE(CONTROL!$C$42, 31, 31))/1000000</f>
        <v>12.063045499999998</v>
      </c>
      <c r="V204" s="57">
        <f>(1000*CHOOSE(CONTROL!$C$42, 500, 500)*CHOOSE(CONTROL!$C$42, 0.275, 0.275)*CHOOSE(CONTROL!$C$42, 31, 31))/1000000</f>
        <v>4.2625000000000002</v>
      </c>
      <c r="W204" s="57">
        <f>(1000*CHOOSE(CONTROL!$C$42, 0.1146, 0.1146)*CHOOSE(CONTROL!$C$42, 121.5, 121.5)*CHOOSE(CONTROL!$C$42, 31, 31))/1000000</f>
        <v>0.43164089999999994</v>
      </c>
      <c r="X204" s="57">
        <f>(31*0.1790888*100000/1000000)+(31*0.2374*100000/1000000)</f>
        <v>1.2911152800000001</v>
      </c>
      <c r="Y204" s="57"/>
      <c r="Z204" s="10"/>
      <c r="AA204" s="56"/>
      <c r="AB204" s="50">
        <f>(B204*122.58+C204*297.941+D204*89.177+E204*40.302+F204*40+G204*160+H204*0+I204*100+J204*300)/(122.58+297.941+89.177+40.302+0+40+160+100+300)</f>
        <v>8.6026322131304358</v>
      </c>
      <c r="AC204" s="45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8.5581129496402877</v>
      </c>
    </row>
    <row r="205" spans="1:29" ht="15.75" x14ac:dyDescent="0.25">
      <c r="A205" s="16">
        <v>47119</v>
      </c>
      <c r="B205" s="10">
        <f>CHOOSE(CONTROL!$C$42, 9.2769, 9.2769) * CHOOSE(CONTROL!$C$21, $C$9, 100%, $E$9)</f>
        <v>9.2768999999999995</v>
      </c>
      <c r="C205" s="10">
        <f>CHOOSE(CONTROL!$C$42, 9.2818, 9.2818) * CHOOSE(CONTROL!$C$21, $C$9, 100%, $E$9)</f>
        <v>9.2818000000000005</v>
      </c>
      <c r="D205" s="10">
        <f>CHOOSE(CONTROL!$C$42, 9.3389, 9.3389) * CHOOSE(CONTROL!$C$21, $C$9, 100%, $E$9)</f>
        <v>9.3389000000000006</v>
      </c>
      <c r="E205" s="10">
        <f>CHOOSE(CONTROL!$C$42, 9.3727, 9.3727) * CHOOSE(CONTROL!$C$21, $C$9, 100%, $E$9)</f>
        <v>9.3727</v>
      </c>
      <c r="F205" s="10">
        <f>CHOOSE(CONTROL!$C$42, 9.2747, 9.2747)*CHOOSE(CONTROL!$C$21, $C$9, 100%, $E$9)</f>
        <v>9.2746999999999993</v>
      </c>
      <c r="G205" s="10">
        <f>CHOOSE(CONTROL!$C$42, 9.2893, 9.2893)*CHOOSE(CONTROL!$C$21, $C$9, 100%, $E$9)</f>
        <v>9.2893000000000008</v>
      </c>
      <c r="H205" s="10">
        <f>CHOOSE(CONTROL!$C$42, 9.3618, 9.3618) * CHOOSE(CONTROL!$C$21, $C$9, 100%, $E$9)</f>
        <v>9.3618000000000006</v>
      </c>
      <c r="I205" s="10">
        <f>CHOOSE(CONTROL!$C$42, 9.2876, 9.2876)* CHOOSE(CONTROL!$C$21, $C$9, 100%, $E$9)</f>
        <v>9.2875999999999994</v>
      </c>
      <c r="J205" s="10">
        <f>CHOOSE(CONTROL!$C$42, 9.2677, 9.2677)* CHOOSE(CONTROL!$C$21, $C$9, 100%, $E$9)</f>
        <v>9.2676999999999996</v>
      </c>
      <c r="K205" s="53">
        <f>CHOOSE(CONTROL!$C$42, 9.2838, 9.2838) * CHOOSE(CONTROL!$C$21, $C$9, 100%, $E$9)</f>
        <v>9.2837999999999994</v>
      </c>
      <c r="L205" s="10">
        <f>CHOOSE(CONTROL!$C$42, 9.9488, 9.9488) * CHOOSE(CONTROL!$C$21, $C$9, 100%, $E$9)</f>
        <v>9.9488000000000003</v>
      </c>
      <c r="M205" s="10">
        <f>CHOOSE(CONTROL!$C$42, 9.188, 9.188) * CHOOSE(CONTROL!$C$21, $C$9, 100%, $E$9)</f>
        <v>9.1880000000000006</v>
      </c>
      <c r="N205" s="10">
        <f>CHOOSE(CONTROL!$C$42, 9.2024, 9.2024) * CHOOSE(CONTROL!$C$21, $C$9, 100%, $E$9)</f>
        <v>9.2024000000000008</v>
      </c>
      <c r="O205" s="10">
        <f>CHOOSE(CONTROL!$C$42, 9.2812, 9.2812) * CHOOSE(CONTROL!$C$21, $C$9, 100%, $E$9)</f>
        <v>9.2812000000000001</v>
      </c>
      <c r="P205" s="10">
        <f>CHOOSE(CONTROL!$C$42, 9.2078, 9.2078) * CHOOSE(CONTROL!$C$21, $C$9, 100%, $E$9)</f>
        <v>9.2078000000000007</v>
      </c>
      <c r="Q205" s="10">
        <f>CHOOSE(CONTROL!$C$42, 9.8765, 9.8765) * CHOOSE(CONTROL!$C$21, $C$9, 100%, $E$9)</f>
        <v>9.8765000000000001</v>
      </c>
      <c r="R205" s="10">
        <f>CHOOSE(CONTROL!$C$42, 10.4882, 10.4882) * CHOOSE(CONTROL!$C$21, $C$9, 100%, $E$9)</f>
        <v>10.488200000000001</v>
      </c>
      <c r="S205" s="10">
        <f>CHOOSE(CONTROL!$C$42, 9.0066, 9.0066) * CHOOSE(CONTROL!$C$21, $C$9, 100%, $E$9)</f>
        <v>9.0066000000000006</v>
      </c>
      <c r="T2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57">
        <f>(1000*CHOOSE(CONTROL!$C$42, 695, 695)*CHOOSE(CONTROL!$C$42, 0.5599, 0.5599)*CHOOSE(CONTROL!$C$42, 31, 31))/1000000</f>
        <v>12.063045499999998</v>
      </c>
      <c r="V205" s="57">
        <f>(1000*CHOOSE(CONTROL!$C$42, 500, 500)*CHOOSE(CONTROL!$C$42, 0.275, 0.275)*CHOOSE(CONTROL!$C$42, 31, 31))/1000000</f>
        <v>4.2625000000000002</v>
      </c>
      <c r="W205" s="57">
        <f>(1000*CHOOSE(CONTROL!$C$42, 0.1146, 0.1146)*CHOOSE(CONTROL!$C$42, 121.5, 121.5)*CHOOSE(CONTROL!$C$42, 31, 31))/1000000</f>
        <v>0.43164089999999994</v>
      </c>
      <c r="X205" s="57">
        <f>(31*0.1790888*100000/1000000)+(31*0.2374*100000/1000000)</f>
        <v>1.2911152800000001</v>
      </c>
      <c r="Y205" s="57"/>
      <c r="Z205" s="10"/>
      <c r="AA205" s="56"/>
      <c r="AB205" s="50">
        <f>(B205*122.58+C205*297.941+D205*89.177+E205*40.302+F205*40+G205*160+H205*0+I205*100+J205*300)/(122.58+297.941+89.177+40.302+0+40+160+100+300)</f>
        <v>9.2865137534782605</v>
      </c>
      <c r="AC205" s="45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9.2339194244604315</v>
      </c>
    </row>
    <row r="206" spans="1:29" ht="15.75" x14ac:dyDescent="0.25">
      <c r="A206" s="16">
        <v>47150</v>
      </c>
      <c r="B206" s="10">
        <f>CHOOSE(CONTROL!$C$42, 9.4419, 9.4419) * CHOOSE(CONTROL!$C$21, $C$9, 100%, $E$9)</f>
        <v>9.4419000000000004</v>
      </c>
      <c r="C206" s="10">
        <f>CHOOSE(CONTROL!$C$42, 9.4469, 9.4469) * CHOOSE(CONTROL!$C$21, $C$9, 100%, $E$9)</f>
        <v>9.4468999999999994</v>
      </c>
      <c r="D206" s="10">
        <f>CHOOSE(CONTROL!$C$42, 9.504, 9.504) * CHOOSE(CONTROL!$C$21, $C$9, 100%, $E$9)</f>
        <v>9.5039999999999996</v>
      </c>
      <c r="E206" s="10">
        <f>CHOOSE(CONTROL!$C$42, 9.5377, 9.5377) * CHOOSE(CONTROL!$C$21, $C$9, 100%, $E$9)</f>
        <v>9.5376999999999992</v>
      </c>
      <c r="F206" s="10">
        <f>CHOOSE(CONTROL!$C$42, 9.4399, 9.4399)*CHOOSE(CONTROL!$C$21, $C$9, 100%, $E$9)</f>
        <v>9.4398999999999997</v>
      </c>
      <c r="G206" s="10">
        <f>CHOOSE(CONTROL!$C$42, 9.4545, 9.4545)*CHOOSE(CONTROL!$C$21, $C$9, 100%, $E$9)</f>
        <v>9.4544999999999995</v>
      </c>
      <c r="H206" s="10">
        <f>CHOOSE(CONTROL!$C$42, 9.5269, 9.5269) * CHOOSE(CONTROL!$C$21, $C$9, 100%, $E$9)</f>
        <v>9.5268999999999995</v>
      </c>
      <c r="I206" s="10">
        <f>CHOOSE(CONTROL!$C$42, 9.4527, 9.4527)* CHOOSE(CONTROL!$C$21, $C$9, 100%, $E$9)</f>
        <v>9.4527000000000001</v>
      </c>
      <c r="J206" s="10">
        <f>CHOOSE(CONTROL!$C$42, 9.4329, 9.4329)* CHOOSE(CONTROL!$C$21, $C$9, 100%, $E$9)</f>
        <v>9.4329000000000001</v>
      </c>
      <c r="K206" s="53">
        <f>CHOOSE(CONTROL!$C$42, 9.4488, 9.4488) * CHOOSE(CONTROL!$C$21, $C$9, 100%, $E$9)</f>
        <v>9.4488000000000003</v>
      </c>
      <c r="L206" s="10">
        <f>CHOOSE(CONTROL!$C$42, 10.1139, 10.1139) * CHOOSE(CONTROL!$C$21, $C$9, 100%, $E$9)</f>
        <v>10.113899999999999</v>
      </c>
      <c r="M206" s="10">
        <f>CHOOSE(CONTROL!$C$42, 9.3515, 9.3515) * CHOOSE(CONTROL!$C$21, $C$9, 100%, $E$9)</f>
        <v>9.3514999999999997</v>
      </c>
      <c r="N206" s="10">
        <f>CHOOSE(CONTROL!$C$42, 9.366, 9.366) * CHOOSE(CONTROL!$C$21, $C$9, 100%, $E$9)</f>
        <v>9.3659999999999997</v>
      </c>
      <c r="O206" s="10">
        <f>CHOOSE(CONTROL!$C$42, 9.4446, 9.4446) * CHOOSE(CONTROL!$C$21, $C$9, 100%, $E$9)</f>
        <v>9.4445999999999994</v>
      </c>
      <c r="P206" s="10">
        <f>CHOOSE(CONTROL!$C$42, 9.3712, 9.3712) * CHOOSE(CONTROL!$C$21, $C$9, 100%, $E$9)</f>
        <v>9.3712</v>
      </c>
      <c r="Q206" s="10">
        <f>CHOOSE(CONTROL!$C$42, 10.0399, 10.0399) * CHOOSE(CONTROL!$C$21, $C$9, 100%, $E$9)</f>
        <v>10.039899999999999</v>
      </c>
      <c r="R206" s="10">
        <f>CHOOSE(CONTROL!$C$42, 10.652, 10.652) * CHOOSE(CONTROL!$C$21, $C$9, 100%, $E$9)</f>
        <v>10.651999999999999</v>
      </c>
      <c r="S206" s="10">
        <f>CHOOSE(CONTROL!$C$42, 9.1669, 9.1669) * CHOOSE(CONTROL!$C$21, $C$9, 100%, $E$9)</f>
        <v>9.1669</v>
      </c>
      <c r="T2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57">
        <f>(1000*CHOOSE(CONTROL!$C$42, 695, 695)*CHOOSE(CONTROL!$C$42, 0.5599, 0.5599)*CHOOSE(CONTROL!$C$42, 28, 28))/1000000</f>
        <v>10.895653999999999</v>
      </c>
      <c r="V206" s="57">
        <f>(1000*CHOOSE(CONTROL!$C$42, 500, 500)*CHOOSE(CONTROL!$C$42, 0.275, 0.275)*CHOOSE(CONTROL!$C$42, 28, 28))/1000000</f>
        <v>3.85</v>
      </c>
      <c r="W206" s="57">
        <f>(1000*CHOOSE(CONTROL!$C$42, 0.1146, 0.1146)*CHOOSE(CONTROL!$C$42, 121.5, 121.5)*CHOOSE(CONTROL!$C$42, 28, 28))/1000000</f>
        <v>0.38986920000000003</v>
      </c>
      <c r="X206" s="57">
        <f>(28*0.1790888*100000/1000000)+(28*0.2374*100000/1000000)</f>
        <v>1.16616864</v>
      </c>
      <c r="Y206" s="57"/>
      <c r="Z206" s="10"/>
      <c r="AA206" s="56"/>
      <c r="AB206" s="50">
        <f>(B206*122.58+C206*297.941+D206*89.177+E206*40.302+F206*40+G206*160+H206*0+I206*100+J206*300)/(122.58+297.941+89.177+40.302+0+40+160+100+300)</f>
        <v>9.4516430680869554</v>
      </c>
      <c r="AC206" s="45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9.3973654676258995</v>
      </c>
    </row>
    <row r="207" spans="1:29" ht="15.75" x14ac:dyDescent="0.25">
      <c r="A207" s="16">
        <v>47178</v>
      </c>
      <c r="B207" s="10">
        <f>CHOOSE(CONTROL!$C$42, 9.174, 9.174) * CHOOSE(CONTROL!$C$21, $C$9, 100%, $E$9)</f>
        <v>9.1739999999999995</v>
      </c>
      <c r="C207" s="10">
        <f>CHOOSE(CONTROL!$C$42, 9.1789, 9.1789) * CHOOSE(CONTROL!$C$21, $C$9, 100%, $E$9)</f>
        <v>9.1789000000000005</v>
      </c>
      <c r="D207" s="10">
        <f>CHOOSE(CONTROL!$C$42, 9.236, 9.236) * CHOOSE(CONTROL!$C$21, $C$9, 100%, $E$9)</f>
        <v>9.2360000000000007</v>
      </c>
      <c r="E207" s="10">
        <f>CHOOSE(CONTROL!$C$42, 9.2698, 9.2698) * CHOOSE(CONTROL!$C$21, $C$9, 100%, $E$9)</f>
        <v>9.2698</v>
      </c>
      <c r="F207" s="10">
        <f>CHOOSE(CONTROL!$C$42, 9.1718, 9.1718)*CHOOSE(CONTROL!$C$21, $C$9, 100%, $E$9)</f>
        <v>9.1717999999999993</v>
      </c>
      <c r="G207" s="10">
        <f>CHOOSE(CONTROL!$C$42, 9.1864, 9.1864)*CHOOSE(CONTROL!$C$21, $C$9, 100%, $E$9)</f>
        <v>9.1864000000000008</v>
      </c>
      <c r="H207" s="10">
        <f>CHOOSE(CONTROL!$C$42, 9.259, 9.259) * CHOOSE(CONTROL!$C$21, $C$9, 100%, $E$9)</f>
        <v>9.2590000000000003</v>
      </c>
      <c r="I207" s="10">
        <f>CHOOSE(CONTROL!$C$42, 9.1848, 9.1848)* CHOOSE(CONTROL!$C$21, $C$9, 100%, $E$9)</f>
        <v>9.1847999999999992</v>
      </c>
      <c r="J207" s="10">
        <f>CHOOSE(CONTROL!$C$42, 9.1648, 9.1648)* CHOOSE(CONTROL!$C$21, $C$9, 100%, $E$9)</f>
        <v>9.1647999999999996</v>
      </c>
      <c r="K207" s="53">
        <f>CHOOSE(CONTROL!$C$42, 9.1809, 9.1809) * CHOOSE(CONTROL!$C$21, $C$9, 100%, $E$9)</f>
        <v>9.1808999999999994</v>
      </c>
      <c r="L207" s="10">
        <f>CHOOSE(CONTROL!$C$42, 9.846, 9.846) * CHOOSE(CONTROL!$C$21, $C$9, 100%, $E$9)</f>
        <v>9.8460000000000001</v>
      </c>
      <c r="M207" s="10">
        <f>CHOOSE(CONTROL!$C$42, 9.0861, 9.0861) * CHOOSE(CONTROL!$C$21, $C$9, 100%, $E$9)</f>
        <v>9.0861000000000001</v>
      </c>
      <c r="N207" s="10">
        <f>CHOOSE(CONTROL!$C$42, 9.1006, 9.1006) * CHOOSE(CONTROL!$C$21, $C$9, 100%, $E$9)</f>
        <v>9.1006</v>
      </c>
      <c r="O207" s="10">
        <f>CHOOSE(CONTROL!$C$42, 9.1793, 9.1793) * CHOOSE(CONTROL!$C$21, $C$9, 100%, $E$9)</f>
        <v>9.1792999999999996</v>
      </c>
      <c r="P207" s="10">
        <f>CHOOSE(CONTROL!$C$42, 9.1059, 9.1059) * CHOOSE(CONTROL!$C$21, $C$9, 100%, $E$9)</f>
        <v>9.1059000000000001</v>
      </c>
      <c r="Q207" s="10">
        <f>CHOOSE(CONTROL!$C$42, 9.7746, 9.7746) * CHOOSE(CONTROL!$C$21, $C$9, 100%, $E$9)</f>
        <v>9.7745999999999995</v>
      </c>
      <c r="R207" s="10">
        <f>CHOOSE(CONTROL!$C$42, 10.3861, 10.3861) * CHOOSE(CONTROL!$C$21, $C$9, 100%, $E$9)</f>
        <v>10.386100000000001</v>
      </c>
      <c r="S207" s="10">
        <f>CHOOSE(CONTROL!$C$42, 8.9067, 8.9067) * CHOOSE(CONTROL!$C$21, $C$9, 100%, $E$9)</f>
        <v>8.9067000000000007</v>
      </c>
      <c r="T2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57">
        <f>(1000*CHOOSE(CONTROL!$C$42, 695, 695)*CHOOSE(CONTROL!$C$42, 0.5599, 0.5599)*CHOOSE(CONTROL!$C$42, 31, 31))/1000000</f>
        <v>12.063045499999998</v>
      </c>
      <c r="V207" s="57">
        <f>(1000*CHOOSE(CONTROL!$C$42, 500, 500)*CHOOSE(CONTROL!$C$42, 0.275, 0.275)*CHOOSE(CONTROL!$C$42, 31, 31))/1000000</f>
        <v>4.2625000000000002</v>
      </c>
      <c r="W207" s="57">
        <f>(1000*CHOOSE(CONTROL!$C$42, 0.1146, 0.1146)*CHOOSE(CONTROL!$C$42, 121.5, 121.5)*CHOOSE(CONTROL!$C$42, 31, 31))/1000000</f>
        <v>0.43164089999999994</v>
      </c>
      <c r="X207" s="57">
        <f>(31*0.1790888*100000/1000000)+(31*0.2374*100000/1000000)</f>
        <v>1.2911152800000001</v>
      </c>
      <c r="Y207" s="57"/>
      <c r="Z207" s="10"/>
      <c r="AA207" s="56"/>
      <c r="AB207" s="50">
        <f>(B207*122.58+C207*297.941+D207*89.177+E207*40.302+F207*40+G207*160+H207*0+I207*100+J207*300)/(122.58+297.941+89.177+40.302+0+40+160+100+300)</f>
        <v>9.1836224491304357</v>
      </c>
      <c r="AC207" s="45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9.1320251798561145</v>
      </c>
    </row>
    <row r="208" spans="1:29" ht="15.75" x14ac:dyDescent="0.25">
      <c r="A208" s="16">
        <v>47209</v>
      </c>
      <c r="B208" s="10">
        <f>CHOOSE(CONTROL!$C$42, 9.1477, 9.1477) * CHOOSE(CONTROL!$C$21, $C$9, 100%, $E$9)</f>
        <v>9.1477000000000004</v>
      </c>
      <c r="C208" s="10">
        <f>CHOOSE(CONTROL!$C$42, 9.152, 9.152) * CHOOSE(CONTROL!$C$21, $C$9, 100%, $E$9)</f>
        <v>9.1519999999999992</v>
      </c>
      <c r="D208" s="10">
        <f>CHOOSE(CONTROL!$C$42, 9.3579, 9.3579) * CHOOSE(CONTROL!$C$21, $C$9, 100%, $E$9)</f>
        <v>9.3579000000000008</v>
      </c>
      <c r="E208" s="10">
        <f>CHOOSE(CONTROL!$C$42, 9.3897, 9.3897) * CHOOSE(CONTROL!$C$21, $C$9, 100%, $E$9)</f>
        <v>9.3896999999999995</v>
      </c>
      <c r="F208" s="10">
        <f>CHOOSE(CONTROL!$C$42, 9.1244, 9.1244)*CHOOSE(CONTROL!$C$21, $C$9, 100%, $E$9)</f>
        <v>9.1243999999999996</v>
      </c>
      <c r="G208" s="10">
        <f>CHOOSE(CONTROL!$C$42, 9.139, 9.139)*CHOOSE(CONTROL!$C$21, $C$9, 100%, $E$9)</f>
        <v>9.1389999999999993</v>
      </c>
      <c r="H208" s="10">
        <f>CHOOSE(CONTROL!$C$42, 9.3795, 9.3795) * CHOOSE(CONTROL!$C$21, $C$9, 100%, $E$9)</f>
        <v>9.3795000000000002</v>
      </c>
      <c r="I208" s="10">
        <f>CHOOSE(CONTROL!$C$42, 9.1491, 9.1491)* CHOOSE(CONTROL!$C$21, $C$9, 100%, $E$9)</f>
        <v>9.1491000000000007</v>
      </c>
      <c r="J208" s="10">
        <f>CHOOSE(CONTROL!$C$42, 9.1174, 9.1174)* CHOOSE(CONTROL!$C$21, $C$9, 100%, $E$9)</f>
        <v>9.1173999999999999</v>
      </c>
      <c r="K208" s="53">
        <f>CHOOSE(CONTROL!$C$42, 9.1452, 9.1452) * CHOOSE(CONTROL!$C$21, $C$9, 100%, $E$9)</f>
        <v>9.1452000000000009</v>
      </c>
      <c r="L208" s="10">
        <f>CHOOSE(CONTROL!$C$42, 9.9665, 9.9665) * CHOOSE(CONTROL!$C$21, $C$9, 100%, $E$9)</f>
        <v>9.9664999999999999</v>
      </c>
      <c r="M208" s="10">
        <f>CHOOSE(CONTROL!$C$42, 9.0393, 9.0393) * CHOOSE(CONTROL!$C$21, $C$9, 100%, $E$9)</f>
        <v>9.0393000000000008</v>
      </c>
      <c r="N208" s="10">
        <f>CHOOSE(CONTROL!$C$42, 9.0536, 9.0536) * CHOOSE(CONTROL!$C$21, $C$9, 100%, $E$9)</f>
        <v>9.0535999999999994</v>
      </c>
      <c r="O208" s="10">
        <f>CHOOSE(CONTROL!$C$42, 9.2987, 9.2987) * CHOOSE(CONTROL!$C$21, $C$9, 100%, $E$9)</f>
        <v>9.2987000000000002</v>
      </c>
      <c r="P208" s="10">
        <f>CHOOSE(CONTROL!$C$42, 9.0706, 9.0706) * CHOOSE(CONTROL!$C$21, $C$9, 100%, $E$9)</f>
        <v>9.0706000000000007</v>
      </c>
      <c r="Q208" s="10">
        <f>CHOOSE(CONTROL!$C$42, 9.894, 9.894) * CHOOSE(CONTROL!$C$21, $C$9, 100%, $E$9)</f>
        <v>9.8940000000000001</v>
      </c>
      <c r="R208" s="10">
        <f>CHOOSE(CONTROL!$C$42, 10.5057, 10.5057) * CHOOSE(CONTROL!$C$21, $C$9, 100%, $E$9)</f>
        <v>10.505699999999999</v>
      </c>
      <c r="S208" s="10">
        <f>CHOOSE(CONTROL!$C$42, 8.8804, 8.8804) * CHOOSE(CONTROL!$C$21, $C$9, 100%, $E$9)</f>
        <v>8.8803999999999998</v>
      </c>
      <c r="T2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57">
        <f>(1000*CHOOSE(CONTROL!$C$42, 695, 695)*CHOOSE(CONTROL!$C$42, 0.5599, 0.5599)*CHOOSE(CONTROL!$C$42, 30, 30))/1000000</f>
        <v>11.673914999999997</v>
      </c>
      <c r="V208" s="57">
        <f>(1000*CHOOSE(CONTROL!$C$42, 500, 500)*CHOOSE(CONTROL!$C$42, 0.275, 0.275)*CHOOSE(CONTROL!$C$42, 30, 30))/1000000</f>
        <v>4.125</v>
      </c>
      <c r="W208" s="57">
        <f>(1000*CHOOSE(CONTROL!$C$42, 0.1146, 0.1146)*CHOOSE(CONTROL!$C$42, 121.5, 121.5)*CHOOSE(CONTROL!$C$42, 30, 30))/1000000</f>
        <v>0.417717</v>
      </c>
      <c r="X208" s="57">
        <f>(30*0.1790888*245000/1000000)+(30*0.2374*100000/1000000)</f>
        <v>2.0285026799999999</v>
      </c>
      <c r="Y208" s="57"/>
      <c r="Z208" s="10"/>
      <c r="AA208" s="56"/>
      <c r="AB208" s="50">
        <f>(B208*141.293+C208*267.993+D208*115.016+E208*89.698+F208*40+G208*185+H208*0+I208*100+J208*300)/(141.293+267.993+115.016+89.698+0+40+185+100+300)</f>
        <v>9.1763877716707025</v>
      </c>
      <c r="AC208" s="45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9.1198769784172669</v>
      </c>
    </row>
    <row r="209" spans="1:29" ht="15.75" x14ac:dyDescent="0.25">
      <c r="A209" s="16">
        <v>47239</v>
      </c>
      <c r="B209" s="10">
        <f>CHOOSE(CONTROL!$C$42, 9.2298, 9.2298) * CHOOSE(CONTROL!$C$21, $C$9, 100%, $E$9)</f>
        <v>9.2297999999999991</v>
      </c>
      <c r="C209" s="10">
        <f>CHOOSE(CONTROL!$C$42, 9.2377, 9.2377) * CHOOSE(CONTROL!$C$21, $C$9, 100%, $E$9)</f>
        <v>9.2377000000000002</v>
      </c>
      <c r="D209" s="10">
        <f>CHOOSE(CONTROL!$C$42, 9.4404, 9.4404) * CHOOSE(CONTROL!$C$21, $C$9, 100%, $E$9)</f>
        <v>9.4404000000000003</v>
      </c>
      <c r="E209" s="10">
        <f>CHOOSE(CONTROL!$C$42, 9.4716, 9.4716) * CHOOSE(CONTROL!$C$21, $C$9, 100%, $E$9)</f>
        <v>9.4716000000000005</v>
      </c>
      <c r="F209" s="10">
        <f>CHOOSE(CONTROL!$C$42, 9.2055, 9.2055)*CHOOSE(CONTROL!$C$21, $C$9, 100%, $E$9)</f>
        <v>9.2055000000000007</v>
      </c>
      <c r="G209" s="10">
        <f>CHOOSE(CONTROL!$C$42, 9.2205, 9.2205)*CHOOSE(CONTROL!$C$21, $C$9, 100%, $E$9)</f>
        <v>9.2204999999999995</v>
      </c>
      <c r="H209" s="10">
        <f>CHOOSE(CONTROL!$C$42, 9.4602, 9.4602) * CHOOSE(CONTROL!$C$21, $C$9, 100%, $E$9)</f>
        <v>9.4602000000000004</v>
      </c>
      <c r="I209" s="10">
        <f>CHOOSE(CONTROL!$C$42, 9.2298, 9.2298)* CHOOSE(CONTROL!$C$21, $C$9, 100%, $E$9)</f>
        <v>9.2297999999999991</v>
      </c>
      <c r="J209" s="10">
        <f>CHOOSE(CONTROL!$C$42, 9.1985, 9.1985)* CHOOSE(CONTROL!$C$21, $C$9, 100%, $E$9)</f>
        <v>9.1984999999999992</v>
      </c>
      <c r="K209" s="53">
        <f>CHOOSE(CONTROL!$C$42, 9.2259, 9.2259) * CHOOSE(CONTROL!$C$21, $C$9, 100%, $E$9)</f>
        <v>9.2258999999999993</v>
      </c>
      <c r="L209" s="10">
        <f>CHOOSE(CONTROL!$C$42, 10.0472, 10.0472) * CHOOSE(CONTROL!$C$21, $C$9, 100%, $E$9)</f>
        <v>10.0472</v>
      </c>
      <c r="M209" s="10">
        <f>CHOOSE(CONTROL!$C$42, 9.1195, 9.1195) * CHOOSE(CONTROL!$C$21, $C$9, 100%, $E$9)</f>
        <v>9.1195000000000004</v>
      </c>
      <c r="N209" s="10">
        <f>CHOOSE(CONTROL!$C$42, 9.1343, 9.1343) * CHOOSE(CONTROL!$C$21, $C$9, 100%, $E$9)</f>
        <v>9.1342999999999996</v>
      </c>
      <c r="O209" s="10">
        <f>CHOOSE(CONTROL!$C$42, 9.3785, 9.3785) * CHOOSE(CONTROL!$C$21, $C$9, 100%, $E$9)</f>
        <v>9.3785000000000007</v>
      </c>
      <c r="P209" s="10">
        <f>CHOOSE(CONTROL!$C$42, 9.1505, 9.1505) * CHOOSE(CONTROL!$C$21, $C$9, 100%, $E$9)</f>
        <v>9.1504999999999992</v>
      </c>
      <c r="Q209" s="10">
        <f>CHOOSE(CONTROL!$C$42, 9.9738, 9.9738) * CHOOSE(CONTROL!$C$21, $C$9, 100%, $E$9)</f>
        <v>9.9738000000000007</v>
      </c>
      <c r="R209" s="10">
        <f>CHOOSE(CONTROL!$C$42, 10.5858, 10.5858) * CHOOSE(CONTROL!$C$21, $C$9, 100%, $E$9)</f>
        <v>10.585800000000001</v>
      </c>
      <c r="S209" s="10">
        <f>CHOOSE(CONTROL!$C$42, 8.9588, 8.9588) * CHOOSE(CONTROL!$C$21, $C$9, 100%, $E$9)</f>
        <v>8.9588000000000001</v>
      </c>
      <c r="T2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57">
        <f>(1000*CHOOSE(CONTROL!$C$42, 695, 695)*CHOOSE(CONTROL!$C$42, 0.5599, 0.5599)*CHOOSE(CONTROL!$C$42, 31, 31))/1000000</f>
        <v>12.063045499999998</v>
      </c>
      <c r="V209" s="57">
        <f>(1000*CHOOSE(CONTROL!$C$42, 500, 500)*CHOOSE(CONTROL!$C$42, 0.275, 0.275)*CHOOSE(CONTROL!$C$42, 31, 31))/1000000</f>
        <v>4.2625000000000002</v>
      </c>
      <c r="W209" s="57">
        <f>(1000*CHOOSE(CONTROL!$C$42, 0.1146, 0.1146)*CHOOSE(CONTROL!$C$42, 121.5, 121.5)*CHOOSE(CONTROL!$C$42, 31, 31))/1000000</f>
        <v>0.43164089999999994</v>
      </c>
      <c r="X209" s="57">
        <f>(31*0.1790888*245000/1000000)+(31*0.2374*100000/1000000)</f>
        <v>2.0961194359999999</v>
      </c>
      <c r="Y209" s="57"/>
      <c r="Z209" s="10"/>
      <c r="AA209" s="56"/>
      <c r="AB209" s="50">
        <f>(B209*194.205+C209*267.466+D209*133.845+E209*53.484+F209*40+G209*185+H209*0+I209*100+J209*300)/(194.205+267.466+133.845+53.484+0+40+185+100+300)</f>
        <v>9.2542510750392459</v>
      </c>
      <c r="AC209" s="45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9.2000366906474831</v>
      </c>
    </row>
    <row r="210" spans="1:29" ht="15.75" x14ac:dyDescent="0.25">
      <c r="A210" s="16">
        <v>47270</v>
      </c>
      <c r="B210" s="10">
        <f>CHOOSE(CONTROL!$C$42, 9.4914, 9.4914) * CHOOSE(CONTROL!$C$21, $C$9, 100%, $E$9)</f>
        <v>9.4914000000000005</v>
      </c>
      <c r="C210" s="10">
        <f>CHOOSE(CONTROL!$C$42, 9.4993, 9.4993) * CHOOSE(CONTROL!$C$21, $C$9, 100%, $E$9)</f>
        <v>9.4992999999999999</v>
      </c>
      <c r="D210" s="10">
        <f>CHOOSE(CONTROL!$C$42, 9.7021, 9.7021) * CHOOSE(CONTROL!$C$21, $C$9, 100%, $E$9)</f>
        <v>9.7020999999999997</v>
      </c>
      <c r="E210" s="10">
        <f>CHOOSE(CONTROL!$C$42, 9.7332, 9.7332) * CHOOSE(CONTROL!$C$21, $C$9, 100%, $E$9)</f>
        <v>9.7332000000000001</v>
      </c>
      <c r="F210" s="10">
        <f>CHOOSE(CONTROL!$C$42, 9.4677, 9.4677)*CHOOSE(CONTROL!$C$21, $C$9, 100%, $E$9)</f>
        <v>9.4677000000000007</v>
      </c>
      <c r="G210" s="10">
        <f>CHOOSE(CONTROL!$C$42, 9.4828, 9.4828)*CHOOSE(CONTROL!$C$21, $C$9, 100%, $E$9)</f>
        <v>9.4827999999999992</v>
      </c>
      <c r="H210" s="10">
        <f>CHOOSE(CONTROL!$C$42, 9.7218, 9.7218) * CHOOSE(CONTROL!$C$21, $C$9, 100%, $E$9)</f>
        <v>9.7218</v>
      </c>
      <c r="I210" s="10">
        <f>CHOOSE(CONTROL!$C$42, 9.4915, 9.4915)* CHOOSE(CONTROL!$C$21, $C$9, 100%, $E$9)</f>
        <v>9.4915000000000003</v>
      </c>
      <c r="J210" s="10">
        <f>CHOOSE(CONTROL!$C$42, 9.4607, 9.4607)* CHOOSE(CONTROL!$C$21, $C$9, 100%, $E$9)</f>
        <v>9.4606999999999992</v>
      </c>
      <c r="K210" s="53">
        <f>CHOOSE(CONTROL!$C$42, 9.4876, 9.4876) * CHOOSE(CONTROL!$C$21, $C$9, 100%, $E$9)</f>
        <v>9.4876000000000005</v>
      </c>
      <c r="L210" s="10">
        <f>CHOOSE(CONTROL!$C$42, 10.3088, 10.3088) * CHOOSE(CONTROL!$C$21, $C$9, 100%, $E$9)</f>
        <v>10.3088</v>
      </c>
      <c r="M210" s="10">
        <f>CHOOSE(CONTROL!$C$42, 9.379, 9.379) * CHOOSE(CONTROL!$C$21, $C$9, 100%, $E$9)</f>
        <v>9.3789999999999996</v>
      </c>
      <c r="N210" s="10">
        <f>CHOOSE(CONTROL!$C$42, 9.394, 9.394) * CHOOSE(CONTROL!$C$21, $C$9, 100%, $E$9)</f>
        <v>9.3940000000000001</v>
      </c>
      <c r="O210" s="10">
        <f>CHOOSE(CONTROL!$C$42, 9.6376, 9.6376) * CHOOSE(CONTROL!$C$21, $C$9, 100%, $E$9)</f>
        <v>9.6376000000000008</v>
      </c>
      <c r="P210" s="10">
        <f>CHOOSE(CONTROL!$C$42, 9.4095, 9.4095) * CHOOSE(CONTROL!$C$21, $C$9, 100%, $E$9)</f>
        <v>9.4094999999999995</v>
      </c>
      <c r="Q210" s="10">
        <f>CHOOSE(CONTROL!$C$42, 10.2329, 10.2329) * CHOOSE(CONTROL!$C$21, $C$9, 100%, $E$9)</f>
        <v>10.232900000000001</v>
      </c>
      <c r="R210" s="10">
        <f>CHOOSE(CONTROL!$C$42, 10.8454, 10.8454) * CHOOSE(CONTROL!$C$21, $C$9, 100%, $E$9)</f>
        <v>10.8454</v>
      </c>
      <c r="S210" s="10">
        <f>CHOOSE(CONTROL!$C$42, 9.2129, 9.2129) * CHOOSE(CONTROL!$C$21, $C$9, 100%, $E$9)</f>
        <v>9.2128999999999994</v>
      </c>
      <c r="T2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57">
        <f>(1000*CHOOSE(CONTROL!$C$42, 695, 695)*CHOOSE(CONTROL!$C$42, 0.5599, 0.5599)*CHOOSE(CONTROL!$C$42, 30, 30))/1000000</f>
        <v>11.673914999999997</v>
      </c>
      <c r="V210" s="57">
        <f>(1000*CHOOSE(CONTROL!$C$42, 500, 500)*CHOOSE(CONTROL!$C$42, 0.275, 0.275)*CHOOSE(CONTROL!$C$42, 30, 30))/1000000</f>
        <v>4.125</v>
      </c>
      <c r="W210" s="57">
        <f>(1000*CHOOSE(CONTROL!$C$42, 0.1146, 0.1146)*CHOOSE(CONTROL!$C$42, 121.5, 121.5)*CHOOSE(CONTROL!$C$42, 30, 30))/1000000</f>
        <v>0.417717</v>
      </c>
      <c r="X210" s="57">
        <f>(30*0.1790888*245000/1000000)+(30*0.2374*100000/1000000)</f>
        <v>2.0285026799999999</v>
      </c>
      <c r="Y210" s="57"/>
      <c r="Z210" s="10"/>
      <c r="AA210" s="56"/>
      <c r="AB210" s="50">
        <f>(B210*194.205+C210*267.466+D210*133.845+E210*53.484+F210*40+G210*185+H210*0+I210*100+J210*300)/(194.205+267.466+133.845+53.484+0+40+185+100+300)</f>
        <v>9.5161312041601249</v>
      </c>
      <c r="AC210" s="45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9.4593985611510796</v>
      </c>
    </row>
    <row r="211" spans="1:29" ht="15.75" x14ac:dyDescent="0.25">
      <c r="A211" s="16">
        <v>47300</v>
      </c>
      <c r="B211" s="10">
        <f>CHOOSE(CONTROL!$C$42, 9.3094, 9.3094) * CHOOSE(CONTROL!$C$21, $C$9, 100%, $E$9)</f>
        <v>9.3094000000000001</v>
      </c>
      <c r="C211" s="10">
        <f>CHOOSE(CONTROL!$C$42, 9.3174, 9.3174) * CHOOSE(CONTROL!$C$21, $C$9, 100%, $E$9)</f>
        <v>9.3173999999999992</v>
      </c>
      <c r="D211" s="10">
        <f>CHOOSE(CONTROL!$C$42, 9.5201, 9.5201) * CHOOSE(CONTROL!$C$21, $C$9, 100%, $E$9)</f>
        <v>9.5200999999999993</v>
      </c>
      <c r="E211" s="10">
        <f>CHOOSE(CONTROL!$C$42, 9.5512, 9.5512) * CHOOSE(CONTROL!$C$21, $C$9, 100%, $E$9)</f>
        <v>9.5511999999999997</v>
      </c>
      <c r="F211" s="10">
        <f>CHOOSE(CONTROL!$C$42, 9.2862, 9.2862)*CHOOSE(CONTROL!$C$21, $C$9, 100%, $E$9)</f>
        <v>9.2861999999999991</v>
      </c>
      <c r="G211" s="10">
        <f>CHOOSE(CONTROL!$C$42, 9.3015, 9.3015)*CHOOSE(CONTROL!$C$21, $C$9, 100%, $E$9)</f>
        <v>9.3015000000000008</v>
      </c>
      <c r="H211" s="10">
        <f>CHOOSE(CONTROL!$C$42, 9.5399, 9.5399) * CHOOSE(CONTROL!$C$21, $C$9, 100%, $E$9)</f>
        <v>9.5398999999999994</v>
      </c>
      <c r="I211" s="10">
        <f>CHOOSE(CONTROL!$C$42, 9.3095, 9.3095)* CHOOSE(CONTROL!$C$21, $C$9, 100%, $E$9)</f>
        <v>9.3094999999999999</v>
      </c>
      <c r="J211" s="10">
        <f>CHOOSE(CONTROL!$C$42, 9.2792, 9.2792)* CHOOSE(CONTROL!$C$21, $C$9, 100%, $E$9)</f>
        <v>9.2791999999999994</v>
      </c>
      <c r="K211" s="53">
        <f>CHOOSE(CONTROL!$C$42, 9.3056, 9.3056) * CHOOSE(CONTROL!$C$21, $C$9, 100%, $E$9)</f>
        <v>9.3056000000000001</v>
      </c>
      <c r="L211" s="10">
        <f>CHOOSE(CONTROL!$C$42, 10.1269, 10.1269) * CHOOSE(CONTROL!$C$21, $C$9, 100%, $E$9)</f>
        <v>10.126899999999999</v>
      </c>
      <c r="M211" s="10">
        <f>CHOOSE(CONTROL!$C$42, 9.1994, 9.1994) * CHOOSE(CONTROL!$C$21, $C$9, 100%, $E$9)</f>
        <v>9.1994000000000007</v>
      </c>
      <c r="N211" s="10">
        <f>CHOOSE(CONTROL!$C$42, 9.2145, 9.2145) * CHOOSE(CONTROL!$C$21, $C$9, 100%, $E$9)</f>
        <v>9.2144999999999992</v>
      </c>
      <c r="O211" s="10">
        <f>CHOOSE(CONTROL!$C$42, 9.4574, 9.4574) * CHOOSE(CONTROL!$C$21, $C$9, 100%, $E$9)</f>
        <v>9.4573999999999998</v>
      </c>
      <c r="P211" s="10">
        <f>CHOOSE(CONTROL!$C$42, 9.2294, 9.2294) * CHOOSE(CONTROL!$C$21, $C$9, 100%, $E$9)</f>
        <v>9.2294</v>
      </c>
      <c r="Q211" s="10">
        <f>CHOOSE(CONTROL!$C$42, 10.0527, 10.0527) * CHOOSE(CONTROL!$C$21, $C$9, 100%, $E$9)</f>
        <v>10.0527</v>
      </c>
      <c r="R211" s="10">
        <f>CHOOSE(CONTROL!$C$42, 10.6648, 10.6648) * CHOOSE(CONTROL!$C$21, $C$9, 100%, $E$9)</f>
        <v>10.6648</v>
      </c>
      <c r="S211" s="10">
        <f>CHOOSE(CONTROL!$C$42, 9.0362, 9.0362) * CHOOSE(CONTROL!$C$21, $C$9, 100%, $E$9)</f>
        <v>9.0361999999999991</v>
      </c>
      <c r="T2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57">
        <f>(1000*CHOOSE(CONTROL!$C$42, 695, 695)*CHOOSE(CONTROL!$C$42, 0.5599, 0.5599)*CHOOSE(CONTROL!$C$42, 31, 31))/1000000</f>
        <v>12.063045499999998</v>
      </c>
      <c r="V211" s="57">
        <f>(1000*CHOOSE(CONTROL!$C$42, 500, 500)*CHOOSE(CONTROL!$C$42, 0.275, 0.275)*CHOOSE(CONTROL!$C$42, 31, 31))/1000000</f>
        <v>4.2625000000000002</v>
      </c>
      <c r="W211" s="57">
        <f>(1000*CHOOSE(CONTROL!$C$42, 0.1146, 0.1146)*CHOOSE(CONTROL!$C$42, 121.5, 121.5)*CHOOSE(CONTROL!$C$42, 31, 31))/1000000</f>
        <v>0.43164089999999994</v>
      </c>
      <c r="X211" s="57">
        <f>(31*0.1790888*245000/1000000)+(31*0.2374*100000/1000000)</f>
        <v>2.0961194359999999</v>
      </c>
      <c r="Y211" s="57"/>
      <c r="Z211" s="10"/>
      <c r="AA211" s="56"/>
      <c r="AB211" s="50">
        <f>(B211*194.205+C211*267.466+D211*133.845+E211*53.484+F211*40+G211*185+H211*0+I211*100+J211*300)/(194.205+267.466+133.845+53.484+0+40+185+100+300)</f>
        <v>9.3343872846938787</v>
      </c>
      <c r="AC211" s="45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9.2795812949640304</v>
      </c>
    </row>
    <row r="212" spans="1:29" ht="15.75" x14ac:dyDescent="0.25">
      <c r="A212" s="16">
        <v>47331</v>
      </c>
      <c r="B212" s="10">
        <f>CHOOSE(CONTROL!$C$42, 8.8499, 8.8499) * CHOOSE(CONTROL!$C$21, $C$9, 100%, $E$9)</f>
        <v>8.8498999999999999</v>
      </c>
      <c r="C212" s="10">
        <f>CHOOSE(CONTROL!$C$42, 8.8578, 8.8578) * CHOOSE(CONTROL!$C$21, $C$9, 100%, $E$9)</f>
        <v>8.8577999999999992</v>
      </c>
      <c r="D212" s="10">
        <f>CHOOSE(CONTROL!$C$42, 9.0605, 9.0605) * CHOOSE(CONTROL!$C$21, $C$9, 100%, $E$9)</f>
        <v>9.0604999999999993</v>
      </c>
      <c r="E212" s="10">
        <f>CHOOSE(CONTROL!$C$42, 9.0917, 9.0917) * CHOOSE(CONTROL!$C$21, $C$9, 100%, $E$9)</f>
        <v>9.0916999999999994</v>
      </c>
      <c r="F212" s="10">
        <f>CHOOSE(CONTROL!$C$42, 8.8268, 8.8268)*CHOOSE(CONTROL!$C$21, $C$9, 100%, $E$9)</f>
        <v>8.8268000000000004</v>
      </c>
      <c r="G212" s="10">
        <f>CHOOSE(CONTROL!$C$42, 8.8421, 8.8421)*CHOOSE(CONTROL!$C$21, $C$9, 100%, $E$9)</f>
        <v>8.8421000000000003</v>
      </c>
      <c r="H212" s="10">
        <f>CHOOSE(CONTROL!$C$42, 9.0803, 9.0803) * CHOOSE(CONTROL!$C$21, $C$9, 100%, $E$9)</f>
        <v>9.0802999999999994</v>
      </c>
      <c r="I212" s="10">
        <f>CHOOSE(CONTROL!$C$42, 8.8499, 8.8499)* CHOOSE(CONTROL!$C$21, $C$9, 100%, $E$9)</f>
        <v>8.8498999999999999</v>
      </c>
      <c r="J212" s="10">
        <f>CHOOSE(CONTROL!$C$42, 8.8198, 8.8198)* CHOOSE(CONTROL!$C$21, $C$9, 100%, $E$9)</f>
        <v>8.8198000000000008</v>
      </c>
      <c r="K212" s="53">
        <f>CHOOSE(CONTROL!$C$42, 8.846, 8.846) * CHOOSE(CONTROL!$C$21, $C$9, 100%, $E$9)</f>
        <v>8.8460000000000001</v>
      </c>
      <c r="L212" s="10">
        <f>CHOOSE(CONTROL!$C$42, 9.6673, 9.6673) * CHOOSE(CONTROL!$C$21, $C$9, 100%, $E$9)</f>
        <v>9.6672999999999991</v>
      </c>
      <c r="M212" s="10">
        <f>CHOOSE(CONTROL!$C$42, 8.7446, 8.7446) * CHOOSE(CONTROL!$C$21, $C$9, 100%, $E$9)</f>
        <v>8.7446000000000002</v>
      </c>
      <c r="N212" s="10">
        <f>CHOOSE(CONTROL!$C$42, 8.7598, 8.7598) * CHOOSE(CONTROL!$C$21, $C$9, 100%, $E$9)</f>
        <v>8.7598000000000003</v>
      </c>
      <c r="O212" s="10">
        <f>CHOOSE(CONTROL!$C$42, 9.0025, 9.0025) * CHOOSE(CONTROL!$C$21, $C$9, 100%, $E$9)</f>
        <v>9.0024999999999995</v>
      </c>
      <c r="P212" s="10">
        <f>CHOOSE(CONTROL!$C$42, 8.7745, 8.7745) * CHOOSE(CONTROL!$C$21, $C$9, 100%, $E$9)</f>
        <v>8.7744999999999997</v>
      </c>
      <c r="Q212" s="10">
        <f>CHOOSE(CONTROL!$C$42, 9.5978, 9.5978) * CHOOSE(CONTROL!$C$21, $C$9, 100%, $E$9)</f>
        <v>9.5977999999999994</v>
      </c>
      <c r="R212" s="10">
        <f>CHOOSE(CONTROL!$C$42, 10.2088, 10.2088) * CHOOSE(CONTROL!$C$21, $C$9, 100%, $E$9)</f>
        <v>10.2088</v>
      </c>
      <c r="S212" s="10">
        <f>CHOOSE(CONTROL!$C$42, 8.5899, 8.5899) * CHOOSE(CONTROL!$C$21, $C$9, 100%, $E$9)</f>
        <v>8.5899000000000001</v>
      </c>
      <c r="T2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57">
        <f>(1000*CHOOSE(CONTROL!$C$42, 695, 695)*CHOOSE(CONTROL!$C$42, 0.5599, 0.5599)*CHOOSE(CONTROL!$C$42, 31, 31))/1000000</f>
        <v>12.063045499999998</v>
      </c>
      <c r="V212" s="57">
        <f>(1000*CHOOSE(CONTROL!$C$42, 500, 500)*CHOOSE(CONTROL!$C$42, 0.275, 0.275)*CHOOSE(CONTROL!$C$42, 31, 31))/1000000</f>
        <v>4.2625000000000002</v>
      </c>
      <c r="W212" s="57">
        <f>(1000*CHOOSE(CONTROL!$C$42, 0.1146, 0.1146)*CHOOSE(CONTROL!$C$42, 121.5, 121.5)*CHOOSE(CONTROL!$C$42, 31, 31))/1000000</f>
        <v>0.43164089999999994</v>
      </c>
      <c r="X212" s="57">
        <f>(31*0.1790888*245000/1000000)+(31*0.2374*100000/1000000)</f>
        <v>2.0961194359999999</v>
      </c>
      <c r="Y212" s="57"/>
      <c r="Z212" s="10"/>
      <c r="AA212" s="56"/>
      <c r="AB212" s="50">
        <f>(B212*194.205+C212*267.466+D212*133.845+E212*53.484+F212*40+G212*185+H212*0+I212*100+J212*300)/(194.205+267.466+133.845+53.484+0+40+185+100+300)</f>
        <v>8.8748891441130304</v>
      </c>
      <c r="AC212" s="45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8.8247618705035968</v>
      </c>
    </row>
    <row r="213" spans="1:29" ht="15.75" x14ac:dyDescent="0.25">
      <c r="A213" s="16">
        <v>47362</v>
      </c>
      <c r="B213" s="10">
        <f>CHOOSE(CONTROL!$C$42, 8.288, 8.288) * CHOOSE(CONTROL!$C$21, $C$9, 100%, $E$9)</f>
        <v>8.2880000000000003</v>
      </c>
      <c r="C213" s="10">
        <f>CHOOSE(CONTROL!$C$42, 8.2959, 8.2959) * CHOOSE(CONTROL!$C$21, $C$9, 100%, $E$9)</f>
        <v>8.2958999999999996</v>
      </c>
      <c r="D213" s="10">
        <f>CHOOSE(CONTROL!$C$42, 8.4986, 8.4986) * CHOOSE(CONTROL!$C$21, $C$9, 100%, $E$9)</f>
        <v>8.4985999999999997</v>
      </c>
      <c r="E213" s="10">
        <f>CHOOSE(CONTROL!$C$42, 8.5298, 8.5298) * CHOOSE(CONTROL!$C$21, $C$9, 100%, $E$9)</f>
        <v>8.5297999999999998</v>
      </c>
      <c r="F213" s="10">
        <f>CHOOSE(CONTROL!$C$42, 8.2648, 8.2648)*CHOOSE(CONTROL!$C$21, $C$9, 100%, $E$9)</f>
        <v>8.2647999999999993</v>
      </c>
      <c r="G213" s="10">
        <f>CHOOSE(CONTROL!$C$42, 8.2801, 8.2801)*CHOOSE(CONTROL!$C$21, $C$9, 100%, $E$9)</f>
        <v>8.2800999999999991</v>
      </c>
      <c r="H213" s="10">
        <f>CHOOSE(CONTROL!$C$42, 8.5184, 8.5184) * CHOOSE(CONTROL!$C$21, $C$9, 100%, $E$9)</f>
        <v>8.5183999999999997</v>
      </c>
      <c r="I213" s="10">
        <f>CHOOSE(CONTROL!$C$42, 8.288, 8.288)* CHOOSE(CONTROL!$C$21, $C$9, 100%, $E$9)</f>
        <v>8.2880000000000003</v>
      </c>
      <c r="J213" s="10">
        <f>CHOOSE(CONTROL!$C$42, 8.2578, 8.2578)* CHOOSE(CONTROL!$C$21, $C$9, 100%, $E$9)</f>
        <v>8.2577999999999996</v>
      </c>
      <c r="K213" s="53">
        <f>CHOOSE(CONTROL!$C$42, 8.2841, 8.2841) * CHOOSE(CONTROL!$C$21, $C$9, 100%, $E$9)</f>
        <v>8.2841000000000005</v>
      </c>
      <c r="L213" s="10">
        <f>CHOOSE(CONTROL!$C$42, 9.1054, 9.1054) * CHOOSE(CONTROL!$C$21, $C$9, 100%, $E$9)</f>
        <v>9.1053999999999995</v>
      </c>
      <c r="M213" s="10">
        <f>CHOOSE(CONTROL!$C$42, 8.1883, 8.1883) * CHOOSE(CONTROL!$C$21, $C$9, 100%, $E$9)</f>
        <v>8.1882999999999999</v>
      </c>
      <c r="N213" s="10">
        <f>CHOOSE(CONTROL!$C$42, 8.2034, 8.2034) * CHOOSE(CONTROL!$C$21, $C$9, 100%, $E$9)</f>
        <v>8.2034000000000002</v>
      </c>
      <c r="O213" s="10">
        <f>CHOOSE(CONTROL!$C$42, 8.4463, 8.4463) * CHOOSE(CONTROL!$C$21, $C$9, 100%, $E$9)</f>
        <v>8.4463000000000008</v>
      </c>
      <c r="P213" s="10">
        <f>CHOOSE(CONTROL!$C$42, 8.2182, 8.2182) * CHOOSE(CONTROL!$C$21, $C$9, 100%, $E$9)</f>
        <v>8.2181999999999995</v>
      </c>
      <c r="Q213" s="10">
        <f>CHOOSE(CONTROL!$C$42, 9.0416, 9.0416) * CHOOSE(CONTROL!$C$21, $C$9, 100%, $E$9)</f>
        <v>9.0416000000000007</v>
      </c>
      <c r="R213" s="10">
        <f>CHOOSE(CONTROL!$C$42, 9.6512, 9.6512) * CHOOSE(CONTROL!$C$21, $C$9, 100%, $E$9)</f>
        <v>9.6511999999999993</v>
      </c>
      <c r="S213" s="10">
        <f>CHOOSE(CONTROL!$C$42, 8.0442, 8.0442) * CHOOSE(CONTROL!$C$21, $C$9, 100%, $E$9)</f>
        <v>8.0442</v>
      </c>
      <c r="T2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57">
        <f>(1000*CHOOSE(CONTROL!$C$42, 695, 695)*CHOOSE(CONTROL!$C$42, 0.5599, 0.5599)*CHOOSE(CONTROL!$C$42, 30, 30))/1000000</f>
        <v>11.673914999999997</v>
      </c>
      <c r="V213" s="57">
        <f>(1000*CHOOSE(CONTROL!$C$42, 500, 500)*CHOOSE(CONTROL!$C$42, 0.275, 0.275)*CHOOSE(CONTROL!$C$42, 30, 30))/1000000</f>
        <v>4.125</v>
      </c>
      <c r="W213" s="57">
        <f>(1000*CHOOSE(CONTROL!$C$42, 0.1146, 0.1146)*CHOOSE(CONTROL!$C$42, 121.5, 121.5)*CHOOSE(CONTROL!$C$42, 30, 30))/1000000</f>
        <v>0.417717</v>
      </c>
      <c r="X213" s="57">
        <f>(30*0.1790888*245000/1000000)+(30*0.2374*100000/1000000)</f>
        <v>2.0285026799999999</v>
      </c>
      <c r="Y213" s="57"/>
      <c r="Z213" s="10"/>
      <c r="AA213" s="56"/>
      <c r="AB213" s="50">
        <f>(B213*194.205+C213*267.466+D213*133.845+E213*53.484+F213*40+G213*185+H213*0+I213*100+J213*300)/(194.205+267.466+133.845+53.484+0+40+185+100+300)</f>
        <v>8.3129479353218212</v>
      </c>
      <c r="AC213" s="45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8.2684669064748206</v>
      </c>
    </row>
    <row r="214" spans="1:29" ht="15.75" x14ac:dyDescent="0.25">
      <c r="A214" s="16">
        <v>47392</v>
      </c>
      <c r="B214" s="10">
        <f>CHOOSE(CONTROL!$C$42, 8.118, 8.118) * CHOOSE(CONTROL!$C$21, $C$9, 100%, $E$9)</f>
        <v>8.1180000000000003</v>
      </c>
      <c r="C214" s="10">
        <f>CHOOSE(CONTROL!$C$42, 8.1233, 8.1233) * CHOOSE(CONTROL!$C$21, $C$9, 100%, $E$9)</f>
        <v>8.1233000000000004</v>
      </c>
      <c r="D214" s="10">
        <f>CHOOSE(CONTROL!$C$42, 8.331, 8.331) * CHOOSE(CONTROL!$C$21, $C$9, 100%, $E$9)</f>
        <v>8.3309999999999995</v>
      </c>
      <c r="E214" s="10">
        <f>CHOOSE(CONTROL!$C$42, 8.3598, 8.3598) * CHOOSE(CONTROL!$C$21, $C$9, 100%, $E$9)</f>
        <v>8.3597999999999999</v>
      </c>
      <c r="F214" s="10">
        <f>CHOOSE(CONTROL!$C$42, 8.0968, 8.0968)*CHOOSE(CONTROL!$C$21, $C$9, 100%, $E$9)</f>
        <v>8.0968</v>
      </c>
      <c r="G214" s="10">
        <f>CHOOSE(CONTROL!$C$42, 8.1117, 8.1117)*CHOOSE(CONTROL!$C$21, $C$9, 100%, $E$9)</f>
        <v>8.1117000000000008</v>
      </c>
      <c r="H214" s="10">
        <f>CHOOSE(CONTROL!$C$42, 8.3502, 8.3502) * CHOOSE(CONTROL!$C$21, $C$9, 100%, $E$9)</f>
        <v>8.3501999999999992</v>
      </c>
      <c r="I214" s="10">
        <f>CHOOSE(CONTROL!$C$42, 8.1198, 8.1198)* CHOOSE(CONTROL!$C$21, $C$9, 100%, $E$9)</f>
        <v>8.1197999999999997</v>
      </c>
      <c r="J214" s="10">
        <f>CHOOSE(CONTROL!$C$42, 8.0898, 8.0898)* CHOOSE(CONTROL!$C$21, $C$9, 100%, $E$9)</f>
        <v>8.0898000000000003</v>
      </c>
      <c r="K214" s="53">
        <f>CHOOSE(CONTROL!$C$42, 8.116, 8.116) * CHOOSE(CONTROL!$C$21, $C$9, 100%, $E$9)</f>
        <v>8.1159999999999997</v>
      </c>
      <c r="L214" s="10">
        <f>CHOOSE(CONTROL!$C$42, 8.9372, 8.9372) * CHOOSE(CONTROL!$C$21, $C$9, 100%, $E$9)</f>
        <v>8.9372000000000007</v>
      </c>
      <c r="M214" s="10">
        <f>CHOOSE(CONTROL!$C$42, 8.022, 8.022) * CHOOSE(CONTROL!$C$21, $C$9, 100%, $E$9)</f>
        <v>8.0220000000000002</v>
      </c>
      <c r="N214" s="10">
        <f>CHOOSE(CONTROL!$C$42, 8.0367, 8.0367) * CHOOSE(CONTROL!$C$21, $C$9, 100%, $E$9)</f>
        <v>8.0366999999999997</v>
      </c>
      <c r="O214" s="10">
        <f>CHOOSE(CONTROL!$C$42, 8.2798, 8.2798) * CHOOSE(CONTROL!$C$21, $C$9, 100%, $E$9)</f>
        <v>8.2797999999999998</v>
      </c>
      <c r="P214" s="10">
        <f>CHOOSE(CONTROL!$C$42, 8.0518, 8.0518) * CHOOSE(CONTROL!$C$21, $C$9, 100%, $E$9)</f>
        <v>8.0518000000000001</v>
      </c>
      <c r="Q214" s="10">
        <f>CHOOSE(CONTROL!$C$42, 8.8751, 8.8751) * CHOOSE(CONTROL!$C$21, $C$9, 100%, $E$9)</f>
        <v>8.8750999999999998</v>
      </c>
      <c r="R214" s="10">
        <f>CHOOSE(CONTROL!$C$42, 9.4843, 9.4843) * CHOOSE(CONTROL!$C$21, $C$9, 100%, $E$9)</f>
        <v>9.4842999999999993</v>
      </c>
      <c r="S214" s="10">
        <f>CHOOSE(CONTROL!$C$42, 7.8809, 7.8809) * CHOOSE(CONTROL!$C$21, $C$9, 100%, $E$9)</f>
        <v>7.8808999999999996</v>
      </c>
      <c r="T2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57">
        <f>(1000*CHOOSE(CONTROL!$C$42, 695, 695)*CHOOSE(CONTROL!$C$42, 0.5599, 0.5599)*CHOOSE(CONTROL!$C$42, 31, 31))/1000000</f>
        <v>12.063045499999998</v>
      </c>
      <c r="V214" s="57">
        <f>(1000*CHOOSE(CONTROL!$C$42, 500, 500)*CHOOSE(CONTROL!$C$42, 0.275, 0.275)*CHOOSE(CONTROL!$C$42, 31, 31))/1000000</f>
        <v>4.2625000000000002</v>
      </c>
      <c r="W214" s="57">
        <f>(1000*CHOOSE(CONTROL!$C$42, 0.1146, 0.1146)*CHOOSE(CONTROL!$C$42, 121.5, 121.5)*CHOOSE(CONTROL!$C$42, 31, 31))/1000000</f>
        <v>0.43164089999999994</v>
      </c>
      <c r="X214" s="57">
        <f>(31*0.1790888*245000/1000000)+(31*0.2374*100000/1000000)</f>
        <v>2.0961194359999999</v>
      </c>
      <c r="Y214" s="57"/>
      <c r="Z214" s="10"/>
      <c r="AA214" s="56"/>
      <c r="AB214" s="50">
        <f>(B214*131.881+C214*277.167+D214*79.08+E214*125.872+F214*40+G214*185+H214*0+I214*100+J214*300)/(131.881+277.167+79.08+125.872+0+40+185+100+300)</f>
        <v>8.1490374291364009</v>
      </c>
      <c r="AC214" s="45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8.102004316546763</v>
      </c>
    </row>
    <row r="215" spans="1:29" ht="15.75" x14ac:dyDescent="0.25">
      <c r="A215" s="16">
        <v>47423</v>
      </c>
      <c r="B215" s="10">
        <f>CHOOSE(CONTROL!$C$42, 8.3314, 8.3314) * CHOOSE(CONTROL!$C$21, $C$9, 100%, $E$9)</f>
        <v>8.3314000000000004</v>
      </c>
      <c r="C215" s="10">
        <f>CHOOSE(CONTROL!$C$42, 8.3364, 8.3364) * CHOOSE(CONTROL!$C$21, $C$9, 100%, $E$9)</f>
        <v>8.3363999999999994</v>
      </c>
      <c r="D215" s="10">
        <f>CHOOSE(CONTROL!$C$42, 8.3969, 8.3969) * CHOOSE(CONTROL!$C$21, $C$9, 100%, $E$9)</f>
        <v>8.3969000000000005</v>
      </c>
      <c r="E215" s="10">
        <f>CHOOSE(CONTROL!$C$42, 8.4306, 8.4306) * CHOOSE(CONTROL!$C$21, $C$9, 100%, $E$9)</f>
        <v>8.4306000000000001</v>
      </c>
      <c r="F215" s="10">
        <f>CHOOSE(CONTROL!$C$42, 8.327, 8.327)*CHOOSE(CONTROL!$C$21, $C$9, 100%, $E$9)</f>
        <v>8.327</v>
      </c>
      <c r="G215" s="10">
        <f>CHOOSE(CONTROL!$C$42, 8.3423, 8.3423)*CHOOSE(CONTROL!$C$21, $C$9, 100%, $E$9)</f>
        <v>8.3422999999999998</v>
      </c>
      <c r="H215" s="10">
        <f>CHOOSE(CONTROL!$C$42, 8.4198, 8.4198) * CHOOSE(CONTROL!$C$21, $C$9, 100%, $E$9)</f>
        <v>8.4198000000000004</v>
      </c>
      <c r="I215" s="10">
        <f>CHOOSE(CONTROL!$C$42, 8.3439, 8.3439)* CHOOSE(CONTROL!$C$21, $C$9, 100%, $E$9)</f>
        <v>8.3438999999999997</v>
      </c>
      <c r="J215" s="10">
        <f>CHOOSE(CONTROL!$C$42, 8.32, 8.32)* CHOOSE(CONTROL!$C$21, $C$9, 100%, $E$9)</f>
        <v>8.32</v>
      </c>
      <c r="K215" s="53">
        <f>CHOOSE(CONTROL!$C$42, 8.34, 8.34) * CHOOSE(CONTROL!$C$21, $C$9, 100%, $E$9)</f>
        <v>8.34</v>
      </c>
      <c r="L215" s="10">
        <f>CHOOSE(CONTROL!$C$42, 9.0068, 9.0068) * CHOOSE(CONTROL!$C$21, $C$9, 100%, $E$9)</f>
        <v>9.0068000000000001</v>
      </c>
      <c r="M215" s="10">
        <f>CHOOSE(CONTROL!$C$42, 8.2499, 8.2499) * CHOOSE(CONTROL!$C$21, $C$9, 100%, $E$9)</f>
        <v>8.2499000000000002</v>
      </c>
      <c r="N215" s="10">
        <f>CHOOSE(CONTROL!$C$42, 8.265, 8.265) * CHOOSE(CONTROL!$C$21, $C$9, 100%, $E$9)</f>
        <v>8.2650000000000006</v>
      </c>
      <c r="O215" s="10">
        <f>CHOOSE(CONTROL!$C$42, 8.3487, 8.3487) * CHOOSE(CONTROL!$C$21, $C$9, 100%, $E$9)</f>
        <v>8.3486999999999991</v>
      </c>
      <c r="P215" s="10">
        <f>CHOOSE(CONTROL!$C$42, 8.2736, 8.2736) * CHOOSE(CONTROL!$C$21, $C$9, 100%, $E$9)</f>
        <v>8.2736000000000001</v>
      </c>
      <c r="Q215" s="10">
        <f>CHOOSE(CONTROL!$C$42, 8.944, 8.944) * CHOOSE(CONTROL!$C$21, $C$9, 100%, $E$9)</f>
        <v>8.9440000000000008</v>
      </c>
      <c r="R215" s="10">
        <f>CHOOSE(CONTROL!$C$42, 9.5534, 9.5534) * CHOOSE(CONTROL!$C$21, $C$9, 100%, $E$9)</f>
        <v>9.5533999999999999</v>
      </c>
      <c r="S215" s="10">
        <f>CHOOSE(CONTROL!$C$42, 8.0885, 8.0885) * CHOOSE(CONTROL!$C$21, $C$9, 100%, $E$9)</f>
        <v>8.0884999999999998</v>
      </c>
      <c r="T2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57">
        <f>(1000*CHOOSE(CONTROL!$C$42, 695, 695)*CHOOSE(CONTROL!$C$42, 0.5599, 0.5599)*CHOOSE(CONTROL!$C$42, 30, 30))/1000000</f>
        <v>11.673914999999997</v>
      </c>
      <c r="V215" s="57">
        <f>(1000*CHOOSE(CONTROL!$C$42, 500, 500)*CHOOSE(CONTROL!$C$42, 0.275, 0.275)*CHOOSE(CONTROL!$C$42, 30, 30))/1000000</f>
        <v>4.125</v>
      </c>
      <c r="W215" s="57">
        <f>(1000*CHOOSE(CONTROL!$C$42, 0.1146, 0.1146)*CHOOSE(CONTROL!$C$42, 121.5, 121.5)*CHOOSE(CONTROL!$C$42, 30, 30))/1000000</f>
        <v>0.417717</v>
      </c>
      <c r="X215" s="57">
        <f>(30*0.1790888*100000/1000000)+(30*0.2374*100000/1000000)</f>
        <v>1.2494664</v>
      </c>
      <c r="Y215" s="57"/>
      <c r="Z215" s="10"/>
      <c r="AA215" s="56"/>
      <c r="AB215" s="50">
        <f>(B215*122.58+C215*297.941+D215*89.177+E215*40.302+F215*40+G215*160+H215*0+I215*100+J215*300)/(122.58+297.941+89.177+40.302+0+40+160+100+300)</f>
        <v>8.3407276146956519</v>
      </c>
      <c r="AC215" s="45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8.2989589928057548</v>
      </c>
    </row>
    <row r="216" spans="1:29" ht="15.75" x14ac:dyDescent="0.25">
      <c r="A216" s="16">
        <v>47453</v>
      </c>
      <c r="B216" s="10">
        <f>CHOOSE(CONTROL!$C$42, 8.8992, 8.8992) * CHOOSE(CONTROL!$C$21, $C$9, 100%, $E$9)</f>
        <v>8.8992000000000004</v>
      </c>
      <c r="C216" s="10">
        <f>CHOOSE(CONTROL!$C$42, 8.9042, 8.9042) * CHOOSE(CONTROL!$C$21, $C$9, 100%, $E$9)</f>
        <v>8.9041999999999994</v>
      </c>
      <c r="D216" s="10">
        <f>CHOOSE(CONTROL!$C$42, 8.9647, 8.9647) * CHOOSE(CONTROL!$C$21, $C$9, 100%, $E$9)</f>
        <v>8.9647000000000006</v>
      </c>
      <c r="E216" s="10">
        <f>CHOOSE(CONTROL!$C$42, 8.9985, 8.9985) * CHOOSE(CONTROL!$C$21, $C$9, 100%, $E$9)</f>
        <v>8.9984999999999999</v>
      </c>
      <c r="F216" s="10">
        <f>CHOOSE(CONTROL!$C$42, 8.8967, 8.8967)*CHOOSE(CONTROL!$C$21, $C$9, 100%, $E$9)</f>
        <v>8.8966999999999992</v>
      </c>
      <c r="G216" s="10">
        <f>CHOOSE(CONTROL!$C$42, 8.9124, 8.9124)*CHOOSE(CONTROL!$C$21, $C$9, 100%, $E$9)</f>
        <v>8.9123999999999999</v>
      </c>
      <c r="H216" s="10">
        <f>CHOOSE(CONTROL!$C$42, 8.9877, 8.9877) * CHOOSE(CONTROL!$C$21, $C$9, 100%, $E$9)</f>
        <v>8.9877000000000002</v>
      </c>
      <c r="I216" s="10">
        <f>CHOOSE(CONTROL!$C$42, 8.9117, 8.9117)* CHOOSE(CONTROL!$C$21, $C$9, 100%, $E$9)</f>
        <v>8.9116999999999997</v>
      </c>
      <c r="J216" s="10">
        <f>CHOOSE(CONTROL!$C$42, 8.8897, 8.8897)* CHOOSE(CONTROL!$C$21, $C$9, 100%, $E$9)</f>
        <v>8.8896999999999995</v>
      </c>
      <c r="K216" s="53">
        <f>CHOOSE(CONTROL!$C$42, 8.9079, 8.9079) * CHOOSE(CONTROL!$C$21, $C$9, 100%, $E$9)</f>
        <v>8.9078999999999997</v>
      </c>
      <c r="L216" s="10">
        <f>CHOOSE(CONTROL!$C$42, 9.5747, 9.5747) * CHOOSE(CONTROL!$C$21, $C$9, 100%, $E$9)</f>
        <v>9.5747</v>
      </c>
      <c r="M216" s="10">
        <f>CHOOSE(CONTROL!$C$42, 8.8138, 8.8138) * CHOOSE(CONTROL!$C$21, $C$9, 100%, $E$9)</f>
        <v>8.8138000000000005</v>
      </c>
      <c r="N216" s="10">
        <f>CHOOSE(CONTROL!$C$42, 8.8293, 8.8293) * CHOOSE(CONTROL!$C$21, $C$9, 100%, $E$9)</f>
        <v>8.8292999999999999</v>
      </c>
      <c r="O216" s="10">
        <f>CHOOSE(CONTROL!$C$42, 8.9108, 8.9108) * CHOOSE(CONTROL!$C$21, $C$9, 100%, $E$9)</f>
        <v>8.9108000000000001</v>
      </c>
      <c r="P216" s="10">
        <f>CHOOSE(CONTROL!$C$42, 8.8357, 8.8357) * CHOOSE(CONTROL!$C$21, $C$9, 100%, $E$9)</f>
        <v>8.8356999999999992</v>
      </c>
      <c r="Q216" s="10">
        <f>CHOOSE(CONTROL!$C$42, 9.5061, 9.5061) * CHOOSE(CONTROL!$C$21, $C$9, 100%, $E$9)</f>
        <v>9.5061</v>
      </c>
      <c r="R216" s="10">
        <f>CHOOSE(CONTROL!$C$42, 10.1169, 10.1169) * CHOOSE(CONTROL!$C$21, $C$9, 100%, $E$9)</f>
        <v>10.116899999999999</v>
      </c>
      <c r="S216" s="10">
        <f>CHOOSE(CONTROL!$C$42, 8.6399, 8.6399) * CHOOSE(CONTROL!$C$21, $C$9, 100%, $E$9)</f>
        <v>8.6399000000000008</v>
      </c>
      <c r="T2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57">
        <f>(1000*CHOOSE(CONTROL!$C$42, 695, 695)*CHOOSE(CONTROL!$C$42, 0.5599, 0.5599)*CHOOSE(CONTROL!$C$42, 31, 31))/1000000</f>
        <v>12.063045499999998</v>
      </c>
      <c r="V216" s="57">
        <f>(1000*CHOOSE(CONTROL!$C$42, 500, 500)*CHOOSE(CONTROL!$C$42, 0.275, 0.275)*CHOOSE(CONTROL!$C$42, 31, 31))/1000000</f>
        <v>4.2625000000000002</v>
      </c>
      <c r="W216" s="57">
        <f>(1000*CHOOSE(CONTROL!$C$42, 0.1146, 0.1146)*CHOOSE(CONTROL!$C$42, 121.5, 121.5)*CHOOSE(CONTROL!$C$42, 31, 31))/1000000</f>
        <v>0.43164089999999994</v>
      </c>
      <c r="X216" s="57">
        <f>(31*0.1790888*100000/1000000)+(31*0.2374*100000/1000000)</f>
        <v>1.2911152800000001</v>
      </c>
      <c r="Y216" s="57"/>
      <c r="Z216" s="10"/>
      <c r="AA216" s="56"/>
      <c r="AB216" s="50">
        <f>(B216*122.58+C216*297.941+D216*89.177+E216*40.302+F216*40+G216*160+H216*0+I216*100+J216*300)/(122.58+297.941+89.177+40.302+0+40+160+100+300)</f>
        <v>8.9094128583478263</v>
      </c>
      <c r="AC216" s="45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8.8618071942446051</v>
      </c>
    </row>
    <row r="217" spans="1:29" ht="15.75" x14ac:dyDescent="0.25">
      <c r="A217" s="16">
        <v>47484</v>
      </c>
      <c r="B217" s="10">
        <f>CHOOSE(CONTROL!$C$42, 9.49, 9.49) * CHOOSE(CONTROL!$C$21, $C$9, 100%, $E$9)</f>
        <v>9.49</v>
      </c>
      <c r="C217" s="10">
        <f>CHOOSE(CONTROL!$C$42, 9.495, 9.495) * CHOOSE(CONTROL!$C$21, $C$9, 100%, $E$9)</f>
        <v>9.4949999999999992</v>
      </c>
      <c r="D217" s="10">
        <f>CHOOSE(CONTROL!$C$42, 9.5521, 9.5521) * CHOOSE(CONTROL!$C$21, $C$9, 100%, $E$9)</f>
        <v>9.5520999999999994</v>
      </c>
      <c r="E217" s="10">
        <f>CHOOSE(CONTROL!$C$42, 9.5858, 9.5858) * CHOOSE(CONTROL!$C$21, $C$9, 100%, $E$9)</f>
        <v>9.5858000000000008</v>
      </c>
      <c r="F217" s="10">
        <f>CHOOSE(CONTROL!$C$42, 9.4879, 9.4879)*CHOOSE(CONTROL!$C$21, $C$9, 100%, $E$9)</f>
        <v>9.4878999999999998</v>
      </c>
      <c r="G217" s="10">
        <f>CHOOSE(CONTROL!$C$42, 9.5025, 9.5025)*CHOOSE(CONTROL!$C$21, $C$9, 100%, $E$9)</f>
        <v>9.5024999999999995</v>
      </c>
      <c r="H217" s="10">
        <f>CHOOSE(CONTROL!$C$42, 9.575, 9.575) * CHOOSE(CONTROL!$C$21, $C$9, 100%, $E$9)</f>
        <v>9.5749999999999993</v>
      </c>
      <c r="I217" s="10">
        <f>CHOOSE(CONTROL!$C$42, 9.5008, 9.5008)* CHOOSE(CONTROL!$C$21, $C$9, 100%, $E$9)</f>
        <v>9.5007999999999999</v>
      </c>
      <c r="J217" s="10">
        <f>CHOOSE(CONTROL!$C$42, 9.4809, 9.4809)* CHOOSE(CONTROL!$C$21, $C$9, 100%, $E$9)</f>
        <v>9.4809000000000001</v>
      </c>
      <c r="K217" s="53">
        <f>CHOOSE(CONTROL!$C$42, 9.4969, 9.4969) * CHOOSE(CONTROL!$C$21, $C$9, 100%, $E$9)</f>
        <v>9.4969000000000001</v>
      </c>
      <c r="L217" s="10">
        <f>CHOOSE(CONTROL!$C$42, 10.162, 10.162) * CHOOSE(CONTROL!$C$21, $C$9, 100%, $E$9)</f>
        <v>10.162000000000001</v>
      </c>
      <c r="M217" s="10">
        <f>CHOOSE(CONTROL!$C$42, 9.399, 9.399) * CHOOSE(CONTROL!$C$21, $C$9, 100%, $E$9)</f>
        <v>9.3989999999999991</v>
      </c>
      <c r="N217" s="10">
        <f>CHOOSE(CONTROL!$C$42, 9.4135, 9.4135) * CHOOSE(CONTROL!$C$21, $C$9, 100%, $E$9)</f>
        <v>9.4135000000000009</v>
      </c>
      <c r="O217" s="10">
        <f>CHOOSE(CONTROL!$C$42, 9.4922, 9.4922) * CHOOSE(CONTROL!$C$21, $C$9, 100%, $E$9)</f>
        <v>9.4922000000000004</v>
      </c>
      <c r="P217" s="10">
        <f>CHOOSE(CONTROL!$C$42, 9.4188, 9.4188) * CHOOSE(CONTROL!$C$21, $C$9, 100%, $E$9)</f>
        <v>9.4187999999999992</v>
      </c>
      <c r="Q217" s="10">
        <f>CHOOSE(CONTROL!$C$42, 10.0875, 10.0875) * CHOOSE(CONTROL!$C$21, $C$9, 100%, $E$9)</f>
        <v>10.0875</v>
      </c>
      <c r="R217" s="10">
        <f>CHOOSE(CONTROL!$C$42, 10.6998, 10.6998) * CHOOSE(CONTROL!$C$21, $C$9, 100%, $E$9)</f>
        <v>10.6998</v>
      </c>
      <c r="S217" s="10">
        <f>CHOOSE(CONTROL!$C$42, 9.2136, 9.2136) * CHOOSE(CONTROL!$C$21, $C$9, 100%, $E$9)</f>
        <v>9.2135999999999996</v>
      </c>
      <c r="T2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57">
        <f>(1000*CHOOSE(CONTROL!$C$42, 695, 695)*CHOOSE(CONTROL!$C$42, 0.5599, 0.5599)*CHOOSE(CONTROL!$C$42, 31, 31))/1000000</f>
        <v>12.063045499999998</v>
      </c>
      <c r="V217" s="57">
        <f>(1000*CHOOSE(CONTROL!$C$42, 500, 500)*CHOOSE(CONTROL!$C$42, 0.275, 0.275)*CHOOSE(CONTROL!$C$42, 31, 31))/1000000</f>
        <v>4.2625000000000002</v>
      </c>
      <c r="W217" s="57">
        <f>(1000*CHOOSE(CONTROL!$C$42, 0.1146, 0.1146)*CHOOSE(CONTROL!$C$42, 121.5, 121.5)*CHOOSE(CONTROL!$C$42, 31, 31))/1000000</f>
        <v>0.43164089999999994</v>
      </c>
      <c r="X217" s="57">
        <f>(31*0.1790888*100000/1000000)+(31*0.2374*100000/1000000)</f>
        <v>1.2911152800000001</v>
      </c>
      <c r="Y217" s="57"/>
      <c r="Z217" s="10"/>
      <c r="AA217" s="56"/>
      <c r="AB217" s="50">
        <f>(B217*122.58+C217*297.941+D217*89.177+E217*40.302+F217*40+G217*160+H217*0+I217*100+J217*300)/(122.58+297.941+89.177+40.302+0+40+160+100+300)</f>
        <v>9.4996995898260863</v>
      </c>
      <c r="AC217" s="45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9.4449251798561153</v>
      </c>
    </row>
    <row r="218" spans="1:29" ht="15.75" x14ac:dyDescent="0.25">
      <c r="A218" s="16">
        <v>47515</v>
      </c>
      <c r="B218" s="10">
        <f>CHOOSE(CONTROL!$C$42, 9.6589, 9.6589) * CHOOSE(CONTROL!$C$21, $C$9, 100%, $E$9)</f>
        <v>9.6588999999999992</v>
      </c>
      <c r="C218" s="10">
        <f>CHOOSE(CONTROL!$C$42, 9.6639, 9.6639) * CHOOSE(CONTROL!$C$21, $C$9, 100%, $E$9)</f>
        <v>9.6638999999999999</v>
      </c>
      <c r="D218" s="10">
        <f>CHOOSE(CONTROL!$C$42, 9.7209, 9.7209) * CHOOSE(CONTROL!$C$21, $C$9, 100%, $E$9)</f>
        <v>9.7209000000000003</v>
      </c>
      <c r="E218" s="10">
        <f>CHOOSE(CONTROL!$C$42, 9.7547, 9.7547) * CHOOSE(CONTROL!$C$21, $C$9, 100%, $E$9)</f>
        <v>9.7546999999999997</v>
      </c>
      <c r="F218" s="10">
        <f>CHOOSE(CONTROL!$C$42, 9.6569, 9.6569)*CHOOSE(CONTROL!$C$21, $C$9, 100%, $E$9)</f>
        <v>9.6569000000000003</v>
      </c>
      <c r="G218" s="10">
        <f>CHOOSE(CONTROL!$C$42, 9.6715, 9.6715)*CHOOSE(CONTROL!$C$21, $C$9, 100%, $E$9)</f>
        <v>9.6715</v>
      </c>
      <c r="H218" s="10">
        <f>CHOOSE(CONTROL!$C$42, 9.7439, 9.7439) * CHOOSE(CONTROL!$C$21, $C$9, 100%, $E$9)</f>
        <v>9.7439</v>
      </c>
      <c r="I218" s="10">
        <f>CHOOSE(CONTROL!$C$42, 9.6697, 9.6697)* CHOOSE(CONTROL!$C$21, $C$9, 100%, $E$9)</f>
        <v>9.6697000000000006</v>
      </c>
      <c r="J218" s="10">
        <f>CHOOSE(CONTROL!$C$42, 9.6499, 9.6499)* CHOOSE(CONTROL!$C$21, $C$9, 100%, $E$9)</f>
        <v>9.6499000000000006</v>
      </c>
      <c r="K218" s="53">
        <f>CHOOSE(CONTROL!$C$42, 9.6658, 9.6658) * CHOOSE(CONTROL!$C$21, $C$9, 100%, $E$9)</f>
        <v>9.6658000000000008</v>
      </c>
      <c r="L218" s="10">
        <f>CHOOSE(CONTROL!$C$42, 10.3309, 10.3309) * CHOOSE(CONTROL!$C$21, $C$9, 100%, $E$9)</f>
        <v>10.3309</v>
      </c>
      <c r="M218" s="10">
        <f>CHOOSE(CONTROL!$C$42, 9.5663, 9.5663) * CHOOSE(CONTROL!$C$21, $C$9, 100%, $E$9)</f>
        <v>9.5663</v>
      </c>
      <c r="N218" s="10">
        <f>CHOOSE(CONTROL!$C$42, 9.5808, 9.5808) * CHOOSE(CONTROL!$C$21, $C$9, 100%, $E$9)</f>
        <v>9.5808</v>
      </c>
      <c r="O218" s="10">
        <f>CHOOSE(CONTROL!$C$42, 9.6594, 9.6594) * CHOOSE(CONTROL!$C$21, $C$9, 100%, $E$9)</f>
        <v>9.6593999999999998</v>
      </c>
      <c r="P218" s="10">
        <f>CHOOSE(CONTROL!$C$42, 9.586, 9.586) * CHOOSE(CONTROL!$C$21, $C$9, 100%, $E$9)</f>
        <v>9.5860000000000003</v>
      </c>
      <c r="Q218" s="10">
        <f>CHOOSE(CONTROL!$C$42, 10.2547, 10.2547) * CHOOSE(CONTROL!$C$21, $C$9, 100%, $E$9)</f>
        <v>10.2547</v>
      </c>
      <c r="R218" s="10">
        <f>CHOOSE(CONTROL!$C$42, 10.8674, 10.8674) * CHOOSE(CONTROL!$C$21, $C$9, 100%, $E$9)</f>
        <v>10.8674</v>
      </c>
      <c r="S218" s="10">
        <f>CHOOSE(CONTROL!$C$42, 9.3776, 9.3776) * CHOOSE(CONTROL!$C$21, $C$9, 100%, $E$9)</f>
        <v>9.3775999999999993</v>
      </c>
      <c r="T2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57">
        <f>(1000*CHOOSE(CONTROL!$C$42, 695, 695)*CHOOSE(CONTROL!$C$42, 0.5599, 0.5599)*CHOOSE(CONTROL!$C$42, 28, 28))/1000000</f>
        <v>10.895653999999999</v>
      </c>
      <c r="V218" s="57">
        <f>(1000*CHOOSE(CONTROL!$C$42, 500, 500)*CHOOSE(CONTROL!$C$42, 0.275, 0.275)*CHOOSE(CONTROL!$C$42, 28, 28))/1000000</f>
        <v>3.85</v>
      </c>
      <c r="W218" s="57">
        <f>(1000*CHOOSE(CONTROL!$C$42, 0.1146, 0.1146)*CHOOSE(CONTROL!$C$42, 121.5, 121.5)*CHOOSE(CONTROL!$C$42, 28, 28))/1000000</f>
        <v>0.38986920000000003</v>
      </c>
      <c r="X218" s="57">
        <f>(28*0.1790888*100000/1000000)+(28*0.2374*100000/1000000)</f>
        <v>1.16616864</v>
      </c>
      <c r="Y218" s="57"/>
      <c r="Z218" s="10"/>
      <c r="AA218" s="56"/>
      <c r="AB218" s="50">
        <f>(B218*122.58+C218*297.941+D218*89.177+E218*40.302+F218*40+G218*160+H218*0+I218*100+J218*300)/(122.58+297.941+89.177+40.302+0+40+160+100+300)</f>
        <v>9.6686353135652183</v>
      </c>
      <c r="AC218" s="45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9.6121654676258999</v>
      </c>
    </row>
    <row r="219" spans="1:29" ht="15.75" x14ac:dyDescent="0.25">
      <c r="A219" s="16">
        <v>47543</v>
      </c>
      <c r="B219" s="10">
        <f>CHOOSE(CONTROL!$C$42, 9.3848, 9.3848) * CHOOSE(CONTROL!$C$21, $C$9, 100%, $E$9)</f>
        <v>9.3848000000000003</v>
      </c>
      <c r="C219" s="10">
        <f>CHOOSE(CONTROL!$C$42, 9.3897, 9.3897) * CHOOSE(CONTROL!$C$21, $C$9, 100%, $E$9)</f>
        <v>9.3896999999999995</v>
      </c>
      <c r="D219" s="10">
        <f>CHOOSE(CONTROL!$C$42, 9.4468, 9.4468) * CHOOSE(CONTROL!$C$21, $C$9, 100%, $E$9)</f>
        <v>9.4467999999999996</v>
      </c>
      <c r="E219" s="10">
        <f>CHOOSE(CONTROL!$C$42, 9.4806, 9.4806) * CHOOSE(CONTROL!$C$21, $C$9, 100%, $E$9)</f>
        <v>9.4806000000000008</v>
      </c>
      <c r="F219" s="10">
        <f>CHOOSE(CONTROL!$C$42, 9.3826, 9.3826)*CHOOSE(CONTROL!$C$21, $C$9, 100%, $E$9)</f>
        <v>9.3826000000000001</v>
      </c>
      <c r="G219" s="10">
        <f>CHOOSE(CONTROL!$C$42, 9.3972, 9.3972)*CHOOSE(CONTROL!$C$21, $C$9, 100%, $E$9)</f>
        <v>9.3971999999999998</v>
      </c>
      <c r="H219" s="10">
        <f>CHOOSE(CONTROL!$C$42, 9.4698, 9.4698) * CHOOSE(CONTROL!$C$21, $C$9, 100%, $E$9)</f>
        <v>9.4697999999999993</v>
      </c>
      <c r="I219" s="10">
        <f>CHOOSE(CONTROL!$C$42, 9.3956, 9.3956)* CHOOSE(CONTROL!$C$21, $C$9, 100%, $E$9)</f>
        <v>9.3956</v>
      </c>
      <c r="J219" s="10">
        <f>CHOOSE(CONTROL!$C$42, 9.3756, 9.3756)* CHOOSE(CONTROL!$C$21, $C$9, 100%, $E$9)</f>
        <v>9.3756000000000004</v>
      </c>
      <c r="K219" s="53">
        <f>CHOOSE(CONTROL!$C$42, 9.3917, 9.3917) * CHOOSE(CONTROL!$C$21, $C$9, 100%, $E$9)</f>
        <v>9.3917000000000002</v>
      </c>
      <c r="L219" s="10">
        <f>CHOOSE(CONTROL!$C$42, 10.0568, 10.0568) * CHOOSE(CONTROL!$C$21, $C$9, 100%, $E$9)</f>
        <v>10.056800000000001</v>
      </c>
      <c r="M219" s="10">
        <f>CHOOSE(CONTROL!$C$42, 9.2948, 9.2948) * CHOOSE(CONTROL!$C$21, $C$9, 100%, $E$9)</f>
        <v>9.2948000000000004</v>
      </c>
      <c r="N219" s="10">
        <f>CHOOSE(CONTROL!$C$42, 9.3093, 9.3093) * CHOOSE(CONTROL!$C$21, $C$9, 100%, $E$9)</f>
        <v>9.3093000000000004</v>
      </c>
      <c r="O219" s="10">
        <f>CHOOSE(CONTROL!$C$42, 9.388, 9.388) * CHOOSE(CONTROL!$C$21, $C$9, 100%, $E$9)</f>
        <v>9.3879999999999999</v>
      </c>
      <c r="P219" s="10">
        <f>CHOOSE(CONTROL!$C$42, 9.3146, 9.3146) * CHOOSE(CONTROL!$C$21, $C$9, 100%, $E$9)</f>
        <v>9.3146000000000004</v>
      </c>
      <c r="Q219" s="10">
        <f>CHOOSE(CONTROL!$C$42, 9.9833, 9.9833) * CHOOSE(CONTROL!$C$21, $C$9, 100%, $E$9)</f>
        <v>9.9832999999999998</v>
      </c>
      <c r="R219" s="10">
        <f>CHOOSE(CONTROL!$C$42, 10.5953, 10.5953) * CHOOSE(CONTROL!$C$21, $C$9, 100%, $E$9)</f>
        <v>10.5953</v>
      </c>
      <c r="S219" s="10">
        <f>CHOOSE(CONTROL!$C$42, 9.1114, 9.1114) * CHOOSE(CONTROL!$C$21, $C$9, 100%, $E$9)</f>
        <v>9.1113999999999997</v>
      </c>
      <c r="T2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57">
        <f>(1000*CHOOSE(CONTROL!$C$42, 695, 695)*CHOOSE(CONTROL!$C$42, 0.5599, 0.5599)*CHOOSE(CONTROL!$C$42, 31, 31))/1000000</f>
        <v>12.063045499999998</v>
      </c>
      <c r="V219" s="57">
        <f>(1000*CHOOSE(CONTROL!$C$42, 500, 500)*CHOOSE(CONTROL!$C$42, 0.275, 0.275)*CHOOSE(CONTROL!$C$42, 31, 31))/1000000</f>
        <v>4.2625000000000002</v>
      </c>
      <c r="W219" s="57">
        <f>(1000*CHOOSE(CONTROL!$C$42, 0.1146, 0.1146)*CHOOSE(CONTROL!$C$42, 121.5, 121.5)*CHOOSE(CONTROL!$C$42, 31, 31))/1000000</f>
        <v>0.43164089999999994</v>
      </c>
      <c r="X219" s="57">
        <f>(31*0.1790888*100000/1000000)+(31*0.2374*100000/1000000)</f>
        <v>1.2911152800000001</v>
      </c>
      <c r="Y219" s="57"/>
      <c r="Z219" s="10"/>
      <c r="AA219" s="56"/>
      <c r="AB219" s="50">
        <f>(B219*122.58+C219*297.941+D219*89.177+E219*40.302+F219*40+G219*160+H219*0+I219*100+J219*300)/(122.58+297.941+89.177+40.302+0+40+160+100+300)</f>
        <v>9.3944224491304347</v>
      </c>
      <c r="AC219" s="45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9.3407251798561131</v>
      </c>
    </row>
    <row r="220" spans="1:29" ht="15.75" x14ac:dyDescent="0.25">
      <c r="A220" s="16">
        <v>47574</v>
      </c>
      <c r="B220" s="10">
        <f>CHOOSE(CONTROL!$C$42, 9.3579, 9.3579) * CHOOSE(CONTROL!$C$21, $C$9, 100%, $E$9)</f>
        <v>9.3579000000000008</v>
      </c>
      <c r="C220" s="10">
        <f>CHOOSE(CONTROL!$C$42, 9.3622, 9.3622) * CHOOSE(CONTROL!$C$21, $C$9, 100%, $E$9)</f>
        <v>9.3621999999999996</v>
      </c>
      <c r="D220" s="10">
        <f>CHOOSE(CONTROL!$C$42, 9.5681, 9.5681) * CHOOSE(CONTROL!$C$21, $C$9, 100%, $E$9)</f>
        <v>9.5680999999999994</v>
      </c>
      <c r="E220" s="10">
        <f>CHOOSE(CONTROL!$C$42, 9.5999, 9.5999) * CHOOSE(CONTROL!$C$21, $C$9, 100%, $E$9)</f>
        <v>9.5998999999999999</v>
      </c>
      <c r="F220" s="10">
        <f>CHOOSE(CONTROL!$C$42, 9.3346, 9.3346)*CHOOSE(CONTROL!$C$21, $C$9, 100%, $E$9)</f>
        <v>9.3346</v>
      </c>
      <c r="G220" s="10">
        <f>CHOOSE(CONTROL!$C$42, 9.3492, 9.3492)*CHOOSE(CONTROL!$C$21, $C$9, 100%, $E$9)</f>
        <v>9.3491999999999997</v>
      </c>
      <c r="H220" s="10">
        <f>CHOOSE(CONTROL!$C$42, 9.5897, 9.5897) * CHOOSE(CONTROL!$C$21, $C$9, 100%, $E$9)</f>
        <v>9.5897000000000006</v>
      </c>
      <c r="I220" s="10">
        <f>CHOOSE(CONTROL!$C$42, 9.3593, 9.3593)* CHOOSE(CONTROL!$C$21, $C$9, 100%, $E$9)</f>
        <v>9.3592999999999993</v>
      </c>
      <c r="J220" s="10">
        <f>CHOOSE(CONTROL!$C$42, 9.3276, 9.3276)* CHOOSE(CONTROL!$C$21, $C$9, 100%, $E$9)</f>
        <v>9.3276000000000003</v>
      </c>
      <c r="K220" s="53">
        <f>CHOOSE(CONTROL!$C$42, 9.3554, 9.3554) * CHOOSE(CONTROL!$C$21, $C$9, 100%, $E$9)</f>
        <v>9.3553999999999995</v>
      </c>
      <c r="L220" s="10">
        <f>CHOOSE(CONTROL!$C$42, 10.1767, 10.1767) * CHOOSE(CONTROL!$C$21, $C$9, 100%, $E$9)</f>
        <v>10.1767</v>
      </c>
      <c r="M220" s="10">
        <f>CHOOSE(CONTROL!$C$42, 9.2473, 9.2473) * CHOOSE(CONTROL!$C$21, $C$9, 100%, $E$9)</f>
        <v>9.2472999999999992</v>
      </c>
      <c r="N220" s="10">
        <f>CHOOSE(CONTROL!$C$42, 9.2617, 9.2617) * CHOOSE(CONTROL!$C$21, $C$9, 100%, $E$9)</f>
        <v>9.2616999999999994</v>
      </c>
      <c r="O220" s="10">
        <f>CHOOSE(CONTROL!$C$42, 9.5067, 9.5067) * CHOOSE(CONTROL!$C$21, $C$9, 100%, $E$9)</f>
        <v>9.5067000000000004</v>
      </c>
      <c r="P220" s="10">
        <f>CHOOSE(CONTROL!$C$42, 9.2787, 9.2787) * CHOOSE(CONTROL!$C$21, $C$9, 100%, $E$9)</f>
        <v>9.2787000000000006</v>
      </c>
      <c r="Q220" s="10">
        <f>CHOOSE(CONTROL!$C$42, 10.102, 10.102) * CHOOSE(CONTROL!$C$21, $C$9, 100%, $E$9)</f>
        <v>10.102</v>
      </c>
      <c r="R220" s="10">
        <f>CHOOSE(CONTROL!$C$42, 10.7143, 10.7143) * CHOOSE(CONTROL!$C$21, $C$9, 100%, $E$9)</f>
        <v>10.7143</v>
      </c>
      <c r="S220" s="10">
        <f>CHOOSE(CONTROL!$C$42, 9.0845, 9.0845) * CHOOSE(CONTROL!$C$21, $C$9, 100%, $E$9)</f>
        <v>9.0845000000000002</v>
      </c>
      <c r="T2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57">
        <f>(1000*CHOOSE(CONTROL!$C$42, 695, 695)*CHOOSE(CONTROL!$C$42, 0.5599, 0.5599)*CHOOSE(CONTROL!$C$42, 30, 30))/1000000</f>
        <v>11.673914999999997</v>
      </c>
      <c r="V220" s="57">
        <f>(1000*CHOOSE(CONTROL!$C$42, 500, 500)*CHOOSE(CONTROL!$C$42, 0.275, 0.275)*CHOOSE(CONTROL!$C$42, 30, 30))/1000000</f>
        <v>4.125</v>
      </c>
      <c r="W220" s="57">
        <f>(1000*CHOOSE(CONTROL!$C$42, 0.1146, 0.1146)*CHOOSE(CONTROL!$C$42, 121.5, 121.5)*CHOOSE(CONTROL!$C$42, 30, 30))/1000000</f>
        <v>0.417717</v>
      </c>
      <c r="X220" s="57">
        <f>(30*0.1790888*245000/1000000)+(30*0.2374*100000/1000000)</f>
        <v>2.0285026799999999</v>
      </c>
      <c r="Y220" s="57"/>
      <c r="Z220" s="10"/>
      <c r="AA220" s="56"/>
      <c r="AB220" s="50">
        <f>(B220*141.293+C220*267.993+D220*115.016+E220*89.698+F220*40+G220*185+H220*0+I220*100+J220*300)/(141.293+267.993+115.016+89.698+0+40+185+100+300)</f>
        <v>9.3865877716707011</v>
      </c>
      <c r="AC220" s="45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9.3279143884892086</v>
      </c>
    </row>
    <row r="221" spans="1:29" ht="15.75" x14ac:dyDescent="0.25">
      <c r="A221" s="16">
        <v>47604</v>
      </c>
      <c r="B221" s="10">
        <f>CHOOSE(CONTROL!$C$42, 9.4418, 9.4418) * CHOOSE(CONTROL!$C$21, $C$9, 100%, $E$9)</f>
        <v>9.4418000000000006</v>
      </c>
      <c r="C221" s="10">
        <f>CHOOSE(CONTROL!$C$42, 9.4497, 9.4497) * CHOOSE(CONTROL!$C$21, $C$9, 100%, $E$9)</f>
        <v>9.4497</v>
      </c>
      <c r="D221" s="10">
        <f>CHOOSE(CONTROL!$C$42, 9.6525, 9.6525) * CHOOSE(CONTROL!$C$21, $C$9, 100%, $E$9)</f>
        <v>9.6524999999999999</v>
      </c>
      <c r="E221" s="10">
        <f>CHOOSE(CONTROL!$C$42, 9.6836, 9.6836) * CHOOSE(CONTROL!$C$21, $C$9, 100%, $E$9)</f>
        <v>9.6836000000000002</v>
      </c>
      <c r="F221" s="10">
        <f>CHOOSE(CONTROL!$C$42, 9.4175, 9.4175)*CHOOSE(CONTROL!$C$21, $C$9, 100%, $E$9)</f>
        <v>9.4175000000000004</v>
      </c>
      <c r="G221" s="10">
        <f>CHOOSE(CONTROL!$C$42, 9.4325, 9.4325)*CHOOSE(CONTROL!$C$21, $C$9, 100%, $E$9)</f>
        <v>9.4324999999999992</v>
      </c>
      <c r="H221" s="10">
        <f>CHOOSE(CONTROL!$C$42, 9.6722, 9.6722) * CHOOSE(CONTROL!$C$21, $C$9, 100%, $E$9)</f>
        <v>9.6722000000000001</v>
      </c>
      <c r="I221" s="10">
        <f>CHOOSE(CONTROL!$C$42, 9.4419, 9.4419)* CHOOSE(CONTROL!$C$21, $C$9, 100%, $E$9)</f>
        <v>9.4419000000000004</v>
      </c>
      <c r="J221" s="10">
        <f>CHOOSE(CONTROL!$C$42, 9.4105, 9.4105)* CHOOSE(CONTROL!$C$21, $C$9, 100%, $E$9)</f>
        <v>9.4105000000000008</v>
      </c>
      <c r="K221" s="53">
        <f>CHOOSE(CONTROL!$C$42, 9.438, 9.438) * CHOOSE(CONTROL!$C$21, $C$9, 100%, $E$9)</f>
        <v>9.4380000000000006</v>
      </c>
      <c r="L221" s="10">
        <f>CHOOSE(CONTROL!$C$42, 10.2592, 10.2592) * CHOOSE(CONTROL!$C$21, $C$9, 100%, $E$9)</f>
        <v>10.2592</v>
      </c>
      <c r="M221" s="10">
        <f>CHOOSE(CONTROL!$C$42, 9.3294, 9.3294) * CHOOSE(CONTROL!$C$21, $C$9, 100%, $E$9)</f>
        <v>9.3293999999999997</v>
      </c>
      <c r="N221" s="10">
        <f>CHOOSE(CONTROL!$C$42, 9.3442, 9.3442) * CHOOSE(CONTROL!$C$21, $C$9, 100%, $E$9)</f>
        <v>9.3442000000000007</v>
      </c>
      <c r="O221" s="10">
        <f>CHOOSE(CONTROL!$C$42, 9.5885, 9.5885) * CHOOSE(CONTROL!$C$21, $C$9, 100%, $E$9)</f>
        <v>9.5884999999999998</v>
      </c>
      <c r="P221" s="10">
        <f>CHOOSE(CONTROL!$C$42, 9.3604, 9.3604) * CHOOSE(CONTROL!$C$21, $C$9, 100%, $E$9)</f>
        <v>9.3604000000000003</v>
      </c>
      <c r="Q221" s="10">
        <f>CHOOSE(CONTROL!$C$42, 10.1838, 10.1838) * CHOOSE(CONTROL!$C$21, $C$9, 100%, $E$9)</f>
        <v>10.1838</v>
      </c>
      <c r="R221" s="10">
        <f>CHOOSE(CONTROL!$C$42, 10.7962, 10.7962) * CHOOSE(CONTROL!$C$21, $C$9, 100%, $E$9)</f>
        <v>10.796200000000001</v>
      </c>
      <c r="S221" s="10">
        <f>CHOOSE(CONTROL!$C$42, 9.1647, 9.1647) * CHOOSE(CONTROL!$C$21, $C$9, 100%, $E$9)</f>
        <v>9.1646999999999998</v>
      </c>
      <c r="T2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57">
        <f>(1000*CHOOSE(CONTROL!$C$42, 695, 695)*CHOOSE(CONTROL!$C$42, 0.5599, 0.5599)*CHOOSE(CONTROL!$C$42, 31, 31))/1000000</f>
        <v>12.063045499999998</v>
      </c>
      <c r="V221" s="57">
        <f>(1000*CHOOSE(CONTROL!$C$42, 500, 500)*CHOOSE(CONTROL!$C$42, 0.275, 0.275)*CHOOSE(CONTROL!$C$42, 31, 31))/1000000</f>
        <v>4.2625000000000002</v>
      </c>
      <c r="W221" s="57">
        <f>(1000*CHOOSE(CONTROL!$C$42, 0.1146, 0.1146)*CHOOSE(CONTROL!$C$42, 121.5, 121.5)*CHOOSE(CONTROL!$C$42, 31, 31))/1000000</f>
        <v>0.43164089999999994</v>
      </c>
      <c r="X221" s="57">
        <f>(31*0.1790888*245000/1000000)+(31*0.2374*100000/1000000)</f>
        <v>2.0961194359999999</v>
      </c>
      <c r="Y221" s="57"/>
      <c r="Z221" s="10"/>
      <c r="AA221" s="56"/>
      <c r="AB221" s="50">
        <f>(B221*194.205+C221*267.466+D221*133.845+E221*53.484+F221*40+G221*185+H221*0+I221*100+J221*300)/(194.205+267.466+133.845+53.484+0+40+185+100+300)</f>
        <v>9.4662694302197821</v>
      </c>
      <c r="AC221" s="45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9.409964748201439</v>
      </c>
    </row>
    <row r="222" spans="1:29" ht="15.75" x14ac:dyDescent="0.25">
      <c r="A222" s="16">
        <v>47635</v>
      </c>
      <c r="B222" s="10">
        <f>CHOOSE(CONTROL!$C$42, 9.7095, 9.7095) * CHOOSE(CONTROL!$C$21, $C$9, 100%, $E$9)</f>
        <v>9.7095000000000002</v>
      </c>
      <c r="C222" s="10">
        <f>CHOOSE(CONTROL!$C$42, 9.7174, 9.7174) * CHOOSE(CONTROL!$C$21, $C$9, 100%, $E$9)</f>
        <v>9.7173999999999996</v>
      </c>
      <c r="D222" s="10">
        <f>CHOOSE(CONTROL!$C$42, 9.9201, 9.9201) * CHOOSE(CONTROL!$C$21, $C$9, 100%, $E$9)</f>
        <v>9.9200999999999997</v>
      </c>
      <c r="E222" s="10">
        <f>CHOOSE(CONTROL!$C$42, 9.9513, 9.9513) * CHOOSE(CONTROL!$C$21, $C$9, 100%, $E$9)</f>
        <v>9.9512999999999998</v>
      </c>
      <c r="F222" s="10">
        <f>CHOOSE(CONTROL!$C$42, 9.6857, 9.6857)*CHOOSE(CONTROL!$C$21, $C$9, 100%, $E$9)</f>
        <v>9.6857000000000006</v>
      </c>
      <c r="G222" s="10">
        <f>CHOOSE(CONTROL!$C$42, 9.7009, 9.7009)*CHOOSE(CONTROL!$C$21, $C$9, 100%, $E$9)</f>
        <v>9.7009000000000007</v>
      </c>
      <c r="H222" s="10">
        <f>CHOOSE(CONTROL!$C$42, 9.9399, 9.9399) * CHOOSE(CONTROL!$C$21, $C$9, 100%, $E$9)</f>
        <v>9.9398999999999997</v>
      </c>
      <c r="I222" s="10">
        <f>CHOOSE(CONTROL!$C$42, 9.7095, 9.7095)* CHOOSE(CONTROL!$C$21, $C$9, 100%, $E$9)</f>
        <v>9.7095000000000002</v>
      </c>
      <c r="J222" s="10">
        <f>CHOOSE(CONTROL!$C$42, 9.6787, 9.6787)* CHOOSE(CONTROL!$C$21, $C$9, 100%, $E$9)</f>
        <v>9.6786999999999992</v>
      </c>
      <c r="K222" s="53">
        <f>CHOOSE(CONTROL!$C$42, 9.7056, 9.7056) * CHOOSE(CONTROL!$C$21, $C$9, 100%, $E$9)</f>
        <v>9.7056000000000004</v>
      </c>
      <c r="L222" s="10">
        <f>CHOOSE(CONTROL!$C$42, 10.5269, 10.5269) * CHOOSE(CONTROL!$C$21, $C$9, 100%, $E$9)</f>
        <v>10.526899999999999</v>
      </c>
      <c r="M222" s="10">
        <f>CHOOSE(CONTROL!$C$42, 9.5949, 9.5949) * CHOOSE(CONTROL!$C$21, $C$9, 100%, $E$9)</f>
        <v>9.5949000000000009</v>
      </c>
      <c r="N222" s="10">
        <f>CHOOSE(CONTROL!$C$42, 9.6099, 9.6099) * CHOOSE(CONTROL!$C$21, $C$9, 100%, $E$9)</f>
        <v>9.6098999999999997</v>
      </c>
      <c r="O222" s="10">
        <f>CHOOSE(CONTROL!$C$42, 9.8534, 9.8534) * CHOOSE(CONTROL!$C$21, $C$9, 100%, $E$9)</f>
        <v>9.8534000000000006</v>
      </c>
      <c r="P222" s="10">
        <f>CHOOSE(CONTROL!$C$42, 9.6254, 9.6254) * CHOOSE(CONTROL!$C$21, $C$9, 100%, $E$9)</f>
        <v>9.6254000000000008</v>
      </c>
      <c r="Q222" s="10">
        <f>CHOOSE(CONTROL!$C$42, 10.4487, 10.4487) * CHOOSE(CONTROL!$C$21, $C$9, 100%, $E$9)</f>
        <v>10.448700000000001</v>
      </c>
      <c r="R222" s="10">
        <f>CHOOSE(CONTROL!$C$42, 11.0618, 11.0618) * CHOOSE(CONTROL!$C$21, $C$9, 100%, $E$9)</f>
        <v>11.0618</v>
      </c>
      <c r="S222" s="10">
        <f>CHOOSE(CONTROL!$C$42, 9.4246, 9.4246) * CHOOSE(CONTROL!$C$21, $C$9, 100%, $E$9)</f>
        <v>9.4245999999999999</v>
      </c>
      <c r="T2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57">
        <f>(1000*CHOOSE(CONTROL!$C$42, 695, 695)*CHOOSE(CONTROL!$C$42, 0.5599, 0.5599)*CHOOSE(CONTROL!$C$42, 30, 30))/1000000</f>
        <v>11.673914999999997</v>
      </c>
      <c r="V222" s="57">
        <f>(1000*CHOOSE(CONTROL!$C$42, 500, 500)*CHOOSE(CONTROL!$C$42, 0.275, 0.275)*CHOOSE(CONTROL!$C$42, 30, 30))/1000000</f>
        <v>4.125</v>
      </c>
      <c r="W222" s="57">
        <f>(1000*CHOOSE(CONTROL!$C$42, 0.1146, 0.1146)*CHOOSE(CONTROL!$C$42, 121.5, 121.5)*CHOOSE(CONTROL!$C$42, 30, 30))/1000000</f>
        <v>0.417717</v>
      </c>
      <c r="X222" s="57">
        <f>(30*0.1790888*245000/1000000)+(30*0.2374*100000/1000000)</f>
        <v>2.0285026799999999</v>
      </c>
      <c r="Y222" s="57"/>
      <c r="Z222" s="10"/>
      <c r="AA222" s="56"/>
      <c r="AB222" s="50">
        <f>(B222*194.205+C222*267.466+D222*133.845+E222*53.484+F222*40+G222*185+H222*0+I222*100+J222*300)/(194.205+267.466+133.845+53.484+0+40+185+100+300)</f>
        <v>9.7341861613814746</v>
      </c>
      <c r="AC222" s="45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9.6752705035971225</v>
      </c>
    </row>
    <row r="223" spans="1:29" ht="15.75" x14ac:dyDescent="0.25">
      <c r="A223" s="16">
        <v>47665</v>
      </c>
      <c r="B223" s="10">
        <f>CHOOSE(CONTROL!$C$42, 9.5233, 9.5233) * CHOOSE(CONTROL!$C$21, $C$9, 100%, $E$9)</f>
        <v>9.5233000000000008</v>
      </c>
      <c r="C223" s="10">
        <f>CHOOSE(CONTROL!$C$42, 9.5312, 9.5312) * CHOOSE(CONTROL!$C$21, $C$9, 100%, $E$9)</f>
        <v>9.5312000000000001</v>
      </c>
      <c r="D223" s="10">
        <f>CHOOSE(CONTROL!$C$42, 9.734, 9.734) * CHOOSE(CONTROL!$C$21, $C$9, 100%, $E$9)</f>
        <v>9.734</v>
      </c>
      <c r="E223" s="10">
        <f>CHOOSE(CONTROL!$C$42, 9.7651, 9.7651) * CHOOSE(CONTROL!$C$21, $C$9, 100%, $E$9)</f>
        <v>9.7651000000000003</v>
      </c>
      <c r="F223" s="10">
        <f>CHOOSE(CONTROL!$C$42, 9.5001, 9.5001)*CHOOSE(CONTROL!$C$21, $C$9, 100%, $E$9)</f>
        <v>9.5000999999999998</v>
      </c>
      <c r="G223" s="10">
        <f>CHOOSE(CONTROL!$C$42, 9.5154, 9.5154)*CHOOSE(CONTROL!$C$21, $C$9, 100%, $E$9)</f>
        <v>9.5153999999999996</v>
      </c>
      <c r="H223" s="10">
        <f>CHOOSE(CONTROL!$C$42, 9.7537, 9.7537) * CHOOSE(CONTROL!$C$21, $C$9, 100%, $E$9)</f>
        <v>9.7537000000000003</v>
      </c>
      <c r="I223" s="10">
        <f>CHOOSE(CONTROL!$C$42, 9.5234, 9.5234)* CHOOSE(CONTROL!$C$21, $C$9, 100%, $E$9)</f>
        <v>9.5234000000000005</v>
      </c>
      <c r="J223" s="10">
        <f>CHOOSE(CONTROL!$C$42, 9.4931, 9.4931)* CHOOSE(CONTROL!$C$21, $C$9, 100%, $E$9)</f>
        <v>9.4931000000000001</v>
      </c>
      <c r="K223" s="53">
        <f>CHOOSE(CONTROL!$C$42, 9.5195, 9.5195) * CHOOSE(CONTROL!$C$21, $C$9, 100%, $E$9)</f>
        <v>9.5195000000000007</v>
      </c>
      <c r="L223" s="10">
        <f>CHOOSE(CONTROL!$C$42, 10.3407, 10.3407) * CHOOSE(CONTROL!$C$21, $C$9, 100%, $E$9)</f>
        <v>10.3407</v>
      </c>
      <c r="M223" s="10">
        <f>CHOOSE(CONTROL!$C$42, 9.4111, 9.4111) * CHOOSE(CONTROL!$C$21, $C$9, 100%, $E$9)</f>
        <v>9.4110999999999994</v>
      </c>
      <c r="N223" s="10">
        <f>CHOOSE(CONTROL!$C$42, 9.4262, 9.4262) * CHOOSE(CONTROL!$C$21, $C$9, 100%, $E$9)</f>
        <v>9.4261999999999997</v>
      </c>
      <c r="O223" s="10">
        <f>CHOOSE(CONTROL!$C$42, 9.6691, 9.6691) * CHOOSE(CONTROL!$C$21, $C$9, 100%, $E$9)</f>
        <v>9.6691000000000003</v>
      </c>
      <c r="P223" s="10">
        <f>CHOOSE(CONTROL!$C$42, 9.4411, 9.4411) * CHOOSE(CONTROL!$C$21, $C$9, 100%, $E$9)</f>
        <v>9.4411000000000005</v>
      </c>
      <c r="Q223" s="10">
        <f>CHOOSE(CONTROL!$C$42, 10.2644, 10.2644) * CHOOSE(CONTROL!$C$21, $C$9, 100%, $E$9)</f>
        <v>10.2644</v>
      </c>
      <c r="R223" s="10">
        <f>CHOOSE(CONTROL!$C$42, 10.8771, 10.8771) * CHOOSE(CONTROL!$C$21, $C$9, 100%, $E$9)</f>
        <v>10.8771</v>
      </c>
      <c r="S223" s="10">
        <f>CHOOSE(CONTROL!$C$42, 9.2439, 9.2439) * CHOOSE(CONTROL!$C$21, $C$9, 100%, $E$9)</f>
        <v>9.2439</v>
      </c>
      <c r="T2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57">
        <f>(1000*CHOOSE(CONTROL!$C$42, 695, 695)*CHOOSE(CONTROL!$C$42, 0.5599, 0.5599)*CHOOSE(CONTROL!$C$42, 31, 31))/1000000</f>
        <v>12.063045499999998</v>
      </c>
      <c r="V223" s="57">
        <f>(1000*CHOOSE(CONTROL!$C$42, 500, 500)*CHOOSE(CONTROL!$C$42, 0.275, 0.275)*CHOOSE(CONTROL!$C$42, 31, 31))/1000000</f>
        <v>4.2625000000000002</v>
      </c>
      <c r="W223" s="57">
        <f>(1000*CHOOSE(CONTROL!$C$42, 0.1146, 0.1146)*CHOOSE(CONTROL!$C$42, 121.5, 121.5)*CHOOSE(CONTROL!$C$42, 31, 31))/1000000</f>
        <v>0.43164089999999994</v>
      </c>
      <c r="X223" s="57">
        <f>(31*0.1790888*245000/1000000)+(31*0.2374*100000/1000000)</f>
        <v>2.0961194359999999</v>
      </c>
      <c r="Y223" s="57"/>
      <c r="Z223" s="10"/>
      <c r="AA223" s="56"/>
      <c r="AB223" s="50">
        <f>(B223*194.205+C223*267.466+D223*133.845+E223*53.484+F223*40+G223*185+H223*0+I223*100+J223*300)/(194.205+267.466+133.845+53.484+0+40+185+100+300)</f>
        <v>9.5482662905023545</v>
      </c>
      <c r="AC223" s="45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9.4912812949640291</v>
      </c>
    </row>
    <row r="224" spans="1:29" ht="15.75" x14ac:dyDescent="0.25">
      <c r="A224" s="16">
        <v>47696</v>
      </c>
      <c r="B224" s="10">
        <f>CHOOSE(CONTROL!$C$42, 9.0532, 9.0532) * CHOOSE(CONTROL!$C$21, $C$9, 100%, $E$9)</f>
        <v>9.0532000000000004</v>
      </c>
      <c r="C224" s="10">
        <f>CHOOSE(CONTROL!$C$42, 9.0611, 9.0611) * CHOOSE(CONTROL!$C$21, $C$9, 100%, $E$9)</f>
        <v>9.0610999999999997</v>
      </c>
      <c r="D224" s="10">
        <f>CHOOSE(CONTROL!$C$42, 9.2638, 9.2638) * CHOOSE(CONTROL!$C$21, $C$9, 100%, $E$9)</f>
        <v>9.2637999999999998</v>
      </c>
      <c r="E224" s="10">
        <f>CHOOSE(CONTROL!$C$42, 9.295, 9.295) * CHOOSE(CONTROL!$C$21, $C$9, 100%, $E$9)</f>
        <v>9.2949999999999999</v>
      </c>
      <c r="F224" s="10">
        <f>CHOOSE(CONTROL!$C$42, 9.0301, 9.0301)*CHOOSE(CONTROL!$C$21, $C$9, 100%, $E$9)</f>
        <v>9.0300999999999991</v>
      </c>
      <c r="G224" s="10">
        <f>CHOOSE(CONTROL!$C$42, 9.0455, 9.0455)*CHOOSE(CONTROL!$C$21, $C$9, 100%, $E$9)</f>
        <v>9.0455000000000005</v>
      </c>
      <c r="H224" s="10">
        <f>CHOOSE(CONTROL!$C$42, 9.2836, 9.2836) * CHOOSE(CONTROL!$C$21, $C$9, 100%, $E$9)</f>
        <v>9.2835999999999999</v>
      </c>
      <c r="I224" s="10">
        <f>CHOOSE(CONTROL!$C$42, 9.0532, 9.0532)* CHOOSE(CONTROL!$C$21, $C$9, 100%, $E$9)</f>
        <v>9.0532000000000004</v>
      </c>
      <c r="J224" s="10">
        <f>CHOOSE(CONTROL!$C$42, 9.0231, 9.0231)* CHOOSE(CONTROL!$C$21, $C$9, 100%, $E$9)</f>
        <v>9.0230999999999995</v>
      </c>
      <c r="K224" s="53">
        <f>CHOOSE(CONTROL!$C$42, 9.0493, 9.0493) * CHOOSE(CONTROL!$C$21, $C$9, 100%, $E$9)</f>
        <v>9.0493000000000006</v>
      </c>
      <c r="L224" s="10">
        <f>CHOOSE(CONTROL!$C$42, 9.8706, 9.8706) * CHOOSE(CONTROL!$C$21, $C$9, 100%, $E$9)</f>
        <v>9.8705999999999996</v>
      </c>
      <c r="M224" s="10">
        <f>CHOOSE(CONTROL!$C$42, 8.9459, 8.9459) * CHOOSE(CONTROL!$C$21, $C$9, 100%, $E$9)</f>
        <v>8.9459</v>
      </c>
      <c r="N224" s="10">
        <f>CHOOSE(CONTROL!$C$42, 8.9611, 8.9611) * CHOOSE(CONTROL!$C$21, $C$9, 100%, $E$9)</f>
        <v>8.9611000000000001</v>
      </c>
      <c r="O224" s="10">
        <f>CHOOSE(CONTROL!$C$42, 9.2038, 9.2038) * CHOOSE(CONTROL!$C$21, $C$9, 100%, $E$9)</f>
        <v>9.2037999999999993</v>
      </c>
      <c r="P224" s="10">
        <f>CHOOSE(CONTROL!$C$42, 8.9757, 8.9757) * CHOOSE(CONTROL!$C$21, $C$9, 100%, $E$9)</f>
        <v>8.9756999999999998</v>
      </c>
      <c r="Q224" s="10">
        <f>CHOOSE(CONTROL!$C$42, 9.7991, 9.7991) * CHOOSE(CONTROL!$C$21, $C$9, 100%, $E$9)</f>
        <v>9.7990999999999993</v>
      </c>
      <c r="R224" s="10">
        <f>CHOOSE(CONTROL!$C$42, 10.4105, 10.4105) * CHOOSE(CONTROL!$C$21, $C$9, 100%, $E$9)</f>
        <v>10.410500000000001</v>
      </c>
      <c r="S224" s="10">
        <f>CHOOSE(CONTROL!$C$42, 8.7873, 8.7873) * CHOOSE(CONTROL!$C$21, $C$9, 100%, $E$9)</f>
        <v>8.7873000000000001</v>
      </c>
      <c r="T2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57">
        <f>(1000*CHOOSE(CONTROL!$C$42, 695, 695)*CHOOSE(CONTROL!$C$42, 0.5599, 0.5599)*CHOOSE(CONTROL!$C$42, 31, 31))/1000000</f>
        <v>12.063045499999998</v>
      </c>
      <c r="V224" s="57">
        <f>(1000*CHOOSE(CONTROL!$C$42, 500, 500)*CHOOSE(CONTROL!$C$42, 0.275, 0.275)*CHOOSE(CONTROL!$C$42, 31, 31))/1000000</f>
        <v>4.2625000000000002</v>
      </c>
      <c r="W224" s="57">
        <f>(1000*CHOOSE(CONTROL!$C$42, 0.1146, 0.1146)*CHOOSE(CONTROL!$C$42, 121.5, 121.5)*CHOOSE(CONTROL!$C$42, 31, 31))/1000000</f>
        <v>0.43164089999999994</v>
      </c>
      <c r="X224" s="57">
        <f>(31*0.1790888*245000/1000000)+(31*0.2374*100000/1000000)</f>
        <v>2.0961194359999999</v>
      </c>
      <c r="Y224" s="57"/>
      <c r="Z224" s="10"/>
      <c r="AA224" s="56"/>
      <c r="AB224" s="50">
        <f>(B224*194.205+C224*267.466+D224*133.845+E224*53.484+F224*40+G224*185+H224*0+I224*100+J224*300)/(194.205+267.466+133.845+53.484+0+40+185+100+300)</f>
        <v>9.0782036653061233</v>
      </c>
      <c r="AC224" s="45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9.0260474820143894</v>
      </c>
    </row>
    <row r="225" spans="1:29" ht="15.75" x14ac:dyDescent="0.25">
      <c r="A225" s="16">
        <v>47727</v>
      </c>
      <c r="B225" s="10">
        <f>CHOOSE(CONTROL!$C$42, 8.4784, 8.4784) * CHOOSE(CONTROL!$C$21, $C$9, 100%, $E$9)</f>
        <v>8.4784000000000006</v>
      </c>
      <c r="C225" s="10">
        <f>CHOOSE(CONTROL!$C$42, 8.4863, 8.4863) * CHOOSE(CONTROL!$C$21, $C$9, 100%, $E$9)</f>
        <v>8.4863</v>
      </c>
      <c r="D225" s="10">
        <f>CHOOSE(CONTROL!$C$42, 8.689, 8.689) * CHOOSE(CONTROL!$C$21, $C$9, 100%, $E$9)</f>
        <v>8.6890000000000001</v>
      </c>
      <c r="E225" s="10">
        <f>CHOOSE(CONTROL!$C$42, 8.7202, 8.7202) * CHOOSE(CONTROL!$C$21, $C$9, 100%, $E$9)</f>
        <v>8.7202000000000002</v>
      </c>
      <c r="F225" s="10">
        <f>CHOOSE(CONTROL!$C$42, 8.4552, 8.4552)*CHOOSE(CONTROL!$C$21, $C$9, 100%, $E$9)</f>
        <v>8.4551999999999996</v>
      </c>
      <c r="G225" s="10">
        <f>CHOOSE(CONTROL!$C$42, 8.4705, 8.4705)*CHOOSE(CONTROL!$C$21, $C$9, 100%, $E$9)</f>
        <v>8.4704999999999995</v>
      </c>
      <c r="H225" s="10">
        <f>CHOOSE(CONTROL!$C$42, 8.7088, 8.7088) * CHOOSE(CONTROL!$C$21, $C$9, 100%, $E$9)</f>
        <v>8.7088000000000001</v>
      </c>
      <c r="I225" s="10">
        <f>CHOOSE(CONTROL!$C$42, 8.4784, 8.4784)* CHOOSE(CONTROL!$C$21, $C$9, 100%, $E$9)</f>
        <v>8.4784000000000006</v>
      </c>
      <c r="J225" s="10">
        <f>CHOOSE(CONTROL!$C$42, 8.4482, 8.4482)* CHOOSE(CONTROL!$C$21, $C$9, 100%, $E$9)</f>
        <v>8.4481999999999999</v>
      </c>
      <c r="K225" s="53">
        <f>CHOOSE(CONTROL!$C$42, 8.4745, 8.4745) * CHOOSE(CONTROL!$C$21, $C$9, 100%, $E$9)</f>
        <v>8.4745000000000008</v>
      </c>
      <c r="L225" s="10">
        <f>CHOOSE(CONTROL!$C$42, 9.2958, 9.2958) * CHOOSE(CONTROL!$C$21, $C$9, 100%, $E$9)</f>
        <v>9.2957999999999998</v>
      </c>
      <c r="M225" s="10">
        <f>CHOOSE(CONTROL!$C$42, 8.3768, 8.3768) * CHOOSE(CONTROL!$C$21, $C$9, 100%, $E$9)</f>
        <v>8.3767999999999994</v>
      </c>
      <c r="N225" s="10">
        <f>CHOOSE(CONTROL!$C$42, 8.3919, 8.3919) * CHOOSE(CONTROL!$C$21, $C$9, 100%, $E$9)</f>
        <v>8.3918999999999997</v>
      </c>
      <c r="O225" s="10">
        <f>CHOOSE(CONTROL!$C$42, 8.6347, 8.6347) * CHOOSE(CONTROL!$C$21, $C$9, 100%, $E$9)</f>
        <v>8.6347000000000005</v>
      </c>
      <c r="P225" s="10">
        <f>CHOOSE(CONTROL!$C$42, 8.4067, 8.4067) * CHOOSE(CONTROL!$C$21, $C$9, 100%, $E$9)</f>
        <v>8.4067000000000007</v>
      </c>
      <c r="Q225" s="10">
        <f>CHOOSE(CONTROL!$C$42, 9.23, 9.23) * CHOOSE(CONTROL!$C$21, $C$9, 100%, $E$9)</f>
        <v>9.23</v>
      </c>
      <c r="R225" s="10">
        <f>CHOOSE(CONTROL!$C$42, 9.8401, 9.8401) * CHOOSE(CONTROL!$C$21, $C$9, 100%, $E$9)</f>
        <v>9.8400999999999996</v>
      </c>
      <c r="S225" s="10">
        <f>CHOOSE(CONTROL!$C$42, 8.2291, 8.2291) * CHOOSE(CONTROL!$C$21, $C$9, 100%, $E$9)</f>
        <v>8.2291000000000007</v>
      </c>
      <c r="T2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57">
        <f>(1000*CHOOSE(CONTROL!$C$42, 695, 695)*CHOOSE(CONTROL!$C$42, 0.5599, 0.5599)*CHOOSE(CONTROL!$C$42, 30, 30))/1000000</f>
        <v>11.673914999999997</v>
      </c>
      <c r="V225" s="57">
        <f>(1000*CHOOSE(CONTROL!$C$42, 500, 500)*CHOOSE(CONTROL!$C$42, 0.275, 0.275)*CHOOSE(CONTROL!$C$42, 30, 30))/1000000</f>
        <v>4.125</v>
      </c>
      <c r="W225" s="57">
        <f>(1000*CHOOSE(CONTROL!$C$42, 0.1146, 0.1146)*CHOOSE(CONTROL!$C$42, 121.5, 121.5)*CHOOSE(CONTROL!$C$42, 30, 30))/1000000</f>
        <v>0.417717</v>
      </c>
      <c r="X225" s="57">
        <f>(30*0.1790888*245000/1000000)+(30*0.2374*100000/1000000)</f>
        <v>2.0285026799999999</v>
      </c>
      <c r="Y225" s="57"/>
      <c r="Z225" s="10"/>
      <c r="AA225" s="56"/>
      <c r="AB225" s="50">
        <f>(B225*194.205+C225*267.466+D225*133.845+E225*53.484+F225*40+G225*185+H225*0+I225*100+J225*300)/(194.205+267.466+133.845+53.484+0+40+185+100+300)</f>
        <v>8.5033479353218215</v>
      </c>
      <c r="AC225" s="45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8.4569388489208634</v>
      </c>
    </row>
    <row r="226" spans="1:29" ht="15.75" x14ac:dyDescent="0.25">
      <c r="A226" s="16">
        <v>47757</v>
      </c>
      <c r="B226" s="10">
        <f>CHOOSE(CONTROL!$C$42, 8.3046, 8.3046) * CHOOSE(CONTROL!$C$21, $C$9, 100%, $E$9)</f>
        <v>8.3046000000000006</v>
      </c>
      <c r="C226" s="10">
        <f>CHOOSE(CONTROL!$C$42, 8.3098, 8.3098) * CHOOSE(CONTROL!$C$21, $C$9, 100%, $E$9)</f>
        <v>8.3097999999999992</v>
      </c>
      <c r="D226" s="10">
        <f>CHOOSE(CONTROL!$C$42, 8.5175, 8.5175) * CHOOSE(CONTROL!$C$21, $C$9, 100%, $E$9)</f>
        <v>8.5175000000000001</v>
      </c>
      <c r="E226" s="10">
        <f>CHOOSE(CONTROL!$C$42, 8.5463, 8.5463) * CHOOSE(CONTROL!$C$21, $C$9, 100%, $E$9)</f>
        <v>8.5463000000000005</v>
      </c>
      <c r="F226" s="10">
        <f>CHOOSE(CONTROL!$C$42, 8.2833, 8.2833)*CHOOSE(CONTROL!$C$21, $C$9, 100%, $E$9)</f>
        <v>8.2833000000000006</v>
      </c>
      <c r="G226" s="10">
        <f>CHOOSE(CONTROL!$C$42, 8.2982, 8.2982)*CHOOSE(CONTROL!$C$21, $C$9, 100%, $E$9)</f>
        <v>8.2981999999999996</v>
      </c>
      <c r="H226" s="10">
        <f>CHOOSE(CONTROL!$C$42, 8.5368, 8.5368) * CHOOSE(CONTROL!$C$21, $C$9, 100%, $E$9)</f>
        <v>8.5367999999999995</v>
      </c>
      <c r="I226" s="10">
        <f>CHOOSE(CONTROL!$C$42, 8.3064, 8.3064)* CHOOSE(CONTROL!$C$21, $C$9, 100%, $E$9)</f>
        <v>8.3064</v>
      </c>
      <c r="J226" s="10">
        <f>CHOOSE(CONTROL!$C$42, 8.2763, 8.2763)* CHOOSE(CONTROL!$C$21, $C$9, 100%, $E$9)</f>
        <v>8.2763000000000009</v>
      </c>
      <c r="K226" s="53">
        <f>CHOOSE(CONTROL!$C$42, 8.3025, 8.3025) * CHOOSE(CONTROL!$C$21, $C$9, 100%, $E$9)</f>
        <v>8.3025000000000002</v>
      </c>
      <c r="L226" s="10">
        <f>CHOOSE(CONTROL!$C$42, 9.1238, 9.1238) * CHOOSE(CONTROL!$C$21, $C$9, 100%, $E$9)</f>
        <v>9.1237999999999992</v>
      </c>
      <c r="M226" s="10">
        <f>CHOOSE(CONTROL!$C$42, 8.2066, 8.2066) * CHOOSE(CONTROL!$C$21, $C$9, 100%, $E$9)</f>
        <v>8.2065999999999999</v>
      </c>
      <c r="N226" s="10">
        <f>CHOOSE(CONTROL!$C$42, 8.2214, 8.2214) * CHOOSE(CONTROL!$C$21, $C$9, 100%, $E$9)</f>
        <v>8.2213999999999992</v>
      </c>
      <c r="O226" s="10">
        <f>CHOOSE(CONTROL!$C$42, 8.4644, 8.4644) * CHOOSE(CONTROL!$C$21, $C$9, 100%, $E$9)</f>
        <v>8.4643999999999995</v>
      </c>
      <c r="P226" s="10">
        <f>CHOOSE(CONTROL!$C$42, 8.2364, 8.2364) * CHOOSE(CONTROL!$C$21, $C$9, 100%, $E$9)</f>
        <v>8.2363999999999997</v>
      </c>
      <c r="Q226" s="10">
        <f>CHOOSE(CONTROL!$C$42, 9.0597, 9.0597) * CHOOSE(CONTROL!$C$21, $C$9, 100%, $E$9)</f>
        <v>9.0596999999999994</v>
      </c>
      <c r="R226" s="10">
        <f>CHOOSE(CONTROL!$C$42, 9.6694, 9.6694) * CHOOSE(CONTROL!$C$21, $C$9, 100%, $E$9)</f>
        <v>9.6693999999999996</v>
      </c>
      <c r="S226" s="10">
        <f>CHOOSE(CONTROL!$C$42, 8.062, 8.062) * CHOOSE(CONTROL!$C$21, $C$9, 100%, $E$9)</f>
        <v>8.0619999999999994</v>
      </c>
      <c r="T2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57">
        <f>(1000*CHOOSE(CONTROL!$C$42, 695, 695)*CHOOSE(CONTROL!$C$42, 0.5599, 0.5599)*CHOOSE(CONTROL!$C$42, 31, 31))/1000000</f>
        <v>12.063045499999998</v>
      </c>
      <c r="V226" s="57">
        <f>(1000*CHOOSE(CONTROL!$C$42, 500, 500)*CHOOSE(CONTROL!$C$42, 0.275, 0.275)*CHOOSE(CONTROL!$C$42, 31, 31))/1000000</f>
        <v>4.2625000000000002</v>
      </c>
      <c r="W226" s="57">
        <f>(1000*CHOOSE(CONTROL!$C$42, 0.1146, 0.1146)*CHOOSE(CONTROL!$C$42, 121.5, 121.5)*CHOOSE(CONTROL!$C$42, 31, 31))/1000000</f>
        <v>0.43164089999999994</v>
      </c>
      <c r="X226" s="57">
        <f>(31*0.1790888*245000/1000000)+(31*0.2374*100000/1000000)</f>
        <v>2.0961194359999999</v>
      </c>
      <c r="Y226" s="57"/>
      <c r="Z226" s="10"/>
      <c r="AA226" s="56"/>
      <c r="AB226" s="50">
        <f>(B226*131.881+C226*277.167+D226*79.08+E226*125.872+F226*40+G226*185+H226*0+I226*100+J226*300)/(131.881+277.167+79.08+125.872+0+40+185+100+300)</f>
        <v>8.335556144309928</v>
      </c>
      <c r="AC226" s="45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8.286627338129497</v>
      </c>
    </row>
    <row r="227" spans="1:29" ht="15.75" x14ac:dyDescent="0.25">
      <c r="A227" s="16">
        <v>47788</v>
      </c>
      <c r="B227" s="10">
        <f>CHOOSE(CONTROL!$C$42, 8.5229, 8.5229) * CHOOSE(CONTROL!$C$21, $C$9, 100%, $E$9)</f>
        <v>8.5228999999999999</v>
      </c>
      <c r="C227" s="10">
        <f>CHOOSE(CONTROL!$C$42, 8.5278, 8.5278) * CHOOSE(CONTROL!$C$21, $C$9, 100%, $E$9)</f>
        <v>8.5277999999999992</v>
      </c>
      <c r="D227" s="10">
        <f>CHOOSE(CONTROL!$C$42, 8.5883, 8.5883) * CHOOSE(CONTROL!$C$21, $C$9, 100%, $E$9)</f>
        <v>8.5883000000000003</v>
      </c>
      <c r="E227" s="10">
        <f>CHOOSE(CONTROL!$C$42, 8.6221, 8.6221) * CHOOSE(CONTROL!$C$21, $C$9, 100%, $E$9)</f>
        <v>8.6220999999999997</v>
      </c>
      <c r="F227" s="10">
        <f>CHOOSE(CONTROL!$C$42, 8.5185, 8.5185)*CHOOSE(CONTROL!$C$21, $C$9, 100%, $E$9)</f>
        <v>8.5184999999999995</v>
      </c>
      <c r="G227" s="10">
        <f>CHOOSE(CONTROL!$C$42, 8.5337, 8.5337)*CHOOSE(CONTROL!$C$21, $C$9, 100%, $E$9)</f>
        <v>8.5336999999999996</v>
      </c>
      <c r="H227" s="10">
        <f>CHOOSE(CONTROL!$C$42, 8.6113, 8.6113) * CHOOSE(CONTROL!$C$21, $C$9, 100%, $E$9)</f>
        <v>8.6113</v>
      </c>
      <c r="I227" s="10">
        <f>CHOOSE(CONTROL!$C$42, 8.5354, 8.5354)* CHOOSE(CONTROL!$C$21, $C$9, 100%, $E$9)</f>
        <v>8.5353999999999992</v>
      </c>
      <c r="J227" s="10">
        <f>CHOOSE(CONTROL!$C$42, 8.5115, 8.5115)* CHOOSE(CONTROL!$C$21, $C$9, 100%, $E$9)</f>
        <v>8.5114999999999998</v>
      </c>
      <c r="K227" s="53">
        <f>CHOOSE(CONTROL!$C$42, 8.5315, 8.5315) * CHOOSE(CONTROL!$C$21, $C$9, 100%, $E$9)</f>
        <v>8.5314999999999994</v>
      </c>
      <c r="L227" s="10">
        <f>CHOOSE(CONTROL!$C$42, 9.1983, 9.1983) * CHOOSE(CONTROL!$C$21, $C$9, 100%, $E$9)</f>
        <v>9.1982999999999997</v>
      </c>
      <c r="M227" s="10">
        <f>CHOOSE(CONTROL!$C$42, 8.4394, 8.4394) * CHOOSE(CONTROL!$C$21, $C$9, 100%, $E$9)</f>
        <v>8.4393999999999991</v>
      </c>
      <c r="N227" s="10">
        <f>CHOOSE(CONTROL!$C$42, 8.4545, 8.4545) * CHOOSE(CONTROL!$C$21, $C$9, 100%, $E$9)</f>
        <v>8.4544999999999995</v>
      </c>
      <c r="O227" s="10">
        <f>CHOOSE(CONTROL!$C$42, 8.5382, 8.5382) * CHOOSE(CONTROL!$C$21, $C$9, 100%, $E$9)</f>
        <v>8.5381999999999998</v>
      </c>
      <c r="P227" s="10">
        <f>CHOOSE(CONTROL!$C$42, 8.4631, 8.4631) * CHOOSE(CONTROL!$C$21, $C$9, 100%, $E$9)</f>
        <v>8.4631000000000007</v>
      </c>
      <c r="Q227" s="10">
        <f>CHOOSE(CONTROL!$C$42, 9.1335, 9.1335) * CHOOSE(CONTROL!$C$21, $C$9, 100%, $E$9)</f>
        <v>9.1334999999999997</v>
      </c>
      <c r="R227" s="10">
        <f>CHOOSE(CONTROL!$C$42, 9.7433, 9.7433) * CHOOSE(CONTROL!$C$21, $C$9, 100%, $E$9)</f>
        <v>9.7432999999999996</v>
      </c>
      <c r="S227" s="10">
        <f>CHOOSE(CONTROL!$C$42, 8.2744, 8.2744) * CHOOSE(CONTROL!$C$21, $C$9, 100%, $E$9)</f>
        <v>8.2744</v>
      </c>
      <c r="T2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57">
        <f>(1000*CHOOSE(CONTROL!$C$42, 695, 695)*CHOOSE(CONTROL!$C$42, 0.5599, 0.5599)*CHOOSE(CONTROL!$C$42, 30, 30))/1000000</f>
        <v>11.673914999999997</v>
      </c>
      <c r="V227" s="57">
        <f>(1000*CHOOSE(CONTROL!$C$42, 500, 500)*CHOOSE(CONTROL!$C$42, 0.275, 0.275)*CHOOSE(CONTROL!$C$42, 30, 30))/1000000</f>
        <v>4.125</v>
      </c>
      <c r="W227" s="57">
        <f>(1000*CHOOSE(CONTROL!$C$42, 0.1146, 0.1146)*CHOOSE(CONTROL!$C$42, 121.5, 121.5)*CHOOSE(CONTROL!$C$42, 30, 30))/1000000</f>
        <v>0.417717</v>
      </c>
      <c r="X227" s="57">
        <f>(30*0.1790888*100000/1000000)+(30*0.2374*100000/1000000)</f>
        <v>1.2494664</v>
      </c>
      <c r="Y227" s="57"/>
      <c r="Z227" s="10"/>
      <c r="AA227" s="56"/>
      <c r="AB227" s="50">
        <f>(B227*122.58+C227*297.941+D227*89.177+E227*40.302+F227*40+G227*160+H227*0+I227*100+J227*300)/(122.58+297.941+89.177+40.302+0+40+160+100+300)</f>
        <v>8.5321800392173905</v>
      </c>
      <c r="AC227" s="45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8.4884589928057554</v>
      </c>
    </row>
    <row r="228" spans="1:29" ht="15.75" x14ac:dyDescent="0.25">
      <c r="A228" s="16">
        <v>47818</v>
      </c>
      <c r="B228" s="10">
        <f>CHOOSE(CONTROL!$C$42, 9.1037, 9.1037) * CHOOSE(CONTROL!$C$21, $C$9, 100%, $E$9)</f>
        <v>9.1036999999999999</v>
      </c>
      <c r="C228" s="10">
        <f>CHOOSE(CONTROL!$C$42, 9.1087, 9.1087) * CHOOSE(CONTROL!$C$21, $C$9, 100%, $E$9)</f>
        <v>9.1087000000000007</v>
      </c>
      <c r="D228" s="10">
        <f>CHOOSE(CONTROL!$C$42, 9.1692, 9.1692) * CHOOSE(CONTROL!$C$21, $C$9, 100%, $E$9)</f>
        <v>9.1692</v>
      </c>
      <c r="E228" s="10">
        <f>CHOOSE(CONTROL!$C$42, 9.203, 9.203) * CHOOSE(CONTROL!$C$21, $C$9, 100%, $E$9)</f>
        <v>9.2029999999999994</v>
      </c>
      <c r="F228" s="10">
        <f>CHOOSE(CONTROL!$C$42, 9.1012, 9.1012)*CHOOSE(CONTROL!$C$21, $C$9, 100%, $E$9)</f>
        <v>9.1012000000000004</v>
      </c>
      <c r="G228" s="10">
        <f>CHOOSE(CONTROL!$C$42, 9.1169, 9.1169)*CHOOSE(CONTROL!$C$21, $C$9, 100%, $E$9)</f>
        <v>9.1168999999999993</v>
      </c>
      <c r="H228" s="10">
        <f>CHOOSE(CONTROL!$C$42, 9.1922, 9.1922) * CHOOSE(CONTROL!$C$21, $C$9, 100%, $E$9)</f>
        <v>9.1921999999999997</v>
      </c>
      <c r="I228" s="10">
        <f>CHOOSE(CONTROL!$C$42, 9.1163, 9.1163)* CHOOSE(CONTROL!$C$21, $C$9, 100%, $E$9)</f>
        <v>9.1163000000000007</v>
      </c>
      <c r="J228" s="10">
        <f>CHOOSE(CONTROL!$C$42, 9.0942, 9.0942)* CHOOSE(CONTROL!$C$21, $C$9, 100%, $E$9)</f>
        <v>9.0942000000000007</v>
      </c>
      <c r="K228" s="53">
        <f>CHOOSE(CONTROL!$C$42, 9.1124, 9.1124) * CHOOSE(CONTROL!$C$21, $C$9, 100%, $E$9)</f>
        <v>9.1123999999999992</v>
      </c>
      <c r="L228" s="10">
        <f>CHOOSE(CONTROL!$C$42, 9.7792, 9.7792) * CHOOSE(CONTROL!$C$21, $C$9, 100%, $E$9)</f>
        <v>9.7791999999999994</v>
      </c>
      <c r="M228" s="10">
        <f>CHOOSE(CONTROL!$C$42, 9.0163, 9.0163) * CHOOSE(CONTROL!$C$21, $C$9, 100%, $E$9)</f>
        <v>9.0162999999999993</v>
      </c>
      <c r="N228" s="10">
        <f>CHOOSE(CONTROL!$C$42, 9.0318, 9.0318) * CHOOSE(CONTROL!$C$21, $C$9, 100%, $E$9)</f>
        <v>9.0318000000000005</v>
      </c>
      <c r="O228" s="10">
        <f>CHOOSE(CONTROL!$C$42, 9.1132, 9.1132) * CHOOSE(CONTROL!$C$21, $C$9, 100%, $E$9)</f>
        <v>9.1132000000000009</v>
      </c>
      <c r="P228" s="10">
        <f>CHOOSE(CONTROL!$C$42, 9.0381, 9.0381) * CHOOSE(CONTROL!$C$21, $C$9, 100%, $E$9)</f>
        <v>9.0381</v>
      </c>
      <c r="Q228" s="10">
        <f>CHOOSE(CONTROL!$C$42, 9.7085, 9.7085) * CHOOSE(CONTROL!$C$21, $C$9, 100%, $E$9)</f>
        <v>9.7085000000000008</v>
      </c>
      <c r="R228" s="10">
        <f>CHOOSE(CONTROL!$C$42, 10.3198, 10.3198) * CHOOSE(CONTROL!$C$21, $C$9, 100%, $E$9)</f>
        <v>10.319800000000001</v>
      </c>
      <c r="S228" s="10">
        <f>CHOOSE(CONTROL!$C$42, 8.8385, 8.8385) * CHOOSE(CONTROL!$C$21, $C$9, 100%, $E$9)</f>
        <v>8.8384999999999998</v>
      </c>
      <c r="T2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57">
        <f>(1000*CHOOSE(CONTROL!$C$42, 695, 695)*CHOOSE(CONTROL!$C$42, 0.5599, 0.5599)*CHOOSE(CONTROL!$C$42, 31, 31))/1000000</f>
        <v>12.063045499999998</v>
      </c>
      <c r="V228" s="57">
        <f>(1000*CHOOSE(CONTROL!$C$42, 500, 500)*CHOOSE(CONTROL!$C$42, 0.275, 0.275)*CHOOSE(CONTROL!$C$42, 31, 31))/1000000</f>
        <v>4.2625000000000002</v>
      </c>
      <c r="W228" s="57">
        <f>(1000*CHOOSE(CONTROL!$C$42, 0.1146, 0.1146)*CHOOSE(CONTROL!$C$42, 121.5, 121.5)*CHOOSE(CONTROL!$C$42, 31, 31))/1000000</f>
        <v>0.43164089999999994</v>
      </c>
      <c r="X228" s="57">
        <f>(31*0.1790888*100000/1000000)+(31*0.2374*100000/1000000)</f>
        <v>1.2911152800000001</v>
      </c>
      <c r="Y228" s="57"/>
      <c r="Z228" s="10"/>
      <c r="AA228" s="56"/>
      <c r="AB228" s="50">
        <f>(B228*122.58+C228*297.941+D228*89.177+E228*40.302+F228*40+G228*160+H228*0+I228*100+J228*300)/(122.58+297.941+89.177+40.302+0+40+160+100+300)</f>
        <v>9.1139215539999991</v>
      </c>
      <c r="AC228" s="45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9.0642474820143892</v>
      </c>
    </row>
    <row r="229" spans="1:29" ht="15.75" x14ac:dyDescent="0.25">
      <c r="A229" s="16">
        <v>47849</v>
      </c>
      <c r="B229" s="10">
        <f>CHOOSE(CONTROL!$C$42, 9.8494, 9.8494) * CHOOSE(CONTROL!$C$21, $C$9, 100%, $E$9)</f>
        <v>9.8493999999999993</v>
      </c>
      <c r="C229" s="10">
        <f>CHOOSE(CONTROL!$C$42, 9.8544, 9.8544) * CHOOSE(CONTROL!$C$21, $C$9, 100%, $E$9)</f>
        <v>9.8544</v>
      </c>
      <c r="D229" s="10">
        <f>CHOOSE(CONTROL!$C$42, 9.9115, 9.9115) * CHOOSE(CONTROL!$C$21, $C$9, 100%, $E$9)</f>
        <v>9.9115000000000002</v>
      </c>
      <c r="E229" s="10">
        <f>CHOOSE(CONTROL!$C$42, 9.9452, 9.9452) * CHOOSE(CONTROL!$C$21, $C$9, 100%, $E$9)</f>
        <v>9.9451999999999998</v>
      </c>
      <c r="F229" s="10">
        <f>CHOOSE(CONTROL!$C$42, 9.8472, 9.8472)*CHOOSE(CONTROL!$C$21, $C$9, 100%, $E$9)</f>
        <v>9.8472000000000008</v>
      </c>
      <c r="G229" s="10">
        <f>CHOOSE(CONTROL!$C$42, 9.8619, 9.8619)*CHOOSE(CONTROL!$C$21, $C$9, 100%, $E$9)</f>
        <v>9.8619000000000003</v>
      </c>
      <c r="H229" s="10">
        <f>CHOOSE(CONTROL!$C$42, 9.9344, 9.9344) * CHOOSE(CONTROL!$C$21, $C$9, 100%, $E$9)</f>
        <v>9.9344000000000001</v>
      </c>
      <c r="I229" s="10">
        <f>CHOOSE(CONTROL!$C$42, 9.8602, 9.8602)* CHOOSE(CONTROL!$C$21, $C$9, 100%, $E$9)</f>
        <v>9.8602000000000007</v>
      </c>
      <c r="J229" s="10">
        <f>CHOOSE(CONTROL!$C$42, 9.8402, 9.8402)* CHOOSE(CONTROL!$C$21, $C$9, 100%, $E$9)</f>
        <v>9.8401999999999994</v>
      </c>
      <c r="K229" s="53">
        <f>CHOOSE(CONTROL!$C$42, 9.8563, 9.8563) * CHOOSE(CONTROL!$C$21, $C$9, 100%, $E$9)</f>
        <v>9.8562999999999992</v>
      </c>
      <c r="L229" s="10">
        <f>CHOOSE(CONTROL!$C$42, 10.5214, 10.5214) * CHOOSE(CONTROL!$C$21, $C$9, 100%, $E$9)</f>
        <v>10.5214</v>
      </c>
      <c r="M229" s="10">
        <f>CHOOSE(CONTROL!$C$42, 9.7548, 9.7548) * CHOOSE(CONTROL!$C$21, $C$9, 100%, $E$9)</f>
        <v>9.7547999999999995</v>
      </c>
      <c r="N229" s="10">
        <f>CHOOSE(CONTROL!$C$42, 9.7692, 9.7692) * CHOOSE(CONTROL!$C$21, $C$9, 100%, $E$9)</f>
        <v>9.7691999999999997</v>
      </c>
      <c r="O229" s="10">
        <f>CHOOSE(CONTROL!$C$42, 9.848, 9.848) * CHOOSE(CONTROL!$C$21, $C$9, 100%, $E$9)</f>
        <v>9.8480000000000008</v>
      </c>
      <c r="P229" s="10">
        <f>CHOOSE(CONTROL!$C$42, 9.7746, 9.7746) * CHOOSE(CONTROL!$C$21, $C$9, 100%, $E$9)</f>
        <v>9.7745999999999995</v>
      </c>
      <c r="Q229" s="10">
        <f>CHOOSE(CONTROL!$C$42, 10.4433, 10.4433) * CHOOSE(CONTROL!$C$21, $C$9, 100%, $E$9)</f>
        <v>10.443300000000001</v>
      </c>
      <c r="R229" s="10">
        <f>CHOOSE(CONTROL!$C$42, 11.0564, 11.0564) * CHOOSE(CONTROL!$C$21, $C$9, 100%, $E$9)</f>
        <v>11.0564</v>
      </c>
      <c r="S229" s="10">
        <f>CHOOSE(CONTROL!$C$42, 9.5626, 9.5626) * CHOOSE(CONTROL!$C$21, $C$9, 100%, $E$9)</f>
        <v>9.5625999999999998</v>
      </c>
      <c r="T2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57">
        <f>(1000*CHOOSE(CONTROL!$C$42, 695, 695)*CHOOSE(CONTROL!$C$42, 0.5599, 0.5599)*CHOOSE(CONTROL!$C$42, 31, 31))/1000000</f>
        <v>12.063045499999998</v>
      </c>
      <c r="V229" s="57">
        <f>(1000*CHOOSE(CONTROL!$C$42, 500, 500)*CHOOSE(CONTROL!$C$42, 0.275, 0.275)*CHOOSE(CONTROL!$C$42, 31, 31))/1000000</f>
        <v>4.2625000000000002</v>
      </c>
      <c r="W229" s="57">
        <f>(1000*CHOOSE(CONTROL!$C$42, 0.1146, 0.1146)*CHOOSE(CONTROL!$C$42, 121.5, 121.5)*CHOOSE(CONTROL!$C$42, 31, 31))/1000000</f>
        <v>0.43164089999999994</v>
      </c>
      <c r="X229" s="57">
        <f>(31*0.1790888*100000/1000000)+(31*0.2374*100000/1000000)</f>
        <v>1.2911152800000001</v>
      </c>
      <c r="Y229" s="57"/>
      <c r="Z229" s="10"/>
      <c r="AA229" s="56"/>
      <c r="AB229" s="50">
        <f>(B229*122.58+C229*297.941+D229*89.177+E229*40.302+F229*40+G229*160+H229*0+I229*100+J229*300)/(122.58+297.941+89.177+40.302+0+40+160+100+300)</f>
        <v>9.8590700246086946</v>
      </c>
      <c r="AC229" s="45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9.8007194244604321</v>
      </c>
    </row>
    <row r="230" spans="1:29" ht="15.75" x14ac:dyDescent="0.25">
      <c r="A230" s="16">
        <v>47880</v>
      </c>
      <c r="B230" s="10">
        <f>CHOOSE(CONTROL!$C$42, 10.0247, 10.0247) * CHOOSE(CONTROL!$C$21, $C$9, 100%, $E$9)</f>
        <v>10.024699999999999</v>
      </c>
      <c r="C230" s="10">
        <f>CHOOSE(CONTROL!$C$42, 10.0297, 10.0297) * CHOOSE(CONTROL!$C$21, $C$9, 100%, $E$9)</f>
        <v>10.0297</v>
      </c>
      <c r="D230" s="10">
        <f>CHOOSE(CONTROL!$C$42, 10.0867, 10.0867) * CHOOSE(CONTROL!$C$21, $C$9, 100%, $E$9)</f>
        <v>10.0867</v>
      </c>
      <c r="E230" s="10">
        <f>CHOOSE(CONTROL!$C$42, 10.1205, 10.1205) * CHOOSE(CONTROL!$C$21, $C$9, 100%, $E$9)</f>
        <v>10.1205</v>
      </c>
      <c r="F230" s="10">
        <f>CHOOSE(CONTROL!$C$42, 10.0226, 10.0226)*CHOOSE(CONTROL!$C$21, $C$9, 100%, $E$9)</f>
        <v>10.022600000000001</v>
      </c>
      <c r="G230" s="10">
        <f>CHOOSE(CONTROL!$C$42, 10.0373, 10.0373)*CHOOSE(CONTROL!$C$21, $C$9, 100%, $E$9)</f>
        <v>10.0373</v>
      </c>
      <c r="H230" s="10">
        <f>CHOOSE(CONTROL!$C$42, 10.1097, 10.1097) * CHOOSE(CONTROL!$C$21, $C$9, 100%, $E$9)</f>
        <v>10.1097</v>
      </c>
      <c r="I230" s="10">
        <f>CHOOSE(CONTROL!$C$42, 10.0355, 10.0355)* CHOOSE(CONTROL!$C$21, $C$9, 100%, $E$9)</f>
        <v>10.035500000000001</v>
      </c>
      <c r="J230" s="10">
        <f>CHOOSE(CONTROL!$C$42, 10.0156, 10.0156)* CHOOSE(CONTROL!$C$21, $C$9, 100%, $E$9)</f>
        <v>10.015599999999999</v>
      </c>
      <c r="K230" s="53">
        <f>CHOOSE(CONTROL!$C$42, 10.0316, 10.0316) * CHOOSE(CONTROL!$C$21, $C$9, 100%, $E$9)</f>
        <v>10.031599999999999</v>
      </c>
      <c r="L230" s="10">
        <f>CHOOSE(CONTROL!$C$42, 10.6967, 10.6967) * CHOOSE(CONTROL!$C$21, $C$9, 100%, $E$9)</f>
        <v>10.6967</v>
      </c>
      <c r="M230" s="10">
        <f>CHOOSE(CONTROL!$C$42, 9.9284, 9.9284) * CHOOSE(CONTROL!$C$21, $C$9, 100%, $E$9)</f>
        <v>9.9283999999999999</v>
      </c>
      <c r="N230" s="10">
        <f>CHOOSE(CONTROL!$C$42, 9.9429, 9.9429) * CHOOSE(CONTROL!$C$21, $C$9, 100%, $E$9)</f>
        <v>9.9428999999999998</v>
      </c>
      <c r="O230" s="10">
        <f>CHOOSE(CONTROL!$C$42, 10.0215, 10.0215) * CHOOSE(CONTROL!$C$21, $C$9, 100%, $E$9)</f>
        <v>10.0215</v>
      </c>
      <c r="P230" s="10">
        <f>CHOOSE(CONTROL!$C$42, 9.9481, 9.9481) * CHOOSE(CONTROL!$C$21, $C$9, 100%, $E$9)</f>
        <v>9.9481000000000002</v>
      </c>
      <c r="Q230" s="10">
        <f>CHOOSE(CONTROL!$C$42, 10.6168, 10.6168) * CHOOSE(CONTROL!$C$21, $C$9, 100%, $E$9)</f>
        <v>10.6168</v>
      </c>
      <c r="R230" s="10">
        <f>CHOOSE(CONTROL!$C$42, 11.2304, 11.2304) * CHOOSE(CONTROL!$C$21, $C$9, 100%, $E$9)</f>
        <v>11.230399999999999</v>
      </c>
      <c r="S230" s="10">
        <f>CHOOSE(CONTROL!$C$42, 9.7329, 9.7329) * CHOOSE(CONTROL!$C$21, $C$9, 100%, $E$9)</f>
        <v>9.7329000000000008</v>
      </c>
      <c r="T2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30" s="57">
        <f>(1000*CHOOSE(CONTROL!$C$42, 695, 695)*CHOOSE(CONTROL!$C$42, 0.5599, 0.5599)*CHOOSE(CONTROL!$C$42, 28, 28))/1000000</f>
        <v>10.895653999999999</v>
      </c>
      <c r="V230" s="57">
        <f>(1000*CHOOSE(CONTROL!$C$42, 500, 500)*CHOOSE(CONTROL!$C$42, 0.275, 0.275)*CHOOSE(CONTROL!$C$42, 28, 28))/1000000</f>
        <v>3.85</v>
      </c>
      <c r="W230" s="57">
        <f>(1000*CHOOSE(CONTROL!$C$42, 0.1146, 0.1146)*CHOOSE(CONTROL!$C$42, 121.5, 121.5)*CHOOSE(CONTROL!$C$42, 28, 28))/1000000</f>
        <v>0.38986920000000003</v>
      </c>
      <c r="X230" s="57">
        <f>(28*0.1790888*100000/1000000)+(28*0.2374*100000/1000000)</f>
        <v>1.16616864</v>
      </c>
      <c r="Y230" s="57"/>
      <c r="Z230" s="10"/>
      <c r="AA230" s="56"/>
      <c r="AB230" s="50">
        <f>(B230*122.58+C230*297.941+D230*89.177+E230*40.302+F230*40+G230*160+H230*0+I230*100+J230*300)/(122.58+297.941+89.177+40.302+0+40+160+100+300)</f>
        <v>10.034405748347826</v>
      </c>
      <c r="AC230" s="45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9.9742654676258997</v>
      </c>
    </row>
    <row r="231" spans="1:29" ht="15.75" x14ac:dyDescent="0.25">
      <c r="A231" s="16">
        <v>47908</v>
      </c>
      <c r="B231" s="10">
        <f>CHOOSE(CONTROL!$C$42, 9.7402, 9.7402) * CHOOSE(CONTROL!$C$21, $C$9, 100%, $E$9)</f>
        <v>9.7401999999999997</v>
      </c>
      <c r="C231" s="10">
        <f>CHOOSE(CONTROL!$C$42, 9.7451, 9.7451) * CHOOSE(CONTROL!$C$21, $C$9, 100%, $E$9)</f>
        <v>9.7451000000000008</v>
      </c>
      <c r="D231" s="10">
        <f>CHOOSE(CONTROL!$C$42, 9.8022, 9.8022) * CHOOSE(CONTROL!$C$21, $C$9, 100%, $E$9)</f>
        <v>9.8021999999999991</v>
      </c>
      <c r="E231" s="10">
        <f>CHOOSE(CONTROL!$C$42, 9.836, 9.836) * CHOOSE(CONTROL!$C$21, $C$9, 100%, $E$9)</f>
        <v>9.8360000000000003</v>
      </c>
      <c r="F231" s="10">
        <f>CHOOSE(CONTROL!$C$42, 9.738, 9.738)*CHOOSE(CONTROL!$C$21, $C$9, 100%, $E$9)</f>
        <v>9.7379999999999995</v>
      </c>
      <c r="G231" s="10">
        <f>CHOOSE(CONTROL!$C$42, 9.7526, 9.7526)*CHOOSE(CONTROL!$C$21, $C$9, 100%, $E$9)</f>
        <v>9.7525999999999993</v>
      </c>
      <c r="H231" s="10">
        <f>CHOOSE(CONTROL!$C$42, 9.8252, 9.8252) * CHOOSE(CONTROL!$C$21, $C$9, 100%, $E$9)</f>
        <v>9.8252000000000006</v>
      </c>
      <c r="I231" s="10">
        <f>CHOOSE(CONTROL!$C$42, 9.751, 9.751)* CHOOSE(CONTROL!$C$21, $C$9, 100%, $E$9)</f>
        <v>9.7509999999999994</v>
      </c>
      <c r="J231" s="10">
        <f>CHOOSE(CONTROL!$C$42, 9.731, 9.731)* CHOOSE(CONTROL!$C$21, $C$9, 100%, $E$9)</f>
        <v>9.7309999999999999</v>
      </c>
      <c r="K231" s="53">
        <f>CHOOSE(CONTROL!$C$42, 9.7471, 9.7471) * CHOOSE(CONTROL!$C$21, $C$9, 100%, $E$9)</f>
        <v>9.7470999999999997</v>
      </c>
      <c r="L231" s="10">
        <f>CHOOSE(CONTROL!$C$42, 10.4122, 10.4122) * CHOOSE(CONTROL!$C$21, $C$9, 100%, $E$9)</f>
        <v>10.4122</v>
      </c>
      <c r="M231" s="10">
        <f>CHOOSE(CONTROL!$C$42, 9.6466, 9.6466) * CHOOSE(CONTROL!$C$21, $C$9, 100%, $E$9)</f>
        <v>9.6465999999999994</v>
      </c>
      <c r="N231" s="10">
        <f>CHOOSE(CONTROL!$C$42, 9.6611, 9.6611) * CHOOSE(CONTROL!$C$21, $C$9, 100%, $E$9)</f>
        <v>9.6610999999999994</v>
      </c>
      <c r="O231" s="10">
        <f>CHOOSE(CONTROL!$C$42, 9.7399, 9.7399) * CHOOSE(CONTROL!$C$21, $C$9, 100%, $E$9)</f>
        <v>9.7399000000000004</v>
      </c>
      <c r="P231" s="10">
        <f>CHOOSE(CONTROL!$C$42, 9.6664, 9.6664) * CHOOSE(CONTROL!$C$21, $C$9, 100%, $E$9)</f>
        <v>9.6663999999999994</v>
      </c>
      <c r="Q231" s="10">
        <f>CHOOSE(CONTROL!$C$42, 10.3352, 10.3352) * CHOOSE(CONTROL!$C$21, $C$9, 100%, $E$9)</f>
        <v>10.3352</v>
      </c>
      <c r="R231" s="10">
        <f>CHOOSE(CONTROL!$C$42, 10.948, 10.948) * CHOOSE(CONTROL!$C$21, $C$9, 100%, $E$9)</f>
        <v>10.948</v>
      </c>
      <c r="S231" s="10">
        <f>CHOOSE(CONTROL!$C$42, 9.4566, 9.4566) * CHOOSE(CONTROL!$C$21, $C$9, 100%, $E$9)</f>
        <v>9.4565999999999999</v>
      </c>
      <c r="T2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57">
        <f>(1000*CHOOSE(CONTROL!$C$42, 695, 695)*CHOOSE(CONTROL!$C$42, 0.5599, 0.5599)*CHOOSE(CONTROL!$C$42, 31, 31))/1000000</f>
        <v>12.063045499999998</v>
      </c>
      <c r="V231" s="57">
        <f>(1000*CHOOSE(CONTROL!$C$42, 500, 500)*CHOOSE(CONTROL!$C$42, 0.275, 0.275)*CHOOSE(CONTROL!$C$42, 31, 31))/1000000</f>
        <v>4.2625000000000002</v>
      </c>
      <c r="W231" s="57">
        <f>(1000*CHOOSE(CONTROL!$C$42, 0.1146, 0.1146)*CHOOSE(CONTROL!$C$42, 121.5, 121.5)*CHOOSE(CONTROL!$C$42, 31, 31))/1000000</f>
        <v>0.43164089999999994</v>
      </c>
      <c r="X231" s="57">
        <f>(31*0.1790888*100000/1000000)+(31*0.2374*100000/1000000)</f>
        <v>1.2911152800000001</v>
      </c>
      <c r="Y231" s="57"/>
      <c r="Z231" s="10"/>
      <c r="AA231" s="56"/>
      <c r="AB231" s="50">
        <f>(B231*122.58+C231*297.941+D231*89.177+E231*40.302+F231*40+G231*160+H231*0+I231*100+J231*300)/(122.58+297.941+89.177+40.302+0+40+160+100+300)</f>
        <v>9.7498224491304359</v>
      </c>
      <c r="AC231" s="45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9.692570503597123</v>
      </c>
    </row>
    <row r="232" spans="1:29" ht="15.75" x14ac:dyDescent="0.25">
      <c r="A232" s="16">
        <v>47939</v>
      </c>
      <c r="B232" s="10">
        <f>CHOOSE(CONTROL!$C$42, 9.7122, 9.7122) * CHOOSE(CONTROL!$C$21, $C$9, 100%, $E$9)</f>
        <v>9.7121999999999993</v>
      </c>
      <c r="C232" s="10">
        <f>CHOOSE(CONTROL!$C$42, 9.7166, 9.7166) * CHOOSE(CONTROL!$C$21, $C$9, 100%, $E$9)</f>
        <v>9.7165999999999997</v>
      </c>
      <c r="D232" s="10">
        <f>CHOOSE(CONTROL!$C$42, 9.9225, 9.9225) * CHOOSE(CONTROL!$C$21, $C$9, 100%, $E$9)</f>
        <v>9.9224999999999994</v>
      </c>
      <c r="E232" s="10">
        <f>CHOOSE(CONTROL!$C$42, 9.9542, 9.9542) * CHOOSE(CONTROL!$C$21, $C$9, 100%, $E$9)</f>
        <v>9.9542000000000002</v>
      </c>
      <c r="F232" s="10">
        <f>CHOOSE(CONTROL!$C$42, 9.689, 9.689)*CHOOSE(CONTROL!$C$21, $C$9, 100%, $E$9)</f>
        <v>9.6890000000000001</v>
      </c>
      <c r="G232" s="10">
        <f>CHOOSE(CONTROL!$C$42, 9.7035, 9.7035)*CHOOSE(CONTROL!$C$21, $C$9, 100%, $E$9)</f>
        <v>9.7035</v>
      </c>
      <c r="H232" s="10">
        <f>CHOOSE(CONTROL!$C$42, 9.944, 9.944) * CHOOSE(CONTROL!$C$21, $C$9, 100%, $E$9)</f>
        <v>9.9440000000000008</v>
      </c>
      <c r="I232" s="10">
        <f>CHOOSE(CONTROL!$C$42, 9.7136, 9.7136)* CHOOSE(CONTROL!$C$21, $C$9, 100%, $E$9)</f>
        <v>9.7135999999999996</v>
      </c>
      <c r="J232" s="10">
        <f>CHOOSE(CONTROL!$C$42, 9.682, 9.682)* CHOOSE(CONTROL!$C$21, $C$9, 100%, $E$9)</f>
        <v>9.6820000000000004</v>
      </c>
      <c r="K232" s="53">
        <f>CHOOSE(CONTROL!$C$42, 9.7097, 9.7097) * CHOOSE(CONTROL!$C$21, $C$9, 100%, $E$9)</f>
        <v>9.7096999999999998</v>
      </c>
      <c r="L232" s="10">
        <f>CHOOSE(CONTROL!$C$42, 10.531, 10.531) * CHOOSE(CONTROL!$C$21, $C$9, 100%, $E$9)</f>
        <v>10.531000000000001</v>
      </c>
      <c r="M232" s="10">
        <f>CHOOSE(CONTROL!$C$42, 9.5981, 9.5981) * CHOOSE(CONTROL!$C$21, $C$9, 100%, $E$9)</f>
        <v>9.5981000000000005</v>
      </c>
      <c r="N232" s="10">
        <f>CHOOSE(CONTROL!$C$42, 9.6125, 9.6125) * CHOOSE(CONTROL!$C$21, $C$9, 100%, $E$9)</f>
        <v>9.6125000000000007</v>
      </c>
      <c r="O232" s="10">
        <f>CHOOSE(CONTROL!$C$42, 9.8575, 9.8575) * CHOOSE(CONTROL!$C$21, $C$9, 100%, $E$9)</f>
        <v>9.8574999999999999</v>
      </c>
      <c r="P232" s="10">
        <f>CHOOSE(CONTROL!$C$42, 9.6295, 9.6295) * CHOOSE(CONTROL!$C$21, $C$9, 100%, $E$9)</f>
        <v>9.6295000000000002</v>
      </c>
      <c r="Q232" s="10">
        <f>CHOOSE(CONTROL!$C$42, 10.4528, 10.4528) * CHOOSE(CONTROL!$C$21, $C$9, 100%, $E$9)</f>
        <v>10.4528</v>
      </c>
      <c r="R232" s="10">
        <f>CHOOSE(CONTROL!$C$42, 11.0659, 11.0659) * CHOOSE(CONTROL!$C$21, $C$9, 100%, $E$9)</f>
        <v>11.065899999999999</v>
      </c>
      <c r="S232" s="10">
        <f>CHOOSE(CONTROL!$C$42, 9.4286, 9.4286) * CHOOSE(CONTROL!$C$21, $C$9, 100%, $E$9)</f>
        <v>9.4285999999999994</v>
      </c>
      <c r="T2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57">
        <f>(1000*CHOOSE(CONTROL!$C$42, 695, 695)*CHOOSE(CONTROL!$C$42, 0.5599, 0.5599)*CHOOSE(CONTROL!$C$42, 30, 30))/1000000</f>
        <v>11.673914999999997</v>
      </c>
      <c r="V232" s="57">
        <f>(1000*CHOOSE(CONTROL!$C$42, 500, 500)*CHOOSE(CONTROL!$C$42, 0.275, 0.275)*CHOOSE(CONTROL!$C$42, 30, 30))/1000000</f>
        <v>4.125</v>
      </c>
      <c r="W232" s="57">
        <f>(1000*CHOOSE(CONTROL!$C$42, 0.1146, 0.1146)*CHOOSE(CONTROL!$C$42, 121.5, 121.5)*CHOOSE(CONTROL!$C$42, 30, 30))/1000000</f>
        <v>0.417717</v>
      </c>
      <c r="X232" s="57">
        <f>(30*0.1790888*245000/1000000)+(30*0.2374*100000/1000000)</f>
        <v>2.0285026799999999</v>
      </c>
      <c r="Y232" s="57"/>
      <c r="Z232" s="10"/>
      <c r="AA232" s="56"/>
      <c r="AB232" s="50">
        <f>(B232*141.293+C232*267.993+D232*115.016+E232*89.698+F232*40+G232*185+H232*0+I232*100+J232*300)/(141.293+267.993+115.016+89.698+0+40+185+100+300)</f>
        <v>9.7409461259079908</v>
      </c>
      <c r="AC232" s="45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9.6787143884892082</v>
      </c>
    </row>
    <row r="233" spans="1:29" ht="15.75" x14ac:dyDescent="0.25">
      <c r="A233" s="16">
        <v>47969</v>
      </c>
      <c r="B233" s="10">
        <f>CHOOSE(CONTROL!$C$42, 9.7993, 9.7993) * CHOOSE(CONTROL!$C$21, $C$9, 100%, $E$9)</f>
        <v>9.7993000000000006</v>
      </c>
      <c r="C233" s="10">
        <f>CHOOSE(CONTROL!$C$42, 9.8072, 9.8072) * CHOOSE(CONTROL!$C$21, $C$9, 100%, $E$9)</f>
        <v>9.8071999999999999</v>
      </c>
      <c r="D233" s="10">
        <f>CHOOSE(CONTROL!$C$42, 10.0099, 10.0099) * CHOOSE(CONTROL!$C$21, $C$9, 100%, $E$9)</f>
        <v>10.0099</v>
      </c>
      <c r="E233" s="10">
        <f>CHOOSE(CONTROL!$C$42, 10.0411, 10.0411) * CHOOSE(CONTROL!$C$21, $C$9, 100%, $E$9)</f>
        <v>10.0411</v>
      </c>
      <c r="F233" s="10">
        <f>CHOOSE(CONTROL!$C$42, 9.775, 9.775)*CHOOSE(CONTROL!$C$21, $C$9, 100%, $E$9)</f>
        <v>9.7750000000000004</v>
      </c>
      <c r="G233" s="10">
        <f>CHOOSE(CONTROL!$C$42, 9.79, 9.79)*CHOOSE(CONTROL!$C$21, $C$9, 100%, $E$9)</f>
        <v>9.7899999999999991</v>
      </c>
      <c r="H233" s="10">
        <f>CHOOSE(CONTROL!$C$42, 10.0297, 10.0297) * CHOOSE(CONTROL!$C$21, $C$9, 100%, $E$9)</f>
        <v>10.0297</v>
      </c>
      <c r="I233" s="10">
        <f>CHOOSE(CONTROL!$C$42, 9.7993, 9.7993)* CHOOSE(CONTROL!$C$21, $C$9, 100%, $E$9)</f>
        <v>9.7993000000000006</v>
      </c>
      <c r="J233" s="10">
        <f>CHOOSE(CONTROL!$C$42, 9.768, 9.768)* CHOOSE(CONTROL!$C$21, $C$9, 100%, $E$9)</f>
        <v>9.7680000000000007</v>
      </c>
      <c r="K233" s="53">
        <f>CHOOSE(CONTROL!$C$42, 9.7954, 9.7954) * CHOOSE(CONTROL!$C$21, $C$9, 100%, $E$9)</f>
        <v>9.7954000000000008</v>
      </c>
      <c r="L233" s="10">
        <f>CHOOSE(CONTROL!$C$42, 10.6167, 10.6167) * CHOOSE(CONTROL!$C$21, $C$9, 100%, $E$9)</f>
        <v>10.6167</v>
      </c>
      <c r="M233" s="10">
        <f>CHOOSE(CONTROL!$C$42, 9.6833, 9.6833) * CHOOSE(CONTROL!$C$21, $C$9, 100%, $E$9)</f>
        <v>9.6832999999999991</v>
      </c>
      <c r="N233" s="10">
        <f>CHOOSE(CONTROL!$C$42, 9.6981, 9.6981) * CHOOSE(CONTROL!$C$21, $C$9, 100%, $E$9)</f>
        <v>9.6981000000000002</v>
      </c>
      <c r="O233" s="10">
        <f>CHOOSE(CONTROL!$C$42, 9.9423, 9.9423) * CHOOSE(CONTROL!$C$21, $C$9, 100%, $E$9)</f>
        <v>9.9422999999999995</v>
      </c>
      <c r="P233" s="10">
        <f>CHOOSE(CONTROL!$C$42, 9.7143, 9.7143) * CHOOSE(CONTROL!$C$21, $C$9, 100%, $E$9)</f>
        <v>9.7142999999999997</v>
      </c>
      <c r="Q233" s="10">
        <f>CHOOSE(CONTROL!$C$42, 10.5376, 10.5376) * CHOOSE(CONTROL!$C$21, $C$9, 100%, $E$9)</f>
        <v>10.537599999999999</v>
      </c>
      <c r="R233" s="10">
        <f>CHOOSE(CONTROL!$C$42, 11.151, 11.151) * CHOOSE(CONTROL!$C$21, $C$9, 100%, $E$9)</f>
        <v>11.151</v>
      </c>
      <c r="S233" s="10">
        <f>CHOOSE(CONTROL!$C$42, 9.5118, 9.5118) * CHOOSE(CONTROL!$C$21, $C$9, 100%, $E$9)</f>
        <v>9.5117999999999991</v>
      </c>
      <c r="T2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57">
        <f>(1000*CHOOSE(CONTROL!$C$42, 695, 695)*CHOOSE(CONTROL!$C$42, 0.5599, 0.5599)*CHOOSE(CONTROL!$C$42, 31, 31))/1000000</f>
        <v>12.063045499999998</v>
      </c>
      <c r="V233" s="57">
        <f>(1000*CHOOSE(CONTROL!$C$42, 500, 500)*CHOOSE(CONTROL!$C$42, 0.275, 0.275)*CHOOSE(CONTROL!$C$42, 31, 31))/1000000</f>
        <v>4.2625000000000002</v>
      </c>
      <c r="W233" s="57">
        <f>(1000*CHOOSE(CONTROL!$C$42, 0.1146, 0.1146)*CHOOSE(CONTROL!$C$42, 121.5, 121.5)*CHOOSE(CONTROL!$C$42, 31, 31))/1000000</f>
        <v>0.43164089999999994</v>
      </c>
      <c r="X233" s="57">
        <f>(31*0.1790888*245000/1000000)+(31*0.2374*100000/1000000)</f>
        <v>2.0961194359999999</v>
      </c>
      <c r="Y233" s="57"/>
      <c r="Z233" s="10"/>
      <c r="AA233" s="56"/>
      <c r="AB233" s="50">
        <f>(B233*194.205+C233*267.466+D233*133.845+E233*53.484+F233*40+G233*185+H233*0+I233*100+J233*300)/(194.205+267.466+133.845+53.484+0+40+185+100+300)</f>
        <v>9.8237510750392474</v>
      </c>
      <c r="AC233" s="45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9.7638366906474818</v>
      </c>
    </row>
    <row r="234" spans="1:29" ht="15.75" x14ac:dyDescent="0.25">
      <c r="A234" s="16">
        <v>48000</v>
      </c>
      <c r="B234" s="10">
        <f>CHOOSE(CONTROL!$C$42, 10.0771, 10.0771) * CHOOSE(CONTROL!$C$21, $C$9, 100%, $E$9)</f>
        <v>10.0771</v>
      </c>
      <c r="C234" s="10">
        <f>CHOOSE(CONTROL!$C$42, 10.085, 10.085) * CHOOSE(CONTROL!$C$21, $C$9, 100%, $E$9)</f>
        <v>10.085000000000001</v>
      </c>
      <c r="D234" s="10">
        <f>CHOOSE(CONTROL!$C$42, 10.2877, 10.2877) * CHOOSE(CONTROL!$C$21, $C$9, 100%, $E$9)</f>
        <v>10.287699999999999</v>
      </c>
      <c r="E234" s="10">
        <f>CHOOSE(CONTROL!$C$42, 10.3189, 10.3189) * CHOOSE(CONTROL!$C$21, $C$9, 100%, $E$9)</f>
        <v>10.318899999999999</v>
      </c>
      <c r="F234" s="10">
        <f>CHOOSE(CONTROL!$C$42, 10.0533, 10.0533)*CHOOSE(CONTROL!$C$21, $C$9, 100%, $E$9)</f>
        <v>10.0533</v>
      </c>
      <c r="G234" s="10">
        <f>CHOOSE(CONTROL!$C$42, 10.0685, 10.0685)*CHOOSE(CONTROL!$C$21, $C$9, 100%, $E$9)</f>
        <v>10.0685</v>
      </c>
      <c r="H234" s="10">
        <f>CHOOSE(CONTROL!$C$42, 10.3075, 10.3075) * CHOOSE(CONTROL!$C$21, $C$9, 100%, $E$9)</f>
        <v>10.307499999999999</v>
      </c>
      <c r="I234" s="10">
        <f>CHOOSE(CONTROL!$C$42, 10.0771, 10.0771)* CHOOSE(CONTROL!$C$21, $C$9, 100%, $E$9)</f>
        <v>10.0771</v>
      </c>
      <c r="J234" s="10">
        <f>CHOOSE(CONTROL!$C$42, 10.0463, 10.0463)* CHOOSE(CONTROL!$C$21, $C$9, 100%, $E$9)</f>
        <v>10.0463</v>
      </c>
      <c r="K234" s="53">
        <f>CHOOSE(CONTROL!$C$42, 10.0732, 10.0732) * CHOOSE(CONTROL!$C$21, $C$9, 100%, $E$9)</f>
        <v>10.0732</v>
      </c>
      <c r="L234" s="10">
        <f>CHOOSE(CONTROL!$C$42, 10.8945, 10.8945) * CHOOSE(CONTROL!$C$21, $C$9, 100%, $E$9)</f>
        <v>10.894500000000001</v>
      </c>
      <c r="M234" s="10">
        <f>CHOOSE(CONTROL!$C$42, 9.9588, 9.9588) * CHOOSE(CONTROL!$C$21, $C$9, 100%, $E$9)</f>
        <v>9.9588000000000001</v>
      </c>
      <c r="N234" s="10">
        <f>CHOOSE(CONTROL!$C$42, 9.9738, 9.9738) * CHOOSE(CONTROL!$C$21, $C$9, 100%, $E$9)</f>
        <v>9.9738000000000007</v>
      </c>
      <c r="O234" s="10">
        <f>CHOOSE(CONTROL!$C$42, 10.2173, 10.2173) * CHOOSE(CONTROL!$C$21, $C$9, 100%, $E$9)</f>
        <v>10.2173</v>
      </c>
      <c r="P234" s="10">
        <f>CHOOSE(CONTROL!$C$42, 9.9893, 9.9893) * CHOOSE(CONTROL!$C$21, $C$9, 100%, $E$9)</f>
        <v>9.9893000000000001</v>
      </c>
      <c r="Q234" s="10">
        <f>CHOOSE(CONTROL!$C$42, 10.8126, 10.8126) * CHOOSE(CONTROL!$C$21, $C$9, 100%, $E$9)</f>
        <v>10.8126</v>
      </c>
      <c r="R234" s="10">
        <f>CHOOSE(CONTROL!$C$42, 11.4267, 11.4267) * CHOOSE(CONTROL!$C$21, $C$9, 100%, $E$9)</f>
        <v>11.4267</v>
      </c>
      <c r="S234" s="10">
        <f>CHOOSE(CONTROL!$C$42, 9.7816, 9.7816) * CHOOSE(CONTROL!$C$21, $C$9, 100%, $E$9)</f>
        <v>9.7815999999999992</v>
      </c>
      <c r="T2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57">
        <f>(1000*CHOOSE(CONTROL!$C$42, 695, 695)*CHOOSE(CONTROL!$C$42, 0.5599, 0.5599)*CHOOSE(CONTROL!$C$42, 30, 30))/1000000</f>
        <v>11.673914999999997</v>
      </c>
      <c r="V234" s="57">
        <f>(1000*CHOOSE(CONTROL!$C$42, 500, 500)*CHOOSE(CONTROL!$C$42, 0.275, 0.275)*CHOOSE(CONTROL!$C$42, 30, 30))/1000000</f>
        <v>4.125</v>
      </c>
      <c r="W234" s="57">
        <f>(1000*CHOOSE(CONTROL!$C$42, 0.1146, 0.1146)*CHOOSE(CONTROL!$C$42, 121.5, 121.5)*CHOOSE(CONTROL!$C$42, 30, 30))/1000000</f>
        <v>0.417717</v>
      </c>
      <c r="X234" s="57">
        <f>(30*0.1790888*245000/1000000)+(30*0.2374*100000/1000000)</f>
        <v>2.0285026799999999</v>
      </c>
      <c r="Y234" s="57"/>
      <c r="Z234" s="10"/>
      <c r="AA234" s="56"/>
      <c r="AB234" s="50">
        <f>(B234*194.205+C234*267.466+D234*133.845+E234*53.484+F234*40+G234*185+H234*0+I234*100+J234*300)/(194.205+267.466+133.845+53.484+0+40+185+100+300)</f>
        <v>10.101786161381476</v>
      </c>
      <c r="AC234" s="45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10.039170503597122</v>
      </c>
    </row>
    <row r="235" spans="1:29" ht="15.75" x14ac:dyDescent="0.25">
      <c r="A235" s="16">
        <v>48030</v>
      </c>
      <c r="B235" s="10">
        <f>CHOOSE(CONTROL!$C$42, 9.8839, 9.8839) * CHOOSE(CONTROL!$C$21, $C$9, 100%, $E$9)</f>
        <v>9.8839000000000006</v>
      </c>
      <c r="C235" s="10">
        <f>CHOOSE(CONTROL!$C$42, 9.8918, 9.8918) * CHOOSE(CONTROL!$C$21, $C$9, 100%, $E$9)</f>
        <v>9.8917999999999999</v>
      </c>
      <c r="D235" s="10">
        <f>CHOOSE(CONTROL!$C$42, 10.0945, 10.0945) * CHOOSE(CONTROL!$C$21, $C$9, 100%, $E$9)</f>
        <v>10.0945</v>
      </c>
      <c r="E235" s="10">
        <f>CHOOSE(CONTROL!$C$42, 10.1257, 10.1257) * CHOOSE(CONTROL!$C$21, $C$9, 100%, $E$9)</f>
        <v>10.1257</v>
      </c>
      <c r="F235" s="10">
        <f>CHOOSE(CONTROL!$C$42, 9.8606, 9.8606)*CHOOSE(CONTROL!$C$21, $C$9, 100%, $E$9)</f>
        <v>9.8605999999999998</v>
      </c>
      <c r="G235" s="10">
        <f>CHOOSE(CONTROL!$C$42, 9.8759, 9.8759)*CHOOSE(CONTROL!$C$21, $C$9, 100%, $E$9)</f>
        <v>9.8758999999999997</v>
      </c>
      <c r="H235" s="10">
        <f>CHOOSE(CONTROL!$C$42, 10.1143, 10.1143) * CHOOSE(CONTROL!$C$21, $C$9, 100%, $E$9)</f>
        <v>10.1143</v>
      </c>
      <c r="I235" s="10">
        <f>CHOOSE(CONTROL!$C$42, 9.8839, 9.8839)* CHOOSE(CONTROL!$C$21, $C$9, 100%, $E$9)</f>
        <v>9.8839000000000006</v>
      </c>
      <c r="J235" s="10">
        <f>CHOOSE(CONTROL!$C$42, 9.8536, 9.8536)* CHOOSE(CONTROL!$C$21, $C$9, 100%, $E$9)</f>
        <v>9.8536000000000001</v>
      </c>
      <c r="K235" s="53">
        <f>CHOOSE(CONTROL!$C$42, 9.88, 9.88) * CHOOSE(CONTROL!$C$21, $C$9, 100%, $E$9)</f>
        <v>9.8800000000000008</v>
      </c>
      <c r="L235" s="10">
        <f>CHOOSE(CONTROL!$C$42, 10.7013, 10.7013) * CHOOSE(CONTROL!$C$21, $C$9, 100%, $E$9)</f>
        <v>10.7013</v>
      </c>
      <c r="M235" s="10">
        <f>CHOOSE(CONTROL!$C$42, 9.768, 9.768) * CHOOSE(CONTROL!$C$21, $C$9, 100%, $E$9)</f>
        <v>9.7680000000000007</v>
      </c>
      <c r="N235" s="10">
        <f>CHOOSE(CONTROL!$C$42, 9.7831, 9.7831) * CHOOSE(CONTROL!$C$21, $C$9, 100%, $E$9)</f>
        <v>9.7830999999999992</v>
      </c>
      <c r="O235" s="10">
        <f>CHOOSE(CONTROL!$C$42, 10.0261, 10.0261) * CHOOSE(CONTROL!$C$21, $C$9, 100%, $E$9)</f>
        <v>10.0261</v>
      </c>
      <c r="P235" s="10">
        <f>CHOOSE(CONTROL!$C$42, 9.798, 9.798) * CHOOSE(CONTROL!$C$21, $C$9, 100%, $E$9)</f>
        <v>9.798</v>
      </c>
      <c r="Q235" s="10">
        <f>CHOOSE(CONTROL!$C$42, 10.6214, 10.6214) * CHOOSE(CONTROL!$C$21, $C$9, 100%, $E$9)</f>
        <v>10.6214</v>
      </c>
      <c r="R235" s="10">
        <f>CHOOSE(CONTROL!$C$42, 11.2349, 11.2349) * CHOOSE(CONTROL!$C$21, $C$9, 100%, $E$9)</f>
        <v>11.2349</v>
      </c>
      <c r="S235" s="10">
        <f>CHOOSE(CONTROL!$C$42, 9.594, 9.594) * CHOOSE(CONTROL!$C$21, $C$9, 100%, $E$9)</f>
        <v>9.5939999999999994</v>
      </c>
      <c r="T2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57">
        <f>(1000*CHOOSE(CONTROL!$C$42, 695, 695)*CHOOSE(CONTROL!$C$42, 0.5599, 0.5599)*CHOOSE(CONTROL!$C$42, 31, 31))/1000000</f>
        <v>12.063045499999998</v>
      </c>
      <c r="V235" s="57">
        <f>(1000*CHOOSE(CONTROL!$C$42, 500, 500)*CHOOSE(CONTROL!$C$42, 0.275, 0.275)*CHOOSE(CONTROL!$C$42, 31, 31))/1000000</f>
        <v>4.2625000000000002</v>
      </c>
      <c r="W235" s="57">
        <f>(1000*CHOOSE(CONTROL!$C$42, 0.1146, 0.1146)*CHOOSE(CONTROL!$C$42, 121.5, 121.5)*CHOOSE(CONTROL!$C$42, 31, 31))/1000000</f>
        <v>0.43164089999999994</v>
      </c>
      <c r="X235" s="57">
        <f>(31*0.1790888*245000/1000000)+(31*0.2374*100000/1000000)</f>
        <v>2.0961194359999999</v>
      </c>
      <c r="Y235" s="57"/>
      <c r="Z235" s="10"/>
      <c r="AA235" s="56"/>
      <c r="AB235" s="50">
        <f>(B235*194.205+C235*267.466+D235*133.845+E235*53.484+F235*40+G235*185+H235*0+I235*100+J235*300)/(194.205+267.466+133.845+53.484+0+40+185+100+300)</f>
        <v>9.9088067265306119</v>
      </c>
      <c r="AC235" s="45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9.8482093525179852</v>
      </c>
    </row>
    <row r="236" spans="1:29" ht="15.75" x14ac:dyDescent="0.25">
      <c r="A236" s="16">
        <v>48061</v>
      </c>
      <c r="B236" s="10">
        <f>CHOOSE(CONTROL!$C$42, 9.3959, 9.3959) * CHOOSE(CONTROL!$C$21, $C$9, 100%, $E$9)</f>
        <v>9.3958999999999993</v>
      </c>
      <c r="C236" s="10">
        <f>CHOOSE(CONTROL!$C$42, 9.4039, 9.4039) * CHOOSE(CONTROL!$C$21, $C$9, 100%, $E$9)</f>
        <v>9.4039000000000001</v>
      </c>
      <c r="D236" s="10">
        <f>CHOOSE(CONTROL!$C$42, 9.6066, 9.6066) * CHOOSE(CONTROL!$C$21, $C$9, 100%, $E$9)</f>
        <v>9.6066000000000003</v>
      </c>
      <c r="E236" s="10">
        <f>CHOOSE(CONTROL!$C$42, 9.6377, 9.6377) * CHOOSE(CONTROL!$C$21, $C$9, 100%, $E$9)</f>
        <v>9.6377000000000006</v>
      </c>
      <c r="F236" s="10">
        <f>CHOOSE(CONTROL!$C$42, 9.3729, 9.3729)*CHOOSE(CONTROL!$C$21, $C$9, 100%, $E$9)</f>
        <v>9.3728999999999996</v>
      </c>
      <c r="G236" s="10">
        <f>CHOOSE(CONTROL!$C$42, 9.3882, 9.3882)*CHOOSE(CONTROL!$C$21, $C$9, 100%, $E$9)</f>
        <v>9.3881999999999994</v>
      </c>
      <c r="H236" s="10">
        <f>CHOOSE(CONTROL!$C$42, 9.6264, 9.6264) * CHOOSE(CONTROL!$C$21, $C$9, 100%, $E$9)</f>
        <v>9.6264000000000003</v>
      </c>
      <c r="I236" s="10">
        <f>CHOOSE(CONTROL!$C$42, 9.396, 9.396)* CHOOSE(CONTROL!$C$21, $C$9, 100%, $E$9)</f>
        <v>9.3960000000000008</v>
      </c>
      <c r="J236" s="10">
        <f>CHOOSE(CONTROL!$C$42, 9.3659, 9.3659)* CHOOSE(CONTROL!$C$21, $C$9, 100%, $E$9)</f>
        <v>9.3658999999999999</v>
      </c>
      <c r="K236" s="53">
        <f>CHOOSE(CONTROL!$C$42, 9.3921, 9.3921) * CHOOSE(CONTROL!$C$21, $C$9, 100%, $E$9)</f>
        <v>9.3920999999999992</v>
      </c>
      <c r="L236" s="10">
        <f>CHOOSE(CONTROL!$C$42, 10.2134, 10.2134) * CHOOSE(CONTROL!$C$21, $C$9, 100%, $E$9)</f>
        <v>10.2134</v>
      </c>
      <c r="M236" s="10">
        <f>CHOOSE(CONTROL!$C$42, 9.2852, 9.2852) * CHOOSE(CONTROL!$C$21, $C$9, 100%, $E$9)</f>
        <v>9.2851999999999997</v>
      </c>
      <c r="N236" s="10">
        <f>CHOOSE(CONTROL!$C$42, 9.3003, 9.3003) * CHOOSE(CONTROL!$C$21, $C$9, 100%, $E$9)</f>
        <v>9.3003</v>
      </c>
      <c r="O236" s="10">
        <f>CHOOSE(CONTROL!$C$42, 9.543, 9.543) * CHOOSE(CONTROL!$C$21, $C$9, 100%, $E$9)</f>
        <v>9.5429999999999993</v>
      </c>
      <c r="P236" s="10">
        <f>CHOOSE(CONTROL!$C$42, 9.315, 9.315) * CHOOSE(CONTROL!$C$21, $C$9, 100%, $E$9)</f>
        <v>9.3149999999999995</v>
      </c>
      <c r="Q236" s="10">
        <f>CHOOSE(CONTROL!$C$42, 10.1383, 10.1383) * CHOOSE(CONTROL!$C$21, $C$9, 100%, $E$9)</f>
        <v>10.138299999999999</v>
      </c>
      <c r="R236" s="10">
        <f>CHOOSE(CONTROL!$C$42, 10.7507, 10.7507) * CHOOSE(CONTROL!$C$21, $C$9, 100%, $E$9)</f>
        <v>10.7507</v>
      </c>
      <c r="S236" s="10">
        <f>CHOOSE(CONTROL!$C$42, 9.1201, 9.1201) * CHOOSE(CONTROL!$C$21, $C$9, 100%, $E$9)</f>
        <v>9.1201000000000008</v>
      </c>
      <c r="T2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57">
        <f>(1000*CHOOSE(CONTROL!$C$42, 695, 695)*CHOOSE(CONTROL!$C$42, 0.5599, 0.5599)*CHOOSE(CONTROL!$C$42, 31, 31))/1000000</f>
        <v>12.063045499999998</v>
      </c>
      <c r="V236" s="57">
        <f>(1000*CHOOSE(CONTROL!$C$42, 500, 500)*CHOOSE(CONTROL!$C$42, 0.275, 0.275)*CHOOSE(CONTROL!$C$42, 31, 31))/1000000</f>
        <v>4.2625000000000002</v>
      </c>
      <c r="W236" s="57">
        <f>(1000*CHOOSE(CONTROL!$C$42, 0.1146, 0.1146)*CHOOSE(CONTROL!$C$42, 121.5, 121.5)*CHOOSE(CONTROL!$C$42, 31, 31))/1000000</f>
        <v>0.43164089999999994</v>
      </c>
      <c r="X236" s="57">
        <f>(31*0.1790888*245000/1000000)+(31*0.2374*100000/1000000)</f>
        <v>2.0961194359999999</v>
      </c>
      <c r="Y236" s="57"/>
      <c r="Z236" s="10"/>
      <c r="AA236" s="56"/>
      <c r="AB236" s="50">
        <f>(B236*194.205+C236*267.466+D236*133.845+E236*53.484+F236*40+G236*185+H236*0+I236*100+J236*300)/(194.205+267.466+133.845+53.484+0+40+185+100+300)</f>
        <v>9.4209697022762953</v>
      </c>
      <c r="AC236" s="45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9.3652964028776964</v>
      </c>
    </row>
    <row r="237" spans="1:29" ht="15.75" x14ac:dyDescent="0.25">
      <c r="A237" s="16">
        <v>48092</v>
      </c>
      <c r="B237" s="10">
        <f>CHOOSE(CONTROL!$C$42, 8.7994, 8.7994) * CHOOSE(CONTROL!$C$21, $C$9, 100%, $E$9)</f>
        <v>8.7994000000000003</v>
      </c>
      <c r="C237" s="10">
        <f>CHOOSE(CONTROL!$C$42, 8.8073, 8.8073) * CHOOSE(CONTROL!$C$21, $C$9, 100%, $E$9)</f>
        <v>8.8072999999999997</v>
      </c>
      <c r="D237" s="10">
        <f>CHOOSE(CONTROL!$C$42, 9.01, 9.01) * CHOOSE(CONTROL!$C$21, $C$9, 100%, $E$9)</f>
        <v>9.01</v>
      </c>
      <c r="E237" s="10">
        <f>CHOOSE(CONTROL!$C$42, 9.0412, 9.0412) * CHOOSE(CONTROL!$C$21, $C$9, 100%, $E$9)</f>
        <v>9.0411999999999999</v>
      </c>
      <c r="F237" s="10">
        <f>CHOOSE(CONTROL!$C$42, 8.7762, 8.7762)*CHOOSE(CONTROL!$C$21, $C$9, 100%, $E$9)</f>
        <v>8.7761999999999993</v>
      </c>
      <c r="G237" s="10">
        <f>CHOOSE(CONTROL!$C$42, 8.7915, 8.7915)*CHOOSE(CONTROL!$C$21, $C$9, 100%, $E$9)</f>
        <v>8.7914999999999992</v>
      </c>
      <c r="H237" s="10">
        <f>CHOOSE(CONTROL!$C$42, 9.0298, 9.0298) * CHOOSE(CONTROL!$C$21, $C$9, 100%, $E$9)</f>
        <v>9.0297999999999998</v>
      </c>
      <c r="I237" s="10">
        <f>CHOOSE(CONTROL!$C$42, 8.7994, 8.7994)* CHOOSE(CONTROL!$C$21, $C$9, 100%, $E$9)</f>
        <v>8.7994000000000003</v>
      </c>
      <c r="J237" s="10">
        <f>CHOOSE(CONTROL!$C$42, 8.7692, 8.7692)* CHOOSE(CONTROL!$C$21, $C$9, 100%, $E$9)</f>
        <v>8.7691999999999997</v>
      </c>
      <c r="K237" s="53">
        <f>CHOOSE(CONTROL!$C$42, 8.7955, 8.7955) * CHOOSE(CONTROL!$C$21, $C$9, 100%, $E$9)</f>
        <v>8.7955000000000005</v>
      </c>
      <c r="L237" s="10">
        <f>CHOOSE(CONTROL!$C$42, 9.6168, 9.6168) * CHOOSE(CONTROL!$C$21, $C$9, 100%, $E$9)</f>
        <v>9.6167999999999996</v>
      </c>
      <c r="M237" s="10">
        <f>CHOOSE(CONTROL!$C$42, 8.6945, 8.6945) * CHOOSE(CONTROL!$C$21, $C$9, 100%, $E$9)</f>
        <v>8.6944999999999997</v>
      </c>
      <c r="N237" s="10">
        <f>CHOOSE(CONTROL!$C$42, 8.7096, 8.7096) * CHOOSE(CONTROL!$C$21, $C$9, 100%, $E$9)</f>
        <v>8.7096</v>
      </c>
      <c r="O237" s="10">
        <f>CHOOSE(CONTROL!$C$42, 8.9525, 8.9525) * CHOOSE(CONTROL!$C$21, $C$9, 100%, $E$9)</f>
        <v>8.9525000000000006</v>
      </c>
      <c r="P237" s="10">
        <f>CHOOSE(CONTROL!$C$42, 8.7245, 8.7245) * CHOOSE(CONTROL!$C$21, $C$9, 100%, $E$9)</f>
        <v>8.7245000000000008</v>
      </c>
      <c r="Q237" s="10">
        <f>CHOOSE(CONTROL!$C$42, 9.5478, 9.5478) * CHOOSE(CONTROL!$C$21, $C$9, 100%, $E$9)</f>
        <v>9.5478000000000005</v>
      </c>
      <c r="R237" s="10">
        <f>CHOOSE(CONTROL!$C$42, 10.1587, 10.1587) * CHOOSE(CONTROL!$C$21, $C$9, 100%, $E$9)</f>
        <v>10.1587</v>
      </c>
      <c r="S237" s="10">
        <f>CHOOSE(CONTROL!$C$42, 8.5408, 8.5408) * CHOOSE(CONTROL!$C$21, $C$9, 100%, $E$9)</f>
        <v>8.5408000000000008</v>
      </c>
      <c r="T2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57">
        <f>(1000*CHOOSE(CONTROL!$C$42, 695, 695)*CHOOSE(CONTROL!$C$42, 0.5599, 0.5599)*CHOOSE(CONTROL!$C$42, 30, 30))/1000000</f>
        <v>11.673914999999997</v>
      </c>
      <c r="V237" s="57">
        <f>(1000*CHOOSE(CONTROL!$C$42, 500, 500)*CHOOSE(CONTROL!$C$42, 0.275, 0.275)*CHOOSE(CONTROL!$C$42, 30, 30))/1000000</f>
        <v>4.125</v>
      </c>
      <c r="W237" s="57">
        <f>(1000*CHOOSE(CONTROL!$C$42, 0.1146, 0.1146)*CHOOSE(CONTROL!$C$42, 121.5, 121.5)*CHOOSE(CONTROL!$C$42, 30, 30))/1000000</f>
        <v>0.417717</v>
      </c>
      <c r="X237" s="57">
        <f>(30*0.1790888*245000/1000000)+(30*0.2374*100000/1000000)</f>
        <v>2.0285026799999999</v>
      </c>
      <c r="Y237" s="57"/>
      <c r="Z237" s="10"/>
      <c r="AA237" s="56"/>
      <c r="AB237" s="50">
        <f>(B237*194.205+C237*267.466+D237*133.845+E237*53.484+F237*40+G237*185+H237*0+I237*100+J237*300)/(194.205+267.466+133.845+53.484+0+40+185+100+300)</f>
        <v>8.8243479353218213</v>
      </c>
      <c r="AC237" s="45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8.7746812949640276</v>
      </c>
    </row>
    <row r="238" spans="1:29" ht="15.75" x14ac:dyDescent="0.25">
      <c r="A238" s="16">
        <v>48122</v>
      </c>
      <c r="B238" s="10">
        <f>CHOOSE(CONTROL!$C$42, 8.6191, 8.6191) * CHOOSE(CONTROL!$C$21, $C$9, 100%, $E$9)</f>
        <v>8.6190999999999995</v>
      </c>
      <c r="C238" s="10">
        <f>CHOOSE(CONTROL!$C$42, 8.6243, 8.6243) * CHOOSE(CONTROL!$C$21, $C$9, 100%, $E$9)</f>
        <v>8.6242999999999999</v>
      </c>
      <c r="D238" s="10">
        <f>CHOOSE(CONTROL!$C$42, 8.832, 8.832) * CHOOSE(CONTROL!$C$21, $C$9, 100%, $E$9)</f>
        <v>8.8320000000000007</v>
      </c>
      <c r="E238" s="10">
        <f>CHOOSE(CONTROL!$C$42, 8.8608, 8.8608) * CHOOSE(CONTROL!$C$21, $C$9, 100%, $E$9)</f>
        <v>8.8607999999999993</v>
      </c>
      <c r="F238" s="10">
        <f>CHOOSE(CONTROL!$C$42, 8.5978, 8.5978)*CHOOSE(CONTROL!$C$21, $C$9, 100%, $E$9)</f>
        <v>8.5977999999999994</v>
      </c>
      <c r="G238" s="10">
        <f>CHOOSE(CONTROL!$C$42, 8.6127, 8.6127)*CHOOSE(CONTROL!$C$21, $C$9, 100%, $E$9)</f>
        <v>8.6127000000000002</v>
      </c>
      <c r="H238" s="10">
        <f>CHOOSE(CONTROL!$C$42, 8.8512, 8.8512) * CHOOSE(CONTROL!$C$21, $C$9, 100%, $E$9)</f>
        <v>8.8512000000000004</v>
      </c>
      <c r="I238" s="10">
        <f>CHOOSE(CONTROL!$C$42, 8.6208, 8.6208)* CHOOSE(CONTROL!$C$21, $C$9, 100%, $E$9)</f>
        <v>8.6207999999999991</v>
      </c>
      <c r="J238" s="10">
        <f>CHOOSE(CONTROL!$C$42, 8.5908, 8.5908)* CHOOSE(CONTROL!$C$21, $C$9, 100%, $E$9)</f>
        <v>8.5907999999999998</v>
      </c>
      <c r="K238" s="53">
        <f>CHOOSE(CONTROL!$C$42, 8.617, 8.617) * CHOOSE(CONTROL!$C$21, $C$9, 100%, $E$9)</f>
        <v>8.6170000000000009</v>
      </c>
      <c r="L238" s="10">
        <f>CHOOSE(CONTROL!$C$42, 9.4382, 9.4382) * CHOOSE(CONTROL!$C$21, $C$9, 100%, $E$9)</f>
        <v>9.4382000000000001</v>
      </c>
      <c r="M238" s="10">
        <f>CHOOSE(CONTROL!$C$42, 8.5179, 8.5179) * CHOOSE(CONTROL!$C$21, $C$9, 100%, $E$9)</f>
        <v>8.5178999999999991</v>
      </c>
      <c r="N238" s="10">
        <f>CHOOSE(CONTROL!$C$42, 8.5327, 8.5327) * CHOOSE(CONTROL!$C$21, $C$9, 100%, $E$9)</f>
        <v>8.5327000000000002</v>
      </c>
      <c r="O238" s="10">
        <f>CHOOSE(CONTROL!$C$42, 8.7757, 8.7757) * CHOOSE(CONTROL!$C$21, $C$9, 100%, $E$9)</f>
        <v>8.7757000000000005</v>
      </c>
      <c r="P238" s="10">
        <f>CHOOSE(CONTROL!$C$42, 8.5477, 8.5477) * CHOOSE(CONTROL!$C$21, $C$9, 100%, $E$9)</f>
        <v>8.5477000000000007</v>
      </c>
      <c r="Q238" s="10">
        <f>CHOOSE(CONTROL!$C$42, 9.371, 9.371) * CHOOSE(CONTROL!$C$21, $C$9, 100%, $E$9)</f>
        <v>9.3710000000000004</v>
      </c>
      <c r="R238" s="10">
        <f>CHOOSE(CONTROL!$C$42, 9.9815, 9.9815) * CHOOSE(CONTROL!$C$21, $C$9, 100%, $E$9)</f>
        <v>9.9815000000000005</v>
      </c>
      <c r="S238" s="10">
        <f>CHOOSE(CONTROL!$C$42, 8.3674, 8.3674) * CHOOSE(CONTROL!$C$21, $C$9, 100%, $E$9)</f>
        <v>8.3673999999999999</v>
      </c>
      <c r="T2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57">
        <f>(1000*CHOOSE(CONTROL!$C$42, 695, 695)*CHOOSE(CONTROL!$C$42, 0.5599, 0.5599)*CHOOSE(CONTROL!$C$42, 31, 31))/1000000</f>
        <v>12.063045499999998</v>
      </c>
      <c r="V238" s="57">
        <f>(1000*CHOOSE(CONTROL!$C$42, 500, 500)*CHOOSE(CONTROL!$C$42, 0.275, 0.275)*CHOOSE(CONTROL!$C$42, 31, 31))/1000000</f>
        <v>4.2625000000000002</v>
      </c>
      <c r="W238" s="57">
        <f>(1000*CHOOSE(CONTROL!$C$42, 0.1146, 0.1146)*CHOOSE(CONTROL!$C$42, 121.5, 121.5)*CHOOSE(CONTROL!$C$42, 31, 31))/1000000</f>
        <v>0.43164089999999994</v>
      </c>
      <c r="X238" s="57">
        <f>(31*0.1790888*245000/1000000)+(31*0.2374*100000/1000000)</f>
        <v>2.0961194359999999</v>
      </c>
      <c r="Y238" s="57"/>
      <c r="Z238" s="10"/>
      <c r="AA238" s="56"/>
      <c r="AB238" s="50">
        <f>(B238*131.881+C238*277.167+D238*79.08+E238*125.872+F238*40+G238*185+H238*0+I238*100+J238*300)/(131.881+277.167+79.08+125.872+0+40+185+100+300)</f>
        <v>8.650048073284907</v>
      </c>
      <c r="AC238" s="45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8.5979273381294963</v>
      </c>
    </row>
    <row r="239" spans="1:29" ht="15.75" x14ac:dyDescent="0.25">
      <c r="A239" s="16">
        <v>48153</v>
      </c>
      <c r="B239" s="10">
        <f>CHOOSE(CONTROL!$C$42, 8.8456, 8.8456) * CHOOSE(CONTROL!$C$21, $C$9, 100%, $E$9)</f>
        <v>8.8455999999999992</v>
      </c>
      <c r="C239" s="10">
        <f>CHOOSE(CONTROL!$C$42, 8.8506, 8.8506) * CHOOSE(CONTROL!$C$21, $C$9, 100%, $E$9)</f>
        <v>8.8506</v>
      </c>
      <c r="D239" s="10">
        <f>CHOOSE(CONTROL!$C$42, 8.9111, 8.9111) * CHOOSE(CONTROL!$C$21, $C$9, 100%, $E$9)</f>
        <v>8.9110999999999994</v>
      </c>
      <c r="E239" s="10">
        <f>CHOOSE(CONTROL!$C$42, 8.9448, 8.9448) * CHOOSE(CONTROL!$C$21, $C$9, 100%, $E$9)</f>
        <v>8.9448000000000008</v>
      </c>
      <c r="F239" s="10">
        <f>CHOOSE(CONTROL!$C$42, 8.8412, 8.8412)*CHOOSE(CONTROL!$C$21, $C$9, 100%, $E$9)</f>
        <v>8.8412000000000006</v>
      </c>
      <c r="G239" s="10">
        <f>CHOOSE(CONTROL!$C$42, 8.8565, 8.8565)*CHOOSE(CONTROL!$C$21, $C$9, 100%, $E$9)</f>
        <v>8.8565000000000005</v>
      </c>
      <c r="H239" s="10">
        <f>CHOOSE(CONTROL!$C$42, 8.934, 8.934) * CHOOSE(CONTROL!$C$21, $C$9, 100%, $E$9)</f>
        <v>8.9339999999999993</v>
      </c>
      <c r="I239" s="10">
        <f>CHOOSE(CONTROL!$C$42, 8.8581, 8.8581)* CHOOSE(CONTROL!$C$21, $C$9, 100%, $E$9)</f>
        <v>8.8581000000000003</v>
      </c>
      <c r="J239" s="10">
        <f>CHOOSE(CONTROL!$C$42, 8.8342, 8.8342)* CHOOSE(CONTROL!$C$21, $C$9, 100%, $E$9)</f>
        <v>8.8341999999999992</v>
      </c>
      <c r="K239" s="53">
        <f>CHOOSE(CONTROL!$C$42, 8.8542, 8.8542) * CHOOSE(CONTROL!$C$21, $C$9, 100%, $E$9)</f>
        <v>8.8542000000000005</v>
      </c>
      <c r="L239" s="10">
        <f>CHOOSE(CONTROL!$C$42, 9.521, 9.521) * CHOOSE(CONTROL!$C$21, $C$9, 100%, $E$9)</f>
        <v>9.5210000000000008</v>
      </c>
      <c r="M239" s="10">
        <f>CHOOSE(CONTROL!$C$42, 8.7589, 8.7589) * CHOOSE(CONTROL!$C$21, $C$9, 100%, $E$9)</f>
        <v>8.7589000000000006</v>
      </c>
      <c r="N239" s="10">
        <f>CHOOSE(CONTROL!$C$42, 8.774, 8.774) * CHOOSE(CONTROL!$C$21, $C$9, 100%, $E$9)</f>
        <v>8.7739999999999991</v>
      </c>
      <c r="O239" s="10">
        <f>CHOOSE(CONTROL!$C$42, 8.8577, 8.8577) * CHOOSE(CONTROL!$C$21, $C$9, 100%, $E$9)</f>
        <v>8.8576999999999995</v>
      </c>
      <c r="P239" s="10">
        <f>CHOOSE(CONTROL!$C$42, 8.7826, 8.7826) * CHOOSE(CONTROL!$C$21, $C$9, 100%, $E$9)</f>
        <v>8.7826000000000004</v>
      </c>
      <c r="Q239" s="10">
        <f>CHOOSE(CONTROL!$C$42, 9.453, 9.453) * CHOOSE(CONTROL!$C$21, $C$9, 100%, $E$9)</f>
        <v>9.4529999999999994</v>
      </c>
      <c r="R239" s="10">
        <f>CHOOSE(CONTROL!$C$42, 10.0636, 10.0636) * CHOOSE(CONTROL!$C$21, $C$9, 100%, $E$9)</f>
        <v>10.063599999999999</v>
      </c>
      <c r="S239" s="10">
        <f>CHOOSE(CONTROL!$C$42, 8.5878, 8.5878) * CHOOSE(CONTROL!$C$21, $C$9, 100%, $E$9)</f>
        <v>8.5877999999999997</v>
      </c>
      <c r="T2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57">
        <f>(1000*CHOOSE(CONTROL!$C$42, 695, 695)*CHOOSE(CONTROL!$C$42, 0.5599, 0.5599)*CHOOSE(CONTROL!$C$42, 30, 30))/1000000</f>
        <v>11.673914999999997</v>
      </c>
      <c r="V239" s="57">
        <f>(1000*CHOOSE(CONTROL!$C$42, 500, 500)*CHOOSE(CONTROL!$C$42, 0.275, 0.275)*CHOOSE(CONTROL!$C$42, 30, 30))/1000000</f>
        <v>4.125</v>
      </c>
      <c r="W239" s="57">
        <f>(1000*CHOOSE(CONTROL!$C$42, 0.1146, 0.1146)*CHOOSE(CONTROL!$C$42, 121.5, 121.5)*CHOOSE(CONTROL!$C$42, 30, 30))/1000000</f>
        <v>0.417717</v>
      </c>
      <c r="X239" s="57">
        <f>(30*0.1790888*100000/1000000)+(30*0.2374*100000/1000000)</f>
        <v>1.2494664</v>
      </c>
      <c r="Y239" s="57"/>
      <c r="Z239" s="10"/>
      <c r="AA239" s="56"/>
      <c r="AB239" s="50">
        <f>(B239*122.58+C239*297.941+D239*89.177+E239*40.302+F239*40+G239*160+H239*0+I239*100+J239*300)/(122.58+297.941+89.177+40.302+0+40+160+100+300)</f>
        <v>8.8549276146956526</v>
      </c>
      <c r="AC239" s="45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8.8079589928057551</v>
      </c>
    </row>
    <row r="240" spans="1:29" ht="15.75" x14ac:dyDescent="0.25">
      <c r="A240" s="16">
        <v>48183</v>
      </c>
      <c r="B240" s="10">
        <f>CHOOSE(CONTROL!$C$42, 9.4485, 9.4485) * CHOOSE(CONTROL!$C$21, $C$9, 100%, $E$9)</f>
        <v>9.4484999999999992</v>
      </c>
      <c r="C240" s="10">
        <f>CHOOSE(CONTROL!$C$42, 9.4534, 9.4534) * CHOOSE(CONTROL!$C$21, $C$9, 100%, $E$9)</f>
        <v>9.4534000000000002</v>
      </c>
      <c r="D240" s="10">
        <f>CHOOSE(CONTROL!$C$42, 9.514, 9.514) * CHOOSE(CONTROL!$C$21, $C$9, 100%, $E$9)</f>
        <v>9.5139999999999993</v>
      </c>
      <c r="E240" s="10">
        <f>CHOOSE(CONTROL!$C$42, 9.5477, 9.5477) * CHOOSE(CONTROL!$C$21, $C$9, 100%, $E$9)</f>
        <v>9.5477000000000007</v>
      </c>
      <c r="F240" s="10">
        <f>CHOOSE(CONTROL!$C$42, 9.446, 9.446)*CHOOSE(CONTROL!$C$21, $C$9, 100%, $E$9)</f>
        <v>9.4459999999999997</v>
      </c>
      <c r="G240" s="10">
        <f>CHOOSE(CONTROL!$C$42, 9.4617, 9.4617)*CHOOSE(CONTROL!$C$21, $C$9, 100%, $E$9)</f>
        <v>9.4617000000000004</v>
      </c>
      <c r="H240" s="10">
        <f>CHOOSE(CONTROL!$C$42, 9.5369, 9.5369) * CHOOSE(CONTROL!$C$21, $C$9, 100%, $E$9)</f>
        <v>9.5368999999999993</v>
      </c>
      <c r="I240" s="10">
        <f>CHOOSE(CONTROL!$C$42, 9.461, 9.461)* CHOOSE(CONTROL!$C$21, $C$9, 100%, $E$9)</f>
        <v>9.4610000000000003</v>
      </c>
      <c r="J240" s="10">
        <f>CHOOSE(CONTROL!$C$42, 9.439, 9.439)* CHOOSE(CONTROL!$C$21, $C$9, 100%, $E$9)</f>
        <v>9.4390000000000001</v>
      </c>
      <c r="K240" s="53">
        <f>CHOOSE(CONTROL!$C$42, 9.4571, 9.4571) * CHOOSE(CONTROL!$C$21, $C$9, 100%, $E$9)</f>
        <v>9.4571000000000005</v>
      </c>
      <c r="L240" s="10">
        <f>CHOOSE(CONTROL!$C$42, 10.1239, 10.1239) * CHOOSE(CONTROL!$C$21, $C$9, 100%, $E$9)</f>
        <v>10.123900000000001</v>
      </c>
      <c r="M240" s="10">
        <f>CHOOSE(CONTROL!$C$42, 9.3575, 9.3575) * CHOOSE(CONTROL!$C$21, $C$9, 100%, $E$9)</f>
        <v>9.3574999999999999</v>
      </c>
      <c r="N240" s="10">
        <f>CHOOSE(CONTROL!$C$42, 9.3731, 9.3731) * CHOOSE(CONTROL!$C$21, $C$9, 100%, $E$9)</f>
        <v>9.3731000000000009</v>
      </c>
      <c r="O240" s="10">
        <f>CHOOSE(CONTROL!$C$42, 9.4545, 9.4545) * CHOOSE(CONTROL!$C$21, $C$9, 100%, $E$9)</f>
        <v>9.4544999999999995</v>
      </c>
      <c r="P240" s="10">
        <f>CHOOSE(CONTROL!$C$42, 9.3794, 9.3794) * CHOOSE(CONTROL!$C$21, $C$9, 100%, $E$9)</f>
        <v>9.3794000000000004</v>
      </c>
      <c r="Q240" s="10">
        <f>CHOOSE(CONTROL!$C$42, 10.0498, 10.0498) * CHOOSE(CONTROL!$C$21, $C$9, 100%, $E$9)</f>
        <v>10.049799999999999</v>
      </c>
      <c r="R240" s="10">
        <f>CHOOSE(CONTROL!$C$42, 10.6619, 10.6619) * CHOOSE(CONTROL!$C$21, $C$9, 100%, $E$9)</f>
        <v>10.661899999999999</v>
      </c>
      <c r="S240" s="10">
        <f>CHOOSE(CONTROL!$C$42, 9.1733, 9.1733) * CHOOSE(CONTROL!$C$21, $C$9, 100%, $E$9)</f>
        <v>9.1732999999999993</v>
      </c>
      <c r="T2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57">
        <f>(1000*CHOOSE(CONTROL!$C$42, 695, 695)*CHOOSE(CONTROL!$C$42, 0.5599, 0.5599)*CHOOSE(CONTROL!$C$42, 31, 31))/1000000</f>
        <v>12.063045499999998</v>
      </c>
      <c r="V240" s="57">
        <f>(1000*CHOOSE(CONTROL!$C$42, 500, 500)*CHOOSE(CONTROL!$C$42, 0.275, 0.275)*CHOOSE(CONTROL!$C$42, 31, 31))/1000000</f>
        <v>4.2625000000000002</v>
      </c>
      <c r="W240" s="57">
        <f>(1000*CHOOSE(CONTROL!$C$42, 0.1146, 0.1146)*CHOOSE(CONTROL!$C$42, 121.5, 121.5)*CHOOSE(CONTROL!$C$42, 31, 31))/1000000</f>
        <v>0.43164089999999994</v>
      </c>
      <c r="X240" s="57">
        <f>(31*0.1790888*100000/1000000)+(31*0.2374*100000/1000000)</f>
        <v>1.2911152800000001</v>
      </c>
      <c r="Y240" s="57"/>
      <c r="Z240" s="10"/>
      <c r="AA240" s="56"/>
      <c r="AB240" s="50">
        <f>(B240*122.58+C240*297.941+D240*89.177+E240*40.302+F240*40+G240*160+H240*0+I240*100+J240*300)/(122.58+297.941+89.177+40.302+0+40+160+100+300)</f>
        <v>9.458683445913044</v>
      </c>
      <c r="AC240" s="45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9.4055129496402881</v>
      </c>
    </row>
    <row r="241" spans="1:29" ht="15.75" x14ac:dyDescent="0.25">
      <c r="A241" s="16">
        <v>48214</v>
      </c>
      <c r="B241" s="10">
        <f>CHOOSE(CONTROL!$C$42, 10.2224, 10.2224) * CHOOSE(CONTROL!$C$21, $C$9, 100%, $E$9)</f>
        <v>10.2224</v>
      </c>
      <c r="C241" s="10">
        <f>CHOOSE(CONTROL!$C$42, 10.2274, 10.2274) * CHOOSE(CONTROL!$C$21, $C$9, 100%, $E$9)</f>
        <v>10.227399999999999</v>
      </c>
      <c r="D241" s="10">
        <f>CHOOSE(CONTROL!$C$42, 10.2845, 10.2845) * CHOOSE(CONTROL!$C$21, $C$9, 100%, $E$9)</f>
        <v>10.2845</v>
      </c>
      <c r="E241" s="10">
        <f>CHOOSE(CONTROL!$C$42, 10.3182, 10.3182) * CHOOSE(CONTROL!$C$21, $C$9, 100%, $E$9)</f>
        <v>10.318199999999999</v>
      </c>
      <c r="F241" s="10">
        <f>CHOOSE(CONTROL!$C$42, 10.2203, 10.2203)*CHOOSE(CONTROL!$C$21, $C$9, 100%, $E$9)</f>
        <v>10.2203</v>
      </c>
      <c r="G241" s="10">
        <f>CHOOSE(CONTROL!$C$42, 10.2349, 10.2349)*CHOOSE(CONTROL!$C$21, $C$9, 100%, $E$9)</f>
        <v>10.2349</v>
      </c>
      <c r="H241" s="10">
        <f>CHOOSE(CONTROL!$C$42, 10.3074, 10.3074) * CHOOSE(CONTROL!$C$21, $C$9, 100%, $E$9)</f>
        <v>10.307399999999999</v>
      </c>
      <c r="I241" s="10">
        <f>CHOOSE(CONTROL!$C$42, 10.2332, 10.2332)* CHOOSE(CONTROL!$C$21, $C$9, 100%, $E$9)</f>
        <v>10.2332</v>
      </c>
      <c r="J241" s="10">
        <f>CHOOSE(CONTROL!$C$42, 10.2133, 10.2133)* CHOOSE(CONTROL!$C$21, $C$9, 100%, $E$9)</f>
        <v>10.2133</v>
      </c>
      <c r="K241" s="53">
        <f>CHOOSE(CONTROL!$C$42, 10.2293, 10.2293) * CHOOSE(CONTROL!$C$21, $C$9, 100%, $E$9)</f>
        <v>10.2293</v>
      </c>
      <c r="L241" s="10">
        <f>CHOOSE(CONTROL!$C$42, 10.8944, 10.8944) * CHOOSE(CONTROL!$C$21, $C$9, 100%, $E$9)</f>
        <v>10.894399999999999</v>
      </c>
      <c r="M241" s="10">
        <f>CHOOSE(CONTROL!$C$42, 10.124, 10.124) * CHOOSE(CONTROL!$C$21, $C$9, 100%, $E$9)</f>
        <v>10.124000000000001</v>
      </c>
      <c r="N241" s="10">
        <f>CHOOSE(CONTROL!$C$42, 10.1385, 10.1385) * CHOOSE(CONTROL!$C$21, $C$9, 100%, $E$9)</f>
        <v>10.138500000000001</v>
      </c>
      <c r="O241" s="10">
        <f>CHOOSE(CONTROL!$C$42, 10.2172, 10.2172) * CHOOSE(CONTROL!$C$21, $C$9, 100%, $E$9)</f>
        <v>10.2172</v>
      </c>
      <c r="P241" s="10">
        <f>CHOOSE(CONTROL!$C$42, 10.1438, 10.1438) * CHOOSE(CONTROL!$C$21, $C$9, 100%, $E$9)</f>
        <v>10.143800000000001</v>
      </c>
      <c r="Q241" s="10">
        <f>CHOOSE(CONTROL!$C$42, 10.8125, 10.8125) * CHOOSE(CONTROL!$C$21, $C$9, 100%, $E$9)</f>
        <v>10.8125</v>
      </c>
      <c r="R241" s="10">
        <f>CHOOSE(CONTROL!$C$42, 11.4266, 11.4266) * CHOOSE(CONTROL!$C$21, $C$9, 100%, $E$9)</f>
        <v>11.426600000000001</v>
      </c>
      <c r="S241" s="10">
        <f>CHOOSE(CONTROL!$C$42, 9.9249, 9.9249) * CHOOSE(CONTROL!$C$21, $C$9, 100%, $E$9)</f>
        <v>9.9248999999999992</v>
      </c>
      <c r="T2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57">
        <f>(1000*CHOOSE(CONTROL!$C$42, 695, 695)*CHOOSE(CONTROL!$C$42, 0.5599, 0.5599)*CHOOSE(CONTROL!$C$42, 31, 31))/1000000</f>
        <v>12.063045499999998</v>
      </c>
      <c r="V241" s="57">
        <f>(1000*CHOOSE(CONTROL!$C$42, 500, 500)*CHOOSE(CONTROL!$C$42, 0.275, 0.275)*CHOOSE(CONTROL!$C$42, 31, 31))/1000000</f>
        <v>4.2625000000000002</v>
      </c>
      <c r="W241" s="57">
        <f>(1000*CHOOSE(CONTROL!$C$42, 0.1146, 0.1146)*CHOOSE(CONTROL!$C$42, 121.5, 121.5)*CHOOSE(CONTROL!$C$42, 31, 31))/1000000</f>
        <v>0.43164089999999994</v>
      </c>
      <c r="X241" s="57">
        <f>(31*0.1790888*100000/1000000)+(31*0.2374*100000/1000000)</f>
        <v>1.2911152800000001</v>
      </c>
      <c r="Y241" s="57"/>
      <c r="Z241" s="10"/>
      <c r="AA241" s="56"/>
      <c r="AB241" s="50">
        <f>(B241*122.58+C241*297.941+D241*89.177+E241*40.302+F241*40+G241*160+H241*0+I241*100+J241*300)/(122.58+297.941+89.177+40.302+0+40+160+100+300)</f>
        <v>10.232099589826086</v>
      </c>
      <c r="AC241" s="45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10.169925179856117</v>
      </c>
    </row>
    <row r="242" spans="1:29" ht="15.75" x14ac:dyDescent="0.25">
      <c r="A242" s="16">
        <v>48245</v>
      </c>
      <c r="B242" s="10">
        <f>CHOOSE(CONTROL!$C$42, 10.4044, 10.4044) * CHOOSE(CONTROL!$C$21, $C$9, 100%, $E$9)</f>
        <v>10.404400000000001</v>
      </c>
      <c r="C242" s="10">
        <f>CHOOSE(CONTROL!$C$42, 10.4093, 10.4093) * CHOOSE(CONTROL!$C$21, $C$9, 100%, $E$9)</f>
        <v>10.4093</v>
      </c>
      <c r="D242" s="10">
        <f>CHOOSE(CONTROL!$C$42, 10.4664, 10.4664) * CHOOSE(CONTROL!$C$21, $C$9, 100%, $E$9)</f>
        <v>10.4664</v>
      </c>
      <c r="E242" s="10">
        <f>CHOOSE(CONTROL!$C$42, 10.5002, 10.5002) * CHOOSE(CONTROL!$C$21, $C$9, 100%, $E$9)</f>
        <v>10.5002</v>
      </c>
      <c r="F242" s="10">
        <f>CHOOSE(CONTROL!$C$42, 10.4023, 10.4023)*CHOOSE(CONTROL!$C$21, $C$9, 100%, $E$9)</f>
        <v>10.4023</v>
      </c>
      <c r="G242" s="10">
        <f>CHOOSE(CONTROL!$C$42, 10.4169, 10.4169)*CHOOSE(CONTROL!$C$21, $C$9, 100%, $E$9)</f>
        <v>10.4169</v>
      </c>
      <c r="H242" s="10">
        <f>CHOOSE(CONTROL!$C$42, 10.4893, 10.4893) * CHOOSE(CONTROL!$C$21, $C$9, 100%, $E$9)</f>
        <v>10.4893</v>
      </c>
      <c r="I242" s="10">
        <f>CHOOSE(CONTROL!$C$42, 10.4151, 10.4151)* CHOOSE(CONTROL!$C$21, $C$9, 100%, $E$9)</f>
        <v>10.415100000000001</v>
      </c>
      <c r="J242" s="10">
        <f>CHOOSE(CONTROL!$C$42, 10.3953, 10.3953)* CHOOSE(CONTROL!$C$21, $C$9, 100%, $E$9)</f>
        <v>10.395300000000001</v>
      </c>
      <c r="K242" s="53">
        <f>CHOOSE(CONTROL!$C$42, 10.4113, 10.4113) * CHOOSE(CONTROL!$C$21, $C$9, 100%, $E$9)</f>
        <v>10.411300000000001</v>
      </c>
      <c r="L242" s="10">
        <f>CHOOSE(CONTROL!$C$42, 11.0763, 11.0763) * CHOOSE(CONTROL!$C$21, $C$9, 100%, $E$9)</f>
        <v>11.0763</v>
      </c>
      <c r="M242" s="10">
        <f>CHOOSE(CONTROL!$C$42, 10.3042, 10.3042) * CHOOSE(CONTROL!$C$21, $C$9, 100%, $E$9)</f>
        <v>10.3042</v>
      </c>
      <c r="N242" s="10">
        <f>CHOOSE(CONTROL!$C$42, 10.3187, 10.3187) * CHOOSE(CONTROL!$C$21, $C$9, 100%, $E$9)</f>
        <v>10.3187</v>
      </c>
      <c r="O242" s="10">
        <f>CHOOSE(CONTROL!$C$42, 10.3973, 10.3973) * CHOOSE(CONTROL!$C$21, $C$9, 100%, $E$9)</f>
        <v>10.3973</v>
      </c>
      <c r="P242" s="10">
        <f>CHOOSE(CONTROL!$C$42, 10.3239, 10.3239) * CHOOSE(CONTROL!$C$21, $C$9, 100%, $E$9)</f>
        <v>10.3239</v>
      </c>
      <c r="Q242" s="10">
        <f>CHOOSE(CONTROL!$C$42, 10.9926, 10.9926) * CHOOSE(CONTROL!$C$21, $C$9, 100%, $E$9)</f>
        <v>10.992599999999999</v>
      </c>
      <c r="R242" s="10">
        <f>CHOOSE(CONTROL!$C$42, 11.6071, 11.6071) * CHOOSE(CONTROL!$C$21, $C$9, 100%, $E$9)</f>
        <v>11.607100000000001</v>
      </c>
      <c r="S242" s="10">
        <f>CHOOSE(CONTROL!$C$42, 10.1015, 10.1015) * CHOOSE(CONTROL!$C$21, $C$9, 100%, $E$9)</f>
        <v>10.1015</v>
      </c>
      <c r="T24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42" s="57">
        <f>(1000*CHOOSE(CONTROL!$C$42, 695, 695)*CHOOSE(CONTROL!$C$42, 0.5599, 0.5599)*CHOOSE(CONTROL!$C$42, 29, 29))/1000000</f>
        <v>11.284784499999999</v>
      </c>
      <c r="V242" s="57">
        <f>(1000*CHOOSE(CONTROL!$C$42, 500, 500)*CHOOSE(CONTROL!$C$42, 0.275, 0.275)*CHOOSE(CONTROL!$C$42, 29, 29))/1000000</f>
        <v>3.9874999999999998</v>
      </c>
      <c r="W242" s="57">
        <f>(1000*CHOOSE(CONTROL!$C$42, 0.1146, 0.1146)*CHOOSE(CONTROL!$C$42, 121.5, 121.5)*CHOOSE(CONTROL!$C$42, 29, 29))/1000000</f>
        <v>0.40379309999999996</v>
      </c>
      <c r="X242" s="57">
        <f>(29*0.1790888*100000/1000000)+(29*0.2374*100000/1000000)</f>
        <v>1.2078175199999999</v>
      </c>
      <c r="Y242" s="57"/>
      <c r="Z242" s="10"/>
      <c r="AA242" s="56"/>
      <c r="AB242" s="50">
        <f>(B242*122.58+C242*297.941+D242*89.177+E242*40.302+F242*40+G242*160+H242*0+I242*100+J242*300)/(122.58+297.941+89.177+40.302+0+40+160+100+300)</f>
        <v>10.414057231739129</v>
      </c>
      <c r="AC242" s="45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10.3500654676259</v>
      </c>
    </row>
    <row r="243" spans="1:29" ht="15.75" x14ac:dyDescent="0.25">
      <c r="A243" s="16">
        <v>48274</v>
      </c>
      <c r="B243" s="10">
        <f>CHOOSE(CONTROL!$C$42, 10.109, 10.109) * CHOOSE(CONTROL!$C$21, $C$9, 100%, $E$9)</f>
        <v>10.109</v>
      </c>
      <c r="C243" s="10">
        <f>CHOOSE(CONTROL!$C$42, 10.114, 10.114) * CHOOSE(CONTROL!$C$21, $C$9, 100%, $E$9)</f>
        <v>10.114000000000001</v>
      </c>
      <c r="D243" s="10">
        <f>CHOOSE(CONTROL!$C$42, 10.1711, 10.1711) * CHOOSE(CONTROL!$C$21, $C$9, 100%, $E$9)</f>
        <v>10.171099999999999</v>
      </c>
      <c r="E243" s="10">
        <f>CHOOSE(CONTROL!$C$42, 10.2048, 10.2048) * CHOOSE(CONTROL!$C$21, $C$9, 100%, $E$9)</f>
        <v>10.204800000000001</v>
      </c>
      <c r="F243" s="10">
        <f>CHOOSE(CONTROL!$C$42, 10.1069, 10.1069)*CHOOSE(CONTROL!$C$21, $C$9, 100%, $E$9)</f>
        <v>10.1069</v>
      </c>
      <c r="G243" s="10">
        <f>CHOOSE(CONTROL!$C$42, 10.1215, 10.1215)*CHOOSE(CONTROL!$C$21, $C$9, 100%, $E$9)</f>
        <v>10.121499999999999</v>
      </c>
      <c r="H243" s="10">
        <f>CHOOSE(CONTROL!$C$42, 10.194, 10.194) * CHOOSE(CONTROL!$C$21, $C$9, 100%, $E$9)</f>
        <v>10.194000000000001</v>
      </c>
      <c r="I243" s="10">
        <f>CHOOSE(CONTROL!$C$42, 10.1198, 10.1198)* CHOOSE(CONTROL!$C$21, $C$9, 100%, $E$9)</f>
        <v>10.1198</v>
      </c>
      <c r="J243" s="10">
        <f>CHOOSE(CONTROL!$C$42, 10.0999, 10.0999)* CHOOSE(CONTROL!$C$21, $C$9, 100%, $E$9)</f>
        <v>10.0999</v>
      </c>
      <c r="K243" s="53">
        <f>CHOOSE(CONTROL!$C$42, 10.116, 10.116) * CHOOSE(CONTROL!$C$21, $C$9, 100%, $E$9)</f>
        <v>10.116</v>
      </c>
      <c r="L243" s="10">
        <f>CHOOSE(CONTROL!$C$42, 10.781, 10.781) * CHOOSE(CONTROL!$C$21, $C$9, 100%, $E$9)</f>
        <v>10.781000000000001</v>
      </c>
      <c r="M243" s="10">
        <f>CHOOSE(CONTROL!$C$42, 10.0118, 10.0118) * CHOOSE(CONTROL!$C$21, $C$9, 100%, $E$9)</f>
        <v>10.011799999999999</v>
      </c>
      <c r="N243" s="10">
        <f>CHOOSE(CONTROL!$C$42, 10.0262, 10.0262) * CHOOSE(CONTROL!$C$21, $C$9, 100%, $E$9)</f>
        <v>10.026199999999999</v>
      </c>
      <c r="O243" s="10">
        <f>CHOOSE(CONTROL!$C$42, 10.105, 10.105) * CHOOSE(CONTROL!$C$21, $C$9, 100%, $E$9)</f>
        <v>10.105</v>
      </c>
      <c r="P243" s="10">
        <f>CHOOSE(CONTROL!$C$42, 10.0316, 10.0316) * CHOOSE(CONTROL!$C$21, $C$9, 100%, $E$9)</f>
        <v>10.031599999999999</v>
      </c>
      <c r="Q243" s="10">
        <f>CHOOSE(CONTROL!$C$42, 10.7003, 10.7003) * CHOOSE(CONTROL!$C$21, $C$9, 100%, $E$9)</f>
        <v>10.7003</v>
      </c>
      <c r="R243" s="10">
        <f>CHOOSE(CONTROL!$C$42, 11.314, 11.314) * CHOOSE(CONTROL!$C$21, $C$9, 100%, $E$9)</f>
        <v>11.314</v>
      </c>
      <c r="S243" s="10">
        <f>CHOOSE(CONTROL!$C$42, 9.8148, 9.8148) * CHOOSE(CONTROL!$C$21, $C$9, 100%, $E$9)</f>
        <v>9.8148</v>
      </c>
      <c r="T2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57">
        <f>(1000*CHOOSE(CONTROL!$C$42, 695, 695)*CHOOSE(CONTROL!$C$42, 0.5599, 0.5599)*CHOOSE(CONTROL!$C$42, 31, 31))/1000000</f>
        <v>12.063045499999998</v>
      </c>
      <c r="V243" s="57">
        <f>(1000*CHOOSE(CONTROL!$C$42, 500, 500)*CHOOSE(CONTROL!$C$42, 0.275, 0.275)*CHOOSE(CONTROL!$C$42, 31, 31))/1000000</f>
        <v>4.2625000000000002</v>
      </c>
      <c r="W243" s="57">
        <f>(1000*CHOOSE(CONTROL!$C$42, 0.1146, 0.1146)*CHOOSE(CONTROL!$C$42, 121.5, 121.5)*CHOOSE(CONTROL!$C$42, 31, 31))/1000000</f>
        <v>0.43164089999999994</v>
      </c>
      <c r="X243" s="57">
        <f>(31*0.1790888*100000/1000000)+(31*0.2374*100000/1000000)</f>
        <v>1.2911152800000001</v>
      </c>
      <c r="Y243" s="57"/>
      <c r="Z243" s="10"/>
      <c r="AA243" s="56"/>
      <c r="AB243" s="50">
        <f>(B243*122.58+C243*297.941+D243*89.177+E243*40.302+F243*40+G243*160+H243*0+I243*100+J243*300)/(122.58+297.941+89.177+40.302+0+40+160+100+300)</f>
        <v>10.118699589826086</v>
      </c>
      <c r="AC243" s="45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10.057719424460432</v>
      </c>
    </row>
    <row r="244" spans="1:29" ht="15.75" x14ac:dyDescent="0.25">
      <c r="A244" s="16">
        <v>48305</v>
      </c>
      <c r="B244" s="10">
        <f>CHOOSE(CONTROL!$C$42, 10.08, 10.08) * CHOOSE(CONTROL!$C$21, $C$9, 100%, $E$9)</f>
        <v>10.08</v>
      </c>
      <c r="C244" s="10">
        <f>CHOOSE(CONTROL!$C$42, 10.0843, 10.0843) * CHOOSE(CONTROL!$C$21, $C$9, 100%, $E$9)</f>
        <v>10.084300000000001</v>
      </c>
      <c r="D244" s="10">
        <f>CHOOSE(CONTROL!$C$42, 10.2902, 10.2902) * CHOOSE(CONTROL!$C$21, $C$9, 100%, $E$9)</f>
        <v>10.2902</v>
      </c>
      <c r="E244" s="10">
        <f>CHOOSE(CONTROL!$C$42, 10.322, 10.322) * CHOOSE(CONTROL!$C$21, $C$9, 100%, $E$9)</f>
        <v>10.321999999999999</v>
      </c>
      <c r="F244" s="10">
        <f>CHOOSE(CONTROL!$C$42, 10.0567, 10.0567)*CHOOSE(CONTROL!$C$21, $C$9, 100%, $E$9)</f>
        <v>10.056699999999999</v>
      </c>
      <c r="G244" s="10">
        <f>CHOOSE(CONTROL!$C$42, 10.0713, 10.0713)*CHOOSE(CONTROL!$C$21, $C$9, 100%, $E$9)</f>
        <v>10.071300000000001</v>
      </c>
      <c r="H244" s="10">
        <f>CHOOSE(CONTROL!$C$42, 10.3118, 10.3118) * CHOOSE(CONTROL!$C$21, $C$9, 100%, $E$9)</f>
        <v>10.3118</v>
      </c>
      <c r="I244" s="10">
        <f>CHOOSE(CONTROL!$C$42, 10.0814, 10.0814)* CHOOSE(CONTROL!$C$21, $C$9, 100%, $E$9)</f>
        <v>10.0814</v>
      </c>
      <c r="J244" s="10">
        <f>CHOOSE(CONTROL!$C$42, 10.0497, 10.0497)* CHOOSE(CONTROL!$C$21, $C$9, 100%, $E$9)</f>
        <v>10.0497</v>
      </c>
      <c r="K244" s="53">
        <f>CHOOSE(CONTROL!$C$42, 10.0775, 10.0775) * CHOOSE(CONTROL!$C$21, $C$9, 100%, $E$9)</f>
        <v>10.077500000000001</v>
      </c>
      <c r="L244" s="10">
        <f>CHOOSE(CONTROL!$C$42, 10.8988, 10.8988) * CHOOSE(CONTROL!$C$21, $C$9, 100%, $E$9)</f>
        <v>10.8988</v>
      </c>
      <c r="M244" s="10">
        <f>CHOOSE(CONTROL!$C$42, 9.9621, 9.9621) * CHOOSE(CONTROL!$C$21, $C$9, 100%, $E$9)</f>
        <v>9.9620999999999995</v>
      </c>
      <c r="N244" s="10">
        <f>CHOOSE(CONTROL!$C$42, 9.9765, 9.9765) * CHOOSE(CONTROL!$C$21, $C$9, 100%, $E$9)</f>
        <v>9.9764999999999997</v>
      </c>
      <c r="O244" s="10">
        <f>CHOOSE(CONTROL!$C$42, 10.2215, 10.2215) * CHOOSE(CONTROL!$C$21, $C$9, 100%, $E$9)</f>
        <v>10.221500000000001</v>
      </c>
      <c r="P244" s="10">
        <f>CHOOSE(CONTROL!$C$42, 9.9935, 9.9935) * CHOOSE(CONTROL!$C$21, $C$9, 100%, $E$9)</f>
        <v>9.9934999999999992</v>
      </c>
      <c r="Q244" s="10">
        <f>CHOOSE(CONTROL!$C$42, 10.8168, 10.8168) * CHOOSE(CONTROL!$C$21, $C$9, 100%, $E$9)</f>
        <v>10.816800000000001</v>
      </c>
      <c r="R244" s="10">
        <f>CHOOSE(CONTROL!$C$42, 11.4309, 11.4309) * CHOOSE(CONTROL!$C$21, $C$9, 100%, $E$9)</f>
        <v>11.430899999999999</v>
      </c>
      <c r="S244" s="10">
        <f>CHOOSE(CONTROL!$C$42, 9.7858, 9.7858) * CHOOSE(CONTROL!$C$21, $C$9, 100%, $E$9)</f>
        <v>9.7858000000000001</v>
      </c>
      <c r="T2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57">
        <f>(1000*CHOOSE(CONTROL!$C$42, 695, 695)*CHOOSE(CONTROL!$C$42, 0.5599, 0.5599)*CHOOSE(CONTROL!$C$42, 30, 30))/1000000</f>
        <v>11.673914999999997</v>
      </c>
      <c r="V244" s="57">
        <f>(1000*CHOOSE(CONTROL!$C$42, 500, 500)*CHOOSE(CONTROL!$C$42, 0.275, 0.275)*CHOOSE(CONTROL!$C$42, 30, 30))/1000000</f>
        <v>4.125</v>
      </c>
      <c r="W244" s="57">
        <f>(1000*CHOOSE(CONTROL!$C$42, 0.1146, 0.1146)*CHOOSE(CONTROL!$C$42, 121.5, 121.5)*CHOOSE(CONTROL!$C$42, 30, 30))/1000000</f>
        <v>0.417717</v>
      </c>
      <c r="X244" s="57">
        <f>(30*0.1790888*245000/1000000)+(30*0.2374*100000/1000000)</f>
        <v>2.0285026799999999</v>
      </c>
      <c r="Y244" s="57"/>
      <c r="Z244" s="10"/>
      <c r="AA244" s="56"/>
      <c r="AB244" s="50">
        <f>(B244*141.293+C244*267.993+D244*115.016+E244*89.698+F244*40+G244*185+H244*0+I244*100+J244*300)/(141.293+267.993+115.016+89.698+0+40+185+100+300)</f>
        <v>10.108687771670702</v>
      </c>
      <c r="AC244" s="45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10.042714388489209</v>
      </c>
    </row>
    <row r="245" spans="1:29" ht="15.75" x14ac:dyDescent="0.25">
      <c r="A245" s="16">
        <v>48335</v>
      </c>
      <c r="B245" s="10">
        <f>CHOOSE(CONTROL!$C$42, 10.1703, 10.1703) * CHOOSE(CONTROL!$C$21, $C$9, 100%, $E$9)</f>
        <v>10.170299999999999</v>
      </c>
      <c r="C245" s="10">
        <f>CHOOSE(CONTROL!$C$42, 10.1782, 10.1782) * CHOOSE(CONTROL!$C$21, $C$9, 100%, $E$9)</f>
        <v>10.1782</v>
      </c>
      <c r="D245" s="10">
        <f>CHOOSE(CONTROL!$C$42, 10.3809, 10.3809) * CHOOSE(CONTROL!$C$21, $C$9, 100%, $E$9)</f>
        <v>10.3809</v>
      </c>
      <c r="E245" s="10">
        <f>CHOOSE(CONTROL!$C$42, 10.4121, 10.4121) * CHOOSE(CONTROL!$C$21, $C$9, 100%, $E$9)</f>
        <v>10.412100000000001</v>
      </c>
      <c r="F245" s="10">
        <f>CHOOSE(CONTROL!$C$42, 10.146, 10.146)*CHOOSE(CONTROL!$C$21, $C$9, 100%, $E$9)</f>
        <v>10.146000000000001</v>
      </c>
      <c r="G245" s="10">
        <f>CHOOSE(CONTROL!$C$42, 10.161, 10.161)*CHOOSE(CONTROL!$C$21, $C$9, 100%, $E$9)</f>
        <v>10.161</v>
      </c>
      <c r="H245" s="10">
        <f>CHOOSE(CONTROL!$C$42, 10.4007, 10.4007) * CHOOSE(CONTROL!$C$21, $C$9, 100%, $E$9)</f>
        <v>10.400700000000001</v>
      </c>
      <c r="I245" s="10">
        <f>CHOOSE(CONTROL!$C$42, 10.1703, 10.1703)* CHOOSE(CONTROL!$C$21, $C$9, 100%, $E$9)</f>
        <v>10.170299999999999</v>
      </c>
      <c r="J245" s="10">
        <f>CHOOSE(CONTROL!$C$42, 10.139, 10.139)* CHOOSE(CONTROL!$C$21, $C$9, 100%, $E$9)</f>
        <v>10.138999999999999</v>
      </c>
      <c r="K245" s="53">
        <f>CHOOSE(CONTROL!$C$42, 10.1664, 10.1664) * CHOOSE(CONTROL!$C$21, $C$9, 100%, $E$9)</f>
        <v>10.166399999999999</v>
      </c>
      <c r="L245" s="10">
        <f>CHOOSE(CONTROL!$C$42, 10.9877, 10.9877) * CHOOSE(CONTROL!$C$21, $C$9, 100%, $E$9)</f>
        <v>10.9877</v>
      </c>
      <c r="M245" s="10">
        <f>CHOOSE(CONTROL!$C$42, 10.0505, 10.0505) * CHOOSE(CONTROL!$C$21, $C$9, 100%, $E$9)</f>
        <v>10.0505</v>
      </c>
      <c r="N245" s="10">
        <f>CHOOSE(CONTROL!$C$42, 10.0654, 10.0654) * CHOOSE(CONTROL!$C$21, $C$9, 100%, $E$9)</f>
        <v>10.0654</v>
      </c>
      <c r="O245" s="10">
        <f>CHOOSE(CONTROL!$C$42, 10.3096, 10.3096) * CHOOSE(CONTROL!$C$21, $C$9, 100%, $E$9)</f>
        <v>10.3096</v>
      </c>
      <c r="P245" s="10">
        <f>CHOOSE(CONTROL!$C$42, 10.0816, 10.0816) * CHOOSE(CONTROL!$C$21, $C$9, 100%, $E$9)</f>
        <v>10.0816</v>
      </c>
      <c r="Q245" s="10">
        <f>CHOOSE(CONTROL!$C$42, 10.9049, 10.9049) * CHOOSE(CONTROL!$C$21, $C$9, 100%, $E$9)</f>
        <v>10.9049</v>
      </c>
      <c r="R245" s="10">
        <f>CHOOSE(CONTROL!$C$42, 11.5191, 11.5191) * CHOOSE(CONTROL!$C$21, $C$9, 100%, $E$9)</f>
        <v>11.5191</v>
      </c>
      <c r="S245" s="10">
        <f>CHOOSE(CONTROL!$C$42, 9.8721, 9.8721) * CHOOSE(CONTROL!$C$21, $C$9, 100%, $E$9)</f>
        <v>9.8720999999999997</v>
      </c>
      <c r="T2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57">
        <f>(1000*CHOOSE(CONTROL!$C$42, 695, 695)*CHOOSE(CONTROL!$C$42, 0.5599, 0.5599)*CHOOSE(CONTROL!$C$42, 31, 31))/1000000</f>
        <v>12.063045499999998</v>
      </c>
      <c r="V245" s="57">
        <f>(1000*CHOOSE(CONTROL!$C$42, 500, 500)*CHOOSE(CONTROL!$C$42, 0.275, 0.275)*CHOOSE(CONTROL!$C$42, 31, 31))/1000000</f>
        <v>4.2625000000000002</v>
      </c>
      <c r="W245" s="57">
        <f>(1000*CHOOSE(CONTROL!$C$42, 0.1146, 0.1146)*CHOOSE(CONTROL!$C$42, 121.5, 121.5)*CHOOSE(CONTROL!$C$42, 31, 31))/1000000</f>
        <v>0.43164089999999994</v>
      </c>
      <c r="X245" s="57">
        <f>(31*0.1790888*245000/1000000)+(31*0.2374*100000/1000000)</f>
        <v>2.0961194359999999</v>
      </c>
      <c r="Y245" s="57"/>
      <c r="Z245" s="10"/>
      <c r="AA245" s="56"/>
      <c r="AB245" s="50">
        <f>(B245*194.205+C245*267.466+D245*133.845+E245*53.484+F245*40+G245*185+H245*0+I245*100+J245*300)/(194.205+267.466+133.845+53.484+0+40+185+100+300)</f>
        <v>10.194751075039248</v>
      </c>
      <c r="AC245" s="45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10.13110215827338</v>
      </c>
    </row>
    <row r="246" spans="1:29" ht="15.75" x14ac:dyDescent="0.25">
      <c r="A246" s="16">
        <v>48366</v>
      </c>
      <c r="B246" s="10">
        <f>CHOOSE(CONTROL!$C$42, 10.4586, 10.4586) * CHOOSE(CONTROL!$C$21, $C$9, 100%, $E$9)</f>
        <v>10.458600000000001</v>
      </c>
      <c r="C246" s="10">
        <f>CHOOSE(CONTROL!$C$42, 10.4665, 10.4665) * CHOOSE(CONTROL!$C$21, $C$9, 100%, $E$9)</f>
        <v>10.4665</v>
      </c>
      <c r="D246" s="10">
        <f>CHOOSE(CONTROL!$C$42, 10.6693, 10.6693) * CHOOSE(CONTROL!$C$21, $C$9, 100%, $E$9)</f>
        <v>10.6693</v>
      </c>
      <c r="E246" s="10">
        <f>CHOOSE(CONTROL!$C$42, 10.7004, 10.7004) * CHOOSE(CONTROL!$C$21, $C$9, 100%, $E$9)</f>
        <v>10.7004</v>
      </c>
      <c r="F246" s="10">
        <f>CHOOSE(CONTROL!$C$42, 10.4349, 10.4349)*CHOOSE(CONTROL!$C$21, $C$9, 100%, $E$9)</f>
        <v>10.434900000000001</v>
      </c>
      <c r="G246" s="10">
        <f>CHOOSE(CONTROL!$C$42, 10.45, 10.45)*CHOOSE(CONTROL!$C$21, $C$9, 100%, $E$9)</f>
        <v>10.45</v>
      </c>
      <c r="H246" s="10">
        <f>CHOOSE(CONTROL!$C$42, 10.689, 10.689) * CHOOSE(CONTROL!$C$21, $C$9, 100%, $E$9)</f>
        <v>10.689</v>
      </c>
      <c r="I246" s="10">
        <f>CHOOSE(CONTROL!$C$42, 10.4587, 10.4587)* CHOOSE(CONTROL!$C$21, $C$9, 100%, $E$9)</f>
        <v>10.4587</v>
      </c>
      <c r="J246" s="10">
        <f>CHOOSE(CONTROL!$C$42, 10.4279, 10.4279)* CHOOSE(CONTROL!$C$21, $C$9, 100%, $E$9)</f>
        <v>10.427899999999999</v>
      </c>
      <c r="K246" s="53">
        <f>CHOOSE(CONTROL!$C$42, 10.4548, 10.4548) * CHOOSE(CONTROL!$C$21, $C$9, 100%, $E$9)</f>
        <v>10.454800000000001</v>
      </c>
      <c r="L246" s="10">
        <f>CHOOSE(CONTROL!$C$42, 11.276, 11.276) * CHOOSE(CONTROL!$C$21, $C$9, 100%, $E$9)</f>
        <v>11.276</v>
      </c>
      <c r="M246" s="10">
        <f>CHOOSE(CONTROL!$C$42, 10.3365, 10.3365) * CHOOSE(CONTROL!$C$21, $C$9, 100%, $E$9)</f>
        <v>10.336499999999999</v>
      </c>
      <c r="N246" s="10">
        <f>CHOOSE(CONTROL!$C$42, 10.3514, 10.3514) * CHOOSE(CONTROL!$C$21, $C$9, 100%, $E$9)</f>
        <v>10.3514</v>
      </c>
      <c r="O246" s="10">
        <f>CHOOSE(CONTROL!$C$42, 10.595, 10.595) * CHOOSE(CONTROL!$C$21, $C$9, 100%, $E$9)</f>
        <v>10.595000000000001</v>
      </c>
      <c r="P246" s="10">
        <f>CHOOSE(CONTROL!$C$42, 10.367, 10.367) * CHOOSE(CONTROL!$C$21, $C$9, 100%, $E$9)</f>
        <v>10.367000000000001</v>
      </c>
      <c r="Q246" s="10">
        <f>CHOOSE(CONTROL!$C$42, 11.1903, 11.1903) * CHOOSE(CONTROL!$C$21, $C$9, 100%, $E$9)</f>
        <v>11.190300000000001</v>
      </c>
      <c r="R246" s="10">
        <f>CHOOSE(CONTROL!$C$42, 11.8053, 11.8053) * CHOOSE(CONTROL!$C$21, $C$9, 100%, $E$9)</f>
        <v>11.805300000000001</v>
      </c>
      <c r="S246" s="10">
        <f>CHOOSE(CONTROL!$C$42, 10.1521, 10.1521) * CHOOSE(CONTROL!$C$21, $C$9, 100%, $E$9)</f>
        <v>10.152100000000001</v>
      </c>
      <c r="T2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57">
        <f>(1000*CHOOSE(CONTROL!$C$42, 695, 695)*CHOOSE(CONTROL!$C$42, 0.5599, 0.5599)*CHOOSE(CONTROL!$C$42, 30, 30))/1000000</f>
        <v>11.673914999999997</v>
      </c>
      <c r="V246" s="57">
        <f>(1000*CHOOSE(CONTROL!$C$42, 500, 500)*CHOOSE(CONTROL!$C$42, 0.275, 0.275)*CHOOSE(CONTROL!$C$42, 30, 30))/1000000</f>
        <v>4.125</v>
      </c>
      <c r="W246" s="57">
        <f>(1000*CHOOSE(CONTROL!$C$42, 0.1146, 0.1146)*CHOOSE(CONTROL!$C$42, 121.5, 121.5)*CHOOSE(CONTROL!$C$42, 30, 30))/1000000</f>
        <v>0.417717</v>
      </c>
      <c r="X246" s="57">
        <f>(30*0.1790888*245000/1000000)+(30*0.2374*100000/1000000)</f>
        <v>2.0285026799999999</v>
      </c>
      <c r="Y246" s="57"/>
      <c r="Z246" s="10"/>
      <c r="AA246" s="56"/>
      <c r="AB246" s="50">
        <f>(B246*194.205+C246*267.466+D246*133.845+E246*53.484+F246*40+G246*185+H246*0+I246*100+J246*300)/(194.205+267.466+133.845+53.484+0+40+185+100+300)</f>
        <v>10.483331204160125</v>
      </c>
      <c r="AC246" s="45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10.416847482014388</v>
      </c>
    </row>
    <row r="247" spans="1:29" ht="15.75" x14ac:dyDescent="0.25">
      <c r="A247" s="16">
        <v>48396</v>
      </c>
      <c r="B247" s="10">
        <f>CHOOSE(CONTROL!$C$42, 10.2581, 10.2581) * CHOOSE(CONTROL!$C$21, $C$9, 100%, $E$9)</f>
        <v>10.258100000000001</v>
      </c>
      <c r="C247" s="10">
        <f>CHOOSE(CONTROL!$C$42, 10.266, 10.266) * CHOOSE(CONTROL!$C$21, $C$9, 100%, $E$9)</f>
        <v>10.266</v>
      </c>
      <c r="D247" s="10">
        <f>CHOOSE(CONTROL!$C$42, 10.4687, 10.4687) * CHOOSE(CONTROL!$C$21, $C$9, 100%, $E$9)</f>
        <v>10.4687</v>
      </c>
      <c r="E247" s="10">
        <f>CHOOSE(CONTROL!$C$42, 10.4999, 10.4999) * CHOOSE(CONTROL!$C$21, $C$9, 100%, $E$9)</f>
        <v>10.4999</v>
      </c>
      <c r="F247" s="10">
        <f>CHOOSE(CONTROL!$C$42, 10.2348, 10.2348)*CHOOSE(CONTROL!$C$21, $C$9, 100%, $E$9)</f>
        <v>10.2348</v>
      </c>
      <c r="G247" s="10">
        <f>CHOOSE(CONTROL!$C$42, 10.2501, 10.2501)*CHOOSE(CONTROL!$C$21, $C$9, 100%, $E$9)</f>
        <v>10.2501</v>
      </c>
      <c r="H247" s="10">
        <f>CHOOSE(CONTROL!$C$42, 10.4885, 10.4885) * CHOOSE(CONTROL!$C$21, $C$9, 100%, $E$9)</f>
        <v>10.4885</v>
      </c>
      <c r="I247" s="10">
        <f>CHOOSE(CONTROL!$C$42, 10.2581, 10.2581)* CHOOSE(CONTROL!$C$21, $C$9, 100%, $E$9)</f>
        <v>10.258100000000001</v>
      </c>
      <c r="J247" s="10">
        <f>CHOOSE(CONTROL!$C$42, 10.2278, 10.2278)* CHOOSE(CONTROL!$C$21, $C$9, 100%, $E$9)</f>
        <v>10.2278</v>
      </c>
      <c r="K247" s="53">
        <f>CHOOSE(CONTROL!$C$42, 10.2542, 10.2542) * CHOOSE(CONTROL!$C$21, $C$9, 100%, $E$9)</f>
        <v>10.254200000000001</v>
      </c>
      <c r="L247" s="10">
        <f>CHOOSE(CONTROL!$C$42, 11.0755, 11.0755) * CHOOSE(CONTROL!$C$21, $C$9, 100%, $E$9)</f>
        <v>11.0755</v>
      </c>
      <c r="M247" s="10">
        <f>CHOOSE(CONTROL!$C$42, 10.1384, 10.1384) * CHOOSE(CONTROL!$C$21, $C$9, 100%, $E$9)</f>
        <v>10.138400000000001</v>
      </c>
      <c r="N247" s="10">
        <f>CHOOSE(CONTROL!$C$42, 10.1536, 10.1536) * CHOOSE(CONTROL!$C$21, $C$9, 100%, $E$9)</f>
        <v>10.153600000000001</v>
      </c>
      <c r="O247" s="10">
        <f>CHOOSE(CONTROL!$C$42, 10.3965, 10.3965) * CHOOSE(CONTROL!$C$21, $C$9, 100%, $E$9)</f>
        <v>10.3965</v>
      </c>
      <c r="P247" s="10">
        <f>CHOOSE(CONTROL!$C$42, 10.1685, 10.1685) * CHOOSE(CONTROL!$C$21, $C$9, 100%, $E$9)</f>
        <v>10.1685</v>
      </c>
      <c r="Q247" s="10">
        <f>CHOOSE(CONTROL!$C$42, 10.9918, 10.9918) * CHOOSE(CONTROL!$C$21, $C$9, 100%, $E$9)</f>
        <v>10.9918</v>
      </c>
      <c r="R247" s="10">
        <f>CHOOSE(CONTROL!$C$42, 11.6063, 11.6063) * CHOOSE(CONTROL!$C$21, $C$9, 100%, $E$9)</f>
        <v>11.606299999999999</v>
      </c>
      <c r="S247" s="10">
        <f>CHOOSE(CONTROL!$C$42, 9.9574, 9.9574) * CHOOSE(CONTROL!$C$21, $C$9, 100%, $E$9)</f>
        <v>9.9573999999999998</v>
      </c>
      <c r="T2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57">
        <f>(1000*CHOOSE(CONTROL!$C$42, 695, 695)*CHOOSE(CONTROL!$C$42, 0.5599, 0.5599)*CHOOSE(CONTROL!$C$42, 31, 31))/1000000</f>
        <v>12.063045499999998</v>
      </c>
      <c r="V247" s="57">
        <f>(1000*CHOOSE(CONTROL!$C$42, 500, 500)*CHOOSE(CONTROL!$C$42, 0.275, 0.275)*CHOOSE(CONTROL!$C$42, 31, 31))/1000000</f>
        <v>4.2625000000000002</v>
      </c>
      <c r="W247" s="57">
        <f>(1000*CHOOSE(CONTROL!$C$42, 0.1146, 0.1146)*CHOOSE(CONTROL!$C$42, 121.5, 121.5)*CHOOSE(CONTROL!$C$42, 31, 31))/1000000</f>
        <v>0.43164089999999994</v>
      </c>
      <c r="X247" s="57">
        <f>(31*0.1790888*245000/1000000)+(31*0.2374*100000/1000000)</f>
        <v>2.0961194359999999</v>
      </c>
      <c r="Y247" s="57"/>
      <c r="Z247" s="10"/>
      <c r="AA247" s="56"/>
      <c r="AB247" s="50">
        <f>(B247*194.205+C247*267.466+D247*133.845+E247*53.484+F247*40+G247*185+H247*0+I247*100+J247*300)/(194.205+267.466+133.845+53.484+0+40+185+100+300)</f>
        <v>10.283006726530612</v>
      </c>
      <c r="AC247" s="45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10.218646762589929</v>
      </c>
    </row>
    <row r="248" spans="1:29" ht="15.75" x14ac:dyDescent="0.25">
      <c r="A248" s="16">
        <v>48427</v>
      </c>
      <c r="B248" s="10">
        <f>CHOOSE(CONTROL!$C$42, 9.7517, 9.7517) * CHOOSE(CONTROL!$C$21, $C$9, 100%, $E$9)</f>
        <v>9.7516999999999996</v>
      </c>
      <c r="C248" s="10">
        <f>CHOOSE(CONTROL!$C$42, 9.7596, 9.7596) * CHOOSE(CONTROL!$C$21, $C$9, 100%, $E$9)</f>
        <v>9.7596000000000007</v>
      </c>
      <c r="D248" s="10">
        <f>CHOOSE(CONTROL!$C$42, 9.9623, 9.9623) * CHOOSE(CONTROL!$C$21, $C$9, 100%, $E$9)</f>
        <v>9.9623000000000008</v>
      </c>
      <c r="E248" s="10">
        <f>CHOOSE(CONTROL!$C$42, 9.9934, 9.9934) * CHOOSE(CONTROL!$C$21, $C$9, 100%, $E$9)</f>
        <v>9.9933999999999994</v>
      </c>
      <c r="F248" s="10">
        <f>CHOOSE(CONTROL!$C$42, 9.7286, 9.7286)*CHOOSE(CONTROL!$C$21, $C$9, 100%, $E$9)</f>
        <v>9.7286000000000001</v>
      </c>
      <c r="G248" s="10">
        <f>CHOOSE(CONTROL!$C$42, 9.7439, 9.7439)*CHOOSE(CONTROL!$C$21, $C$9, 100%, $E$9)</f>
        <v>9.7439</v>
      </c>
      <c r="H248" s="10">
        <f>CHOOSE(CONTROL!$C$42, 9.9821, 9.9821) * CHOOSE(CONTROL!$C$21, $C$9, 100%, $E$9)</f>
        <v>9.9821000000000009</v>
      </c>
      <c r="I248" s="10">
        <f>CHOOSE(CONTROL!$C$42, 9.7517, 9.7517)* CHOOSE(CONTROL!$C$21, $C$9, 100%, $E$9)</f>
        <v>9.7516999999999996</v>
      </c>
      <c r="J248" s="10">
        <f>CHOOSE(CONTROL!$C$42, 9.7216, 9.7216)* CHOOSE(CONTROL!$C$21, $C$9, 100%, $E$9)</f>
        <v>9.7216000000000005</v>
      </c>
      <c r="K248" s="53">
        <f>CHOOSE(CONTROL!$C$42, 9.7478, 9.7478) * CHOOSE(CONTROL!$C$21, $C$9, 100%, $E$9)</f>
        <v>9.7477999999999998</v>
      </c>
      <c r="L248" s="10">
        <f>CHOOSE(CONTROL!$C$42, 10.5691, 10.5691) * CHOOSE(CONTROL!$C$21, $C$9, 100%, $E$9)</f>
        <v>10.569100000000001</v>
      </c>
      <c r="M248" s="10">
        <f>CHOOSE(CONTROL!$C$42, 9.6373, 9.6373) * CHOOSE(CONTROL!$C$21, $C$9, 100%, $E$9)</f>
        <v>9.6372999999999998</v>
      </c>
      <c r="N248" s="10">
        <f>CHOOSE(CONTROL!$C$42, 9.6525, 9.6525) * CHOOSE(CONTROL!$C$21, $C$9, 100%, $E$9)</f>
        <v>9.6524999999999999</v>
      </c>
      <c r="O248" s="10">
        <f>CHOOSE(CONTROL!$C$42, 9.8952, 9.8952) * CHOOSE(CONTROL!$C$21, $C$9, 100%, $E$9)</f>
        <v>9.8952000000000009</v>
      </c>
      <c r="P248" s="10">
        <f>CHOOSE(CONTROL!$C$42, 9.6672, 9.6672) * CHOOSE(CONTROL!$C$21, $C$9, 100%, $E$9)</f>
        <v>9.6671999999999993</v>
      </c>
      <c r="Q248" s="10">
        <f>CHOOSE(CONTROL!$C$42, 10.4905, 10.4905) * CHOOSE(CONTROL!$C$21, $C$9, 100%, $E$9)</f>
        <v>10.490500000000001</v>
      </c>
      <c r="R248" s="10">
        <f>CHOOSE(CONTROL!$C$42, 11.1037, 11.1037) * CHOOSE(CONTROL!$C$21, $C$9, 100%, $E$9)</f>
        <v>11.1037</v>
      </c>
      <c r="S248" s="10">
        <f>CHOOSE(CONTROL!$C$42, 9.4656, 9.4656) * CHOOSE(CONTROL!$C$21, $C$9, 100%, $E$9)</f>
        <v>9.4656000000000002</v>
      </c>
      <c r="T2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57">
        <f>(1000*CHOOSE(CONTROL!$C$42, 695, 695)*CHOOSE(CONTROL!$C$42, 0.5599, 0.5599)*CHOOSE(CONTROL!$C$42, 31, 31))/1000000</f>
        <v>12.063045499999998</v>
      </c>
      <c r="V248" s="57">
        <f>(1000*CHOOSE(CONTROL!$C$42, 500, 500)*CHOOSE(CONTROL!$C$42, 0.275, 0.275)*CHOOSE(CONTROL!$C$42, 31, 31))/1000000</f>
        <v>4.2625000000000002</v>
      </c>
      <c r="W248" s="57">
        <f>(1000*CHOOSE(CONTROL!$C$42, 0.1146, 0.1146)*CHOOSE(CONTROL!$C$42, 121.5, 121.5)*CHOOSE(CONTROL!$C$42, 31, 31))/1000000</f>
        <v>0.43164089999999994</v>
      </c>
      <c r="X248" s="57">
        <f>(31*0.1790888*245000/1000000)+(31*0.2374*100000/1000000)</f>
        <v>2.0961194359999999</v>
      </c>
      <c r="Y248" s="57"/>
      <c r="Z248" s="10"/>
      <c r="AA248" s="56"/>
      <c r="AB248" s="50">
        <f>(B248*194.205+C248*267.466+D248*133.845+E248*53.484+F248*40+G248*185+H248*0+I248*100+J248*300)/(194.205+267.466+133.845+53.484+0+40+185+100+300)</f>
        <v>9.7766849459968608</v>
      </c>
      <c r="AC248" s="45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9.7174618705035982</v>
      </c>
    </row>
    <row r="249" spans="1:29" ht="15.75" x14ac:dyDescent="0.25">
      <c r="A249" s="16">
        <v>48458</v>
      </c>
      <c r="B249" s="10">
        <f>CHOOSE(CONTROL!$C$42, 9.1325, 9.1325) * CHOOSE(CONTROL!$C$21, $C$9, 100%, $E$9)</f>
        <v>9.1325000000000003</v>
      </c>
      <c r="C249" s="10">
        <f>CHOOSE(CONTROL!$C$42, 9.1404, 9.1404) * CHOOSE(CONTROL!$C$21, $C$9, 100%, $E$9)</f>
        <v>9.1403999999999996</v>
      </c>
      <c r="D249" s="10">
        <f>CHOOSE(CONTROL!$C$42, 9.3432, 9.3432) * CHOOSE(CONTROL!$C$21, $C$9, 100%, $E$9)</f>
        <v>9.3431999999999995</v>
      </c>
      <c r="E249" s="10">
        <f>CHOOSE(CONTROL!$C$42, 9.3743, 9.3743) * CHOOSE(CONTROL!$C$21, $C$9, 100%, $E$9)</f>
        <v>9.3742999999999999</v>
      </c>
      <c r="F249" s="10">
        <f>CHOOSE(CONTROL!$C$42, 9.1093, 9.1093)*CHOOSE(CONTROL!$C$21, $C$9, 100%, $E$9)</f>
        <v>9.1092999999999993</v>
      </c>
      <c r="G249" s="10">
        <f>CHOOSE(CONTROL!$C$42, 9.1246, 9.1246)*CHOOSE(CONTROL!$C$21, $C$9, 100%, $E$9)</f>
        <v>9.1245999999999992</v>
      </c>
      <c r="H249" s="10">
        <f>CHOOSE(CONTROL!$C$42, 9.3629, 9.3629) * CHOOSE(CONTROL!$C$21, $C$9, 100%, $E$9)</f>
        <v>9.3628999999999998</v>
      </c>
      <c r="I249" s="10">
        <f>CHOOSE(CONTROL!$C$42, 9.1325, 9.1325)* CHOOSE(CONTROL!$C$21, $C$9, 100%, $E$9)</f>
        <v>9.1325000000000003</v>
      </c>
      <c r="J249" s="10">
        <f>CHOOSE(CONTROL!$C$42, 9.1023, 9.1023)* CHOOSE(CONTROL!$C$21, $C$9, 100%, $E$9)</f>
        <v>9.1022999999999996</v>
      </c>
      <c r="K249" s="53">
        <f>CHOOSE(CONTROL!$C$42, 9.1287, 9.1287) * CHOOSE(CONTROL!$C$21, $C$9, 100%, $E$9)</f>
        <v>9.1287000000000003</v>
      </c>
      <c r="L249" s="10">
        <f>CHOOSE(CONTROL!$C$42, 9.9499, 9.9499) * CHOOSE(CONTROL!$C$21, $C$9, 100%, $E$9)</f>
        <v>9.9498999999999995</v>
      </c>
      <c r="M249" s="10">
        <f>CHOOSE(CONTROL!$C$42, 9.0243, 9.0243) * CHOOSE(CONTROL!$C$21, $C$9, 100%, $E$9)</f>
        <v>9.0243000000000002</v>
      </c>
      <c r="N249" s="10">
        <f>CHOOSE(CONTROL!$C$42, 9.0394, 9.0394) * CHOOSE(CONTROL!$C$21, $C$9, 100%, $E$9)</f>
        <v>9.0394000000000005</v>
      </c>
      <c r="O249" s="10">
        <f>CHOOSE(CONTROL!$C$42, 9.2823, 9.2823) * CHOOSE(CONTROL!$C$21, $C$9, 100%, $E$9)</f>
        <v>9.2822999999999993</v>
      </c>
      <c r="P249" s="10">
        <f>CHOOSE(CONTROL!$C$42, 9.0543, 9.0543) * CHOOSE(CONTROL!$C$21, $C$9, 100%, $E$9)</f>
        <v>9.0542999999999996</v>
      </c>
      <c r="Q249" s="10">
        <f>CHOOSE(CONTROL!$C$42, 9.8776, 9.8776) * CHOOSE(CONTROL!$C$21, $C$9, 100%, $E$9)</f>
        <v>9.8775999999999993</v>
      </c>
      <c r="R249" s="10">
        <f>CHOOSE(CONTROL!$C$42, 10.4893, 10.4893) * CHOOSE(CONTROL!$C$21, $C$9, 100%, $E$9)</f>
        <v>10.4893</v>
      </c>
      <c r="S249" s="10">
        <f>CHOOSE(CONTROL!$C$42, 8.8643, 8.8643) * CHOOSE(CONTROL!$C$21, $C$9, 100%, $E$9)</f>
        <v>8.8643000000000001</v>
      </c>
      <c r="T2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57">
        <f>(1000*CHOOSE(CONTROL!$C$42, 695, 695)*CHOOSE(CONTROL!$C$42, 0.5599, 0.5599)*CHOOSE(CONTROL!$C$42, 30, 30))/1000000</f>
        <v>11.673914999999997</v>
      </c>
      <c r="V249" s="57">
        <f>(1000*CHOOSE(CONTROL!$C$42, 500, 500)*CHOOSE(CONTROL!$C$42, 0.275, 0.275)*CHOOSE(CONTROL!$C$42, 30, 30))/1000000</f>
        <v>4.125</v>
      </c>
      <c r="W249" s="57">
        <f>(1000*CHOOSE(CONTROL!$C$42, 0.1146, 0.1146)*CHOOSE(CONTROL!$C$42, 121.5, 121.5)*CHOOSE(CONTROL!$C$42, 30, 30))/1000000</f>
        <v>0.417717</v>
      </c>
      <c r="X249" s="57">
        <f>(30*0.1790888*245000/1000000)+(30*0.2374*100000/1000000)</f>
        <v>2.0285026799999999</v>
      </c>
      <c r="Y249" s="57"/>
      <c r="Z249" s="10"/>
      <c r="AA249" s="56"/>
      <c r="AB249" s="50">
        <f>(B249*194.205+C249*267.466+D249*133.845+E249*53.484+F249*40+G249*185+H249*0+I249*100+J249*300)/(194.205+267.466+133.845+53.484+0+40+185+100+300)</f>
        <v>9.1574584412087923</v>
      </c>
      <c r="AC249" s="45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9.1044812949640281</v>
      </c>
    </row>
    <row r="250" spans="1:29" ht="15.75" x14ac:dyDescent="0.25">
      <c r="A250" s="16">
        <v>48488</v>
      </c>
      <c r="B250" s="10">
        <f>CHOOSE(CONTROL!$C$42, 8.9454, 8.9454) * CHOOSE(CONTROL!$C$21, $C$9, 100%, $E$9)</f>
        <v>8.9453999999999994</v>
      </c>
      <c r="C250" s="10">
        <f>CHOOSE(CONTROL!$C$42, 8.9506, 8.9506) * CHOOSE(CONTROL!$C$21, $C$9, 100%, $E$9)</f>
        <v>8.9505999999999997</v>
      </c>
      <c r="D250" s="10">
        <f>CHOOSE(CONTROL!$C$42, 9.1583, 9.1583) * CHOOSE(CONTROL!$C$21, $C$9, 100%, $E$9)</f>
        <v>9.1583000000000006</v>
      </c>
      <c r="E250" s="10">
        <f>CHOOSE(CONTROL!$C$42, 9.1871, 9.1871) * CHOOSE(CONTROL!$C$21, $C$9, 100%, $E$9)</f>
        <v>9.1870999999999992</v>
      </c>
      <c r="F250" s="10">
        <f>CHOOSE(CONTROL!$C$42, 8.9241, 8.9241)*CHOOSE(CONTROL!$C$21, $C$9, 100%, $E$9)</f>
        <v>8.9240999999999993</v>
      </c>
      <c r="G250" s="10">
        <f>CHOOSE(CONTROL!$C$42, 8.9391, 8.9391)*CHOOSE(CONTROL!$C$21, $C$9, 100%, $E$9)</f>
        <v>8.9390999999999998</v>
      </c>
      <c r="H250" s="10">
        <f>CHOOSE(CONTROL!$C$42, 9.1776, 9.1776) * CHOOSE(CONTROL!$C$21, $C$9, 100%, $E$9)</f>
        <v>9.1776</v>
      </c>
      <c r="I250" s="10">
        <f>CHOOSE(CONTROL!$C$42, 8.9472, 8.9472)* CHOOSE(CONTROL!$C$21, $C$9, 100%, $E$9)</f>
        <v>8.9472000000000005</v>
      </c>
      <c r="J250" s="10">
        <f>CHOOSE(CONTROL!$C$42, 8.9171, 8.9171)* CHOOSE(CONTROL!$C$21, $C$9, 100%, $E$9)</f>
        <v>8.9170999999999996</v>
      </c>
      <c r="K250" s="53">
        <f>CHOOSE(CONTROL!$C$42, 8.9433, 8.9433) * CHOOSE(CONTROL!$C$21, $C$9, 100%, $E$9)</f>
        <v>8.9433000000000007</v>
      </c>
      <c r="L250" s="10">
        <f>CHOOSE(CONTROL!$C$42, 9.7646, 9.7646) * CHOOSE(CONTROL!$C$21, $C$9, 100%, $E$9)</f>
        <v>9.7645999999999997</v>
      </c>
      <c r="M250" s="10">
        <f>CHOOSE(CONTROL!$C$42, 8.841, 8.841) * CHOOSE(CONTROL!$C$21, $C$9, 100%, $E$9)</f>
        <v>8.8409999999999993</v>
      </c>
      <c r="N250" s="10">
        <f>CHOOSE(CONTROL!$C$42, 8.8558, 8.8558) * CHOOSE(CONTROL!$C$21, $C$9, 100%, $E$9)</f>
        <v>8.8558000000000003</v>
      </c>
      <c r="O250" s="10">
        <f>CHOOSE(CONTROL!$C$42, 9.0988, 9.0988) * CHOOSE(CONTROL!$C$21, $C$9, 100%, $E$9)</f>
        <v>9.0988000000000007</v>
      </c>
      <c r="P250" s="10">
        <f>CHOOSE(CONTROL!$C$42, 8.8708, 8.8708) * CHOOSE(CONTROL!$C$21, $C$9, 100%, $E$9)</f>
        <v>8.8707999999999991</v>
      </c>
      <c r="Q250" s="10">
        <f>CHOOSE(CONTROL!$C$42, 9.6941, 9.6941) * CHOOSE(CONTROL!$C$21, $C$9, 100%, $E$9)</f>
        <v>9.6941000000000006</v>
      </c>
      <c r="R250" s="10">
        <f>CHOOSE(CONTROL!$C$42, 10.3054, 10.3054) * CHOOSE(CONTROL!$C$21, $C$9, 100%, $E$9)</f>
        <v>10.305400000000001</v>
      </c>
      <c r="S250" s="10">
        <f>CHOOSE(CONTROL!$C$42, 8.6844, 8.6844) * CHOOSE(CONTROL!$C$21, $C$9, 100%, $E$9)</f>
        <v>8.6844000000000001</v>
      </c>
      <c r="T2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57">
        <f>(1000*CHOOSE(CONTROL!$C$42, 695, 695)*CHOOSE(CONTROL!$C$42, 0.5599, 0.5599)*CHOOSE(CONTROL!$C$42, 31, 31))/1000000</f>
        <v>12.063045499999998</v>
      </c>
      <c r="V250" s="57">
        <f>(1000*CHOOSE(CONTROL!$C$42, 500, 500)*CHOOSE(CONTROL!$C$42, 0.275, 0.275)*CHOOSE(CONTROL!$C$42, 31, 31))/1000000</f>
        <v>4.2625000000000002</v>
      </c>
      <c r="W250" s="57">
        <f>(1000*CHOOSE(CONTROL!$C$42, 0.1146, 0.1146)*CHOOSE(CONTROL!$C$42, 121.5, 121.5)*CHOOSE(CONTROL!$C$42, 31, 31))/1000000</f>
        <v>0.43164089999999994</v>
      </c>
      <c r="X250" s="57">
        <f>(31*0.1790888*245000/1000000)+(31*0.2374*100000/1000000)</f>
        <v>2.0961194359999999</v>
      </c>
      <c r="Y250" s="57"/>
      <c r="Z250" s="10"/>
      <c r="AA250" s="56"/>
      <c r="AB250" s="50">
        <f>(B250*131.881+C250*277.167+D250*79.08+E250*125.872+F250*40+G250*185+H250*0+I250*100+J250*300)/(131.881+277.167+79.08+125.872+0+40+185+100+300)</f>
        <v>8.9763710757062132</v>
      </c>
      <c r="AC250" s="45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8.9210273381294964</v>
      </c>
    </row>
    <row r="251" spans="1:29" ht="15.75" x14ac:dyDescent="0.25">
      <c r="A251" s="16">
        <v>48519</v>
      </c>
      <c r="B251" s="10">
        <f>CHOOSE(CONTROL!$C$42, 9.1806, 9.1806) * CHOOSE(CONTROL!$C$21, $C$9, 100%, $E$9)</f>
        <v>9.1806000000000001</v>
      </c>
      <c r="C251" s="10">
        <f>CHOOSE(CONTROL!$C$42, 9.1855, 9.1855) * CHOOSE(CONTROL!$C$21, $C$9, 100%, $E$9)</f>
        <v>9.1854999999999993</v>
      </c>
      <c r="D251" s="10">
        <f>CHOOSE(CONTROL!$C$42, 9.246, 9.246) * CHOOSE(CONTROL!$C$21, $C$9, 100%, $E$9)</f>
        <v>9.2460000000000004</v>
      </c>
      <c r="E251" s="10">
        <f>CHOOSE(CONTROL!$C$42, 9.2798, 9.2798) * CHOOSE(CONTROL!$C$21, $C$9, 100%, $E$9)</f>
        <v>9.2797999999999998</v>
      </c>
      <c r="F251" s="10">
        <f>CHOOSE(CONTROL!$C$42, 9.1762, 9.1762)*CHOOSE(CONTROL!$C$21, $C$9, 100%, $E$9)</f>
        <v>9.1761999999999997</v>
      </c>
      <c r="G251" s="10">
        <f>CHOOSE(CONTROL!$C$42, 9.1914, 9.1914)*CHOOSE(CONTROL!$C$21, $C$9, 100%, $E$9)</f>
        <v>9.1913999999999998</v>
      </c>
      <c r="H251" s="10">
        <f>CHOOSE(CONTROL!$C$42, 9.269, 9.269) * CHOOSE(CONTROL!$C$21, $C$9, 100%, $E$9)</f>
        <v>9.2690000000000001</v>
      </c>
      <c r="I251" s="10">
        <f>CHOOSE(CONTROL!$C$42, 9.1931, 9.1931)* CHOOSE(CONTROL!$C$21, $C$9, 100%, $E$9)</f>
        <v>9.1930999999999994</v>
      </c>
      <c r="J251" s="10">
        <f>CHOOSE(CONTROL!$C$42, 9.1692, 9.1692)* CHOOSE(CONTROL!$C$21, $C$9, 100%, $E$9)</f>
        <v>9.1692</v>
      </c>
      <c r="K251" s="53">
        <f>CHOOSE(CONTROL!$C$42, 9.1892, 9.1892) * CHOOSE(CONTROL!$C$21, $C$9, 100%, $E$9)</f>
        <v>9.1891999999999996</v>
      </c>
      <c r="L251" s="10">
        <f>CHOOSE(CONTROL!$C$42, 9.856, 9.856) * CHOOSE(CONTROL!$C$21, $C$9, 100%, $E$9)</f>
        <v>9.8559999999999999</v>
      </c>
      <c r="M251" s="10">
        <f>CHOOSE(CONTROL!$C$42, 9.0905, 9.0905) * CHOOSE(CONTROL!$C$21, $C$9, 100%, $E$9)</f>
        <v>9.0905000000000005</v>
      </c>
      <c r="N251" s="10">
        <f>CHOOSE(CONTROL!$C$42, 9.1056, 9.1056) * CHOOSE(CONTROL!$C$21, $C$9, 100%, $E$9)</f>
        <v>9.1056000000000008</v>
      </c>
      <c r="O251" s="10">
        <f>CHOOSE(CONTROL!$C$42, 9.1893, 9.1893) * CHOOSE(CONTROL!$C$21, $C$9, 100%, $E$9)</f>
        <v>9.1892999999999994</v>
      </c>
      <c r="P251" s="10">
        <f>CHOOSE(CONTROL!$C$42, 9.1142, 9.1142) * CHOOSE(CONTROL!$C$21, $C$9, 100%, $E$9)</f>
        <v>9.1142000000000003</v>
      </c>
      <c r="Q251" s="10">
        <f>CHOOSE(CONTROL!$C$42, 9.7846, 9.7846) * CHOOSE(CONTROL!$C$21, $C$9, 100%, $E$9)</f>
        <v>9.7845999999999993</v>
      </c>
      <c r="R251" s="10">
        <f>CHOOSE(CONTROL!$C$42, 10.3961, 10.3961) * CHOOSE(CONTROL!$C$21, $C$9, 100%, $E$9)</f>
        <v>10.396100000000001</v>
      </c>
      <c r="S251" s="10">
        <f>CHOOSE(CONTROL!$C$42, 8.9131, 8.9131) * CHOOSE(CONTROL!$C$21, $C$9, 100%, $E$9)</f>
        <v>8.9131</v>
      </c>
      <c r="T2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57">
        <f>(1000*CHOOSE(CONTROL!$C$42, 695, 695)*CHOOSE(CONTROL!$C$42, 0.5599, 0.5599)*CHOOSE(CONTROL!$C$42, 30, 30))/1000000</f>
        <v>11.673914999999997</v>
      </c>
      <c r="V251" s="57">
        <f>(1000*CHOOSE(CONTROL!$C$42, 500, 500)*CHOOSE(CONTROL!$C$42, 0.275, 0.275)*CHOOSE(CONTROL!$C$42, 30, 30))/1000000</f>
        <v>4.125</v>
      </c>
      <c r="W251" s="57">
        <f>(1000*CHOOSE(CONTROL!$C$42, 0.1146, 0.1146)*CHOOSE(CONTROL!$C$42, 121.5, 121.5)*CHOOSE(CONTROL!$C$42, 30, 30))/1000000</f>
        <v>0.417717</v>
      </c>
      <c r="X251" s="57">
        <f>(30*0.1790888*100000/1000000)+(30*0.2374*100000/1000000)</f>
        <v>1.2494664</v>
      </c>
      <c r="Y251" s="57"/>
      <c r="Z251" s="10"/>
      <c r="AA251" s="56"/>
      <c r="AB251" s="50">
        <f>(B251*122.58+C251*297.941+D251*89.177+E251*40.302+F251*40+G251*160+H251*0+I251*100+J251*300)/(122.58+297.941+89.177+40.302+0+40+160+100+300)</f>
        <v>9.1898800392173925</v>
      </c>
      <c r="AC251" s="45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9.1395589928057568</v>
      </c>
    </row>
    <row r="252" spans="1:29" ht="15.75" x14ac:dyDescent="0.25">
      <c r="A252" s="16">
        <v>48549</v>
      </c>
      <c r="B252" s="10">
        <f>CHOOSE(CONTROL!$C$42, 9.8063, 9.8063) * CHOOSE(CONTROL!$C$21, $C$9, 100%, $E$9)</f>
        <v>9.8063000000000002</v>
      </c>
      <c r="C252" s="10">
        <f>CHOOSE(CONTROL!$C$42, 9.8113, 9.8113) * CHOOSE(CONTROL!$C$21, $C$9, 100%, $E$9)</f>
        <v>9.8112999999999992</v>
      </c>
      <c r="D252" s="10">
        <f>CHOOSE(CONTROL!$C$42, 9.8718, 9.8718) * CHOOSE(CONTROL!$C$21, $C$9, 100%, $E$9)</f>
        <v>9.8718000000000004</v>
      </c>
      <c r="E252" s="10">
        <f>CHOOSE(CONTROL!$C$42, 9.9055, 9.9055) * CHOOSE(CONTROL!$C$21, $C$9, 100%, $E$9)</f>
        <v>9.9055</v>
      </c>
      <c r="F252" s="10">
        <f>CHOOSE(CONTROL!$C$42, 9.8038, 9.8038)*CHOOSE(CONTROL!$C$21, $C$9, 100%, $E$9)</f>
        <v>9.8038000000000007</v>
      </c>
      <c r="G252" s="10">
        <f>CHOOSE(CONTROL!$C$42, 9.8195, 9.8195)*CHOOSE(CONTROL!$C$21, $C$9, 100%, $E$9)</f>
        <v>9.8194999999999997</v>
      </c>
      <c r="H252" s="10">
        <f>CHOOSE(CONTROL!$C$42, 9.8947, 9.8947) * CHOOSE(CONTROL!$C$21, $C$9, 100%, $E$9)</f>
        <v>9.8947000000000003</v>
      </c>
      <c r="I252" s="10">
        <f>CHOOSE(CONTROL!$C$42, 9.8188, 9.8188)* CHOOSE(CONTROL!$C$21, $C$9, 100%, $E$9)</f>
        <v>9.8187999999999995</v>
      </c>
      <c r="J252" s="10">
        <f>CHOOSE(CONTROL!$C$42, 9.7968, 9.7968)* CHOOSE(CONTROL!$C$21, $C$9, 100%, $E$9)</f>
        <v>9.7967999999999993</v>
      </c>
      <c r="K252" s="53">
        <f>CHOOSE(CONTROL!$C$42, 9.8149, 9.8149) * CHOOSE(CONTROL!$C$21, $C$9, 100%, $E$9)</f>
        <v>9.8148999999999997</v>
      </c>
      <c r="L252" s="10">
        <f>CHOOSE(CONTROL!$C$42, 10.4817, 10.4817) * CHOOSE(CONTROL!$C$21, $C$9, 100%, $E$9)</f>
        <v>10.4817</v>
      </c>
      <c r="M252" s="10">
        <f>CHOOSE(CONTROL!$C$42, 9.7117, 9.7117) * CHOOSE(CONTROL!$C$21, $C$9, 100%, $E$9)</f>
        <v>9.7117000000000004</v>
      </c>
      <c r="N252" s="10">
        <f>CHOOSE(CONTROL!$C$42, 9.7273, 9.7273) * CHOOSE(CONTROL!$C$21, $C$9, 100%, $E$9)</f>
        <v>9.7272999999999996</v>
      </c>
      <c r="O252" s="10">
        <f>CHOOSE(CONTROL!$C$42, 9.8087, 9.8087) * CHOOSE(CONTROL!$C$21, $C$9, 100%, $E$9)</f>
        <v>9.8087</v>
      </c>
      <c r="P252" s="10">
        <f>CHOOSE(CONTROL!$C$42, 9.7336, 9.7336) * CHOOSE(CONTROL!$C$21, $C$9, 100%, $E$9)</f>
        <v>9.7335999999999991</v>
      </c>
      <c r="Q252" s="10">
        <f>CHOOSE(CONTROL!$C$42, 10.404, 10.404) * CHOOSE(CONTROL!$C$21, $C$9, 100%, $E$9)</f>
        <v>10.404</v>
      </c>
      <c r="R252" s="10">
        <f>CHOOSE(CONTROL!$C$42, 11.017, 11.017) * CHOOSE(CONTROL!$C$21, $C$9, 100%, $E$9)</f>
        <v>11.016999999999999</v>
      </c>
      <c r="S252" s="10">
        <f>CHOOSE(CONTROL!$C$42, 9.5208, 9.5208) * CHOOSE(CONTROL!$C$21, $C$9, 100%, $E$9)</f>
        <v>9.5207999999999995</v>
      </c>
      <c r="T2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57">
        <f>(1000*CHOOSE(CONTROL!$C$42, 695, 695)*CHOOSE(CONTROL!$C$42, 0.5599, 0.5599)*CHOOSE(CONTROL!$C$42, 31, 31))/1000000</f>
        <v>12.063045499999998</v>
      </c>
      <c r="V252" s="57">
        <f>(1000*CHOOSE(CONTROL!$C$42, 500, 500)*CHOOSE(CONTROL!$C$42, 0.275, 0.275)*CHOOSE(CONTROL!$C$42, 31, 31))/1000000</f>
        <v>4.2625000000000002</v>
      </c>
      <c r="W252" s="57">
        <f>(1000*CHOOSE(CONTROL!$C$42, 0.1146, 0.1146)*CHOOSE(CONTROL!$C$42, 121.5, 121.5)*CHOOSE(CONTROL!$C$42, 31, 31))/1000000</f>
        <v>0.43164089999999994</v>
      </c>
      <c r="X252" s="57">
        <f>(31*0.1790888*100000/1000000)+(31*0.2374*100000/1000000)</f>
        <v>1.2911152800000001</v>
      </c>
      <c r="Y252" s="57"/>
      <c r="Z252" s="10"/>
      <c r="AA252" s="56"/>
      <c r="AB252" s="50">
        <f>(B252*122.58+C252*297.941+D252*89.177+E252*40.302+F252*40+G252*160+H252*0+I252*100+J252*300)/(122.58+297.941+89.177+40.302+0+40+160+100+300)</f>
        <v>9.8165093538260848</v>
      </c>
      <c r="AC252" s="45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9.7597129496402868</v>
      </c>
    </row>
    <row r="253" spans="1:29" ht="15.75" x14ac:dyDescent="0.25">
      <c r="A253" s="16">
        <v>48580</v>
      </c>
      <c r="B253" s="10">
        <f>CHOOSE(CONTROL!$C$42, 10.6096, 10.6096) * CHOOSE(CONTROL!$C$21, $C$9, 100%, $E$9)</f>
        <v>10.6096</v>
      </c>
      <c r="C253" s="10">
        <f>CHOOSE(CONTROL!$C$42, 10.6145, 10.6145) * CHOOSE(CONTROL!$C$21, $C$9, 100%, $E$9)</f>
        <v>10.6145</v>
      </c>
      <c r="D253" s="10">
        <f>CHOOSE(CONTROL!$C$42, 10.6716, 10.6716) * CHOOSE(CONTROL!$C$21, $C$9, 100%, $E$9)</f>
        <v>10.6716</v>
      </c>
      <c r="E253" s="10">
        <f>CHOOSE(CONTROL!$C$42, 10.7054, 10.7054) * CHOOSE(CONTROL!$C$21, $C$9, 100%, $E$9)</f>
        <v>10.705399999999999</v>
      </c>
      <c r="F253" s="10">
        <f>CHOOSE(CONTROL!$C$42, 10.6074, 10.6074)*CHOOSE(CONTROL!$C$21, $C$9, 100%, $E$9)</f>
        <v>10.6074</v>
      </c>
      <c r="G253" s="10">
        <f>CHOOSE(CONTROL!$C$42, 10.622, 10.622)*CHOOSE(CONTROL!$C$21, $C$9, 100%, $E$9)</f>
        <v>10.622</v>
      </c>
      <c r="H253" s="10">
        <f>CHOOSE(CONTROL!$C$42, 10.6946, 10.6946) * CHOOSE(CONTROL!$C$21, $C$9, 100%, $E$9)</f>
        <v>10.694599999999999</v>
      </c>
      <c r="I253" s="10">
        <f>CHOOSE(CONTROL!$C$42, 10.6204, 10.6204)* CHOOSE(CONTROL!$C$21, $C$9, 100%, $E$9)</f>
        <v>10.6204</v>
      </c>
      <c r="J253" s="10">
        <f>CHOOSE(CONTROL!$C$42, 10.6004, 10.6004)* CHOOSE(CONTROL!$C$21, $C$9, 100%, $E$9)</f>
        <v>10.6004</v>
      </c>
      <c r="K253" s="53">
        <f>CHOOSE(CONTROL!$C$42, 10.6165, 10.6165) * CHOOSE(CONTROL!$C$21, $C$9, 100%, $E$9)</f>
        <v>10.6165</v>
      </c>
      <c r="L253" s="10">
        <f>CHOOSE(CONTROL!$C$42, 11.2816, 11.2816) * CHOOSE(CONTROL!$C$21, $C$9, 100%, $E$9)</f>
        <v>11.281599999999999</v>
      </c>
      <c r="M253" s="10">
        <f>CHOOSE(CONTROL!$C$42, 10.5072, 10.5072) * CHOOSE(CONTROL!$C$21, $C$9, 100%, $E$9)</f>
        <v>10.507199999999999</v>
      </c>
      <c r="N253" s="10">
        <f>CHOOSE(CONTROL!$C$42, 10.5217, 10.5217) * CHOOSE(CONTROL!$C$21, $C$9, 100%, $E$9)</f>
        <v>10.521699999999999</v>
      </c>
      <c r="O253" s="10">
        <f>CHOOSE(CONTROL!$C$42, 10.6005, 10.6005) * CHOOSE(CONTROL!$C$21, $C$9, 100%, $E$9)</f>
        <v>10.6005</v>
      </c>
      <c r="P253" s="10">
        <f>CHOOSE(CONTROL!$C$42, 10.527, 10.527) * CHOOSE(CONTROL!$C$21, $C$9, 100%, $E$9)</f>
        <v>10.526999999999999</v>
      </c>
      <c r="Q253" s="10">
        <f>CHOOSE(CONTROL!$C$42, 11.1958, 11.1958) * CHOOSE(CONTROL!$C$21, $C$9, 100%, $E$9)</f>
        <v>11.1958</v>
      </c>
      <c r="R253" s="10">
        <f>CHOOSE(CONTROL!$C$42, 11.8107, 11.8107) * CHOOSE(CONTROL!$C$21, $C$9, 100%, $E$9)</f>
        <v>11.810700000000001</v>
      </c>
      <c r="S253" s="10">
        <f>CHOOSE(CONTROL!$C$42, 10.3008, 10.3008) * CHOOSE(CONTROL!$C$21, $C$9, 100%, $E$9)</f>
        <v>10.300800000000001</v>
      </c>
      <c r="T2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57">
        <f>(1000*CHOOSE(CONTROL!$C$42, 695, 695)*CHOOSE(CONTROL!$C$42, 0.5599, 0.5599)*CHOOSE(CONTROL!$C$42, 31, 31))/1000000</f>
        <v>12.063045499999998</v>
      </c>
      <c r="V253" s="57">
        <f>(1000*CHOOSE(CONTROL!$C$42, 500, 500)*CHOOSE(CONTROL!$C$42, 0.275, 0.275)*CHOOSE(CONTROL!$C$42, 31, 31))/1000000</f>
        <v>4.2625000000000002</v>
      </c>
      <c r="W253" s="57">
        <f>(1000*CHOOSE(CONTROL!$C$42, 0.1146, 0.1146)*CHOOSE(CONTROL!$C$42, 121.5, 121.5)*CHOOSE(CONTROL!$C$42, 31, 31))/1000000</f>
        <v>0.43164089999999994</v>
      </c>
      <c r="X253" s="57">
        <f>(31*0.1790888*100000/1000000)+(31*0.2374*100000/1000000)</f>
        <v>1.2911152800000001</v>
      </c>
      <c r="Y253" s="57"/>
      <c r="Z253" s="10"/>
      <c r="AA253" s="56"/>
      <c r="AB253" s="50">
        <f>(B253*122.58+C253*297.941+D253*89.177+E253*40.302+F253*40+G253*160+H253*0+I253*100+J253*300)/(122.58+297.941+89.177+40.302+0+40+160+100+300)</f>
        <v>10.619222449130437</v>
      </c>
      <c r="AC253" s="45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10.553170503597121</v>
      </c>
    </row>
    <row r="254" spans="1:29" ht="15.75" x14ac:dyDescent="0.25">
      <c r="A254" s="16">
        <v>48611</v>
      </c>
      <c r="B254" s="10">
        <f>CHOOSE(CONTROL!$C$42, 10.7984, 10.7984) * CHOOSE(CONTROL!$C$21, $C$9, 100%, $E$9)</f>
        <v>10.798400000000001</v>
      </c>
      <c r="C254" s="10">
        <f>CHOOSE(CONTROL!$C$42, 10.8033, 10.8033) * CHOOSE(CONTROL!$C$21, $C$9, 100%, $E$9)</f>
        <v>10.8033</v>
      </c>
      <c r="D254" s="10">
        <f>CHOOSE(CONTROL!$C$42, 10.8604, 10.8604) * CHOOSE(CONTROL!$C$21, $C$9, 100%, $E$9)</f>
        <v>10.8604</v>
      </c>
      <c r="E254" s="10">
        <f>CHOOSE(CONTROL!$C$42, 10.8942, 10.8942) * CHOOSE(CONTROL!$C$21, $C$9, 100%, $E$9)</f>
        <v>10.8942</v>
      </c>
      <c r="F254" s="10">
        <f>CHOOSE(CONTROL!$C$42, 10.7963, 10.7963)*CHOOSE(CONTROL!$C$21, $C$9, 100%, $E$9)</f>
        <v>10.7963</v>
      </c>
      <c r="G254" s="10">
        <f>CHOOSE(CONTROL!$C$42, 10.811, 10.811)*CHOOSE(CONTROL!$C$21, $C$9, 100%, $E$9)</f>
        <v>10.811</v>
      </c>
      <c r="H254" s="10">
        <f>CHOOSE(CONTROL!$C$42, 10.8834, 10.8834) * CHOOSE(CONTROL!$C$21, $C$9, 100%, $E$9)</f>
        <v>10.8834</v>
      </c>
      <c r="I254" s="10">
        <f>CHOOSE(CONTROL!$C$42, 10.8092, 10.8092)* CHOOSE(CONTROL!$C$21, $C$9, 100%, $E$9)</f>
        <v>10.809200000000001</v>
      </c>
      <c r="J254" s="10">
        <f>CHOOSE(CONTROL!$C$42, 10.7893, 10.7893)* CHOOSE(CONTROL!$C$21, $C$9, 100%, $E$9)</f>
        <v>10.789300000000001</v>
      </c>
      <c r="K254" s="53">
        <f>CHOOSE(CONTROL!$C$42, 10.8053, 10.8053) * CHOOSE(CONTROL!$C$21, $C$9, 100%, $E$9)</f>
        <v>10.805300000000001</v>
      </c>
      <c r="L254" s="10">
        <f>CHOOSE(CONTROL!$C$42, 11.4704, 11.4704) * CHOOSE(CONTROL!$C$21, $C$9, 100%, $E$9)</f>
        <v>11.4704</v>
      </c>
      <c r="M254" s="10">
        <f>CHOOSE(CONTROL!$C$42, 10.6943, 10.6943) * CHOOSE(CONTROL!$C$21, $C$9, 100%, $E$9)</f>
        <v>10.6943</v>
      </c>
      <c r="N254" s="10">
        <f>CHOOSE(CONTROL!$C$42, 10.7088, 10.7088) * CHOOSE(CONTROL!$C$21, $C$9, 100%, $E$9)</f>
        <v>10.7088</v>
      </c>
      <c r="O254" s="10">
        <f>CHOOSE(CONTROL!$C$42, 10.7874, 10.7874) * CHOOSE(CONTROL!$C$21, $C$9, 100%, $E$9)</f>
        <v>10.7874</v>
      </c>
      <c r="P254" s="10">
        <f>CHOOSE(CONTROL!$C$42, 10.714, 10.714) * CHOOSE(CONTROL!$C$21, $C$9, 100%, $E$9)</f>
        <v>10.714</v>
      </c>
      <c r="Q254" s="10">
        <f>CHOOSE(CONTROL!$C$42, 11.3827, 11.3827) * CHOOSE(CONTROL!$C$21, $C$9, 100%, $E$9)</f>
        <v>11.3827</v>
      </c>
      <c r="R254" s="10">
        <f>CHOOSE(CONTROL!$C$42, 11.9981, 11.9981) * CHOOSE(CONTROL!$C$21, $C$9, 100%, $E$9)</f>
        <v>11.998100000000001</v>
      </c>
      <c r="S254" s="10">
        <f>CHOOSE(CONTROL!$C$42, 10.4842, 10.4842) * CHOOSE(CONTROL!$C$21, $C$9, 100%, $E$9)</f>
        <v>10.4842</v>
      </c>
      <c r="T2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57">
        <f>(1000*CHOOSE(CONTROL!$C$42, 695, 695)*CHOOSE(CONTROL!$C$42, 0.5599, 0.5599)*CHOOSE(CONTROL!$C$42, 28, 28))/1000000</f>
        <v>10.895653999999999</v>
      </c>
      <c r="V254" s="57">
        <f>(1000*CHOOSE(CONTROL!$C$42, 500, 500)*CHOOSE(CONTROL!$C$42, 0.275, 0.275)*CHOOSE(CONTROL!$C$42, 28, 28))/1000000</f>
        <v>3.85</v>
      </c>
      <c r="W254" s="57">
        <f>(1000*CHOOSE(CONTROL!$C$42, 0.1146, 0.1146)*CHOOSE(CONTROL!$C$42, 121.5, 121.5)*CHOOSE(CONTROL!$C$42, 28, 28))/1000000</f>
        <v>0.38986920000000003</v>
      </c>
      <c r="X254" s="57">
        <f>(28*0.1790888*100000/1000000)+(28*0.2374*100000/1000000)</f>
        <v>1.16616864</v>
      </c>
      <c r="Y254" s="57"/>
      <c r="Z254" s="10"/>
      <c r="AA254" s="56"/>
      <c r="AB254" s="50">
        <f>(B254*122.58+C254*297.941+D254*89.177+E254*40.302+F254*40+G254*160+H254*0+I254*100+J254*300)/(122.58+297.941+89.177+40.302+0+40+160+100+300)</f>
        <v>10.808079840434784</v>
      </c>
      <c r="AC254" s="45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10.740165467625898</v>
      </c>
    </row>
    <row r="255" spans="1:29" ht="15.75" x14ac:dyDescent="0.25">
      <c r="A255" s="16">
        <v>48639</v>
      </c>
      <c r="B255" s="10">
        <f>CHOOSE(CONTROL!$C$42, 10.4919, 10.4919) * CHOOSE(CONTROL!$C$21, $C$9, 100%, $E$9)</f>
        <v>10.491899999999999</v>
      </c>
      <c r="C255" s="10">
        <f>CHOOSE(CONTROL!$C$42, 10.4968, 10.4968) * CHOOSE(CONTROL!$C$21, $C$9, 100%, $E$9)</f>
        <v>10.4968</v>
      </c>
      <c r="D255" s="10">
        <f>CHOOSE(CONTROL!$C$42, 10.5539, 10.5539) * CHOOSE(CONTROL!$C$21, $C$9, 100%, $E$9)</f>
        <v>10.553900000000001</v>
      </c>
      <c r="E255" s="10">
        <f>CHOOSE(CONTROL!$C$42, 10.5877, 10.5877) * CHOOSE(CONTROL!$C$21, $C$9, 100%, $E$9)</f>
        <v>10.5877</v>
      </c>
      <c r="F255" s="10">
        <f>CHOOSE(CONTROL!$C$42, 10.4897, 10.4897)*CHOOSE(CONTROL!$C$21, $C$9, 100%, $E$9)</f>
        <v>10.489699999999999</v>
      </c>
      <c r="G255" s="10">
        <f>CHOOSE(CONTROL!$C$42, 10.5043, 10.5043)*CHOOSE(CONTROL!$C$21, $C$9, 100%, $E$9)</f>
        <v>10.504300000000001</v>
      </c>
      <c r="H255" s="10">
        <f>CHOOSE(CONTROL!$C$42, 10.5769, 10.5769) * CHOOSE(CONTROL!$C$21, $C$9, 100%, $E$9)</f>
        <v>10.5769</v>
      </c>
      <c r="I255" s="10">
        <f>CHOOSE(CONTROL!$C$42, 10.5027, 10.5027)* CHOOSE(CONTROL!$C$21, $C$9, 100%, $E$9)</f>
        <v>10.502700000000001</v>
      </c>
      <c r="J255" s="10">
        <f>CHOOSE(CONTROL!$C$42, 10.4827, 10.4827)* CHOOSE(CONTROL!$C$21, $C$9, 100%, $E$9)</f>
        <v>10.482699999999999</v>
      </c>
      <c r="K255" s="53">
        <f>CHOOSE(CONTROL!$C$42, 10.4988, 10.4988) * CHOOSE(CONTROL!$C$21, $C$9, 100%, $E$9)</f>
        <v>10.498799999999999</v>
      </c>
      <c r="L255" s="10">
        <f>CHOOSE(CONTROL!$C$42, 11.1639, 11.1639) * CHOOSE(CONTROL!$C$21, $C$9, 100%, $E$9)</f>
        <v>11.1639</v>
      </c>
      <c r="M255" s="10">
        <f>CHOOSE(CONTROL!$C$42, 10.3907, 10.3907) * CHOOSE(CONTROL!$C$21, $C$9, 100%, $E$9)</f>
        <v>10.390700000000001</v>
      </c>
      <c r="N255" s="10">
        <f>CHOOSE(CONTROL!$C$42, 10.4052, 10.4052) * CHOOSE(CONTROL!$C$21, $C$9, 100%, $E$9)</f>
        <v>10.405200000000001</v>
      </c>
      <c r="O255" s="10">
        <f>CHOOSE(CONTROL!$C$42, 10.484, 10.484) * CHOOSE(CONTROL!$C$21, $C$9, 100%, $E$9)</f>
        <v>10.484</v>
      </c>
      <c r="P255" s="10">
        <f>CHOOSE(CONTROL!$C$42, 10.4106, 10.4106) * CHOOSE(CONTROL!$C$21, $C$9, 100%, $E$9)</f>
        <v>10.410600000000001</v>
      </c>
      <c r="Q255" s="10">
        <f>CHOOSE(CONTROL!$C$42, 11.0793, 11.0793) * CHOOSE(CONTROL!$C$21, $C$9, 100%, $E$9)</f>
        <v>11.0793</v>
      </c>
      <c r="R255" s="10">
        <f>CHOOSE(CONTROL!$C$42, 11.694, 11.694) * CHOOSE(CONTROL!$C$21, $C$9, 100%, $E$9)</f>
        <v>11.694000000000001</v>
      </c>
      <c r="S255" s="10">
        <f>CHOOSE(CONTROL!$C$42, 10.1865, 10.1865) * CHOOSE(CONTROL!$C$21, $C$9, 100%, $E$9)</f>
        <v>10.186500000000001</v>
      </c>
      <c r="T2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57">
        <f>(1000*CHOOSE(CONTROL!$C$42, 695, 695)*CHOOSE(CONTROL!$C$42, 0.5599, 0.5599)*CHOOSE(CONTROL!$C$42, 31, 31))/1000000</f>
        <v>12.063045499999998</v>
      </c>
      <c r="V255" s="57">
        <f>(1000*CHOOSE(CONTROL!$C$42, 500, 500)*CHOOSE(CONTROL!$C$42, 0.275, 0.275)*CHOOSE(CONTROL!$C$42, 31, 31))/1000000</f>
        <v>4.2625000000000002</v>
      </c>
      <c r="W255" s="57">
        <f>(1000*CHOOSE(CONTROL!$C$42, 0.1146, 0.1146)*CHOOSE(CONTROL!$C$42, 121.5, 121.5)*CHOOSE(CONTROL!$C$42, 31, 31))/1000000</f>
        <v>0.43164089999999994</v>
      </c>
      <c r="X255" s="57">
        <f>(31*0.1790888*100000/1000000)+(31*0.2374*100000/1000000)</f>
        <v>1.2911152800000001</v>
      </c>
      <c r="Y255" s="57"/>
      <c r="Z255" s="10"/>
      <c r="AA255" s="56"/>
      <c r="AB255" s="50">
        <f>(B255*122.58+C255*297.941+D255*89.177+E255*40.302+F255*40+G255*160+H255*0+I255*100+J255*300)/(122.58+297.941+89.177+40.302+0+40+160+100+300)</f>
        <v>10.501522449130436</v>
      </c>
      <c r="AC255" s="45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10.43668489208633</v>
      </c>
    </row>
    <row r="256" spans="1:29" ht="15.75" x14ac:dyDescent="0.25">
      <c r="A256" s="16">
        <v>48670</v>
      </c>
      <c r="B256" s="10">
        <f>CHOOSE(CONTROL!$C$42, 10.4617, 10.4617) * CHOOSE(CONTROL!$C$21, $C$9, 100%, $E$9)</f>
        <v>10.4617</v>
      </c>
      <c r="C256" s="10">
        <f>CHOOSE(CONTROL!$C$42, 10.466, 10.466) * CHOOSE(CONTROL!$C$21, $C$9, 100%, $E$9)</f>
        <v>10.465999999999999</v>
      </c>
      <c r="D256" s="10">
        <f>CHOOSE(CONTROL!$C$42, 10.6719, 10.6719) * CHOOSE(CONTROL!$C$21, $C$9, 100%, $E$9)</f>
        <v>10.671900000000001</v>
      </c>
      <c r="E256" s="10">
        <f>CHOOSE(CONTROL!$C$42, 10.7037, 10.7037) * CHOOSE(CONTROL!$C$21, $C$9, 100%, $E$9)</f>
        <v>10.7037</v>
      </c>
      <c r="F256" s="10">
        <f>CHOOSE(CONTROL!$C$42, 10.4384, 10.4384)*CHOOSE(CONTROL!$C$21, $C$9, 100%, $E$9)</f>
        <v>10.4384</v>
      </c>
      <c r="G256" s="10">
        <f>CHOOSE(CONTROL!$C$42, 10.4529, 10.4529)*CHOOSE(CONTROL!$C$21, $C$9, 100%, $E$9)</f>
        <v>10.4529</v>
      </c>
      <c r="H256" s="10">
        <f>CHOOSE(CONTROL!$C$42, 10.6935, 10.6935) * CHOOSE(CONTROL!$C$21, $C$9, 100%, $E$9)</f>
        <v>10.6935</v>
      </c>
      <c r="I256" s="10">
        <f>CHOOSE(CONTROL!$C$42, 10.4631, 10.4631)* CHOOSE(CONTROL!$C$21, $C$9, 100%, $E$9)</f>
        <v>10.463100000000001</v>
      </c>
      <c r="J256" s="10">
        <f>CHOOSE(CONTROL!$C$42, 10.4314, 10.4314)* CHOOSE(CONTROL!$C$21, $C$9, 100%, $E$9)</f>
        <v>10.4314</v>
      </c>
      <c r="K256" s="53">
        <f>CHOOSE(CONTROL!$C$42, 10.4592, 10.4592) * CHOOSE(CONTROL!$C$21, $C$9, 100%, $E$9)</f>
        <v>10.459199999999999</v>
      </c>
      <c r="L256" s="10">
        <f>CHOOSE(CONTROL!$C$42, 11.2805, 11.2805) * CHOOSE(CONTROL!$C$21, $C$9, 100%, $E$9)</f>
        <v>11.2805</v>
      </c>
      <c r="M256" s="10">
        <f>CHOOSE(CONTROL!$C$42, 10.34, 10.34) * CHOOSE(CONTROL!$C$21, $C$9, 100%, $E$9)</f>
        <v>10.34</v>
      </c>
      <c r="N256" s="10">
        <f>CHOOSE(CONTROL!$C$42, 10.3543, 10.3543) * CHOOSE(CONTROL!$C$21, $C$9, 100%, $E$9)</f>
        <v>10.3543</v>
      </c>
      <c r="O256" s="10">
        <f>CHOOSE(CONTROL!$C$42, 10.5994, 10.5994) * CHOOSE(CONTROL!$C$21, $C$9, 100%, $E$9)</f>
        <v>10.599399999999999</v>
      </c>
      <c r="P256" s="10">
        <f>CHOOSE(CONTROL!$C$42, 10.3714, 10.3714) * CHOOSE(CONTROL!$C$21, $C$9, 100%, $E$9)</f>
        <v>10.3714</v>
      </c>
      <c r="Q256" s="10">
        <f>CHOOSE(CONTROL!$C$42, 11.1947, 11.1947) * CHOOSE(CONTROL!$C$21, $C$9, 100%, $E$9)</f>
        <v>11.194699999999999</v>
      </c>
      <c r="R256" s="10">
        <f>CHOOSE(CONTROL!$C$42, 11.8097, 11.8097) * CHOOSE(CONTROL!$C$21, $C$9, 100%, $E$9)</f>
        <v>11.809699999999999</v>
      </c>
      <c r="S256" s="10">
        <f>CHOOSE(CONTROL!$C$42, 10.1564, 10.1564) * CHOOSE(CONTROL!$C$21, $C$9, 100%, $E$9)</f>
        <v>10.1564</v>
      </c>
      <c r="T2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57">
        <f>(1000*CHOOSE(CONTROL!$C$42, 695, 695)*CHOOSE(CONTROL!$C$42, 0.5599, 0.5599)*CHOOSE(CONTROL!$C$42, 30, 30))/1000000</f>
        <v>11.673914999999997</v>
      </c>
      <c r="V256" s="57">
        <f>(1000*CHOOSE(CONTROL!$C$42, 500, 500)*CHOOSE(CONTROL!$C$42, 0.275, 0.275)*CHOOSE(CONTROL!$C$42, 30, 30))/1000000</f>
        <v>4.125</v>
      </c>
      <c r="W256" s="57">
        <f>(1000*CHOOSE(CONTROL!$C$42, 0.1146, 0.1146)*CHOOSE(CONTROL!$C$42, 121.5, 121.5)*CHOOSE(CONTROL!$C$42, 30, 30))/1000000</f>
        <v>0.417717</v>
      </c>
      <c r="X256" s="57">
        <f>(30*0.1790888*245000/1000000)+(30*0.2374*100000/1000000)</f>
        <v>2.0285026799999999</v>
      </c>
      <c r="Y256" s="57"/>
      <c r="Z256" s="10"/>
      <c r="AA256" s="56"/>
      <c r="AB256" s="50">
        <f>(B256*141.293+C256*267.993+D256*115.016+E256*89.698+F256*40+G256*185+H256*0+I256*100+J256*300)/(141.293+267.993+115.016+89.698+0+40+185+100+300)</f>
        <v>10.490372840274413</v>
      </c>
      <c r="AC256" s="45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10.420591366906475</v>
      </c>
    </row>
    <row r="257" spans="1:29" ht="15.75" x14ac:dyDescent="0.25">
      <c r="A257" s="16">
        <v>48700</v>
      </c>
      <c r="B257" s="10">
        <f>CHOOSE(CONTROL!$C$42, 10.5553, 10.5553) * CHOOSE(CONTROL!$C$21, $C$9, 100%, $E$9)</f>
        <v>10.555300000000001</v>
      </c>
      <c r="C257" s="10">
        <f>CHOOSE(CONTROL!$C$42, 10.5633, 10.5633) * CHOOSE(CONTROL!$C$21, $C$9, 100%, $E$9)</f>
        <v>10.5633</v>
      </c>
      <c r="D257" s="10">
        <f>CHOOSE(CONTROL!$C$42, 10.766, 10.766) * CHOOSE(CONTROL!$C$21, $C$9, 100%, $E$9)</f>
        <v>10.766</v>
      </c>
      <c r="E257" s="10">
        <f>CHOOSE(CONTROL!$C$42, 10.7971, 10.7971) * CHOOSE(CONTROL!$C$21, $C$9, 100%, $E$9)</f>
        <v>10.7971</v>
      </c>
      <c r="F257" s="10">
        <f>CHOOSE(CONTROL!$C$42, 10.5311, 10.5311)*CHOOSE(CONTROL!$C$21, $C$9, 100%, $E$9)</f>
        <v>10.5311</v>
      </c>
      <c r="G257" s="10">
        <f>CHOOSE(CONTROL!$C$42, 10.5461, 10.5461)*CHOOSE(CONTROL!$C$21, $C$9, 100%, $E$9)</f>
        <v>10.546099999999999</v>
      </c>
      <c r="H257" s="10">
        <f>CHOOSE(CONTROL!$C$42, 10.7858, 10.7858) * CHOOSE(CONTROL!$C$21, $C$9, 100%, $E$9)</f>
        <v>10.7858</v>
      </c>
      <c r="I257" s="10">
        <f>CHOOSE(CONTROL!$C$42, 10.5554, 10.5554)* CHOOSE(CONTROL!$C$21, $C$9, 100%, $E$9)</f>
        <v>10.555400000000001</v>
      </c>
      <c r="J257" s="10">
        <f>CHOOSE(CONTROL!$C$42, 10.5241, 10.5241)* CHOOSE(CONTROL!$C$21, $C$9, 100%, $E$9)</f>
        <v>10.524100000000001</v>
      </c>
      <c r="K257" s="53">
        <f>CHOOSE(CONTROL!$C$42, 10.5515, 10.5515) * CHOOSE(CONTROL!$C$21, $C$9, 100%, $E$9)</f>
        <v>10.551500000000001</v>
      </c>
      <c r="L257" s="10">
        <f>CHOOSE(CONTROL!$C$42, 11.3728, 11.3728) * CHOOSE(CONTROL!$C$21, $C$9, 100%, $E$9)</f>
        <v>11.3728</v>
      </c>
      <c r="M257" s="10">
        <f>CHOOSE(CONTROL!$C$42, 10.4317, 10.4317) * CHOOSE(CONTROL!$C$21, $C$9, 100%, $E$9)</f>
        <v>10.431699999999999</v>
      </c>
      <c r="N257" s="10">
        <f>CHOOSE(CONTROL!$C$42, 10.4465, 10.4465) * CHOOSE(CONTROL!$C$21, $C$9, 100%, $E$9)</f>
        <v>10.4465</v>
      </c>
      <c r="O257" s="10">
        <f>CHOOSE(CONTROL!$C$42, 10.6907, 10.6907) * CHOOSE(CONTROL!$C$21, $C$9, 100%, $E$9)</f>
        <v>10.6907</v>
      </c>
      <c r="P257" s="10">
        <f>CHOOSE(CONTROL!$C$42, 10.4627, 10.4627) * CHOOSE(CONTROL!$C$21, $C$9, 100%, $E$9)</f>
        <v>10.4627</v>
      </c>
      <c r="Q257" s="10">
        <f>CHOOSE(CONTROL!$C$42, 11.286, 11.286) * CHOOSE(CONTROL!$C$21, $C$9, 100%, $E$9)</f>
        <v>11.286</v>
      </c>
      <c r="R257" s="10">
        <f>CHOOSE(CONTROL!$C$42, 11.9013, 11.9013) * CHOOSE(CONTROL!$C$21, $C$9, 100%, $E$9)</f>
        <v>11.901300000000001</v>
      </c>
      <c r="S257" s="10">
        <f>CHOOSE(CONTROL!$C$42, 10.246, 10.246) * CHOOSE(CONTROL!$C$21, $C$9, 100%, $E$9)</f>
        <v>10.246</v>
      </c>
      <c r="T2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57">
        <f>(1000*CHOOSE(CONTROL!$C$42, 695, 695)*CHOOSE(CONTROL!$C$42, 0.5599, 0.5599)*CHOOSE(CONTROL!$C$42, 31, 31))/1000000</f>
        <v>12.063045499999998</v>
      </c>
      <c r="V257" s="57">
        <f>(1000*CHOOSE(CONTROL!$C$42, 500, 500)*CHOOSE(CONTROL!$C$42, 0.275, 0.275)*CHOOSE(CONTROL!$C$42, 31, 31))/1000000</f>
        <v>4.2625000000000002</v>
      </c>
      <c r="W257" s="57">
        <f>(1000*CHOOSE(CONTROL!$C$42, 0.1146, 0.1146)*CHOOSE(CONTROL!$C$42, 121.5, 121.5)*CHOOSE(CONTROL!$C$42, 31, 31))/1000000</f>
        <v>0.43164089999999994</v>
      </c>
      <c r="X257" s="57">
        <f>(31*0.1790888*245000/1000000)+(31*0.2374*100000/1000000)</f>
        <v>2.0961194359999999</v>
      </c>
      <c r="Y257" s="57"/>
      <c r="Z257" s="10"/>
      <c r="AA257" s="56"/>
      <c r="AB257" s="50">
        <f>(B257*194.205+C257*267.466+D257*133.845+E257*53.484+F257*40+G257*185+H257*0+I257*100+J257*300)/(194.205+267.466+133.845+53.484+0+40+185+100+300)</f>
        <v>10.57983163320251</v>
      </c>
      <c r="AC257" s="45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10.51223669064748</v>
      </c>
    </row>
    <row r="258" spans="1:29" ht="15.75" x14ac:dyDescent="0.25">
      <c r="A258" s="16">
        <v>48731</v>
      </c>
      <c r="B258" s="10">
        <f>CHOOSE(CONTROL!$C$42, 10.8546, 10.8546) * CHOOSE(CONTROL!$C$21, $C$9, 100%, $E$9)</f>
        <v>10.8546</v>
      </c>
      <c r="C258" s="10">
        <f>CHOOSE(CONTROL!$C$42, 10.8625, 10.8625) * CHOOSE(CONTROL!$C$21, $C$9, 100%, $E$9)</f>
        <v>10.862500000000001</v>
      </c>
      <c r="D258" s="10">
        <f>CHOOSE(CONTROL!$C$42, 11.0653, 11.0653) * CHOOSE(CONTROL!$C$21, $C$9, 100%, $E$9)</f>
        <v>11.065300000000001</v>
      </c>
      <c r="E258" s="10">
        <f>CHOOSE(CONTROL!$C$42, 11.0964, 11.0964) * CHOOSE(CONTROL!$C$21, $C$9, 100%, $E$9)</f>
        <v>11.096399999999999</v>
      </c>
      <c r="F258" s="10">
        <f>CHOOSE(CONTROL!$C$42, 10.8308, 10.8308)*CHOOSE(CONTROL!$C$21, $C$9, 100%, $E$9)</f>
        <v>10.8308</v>
      </c>
      <c r="G258" s="10">
        <f>CHOOSE(CONTROL!$C$42, 10.846, 10.846)*CHOOSE(CONTROL!$C$21, $C$9, 100%, $E$9)</f>
        <v>10.846</v>
      </c>
      <c r="H258" s="10">
        <f>CHOOSE(CONTROL!$C$42, 11.085, 11.085) * CHOOSE(CONTROL!$C$21, $C$9, 100%, $E$9)</f>
        <v>11.085000000000001</v>
      </c>
      <c r="I258" s="10">
        <f>CHOOSE(CONTROL!$C$42, 10.8546, 10.8546)* CHOOSE(CONTROL!$C$21, $C$9, 100%, $E$9)</f>
        <v>10.8546</v>
      </c>
      <c r="J258" s="10">
        <f>CHOOSE(CONTROL!$C$42, 10.8238, 10.8238)* CHOOSE(CONTROL!$C$21, $C$9, 100%, $E$9)</f>
        <v>10.8238</v>
      </c>
      <c r="K258" s="53">
        <f>CHOOSE(CONTROL!$C$42, 10.8508, 10.8508) * CHOOSE(CONTROL!$C$21, $C$9, 100%, $E$9)</f>
        <v>10.8508</v>
      </c>
      <c r="L258" s="10">
        <f>CHOOSE(CONTROL!$C$42, 11.672, 11.672) * CHOOSE(CONTROL!$C$21, $C$9, 100%, $E$9)</f>
        <v>11.672000000000001</v>
      </c>
      <c r="M258" s="10">
        <f>CHOOSE(CONTROL!$C$42, 10.7284, 10.7284) * CHOOSE(CONTROL!$C$21, $C$9, 100%, $E$9)</f>
        <v>10.728400000000001</v>
      </c>
      <c r="N258" s="10">
        <f>CHOOSE(CONTROL!$C$42, 10.7434, 10.7434) * CHOOSE(CONTROL!$C$21, $C$9, 100%, $E$9)</f>
        <v>10.743399999999999</v>
      </c>
      <c r="O258" s="10">
        <f>CHOOSE(CONTROL!$C$42, 10.987, 10.987) * CHOOSE(CONTROL!$C$21, $C$9, 100%, $E$9)</f>
        <v>10.987</v>
      </c>
      <c r="P258" s="10">
        <f>CHOOSE(CONTROL!$C$42, 10.759, 10.759) * CHOOSE(CONTROL!$C$21, $C$9, 100%, $E$9)</f>
        <v>10.759</v>
      </c>
      <c r="Q258" s="10">
        <f>CHOOSE(CONTROL!$C$42, 11.5823, 11.5823) * CHOOSE(CONTROL!$C$21, $C$9, 100%, $E$9)</f>
        <v>11.5823</v>
      </c>
      <c r="R258" s="10">
        <f>CHOOSE(CONTROL!$C$42, 12.1982, 12.1982) * CHOOSE(CONTROL!$C$21, $C$9, 100%, $E$9)</f>
        <v>12.1982</v>
      </c>
      <c r="S258" s="10">
        <f>CHOOSE(CONTROL!$C$42, 10.5367, 10.5367) * CHOOSE(CONTROL!$C$21, $C$9, 100%, $E$9)</f>
        <v>10.5367</v>
      </c>
      <c r="T2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57">
        <f>(1000*CHOOSE(CONTROL!$C$42, 695, 695)*CHOOSE(CONTROL!$C$42, 0.5599, 0.5599)*CHOOSE(CONTROL!$C$42, 30, 30))/1000000</f>
        <v>11.673914999999997</v>
      </c>
      <c r="V258" s="57">
        <f>(1000*CHOOSE(CONTROL!$C$42, 500, 500)*CHOOSE(CONTROL!$C$42, 0.275, 0.275)*CHOOSE(CONTROL!$C$42, 30, 30))/1000000</f>
        <v>4.125</v>
      </c>
      <c r="W258" s="57">
        <f>(1000*CHOOSE(CONTROL!$C$42, 0.1146, 0.1146)*CHOOSE(CONTROL!$C$42, 121.5, 121.5)*CHOOSE(CONTROL!$C$42, 30, 30))/1000000</f>
        <v>0.417717</v>
      </c>
      <c r="X258" s="57">
        <f>(30*0.1790888*245000/1000000)+(30*0.2374*100000/1000000)</f>
        <v>2.0285026799999999</v>
      </c>
      <c r="Y258" s="57"/>
      <c r="Z258" s="10"/>
      <c r="AA258" s="56"/>
      <c r="AB258" s="50">
        <f>(B258*194.205+C258*267.466+D258*133.845+E258*53.484+F258*40+G258*185+H258*0+I258*100+J258*300)/(194.205+267.466+133.845+53.484+0+40+185+100+300)</f>
        <v>10.879296667268447</v>
      </c>
      <c r="AC258" s="45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10.808812949640288</v>
      </c>
    </row>
    <row r="259" spans="1:29" ht="15.75" x14ac:dyDescent="0.25">
      <c r="A259" s="16">
        <v>48761</v>
      </c>
      <c r="B259" s="10">
        <f>CHOOSE(CONTROL!$C$42, 10.6465, 10.6465) * CHOOSE(CONTROL!$C$21, $C$9, 100%, $E$9)</f>
        <v>10.6465</v>
      </c>
      <c r="C259" s="10">
        <f>CHOOSE(CONTROL!$C$42, 10.6544, 10.6544) * CHOOSE(CONTROL!$C$21, $C$9, 100%, $E$9)</f>
        <v>10.654400000000001</v>
      </c>
      <c r="D259" s="10">
        <f>CHOOSE(CONTROL!$C$42, 10.8571, 10.8571) * CHOOSE(CONTROL!$C$21, $C$9, 100%, $E$9)</f>
        <v>10.857100000000001</v>
      </c>
      <c r="E259" s="10">
        <f>CHOOSE(CONTROL!$C$42, 10.8883, 10.8883) * CHOOSE(CONTROL!$C$21, $C$9, 100%, $E$9)</f>
        <v>10.888299999999999</v>
      </c>
      <c r="F259" s="10">
        <f>CHOOSE(CONTROL!$C$42, 10.6232, 10.6232)*CHOOSE(CONTROL!$C$21, $C$9, 100%, $E$9)</f>
        <v>10.623200000000001</v>
      </c>
      <c r="G259" s="10">
        <f>CHOOSE(CONTROL!$C$42, 10.6385, 10.6385)*CHOOSE(CONTROL!$C$21, $C$9, 100%, $E$9)</f>
        <v>10.638500000000001</v>
      </c>
      <c r="H259" s="10">
        <f>CHOOSE(CONTROL!$C$42, 10.8769, 10.8769) * CHOOSE(CONTROL!$C$21, $C$9, 100%, $E$9)</f>
        <v>10.876899999999999</v>
      </c>
      <c r="I259" s="10">
        <f>CHOOSE(CONTROL!$C$42, 10.6465, 10.6465)* CHOOSE(CONTROL!$C$21, $C$9, 100%, $E$9)</f>
        <v>10.6465</v>
      </c>
      <c r="J259" s="10">
        <f>CHOOSE(CONTROL!$C$42, 10.6162, 10.6162)* CHOOSE(CONTROL!$C$21, $C$9, 100%, $E$9)</f>
        <v>10.616199999999999</v>
      </c>
      <c r="K259" s="53">
        <f>CHOOSE(CONTROL!$C$42, 10.6426, 10.6426) * CHOOSE(CONTROL!$C$21, $C$9, 100%, $E$9)</f>
        <v>10.6426</v>
      </c>
      <c r="L259" s="10">
        <f>CHOOSE(CONTROL!$C$42, 11.4639, 11.4639) * CHOOSE(CONTROL!$C$21, $C$9, 100%, $E$9)</f>
        <v>11.463900000000001</v>
      </c>
      <c r="M259" s="10">
        <f>CHOOSE(CONTROL!$C$42, 10.5229, 10.5229) * CHOOSE(CONTROL!$C$21, $C$9, 100%, $E$9)</f>
        <v>10.5229</v>
      </c>
      <c r="N259" s="10">
        <f>CHOOSE(CONTROL!$C$42, 10.538, 10.538) * CHOOSE(CONTROL!$C$21, $C$9, 100%, $E$9)</f>
        <v>10.538</v>
      </c>
      <c r="O259" s="10">
        <f>CHOOSE(CONTROL!$C$42, 10.7809, 10.7809) * CHOOSE(CONTROL!$C$21, $C$9, 100%, $E$9)</f>
        <v>10.780900000000001</v>
      </c>
      <c r="P259" s="10">
        <f>CHOOSE(CONTROL!$C$42, 10.5529, 10.5529) * CHOOSE(CONTROL!$C$21, $C$9, 100%, $E$9)</f>
        <v>10.552899999999999</v>
      </c>
      <c r="Q259" s="10">
        <f>CHOOSE(CONTROL!$C$42, 11.3762, 11.3762) * CHOOSE(CONTROL!$C$21, $C$9, 100%, $E$9)</f>
        <v>11.376200000000001</v>
      </c>
      <c r="R259" s="10">
        <f>CHOOSE(CONTROL!$C$42, 11.9917, 11.9917) * CHOOSE(CONTROL!$C$21, $C$9, 100%, $E$9)</f>
        <v>11.9917</v>
      </c>
      <c r="S259" s="10">
        <f>CHOOSE(CONTROL!$C$42, 10.3345, 10.3345) * CHOOSE(CONTROL!$C$21, $C$9, 100%, $E$9)</f>
        <v>10.3345</v>
      </c>
      <c r="T2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57">
        <f>(1000*CHOOSE(CONTROL!$C$42, 695, 695)*CHOOSE(CONTROL!$C$42, 0.5599, 0.5599)*CHOOSE(CONTROL!$C$42, 31, 31))/1000000</f>
        <v>12.063045499999998</v>
      </c>
      <c r="V259" s="57">
        <f>(1000*CHOOSE(CONTROL!$C$42, 500, 500)*CHOOSE(CONTROL!$C$42, 0.275, 0.275)*CHOOSE(CONTROL!$C$42, 31, 31))/1000000</f>
        <v>4.2625000000000002</v>
      </c>
      <c r="W259" s="57">
        <f>(1000*CHOOSE(CONTROL!$C$42, 0.1146, 0.1146)*CHOOSE(CONTROL!$C$42, 121.5, 121.5)*CHOOSE(CONTROL!$C$42, 31, 31))/1000000</f>
        <v>0.43164089999999994</v>
      </c>
      <c r="X259" s="57">
        <f>(31*0.1790888*245000/1000000)+(31*0.2374*100000/1000000)</f>
        <v>2.0961194359999999</v>
      </c>
      <c r="Y259" s="57"/>
      <c r="Z259" s="10"/>
      <c r="AA259" s="56"/>
      <c r="AB259" s="50">
        <f>(B259*194.205+C259*267.466+D259*133.845+E259*53.484+F259*40+G259*185+H259*0+I259*100+J259*300)/(194.205+267.466+133.845+53.484+0+40+185+100+300)</f>
        <v>10.671406726530611</v>
      </c>
      <c r="AC259" s="45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10.60308129496403</v>
      </c>
    </row>
    <row r="260" spans="1:29" ht="15.75" x14ac:dyDescent="0.25">
      <c r="A260" s="16">
        <v>48792</v>
      </c>
      <c r="B260" s="10">
        <f>CHOOSE(CONTROL!$C$42, 10.1209, 10.1209) * CHOOSE(CONTROL!$C$21, $C$9, 100%, $E$9)</f>
        <v>10.120900000000001</v>
      </c>
      <c r="C260" s="10">
        <f>CHOOSE(CONTROL!$C$42, 10.1288, 10.1288) * CHOOSE(CONTROL!$C$21, $C$9, 100%, $E$9)</f>
        <v>10.1288</v>
      </c>
      <c r="D260" s="10">
        <f>CHOOSE(CONTROL!$C$42, 10.3315, 10.3315) * CHOOSE(CONTROL!$C$21, $C$9, 100%, $E$9)</f>
        <v>10.3315</v>
      </c>
      <c r="E260" s="10">
        <f>CHOOSE(CONTROL!$C$42, 10.3626, 10.3626) * CHOOSE(CONTROL!$C$21, $C$9, 100%, $E$9)</f>
        <v>10.3626</v>
      </c>
      <c r="F260" s="10">
        <f>CHOOSE(CONTROL!$C$42, 10.0978, 10.0978)*CHOOSE(CONTROL!$C$21, $C$9, 100%, $E$9)</f>
        <v>10.097799999999999</v>
      </c>
      <c r="G260" s="10">
        <f>CHOOSE(CONTROL!$C$42, 10.1131, 10.1131)*CHOOSE(CONTROL!$C$21, $C$9, 100%, $E$9)</f>
        <v>10.113099999999999</v>
      </c>
      <c r="H260" s="10">
        <f>CHOOSE(CONTROL!$C$42, 10.3513, 10.3513) * CHOOSE(CONTROL!$C$21, $C$9, 100%, $E$9)</f>
        <v>10.3513</v>
      </c>
      <c r="I260" s="10">
        <f>CHOOSE(CONTROL!$C$42, 10.1209, 10.1209)* CHOOSE(CONTROL!$C$21, $C$9, 100%, $E$9)</f>
        <v>10.120900000000001</v>
      </c>
      <c r="J260" s="10">
        <f>CHOOSE(CONTROL!$C$42, 10.0908, 10.0908)* CHOOSE(CONTROL!$C$21, $C$9, 100%, $E$9)</f>
        <v>10.0908</v>
      </c>
      <c r="K260" s="53">
        <f>CHOOSE(CONTROL!$C$42, 10.117, 10.117) * CHOOSE(CONTROL!$C$21, $C$9, 100%, $E$9)</f>
        <v>10.117000000000001</v>
      </c>
      <c r="L260" s="10">
        <f>CHOOSE(CONTROL!$C$42, 10.9383, 10.9383) * CHOOSE(CONTROL!$C$21, $C$9, 100%, $E$9)</f>
        <v>10.9383</v>
      </c>
      <c r="M260" s="10">
        <f>CHOOSE(CONTROL!$C$42, 10.0028, 10.0028) * CHOOSE(CONTROL!$C$21, $C$9, 100%, $E$9)</f>
        <v>10.002800000000001</v>
      </c>
      <c r="N260" s="10">
        <f>CHOOSE(CONTROL!$C$42, 10.018, 10.018) * CHOOSE(CONTROL!$C$21, $C$9, 100%, $E$9)</f>
        <v>10.018000000000001</v>
      </c>
      <c r="O260" s="10">
        <f>CHOOSE(CONTROL!$C$42, 10.2606, 10.2606) * CHOOSE(CONTROL!$C$21, $C$9, 100%, $E$9)</f>
        <v>10.2606</v>
      </c>
      <c r="P260" s="10">
        <f>CHOOSE(CONTROL!$C$42, 10.0326, 10.0326) * CHOOSE(CONTROL!$C$21, $C$9, 100%, $E$9)</f>
        <v>10.0326</v>
      </c>
      <c r="Q260" s="10">
        <f>CHOOSE(CONTROL!$C$42, 10.8559, 10.8559) * CHOOSE(CONTROL!$C$21, $C$9, 100%, $E$9)</f>
        <v>10.8559</v>
      </c>
      <c r="R260" s="10">
        <f>CHOOSE(CONTROL!$C$42, 11.4701, 11.4701) * CHOOSE(CONTROL!$C$21, $C$9, 100%, $E$9)</f>
        <v>11.4701</v>
      </c>
      <c r="S260" s="10">
        <f>CHOOSE(CONTROL!$C$42, 9.8241, 9.8241) * CHOOSE(CONTROL!$C$21, $C$9, 100%, $E$9)</f>
        <v>9.8240999999999996</v>
      </c>
      <c r="T2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57">
        <f>(1000*CHOOSE(CONTROL!$C$42, 695, 695)*CHOOSE(CONTROL!$C$42, 0.5599, 0.5599)*CHOOSE(CONTROL!$C$42, 31, 31))/1000000</f>
        <v>12.063045499999998</v>
      </c>
      <c r="V260" s="57">
        <f>(1000*CHOOSE(CONTROL!$C$42, 500, 500)*CHOOSE(CONTROL!$C$42, 0.275, 0.275)*CHOOSE(CONTROL!$C$42, 31, 31))/1000000</f>
        <v>4.2625000000000002</v>
      </c>
      <c r="W260" s="57">
        <f>(1000*CHOOSE(CONTROL!$C$42, 0.1146, 0.1146)*CHOOSE(CONTROL!$C$42, 121.5, 121.5)*CHOOSE(CONTROL!$C$42, 31, 31))/1000000</f>
        <v>0.43164089999999994</v>
      </c>
      <c r="X260" s="57">
        <f>(31*0.1790888*245000/1000000)+(31*0.2374*100000/1000000)</f>
        <v>2.0961194359999999</v>
      </c>
      <c r="Y260" s="57"/>
      <c r="Z260" s="10"/>
      <c r="AA260" s="56"/>
      <c r="AB260" s="50">
        <f>(B260*194.205+C260*267.466+D260*133.845+E260*53.484+F260*40+G260*185+H260*0+I260*100+J260*300)/(194.205+267.466+133.845+53.484+0+40+185+100+300)</f>
        <v>10.14588494599686</v>
      </c>
      <c r="AC260" s="45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10.082919424460433</v>
      </c>
    </row>
    <row r="261" spans="1:29" ht="15.75" x14ac:dyDescent="0.25">
      <c r="A261" s="16">
        <v>48823</v>
      </c>
      <c r="B261" s="10">
        <f>CHOOSE(CONTROL!$C$42, 9.4783, 9.4783) * CHOOSE(CONTROL!$C$21, $C$9, 100%, $E$9)</f>
        <v>9.4783000000000008</v>
      </c>
      <c r="C261" s="10">
        <f>CHOOSE(CONTROL!$C$42, 9.4862, 9.4862) * CHOOSE(CONTROL!$C$21, $C$9, 100%, $E$9)</f>
        <v>9.4862000000000002</v>
      </c>
      <c r="D261" s="10">
        <f>CHOOSE(CONTROL!$C$42, 9.6889, 9.6889) * CHOOSE(CONTROL!$C$21, $C$9, 100%, $E$9)</f>
        <v>9.6889000000000003</v>
      </c>
      <c r="E261" s="10">
        <f>CHOOSE(CONTROL!$C$42, 9.7201, 9.7201) * CHOOSE(CONTROL!$C$21, $C$9, 100%, $E$9)</f>
        <v>9.7201000000000004</v>
      </c>
      <c r="F261" s="10">
        <f>CHOOSE(CONTROL!$C$42, 9.4551, 9.4551)*CHOOSE(CONTROL!$C$21, $C$9, 100%, $E$9)</f>
        <v>9.4550999999999998</v>
      </c>
      <c r="G261" s="10">
        <f>CHOOSE(CONTROL!$C$42, 9.4704, 9.4704)*CHOOSE(CONTROL!$C$21, $C$9, 100%, $E$9)</f>
        <v>9.4703999999999997</v>
      </c>
      <c r="H261" s="10">
        <f>CHOOSE(CONTROL!$C$42, 9.7087, 9.7087) * CHOOSE(CONTROL!$C$21, $C$9, 100%, $E$9)</f>
        <v>9.7087000000000003</v>
      </c>
      <c r="I261" s="10">
        <f>CHOOSE(CONTROL!$C$42, 9.4783, 9.4783)* CHOOSE(CONTROL!$C$21, $C$9, 100%, $E$9)</f>
        <v>9.4783000000000008</v>
      </c>
      <c r="J261" s="10">
        <f>CHOOSE(CONTROL!$C$42, 9.4481, 9.4481)* CHOOSE(CONTROL!$C$21, $C$9, 100%, $E$9)</f>
        <v>9.4481000000000002</v>
      </c>
      <c r="K261" s="53">
        <f>CHOOSE(CONTROL!$C$42, 9.4744, 9.4744) * CHOOSE(CONTROL!$C$21, $C$9, 100%, $E$9)</f>
        <v>9.4743999999999993</v>
      </c>
      <c r="L261" s="10">
        <f>CHOOSE(CONTROL!$C$42, 10.2957, 10.2957) * CHOOSE(CONTROL!$C$21, $C$9, 100%, $E$9)</f>
        <v>10.2957</v>
      </c>
      <c r="M261" s="10">
        <f>CHOOSE(CONTROL!$C$42, 9.3666, 9.3666) * CHOOSE(CONTROL!$C$21, $C$9, 100%, $E$9)</f>
        <v>9.3666</v>
      </c>
      <c r="N261" s="10">
        <f>CHOOSE(CONTROL!$C$42, 9.3817, 9.3817) * CHOOSE(CONTROL!$C$21, $C$9, 100%, $E$9)</f>
        <v>9.3817000000000004</v>
      </c>
      <c r="O261" s="10">
        <f>CHOOSE(CONTROL!$C$42, 9.6245, 9.6245) * CHOOSE(CONTROL!$C$21, $C$9, 100%, $E$9)</f>
        <v>9.6244999999999994</v>
      </c>
      <c r="P261" s="10">
        <f>CHOOSE(CONTROL!$C$42, 9.3965, 9.3965) * CHOOSE(CONTROL!$C$21, $C$9, 100%, $E$9)</f>
        <v>9.3964999999999996</v>
      </c>
      <c r="Q261" s="10">
        <f>CHOOSE(CONTROL!$C$42, 10.2198, 10.2198) * CHOOSE(CONTROL!$C$21, $C$9, 100%, $E$9)</f>
        <v>10.219799999999999</v>
      </c>
      <c r="R261" s="10">
        <f>CHOOSE(CONTROL!$C$42, 10.8324, 10.8324) * CHOOSE(CONTROL!$C$21, $C$9, 100%, $E$9)</f>
        <v>10.8324</v>
      </c>
      <c r="S261" s="10">
        <f>CHOOSE(CONTROL!$C$42, 9.2001, 9.2001) * CHOOSE(CONTROL!$C$21, $C$9, 100%, $E$9)</f>
        <v>9.2001000000000008</v>
      </c>
      <c r="T2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57">
        <f>(1000*CHOOSE(CONTROL!$C$42, 695, 695)*CHOOSE(CONTROL!$C$42, 0.5599, 0.5599)*CHOOSE(CONTROL!$C$42, 30, 30))/1000000</f>
        <v>11.673914999999997</v>
      </c>
      <c r="V261" s="57">
        <f>(1000*CHOOSE(CONTROL!$C$42, 500, 500)*CHOOSE(CONTROL!$C$42, 0.275, 0.275)*CHOOSE(CONTROL!$C$42, 30, 30))/1000000</f>
        <v>4.125</v>
      </c>
      <c r="W261" s="57">
        <f>(1000*CHOOSE(CONTROL!$C$42, 0.1146, 0.1146)*CHOOSE(CONTROL!$C$42, 121.5, 121.5)*CHOOSE(CONTROL!$C$42, 30, 30))/1000000</f>
        <v>0.417717</v>
      </c>
      <c r="X261" s="57">
        <f>(30*0.1790888*245000/1000000)+(30*0.2374*100000/1000000)</f>
        <v>2.0285026799999999</v>
      </c>
      <c r="Y261" s="57"/>
      <c r="Z261" s="10"/>
      <c r="AA261" s="56"/>
      <c r="AB261" s="50">
        <f>(B261*194.205+C261*267.466+D261*133.845+E261*53.484+F261*40+G261*185+H261*0+I261*100+J261*300)/(194.205+267.466+133.845+53.484+0+40+185+100+300)</f>
        <v>9.5032479353218218</v>
      </c>
      <c r="AC261" s="45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9.4467388489208624</v>
      </c>
    </row>
    <row r="262" spans="1:29" ht="15.75" x14ac:dyDescent="0.25">
      <c r="A262" s="16">
        <v>48853</v>
      </c>
      <c r="B262" s="10">
        <f>CHOOSE(CONTROL!$C$42, 9.2842, 9.2842) * CHOOSE(CONTROL!$C$21, $C$9, 100%, $E$9)</f>
        <v>9.2842000000000002</v>
      </c>
      <c r="C262" s="10">
        <f>CHOOSE(CONTROL!$C$42, 9.2894, 9.2894) * CHOOSE(CONTROL!$C$21, $C$9, 100%, $E$9)</f>
        <v>9.2894000000000005</v>
      </c>
      <c r="D262" s="10">
        <f>CHOOSE(CONTROL!$C$42, 9.4971, 9.4971) * CHOOSE(CONTROL!$C$21, $C$9, 100%, $E$9)</f>
        <v>9.4970999999999997</v>
      </c>
      <c r="E262" s="10">
        <f>CHOOSE(CONTROL!$C$42, 9.5259, 9.5259) * CHOOSE(CONTROL!$C$21, $C$9, 100%, $E$9)</f>
        <v>9.5259</v>
      </c>
      <c r="F262" s="10">
        <f>CHOOSE(CONTROL!$C$42, 9.2629, 9.2629)*CHOOSE(CONTROL!$C$21, $C$9, 100%, $E$9)</f>
        <v>9.2629000000000001</v>
      </c>
      <c r="G262" s="10">
        <f>CHOOSE(CONTROL!$C$42, 9.2778, 9.2778)*CHOOSE(CONTROL!$C$21, $C$9, 100%, $E$9)</f>
        <v>9.2777999999999992</v>
      </c>
      <c r="H262" s="10">
        <f>CHOOSE(CONTROL!$C$42, 9.5163, 9.5163) * CHOOSE(CONTROL!$C$21, $C$9, 100%, $E$9)</f>
        <v>9.5162999999999993</v>
      </c>
      <c r="I262" s="10">
        <f>CHOOSE(CONTROL!$C$42, 9.286, 9.286)* CHOOSE(CONTROL!$C$21, $C$9, 100%, $E$9)</f>
        <v>9.2859999999999996</v>
      </c>
      <c r="J262" s="10">
        <f>CHOOSE(CONTROL!$C$42, 9.2559, 9.2559)* CHOOSE(CONTROL!$C$21, $C$9, 100%, $E$9)</f>
        <v>9.2559000000000005</v>
      </c>
      <c r="K262" s="53">
        <f>CHOOSE(CONTROL!$C$42, 9.2821, 9.2821) * CHOOSE(CONTROL!$C$21, $C$9, 100%, $E$9)</f>
        <v>9.2820999999999998</v>
      </c>
      <c r="L262" s="10">
        <f>CHOOSE(CONTROL!$C$42, 10.1033, 10.1033) * CHOOSE(CONTROL!$C$21, $C$9, 100%, $E$9)</f>
        <v>10.103300000000001</v>
      </c>
      <c r="M262" s="10">
        <f>CHOOSE(CONTROL!$C$42, 9.1763, 9.1763) * CHOOSE(CONTROL!$C$21, $C$9, 100%, $E$9)</f>
        <v>9.1762999999999995</v>
      </c>
      <c r="N262" s="10">
        <f>CHOOSE(CONTROL!$C$42, 9.1911, 9.1911) * CHOOSE(CONTROL!$C$21, $C$9, 100%, $E$9)</f>
        <v>9.1911000000000005</v>
      </c>
      <c r="O262" s="10">
        <f>CHOOSE(CONTROL!$C$42, 9.4341, 9.4341) * CHOOSE(CONTROL!$C$21, $C$9, 100%, $E$9)</f>
        <v>9.4341000000000008</v>
      </c>
      <c r="P262" s="10">
        <f>CHOOSE(CONTROL!$C$42, 9.2061, 9.2061) * CHOOSE(CONTROL!$C$21, $C$9, 100%, $E$9)</f>
        <v>9.2060999999999993</v>
      </c>
      <c r="Q262" s="10">
        <f>CHOOSE(CONTROL!$C$42, 10.0294, 10.0294) * CHOOSE(CONTROL!$C$21, $C$9, 100%, $E$9)</f>
        <v>10.029400000000001</v>
      </c>
      <c r="R262" s="10">
        <f>CHOOSE(CONTROL!$C$42, 10.6415, 10.6415) * CHOOSE(CONTROL!$C$21, $C$9, 100%, $E$9)</f>
        <v>10.641500000000001</v>
      </c>
      <c r="S262" s="10">
        <f>CHOOSE(CONTROL!$C$42, 9.0133, 9.0133) * CHOOSE(CONTROL!$C$21, $C$9, 100%, $E$9)</f>
        <v>9.0132999999999992</v>
      </c>
      <c r="T2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57">
        <f>(1000*CHOOSE(CONTROL!$C$42, 695, 695)*CHOOSE(CONTROL!$C$42, 0.5599, 0.5599)*CHOOSE(CONTROL!$C$42, 31, 31))/1000000</f>
        <v>12.063045499999998</v>
      </c>
      <c r="V262" s="57">
        <f>(1000*CHOOSE(CONTROL!$C$42, 500, 500)*CHOOSE(CONTROL!$C$42, 0.275, 0.275)*CHOOSE(CONTROL!$C$42, 31, 31))/1000000</f>
        <v>4.2625000000000002</v>
      </c>
      <c r="W262" s="57">
        <f>(1000*CHOOSE(CONTROL!$C$42, 0.1146, 0.1146)*CHOOSE(CONTROL!$C$42, 121.5, 121.5)*CHOOSE(CONTROL!$C$42, 31, 31))/1000000</f>
        <v>0.43164089999999994</v>
      </c>
      <c r="X262" s="57">
        <f>(31*0.1790888*245000/1000000)+(31*0.2374*100000/1000000)</f>
        <v>2.0961194359999999</v>
      </c>
      <c r="Y262" s="57"/>
      <c r="Z262" s="10"/>
      <c r="AA262" s="56"/>
      <c r="AB262" s="50">
        <f>(B262*131.881+C262*277.167+D262*79.08+E262*125.872+F262*40+G262*185+H262*0+I262*100+J262*300)/(131.881+277.167+79.08+125.872+0+40+185+100+300)</f>
        <v>9.3151561443099276</v>
      </c>
      <c r="AC262" s="45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9.2563273381294966</v>
      </c>
    </row>
    <row r="263" spans="1:29" ht="15.75" x14ac:dyDescent="0.25">
      <c r="A263" s="16">
        <v>48884</v>
      </c>
      <c r="B263" s="10">
        <f>CHOOSE(CONTROL!$C$42, 9.5282, 9.5282) * CHOOSE(CONTROL!$C$21, $C$9, 100%, $E$9)</f>
        <v>9.5282</v>
      </c>
      <c r="C263" s="10">
        <f>CHOOSE(CONTROL!$C$42, 9.5332, 9.5332) * CHOOSE(CONTROL!$C$21, $C$9, 100%, $E$9)</f>
        <v>9.5332000000000008</v>
      </c>
      <c r="D263" s="10">
        <f>CHOOSE(CONTROL!$C$42, 9.5937, 9.5937) * CHOOSE(CONTROL!$C$21, $C$9, 100%, $E$9)</f>
        <v>9.5937000000000001</v>
      </c>
      <c r="E263" s="10">
        <f>CHOOSE(CONTROL!$C$42, 9.6275, 9.6275) * CHOOSE(CONTROL!$C$21, $C$9, 100%, $E$9)</f>
        <v>9.6274999999999995</v>
      </c>
      <c r="F263" s="10">
        <f>CHOOSE(CONTROL!$C$42, 9.5239, 9.5239)*CHOOSE(CONTROL!$C$21, $C$9, 100%, $E$9)</f>
        <v>9.5238999999999994</v>
      </c>
      <c r="G263" s="10">
        <f>CHOOSE(CONTROL!$C$42, 9.5391, 9.5391)*CHOOSE(CONTROL!$C$21, $C$9, 100%, $E$9)</f>
        <v>9.5390999999999995</v>
      </c>
      <c r="H263" s="10">
        <f>CHOOSE(CONTROL!$C$42, 9.6167, 9.6167) * CHOOSE(CONTROL!$C$21, $C$9, 100%, $E$9)</f>
        <v>9.6166999999999998</v>
      </c>
      <c r="I263" s="10">
        <f>CHOOSE(CONTROL!$C$42, 9.5408, 9.5408)* CHOOSE(CONTROL!$C$21, $C$9, 100%, $E$9)</f>
        <v>9.5408000000000008</v>
      </c>
      <c r="J263" s="10">
        <f>CHOOSE(CONTROL!$C$42, 9.5169, 9.5169)* CHOOSE(CONTROL!$C$21, $C$9, 100%, $E$9)</f>
        <v>9.5168999999999997</v>
      </c>
      <c r="K263" s="53">
        <f>CHOOSE(CONTROL!$C$42, 9.5369, 9.5369) * CHOOSE(CONTROL!$C$21, $C$9, 100%, $E$9)</f>
        <v>9.5368999999999993</v>
      </c>
      <c r="L263" s="10">
        <f>CHOOSE(CONTROL!$C$42, 10.2037, 10.2037) * CHOOSE(CONTROL!$C$21, $C$9, 100%, $E$9)</f>
        <v>10.2037</v>
      </c>
      <c r="M263" s="10">
        <f>CHOOSE(CONTROL!$C$42, 9.4347, 9.4347) * CHOOSE(CONTROL!$C$21, $C$9, 100%, $E$9)</f>
        <v>9.4346999999999994</v>
      </c>
      <c r="N263" s="10">
        <f>CHOOSE(CONTROL!$C$42, 9.4497, 9.4497) * CHOOSE(CONTROL!$C$21, $C$9, 100%, $E$9)</f>
        <v>9.4497</v>
      </c>
      <c r="O263" s="10">
        <f>CHOOSE(CONTROL!$C$42, 9.5335, 9.5335) * CHOOSE(CONTROL!$C$21, $C$9, 100%, $E$9)</f>
        <v>9.5335000000000001</v>
      </c>
      <c r="P263" s="10">
        <f>CHOOSE(CONTROL!$C$42, 9.4583, 9.4583) * CHOOSE(CONTROL!$C$21, $C$9, 100%, $E$9)</f>
        <v>9.4582999999999995</v>
      </c>
      <c r="Q263" s="10">
        <f>CHOOSE(CONTROL!$C$42, 10.1288, 10.1288) * CHOOSE(CONTROL!$C$21, $C$9, 100%, $E$9)</f>
        <v>10.1288</v>
      </c>
      <c r="R263" s="10">
        <f>CHOOSE(CONTROL!$C$42, 10.7411, 10.7411) * CHOOSE(CONTROL!$C$21, $C$9, 100%, $E$9)</f>
        <v>10.741099999999999</v>
      </c>
      <c r="S263" s="10">
        <f>CHOOSE(CONTROL!$C$42, 9.2507, 9.2507) * CHOOSE(CONTROL!$C$21, $C$9, 100%, $E$9)</f>
        <v>9.2507000000000001</v>
      </c>
      <c r="T2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57">
        <f>(1000*CHOOSE(CONTROL!$C$42, 695, 695)*CHOOSE(CONTROL!$C$42, 0.5599, 0.5599)*CHOOSE(CONTROL!$C$42, 30, 30))/1000000</f>
        <v>11.673914999999997</v>
      </c>
      <c r="V263" s="57">
        <f>(1000*CHOOSE(CONTROL!$C$42, 500, 500)*CHOOSE(CONTROL!$C$42, 0.275, 0.275)*CHOOSE(CONTROL!$C$42, 30, 30))/1000000</f>
        <v>4.125</v>
      </c>
      <c r="W263" s="57">
        <f>(1000*CHOOSE(CONTROL!$C$42, 0.1146, 0.1146)*CHOOSE(CONTROL!$C$42, 121.5, 121.5)*CHOOSE(CONTROL!$C$42, 30, 30))/1000000</f>
        <v>0.417717</v>
      </c>
      <c r="X263" s="57">
        <f>(30*0.1790888*100000/1000000)+(30*0.2374*100000/1000000)</f>
        <v>1.2494664</v>
      </c>
      <c r="Y263" s="57"/>
      <c r="Z263" s="10"/>
      <c r="AA263" s="56"/>
      <c r="AB263" s="50">
        <f>(B263*122.58+C263*297.941+D263*89.177+E263*40.302+F263*40+G263*160+H263*0+I263*100+J263*300)/(122.58+297.941+89.177+40.302+0+40+160+100+300)</f>
        <v>9.537569380086957</v>
      </c>
      <c r="AC263" s="45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9.4837388489208632</v>
      </c>
    </row>
    <row r="264" spans="1:29" ht="15.75" x14ac:dyDescent="0.25">
      <c r="A264" s="16">
        <v>48914</v>
      </c>
      <c r="B264" s="10">
        <f>CHOOSE(CONTROL!$C$42, 10.1777, 10.1777) * CHOOSE(CONTROL!$C$21, $C$9, 100%, $E$9)</f>
        <v>10.1777</v>
      </c>
      <c r="C264" s="10">
        <f>CHOOSE(CONTROL!$C$42, 10.1826, 10.1826) * CHOOSE(CONTROL!$C$21, $C$9, 100%, $E$9)</f>
        <v>10.182600000000001</v>
      </c>
      <c r="D264" s="10">
        <f>CHOOSE(CONTROL!$C$42, 10.2431, 10.2431) * CHOOSE(CONTROL!$C$21, $C$9, 100%, $E$9)</f>
        <v>10.2431</v>
      </c>
      <c r="E264" s="10">
        <f>CHOOSE(CONTROL!$C$42, 10.2769, 10.2769) * CHOOSE(CONTROL!$C$21, $C$9, 100%, $E$9)</f>
        <v>10.276899999999999</v>
      </c>
      <c r="F264" s="10">
        <f>CHOOSE(CONTROL!$C$42, 10.1751, 10.1751)*CHOOSE(CONTROL!$C$21, $C$9, 100%, $E$9)</f>
        <v>10.1751</v>
      </c>
      <c r="G264" s="10">
        <f>CHOOSE(CONTROL!$C$42, 10.1908, 10.1908)*CHOOSE(CONTROL!$C$21, $C$9, 100%, $E$9)</f>
        <v>10.190799999999999</v>
      </c>
      <c r="H264" s="10">
        <f>CHOOSE(CONTROL!$C$42, 10.2661, 10.2661) * CHOOSE(CONTROL!$C$21, $C$9, 100%, $E$9)</f>
        <v>10.2661</v>
      </c>
      <c r="I264" s="10">
        <f>CHOOSE(CONTROL!$C$42, 10.1902, 10.1902)* CHOOSE(CONTROL!$C$21, $C$9, 100%, $E$9)</f>
        <v>10.190200000000001</v>
      </c>
      <c r="J264" s="10">
        <f>CHOOSE(CONTROL!$C$42, 10.1681, 10.1681)* CHOOSE(CONTROL!$C$21, $C$9, 100%, $E$9)</f>
        <v>10.168100000000001</v>
      </c>
      <c r="K264" s="53">
        <f>CHOOSE(CONTROL!$C$42, 10.1863, 10.1863) * CHOOSE(CONTROL!$C$21, $C$9, 100%, $E$9)</f>
        <v>10.186299999999999</v>
      </c>
      <c r="L264" s="10">
        <f>CHOOSE(CONTROL!$C$42, 10.8531, 10.8531) * CHOOSE(CONTROL!$C$21, $C$9, 100%, $E$9)</f>
        <v>10.8531</v>
      </c>
      <c r="M264" s="10">
        <f>CHOOSE(CONTROL!$C$42, 10.0793, 10.0793) * CHOOSE(CONTROL!$C$21, $C$9, 100%, $E$9)</f>
        <v>10.0793</v>
      </c>
      <c r="N264" s="10">
        <f>CHOOSE(CONTROL!$C$42, 10.0949, 10.0949) * CHOOSE(CONTROL!$C$21, $C$9, 100%, $E$9)</f>
        <v>10.094900000000001</v>
      </c>
      <c r="O264" s="10">
        <f>CHOOSE(CONTROL!$C$42, 10.1763, 10.1763) * CHOOSE(CONTROL!$C$21, $C$9, 100%, $E$9)</f>
        <v>10.176299999999999</v>
      </c>
      <c r="P264" s="10">
        <f>CHOOSE(CONTROL!$C$42, 10.1012, 10.1012) * CHOOSE(CONTROL!$C$21, $C$9, 100%, $E$9)</f>
        <v>10.1012</v>
      </c>
      <c r="Q264" s="10">
        <f>CHOOSE(CONTROL!$C$42, 10.7716, 10.7716) * CHOOSE(CONTROL!$C$21, $C$9, 100%, $E$9)</f>
        <v>10.771599999999999</v>
      </c>
      <c r="R264" s="10">
        <f>CHOOSE(CONTROL!$C$42, 11.3856, 11.3856) * CHOOSE(CONTROL!$C$21, $C$9, 100%, $E$9)</f>
        <v>11.3856</v>
      </c>
      <c r="S264" s="10">
        <f>CHOOSE(CONTROL!$C$42, 9.8814, 9.8814) * CHOOSE(CONTROL!$C$21, $C$9, 100%, $E$9)</f>
        <v>9.8813999999999993</v>
      </c>
      <c r="T2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57">
        <f>(1000*CHOOSE(CONTROL!$C$42, 695, 695)*CHOOSE(CONTROL!$C$42, 0.5599, 0.5599)*CHOOSE(CONTROL!$C$42, 31, 31))/1000000</f>
        <v>12.063045499999998</v>
      </c>
      <c r="V264" s="57">
        <f>(1000*CHOOSE(CONTROL!$C$42, 500, 500)*CHOOSE(CONTROL!$C$42, 0.275, 0.275)*CHOOSE(CONTROL!$C$42, 31, 31))/1000000</f>
        <v>4.2625000000000002</v>
      </c>
      <c r="W264" s="57">
        <f>(1000*CHOOSE(CONTROL!$C$42, 0.1146, 0.1146)*CHOOSE(CONTROL!$C$42, 121.5, 121.5)*CHOOSE(CONTROL!$C$42, 31, 31))/1000000</f>
        <v>0.43164089999999994</v>
      </c>
      <c r="X264" s="57">
        <f>(31*0.1790888*100000/1000000)+(31*0.2374*100000/1000000)</f>
        <v>1.2911152800000001</v>
      </c>
      <c r="Y264" s="57"/>
      <c r="Z264" s="10"/>
      <c r="AA264" s="56"/>
      <c r="AB264" s="50">
        <f>(B264*122.58+C264*297.941+D264*89.177+E264*40.302+F264*40+G264*160+H264*0+I264*100+J264*300)/(122.58+297.941+89.177+40.302+0+40+160+100+300)</f>
        <v>10.187832213130436</v>
      </c>
      <c r="AC264" s="45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10.127312949640288</v>
      </c>
    </row>
    <row r="265" spans="1:29" ht="15.75" x14ac:dyDescent="0.25">
      <c r="A265" s="16">
        <v>48945</v>
      </c>
      <c r="B265" s="10">
        <f>CHOOSE(CONTROL!$C$42, 11.0114, 11.0114) * CHOOSE(CONTROL!$C$21, $C$9, 100%, $E$9)</f>
        <v>11.0114</v>
      </c>
      <c r="C265" s="10">
        <f>CHOOSE(CONTROL!$C$42, 11.0163, 11.0163) * CHOOSE(CONTROL!$C$21, $C$9, 100%, $E$9)</f>
        <v>11.016299999999999</v>
      </c>
      <c r="D265" s="10">
        <f>CHOOSE(CONTROL!$C$42, 11.0734, 11.0734) * CHOOSE(CONTROL!$C$21, $C$9, 100%, $E$9)</f>
        <v>11.073399999999999</v>
      </c>
      <c r="E265" s="10">
        <f>CHOOSE(CONTROL!$C$42, 11.1072, 11.1072) * CHOOSE(CONTROL!$C$21, $C$9, 100%, $E$9)</f>
        <v>11.107200000000001</v>
      </c>
      <c r="F265" s="10">
        <f>CHOOSE(CONTROL!$C$42, 11.0092, 11.0092)*CHOOSE(CONTROL!$C$21, $C$9, 100%, $E$9)</f>
        <v>11.0092</v>
      </c>
      <c r="G265" s="10">
        <f>CHOOSE(CONTROL!$C$42, 11.0238, 11.0238)*CHOOSE(CONTROL!$C$21, $C$9, 100%, $E$9)</f>
        <v>11.0238</v>
      </c>
      <c r="H265" s="10">
        <f>CHOOSE(CONTROL!$C$42, 11.0964, 11.0964) * CHOOSE(CONTROL!$C$21, $C$9, 100%, $E$9)</f>
        <v>11.096399999999999</v>
      </c>
      <c r="I265" s="10">
        <f>CHOOSE(CONTROL!$C$42, 11.0222, 11.0222)* CHOOSE(CONTROL!$C$21, $C$9, 100%, $E$9)</f>
        <v>11.0222</v>
      </c>
      <c r="J265" s="10">
        <f>CHOOSE(CONTROL!$C$42, 11.0022, 11.0022)* CHOOSE(CONTROL!$C$21, $C$9, 100%, $E$9)</f>
        <v>11.0022</v>
      </c>
      <c r="K265" s="53">
        <f>CHOOSE(CONTROL!$C$42, 11.0183, 11.0183) * CHOOSE(CONTROL!$C$21, $C$9, 100%, $E$9)</f>
        <v>11.0183</v>
      </c>
      <c r="L265" s="10">
        <f>CHOOSE(CONTROL!$C$42, 11.6834, 11.6834) * CHOOSE(CONTROL!$C$21, $C$9, 100%, $E$9)</f>
        <v>11.683400000000001</v>
      </c>
      <c r="M265" s="10">
        <f>CHOOSE(CONTROL!$C$42, 10.905, 10.905) * CHOOSE(CONTROL!$C$21, $C$9, 100%, $E$9)</f>
        <v>10.904999999999999</v>
      </c>
      <c r="N265" s="10">
        <f>CHOOSE(CONTROL!$C$42, 10.9194, 10.9194) * CHOOSE(CONTROL!$C$21, $C$9, 100%, $E$9)</f>
        <v>10.9194</v>
      </c>
      <c r="O265" s="10">
        <f>CHOOSE(CONTROL!$C$42, 10.9982, 10.9982) * CHOOSE(CONTROL!$C$21, $C$9, 100%, $E$9)</f>
        <v>10.998200000000001</v>
      </c>
      <c r="P265" s="10">
        <f>CHOOSE(CONTROL!$C$42, 10.9248, 10.9248) * CHOOSE(CONTROL!$C$21, $C$9, 100%, $E$9)</f>
        <v>10.924799999999999</v>
      </c>
      <c r="Q265" s="10">
        <f>CHOOSE(CONTROL!$C$42, 11.5935, 11.5935) * CHOOSE(CONTROL!$C$21, $C$9, 100%, $E$9)</f>
        <v>11.593500000000001</v>
      </c>
      <c r="R265" s="10">
        <f>CHOOSE(CONTROL!$C$42, 12.2095, 12.2095) * CHOOSE(CONTROL!$C$21, $C$9, 100%, $E$9)</f>
        <v>12.2095</v>
      </c>
      <c r="S265" s="10">
        <f>CHOOSE(CONTROL!$C$42, 10.691, 10.691) * CHOOSE(CONTROL!$C$21, $C$9, 100%, $E$9)</f>
        <v>10.691000000000001</v>
      </c>
      <c r="T2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57">
        <f>(1000*CHOOSE(CONTROL!$C$42, 695, 695)*CHOOSE(CONTROL!$C$42, 0.5599, 0.5599)*CHOOSE(CONTROL!$C$42, 31, 31))/1000000</f>
        <v>12.063045499999998</v>
      </c>
      <c r="V265" s="57">
        <f>(1000*CHOOSE(CONTROL!$C$42, 500, 500)*CHOOSE(CONTROL!$C$42, 0.275, 0.275)*CHOOSE(CONTROL!$C$42, 31, 31))/1000000</f>
        <v>4.2625000000000002</v>
      </c>
      <c r="W265" s="57">
        <f>(1000*CHOOSE(CONTROL!$C$42, 0.1146, 0.1146)*CHOOSE(CONTROL!$C$42, 121.5, 121.5)*CHOOSE(CONTROL!$C$42, 31, 31))/1000000</f>
        <v>0.43164089999999994</v>
      </c>
      <c r="X265" s="57">
        <f>(31*0.1790888*100000/1000000)+(31*0.2374*100000/1000000)</f>
        <v>1.2911152800000001</v>
      </c>
      <c r="Y265" s="57"/>
      <c r="Z265" s="10"/>
      <c r="AA265" s="56"/>
      <c r="AB265" s="50">
        <f>(B265*122.58+C265*297.941+D265*89.177+E265*40.302+F265*40+G265*160+H265*0+I265*100+J265*300)/(122.58+297.941+89.177+40.302+0+40+160+100+300)</f>
        <v>11.021022449130434</v>
      </c>
      <c r="AC265" s="45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10.95091942446043</v>
      </c>
    </row>
    <row r="266" spans="1:29" ht="15.75" x14ac:dyDescent="0.25">
      <c r="A266" s="16">
        <v>48976</v>
      </c>
      <c r="B266" s="10">
        <f>CHOOSE(CONTROL!$C$42, 11.2073, 11.2073) * CHOOSE(CONTROL!$C$21, $C$9, 100%, $E$9)</f>
        <v>11.2073</v>
      </c>
      <c r="C266" s="10">
        <f>CHOOSE(CONTROL!$C$42, 11.2123, 11.2123) * CHOOSE(CONTROL!$C$21, $C$9, 100%, $E$9)</f>
        <v>11.212300000000001</v>
      </c>
      <c r="D266" s="10">
        <f>CHOOSE(CONTROL!$C$42, 11.2693, 11.2693) * CHOOSE(CONTROL!$C$21, $C$9, 100%, $E$9)</f>
        <v>11.269299999999999</v>
      </c>
      <c r="E266" s="10">
        <f>CHOOSE(CONTROL!$C$42, 11.3031, 11.3031) * CHOOSE(CONTROL!$C$21, $C$9, 100%, $E$9)</f>
        <v>11.303100000000001</v>
      </c>
      <c r="F266" s="10">
        <f>CHOOSE(CONTROL!$C$42, 11.2053, 11.2053)*CHOOSE(CONTROL!$C$21, $C$9, 100%, $E$9)</f>
        <v>11.205299999999999</v>
      </c>
      <c r="G266" s="10">
        <f>CHOOSE(CONTROL!$C$42, 11.2199, 11.2199)*CHOOSE(CONTROL!$C$21, $C$9, 100%, $E$9)</f>
        <v>11.219900000000001</v>
      </c>
      <c r="H266" s="10">
        <f>CHOOSE(CONTROL!$C$42, 11.2923, 11.2923) * CHOOSE(CONTROL!$C$21, $C$9, 100%, $E$9)</f>
        <v>11.292299999999999</v>
      </c>
      <c r="I266" s="10">
        <f>CHOOSE(CONTROL!$C$42, 11.2181, 11.2181)* CHOOSE(CONTROL!$C$21, $C$9, 100%, $E$9)</f>
        <v>11.2181</v>
      </c>
      <c r="J266" s="10">
        <f>CHOOSE(CONTROL!$C$42, 11.1983, 11.1983)* CHOOSE(CONTROL!$C$21, $C$9, 100%, $E$9)</f>
        <v>11.1983</v>
      </c>
      <c r="K266" s="53">
        <f>CHOOSE(CONTROL!$C$42, 11.2142, 11.2142) * CHOOSE(CONTROL!$C$21, $C$9, 100%, $E$9)</f>
        <v>11.2142</v>
      </c>
      <c r="L266" s="10">
        <f>CHOOSE(CONTROL!$C$42, 11.8793, 11.8793) * CHOOSE(CONTROL!$C$21, $C$9, 100%, $E$9)</f>
        <v>11.879300000000001</v>
      </c>
      <c r="M266" s="10">
        <f>CHOOSE(CONTROL!$C$42, 11.0991, 11.0991) * CHOOSE(CONTROL!$C$21, $C$9, 100%, $E$9)</f>
        <v>11.0991</v>
      </c>
      <c r="N266" s="10">
        <f>CHOOSE(CONTROL!$C$42, 11.1136, 11.1136) * CHOOSE(CONTROL!$C$21, $C$9, 100%, $E$9)</f>
        <v>11.1136</v>
      </c>
      <c r="O266" s="10">
        <f>CHOOSE(CONTROL!$C$42, 11.1922, 11.1922) * CHOOSE(CONTROL!$C$21, $C$9, 100%, $E$9)</f>
        <v>11.1922</v>
      </c>
      <c r="P266" s="10">
        <f>CHOOSE(CONTROL!$C$42, 11.1188, 11.1188) * CHOOSE(CONTROL!$C$21, $C$9, 100%, $E$9)</f>
        <v>11.1188</v>
      </c>
      <c r="Q266" s="10">
        <f>CHOOSE(CONTROL!$C$42, 11.7875, 11.7875) * CHOOSE(CONTROL!$C$21, $C$9, 100%, $E$9)</f>
        <v>11.7875</v>
      </c>
      <c r="R266" s="10">
        <f>CHOOSE(CONTROL!$C$42, 12.404, 12.404) * CHOOSE(CONTROL!$C$21, $C$9, 100%, $E$9)</f>
        <v>12.404</v>
      </c>
      <c r="S266" s="10">
        <f>CHOOSE(CONTROL!$C$42, 10.8813, 10.8813) * CHOOSE(CONTROL!$C$21, $C$9, 100%, $E$9)</f>
        <v>10.8813</v>
      </c>
      <c r="T2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57">
        <f>(1000*CHOOSE(CONTROL!$C$42, 695, 695)*CHOOSE(CONTROL!$C$42, 0.5599, 0.5599)*CHOOSE(CONTROL!$C$42, 28, 28))/1000000</f>
        <v>10.895653999999999</v>
      </c>
      <c r="V266" s="57">
        <f>(1000*CHOOSE(CONTROL!$C$42, 500, 500)*CHOOSE(CONTROL!$C$42, 0.275, 0.275)*CHOOSE(CONTROL!$C$42, 28, 28))/1000000</f>
        <v>3.85</v>
      </c>
      <c r="W266" s="57">
        <f>(1000*CHOOSE(CONTROL!$C$42, 0.1146, 0.1146)*CHOOSE(CONTROL!$C$42, 121.5, 121.5)*CHOOSE(CONTROL!$C$42, 28, 28))/1000000</f>
        <v>0.38986920000000003</v>
      </c>
      <c r="X266" s="57">
        <f>(28*0.1790888*100000/1000000)+(28*0.2374*100000/1000000)</f>
        <v>1.16616864</v>
      </c>
      <c r="Y266" s="57"/>
      <c r="Z266" s="10"/>
      <c r="AA266" s="56"/>
      <c r="AB266" s="50">
        <f>(B266*122.58+C266*297.941+D266*89.177+E266*40.302+F266*40+G266*160+H266*0+I266*100+J266*300)/(122.58+297.941+89.177+40.302+0+40+160+100+300)</f>
        <v>11.217035313565217</v>
      </c>
      <c r="AC266" s="45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11.1449654676259</v>
      </c>
    </row>
    <row r="267" spans="1:29" ht="15.75" x14ac:dyDescent="0.25">
      <c r="A267" s="16">
        <v>49004</v>
      </c>
      <c r="B267" s="10">
        <f>CHOOSE(CONTROL!$C$42, 10.8892, 10.8892) * CHOOSE(CONTROL!$C$21, $C$9, 100%, $E$9)</f>
        <v>10.889200000000001</v>
      </c>
      <c r="C267" s="10">
        <f>CHOOSE(CONTROL!$C$42, 10.8942, 10.8942) * CHOOSE(CONTROL!$C$21, $C$9, 100%, $E$9)</f>
        <v>10.8942</v>
      </c>
      <c r="D267" s="10">
        <f>CHOOSE(CONTROL!$C$42, 10.9512, 10.9512) * CHOOSE(CONTROL!$C$21, $C$9, 100%, $E$9)</f>
        <v>10.9512</v>
      </c>
      <c r="E267" s="10">
        <f>CHOOSE(CONTROL!$C$42, 10.985, 10.985) * CHOOSE(CONTROL!$C$21, $C$9, 100%, $E$9)</f>
        <v>10.984999999999999</v>
      </c>
      <c r="F267" s="10">
        <f>CHOOSE(CONTROL!$C$42, 10.887, 10.887)*CHOOSE(CONTROL!$C$21, $C$9, 100%, $E$9)</f>
        <v>10.887</v>
      </c>
      <c r="G267" s="10">
        <f>CHOOSE(CONTROL!$C$42, 10.9016, 10.9016)*CHOOSE(CONTROL!$C$21, $C$9, 100%, $E$9)</f>
        <v>10.9016</v>
      </c>
      <c r="H267" s="10">
        <f>CHOOSE(CONTROL!$C$42, 10.9742, 10.9742) * CHOOSE(CONTROL!$C$21, $C$9, 100%, $E$9)</f>
        <v>10.9742</v>
      </c>
      <c r="I267" s="10">
        <f>CHOOSE(CONTROL!$C$42, 10.9, 10.9)* CHOOSE(CONTROL!$C$21, $C$9, 100%, $E$9)</f>
        <v>10.9</v>
      </c>
      <c r="J267" s="10">
        <f>CHOOSE(CONTROL!$C$42, 10.88, 10.88)* CHOOSE(CONTROL!$C$21, $C$9, 100%, $E$9)</f>
        <v>10.88</v>
      </c>
      <c r="K267" s="53">
        <f>CHOOSE(CONTROL!$C$42, 10.8961, 10.8961) * CHOOSE(CONTROL!$C$21, $C$9, 100%, $E$9)</f>
        <v>10.896100000000001</v>
      </c>
      <c r="L267" s="10">
        <f>CHOOSE(CONTROL!$C$42, 11.5612, 11.5612) * CHOOSE(CONTROL!$C$21, $C$9, 100%, $E$9)</f>
        <v>11.561199999999999</v>
      </c>
      <c r="M267" s="10">
        <f>CHOOSE(CONTROL!$C$42, 10.7841, 10.7841) * CHOOSE(CONTROL!$C$21, $C$9, 100%, $E$9)</f>
        <v>10.7841</v>
      </c>
      <c r="N267" s="10">
        <f>CHOOSE(CONTROL!$C$42, 10.7985, 10.7985) * CHOOSE(CONTROL!$C$21, $C$9, 100%, $E$9)</f>
        <v>10.798500000000001</v>
      </c>
      <c r="O267" s="10">
        <f>CHOOSE(CONTROL!$C$42, 10.8773, 10.8773) * CHOOSE(CONTROL!$C$21, $C$9, 100%, $E$9)</f>
        <v>10.8773</v>
      </c>
      <c r="P267" s="10">
        <f>CHOOSE(CONTROL!$C$42, 10.8039, 10.8039) * CHOOSE(CONTROL!$C$21, $C$9, 100%, $E$9)</f>
        <v>10.803900000000001</v>
      </c>
      <c r="Q267" s="10">
        <f>CHOOSE(CONTROL!$C$42, 11.4726, 11.4726) * CHOOSE(CONTROL!$C$21, $C$9, 100%, $E$9)</f>
        <v>11.4726</v>
      </c>
      <c r="R267" s="10">
        <f>CHOOSE(CONTROL!$C$42, 12.0883, 12.0883) * CHOOSE(CONTROL!$C$21, $C$9, 100%, $E$9)</f>
        <v>12.0883</v>
      </c>
      <c r="S267" s="10">
        <f>CHOOSE(CONTROL!$C$42, 10.5724, 10.5724) * CHOOSE(CONTROL!$C$21, $C$9, 100%, $E$9)</f>
        <v>10.5724</v>
      </c>
      <c r="T2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57">
        <f>(1000*CHOOSE(CONTROL!$C$42, 695, 695)*CHOOSE(CONTROL!$C$42, 0.5599, 0.5599)*CHOOSE(CONTROL!$C$42, 31, 31))/1000000</f>
        <v>12.063045499999998</v>
      </c>
      <c r="V267" s="57">
        <f>(1000*CHOOSE(CONTROL!$C$42, 500, 500)*CHOOSE(CONTROL!$C$42, 0.275, 0.275)*CHOOSE(CONTROL!$C$42, 31, 31))/1000000</f>
        <v>4.2625000000000002</v>
      </c>
      <c r="W267" s="57">
        <f>(1000*CHOOSE(CONTROL!$C$42, 0.1146, 0.1146)*CHOOSE(CONTROL!$C$42, 121.5, 121.5)*CHOOSE(CONTROL!$C$42, 31, 31))/1000000</f>
        <v>0.43164089999999994</v>
      </c>
      <c r="X267" s="57">
        <f>(31*0.1790888*100000/1000000)+(31*0.2374*100000/1000000)</f>
        <v>1.2911152800000001</v>
      </c>
      <c r="Y267" s="57"/>
      <c r="Z267" s="10"/>
      <c r="AA267" s="56"/>
      <c r="AB267" s="50">
        <f>(B267*122.58+C267*297.941+D267*89.177+E267*40.302+F267*40+G267*160+H267*0+I267*100+J267*300)/(122.58+297.941+89.177+40.302+0+40+160+100+300)</f>
        <v>10.898848357043478</v>
      </c>
      <c r="AC267" s="45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10.830019424460433</v>
      </c>
    </row>
    <row r="268" spans="1:29" ht="15.75" x14ac:dyDescent="0.25">
      <c r="A268" s="16">
        <v>49035</v>
      </c>
      <c r="B268" s="10">
        <f>CHOOSE(CONTROL!$C$42, 10.8578, 10.8578) * CHOOSE(CONTROL!$C$21, $C$9, 100%, $E$9)</f>
        <v>10.857799999999999</v>
      </c>
      <c r="C268" s="10">
        <f>CHOOSE(CONTROL!$C$42, 10.8622, 10.8622) * CHOOSE(CONTROL!$C$21, $C$9, 100%, $E$9)</f>
        <v>10.8622</v>
      </c>
      <c r="D268" s="10">
        <f>CHOOSE(CONTROL!$C$42, 11.0681, 11.0681) * CHOOSE(CONTROL!$C$21, $C$9, 100%, $E$9)</f>
        <v>11.068099999999999</v>
      </c>
      <c r="E268" s="10">
        <f>CHOOSE(CONTROL!$C$42, 11.0998, 11.0998) * CHOOSE(CONTROL!$C$21, $C$9, 100%, $E$9)</f>
        <v>11.0998</v>
      </c>
      <c r="F268" s="10">
        <f>CHOOSE(CONTROL!$C$42, 10.8346, 10.8346)*CHOOSE(CONTROL!$C$21, $C$9, 100%, $E$9)</f>
        <v>10.8346</v>
      </c>
      <c r="G268" s="10">
        <f>CHOOSE(CONTROL!$C$42, 10.8491, 10.8491)*CHOOSE(CONTROL!$C$21, $C$9, 100%, $E$9)</f>
        <v>10.8491</v>
      </c>
      <c r="H268" s="10">
        <f>CHOOSE(CONTROL!$C$42, 11.0896, 11.0896) * CHOOSE(CONTROL!$C$21, $C$9, 100%, $E$9)</f>
        <v>11.089600000000001</v>
      </c>
      <c r="I268" s="10">
        <f>CHOOSE(CONTROL!$C$42, 10.8592, 10.8592)* CHOOSE(CONTROL!$C$21, $C$9, 100%, $E$9)</f>
        <v>10.8592</v>
      </c>
      <c r="J268" s="10">
        <f>CHOOSE(CONTROL!$C$42, 10.8276, 10.8276)* CHOOSE(CONTROL!$C$21, $C$9, 100%, $E$9)</f>
        <v>10.8276</v>
      </c>
      <c r="K268" s="53">
        <f>CHOOSE(CONTROL!$C$42, 10.8553, 10.8553) * CHOOSE(CONTROL!$C$21, $C$9, 100%, $E$9)</f>
        <v>10.8553</v>
      </c>
      <c r="L268" s="10">
        <f>CHOOSE(CONTROL!$C$42, 11.6766, 11.6766) * CHOOSE(CONTROL!$C$21, $C$9, 100%, $E$9)</f>
        <v>11.676600000000001</v>
      </c>
      <c r="M268" s="10">
        <f>CHOOSE(CONTROL!$C$42, 10.7321, 10.7321) * CHOOSE(CONTROL!$C$21, $C$9, 100%, $E$9)</f>
        <v>10.732100000000001</v>
      </c>
      <c r="N268" s="10">
        <f>CHOOSE(CONTROL!$C$42, 10.7465, 10.7465) * CHOOSE(CONTROL!$C$21, $C$9, 100%, $E$9)</f>
        <v>10.746499999999999</v>
      </c>
      <c r="O268" s="10">
        <f>CHOOSE(CONTROL!$C$42, 10.9915, 10.9915) * CHOOSE(CONTROL!$C$21, $C$9, 100%, $E$9)</f>
        <v>10.9915</v>
      </c>
      <c r="P268" s="10">
        <f>CHOOSE(CONTROL!$C$42, 10.7635, 10.7635) * CHOOSE(CONTROL!$C$21, $C$9, 100%, $E$9)</f>
        <v>10.763500000000001</v>
      </c>
      <c r="Q268" s="10">
        <f>CHOOSE(CONTROL!$C$42, 11.5868, 11.5868) * CHOOSE(CONTROL!$C$21, $C$9, 100%, $E$9)</f>
        <v>11.5868</v>
      </c>
      <c r="R268" s="10">
        <f>CHOOSE(CONTROL!$C$42, 12.2028, 12.2028) * CHOOSE(CONTROL!$C$21, $C$9, 100%, $E$9)</f>
        <v>12.2028</v>
      </c>
      <c r="S268" s="10">
        <f>CHOOSE(CONTROL!$C$42, 10.5411, 10.5411) * CHOOSE(CONTROL!$C$21, $C$9, 100%, $E$9)</f>
        <v>10.5411</v>
      </c>
      <c r="T2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57">
        <f>(1000*CHOOSE(CONTROL!$C$42, 695, 695)*CHOOSE(CONTROL!$C$42, 0.5599, 0.5599)*CHOOSE(CONTROL!$C$42, 30, 30))/1000000</f>
        <v>11.673914999999997</v>
      </c>
      <c r="V268" s="57">
        <f>(1000*CHOOSE(CONTROL!$C$42, 500, 500)*CHOOSE(CONTROL!$C$42, 0.275, 0.275)*CHOOSE(CONTROL!$C$42, 30, 30))/1000000</f>
        <v>4.125</v>
      </c>
      <c r="W268" s="57">
        <f>(1000*CHOOSE(CONTROL!$C$42, 0.1146, 0.1146)*CHOOSE(CONTROL!$C$42, 121.5, 121.5)*CHOOSE(CONTROL!$C$42, 30, 30))/1000000</f>
        <v>0.417717</v>
      </c>
      <c r="X268" s="57">
        <f>(30*0.1790888*245000/1000000)+(30*0.2374*100000/1000000)</f>
        <v>2.0285026799999999</v>
      </c>
      <c r="Y268" s="57"/>
      <c r="Z268" s="10"/>
      <c r="AA268" s="56"/>
      <c r="AB268" s="50">
        <f>(B268*141.293+C268*267.993+D268*115.016+E268*89.698+F268*40+G268*185+H268*0+I268*100+J268*300)/(141.293+267.993+115.016+89.698+0+40+185+100+300)</f>
        <v>10.886546125907993</v>
      </c>
      <c r="AC268" s="45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10.81271438848921</v>
      </c>
    </row>
    <row r="269" spans="1:29" ht="15.75" x14ac:dyDescent="0.25">
      <c r="A269" s="16">
        <v>49065</v>
      </c>
      <c r="B269" s="10">
        <f>CHOOSE(CONTROL!$C$42, 10.955, 10.955) * CHOOSE(CONTROL!$C$21, $C$9, 100%, $E$9)</f>
        <v>10.955</v>
      </c>
      <c r="C269" s="10">
        <f>CHOOSE(CONTROL!$C$42, 10.9629, 10.9629) * CHOOSE(CONTROL!$C$21, $C$9, 100%, $E$9)</f>
        <v>10.962899999999999</v>
      </c>
      <c r="D269" s="10">
        <f>CHOOSE(CONTROL!$C$42, 11.1656, 11.1656) * CHOOSE(CONTROL!$C$21, $C$9, 100%, $E$9)</f>
        <v>11.1656</v>
      </c>
      <c r="E269" s="10">
        <f>CHOOSE(CONTROL!$C$42, 11.1968, 11.1968) * CHOOSE(CONTROL!$C$21, $C$9, 100%, $E$9)</f>
        <v>11.1968</v>
      </c>
      <c r="F269" s="10">
        <f>CHOOSE(CONTROL!$C$42, 10.9307, 10.9307)*CHOOSE(CONTROL!$C$21, $C$9, 100%, $E$9)</f>
        <v>10.9307</v>
      </c>
      <c r="G269" s="10">
        <f>CHOOSE(CONTROL!$C$42, 10.9457, 10.9457)*CHOOSE(CONTROL!$C$21, $C$9, 100%, $E$9)</f>
        <v>10.9457</v>
      </c>
      <c r="H269" s="10">
        <f>CHOOSE(CONTROL!$C$42, 11.1854, 11.1854) * CHOOSE(CONTROL!$C$21, $C$9, 100%, $E$9)</f>
        <v>11.1854</v>
      </c>
      <c r="I269" s="10">
        <f>CHOOSE(CONTROL!$C$42, 10.955, 10.955)* CHOOSE(CONTROL!$C$21, $C$9, 100%, $E$9)</f>
        <v>10.955</v>
      </c>
      <c r="J269" s="10">
        <f>CHOOSE(CONTROL!$C$42, 10.9237, 10.9237)* CHOOSE(CONTROL!$C$21, $C$9, 100%, $E$9)</f>
        <v>10.9237</v>
      </c>
      <c r="K269" s="53">
        <f>CHOOSE(CONTROL!$C$42, 10.9511, 10.9511) * CHOOSE(CONTROL!$C$21, $C$9, 100%, $E$9)</f>
        <v>10.9511</v>
      </c>
      <c r="L269" s="10">
        <f>CHOOSE(CONTROL!$C$42, 11.7724, 11.7724) * CHOOSE(CONTROL!$C$21, $C$9, 100%, $E$9)</f>
        <v>11.772399999999999</v>
      </c>
      <c r="M269" s="10">
        <f>CHOOSE(CONTROL!$C$42, 10.8273, 10.8273) * CHOOSE(CONTROL!$C$21, $C$9, 100%, $E$9)</f>
        <v>10.827299999999999</v>
      </c>
      <c r="N269" s="10">
        <f>CHOOSE(CONTROL!$C$42, 10.8421, 10.8421) * CHOOSE(CONTROL!$C$21, $C$9, 100%, $E$9)</f>
        <v>10.8421</v>
      </c>
      <c r="O269" s="10">
        <f>CHOOSE(CONTROL!$C$42, 11.0864, 11.0864) * CHOOSE(CONTROL!$C$21, $C$9, 100%, $E$9)</f>
        <v>11.086399999999999</v>
      </c>
      <c r="P269" s="10">
        <f>CHOOSE(CONTROL!$C$42, 10.8583, 10.8583) * CHOOSE(CONTROL!$C$21, $C$9, 100%, $E$9)</f>
        <v>10.8583</v>
      </c>
      <c r="Q269" s="10">
        <f>CHOOSE(CONTROL!$C$42, 11.6817, 11.6817) * CHOOSE(CONTROL!$C$21, $C$9, 100%, $E$9)</f>
        <v>11.681699999999999</v>
      </c>
      <c r="R269" s="10">
        <f>CHOOSE(CONTROL!$C$42, 12.2979, 12.2979) * CHOOSE(CONTROL!$C$21, $C$9, 100%, $E$9)</f>
        <v>12.2979</v>
      </c>
      <c r="S269" s="10">
        <f>CHOOSE(CONTROL!$C$42, 10.6341, 10.6341) * CHOOSE(CONTROL!$C$21, $C$9, 100%, $E$9)</f>
        <v>10.6341</v>
      </c>
      <c r="T2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57">
        <f>(1000*CHOOSE(CONTROL!$C$42, 695, 695)*CHOOSE(CONTROL!$C$42, 0.5599, 0.5599)*CHOOSE(CONTROL!$C$42, 31, 31))/1000000</f>
        <v>12.063045499999998</v>
      </c>
      <c r="V269" s="57">
        <f>(1000*CHOOSE(CONTROL!$C$42, 500, 500)*CHOOSE(CONTROL!$C$42, 0.275, 0.275)*CHOOSE(CONTROL!$C$42, 31, 31))/1000000</f>
        <v>4.2625000000000002</v>
      </c>
      <c r="W269" s="57">
        <f>(1000*CHOOSE(CONTROL!$C$42, 0.1146, 0.1146)*CHOOSE(CONTROL!$C$42, 121.5, 121.5)*CHOOSE(CONTROL!$C$42, 31, 31))/1000000</f>
        <v>0.43164089999999994</v>
      </c>
      <c r="X269" s="57">
        <f>(31*0.1790888*245000/1000000)+(31*0.2374*100000/1000000)</f>
        <v>2.0961194359999999</v>
      </c>
      <c r="Y269" s="57"/>
      <c r="Z269" s="10"/>
      <c r="AA269" s="56"/>
      <c r="AB269" s="50">
        <f>(B269*194.205+C269*267.466+D269*133.845+E269*53.484+F269*40+G269*185+H269*0+I269*100+J269*300)/(194.205+267.466+133.845+53.484+0+40+185+100+300)</f>
        <v>10.979451075039247</v>
      </c>
      <c r="AC269" s="45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10.907864748201439</v>
      </c>
    </row>
    <row r="270" spans="1:29" ht="15.75" x14ac:dyDescent="0.25">
      <c r="A270" s="16">
        <v>49096</v>
      </c>
      <c r="B270" s="10">
        <f>CHOOSE(CONTROL!$C$42, 11.2656, 11.2656) * CHOOSE(CONTROL!$C$21, $C$9, 100%, $E$9)</f>
        <v>11.265599999999999</v>
      </c>
      <c r="C270" s="10">
        <f>CHOOSE(CONTROL!$C$42, 11.2735, 11.2735) * CHOOSE(CONTROL!$C$21, $C$9, 100%, $E$9)</f>
        <v>11.2735</v>
      </c>
      <c r="D270" s="10">
        <f>CHOOSE(CONTROL!$C$42, 11.4762, 11.4762) * CHOOSE(CONTROL!$C$21, $C$9, 100%, $E$9)</f>
        <v>11.4762</v>
      </c>
      <c r="E270" s="10">
        <f>CHOOSE(CONTROL!$C$42, 11.5074, 11.5074) * CHOOSE(CONTROL!$C$21, $C$9, 100%, $E$9)</f>
        <v>11.507400000000001</v>
      </c>
      <c r="F270" s="10">
        <f>CHOOSE(CONTROL!$C$42, 11.2418, 11.2418)*CHOOSE(CONTROL!$C$21, $C$9, 100%, $E$9)</f>
        <v>11.2418</v>
      </c>
      <c r="G270" s="10">
        <f>CHOOSE(CONTROL!$C$42, 11.257, 11.257)*CHOOSE(CONTROL!$C$21, $C$9, 100%, $E$9)</f>
        <v>11.257</v>
      </c>
      <c r="H270" s="10">
        <f>CHOOSE(CONTROL!$C$42, 11.496, 11.496) * CHOOSE(CONTROL!$C$21, $C$9, 100%, $E$9)</f>
        <v>11.496</v>
      </c>
      <c r="I270" s="10">
        <f>CHOOSE(CONTROL!$C$42, 11.2656, 11.2656)* CHOOSE(CONTROL!$C$21, $C$9, 100%, $E$9)</f>
        <v>11.265599999999999</v>
      </c>
      <c r="J270" s="10">
        <f>CHOOSE(CONTROL!$C$42, 11.2348, 11.2348)* CHOOSE(CONTROL!$C$21, $C$9, 100%, $E$9)</f>
        <v>11.2348</v>
      </c>
      <c r="K270" s="53">
        <f>CHOOSE(CONTROL!$C$42, 11.2617, 11.2617) * CHOOSE(CONTROL!$C$21, $C$9, 100%, $E$9)</f>
        <v>11.261699999999999</v>
      </c>
      <c r="L270" s="10">
        <f>CHOOSE(CONTROL!$C$42, 12.083, 12.083) * CHOOSE(CONTROL!$C$21, $C$9, 100%, $E$9)</f>
        <v>12.083</v>
      </c>
      <c r="M270" s="10">
        <f>CHOOSE(CONTROL!$C$42, 11.1353, 11.1353) * CHOOSE(CONTROL!$C$21, $C$9, 100%, $E$9)</f>
        <v>11.135300000000001</v>
      </c>
      <c r="N270" s="10">
        <f>CHOOSE(CONTROL!$C$42, 11.1503, 11.1503) * CHOOSE(CONTROL!$C$21, $C$9, 100%, $E$9)</f>
        <v>11.1503</v>
      </c>
      <c r="O270" s="10">
        <f>CHOOSE(CONTROL!$C$42, 11.3938, 11.3938) * CHOOSE(CONTROL!$C$21, $C$9, 100%, $E$9)</f>
        <v>11.393800000000001</v>
      </c>
      <c r="P270" s="10">
        <f>CHOOSE(CONTROL!$C$42, 11.1658, 11.1658) * CHOOSE(CONTROL!$C$21, $C$9, 100%, $E$9)</f>
        <v>11.165800000000001</v>
      </c>
      <c r="Q270" s="10">
        <f>CHOOSE(CONTROL!$C$42, 11.9891, 11.9891) * CHOOSE(CONTROL!$C$21, $C$9, 100%, $E$9)</f>
        <v>11.989100000000001</v>
      </c>
      <c r="R270" s="10">
        <f>CHOOSE(CONTROL!$C$42, 12.6061, 12.6061) * CHOOSE(CONTROL!$C$21, $C$9, 100%, $E$9)</f>
        <v>12.6061</v>
      </c>
      <c r="S270" s="10">
        <f>CHOOSE(CONTROL!$C$42, 10.9358, 10.9358) * CHOOSE(CONTROL!$C$21, $C$9, 100%, $E$9)</f>
        <v>10.9358</v>
      </c>
      <c r="T2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57">
        <f>(1000*CHOOSE(CONTROL!$C$42, 695, 695)*CHOOSE(CONTROL!$C$42, 0.5599, 0.5599)*CHOOSE(CONTROL!$C$42, 30, 30))/1000000</f>
        <v>11.673914999999997</v>
      </c>
      <c r="V270" s="57">
        <f>(1000*CHOOSE(CONTROL!$C$42, 500, 500)*CHOOSE(CONTROL!$C$42, 0.275, 0.275)*CHOOSE(CONTROL!$C$42, 30, 30))/1000000</f>
        <v>4.125</v>
      </c>
      <c r="W270" s="57">
        <f>(1000*CHOOSE(CONTROL!$C$42, 0.1146, 0.1146)*CHOOSE(CONTROL!$C$42, 121.5, 121.5)*CHOOSE(CONTROL!$C$42, 30, 30))/1000000</f>
        <v>0.417717</v>
      </c>
      <c r="X270" s="57">
        <f>(30*0.1790888*245000/1000000)+(30*0.2374*100000/1000000)</f>
        <v>2.0285026799999999</v>
      </c>
      <c r="Y270" s="57"/>
      <c r="Z270" s="10"/>
      <c r="AA270" s="56"/>
      <c r="AB270" s="50">
        <f>(B270*194.205+C270*267.466+D270*133.845+E270*53.484+F270*40+G270*185+H270*0+I270*100+J270*300)/(194.205+267.466+133.845+53.484+0+40+185+100+300)</f>
        <v>11.290286161381477</v>
      </c>
      <c r="AC270" s="45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11.215670503597122</v>
      </c>
    </row>
    <row r="271" spans="1:29" ht="15.75" x14ac:dyDescent="0.25">
      <c r="A271" s="16">
        <v>49126</v>
      </c>
      <c r="B271" s="10">
        <f>CHOOSE(CONTROL!$C$42, 11.0496, 11.0496) * CHOOSE(CONTROL!$C$21, $C$9, 100%, $E$9)</f>
        <v>11.0496</v>
      </c>
      <c r="C271" s="10">
        <f>CHOOSE(CONTROL!$C$42, 11.0575, 11.0575) * CHOOSE(CONTROL!$C$21, $C$9, 100%, $E$9)</f>
        <v>11.057499999999999</v>
      </c>
      <c r="D271" s="10">
        <f>CHOOSE(CONTROL!$C$42, 11.2602, 11.2602) * CHOOSE(CONTROL!$C$21, $C$9, 100%, $E$9)</f>
        <v>11.260199999999999</v>
      </c>
      <c r="E271" s="10">
        <f>CHOOSE(CONTROL!$C$42, 11.2914, 11.2914) * CHOOSE(CONTROL!$C$21, $C$9, 100%, $E$9)</f>
        <v>11.291399999999999</v>
      </c>
      <c r="F271" s="10">
        <f>CHOOSE(CONTROL!$C$42, 11.0263, 11.0263)*CHOOSE(CONTROL!$C$21, $C$9, 100%, $E$9)</f>
        <v>11.026300000000001</v>
      </c>
      <c r="G271" s="10">
        <f>CHOOSE(CONTROL!$C$42, 11.0416, 11.0416)*CHOOSE(CONTROL!$C$21, $C$9, 100%, $E$9)</f>
        <v>11.041600000000001</v>
      </c>
      <c r="H271" s="10">
        <f>CHOOSE(CONTROL!$C$42, 11.28, 11.28) * CHOOSE(CONTROL!$C$21, $C$9, 100%, $E$9)</f>
        <v>11.28</v>
      </c>
      <c r="I271" s="10">
        <f>CHOOSE(CONTROL!$C$42, 11.0496, 11.0496)* CHOOSE(CONTROL!$C$21, $C$9, 100%, $E$9)</f>
        <v>11.0496</v>
      </c>
      <c r="J271" s="10">
        <f>CHOOSE(CONTROL!$C$42, 11.0193, 11.0193)* CHOOSE(CONTROL!$C$21, $C$9, 100%, $E$9)</f>
        <v>11.019299999999999</v>
      </c>
      <c r="K271" s="53">
        <f>CHOOSE(CONTROL!$C$42, 11.0457, 11.0457) * CHOOSE(CONTROL!$C$21, $C$9, 100%, $E$9)</f>
        <v>11.0457</v>
      </c>
      <c r="L271" s="10">
        <f>CHOOSE(CONTROL!$C$42, 11.867, 11.867) * CHOOSE(CONTROL!$C$21, $C$9, 100%, $E$9)</f>
        <v>11.867000000000001</v>
      </c>
      <c r="M271" s="10">
        <f>CHOOSE(CONTROL!$C$42, 10.9219, 10.9219) * CHOOSE(CONTROL!$C$21, $C$9, 100%, $E$9)</f>
        <v>10.921900000000001</v>
      </c>
      <c r="N271" s="10">
        <f>CHOOSE(CONTROL!$C$42, 10.9371, 10.9371) * CHOOSE(CONTROL!$C$21, $C$9, 100%, $E$9)</f>
        <v>10.937099999999999</v>
      </c>
      <c r="O271" s="10">
        <f>CHOOSE(CONTROL!$C$42, 11.18, 11.18) * CHOOSE(CONTROL!$C$21, $C$9, 100%, $E$9)</f>
        <v>11.18</v>
      </c>
      <c r="P271" s="10">
        <f>CHOOSE(CONTROL!$C$42, 10.952, 10.952) * CHOOSE(CONTROL!$C$21, $C$9, 100%, $E$9)</f>
        <v>10.952</v>
      </c>
      <c r="Q271" s="10">
        <f>CHOOSE(CONTROL!$C$42, 11.7753, 11.7753) * CHOOSE(CONTROL!$C$21, $C$9, 100%, $E$9)</f>
        <v>11.7753</v>
      </c>
      <c r="R271" s="10">
        <f>CHOOSE(CONTROL!$C$42, 12.3917, 12.3917) * CHOOSE(CONTROL!$C$21, $C$9, 100%, $E$9)</f>
        <v>12.3917</v>
      </c>
      <c r="S271" s="10">
        <f>CHOOSE(CONTROL!$C$42, 10.726, 10.726) * CHOOSE(CONTROL!$C$21, $C$9, 100%, $E$9)</f>
        <v>10.726000000000001</v>
      </c>
      <c r="T2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57">
        <f>(1000*CHOOSE(CONTROL!$C$42, 695, 695)*CHOOSE(CONTROL!$C$42, 0.5599, 0.5599)*CHOOSE(CONTROL!$C$42, 31, 31))/1000000</f>
        <v>12.063045499999998</v>
      </c>
      <c r="V271" s="57">
        <f>(1000*CHOOSE(CONTROL!$C$42, 500, 500)*CHOOSE(CONTROL!$C$42, 0.275, 0.275)*CHOOSE(CONTROL!$C$42, 31, 31))/1000000</f>
        <v>4.2625000000000002</v>
      </c>
      <c r="W271" s="57">
        <f>(1000*CHOOSE(CONTROL!$C$42, 0.1146, 0.1146)*CHOOSE(CONTROL!$C$42, 121.5, 121.5)*CHOOSE(CONTROL!$C$42, 31, 31))/1000000</f>
        <v>0.43164089999999994</v>
      </c>
      <c r="X271" s="57">
        <f>(31*0.1790888*245000/1000000)+(31*0.2374*100000/1000000)</f>
        <v>2.0961194359999999</v>
      </c>
      <c r="Y271" s="57"/>
      <c r="Z271" s="10"/>
      <c r="AA271" s="56"/>
      <c r="AB271" s="50">
        <f>(B271*194.205+C271*267.466+D271*133.845+E271*53.484+F271*40+G271*185+H271*0+I271*100+J271*300)/(194.205+267.466+133.845+53.484+0+40+185+100+300)</f>
        <v>11.074506726530611</v>
      </c>
      <c r="AC271" s="45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11.002146762589927</v>
      </c>
    </row>
    <row r="272" spans="1:29" ht="15.75" x14ac:dyDescent="0.25">
      <c r="A272" s="16">
        <v>49157</v>
      </c>
      <c r="B272" s="10">
        <f>CHOOSE(CONTROL!$C$42, 10.504, 10.504) * CHOOSE(CONTROL!$C$21, $C$9, 100%, $E$9)</f>
        <v>10.504</v>
      </c>
      <c r="C272" s="10">
        <f>CHOOSE(CONTROL!$C$42, 10.512, 10.512) * CHOOSE(CONTROL!$C$21, $C$9, 100%, $E$9)</f>
        <v>10.512</v>
      </c>
      <c r="D272" s="10">
        <f>CHOOSE(CONTROL!$C$42, 10.7147, 10.7147) * CHOOSE(CONTROL!$C$21, $C$9, 100%, $E$9)</f>
        <v>10.714700000000001</v>
      </c>
      <c r="E272" s="10">
        <f>CHOOSE(CONTROL!$C$42, 10.7458, 10.7458) * CHOOSE(CONTROL!$C$21, $C$9, 100%, $E$9)</f>
        <v>10.745799999999999</v>
      </c>
      <c r="F272" s="10">
        <f>CHOOSE(CONTROL!$C$42, 10.481, 10.481)*CHOOSE(CONTROL!$C$21, $C$9, 100%, $E$9)</f>
        <v>10.481</v>
      </c>
      <c r="G272" s="10">
        <f>CHOOSE(CONTROL!$C$42, 10.4963, 10.4963)*CHOOSE(CONTROL!$C$21, $C$9, 100%, $E$9)</f>
        <v>10.4963</v>
      </c>
      <c r="H272" s="10">
        <f>CHOOSE(CONTROL!$C$42, 10.7345, 10.7345) * CHOOSE(CONTROL!$C$21, $C$9, 100%, $E$9)</f>
        <v>10.734500000000001</v>
      </c>
      <c r="I272" s="10">
        <f>CHOOSE(CONTROL!$C$42, 10.5041, 10.5041)* CHOOSE(CONTROL!$C$21, $C$9, 100%, $E$9)</f>
        <v>10.504099999999999</v>
      </c>
      <c r="J272" s="10">
        <f>CHOOSE(CONTROL!$C$42, 10.474, 10.474)* CHOOSE(CONTROL!$C$21, $C$9, 100%, $E$9)</f>
        <v>10.474</v>
      </c>
      <c r="K272" s="53">
        <f>CHOOSE(CONTROL!$C$42, 10.5002, 10.5002) * CHOOSE(CONTROL!$C$21, $C$9, 100%, $E$9)</f>
        <v>10.5002</v>
      </c>
      <c r="L272" s="10">
        <f>CHOOSE(CONTROL!$C$42, 11.3215, 11.3215) * CHOOSE(CONTROL!$C$21, $C$9, 100%, $E$9)</f>
        <v>11.3215</v>
      </c>
      <c r="M272" s="10">
        <f>CHOOSE(CONTROL!$C$42, 10.3821, 10.3821) * CHOOSE(CONTROL!$C$21, $C$9, 100%, $E$9)</f>
        <v>10.382099999999999</v>
      </c>
      <c r="N272" s="10">
        <f>CHOOSE(CONTROL!$C$42, 10.3973, 10.3973) * CHOOSE(CONTROL!$C$21, $C$9, 100%, $E$9)</f>
        <v>10.3973</v>
      </c>
      <c r="O272" s="10">
        <f>CHOOSE(CONTROL!$C$42, 10.64, 10.64) * CHOOSE(CONTROL!$C$21, $C$9, 100%, $E$9)</f>
        <v>10.64</v>
      </c>
      <c r="P272" s="10">
        <f>CHOOSE(CONTROL!$C$42, 10.4119, 10.4119) * CHOOSE(CONTROL!$C$21, $C$9, 100%, $E$9)</f>
        <v>10.411899999999999</v>
      </c>
      <c r="Q272" s="10">
        <f>CHOOSE(CONTROL!$C$42, 11.2353, 11.2353) * CHOOSE(CONTROL!$C$21, $C$9, 100%, $E$9)</f>
        <v>11.235300000000001</v>
      </c>
      <c r="R272" s="10">
        <f>CHOOSE(CONTROL!$C$42, 11.8503, 11.8503) * CHOOSE(CONTROL!$C$21, $C$9, 100%, $E$9)</f>
        <v>11.850300000000001</v>
      </c>
      <c r="S272" s="10">
        <f>CHOOSE(CONTROL!$C$42, 10.1962, 10.1962) * CHOOSE(CONTROL!$C$21, $C$9, 100%, $E$9)</f>
        <v>10.196199999999999</v>
      </c>
      <c r="T2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57">
        <f>(1000*CHOOSE(CONTROL!$C$42, 695, 695)*CHOOSE(CONTROL!$C$42, 0.5599, 0.5599)*CHOOSE(CONTROL!$C$42, 31, 31))/1000000</f>
        <v>12.063045499999998</v>
      </c>
      <c r="V272" s="57">
        <f>(1000*CHOOSE(CONTROL!$C$42, 500, 500)*CHOOSE(CONTROL!$C$42, 0.275, 0.275)*CHOOSE(CONTROL!$C$42, 31, 31))/1000000</f>
        <v>4.2625000000000002</v>
      </c>
      <c r="W272" s="57">
        <f>(1000*CHOOSE(CONTROL!$C$42, 0.1146, 0.1146)*CHOOSE(CONTROL!$C$42, 121.5, 121.5)*CHOOSE(CONTROL!$C$42, 31, 31))/1000000</f>
        <v>0.43164089999999994</v>
      </c>
      <c r="X272" s="57">
        <f>(31*0.1790888*245000/1000000)+(31*0.2374*100000/1000000)</f>
        <v>2.0961194359999999</v>
      </c>
      <c r="Y272" s="57"/>
      <c r="Z272" s="10"/>
      <c r="AA272" s="56"/>
      <c r="AB272" s="50">
        <f>(B272*194.205+C272*267.466+D272*133.845+E272*53.484+F272*40+G272*185+H272*0+I272*100+J272*300)/(194.205+267.466+133.845+53.484+0+40+185+100+300)</f>
        <v>10.529069702276296</v>
      </c>
      <c r="AC272" s="45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10.462247482014389</v>
      </c>
    </row>
    <row r="273" spans="1:29" ht="15.75" x14ac:dyDescent="0.25">
      <c r="A273" s="16">
        <v>49188</v>
      </c>
      <c r="B273" s="10">
        <f>CHOOSE(CONTROL!$C$42, 9.8371, 9.8371) * CHOOSE(CONTROL!$C$21, $C$9, 100%, $E$9)</f>
        <v>9.8370999999999995</v>
      </c>
      <c r="C273" s="10">
        <f>CHOOSE(CONTROL!$C$42, 9.845, 9.845) * CHOOSE(CONTROL!$C$21, $C$9, 100%, $E$9)</f>
        <v>9.8450000000000006</v>
      </c>
      <c r="D273" s="10">
        <f>CHOOSE(CONTROL!$C$42, 10.0478, 10.0478) * CHOOSE(CONTROL!$C$21, $C$9, 100%, $E$9)</f>
        <v>10.047800000000001</v>
      </c>
      <c r="E273" s="10">
        <f>CHOOSE(CONTROL!$C$42, 10.0789, 10.0789) * CHOOSE(CONTROL!$C$21, $C$9, 100%, $E$9)</f>
        <v>10.078900000000001</v>
      </c>
      <c r="F273" s="10">
        <f>CHOOSE(CONTROL!$C$42, 9.8139, 9.8139)*CHOOSE(CONTROL!$C$21, $C$9, 100%, $E$9)</f>
        <v>9.8139000000000003</v>
      </c>
      <c r="G273" s="10">
        <f>CHOOSE(CONTROL!$C$42, 9.8292, 9.8292)*CHOOSE(CONTROL!$C$21, $C$9, 100%, $E$9)</f>
        <v>9.8292000000000002</v>
      </c>
      <c r="H273" s="10">
        <f>CHOOSE(CONTROL!$C$42, 10.0675, 10.0675) * CHOOSE(CONTROL!$C$21, $C$9, 100%, $E$9)</f>
        <v>10.067500000000001</v>
      </c>
      <c r="I273" s="10">
        <f>CHOOSE(CONTROL!$C$42, 9.8372, 9.8372)* CHOOSE(CONTROL!$C$21, $C$9, 100%, $E$9)</f>
        <v>9.8371999999999993</v>
      </c>
      <c r="J273" s="10">
        <f>CHOOSE(CONTROL!$C$42, 9.8069, 9.8069)* CHOOSE(CONTROL!$C$21, $C$9, 100%, $E$9)</f>
        <v>9.8069000000000006</v>
      </c>
      <c r="K273" s="53">
        <f>CHOOSE(CONTROL!$C$42, 9.8333, 9.8333) * CHOOSE(CONTROL!$C$21, $C$9, 100%, $E$9)</f>
        <v>9.8332999999999995</v>
      </c>
      <c r="L273" s="10">
        <f>CHOOSE(CONTROL!$C$42, 10.6545, 10.6545) * CHOOSE(CONTROL!$C$21, $C$9, 100%, $E$9)</f>
        <v>10.654500000000001</v>
      </c>
      <c r="M273" s="10">
        <f>CHOOSE(CONTROL!$C$42, 9.7218, 9.7218) * CHOOSE(CONTROL!$C$21, $C$9, 100%, $E$9)</f>
        <v>9.7218</v>
      </c>
      <c r="N273" s="10">
        <f>CHOOSE(CONTROL!$C$42, 9.7369, 9.7369) * CHOOSE(CONTROL!$C$21, $C$9, 100%, $E$9)</f>
        <v>9.7369000000000003</v>
      </c>
      <c r="O273" s="10">
        <f>CHOOSE(CONTROL!$C$42, 9.9798, 9.9798) * CHOOSE(CONTROL!$C$21, $C$9, 100%, $E$9)</f>
        <v>9.9797999999999991</v>
      </c>
      <c r="P273" s="10">
        <f>CHOOSE(CONTROL!$C$42, 9.7518, 9.7518) * CHOOSE(CONTROL!$C$21, $C$9, 100%, $E$9)</f>
        <v>9.7517999999999994</v>
      </c>
      <c r="Q273" s="10">
        <f>CHOOSE(CONTROL!$C$42, 10.5751, 10.5751) * CHOOSE(CONTROL!$C$21, $C$9, 100%, $E$9)</f>
        <v>10.575100000000001</v>
      </c>
      <c r="R273" s="10">
        <f>CHOOSE(CONTROL!$C$42, 11.1885, 11.1885) * CHOOSE(CONTROL!$C$21, $C$9, 100%, $E$9)</f>
        <v>11.188499999999999</v>
      </c>
      <c r="S273" s="10">
        <f>CHOOSE(CONTROL!$C$42, 9.5486, 9.5486) * CHOOSE(CONTROL!$C$21, $C$9, 100%, $E$9)</f>
        <v>9.5486000000000004</v>
      </c>
      <c r="T2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57">
        <f>(1000*CHOOSE(CONTROL!$C$42, 695, 695)*CHOOSE(CONTROL!$C$42, 0.5599, 0.5599)*CHOOSE(CONTROL!$C$42, 30, 30))/1000000</f>
        <v>11.673914999999997</v>
      </c>
      <c r="V273" s="57">
        <f>(1000*CHOOSE(CONTROL!$C$42, 500, 500)*CHOOSE(CONTROL!$C$42, 0.275, 0.275)*CHOOSE(CONTROL!$C$42, 30, 30))/1000000</f>
        <v>4.125</v>
      </c>
      <c r="W273" s="57">
        <f>(1000*CHOOSE(CONTROL!$C$42, 0.1146, 0.1146)*CHOOSE(CONTROL!$C$42, 121.5, 121.5)*CHOOSE(CONTROL!$C$42, 30, 30))/1000000</f>
        <v>0.417717</v>
      </c>
      <c r="X273" s="57">
        <f>(30*0.1790888*245000/1000000)+(30*0.2374*100000/1000000)</f>
        <v>2.0285026799999999</v>
      </c>
      <c r="Y273" s="57"/>
      <c r="Z273" s="10"/>
      <c r="AA273" s="56"/>
      <c r="AB273" s="50">
        <f>(B273*194.205+C273*267.466+D273*133.845+E273*53.484+F273*40+G273*185+H273*0+I273*100+J273*300)/(194.205+267.466+133.845+53.484+0+40+185+100+300)</f>
        <v>9.8620662905023551</v>
      </c>
      <c r="AC273" s="45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9.8019812949640297</v>
      </c>
    </row>
    <row r="274" spans="1:29" ht="15.75" x14ac:dyDescent="0.25">
      <c r="A274" s="16">
        <v>49218</v>
      </c>
      <c r="B274" s="10">
        <f>CHOOSE(CONTROL!$C$42, 9.6357, 9.6357) * CHOOSE(CONTROL!$C$21, $C$9, 100%, $E$9)</f>
        <v>9.6356999999999999</v>
      </c>
      <c r="C274" s="10">
        <f>CHOOSE(CONTROL!$C$42, 9.641, 9.641) * CHOOSE(CONTROL!$C$21, $C$9, 100%, $E$9)</f>
        <v>9.641</v>
      </c>
      <c r="D274" s="10">
        <f>CHOOSE(CONTROL!$C$42, 9.8487, 9.8487) * CHOOSE(CONTROL!$C$21, $C$9, 100%, $E$9)</f>
        <v>9.8486999999999991</v>
      </c>
      <c r="E274" s="10">
        <f>CHOOSE(CONTROL!$C$42, 9.8774, 9.8774) * CHOOSE(CONTROL!$C$21, $C$9, 100%, $E$9)</f>
        <v>9.8773999999999997</v>
      </c>
      <c r="F274" s="10">
        <f>CHOOSE(CONTROL!$C$42, 9.6145, 9.6145)*CHOOSE(CONTROL!$C$21, $C$9, 100%, $E$9)</f>
        <v>9.6144999999999996</v>
      </c>
      <c r="G274" s="10">
        <f>CHOOSE(CONTROL!$C$42, 9.6294, 9.6294)*CHOOSE(CONTROL!$C$21, $C$9, 100%, $E$9)</f>
        <v>9.6294000000000004</v>
      </c>
      <c r="H274" s="10">
        <f>CHOOSE(CONTROL!$C$42, 9.8679, 9.8679) * CHOOSE(CONTROL!$C$21, $C$9, 100%, $E$9)</f>
        <v>9.8679000000000006</v>
      </c>
      <c r="I274" s="10">
        <f>CHOOSE(CONTROL!$C$42, 9.6375, 9.6375)* CHOOSE(CONTROL!$C$21, $C$9, 100%, $E$9)</f>
        <v>9.6374999999999993</v>
      </c>
      <c r="J274" s="10">
        <f>CHOOSE(CONTROL!$C$42, 9.6075, 9.6075)* CHOOSE(CONTROL!$C$21, $C$9, 100%, $E$9)</f>
        <v>9.6074999999999999</v>
      </c>
      <c r="K274" s="53">
        <f>CHOOSE(CONTROL!$C$42, 9.6336, 9.6336) * CHOOSE(CONTROL!$C$21, $C$9, 100%, $E$9)</f>
        <v>9.6335999999999995</v>
      </c>
      <c r="L274" s="10">
        <f>CHOOSE(CONTROL!$C$42, 10.4549, 10.4549) * CHOOSE(CONTROL!$C$21, $C$9, 100%, $E$9)</f>
        <v>10.4549</v>
      </c>
      <c r="M274" s="10">
        <f>CHOOSE(CONTROL!$C$42, 9.5243, 9.5243) * CHOOSE(CONTROL!$C$21, $C$9, 100%, $E$9)</f>
        <v>9.5243000000000002</v>
      </c>
      <c r="N274" s="10">
        <f>CHOOSE(CONTROL!$C$42, 9.5391, 9.5391) * CHOOSE(CONTROL!$C$21, $C$9, 100%, $E$9)</f>
        <v>9.5390999999999995</v>
      </c>
      <c r="O274" s="10">
        <f>CHOOSE(CONTROL!$C$42, 9.7822, 9.7822) * CHOOSE(CONTROL!$C$21, $C$9, 100%, $E$9)</f>
        <v>9.7821999999999996</v>
      </c>
      <c r="P274" s="10">
        <f>CHOOSE(CONTROL!$C$42, 9.5541, 9.5541) * CHOOSE(CONTROL!$C$21, $C$9, 100%, $E$9)</f>
        <v>9.5541</v>
      </c>
      <c r="Q274" s="10">
        <f>CHOOSE(CONTROL!$C$42, 10.3775, 10.3775) * CHOOSE(CONTROL!$C$21, $C$9, 100%, $E$9)</f>
        <v>10.3775</v>
      </c>
      <c r="R274" s="10">
        <f>CHOOSE(CONTROL!$C$42, 10.9904, 10.9904) * CHOOSE(CONTROL!$C$21, $C$9, 100%, $E$9)</f>
        <v>10.990399999999999</v>
      </c>
      <c r="S274" s="10">
        <f>CHOOSE(CONTROL!$C$42, 9.3547, 9.3547) * CHOOSE(CONTROL!$C$21, $C$9, 100%, $E$9)</f>
        <v>9.3546999999999993</v>
      </c>
      <c r="T2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57">
        <f>(1000*CHOOSE(CONTROL!$C$42, 695, 695)*CHOOSE(CONTROL!$C$42, 0.5599, 0.5599)*CHOOSE(CONTROL!$C$42, 31, 31))/1000000</f>
        <v>12.063045499999998</v>
      </c>
      <c r="V274" s="57">
        <f>(1000*CHOOSE(CONTROL!$C$42, 500, 500)*CHOOSE(CONTROL!$C$42, 0.275, 0.275)*CHOOSE(CONTROL!$C$42, 31, 31))/1000000</f>
        <v>4.2625000000000002</v>
      </c>
      <c r="W274" s="57">
        <f>(1000*CHOOSE(CONTROL!$C$42, 0.1146, 0.1146)*CHOOSE(CONTROL!$C$42, 121.5, 121.5)*CHOOSE(CONTROL!$C$42, 31, 31))/1000000</f>
        <v>0.43164089999999994</v>
      </c>
      <c r="X274" s="57">
        <f>(31*0.1790888*245000/1000000)+(31*0.2374*100000/1000000)</f>
        <v>2.0961194359999999</v>
      </c>
      <c r="Y274" s="57"/>
      <c r="Z274" s="10"/>
      <c r="AA274" s="56"/>
      <c r="AB274" s="50">
        <f>(B274*131.881+C274*277.167+D274*79.08+E274*125.872+F274*40+G274*185+H274*0+I274*100+J274*300)/(131.881+277.167+79.08+125.872+0+40+185+100+300)</f>
        <v>9.6667272699757856</v>
      </c>
      <c r="AC274" s="45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9.604355395683454</v>
      </c>
    </row>
    <row r="275" spans="1:29" ht="15.75" x14ac:dyDescent="0.25">
      <c r="A275" s="16">
        <v>49249</v>
      </c>
      <c r="B275" s="10">
        <f>CHOOSE(CONTROL!$C$42, 9.8891, 9.8891) * CHOOSE(CONTROL!$C$21, $C$9, 100%, $E$9)</f>
        <v>9.8890999999999991</v>
      </c>
      <c r="C275" s="10">
        <f>CHOOSE(CONTROL!$C$42, 9.894, 9.894) * CHOOSE(CONTROL!$C$21, $C$9, 100%, $E$9)</f>
        <v>9.8940000000000001</v>
      </c>
      <c r="D275" s="10">
        <f>CHOOSE(CONTROL!$C$42, 9.9545, 9.9545) * CHOOSE(CONTROL!$C$21, $C$9, 100%, $E$9)</f>
        <v>9.9544999999999995</v>
      </c>
      <c r="E275" s="10">
        <f>CHOOSE(CONTROL!$C$42, 9.9883, 9.9883) * CHOOSE(CONTROL!$C$21, $C$9, 100%, $E$9)</f>
        <v>9.9883000000000006</v>
      </c>
      <c r="F275" s="10">
        <f>CHOOSE(CONTROL!$C$42, 9.8847, 9.8847)*CHOOSE(CONTROL!$C$21, $C$9, 100%, $E$9)</f>
        <v>9.8847000000000005</v>
      </c>
      <c r="G275" s="10">
        <f>CHOOSE(CONTROL!$C$42, 9.8999, 9.8999)*CHOOSE(CONTROL!$C$21, $C$9, 100%, $E$9)</f>
        <v>9.8999000000000006</v>
      </c>
      <c r="H275" s="10">
        <f>CHOOSE(CONTROL!$C$42, 9.9775, 9.9775) * CHOOSE(CONTROL!$C$21, $C$9, 100%, $E$9)</f>
        <v>9.9774999999999991</v>
      </c>
      <c r="I275" s="10">
        <f>CHOOSE(CONTROL!$C$42, 9.9016, 9.9016)* CHOOSE(CONTROL!$C$21, $C$9, 100%, $E$9)</f>
        <v>9.9016000000000002</v>
      </c>
      <c r="J275" s="10">
        <f>CHOOSE(CONTROL!$C$42, 9.8777, 9.8777)* CHOOSE(CONTROL!$C$21, $C$9, 100%, $E$9)</f>
        <v>9.8777000000000008</v>
      </c>
      <c r="K275" s="53">
        <f>CHOOSE(CONTROL!$C$42, 9.8977, 9.8977) * CHOOSE(CONTROL!$C$21, $C$9, 100%, $E$9)</f>
        <v>9.8977000000000004</v>
      </c>
      <c r="L275" s="10">
        <f>CHOOSE(CONTROL!$C$42, 10.5645, 10.5645) * CHOOSE(CONTROL!$C$21, $C$9, 100%, $E$9)</f>
        <v>10.564500000000001</v>
      </c>
      <c r="M275" s="10">
        <f>CHOOSE(CONTROL!$C$42, 9.7919, 9.7919) * CHOOSE(CONTROL!$C$21, $C$9, 100%, $E$9)</f>
        <v>9.7919</v>
      </c>
      <c r="N275" s="10">
        <f>CHOOSE(CONTROL!$C$42, 9.8069, 9.8069) * CHOOSE(CONTROL!$C$21, $C$9, 100%, $E$9)</f>
        <v>9.8069000000000006</v>
      </c>
      <c r="O275" s="10">
        <f>CHOOSE(CONTROL!$C$42, 9.8906, 9.8906) * CHOOSE(CONTROL!$C$21, $C$9, 100%, $E$9)</f>
        <v>9.8905999999999992</v>
      </c>
      <c r="P275" s="10">
        <f>CHOOSE(CONTROL!$C$42, 9.8155, 9.8155) * CHOOSE(CONTROL!$C$21, $C$9, 100%, $E$9)</f>
        <v>9.8155000000000001</v>
      </c>
      <c r="Q275" s="10">
        <f>CHOOSE(CONTROL!$C$42, 10.4859, 10.4859) * CHOOSE(CONTROL!$C$21, $C$9, 100%, $E$9)</f>
        <v>10.485900000000001</v>
      </c>
      <c r="R275" s="10">
        <f>CHOOSE(CONTROL!$C$42, 11.0992, 11.0992) * CHOOSE(CONTROL!$C$21, $C$9, 100%, $E$9)</f>
        <v>11.0992</v>
      </c>
      <c r="S275" s="10">
        <f>CHOOSE(CONTROL!$C$42, 9.6012, 9.6012) * CHOOSE(CONTROL!$C$21, $C$9, 100%, $E$9)</f>
        <v>9.6012000000000004</v>
      </c>
      <c r="T2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57">
        <f>(1000*CHOOSE(CONTROL!$C$42, 695, 695)*CHOOSE(CONTROL!$C$42, 0.5599, 0.5599)*CHOOSE(CONTROL!$C$42, 30, 30))/1000000</f>
        <v>11.673914999999997</v>
      </c>
      <c r="V275" s="57">
        <f>(1000*CHOOSE(CONTROL!$C$42, 500, 500)*CHOOSE(CONTROL!$C$42, 0.275, 0.275)*CHOOSE(CONTROL!$C$42, 30, 30))/1000000</f>
        <v>4.125</v>
      </c>
      <c r="W275" s="57">
        <f>(1000*CHOOSE(CONTROL!$C$42, 0.1146, 0.1146)*CHOOSE(CONTROL!$C$42, 121.5, 121.5)*CHOOSE(CONTROL!$C$42, 30, 30))/1000000</f>
        <v>0.417717</v>
      </c>
      <c r="X275" s="57">
        <f>(30*0.1790888*100000/1000000)+(30*0.2374*100000/1000000)</f>
        <v>1.2494664</v>
      </c>
      <c r="Y275" s="57"/>
      <c r="Z275" s="10"/>
      <c r="AA275" s="56"/>
      <c r="AB275" s="50">
        <f>(B275*122.58+C275*297.941+D275*89.177+E275*40.302+F275*40+G275*160+H275*0+I275*100+J275*300)/(122.58+297.941+89.177+40.302+0+40+160+100+300)</f>
        <v>9.8983800392173915</v>
      </c>
      <c r="AC275" s="45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9.8408935251798546</v>
      </c>
    </row>
    <row r="276" spans="1:29" ht="15.75" x14ac:dyDescent="0.25">
      <c r="A276" s="16">
        <v>49279</v>
      </c>
      <c r="B276" s="10">
        <f>CHOOSE(CONTROL!$C$42, 10.5631, 10.5631) * CHOOSE(CONTROL!$C$21, $C$9, 100%, $E$9)</f>
        <v>10.5631</v>
      </c>
      <c r="C276" s="10">
        <f>CHOOSE(CONTROL!$C$42, 10.5681, 10.5681) * CHOOSE(CONTROL!$C$21, $C$9, 100%, $E$9)</f>
        <v>10.568099999999999</v>
      </c>
      <c r="D276" s="10">
        <f>CHOOSE(CONTROL!$C$42, 10.6286, 10.6286) * CHOOSE(CONTROL!$C$21, $C$9, 100%, $E$9)</f>
        <v>10.6286</v>
      </c>
      <c r="E276" s="10">
        <f>CHOOSE(CONTROL!$C$42, 10.6623, 10.6623) * CHOOSE(CONTROL!$C$21, $C$9, 100%, $E$9)</f>
        <v>10.6623</v>
      </c>
      <c r="F276" s="10">
        <f>CHOOSE(CONTROL!$C$42, 10.5606, 10.5606)*CHOOSE(CONTROL!$C$21, $C$9, 100%, $E$9)</f>
        <v>10.560600000000001</v>
      </c>
      <c r="G276" s="10">
        <f>CHOOSE(CONTROL!$C$42, 10.5763, 10.5763)*CHOOSE(CONTROL!$C$21, $C$9, 100%, $E$9)</f>
        <v>10.5763</v>
      </c>
      <c r="H276" s="10">
        <f>CHOOSE(CONTROL!$C$42, 10.6515, 10.6515) * CHOOSE(CONTROL!$C$21, $C$9, 100%, $E$9)</f>
        <v>10.6515</v>
      </c>
      <c r="I276" s="10">
        <f>CHOOSE(CONTROL!$C$42, 10.5756, 10.5756)* CHOOSE(CONTROL!$C$21, $C$9, 100%, $E$9)</f>
        <v>10.5756</v>
      </c>
      <c r="J276" s="10">
        <f>CHOOSE(CONTROL!$C$42, 10.5536, 10.5536)* CHOOSE(CONTROL!$C$21, $C$9, 100%, $E$9)</f>
        <v>10.553599999999999</v>
      </c>
      <c r="K276" s="53">
        <f>CHOOSE(CONTROL!$C$42, 10.5717, 10.5717) * CHOOSE(CONTROL!$C$21, $C$9, 100%, $E$9)</f>
        <v>10.5717</v>
      </c>
      <c r="L276" s="10">
        <f>CHOOSE(CONTROL!$C$42, 11.2385, 11.2385) * CHOOSE(CONTROL!$C$21, $C$9, 100%, $E$9)</f>
        <v>11.2385</v>
      </c>
      <c r="M276" s="10">
        <f>CHOOSE(CONTROL!$C$42, 10.4609, 10.4609) * CHOOSE(CONTROL!$C$21, $C$9, 100%, $E$9)</f>
        <v>10.460900000000001</v>
      </c>
      <c r="N276" s="10">
        <f>CHOOSE(CONTROL!$C$42, 10.4764, 10.4764) * CHOOSE(CONTROL!$C$21, $C$9, 100%, $E$9)</f>
        <v>10.4764</v>
      </c>
      <c r="O276" s="10">
        <f>CHOOSE(CONTROL!$C$42, 10.5579, 10.5579) * CHOOSE(CONTROL!$C$21, $C$9, 100%, $E$9)</f>
        <v>10.5579</v>
      </c>
      <c r="P276" s="10">
        <f>CHOOSE(CONTROL!$C$42, 10.4828, 10.4828) * CHOOSE(CONTROL!$C$21, $C$9, 100%, $E$9)</f>
        <v>10.482799999999999</v>
      </c>
      <c r="Q276" s="10">
        <f>CHOOSE(CONTROL!$C$42, 11.1532, 11.1532) * CHOOSE(CONTROL!$C$21, $C$9, 100%, $E$9)</f>
        <v>11.1532</v>
      </c>
      <c r="R276" s="10">
        <f>CHOOSE(CONTROL!$C$42, 11.7681, 11.7681) * CHOOSE(CONTROL!$C$21, $C$9, 100%, $E$9)</f>
        <v>11.7681</v>
      </c>
      <c r="S276" s="10">
        <f>CHOOSE(CONTROL!$C$42, 10.2557, 10.2557) * CHOOSE(CONTROL!$C$21, $C$9, 100%, $E$9)</f>
        <v>10.255699999999999</v>
      </c>
      <c r="T2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57">
        <f>(1000*CHOOSE(CONTROL!$C$42, 695, 695)*CHOOSE(CONTROL!$C$42, 0.5599, 0.5599)*CHOOSE(CONTROL!$C$42, 31, 31))/1000000</f>
        <v>12.063045499999998</v>
      </c>
      <c r="V276" s="57">
        <f>(1000*CHOOSE(CONTROL!$C$42, 500, 500)*CHOOSE(CONTROL!$C$42, 0.275, 0.275)*CHOOSE(CONTROL!$C$42, 31, 31))/1000000</f>
        <v>4.2625000000000002</v>
      </c>
      <c r="W276" s="57">
        <f>(1000*CHOOSE(CONTROL!$C$42, 0.1146, 0.1146)*CHOOSE(CONTROL!$C$42, 121.5, 121.5)*CHOOSE(CONTROL!$C$42, 31, 31))/1000000</f>
        <v>0.43164089999999994</v>
      </c>
      <c r="X276" s="57">
        <f>(31*0.1790888*100000/1000000)+(31*0.2374*100000/1000000)</f>
        <v>1.2911152800000001</v>
      </c>
      <c r="Y276" s="57"/>
      <c r="Z276" s="10"/>
      <c r="AA276" s="56"/>
      <c r="AB276" s="50">
        <f>(B276*122.58+C276*297.941+D276*89.177+E276*40.302+F276*40+G276*160+H276*0+I276*100+J276*300)/(122.58+297.941+89.177+40.302+0+40+160+100+300)</f>
        <v>10.573309353826087</v>
      </c>
      <c r="AC276" s="45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10.508907194244603</v>
      </c>
    </row>
    <row r="277" spans="1:29" ht="15.75" x14ac:dyDescent="0.25">
      <c r="A277" s="16">
        <v>49310</v>
      </c>
      <c r="B277" s="10">
        <f>CHOOSE(CONTROL!$C$42, 11.4284, 11.4284) * CHOOSE(CONTROL!$C$21, $C$9, 100%, $E$9)</f>
        <v>11.4284</v>
      </c>
      <c r="C277" s="10">
        <f>CHOOSE(CONTROL!$C$42, 11.4333, 11.4333) * CHOOSE(CONTROL!$C$21, $C$9, 100%, $E$9)</f>
        <v>11.433299999999999</v>
      </c>
      <c r="D277" s="10">
        <f>CHOOSE(CONTROL!$C$42, 11.4904, 11.4904) * CHOOSE(CONTROL!$C$21, $C$9, 100%, $E$9)</f>
        <v>11.490399999999999</v>
      </c>
      <c r="E277" s="10">
        <f>CHOOSE(CONTROL!$C$42, 11.5242, 11.5242) * CHOOSE(CONTROL!$C$21, $C$9, 100%, $E$9)</f>
        <v>11.5242</v>
      </c>
      <c r="F277" s="10">
        <f>CHOOSE(CONTROL!$C$42, 11.4262, 11.4262)*CHOOSE(CONTROL!$C$21, $C$9, 100%, $E$9)</f>
        <v>11.4262</v>
      </c>
      <c r="G277" s="10">
        <f>CHOOSE(CONTROL!$C$42, 11.4408, 11.4408)*CHOOSE(CONTROL!$C$21, $C$9, 100%, $E$9)</f>
        <v>11.440799999999999</v>
      </c>
      <c r="H277" s="10">
        <f>CHOOSE(CONTROL!$C$42, 11.5134, 11.5134) * CHOOSE(CONTROL!$C$21, $C$9, 100%, $E$9)</f>
        <v>11.513400000000001</v>
      </c>
      <c r="I277" s="10">
        <f>CHOOSE(CONTROL!$C$42, 11.4392, 11.4392)* CHOOSE(CONTROL!$C$21, $C$9, 100%, $E$9)</f>
        <v>11.4392</v>
      </c>
      <c r="J277" s="10">
        <f>CHOOSE(CONTROL!$C$42, 11.4192, 11.4192)* CHOOSE(CONTROL!$C$21, $C$9, 100%, $E$9)</f>
        <v>11.4192</v>
      </c>
      <c r="K277" s="53">
        <f>CHOOSE(CONTROL!$C$42, 11.4353, 11.4353) * CHOOSE(CONTROL!$C$21, $C$9, 100%, $E$9)</f>
        <v>11.4353</v>
      </c>
      <c r="L277" s="10">
        <f>CHOOSE(CONTROL!$C$42, 12.1004, 12.1004) * CHOOSE(CONTROL!$C$21, $C$9, 100%, $E$9)</f>
        <v>12.1004</v>
      </c>
      <c r="M277" s="10">
        <f>CHOOSE(CONTROL!$C$42, 11.3178, 11.3178) * CHOOSE(CONTROL!$C$21, $C$9, 100%, $E$9)</f>
        <v>11.3178</v>
      </c>
      <c r="N277" s="10">
        <f>CHOOSE(CONTROL!$C$42, 11.3323, 11.3323) * CHOOSE(CONTROL!$C$21, $C$9, 100%, $E$9)</f>
        <v>11.3323</v>
      </c>
      <c r="O277" s="10">
        <f>CHOOSE(CONTROL!$C$42, 11.411, 11.411) * CHOOSE(CONTROL!$C$21, $C$9, 100%, $E$9)</f>
        <v>11.411</v>
      </c>
      <c r="P277" s="10">
        <f>CHOOSE(CONTROL!$C$42, 11.3376, 11.3376) * CHOOSE(CONTROL!$C$21, $C$9, 100%, $E$9)</f>
        <v>11.3376</v>
      </c>
      <c r="Q277" s="10">
        <f>CHOOSE(CONTROL!$C$42, 12.0063, 12.0063) * CHOOSE(CONTROL!$C$21, $C$9, 100%, $E$9)</f>
        <v>12.0063</v>
      </c>
      <c r="R277" s="10">
        <f>CHOOSE(CONTROL!$C$42, 12.6233, 12.6233) * CHOOSE(CONTROL!$C$21, $C$9, 100%, $E$9)</f>
        <v>12.6233</v>
      </c>
      <c r="S277" s="10">
        <f>CHOOSE(CONTROL!$C$42, 11.096, 11.096) * CHOOSE(CONTROL!$C$21, $C$9, 100%, $E$9)</f>
        <v>11.096</v>
      </c>
      <c r="T2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57">
        <f>(1000*CHOOSE(CONTROL!$C$42, 695, 695)*CHOOSE(CONTROL!$C$42, 0.5599, 0.5599)*CHOOSE(CONTROL!$C$42, 31, 31))/1000000</f>
        <v>12.063045499999998</v>
      </c>
      <c r="V277" s="57">
        <f>(1000*CHOOSE(CONTROL!$C$42, 500, 500)*CHOOSE(CONTROL!$C$42, 0.275, 0.275)*CHOOSE(CONTROL!$C$42, 31, 31))/1000000</f>
        <v>4.2625000000000002</v>
      </c>
      <c r="W277" s="57">
        <f>(1000*CHOOSE(CONTROL!$C$42, 0.1146, 0.1146)*CHOOSE(CONTROL!$C$42, 121.5, 121.5)*CHOOSE(CONTROL!$C$42, 31, 31))/1000000</f>
        <v>0.43164089999999994</v>
      </c>
      <c r="X277" s="57">
        <f>(31*0.1790888*100000/1000000)+(31*0.2374*100000/1000000)</f>
        <v>1.2911152800000001</v>
      </c>
      <c r="Y277" s="57"/>
      <c r="Z277" s="10"/>
      <c r="AA277" s="56"/>
      <c r="AB277" s="50">
        <f>(B277*122.58+C277*297.941+D277*89.177+E277*40.302+F277*40+G277*160+H277*0+I277*100+J277*300)/(122.58+297.941+89.177+40.302+0+40+160+100+300)</f>
        <v>11.438022449130434</v>
      </c>
      <c r="AC277" s="45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11.363725179856115</v>
      </c>
    </row>
    <row r="278" spans="1:29" ht="15.75" x14ac:dyDescent="0.25">
      <c r="A278" s="16">
        <v>49341</v>
      </c>
      <c r="B278" s="10">
        <f>CHOOSE(CONTROL!$C$42, 11.6318, 11.6318) * CHOOSE(CONTROL!$C$21, $C$9, 100%, $E$9)</f>
        <v>11.6318</v>
      </c>
      <c r="C278" s="10">
        <f>CHOOSE(CONTROL!$C$42, 11.6367, 11.6367) * CHOOSE(CONTROL!$C$21, $C$9, 100%, $E$9)</f>
        <v>11.636699999999999</v>
      </c>
      <c r="D278" s="10">
        <f>CHOOSE(CONTROL!$C$42, 11.6938, 11.6938) * CHOOSE(CONTROL!$C$21, $C$9, 100%, $E$9)</f>
        <v>11.6938</v>
      </c>
      <c r="E278" s="10">
        <f>CHOOSE(CONTROL!$C$42, 11.7276, 11.7276) * CHOOSE(CONTROL!$C$21, $C$9, 100%, $E$9)</f>
        <v>11.727600000000001</v>
      </c>
      <c r="F278" s="10">
        <f>CHOOSE(CONTROL!$C$42, 11.6297, 11.6297)*CHOOSE(CONTROL!$C$21, $C$9, 100%, $E$9)</f>
        <v>11.6297</v>
      </c>
      <c r="G278" s="10">
        <f>CHOOSE(CONTROL!$C$42, 11.6444, 11.6444)*CHOOSE(CONTROL!$C$21, $C$9, 100%, $E$9)</f>
        <v>11.644399999999999</v>
      </c>
      <c r="H278" s="10">
        <f>CHOOSE(CONTROL!$C$42, 11.7168, 11.7168) * CHOOSE(CONTROL!$C$21, $C$9, 100%, $E$9)</f>
        <v>11.716799999999999</v>
      </c>
      <c r="I278" s="10">
        <f>CHOOSE(CONTROL!$C$42, 11.6426, 11.6426)* CHOOSE(CONTROL!$C$21, $C$9, 100%, $E$9)</f>
        <v>11.6426</v>
      </c>
      <c r="J278" s="10">
        <f>CHOOSE(CONTROL!$C$42, 11.6227, 11.6227)* CHOOSE(CONTROL!$C$21, $C$9, 100%, $E$9)</f>
        <v>11.6227</v>
      </c>
      <c r="K278" s="53">
        <f>CHOOSE(CONTROL!$C$42, 11.6387, 11.6387) * CHOOSE(CONTROL!$C$21, $C$9, 100%, $E$9)</f>
        <v>11.6387</v>
      </c>
      <c r="L278" s="10">
        <f>CHOOSE(CONTROL!$C$42, 12.3038, 12.3038) * CHOOSE(CONTROL!$C$21, $C$9, 100%, $E$9)</f>
        <v>12.303800000000001</v>
      </c>
      <c r="M278" s="10">
        <f>CHOOSE(CONTROL!$C$42, 11.5192, 11.5192) * CHOOSE(CONTROL!$C$21, $C$9, 100%, $E$9)</f>
        <v>11.5192</v>
      </c>
      <c r="N278" s="10">
        <f>CHOOSE(CONTROL!$C$42, 11.5337, 11.5337) * CHOOSE(CONTROL!$C$21, $C$9, 100%, $E$9)</f>
        <v>11.5337</v>
      </c>
      <c r="O278" s="10">
        <f>CHOOSE(CONTROL!$C$42, 11.6123, 11.6123) * CHOOSE(CONTROL!$C$21, $C$9, 100%, $E$9)</f>
        <v>11.612299999999999</v>
      </c>
      <c r="P278" s="10">
        <f>CHOOSE(CONTROL!$C$42, 11.5389, 11.5389) * CHOOSE(CONTROL!$C$21, $C$9, 100%, $E$9)</f>
        <v>11.5389</v>
      </c>
      <c r="Q278" s="10">
        <f>CHOOSE(CONTROL!$C$42, 12.2076, 12.2076) * CHOOSE(CONTROL!$C$21, $C$9, 100%, $E$9)</f>
        <v>12.207599999999999</v>
      </c>
      <c r="R278" s="10">
        <f>CHOOSE(CONTROL!$C$42, 12.8252, 12.8252) * CHOOSE(CONTROL!$C$21, $C$9, 100%, $E$9)</f>
        <v>12.825200000000001</v>
      </c>
      <c r="S278" s="10">
        <f>CHOOSE(CONTROL!$C$42, 11.2935, 11.2935) * CHOOSE(CONTROL!$C$21, $C$9, 100%, $E$9)</f>
        <v>11.2935</v>
      </c>
      <c r="T2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78" s="57">
        <f>(1000*CHOOSE(CONTROL!$C$42, 695, 695)*CHOOSE(CONTROL!$C$42, 0.5599, 0.5599)*CHOOSE(CONTROL!$C$42, 28, 28))/1000000</f>
        <v>10.895653999999999</v>
      </c>
      <c r="V278" s="57">
        <f>(1000*CHOOSE(CONTROL!$C$42, 500, 500)*CHOOSE(CONTROL!$C$42, 0.275, 0.275)*CHOOSE(CONTROL!$C$42, 28, 28))/1000000</f>
        <v>3.85</v>
      </c>
      <c r="W278" s="57">
        <f>(1000*CHOOSE(CONTROL!$C$42, 0.1146, 0.1146)*CHOOSE(CONTROL!$C$42, 121.5, 121.5)*CHOOSE(CONTROL!$C$42, 28, 28))/1000000</f>
        <v>0.38986920000000003</v>
      </c>
      <c r="X278" s="57">
        <f>(28*0.1790888*100000/1000000)+(28*0.2374*100000/1000000)</f>
        <v>1.16616864</v>
      </c>
      <c r="Y278" s="57"/>
      <c r="Z278" s="10"/>
      <c r="AA278" s="56"/>
      <c r="AB278" s="50">
        <f>(B278*122.58+C278*297.941+D278*89.177+E278*40.302+F278*40+G278*160+H278*0+I278*100+J278*300)/(122.58+297.941+89.177+40.302+0+40+160+100+300)</f>
        <v>11.641479840434782</v>
      </c>
      <c r="AC278" s="45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11.565065467625899</v>
      </c>
    </row>
    <row r="279" spans="1:29" ht="15.75" x14ac:dyDescent="0.25">
      <c r="A279" s="16">
        <v>49369</v>
      </c>
      <c r="B279" s="10">
        <f>CHOOSE(CONTROL!$C$42, 11.3016, 11.3016) * CHOOSE(CONTROL!$C$21, $C$9, 100%, $E$9)</f>
        <v>11.301600000000001</v>
      </c>
      <c r="C279" s="10">
        <f>CHOOSE(CONTROL!$C$42, 11.3066, 11.3066) * CHOOSE(CONTROL!$C$21, $C$9, 100%, $E$9)</f>
        <v>11.3066</v>
      </c>
      <c r="D279" s="10">
        <f>CHOOSE(CONTROL!$C$42, 11.3636, 11.3636) * CHOOSE(CONTROL!$C$21, $C$9, 100%, $E$9)</f>
        <v>11.3636</v>
      </c>
      <c r="E279" s="10">
        <f>CHOOSE(CONTROL!$C$42, 11.3974, 11.3974) * CHOOSE(CONTROL!$C$21, $C$9, 100%, $E$9)</f>
        <v>11.397399999999999</v>
      </c>
      <c r="F279" s="10">
        <f>CHOOSE(CONTROL!$C$42, 11.2994, 11.2994)*CHOOSE(CONTROL!$C$21, $C$9, 100%, $E$9)</f>
        <v>11.2994</v>
      </c>
      <c r="G279" s="10">
        <f>CHOOSE(CONTROL!$C$42, 11.314, 11.314)*CHOOSE(CONTROL!$C$21, $C$9, 100%, $E$9)</f>
        <v>11.314</v>
      </c>
      <c r="H279" s="10">
        <f>CHOOSE(CONTROL!$C$42, 11.3866, 11.3866) * CHOOSE(CONTROL!$C$21, $C$9, 100%, $E$9)</f>
        <v>11.3866</v>
      </c>
      <c r="I279" s="10">
        <f>CHOOSE(CONTROL!$C$42, 11.3124, 11.3124)* CHOOSE(CONTROL!$C$21, $C$9, 100%, $E$9)</f>
        <v>11.3124</v>
      </c>
      <c r="J279" s="10">
        <f>CHOOSE(CONTROL!$C$42, 11.2924, 11.2924)* CHOOSE(CONTROL!$C$21, $C$9, 100%, $E$9)</f>
        <v>11.292400000000001</v>
      </c>
      <c r="K279" s="53">
        <f>CHOOSE(CONTROL!$C$42, 11.3085, 11.3085) * CHOOSE(CONTROL!$C$21, $C$9, 100%, $E$9)</f>
        <v>11.3085</v>
      </c>
      <c r="L279" s="10">
        <f>CHOOSE(CONTROL!$C$42, 11.9736, 11.9736) * CHOOSE(CONTROL!$C$21, $C$9, 100%, $E$9)</f>
        <v>11.973599999999999</v>
      </c>
      <c r="M279" s="10">
        <f>CHOOSE(CONTROL!$C$42, 11.1923, 11.1923) * CHOOSE(CONTROL!$C$21, $C$9, 100%, $E$9)</f>
        <v>11.192299999999999</v>
      </c>
      <c r="N279" s="10">
        <f>CHOOSE(CONTROL!$C$42, 11.2068, 11.2068) * CHOOSE(CONTROL!$C$21, $C$9, 100%, $E$9)</f>
        <v>11.206799999999999</v>
      </c>
      <c r="O279" s="10">
        <f>CHOOSE(CONTROL!$C$42, 11.2855, 11.2855) * CHOOSE(CONTROL!$C$21, $C$9, 100%, $E$9)</f>
        <v>11.285500000000001</v>
      </c>
      <c r="P279" s="10">
        <f>CHOOSE(CONTROL!$C$42, 11.2121, 11.2121) * CHOOSE(CONTROL!$C$21, $C$9, 100%, $E$9)</f>
        <v>11.2121</v>
      </c>
      <c r="Q279" s="10">
        <f>CHOOSE(CONTROL!$C$42, 11.8808, 11.8808) * CHOOSE(CONTROL!$C$21, $C$9, 100%, $E$9)</f>
        <v>11.880800000000001</v>
      </c>
      <c r="R279" s="10">
        <f>CHOOSE(CONTROL!$C$42, 12.4975, 12.4975) * CHOOSE(CONTROL!$C$21, $C$9, 100%, $E$9)</f>
        <v>12.4975</v>
      </c>
      <c r="S279" s="10">
        <f>CHOOSE(CONTROL!$C$42, 10.9729, 10.9729) * CHOOSE(CONTROL!$C$21, $C$9, 100%, $E$9)</f>
        <v>10.972899999999999</v>
      </c>
      <c r="T2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57">
        <f>(1000*CHOOSE(CONTROL!$C$42, 695, 695)*CHOOSE(CONTROL!$C$42, 0.5599, 0.5599)*CHOOSE(CONTROL!$C$42, 31, 31))/1000000</f>
        <v>12.063045499999998</v>
      </c>
      <c r="V279" s="57">
        <f>(1000*CHOOSE(CONTROL!$C$42, 500, 500)*CHOOSE(CONTROL!$C$42, 0.275, 0.275)*CHOOSE(CONTROL!$C$42, 31, 31))/1000000</f>
        <v>4.2625000000000002</v>
      </c>
      <c r="W279" s="57">
        <f>(1000*CHOOSE(CONTROL!$C$42, 0.1146, 0.1146)*CHOOSE(CONTROL!$C$42, 121.5, 121.5)*CHOOSE(CONTROL!$C$42, 31, 31))/1000000</f>
        <v>0.43164089999999994</v>
      </c>
      <c r="X279" s="57">
        <f>(31*0.1790888*100000/1000000)+(31*0.2374*100000/1000000)</f>
        <v>1.2911152800000001</v>
      </c>
      <c r="Y279" s="57"/>
      <c r="Z279" s="10"/>
      <c r="AA279" s="56"/>
      <c r="AB279" s="50">
        <f>(B279*122.58+C279*297.941+D279*89.177+E279*40.302+F279*40+G279*160+H279*0+I279*100+J279*300)/(122.58+297.941+89.177+40.302+0+40+160+100+300)</f>
        <v>11.31124835704348</v>
      </c>
      <c r="AC279" s="45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11.238225179856116</v>
      </c>
    </row>
    <row r="280" spans="1:29" ht="15.75" x14ac:dyDescent="0.25">
      <c r="A280" s="16">
        <v>49400</v>
      </c>
      <c r="B280" s="10">
        <f>CHOOSE(CONTROL!$C$42, 11.269, 11.269) * CHOOSE(CONTROL!$C$21, $C$9, 100%, $E$9)</f>
        <v>11.269</v>
      </c>
      <c r="C280" s="10">
        <f>CHOOSE(CONTROL!$C$42, 11.2733, 11.2733) * CHOOSE(CONTROL!$C$21, $C$9, 100%, $E$9)</f>
        <v>11.273300000000001</v>
      </c>
      <c r="D280" s="10">
        <f>CHOOSE(CONTROL!$C$42, 11.4792, 11.4792) * CHOOSE(CONTROL!$C$21, $C$9, 100%, $E$9)</f>
        <v>11.479200000000001</v>
      </c>
      <c r="E280" s="10">
        <f>CHOOSE(CONTROL!$C$42, 11.511, 11.511) * CHOOSE(CONTROL!$C$21, $C$9, 100%, $E$9)</f>
        <v>11.510999999999999</v>
      </c>
      <c r="F280" s="10">
        <f>CHOOSE(CONTROL!$C$42, 11.2457, 11.2457)*CHOOSE(CONTROL!$C$21, $C$9, 100%, $E$9)</f>
        <v>11.245699999999999</v>
      </c>
      <c r="G280" s="10">
        <f>CHOOSE(CONTROL!$C$42, 11.2602, 11.2602)*CHOOSE(CONTROL!$C$21, $C$9, 100%, $E$9)</f>
        <v>11.260199999999999</v>
      </c>
      <c r="H280" s="10">
        <f>CHOOSE(CONTROL!$C$42, 11.5008, 11.5008) * CHOOSE(CONTROL!$C$21, $C$9, 100%, $E$9)</f>
        <v>11.5008</v>
      </c>
      <c r="I280" s="10">
        <f>CHOOSE(CONTROL!$C$42, 11.2704, 11.2704)* CHOOSE(CONTROL!$C$21, $C$9, 100%, $E$9)</f>
        <v>11.2704</v>
      </c>
      <c r="J280" s="10">
        <f>CHOOSE(CONTROL!$C$42, 11.2387, 11.2387)* CHOOSE(CONTROL!$C$21, $C$9, 100%, $E$9)</f>
        <v>11.2387</v>
      </c>
      <c r="K280" s="53">
        <f>CHOOSE(CONTROL!$C$42, 11.2665, 11.2665) * CHOOSE(CONTROL!$C$21, $C$9, 100%, $E$9)</f>
        <v>11.266500000000001</v>
      </c>
      <c r="L280" s="10">
        <f>CHOOSE(CONTROL!$C$42, 12.0878, 12.0878) * CHOOSE(CONTROL!$C$21, $C$9, 100%, $E$9)</f>
        <v>12.0878</v>
      </c>
      <c r="M280" s="10">
        <f>CHOOSE(CONTROL!$C$42, 11.1391, 11.1391) * CHOOSE(CONTROL!$C$21, $C$9, 100%, $E$9)</f>
        <v>11.139099999999999</v>
      </c>
      <c r="N280" s="10">
        <f>CHOOSE(CONTROL!$C$42, 11.1535, 11.1535) * CHOOSE(CONTROL!$C$21, $C$9, 100%, $E$9)</f>
        <v>11.153499999999999</v>
      </c>
      <c r="O280" s="10">
        <f>CHOOSE(CONTROL!$C$42, 11.3985, 11.3985) * CHOOSE(CONTROL!$C$21, $C$9, 100%, $E$9)</f>
        <v>11.3985</v>
      </c>
      <c r="P280" s="10">
        <f>CHOOSE(CONTROL!$C$42, 11.1705, 11.1705) * CHOOSE(CONTROL!$C$21, $C$9, 100%, $E$9)</f>
        <v>11.170500000000001</v>
      </c>
      <c r="Q280" s="10">
        <f>CHOOSE(CONTROL!$C$42, 11.9938, 11.9938) * CHOOSE(CONTROL!$C$21, $C$9, 100%, $E$9)</f>
        <v>11.9938</v>
      </c>
      <c r="R280" s="10">
        <f>CHOOSE(CONTROL!$C$42, 12.6108, 12.6108) * CHOOSE(CONTROL!$C$21, $C$9, 100%, $E$9)</f>
        <v>12.610799999999999</v>
      </c>
      <c r="S280" s="10">
        <f>CHOOSE(CONTROL!$C$42, 10.9404, 10.9404) * CHOOSE(CONTROL!$C$21, $C$9, 100%, $E$9)</f>
        <v>10.9404</v>
      </c>
      <c r="T2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57">
        <f>(1000*CHOOSE(CONTROL!$C$42, 695, 695)*CHOOSE(CONTROL!$C$42, 0.5599, 0.5599)*CHOOSE(CONTROL!$C$42, 30, 30))/1000000</f>
        <v>11.673914999999997</v>
      </c>
      <c r="V280" s="57">
        <f>(1000*CHOOSE(CONTROL!$C$42, 500, 500)*CHOOSE(CONTROL!$C$42, 0.275, 0.275)*CHOOSE(CONTROL!$C$42, 30, 30))/1000000</f>
        <v>4.125</v>
      </c>
      <c r="W280" s="57">
        <f>(1000*CHOOSE(CONTROL!$C$42, 0.1146, 0.1146)*CHOOSE(CONTROL!$C$42, 121.5, 121.5)*CHOOSE(CONTROL!$C$42, 30, 30))/1000000</f>
        <v>0.417717</v>
      </c>
      <c r="X280" s="57">
        <f>(30*0.1790888*245000/1000000)+(30*0.2374*100000/1000000)</f>
        <v>2.0285026799999999</v>
      </c>
      <c r="Y280" s="57"/>
      <c r="Z280" s="10"/>
      <c r="AA280" s="56"/>
      <c r="AB280" s="50">
        <f>(B280*141.293+C280*267.993+D280*115.016+E280*89.698+F280*40+G280*185+H280*0+I280*100+J280*300)/(141.293+267.993+115.016+89.698+0+40+185+100+300)</f>
        <v>11.297672840274416</v>
      </c>
      <c r="AC280" s="45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11.219714388489209</v>
      </c>
    </row>
    <row r="281" spans="1:29" ht="15.75" x14ac:dyDescent="0.25">
      <c r="A281" s="16">
        <v>49430</v>
      </c>
      <c r="B281" s="10">
        <f>CHOOSE(CONTROL!$C$42, 11.3698, 11.3698) * CHOOSE(CONTROL!$C$21, $C$9, 100%, $E$9)</f>
        <v>11.3698</v>
      </c>
      <c r="C281" s="10">
        <f>CHOOSE(CONTROL!$C$42, 11.3777, 11.3777) * CHOOSE(CONTROL!$C$21, $C$9, 100%, $E$9)</f>
        <v>11.377700000000001</v>
      </c>
      <c r="D281" s="10">
        <f>CHOOSE(CONTROL!$C$42, 11.5804, 11.5804) * CHOOSE(CONTROL!$C$21, $C$9, 100%, $E$9)</f>
        <v>11.580399999999999</v>
      </c>
      <c r="E281" s="10">
        <f>CHOOSE(CONTROL!$C$42, 11.6116, 11.6116) * CHOOSE(CONTROL!$C$21, $C$9, 100%, $E$9)</f>
        <v>11.611599999999999</v>
      </c>
      <c r="F281" s="10">
        <f>CHOOSE(CONTROL!$C$42, 11.3455, 11.3455)*CHOOSE(CONTROL!$C$21, $C$9, 100%, $E$9)</f>
        <v>11.345499999999999</v>
      </c>
      <c r="G281" s="10">
        <f>CHOOSE(CONTROL!$C$42, 11.3605, 11.3605)*CHOOSE(CONTROL!$C$21, $C$9, 100%, $E$9)</f>
        <v>11.3605</v>
      </c>
      <c r="H281" s="10">
        <f>CHOOSE(CONTROL!$C$42, 11.6002, 11.6002) * CHOOSE(CONTROL!$C$21, $C$9, 100%, $E$9)</f>
        <v>11.600199999999999</v>
      </c>
      <c r="I281" s="10">
        <f>CHOOSE(CONTROL!$C$42, 11.3698, 11.3698)* CHOOSE(CONTROL!$C$21, $C$9, 100%, $E$9)</f>
        <v>11.3698</v>
      </c>
      <c r="J281" s="10">
        <f>CHOOSE(CONTROL!$C$42, 11.3385, 11.3385)* CHOOSE(CONTROL!$C$21, $C$9, 100%, $E$9)</f>
        <v>11.3385</v>
      </c>
      <c r="K281" s="53">
        <f>CHOOSE(CONTROL!$C$42, 11.3659, 11.3659) * CHOOSE(CONTROL!$C$21, $C$9, 100%, $E$9)</f>
        <v>11.3659</v>
      </c>
      <c r="L281" s="10">
        <f>CHOOSE(CONTROL!$C$42, 12.1872, 12.1872) * CHOOSE(CONTROL!$C$21, $C$9, 100%, $E$9)</f>
        <v>12.187200000000001</v>
      </c>
      <c r="M281" s="10">
        <f>CHOOSE(CONTROL!$C$42, 11.2379, 11.2379) * CHOOSE(CONTROL!$C$21, $C$9, 100%, $E$9)</f>
        <v>11.2379</v>
      </c>
      <c r="N281" s="10">
        <f>CHOOSE(CONTROL!$C$42, 11.2527, 11.2527) * CHOOSE(CONTROL!$C$21, $C$9, 100%, $E$9)</f>
        <v>11.252700000000001</v>
      </c>
      <c r="O281" s="10">
        <f>CHOOSE(CONTROL!$C$42, 11.497, 11.497) * CHOOSE(CONTROL!$C$21, $C$9, 100%, $E$9)</f>
        <v>11.497</v>
      </c>
      <c r="P281" s="10">
        <f>CHOOSE(CONTROL!$C$42, 11.2689, 11.2689) * CHOOSE(CONTROL!$C$21, $C$9, 100%, $E$9)</f>
        <v>11.2689</v>
      </c>
      <c r="Q281" s="10">
        <f>CHOOSE(CONTROL!$C$42, 12.0923, 12.0923) * CHOOSE(CONTROL!$C$21, $C$9, 100%, $E$9)</f>
        <v>12.0923</v>
      </c>
      <c r="R281" s="10">
        <f>CHOOSE(CONTROL!$C$42, 12.7095, 12.7095) * CHOOSE(CONTROL!$C$21, $C$9, 100%, $E$9)</f>
        <v>12.7095</v>
      </c>
      <c r="S281" s="10">
        <f>CHOOSE(CONTROL!$C$42, 11.0369, 11.0369) * CHOOSE(CONTROL!$C$21, $C$9, 100%, $E$9)</f>
        <v>11.036899999999999</v>
      </c>
      <c r="T2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57">
        <f>(1000*CHOOSE(CONTROL!$C$42, 695, 695)*CHOOSE(CONTROL!$C$42, 0.5599, 0.5599)*CHOOSE(CONTROL!$C$42, 31, 31))/1000000</f>
        <v>12.063045499999998</v>
      </c>
      <c r="V281" s="57">
        <f>(1000*CHOOSE(CONTROL!$C$42, 500, 500)*CHOOSE(CONTROL!$C$42, 0.275, 0.275)*CHOOSE(CONTROL!$C$42, 31, 31))/1000000</f>
        <v>4.2625000000000002</v>
      </c>
      <c r="W281" s="57">
        <f>(1000*CHOOSE(CONTROL!$C$42, 0.1146, 0.1146)*CHOOSE(CONTROL!$C$42, 121.5, 121.5)*CHOOSE(CONTROL!$C$42, 31, 31))/1000000</f>
        <v>0.43164089999999994</v>
      </c>
      <c r="X281" s="57">
        <f>(31*0.1790888*245000/1000000)+(31*0.2374*100000/1000000)</f>
        <v>2.0961194359999999</v>
      </c>
      <c r="Y281" s="57"/>
      <c r="Z281" s="10"/>
      <c r="AA281" s="56"/>
      <c r="AB281" s="50">
        <f>(B281*194.205+C281*267.466+D281*133.845+E281*53.484+F281*40+G281*185+H281*0+I281*100+J281*300)/(194.205+267.466+133.845+53.484+0+40+185+100+300)</f>
        <v>11.394251075039245</v>
      </c>
      <c r="AC281" s="45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11.318464748201439</v>
      </c>
    </row>
    <row r="282" spans="1:29" ht="15.75" x14ac:dyDescent="0.25">
      <c r="A282" s="15">
        <v>49461</v>
      </c>
      <c r="B282" s="10">
        <f>CHOOSE(CONTROL!$C$42, 11.6921, 11.6921) * CHOOSE(CONTROL!$C$21, $C$9, 100%, $E$9)</f>
        <v>11.6921</v>
      </c>
      <c r="C282" s="10">
        <f>CHOOSE(CONTROL!$C$42, 11.7001, 11.7001) * CHOOSE(CONTROL!$C$21, $C$9, 100%, $E$9)</f>
        <v>11.700100000000001</v>
      </c>
      <c r="D282" s="10">
        <f>CHOOSE(CONTROL!$C$42, 11.9028, 11.9028) * CHOOSE(CONTROL!$C$21, $C$9, 100%, $E$9)</f>
        <v>11.902799999999999</v>
      </c>
      <c r="E282" s="10">
        <f>CHOOSE(CONTROL!$C$42, 11.9339, 11.9339) * CHOOSE(CONTROL!$C$21, $C$9, 100%, $E$9)</f>
        <v>11.9339</v>
      </c>
      <c r="F282" s="10">
        <f>CHOOSE(CONTROL!$C$42, 11.6684, 11.6684)*CHOOSE(CONTROL!$C$21, $C$9, 100%, $E$9)</f>
        <v>11.6684</v>
      </c>
      <c r="G282" s="10">
        <f>CHOOSE(CONTROL!$C$42, 11.6835, 11.6835)*CHOOSE(CONTROL!$C$21, $C$9, 100%, $E$9)</f>
        <v>11.6835</v>
      </c>
      <c r="H282" s="10">
        <f>CHOOSE(CONTROL!$C$42, 11.9226, 11.9226) * CHOOSE(CONTROL!$C$21, $C$9, 100%, $E$9)</f>
        <v>11.922599999999999</v>
      </c>
      <c r="I282" s="10">
        <f>CHOOSE(CONTROL!$C$42, 11.6922, 11.6922)* CHOOSE(CONTROL!$C$21, $C$9, 100%, $E$9)</f>
        <v>11.6922</v>
      </c>
      <c r="J282" s="10">
        <f>CHOOSE(CONTROL!$C$42, 11.6614, 11.6614)* CHOOSE(CONTROL!$C$21, $C$9, 100%, $E$9)</f>
        <v>11.6614</v>
      </c>
      <c r="K282" s="53">
        <f>CHOOSE(CONTROL!$C$42, 11.6883, 11.6883) * CHOOSE(CONTROL!$C$21, $C$9, 100%, $E$9)</f>
        <v>11.6883</v>
      </c>
      <c r="L282" s="10">
        <f>CHOOSE(CONTROL!$C$42, 12.5096, 12.5096) * CHOOSE(CONTROL!$C$21, $C$9, 100%, $E$9)</f>
        <v>12.509600000000001</v>
      </c>
      <c r="M282" s="10">
        <f>CHOOSE(CONTROL!$C$42, 11.5575, 11.5575) * CHOOSE(CONTROL!$C$21, $C$9, 100%, $E$9)</f>
        <v>11.557499999999999</v>
      </c>
      <c r="N282" s="10">
        <f>CHOOSE(CONTROL!$C$42, 11.5725, 11.5725) * CHOOSE(CONTROL!$C$21, $C$9, 100%, $E$9)</f>
        <v>11.5725</v>
      </c>
      <c r="O282" s="10">
        <f>CHOOSE(CONTROL!$C$42, 11.8161, 11.8161) * CHOOSE(CONTROL!$C$21, $C$9, 100%, $E$9)</f>
        <v>11.8161</v>
      </c>
      <c r="P282" s="10">
        <f>CHOOSE(CONTROL!$C$42, 11.588, 11.588) * CHOOSE(CONTROL!$C$21, $C$9, 100%, $E$9)</f>
        <v>11.587999999999999</v>
      </c>
      <c r="Q282" s="10">
        <f>CHOOSE(CONTROL!$C$42, 12.4114, 12.4114) * CHOOSE(CONTROL!$C$21, $C$9, 100%, $E$9)</f>
        <v>12.4114</v>
      </c>
      <c r="R282" s="10">
        <f>CHOOSE(CONTROL!$C$42, 13.0294, 13.0294) * CHOOSE(CONTROL!$C$21, $C$9, 100%, $E$9)</f>
        <v>13.029400000000001</v>
      </c>
      <c r="S282" s="10">
        <f>CHOOSE(CONTROL!$C$42, 11.35, 11.35) * CHOOSE(CONTROL!$C$21, $C$9, 100%, $E$9)</f>
        <v>11.35</v>
      </c>
      <c r="T2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57">
        <f>(1000*CHOOSE(CONTROL!$C$42, 695, 695)*CHOOSE(CONTROL!$C$42, 0.5599, 0.5599)*CHOOSE(CONTROL!$C$42, 30, 30))/1000000</f>
        <v>11.673914999999997</v>
      </c>
      <c r="V282" s="57">
        <f>(1000*CHOOSE(CONTROL!$C$42, 500, 500)*CHOOSE(CONTROL!$C$42, 0.275, 0.275)*CHOOSE(CONTROL!$C$42, 30, 30))/1000000</f>
        <v>4.125</v>
      </c>
      <c r="W282" s="57">
        <f>(1000*CHOOSE(CONTROL!$C$42, 0.1146, 0.1146)*CHOOSE(CONTROL!$C$42, 121.5, 121.5)*CHOOSE(CONTROL!$C$42, 30, 30))/1000000</f>
        <v>0.417717</v>
      </c>
      <c r="X282" s="57">
        <f>(30*0.1790888*245000/1000000)+(30*0.2374*100000/1000000)</f>
        <v>2.0285026799999999</v>
      </c>
      <c r="Y282" s="57"/>
      <c r="Z282" s="10"/>
      <c r="AA282" s="56"/>
      <c r="AB282" s="50">
        <f>(B282*194.205+C282*267.466+D282*133.845+E282*53.484+F282*40+G282*185+H282*0+I282*100+J282*300)/(194.205+267.466+133.845+53.484+0+40+185+100+300)</f>
        <v>11.716852198351649</v>
      </c>
      <c r="AC282" s="45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11.637898561151079</v>
      </c>
    </row>
    <row r="283" spans="1:29" ht="15.75" x14ac:dyDescent="0.25">
      <c r="A283" s="15">
        <v>49491</v>
      </c>
      <c r="B283" s="10">
        <f>CHOOSE(CONTROL!$C$42, 11.4679, 11.4679) * CHOOSE(CONTROL!$C$21, $C$9, 100%, $E$9)</f>
        <v>11.4679</v>
      </c>
      <c r="C283" s="10">
        <f>CHOOSE(CONTROL!$C$42, 11.4759, 11.4759) * CHOOSE(CONTROL!$C$21, $C$9, 100%, $E$9)</f>
        <v>11.475899999999999</v>
      </c>
      <c r="D283" s="10">
        <f>CHOOSE(CONTROL!$C$42, 11.6786, 11.6786) * CHOOSE(CONTROL!$C$21, $C$9, 100%, $E$9)</f>
        <v>11.678599999999999</v>
      </c>
      <c r="E283" s="10">
        <f>CHOOSE(CONTROL!$C$42, 11.7097, 11.7097) * CHOOSE(CONTROL!$C$21, $C$9, 100%, $E$9)</f>
        <v>11.7097</v>
      </c>
      <c r="F283" s="10">
        <f>CHOOSE(CONTROL!$C$42, 11.4447, 11.4447)*CHOOSE(CONTROL!$C$21, $C$9, 100%, $E$9)</f>
        <v>11.444699999999999</v>
      </c>
      <c r="G283" s="10">
        <f>CHOOSE(CONTROL!$C$42, 11.46, 11.46)*CHOOSE(CONTROL!$C$21, $C$9, 100%, $E$9)</f>
        <v>11.46</v>
      </c>
      <c r="H283" s="10">
        <f>CHOOSE(CONTROL!$C$42, 11.6984, 11.6984) * CHOOSE(CONTROL!$C$21, $C$9, 100%, $E$9)</f>
        <v>11.698399999999999</v>
      </c>
      <c r="I283" s="10">
        <f>CHOOSE(CONTROL!$C$42, 11.468, 11.468)* CHOOSE(CONTROL!$C$21, $C$9, 100%, $E$9)</f>
        <v>11.468</v>
      </c>
      <c r="J283" s="10">
        <f>CHOOSE(CONTROL!$C$42, 11.4377, 11.4377)* CHOOSE(CONTROL!$C$21, $C$9, 100%, $E$9)</f>
        <v>11.4377</v>
      </c>
      <c r="K283" s="53">
        <f>CHOOSE(CONTROL!$C$42, 11.4641, 11.4641) * CHOOSE(CONTROL!$C$21, $C$9, 100%, $E$9)</f>
        <v>11.4641</v>
      </c>
      <c r="L283" s="10">
        <f>CHOOSE(CONTROL!$C$42, 12.2854, 12.2854) * CHOOSE(CONTROL!$C$21, $C$9, 100%, $E$9)</f>
        <v>12.285399999999999</v>
      </c>
      <c r="M283" s="10">
        <f>CHOOSE(CONTROL!$C$42, 11.3361, 11.3361) * CHOOSE(CONTROL!$C$21, $C$9, 100%, $E$9)</f>
        <v>11.3361</v>
      </c>
      <c r="N283" s="10">
        <f>CHOOSE(CONTROL!$C$42, 11.3512, 11.3512) * CHOOSE(CONTROL!$C$21, $C$9, 100%, $E$9)</f>
        <v>11.3512</v>
      </c>
      <c r="O283" s="10">
        <f>CHOOSE(CONTROL!$C$42, 11.5941, 11.5941) * CHOOSE(CONTROL!$C$21, $C$9, 100%, $E$9)</f>
        <v>11.594099999999999</v>
      </c>
      <c r="P283" s="10">
        <f>CHOOSE(CONTROL!$C$42, 11.3661, 11.3661) * CHOOSE(CONTROL!$C$21, $C$9, 100%, $E$9)</f>
        <v>11.366099999999999</v>
      </c>
      <c r="Q283" s="10">
        <f>CHOOSE(CONTROL!$C$42, 12.1894, 12.1894) * CHOOSE(CONTROL!$C$21, $C$9, 100%, $E$9)</f>
        <v>12.189399999999999</v>
      </c>
      <c r="R283" s="10">
        <f>CHOOSE(CONTROL!$C$42, 12.8069, 12.8069) * CHOOSE(CONTROL!$C$21, $C$9, 100%, $E$9)</f>
        <v>12.806900000000001</v>
      </c>
      <c r="S283" s="10">
        <f>CHOOSE(CONTROL!$C$42, 11.1323, 11.1323) * CHOOSE(CONTROL!$C$21, $C$9, 100%, $E$9)</f>
        <v>11.132300000000001</v>
      </c>
      <c r="T2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57">
        <f>(1000*CHOOSE(CONTROL!$C$42, 695, 695)*CHOOSE(CONTROL!$C$42, 0.5599, 0.5599)*CHOOSE(CONTROL!$C$42, 31, 31))/1000000</f>
        <v>12.063045499999998</v>
      </c>
      <c r="V283" s="57">
        <f>(1000*CHOOSE(CONTROL!$C$42, 500, 500)*CHOOSE(CONTROL!$C$42, 0.275, 0.275)*CHOOSE(CONTROL!$C$42, 31, 31))/1000000</f>
        <v>4.2625000000000002</v>
      </c>
      <c r="W283" s="57">
        <f>(1000*CHOOSE(CONTROL!$C$42, 0.1146, 0.1146)*CHOOSE(CONTROL!$C$42, 121.5, 121.5)*CHOOSE(CONTROL!$C$42, 31, 31))/1000000</f>
        <v>0.43164089999999994</v>
      </c>
      <c r="X283" s="57">
        <f>(31*0.1790888*245000/1000000)+(31*0.2374*100000/1000000)</f>
        <v>2.0961194359999999</v>
      </c>
      <c r="Y283" s="57"/>
      <c r="Z283" s="10"/>
      <c r="AA283" s="56"/>
      <c r="AB283" s="50">
        <f>(B283*194.205+C283*267.466+D283*133.845+E283*53.484+F283*40+G283*185+H283*0+I283*100+J283*300)/(194.205+267.466+133.845+53.484+0+40+185+100+300)</f>
        <v>11.492887284693877</v>
      </c>
      <c r="AC283" s="45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11.416281294964028</v>
      </c>
    </row>
    <row r="284" spans="1:29" ht="15.75" x14ac:dyDescent="0.25">
      <c r="A284" s="15">
        <v>49522</v>
      </c>
      <c r="B284" s="10">
        <f>CHOOSE(CONTROL!$C$42, 10.9017, 10.9017) * CHOOSE(CONTROL!$C$21, $C$9, 100%, $E$9)</f>
        <v>10.9017</v>
      </c>
      <c r="C284" s="10">
        <f>CHOOSE(CONTROL!$C$42, 10.9097, 10.9097) * CHOOSE(CONTROL!$C$21, $C$9, 100%, $E$9)</f>
        <v>10.909700000000001</v>
      </c>
      <c r="D284" s="10">
        <f>CHOOSE(CONTROL!$C$42, 11.1124, 11.1124) * CHOOSE(CONTROL!$C$21, $C$9, 100%, $E$9)</f>
        <v>11.112399999999999</v>
      </c>
      <c r="E284" s="10">
        <f>CHOOSE(CONTROL!$C$42, 11.1435, 11.1435) * CHOOSE(CONTROL!$C$21, $C$9, 100%, $E$9)</f>
        <v>11.1435</v>
      </c>
      <c r="F284" s="10">
        <f>CHOOSE(CONTROL!$C$42, 10.8787, 10.8787)*CHOOSE(CONTROL!$C$21, $C$9, 100%, $E$9)</f>
        <v>10.8787</v>
      </c>
      <c r="G284" s="10">
        <f>CHOOSE(CONTROL!$C$42, 10.894, 10.894)*CHOOSE(CONTROL!$C$21, $C$9, 100%, $E$9)</f>
        <v>10.894</v>
      </c>
      <c r="H284" s="10">
        <f>CHOOSE(CONTROL!$C$42, 11.1322, 11.1322) * CHOOSE(CONTROL!$C$21, $C$9, 100%, $E$9)</f>
        <v>11.132199999999999</v>
      </c>
      <c r="I284" s="10">
        <f>CHOOSE(CONTROL!$C$42, 10.9018, 10.9018)* CHOOSE(CONTROL!$C$21, $C$9, 100%, $E$9)</f>
        <v>10.9018</v>
      </c>
      <c r="J284" s="10">
        <f>CHOOSE(CONTROL!$C$42, 10.8717, 10.8717)* CHOOSE(CONTROL!$C$21, $C$9, 100%, $E$9)</f>
        <v>10.871700000000001</v>
      </c>
      <c r="K284" s="53">
        <f>CHOOSE(CONTROL!$C$42, 10.8979, 10.8979) * CHOOSE(CONTROL!$C$21, $C$9, 100%, $E$9)</f>
        <v>10.8979</v>
      </c>
      <c r="L284" s="10">
        <f>CHOOSE(CONTROL!$C$42, 11.7192, 11.7192) * CHOOSE(CONTROL!$C$21, $C$9, 100%, $E$9)</f>
        <v>11.719200000000001</v>
      </c>
      <c r="M284" s="10">
        <f>CHOOSE(CONTROL!$C$42, 10.7758, 10.7758) * CHOOSE(CONTROL!$C$21, $C$9, 100%, $E$9)</f>
        <v>10.7758</v>
      </c>
      <c r="N284" s="10">
        <f>CHOOSE(CONTROL!$C$42, 10.791, 10.791) * CHOOSE(CONTROL!$C$21, $C$9, 100%, $E$9)</f>
        <v>10.791</v>
      </c>
      <c r="O284" s="10">
        <f>CHOOSE(CONTROL!$C$42, 11.0337, 11.0337) * CHOOSE(CONTROL!$C$21, $C$9, 100%, $E$9)</f>
        <v>11.0337</v>
      </c>
      <c r="P284" s="10">
        <f>CHOOSE(CONTROL!$C$42, 10.8056, 10.8056) * CHOOSE(CONTROL!$C$21, $C$9, 100%, $E$9)</f>
        <v>10.8056</v>
      </c>
      <c r="Q284" s="10">
        <f>CHOOSE(CONTROL!$C$42, 11.629, 11.629) * CHOOSE(CONTROL!$C$21, $C$9, 100%, $E$9)</f>
        <v>11.629</v>
      </c>
      <c r="R284" s="10">
        <f>CHOOSE(CONTROL!$C$42, 12.245, 12.245) * CHOOSE(CONTROL!$C$21, $C$9, 100%, $E$9)</f>
        <v>12.244999999999999</v>
      </c>
      <c r="S284" s="10">
        <f>CHOOSE(CONTROL!$C$42, 10.5824, 10.5824) * CHOOSE(CONTROL!$C$21, $C$9, 100%, $E$9)</f>
        <v>10.5824</v>
      </c>
      <c r="T2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57">
        <f>(1000*CHOOSE(CONTROL!$C$42, 695, 695)*CHOOSE(CONTROL!$C$42, 0.5599, 0.5599)*CHOOSE(CONTROL!$C$42, 31, 31))/1000000</f>
        <v>12.063045499999998</v>
      </c>
      <c r="V284" s="57">
        <f>(1000*CHOOSE(CONTROL!$C$42, 500, 500)*CHOOSE(CONTROL!$C$42, 0.275, 0.275)*CHOOSE(CONTROL!$C$42, 31, 31))/1000000</f>
        <v>4.2625000000000002</v>
      </c>
      <c r="W284" s="57">
        <f>(1000*CHOOSE(CONTROL!$C$42, 0.1146, 0.1146)*CHOOSE(CONTROL!$C$42, 121.5, 121.5)*CHOOSE(CONTROL!$C$42, 31, 31))/1000000</f>
        <v>0.43164089999999994</v>
      </c>
      <c r="X284" s="57">
        <f>(31*0.1790888*245000/1000000)+(31*0.2374*100000/1000000)</f>
        <v>2.0961194359999999</v>
      </c>
      <c r="Y284" s="57"/>
      <c r="Z284" s="10"/>
      <c r="AA284" s="56"/>
      <c r="AB284" s="50">
        <f>(B284*194.205+C284*267.466+D284*133.845+E284*53.484+F284*40+G284*185+H284*0+I284*100+J284*300)/(194.205+267.466+133.845+53.484+0+40+185+100+300)</f>
        <v>10.926769702276296</v>
      </c>
      <c r="AC284" s="45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10.855947482014388</v>
      </c>
    </row>
    <row r="285" spans="1:29" ht="15.75" x14ac:dyDescent="0.25">
      <c r="A285" s="15">
        <v>49553</v>
      </c>
      <c r="B285" s="10">
        <f>CHOOSE(CONTROL!$C$42, 10.2096, 10.2096) * CHOOSE(CONTROL!$C$21, $C$9, 100%, $E$9)</f>
        <v>10.2096</v>
      </c>
      <c r="C285" s="10">
        <f>CHOOSE(CONTROL!$C$42, 10.2175, 10.2175) * CHOOSE(CONTROL!$C$21, $C$9, 100%, $E$9)</f>
        <v>10.217499999999999</v>
      </c>
      <c r="D285" s="10">
        <f>CHOOSE(CONTROL!$C$42, 10.4202, 10.4202) * CHOOSE(CONTROL!$C$21, $C$9, 100%, $E$9)</f>
        <v>10.420199999999999</v>
      </c>
      <c r="E285" s="10">
        <f>CHOOSE(CONTROL!$C$42, 10.4514, 10.4514) * CHOOSE(CONTROL!$C$21, $C$9, 100%, $E$9)</f>
        <v>10.4514</v>
      </c>
      <c r="F285" s="10">
        <f>CHOOSE(CONTROL!$C$42, 10.1864, 10.1864)*CHOOSE(CONTROL!$C$21, $C$9, 100%, $E$9)</f>
        <v>10.186400000000001</v>
      </c>
      <c r="G285" s="10">
        <f>CHOOSE(CONTROL!$C$42, 10.2017, 10.2017)*CHOOSE(CONTROL!$C$21, $C$9, 100%, $E$9)</f>
        <v>10.201700000000001</v>
      </c>
      <c r="H285" s="10">
        <f>CHOOSE(CONTROL!$C$42, 10.44, 10.44) * CHOOSE(CONTROL!$C$21, $C$9, 100%, $E$9)</f>
        <v>10.44</v>
      </c>
      <c r="I285" s="10">
        <f>CHOOSE(CONTROL!$C$42, 10.2096, 10.2096)* CHOOSE(CONTROL!$C$21, $C$9, 100%, $E$9)</f>
        <v>10.2096</v>
      </c>
      <c r="J285" s="10">
        <f>CHOOSE(CONTROL!$C$42, 10.1794, 10.1794)* CHOOSE(CONTROL!$C$21, $C$9, 100%, $E$9)</f>
        <v>10.179399999999999</v>
      </c>
      <c r="K285" s="53">
        <f>CHOOSE(CONTROL!$C$42, 10.2057, 10.2057) * CHOOSE(CONTROL!$C$21, $C$9, 100%, $E$9)</f>
        <v>10.2057</v>
      </c>
      <c r="L285" s="10">
        <f>CHOOSE(CONTROL!$C$42, 11.027, 11.027) * CHOOSE(CONTROL!$C$21, $C$9, 100%, $E$9)</f>
        <v>11.026999999999999</v>
      </c>
      <c r="M285" s="10">
        <f>CHOOSE(CONTROL!$C$42, 10.0905, 10.0905) * CHOOSE(CONTROL!$C$21, $C$9, 100%, $E$9)</f>
        <v>10.0905</v>
      </c>
      <c r="N285" s="10">
        <f>CHOOSE(CONTROL!$C$42, 10.1056, 10.1056) * CHOOSE(CONTROL!$C$21, $C$9, 100%, $E$9)</f>
        <v>10.105600000000001</v>
      </c>
      <c r="O285" s="10">
        <f>CHOOSE(CONTROL!$C$42, 10.3485, 10.3485) * CHOOSE(CONTROL!$C$21, $C$9, 100%, $E$9)</f>
        <v>10.3485</v>
      </c>
      <c r="P285" s="10">
        <f>CHOOSE(CONTROL!$C$42, 10.1205, 10.1205) * CHOOSE(CONTROL!$C$21, $C$9, 100%, $E$9)</f>
        <v>10.1205</v>
      </c>
      <c r="Q285" s="10">
        <f>CHOOSE(CONTROL!$C$42, 10.9438, 10.9438) * CHOOSE(CONTROL!$C$21, $C$9, 100%, $E$9)</f>
        <v>10.9438</v>
      </c>
      <c r="R285" s="10">
        <f>CHOOSE(CONTROL!$C$42, 11.5581, 11.5581) * CHOOSE(CONTROL!$C$21, $C$9, 100%, $E$9)</f>
        <v>11.5581</v>
      </c>
      <c r="S285" s="10">
        <f>CHOOSE(CONTROL!$C$42, 9.9103, 9.9103) * CHOOSE(CONTROL!$C$21, $C$9, 100%, $E$9)</f>
        <v>9.9102999999999994</v>
      </c>
      <c r="T2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57">
        <f>(1000*CHOOSE(CONTROL!$C$42, 695, 695)*CHOOSE(CONTROL!$C$42, 0.5599, 0.5599)*CHOOSE(CONTROL!$C$42, 30, 30))/1000000</f>
        <v>11.673914999999997</v>
      </c>
      <c r="V285" s="57">
        <f>(1000*CHOOSE(CONTROL!$C$42, 500, 500)*CHOOSE(CONTROL!$C$42, 0.275, 0.275)*CHOOSE(CONTROL!$C$42, 30, 30))/1000000</f>
        <v>4.125</v>
      </c>
      <c r="W285" s="57">
        <f>(1000*CHOOSE(CONTROL!$C$42, 0.1146, 0.1146)*CHOOSE(CONTROL!$C$42, 121.5, 121.5)*CHOOSE(CONTROL!$C$42, 30, 30))/1000000</f>
        <v>0.417717</v>
      </c>
      <c r="X285" s="57">
        <f>(30*0.1790888*245000/1000000)+(30*0.2374*100000/1000000)</f>
        <v>2.0285026799999999</v>
      </c>
      <c r="Y285" s="57"/>
      <c r="Z285" s="10"/>
      <c r="AA285" s="56"/>
      <c r="AB285" s="50">
        <f>(B285*194.205+C285*267.466+D285*133.845+E285*53.484+F285*40+G285*185+H285*0+I285*100+J285*300)/(194.205+267.466+133.845+53.484+0+40+185+100+300)</f>
        <v>10.234547935321821</v>
      </c>
      <c r="AC285" s="45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10.17068129496403</v>
      </c>
    </row>
    <row r="286" spans="1:29" ht="15.75" x14ac:dyDescent="0.25">
      <c r="A286" s="15">
        <v>49583</v>
      </c>
      <c r="B286" s="10">
        <f>CHOOSE(CONTROL!$C$42, 10.0006, 10.0006) * CHOOSE(CONTROL!$C$21, $C$9, 100%, $E$9)</f>
        <v>10.0006</v>
      </c>
      <c r="C286" s="10">
        <f>CHOOSE(CONTROL!$C$42, 10.0058, 10.0058) * CHOOSE(CONTROL!$C$21, $C$9, 100%, $E$9)</f>
        <v>10.005800000000001</v>
      </c>
      <c r="D286" s="10">
        <f>CHOOSE(CONTROL!$C$42, 10.2135, 10.2135) * CHOOSE(CONTROL!$C$21, $C$9, 100%, $E$9)</f>
        <v>10.2135</v>
      </c>
      <c r="E286" s="10">
        <f>CHOOSE(CONTROL!$C$42, 10.2423, 10.2423) * CHOOSE(CONTROL!$C$21, $C$9, 100%, $E$9)</f>
        <v>10.2423</v>
      </c>
      <c r="F286" s="10">
        <f>CHOOSE(CONTROL!$C$42, 9.9794, 9.9794)*CHOOSE(CONTROL!$C$21, $C$9, 100%, $E$9)</f>
        <v>9.9794</v>
      </c>
      <c r="G286" s="10">
        <f>CHOOSE(CONTROL!$C$42, 9.9943, 9.9943)*CHOOSE(CONTROL!$C$21, $C$9, 100%, $E$9)</f>
        <v>9.9943000000000008</v>
      </c>
      <c r="H286" s="10">
        <f>CHOOSE(CONTROL!$C$42, 10.2328, 10.2328) * CHOOSE(CONTROL!$C$21, $C$9, 100%, $E$9)</f>
        <v>10.232799999999999</v>
      </c>
      <c r="I286" s="10">
        <f>CHOOSE(CONTROL!$C$42, 10.0024, 10.0024)* CHOOSE(CONTROL!$C$21, $C$9, 100%, $E$9)</f>
        <v>10.0024</v>
      </c>
      <c r="J286" s="10">
        <f>CHOOSE(CONTROL!$C$42, 9.9724, 9.9724)* CHOOSE(CONTROL!$C$21, $C$9, 100%, $E$9)</f>
        <v>9.9724000000000004</v>
      </c>
      <c r="K286" s="53">
        <f>CHOOSE(CONTROL!$C$42, 9.9985, 9.9985) * CHOOSE(CONTROL!$C$21, $C$9, 100%, $E$9)</f>
        <v>9.9984999999999999</v>
      </c>
      <c r="L286" s="10">
        <f>CHOOSE(CONTROL!$C$42, 10.8198, 10.8198) * CHOOSE(CONTROL!$C$21, $C$9, 100%, $E$9)</f>
        <v>10.819800000000001</v>
      </c>
      <c r="M286" s="10">
        <f>CHOOSE(CONTROL!$C$42, 9.8855, 9.8855) * CHOOSE(CONTROL!$C$21, $C$9, 100%, $E$9)</f>
        <v>9.8855000000000004</v>
      </c>
      <c r="N286" s="10">
        <f>CHOOSE(CONTROL!$C$42, 9.9003, 9.9003) * CHOOSE(CONTROL!$C$21, $C$9, 100%, $E$9)</f>
        <v>9.9002999999999997</v>
      </c>
      <c r="O286" s="10">
        <f>CHOOSE(CONTROL!$C$42, 10.1434, 10.1434) * CHOOSE(CONTROL!$C$21, $C$9, 100%, $E$9)</f>
        <v>10.1434</v>
      </c>
      <c r="P286" s="10">
        <f>CHOOSE(CONTROL!$C$42, 9.9154, 9.9154) * CHOOSE(CONTROL!$C$21, $C$9, 100%, $E$9)</f>
        <v>9.9154</v>
      </c>
      <c r="Q286" s="10">
        <f>CHOOSE(CONTROL!$C$42, 10.7387, 10.7387) * CHOOSE(CONTROL!$C$21, $C$9, 100%, $E$9)</f>
        <v>10.7387</v>
      </c>
      <c r="R286" s="10">
        <f>CHOOSE(CONTROL!$C$42, 11.3525, 11.3525) * CHOOSE(CONTROL!$C$21, $C$9, 100%, $E$9)</f>
        <v>11.352499999999999</v>
      </c>
      <c r="S286" s="10">
        <f>CHOOSE(CONTROL!$C$42, 9.7091, 9.7091) * CHOOSE(CONTROL!$C$21, $C$9, 100%, $E$9)</f>
        <v>9.7090999999999994</v>
      </c>
      <c r="T2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57">
        <f>(1000*CHOOSE(CONTROL!$C$42, 695, 695)*CHOOSE(CONTROL!$C$42, 0.5599, 0.5599)*CHOOSE(CONTROL!$C$42, 31, 31))/1000000</f>
        <v>12.063045499999998</v>
      </c>
      <c r="V286" s="57">
        <f>(1000*CHOOSE(CONTROL!$C$42, 500, 500)*CHOOSE(CONTROL!$C$42, 0.275, 0.275)*CHOOSE(CONTROL!$C$42, 31, 31))/1000000</f>
        <v>4.2625000000000002</v>
      </c>
      <c r="W286" s="57">
        <f>(1000*CHOOSE(CONTROL!$C$42, 0.1146, 0.1146)*CHOOSE(CONTROL!$C$42, 121.5, 121.5)*CHOOSE(CONTROL!$C$42, 31, 31))/1000000</f>
        <v>0.43164089999999994</v>
      </c>
      <c r="X286" s="57">
        <f>(31*0.1790888*245000/1000000)+(31*0.2374*100000/1000000)</f>
        <v>2.0961194359999999</v>
      </c>
      <c r="Y286" s="57"/>
      <c r="Z286" s="10"/>
      <c r="AA286" s="56"/>
      <c r="AB286" s="50">
        <f>(B286*131.881+C286*277.167+D286*79.08+E286*125.872+F286*40+G286*185+H286*0+I286*100+J286*300)/(131.881+277.167+79.08+125.872+0+40+185+100+300)</f>
        <v>10.031598517191284</v>
      </c>
      <c r="AC286" s="45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9.9655697841726614</v>
      </c>
    </row>
    <row r="287" spans="1:29" ht="15.75" x14ac:dyDescent="0.25">
      <c r="A287" s="15">
        <v>49614</v>
      </c>
      <c r="B287" s="10">
        <f>CHOOSE(CONTROL!$C$42, 10.2636, 10.2636) * CHOOSE(CONTROL!$C$21, $C$9, 100%, $E$9)</f>
        <v>10.2636</v>
      </c>
      <c r="C287" s="10">
        <f>CHOOSE(CONTROL!$C$42, 10.2685, 10.2685) * CHOOSE(CONTROL!$C$21, $C$9, 100%, $E$9)</f>
        <v>10.2685</v>
      </c>
      <c r="D287" s="10">
        <f>CHOOSE(CONTROL!$C$42, 10.329, 10.329) * CHOOSE(CONTROL!$C$21, $C$9, 100%, $E$9)</f>
        <v>10.329000000000001</v>
      </c>
      <c r="E287" s="10">
        <f>CHOOSE(CONTROL!$C$42, 10.3628, 10.3628) * CHOOSE(CONTROL!$C$21, $C$9, 100%, $E$9)</f>
        <v>10.3628</v>
      </c>
      <c r="F287" s="10">
        <f>CHOOSE(CONTROL!$C$42, 10.2592, 10.2592)*CHOOSE(CONTROL!$C$21, $C$9, 100%, $E$9)</f>
        <v>10.2592</v>
      </c>
      <c r="G287" s="10">
        <f>CHOOSE(CONTROL!$C$42, 10.2744, 10.2744)*CHOOSE(CONTROL!$C$21, $C$9, 100%, $E$9)</f>
        <v>10.2744</v>
      </c>
      <c r="H287" s="10">
        <f>CHOOSE(CONTROL!$C$42, 10.352, 10.352) * CHOOSE(CONTROL!$C$21, $C$9, 100%, $E$9)</f>
        <v>10.352</v>
      </c>
      <c r="I287" s="10">
        <f>CHOOSE(CONTROL!$C$42, 10.2761, 10.2761)* CHOOSE(CONTROL!$C$21, $C$9, 100%, $E$9)</f>
        <v>10.2761</v>
      </c>
      <c r="J287" s="10">
        <f>CHOOSE(CONTROL!$C$42, 10.2522, 10.2522)* CHOOSE(CONTROL!$C$21, $C$9, 100%, $E$9)</f>
        <v>10.2522</v>
      </c>
      <c r="K287" s="53">
        <f>CHOOSE(CONTROL!$C$42, 10.2722, 10.2722) * CHOOSE(CONTROL!$C$21, $C$9, 100%, $E$9)</f>
        <v>10.2722</v>
      </c>
      <c r="L287" s="10">
        <f>CHOOSE(CONTROL!$C$42, 10.939, 10.939) * CHOOSE(CONTROL!$C$21, $C$9, 100%, $E$9)</f>
        <v>10.939</v>
      </c>
      <c r="M287" s="10">
        <f>CHOOSE(CONTROL!$C$42, 10.1626, 10.1626) * CHOOSE(CONTROL!$C$21, $C$9, 100%, $E$9)</f>
        <v>10.162599999999999</v>
      </c>
      <c r="N287" s="10">
        <f>CHOOSE(CONTROL!$C$42, 10.1776, 10.1776) * CHOOSE(CONTROL!$C$21, $C$9, 100%, $E$9)</f>
        <v>10.1776</v>
      </c>
      <c r="O287" s="10">
        <f>CHOOSE(CONTROL!$C$42, 10.2614, 10.2614) * CHOOSE(CONTROL!$C$21, $C$9, 100%, $E$9)</f>
        <v>10.2614</v>
      </c>
      <c r="P287" s="10">
        <f>CHOOSE(CONTROL!$C$42, 10.1863, 10.1863) * CHOOSE(CONTROL!$C$21, $C$9, 100%, $E$9)</f>
        <v>10.186299999999999</v>
      </c>
      <c r="Q287" s="10">
        <f>CHOOSE(CONTROL!$C$42, 10.8567, 10.8567) * CHOOSE(CONTROL!$C$21, $C$9, 100%, $E$9)</f>
        <v>10.8567</v>
      </c>
      <c r="R287" s="10">
        <f>CHOOSE(CONTROL!$C$42, 11.4708, 11.4708) * CHOOSE(CONTROL!$C$21, $C$9, 100%, $E$9)</f>
        <v>11.470800000000001</v>
      </c>
      <c r="S287" s="10">
        <f>CHOOSE(CONTROL!$C$42, 9.9648, 9.9648) * CHOOSE(CONTROL!$C$21, $C$9, 100%, $E$9)</f>
        <v>9.9648000000000003</v>
      </c>
      <c r="T2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57">
        <f>(1000*CHOOSE(CONTROL!$C$42, 695, 695)*CHOOSE(CONTROL!$C$42, 0.5599, 0.5599)*CHOOSE(CONTROL!$C$42, 30, 30))/1000000</f>
        <v>11.673914999999997</v>
      </c>
      <c r="V287" s="57">
        <f>(1000*CHOOSE(CONTROL!$C$42, 500, 500)*CHOOSE(CONTROL!$C$42, 0.275, 0.275)*CHOOSE(CONTROL!$C$42, 30, 30))/1000000</f>
        <v>4.125</v>
      </c>
      <c r="W287" s="57">
        <f>(1000*CHOOSE(CONTROL!$C$42, 0.1146, 0.1146)*CHOOSE(CONTROL!$C$42, 121.5, 121.5)*CHOOSE(CONTROL!$C$42, 30, 30))/1000000</f>
        <v>0.417717</v>
      </c>
      <c r="X287" s="57">
        <f>(30*0.1790888*100000/1000000)+(30*0.2374*100000/1000000)</f>
        <v>1.2494664</v>
      </c>
      <c r="Y287" s="57"/>
      <c r="Z287" s="10"/>
      <c r="AA287" s="56"/>
      <c r="AB287" s="50">
        <f>(B287*122.58+C287*297.941+D287*89.177+E287*40.302+F287*40+G287*160+H287*0+I287*100+J287*300)/(122.58+297.941+89.177+40.302+0+40+160+100+300)</f>
        <v>10.272880039217393</v>
      </c>
      <c r="AC287" s="45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10.21165323741007</v>
      </c>
    </row>
    <row r="288" spans="1:29" ht="15.75" x14ac:dyDescent="0.25">
      <c r="A288" s="15">
        <v>49644</v>
      </c>
      <c r="B288" s="10">
        <f>CHOOSE(CONTROL!$C$42, 10.9631, 10.9631) * CHOOSE(CONTROL!$C$21, $C$9, 100%, $E$9)</f>
        <v>10.963100000000001</v>
      </c>
      <c r="C288" s="10">
        <f>CHOOSE(CONTROL!$C$42, 10.9681, 10.9681) * CHOOSE(CONTROL!$C$21, $C$9, 100%, $E$9)</f>
        <v>10.9681</v>
      </c>
      <c r="D288" s="10">
        <f>CHOOSE(CONTROL!$C$42, 11.0286, 11.0286) * CHOOSE(CONTROL!$C$21, $C$9, 100%, $E$9)</f>
        <v>11.028600000000001</v>
      </c>
      <c r="E288" s="10">
        <f>CHOOSE(CONTROL!$C$42, 11.0624, 11.0624) * CHOOSE(CONTROL!$C$21, $C$9, 100%, $E$9)</f>
        <v>11.0624</v>
      </c>
      <c r="F288" s="10">
        <f>CHOOSE(CONTROL!$C$42, 10.9606, 10.9606)*CHOOSE(CONTROL!$C$21, $C$9, 100%, $E$9)</f>
        <v>10.960599999999999</v>
      </c>
      <c r="G288" s="10">
        <f>CHOOSE(CONTROL!$C$42, 10.9763, 10.9763)*CHOOSE(CONTROL!$C$21, $C$9, 100%, $E$9)</f>
        <v>10.9763</v>
      </c>
      <c r="H288" s="10">
        <f>CHOOSE(CONTROL!$C$42, 11.0516, 11.0516) * CHOOSE(CONTROL!$C$21, $C$9, 100%, $E$9)</f>
        <v>11.051600000000001</v>
      </c>
      <c r="I288" s="10">
        <f>CHOOSE(CONTROL!$C$42, 10.9757, 10.9757)* CHOOSE(CONTROL!$C$21, $C$9, 100%, $E$9)</f>
        <v>10.9757</v>
      </c>
      <c r="J288" s="10">
        <f>CHOOSE(CONTROL!$C$42, 10.9536, 10.9536)* CHOOSE(CONTROL!$C$21, $C$9, 100%, $E$9)</f>
        <v>10.9536</v>
      </c>
      <c r="K288" s="53">
        <f>CHOOSE(CONTROL!$C$42, 10.9718, 10.9718) * CHOOSE(CONTROL!$C$21, $C$9, 100%, $E$9)</f>
        <v>10.9718</v>
      </c>
      <c r="L288" s="10">
        <f>CHOOSE(CONTROL!$C$42, 11.6386, 11.6386) * CHOOSE(CONTROL!$C$21, $C$9, 100%, $E$9)</f>
        <v>11.6386</v>
      </c>
      <c r="M288" s="10">
        <f>CHOOSE(CONTROL!$C$42, 10.8569, 10.8569) * CHOOSE(CONTROL!$C$21, $C$9, 100%, $E$9)</f>
        <v>10.8569</v>
      </c>
      <c r="N288" s="10">
        <f>CHOOSE(CONTROL!$C$42, 10.8724, 10.8724) * CHOOSE(CONTROL!$C$21, $C$9, 100%, $E$9)</f>
        <v>10.872400000000001</v>
      </c>
      <c r="O288" s="10">
        <f>CHOOSE(CONTROL!$C$42, 10.9539, 10.9539) * CHOOSE(CONTROL!$C$21, $C$9, 100%, $E$9)</f>
        <v>10.953900000000001</v>
      </c>
      <c r="P288" s="10">
        <f>CHOOSE(CONTROL!$C$42, 10.8788, 10.8788) * CHOOSE(CONTROL!$C$21, $C$9, 100%, $E$9)</f>
        <v>10.8788</v>
      </c>
      <c r="Q288" s="10">
        <f>CHOOSE(CONTROL!$C$42, 11.5492, 11.5492) * CHOOSE(CONTROL!$C$21, $C$9, 100%, $E$9)</f>
        <v>11.549200000000001</v>
      </c>
      <c r="R288" s="10">
        <f>CHOOSE(CONTROL!$C$42, 12.165, 12.165) * CHOOSE(CONTROL!$C$21, $C$9, 100%, $E$9)</f>
        <v>12.164999999999999</v>
      </c>
      <c r="S288" s="10">
        <f>CHOOSE(CONTROL!$C$42, 10.6442, 10.6442) * CHOOSE(CONTROL!$C$21, $C$9, 100%, $E$9)</f>
        <v>10.6442</v>
      </c>
      <c r="T2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57">
        <f>(1000*CHOOSE(CONTROL!$C$42, 695, 695)*CHOOSE(CONTROL!$C$42, 0.5599, 0.5599)*CHOOSE(CONTROL!$C$42, 31, 31))/1000000</f>
        <v>12.063045499999998</v>
      </c>
      <c r="V288" s="57">
        <f>(1000*CHOOSE(CONTROL!$C$42, 500, 500)*CHOOSE(CONTROL!$C$42, 0.275, 0.275)*CHOOSE(CONTROL!$C$42, 31, 31))/1000000</f>
        <v>4.2625000000000002</v>
      </c>
      <c r="W288" s="57">
        <f>(1000*CHOOSE(CONTROL!$C$42, 0.1146, 0.1146)*CHOOSE(CONTROL!$C$42, 121.5, 121.5)*CHOOSE(CONTROL!$C$42, 31, 31))/1000000</f>
        <v>0.43164089999999994</v>
      </c>
      <c r="X288" s="57">
        <f>(31*0.1790888*100000/1000000)+(31*0.2374*100000/1000000)</f>
        <v>1.2911152800000001</v>
      </c>
      <c r="Y288" s="57"/>
      <c r="Z288" s="10"/>
      <c r="AA288" s="56"/>
      <c r="AB288" s="50">
        <f>(B288*122.58+C288*297.941+D288*89.177+E288*40.302+F288*40+G288*160+H288*0+I288*100+J288*300)/(122.58+297.941+89.177+40.302+0+40+160+100+300)</f>
        <v>10.973321554</v>
      </c>
      <c r="AC288" s="45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10.904907194244606</v>
      </c>
    </row>
    <row r="289" spans="1:29" ht="15.75" x14ac:dyDescent="0.25">
      <c r="A289" s="15">
        <v>49675</v>
      </c>
      <c r="B289" s="10">
        <f>CHOOSE(CONTROL!$C$42, 11.8612, 11.8612) * CHOOSE(CONTROL!$C$21, $C$9, 100%, $E$9)</f>
        <v>11.8612</v>
      </c>
      <c r="C289" s="10">
        <f>CHOOSE(CONTROL!$C$42, 11.8661, 11.8661) * CHOOSE(CONTROL!$C$21, $C$9, 100%, $E$9)</f>
        <v>11.866099999999999</v>
      </c>
      <c r="D289" s="10">
        <f>CHOOSE(CONTROL!$C$42, 11.9232, 11.9232) * CHOOSE(CONTROL!$C$21, $C$9, 100%, $E$9)</f>
        <v>11.9232</v>
      </c>
      <c r="E289" s="10">
        <f>CHOOSE(CONTROL!$C$42, 11.957, 11.957) * CHOOSE(CONTROL!$C$21, $C$9, 100%, $E$9)</f>
        <v>11.957000000000001</v>
      </c>
      <c r="F289" s="10">
        <f>CHOOSE(CONTROL!$C$42, 11.859, 11.859)*CHOOSE(CONTROL!$C$21, $C$9, 100%, $E$9)</f>
        <v>11.859</v>
      </c>
      <c r="G289" s="10">
        <f>CHOOSE(CONTROL!$C$42, 11.8736, 11.8736)*CHOOSE(CONTROL!$C$21, $C$9, 100%, $E$9)</f>
        <v>11.8736</v>
      </c>
      <c r="H289" s="10">
        <f>CHOOSE(CONTROL!$C$42, 11.9462, 11.9462) * CHOOSE(CONTROL!$C$21, $C$9, 100%, $E$9)</f>
        <v>11.946199999999999</v>
      </c>
      <c r="I289" s="10">
        <f>CHOOSE(CONTROL!$C$42, 11.872, 11.872)* CHOOSE(CONTROL!$C$21, $C$9, 100%, $E$9)</f>
        <v>11.872</v>
      </c>
      <c r="J289" s="10">
        <f>CHOOSE(CONTROL!$C$42, 11.852, 11.852)* CHOOSE(CONTROL!$C$21, $C$9, 100%, $E$9)</f>
        <v>11.852</v>
      </c>
      <c r="K289" s="53">
        <f>CHOOSE(CONTROL!$C$42, 11.8681, 11.8681) * CHOOSE(CONTROL!$C$21, $C$9, 100%, $E$9)</f>
        <v>11.8681</v>
      </c>
      <c r="L289" s="10">
        <f>CHOOSE(CONTROL!$C$42, 12.5332, 12.5332) * CHOOSE(CONTROL!$C$21, $C$9, 100%, $E$9)</f>
        <v>12.533200000000001</v>
      </c>
      <c r="M289" s="10">
        <f>CHOOSE(CONTROL!$C$42, 11.7462, 11.7462) * CHOOSE(CONTROL!$C$21, $C$9, 100%, $E$9)</f>
        <v>11.7462</v>
      </c>
      <c r="N289" s="10">
        <f>CHOOSE(CONTROL!$C$42, 11.7607, 11.7607) * CHOOSE(CONTROL!$C$21, $C$9, 100%, $E$9)</f>
        <v>11.7607</v>
      </c>
      <c r="O289" s="10">
        <f>CHOOSE(CONTROL!$C$42, 11.8395, 11.8395) * CHOOSE(CONTROL!$C$21, $C$9, 100%, $E$9)</f>
        <v>11.839499999999999</v>
      </c>
      <c r="P289" s="10">
        <f>CHOOSE(CONTROL!$C$42, 11.766, 11.766) * CHOOSE(CONTROL!$C$21, $C$9, 100%, $E$9)</f>
        <v>11.766</v>
      </c>
      <c r="Q289" s="10">
        <f>CHOOSE(CONTROL!$C$42, 12.4348, 12.4348) * CHOOSE(CONTROL!$C$21, $C$9, 100%, $E$9)</f>
        <v>12.434799999999999</v>
      </c>
      <c r="R289" s="10">
        <f>CHOOSE(CONTROL!$C$42, 13.0528, 13.0528) * CHOOSE(CONTROL!$C$21, $C$9, 100%, $E$9)</f>
        <v>13.0528</v>
      </c>
      <c r="S289" s="10">
        <f>CHOOSE(CONTROL!$C$42, 11.5163, 11.5163) * CHOOSE(CONTROL!$C$21, $C$9, 100%, $E$9)</f>
        <v>11.516299999999999</v>
      </c>
      <c r="T2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57">
        <f>(1000*CHOOSE(CONTROL!$C$42, 695, 695)*CHOOSE(CONTROL!$C$42, 0.5599, 0.5599)*CHOOSE(CONTROL!$C$42, 31, 31))/1000000</f>
        <v>12.063045499999998</v>
      </c>
      <c r="V289" s="57">
        <f>(1000*CHOOSE(CONTROL!$C$42, 500, 500)*CHOOSE(CONTROL!$C$42, 0.275, 0.275)*CHOOSE(CONTROL!$C$42, 31, 31))/1000000</f>
        <v>4.2625000000000002</v>
      </c>
      <c r="W289" s="57">
        <f>(1000*CHOOSE(CONTROL!$C$42, 0.1146, 0.1146)*CHOOSE(CONTROL!$C$42, 121.5, 121.5)*CHOOSE(CONTROL!$C$42, 31, 31))/1000000</f>
        <v>0.43164089999999994</v>
      </c>
      <c r="X289" s="57">
        <f>(31*0.1790888*100000/1000000)+(31*0.2374*100000/1000000)</f>
        <v>1.2911152800000001</v>
      </c>
      <c r="Y289" s="57"/>
      <c r="Z289" s="10"/>
      <c r="AA289" s="56"/>
      <c r="AB289" s="50">
        <f>(B289*122.58+C289*297.941+D289*89.177+E289*40.302+F289*40+G289*160+H289*0+I289*100+J289*300)/(122.58+297.941+89.177+40.302+0+40+160+100+300)</f>
        <v>11.870822449130435</v>
      </c>
      <c r="AC289" s="45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11.792170503597122</v>
      </c>
    </row>
    <row r="290" spans="1:29" ht="15.75" x14ac:dyDescent="0.25">
      <c r="A290" s="15">
        <v>49706</v>
      </c>
      <c r="B290" s="10">
        <f>CHOOSE(CONTROL!$C$42, 12.0723, 12.0723) * CHOOSE(CONTROL!$C$21, $C$9, 100%, $E$9)</f>
        <v>12.0723</v>
      </c>
      <c r="C290" s="10">
        <f>CHOOSE(CONTROL!$C$42, 12.0772, 12.0772) * CHOOSE(CONTROL!$C$21, $C$9, 100%, $E$9)</f>
        <v>12.077199999999999</v>
      </c>
      <c r="D290" s="10">
        <f>CHOOSE(CONTROL!$C$42, 12.1343, 12.1343) * CHOOSE(CONTROL!$C$21, $C$9, 100%, $E$9)</f>
        <v>12.1343</v>
      </c>
      <c r="E290" s="10">
        <f>CHOOSE(CONTROL!$C$42, 12.1681, 12.1681) * CHOOSE(CONTROL!$C$21, $C$9, 100%, $E$9)</f>
        <v>12.168100000000001</v>
      </c>
      <c r="F290" s="10">
        <f>CHOOSE(CONTROL!$C$42, 12.0702, 12.0702)*CHOOSE(CONTROL!$C$21, $C$9, 100%, $E$9)</f>
        <v>12.0702</v>
      </c>
      <c r="G290" s="10">
        <f>CHOOSE(CONTROL!$C$42, 12.0849, 12.0849)*CHOOSE(CONTROL!$C$21, $C$9, 100%, $E$9)</f>
        <v>12.084899999999999</v>
      </c>
      <c r="H290" s="10">
        <f>CHOOSE(CONTROL!$C$42, 12.1573, 12.1573) * CHOOSE(CONTROL!$C$21, $C$9, 100%, $E$9)</f>
        <v>12.157299999999999</v>
      </c>
      <c r="I290" s="10">
        <f>CHOOSE(CONTROL!$C$42, 12.0831, 12.0831)* CHOOSE(CONTROL!$C$21, $C$9, 100%, $E$9)</f>
        <v>12.0831</v>
      </c>
      <c r="J290" s="10">
        <f>CHOOSE(CONTROL!$C$42, 12.0632, 12.0632)* CHOOSE(CONTROL!$C$21, $C$9, 100%, $E$9)</f>
        <v>12.0632</v>
      </c>
      <c r="K290" s="53">
        <f>CHOOSE(CONTROL!$C$42, 12.0792, 12.0792) * CHOOSE(CONTROL!$C$21, $C$9, 100%, $E$9)</f>
        <v>12.0792</v>
      </c>
      <c r="L290" s="10">
        <f>CHOOSE(CONTROL!$C$42, 12.7443, 12.7443) * CHOOSE(CONTROL!$C$21, $C$9, 100%, $E$9)</f>
        <v>12.744300000000001</v>
      </c>
      <c r="M290" s="10">
        <f>CHOOSE(CONTROL!$C$42, 11.9553, 11.9553) * CHOOSE(CONTROL!$C$21, $C$9, 100%, $E$9)</f>
        <v>11.955299999999999</v>
      </c>
      <c r="N290" s="10">
        <f>CHOOSE(CONTROL!$C$42, 11.9698, 11.9698) * CHOOSE(CONTROL!$C$21, $C$9, 100%, $E$9)</f>
        <v>11.969799999999999</v>
      </c>
      <c r="O290" s="10">
        <f>CHOOSE(CONTROL!$C$42, 12.0484, 12.0484) * CHOOSE(CONTROL!$C$21, $C$9, 100%, $E$9)</f>
        <v>12.048400000000001</v>
      </c>
      <c r="P290" s="10">
        <f>CHOOSE(CONTROL!$C$42, 11.975, 11.975) * CHOOSE(CONTROL!$C$21, $C$9, 100%, $E$9)</f>
        <v>11.975</v>
      </c>
      <c r="Q290" s="10">
        <f>CHOOSE(CONTROL!$C$42, 12.6437, 12.6437) * CHOOSE(CONTROL!$C$21, $C$9, 100%, $E$9)</f>
        <v>12.643700000000001</v>
      </c>
      <c r="R290" s="10">
        <f>CHOOSE(CONTROL!$C$42, 13.2623, 13.2623) * CHOOSE(CONTROL!$C$21, $C$9, 100%, $E$9)</f>
        <v>13.2623</v>
      </c>
      <c r="S290" s="10">
        <f>CHOOSE(CONTROL!$C$42, 11.7213, 11.7213) * CHOOSE(CONTROL!$C$21, $C$9, 100%, $E$9)</f>
        <v>11.721299999999999</v>
      </c>
      <c r="T29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90" s="57">
        <f>(1000*CHOOSE(CONTROL!$C$42, 695, 695)*CHOOSE(CONTROL!$C$42, 0.5599, 0.5599)*CHOOSE(CONTROL!$C$42, 29, 29))/1000000</f>
        <v>11.284784499999999</v>
      </c>
      <c r="V290" s="57">
        <f>(1000*CHOOSE(CONTROL!$C$42, 500, 500)*CHOOSE(CONTROL!$C$42, 0.275, 0.275)*CHOOSE(CONTROL!$C$42, 29, 29))/1000000</f>
        <v>3.9874999999999998</v>
      </c>
      <c r="W290" s="57">
        <f>(1000*CHOOSE(CONTROL!$C$42, 0.1146, 0.1146)*CHOOSE(CONTROL!$C$42, 121.5, 121.5)*CHOOSE(CONTROL!$C$42, 29, 29))/1000000</f>
        <v>0.40379309999999996</v>
      </c>
      <c r="X290" s="57">
        <f>(29*0.1790888*100000/1000000)+(29*0.2374*100000/1000000)</f>
        <v>1.2078175199999999</v>
      </c>
      <c r="Y290" s="57"/>
      <c r="Z290" s="10"/>
      <c r="AA290" s="56"/>
      <c r="AB290" s="50">
        <f>(B290*122.58+C290*297.941+D290*89.177+E290*40.302+F290*40+G290*160+H290*0+I290*100+J290*300)/(122.58+297.941+89.177+40.302+0+40+160+100+300)</f>
        <v>12.08197984043478</v>
      </c>
      <c r="AC290" s="45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12.001165467625899</v>
      </c>
    </row>
    <row r="291" spans="1:29" ht="15.75" x14ac:dyDescent="0.25">
      <c r="A291" s="15">
        <v>49735</v>
      </c>
      <c r="B291" s="10">
        <f>CHOOSE(CONTROL!$C$42, 11.7296, 11.7296) * CHOOSE(CONTROL!$C$21, $C$9, 100%, $E$9)</f>
        <v>11.7296</v>
      </c>
      <c r="C291" s="10">
        <f>CHOOSE(CONTROL!$C$42, 11.7346, 11.7346) * CHOOSE(CONTROL!$C$21, $C$9, 100%, $E$9)</f>
        <v>11.7346</v>
      </c>
      <c r="D291" s="10">
        <f>CHOOSE(CONTROL!$C$42, 11.7917, 11.7917) * CHOOSE(CONTROL!$C$21, $C$9, 100%, $E$9)</f>
        <v>11.791700000000001</v>
      </c>
      <c r="E291" s="10">
        <f>CHOOSE(CONTROL!$C$42, 11.8254, 11.8254) * CHOOSE(CONTROL!$C$21, $C$9, 100%, $E$9)</f>
        <v>11.8254</v>
      </c>
      <c r="F291" s="10">
        <f>CHOOSE(CONTROL!$C$42, 11.7274, 11.7274)*CHOOSE(CONTROL!$C$21, $C$9, 100%, $E$9)</f>
        <v>11.727399999999999</v>
      </c>
      <c r="G291" s="10">
        <f>CHOOSE(CONTROL!$C$42, 11.742, 11.742)*CHOOSE(CONTROL!$C$21, $C$9, 100%, $E$9)</f>
        <v>11.742000000000001</v>
      </c>
      <c r="H291" s="10">
        <f>CHOOSE(CONTROL!$C$42, 11.8146, 11.8146) * CHOOSE(CONTROL!$C$21, $C$9, 100%, $E$9)</f>
        <v>11.8146</v>
      </c>
      <c r="I291" s="10">
        <f>CHOOSE(CONTROL!$C$42, 11.7404, 11.7404)* CHOOSE(CONTROL!$C$21, $C$9, 100%, $E$9)</f>
        <v>11.740399999999999</v>
      </c>
      <c r="J291" s="10">
        <f>CHOOSE(CONTROL!$C$42, 11.7204, 11.7204)* CHOOSE(CONTROL!$C$21, $C$9, 100%, $E$9)</f>
        <v>11.7204</v>
      </c>
      <c r="K291" s="53">
        <f>CHOOSE(CONTROL!$C$42, 11.7365, 11.7365) * CHOOSE(CONTROL!$C$21, $C$9, 100%, $E$9)</f>
        <v>11.736499999999999</v>
      </c>
      <c r="L291" s="10">
        <f>CHOOSE(CONTROL!$C$42, 12.4016, 12.4016) * CHOOSE(CONTROL!$C$21, $C$9, 100%, $E$9)</f>
        <v>12.4016</v>
      </c>
      <c r="M291" s="10">
        <f>CHOOSE(CONTROL!$C$42, 11.616, 11.616) * CHOOSE(CONTROL!$C$21, $C$9, 100%, $E$9)</f>
        <v>11.616</v>
      </c>
      <c r="N291" s="10">
        <f>CHOOSE(CONTROL!$C$42, 11.6304, 11.6304) * CHOOSE(CONTROL!$C$21, $C$9, 100%, $E$9)</f>
        <v>11.6304</v>
      </c>
      <c r="O291" s="10">
        <f>CHOOSE(CONTROL!$C$42, 11.7092, 11.7092) * CHOOSE(CONTROL!$C$21, $C$9, 100%, $E$9)</f>
        <v>11.709199999999999</v>
      </c>
      <c r="P291" s="10">
        <f>CHOOSE(CONTROL!$C$42, 11.6358, 11.6358) * CHOOSE(CONTROL!$C$21, $C$9, 100%, $E$9)</f>
        <v>11.6358</v>
      </c>
      <c r="Q291" s="10">
        <f>CHOOSE(CONTROL!$C$42, 12.3045, 12.3045) * CHOOSE(CONTROL!$C$21, $C$9, 100%, $E$9)</f>
        <v>12.304500000000001</v>
      </c>
      <c r="R291" s="10">
        <f>CHOOSE(CONTROL!$C$42, 12.9223, 12.9223) * CHOOSE(CONTROL!$C$21, $C$9, 100%, $E$9)</f>
        <v>12.9223</v>
      </c>
      <c r="S291" s="10">
        <f>CHOOSE(CONTROL!$C$42, 11.3885, 11.3885) * CHOOSE(CONTROL!$C$21, $C$9, 100%, $E$9)</f>
        <v>11.388500000000001</v>
      </c>
      <c r="T2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57">
        <f>(1000*CHOOSE(CONTROL!$C$42, 695, 695)*CHOOSE(CONTROL!$C$42, 0.5599, 0.5599)*CHOOSE(CONTROL!$C$42, 31, 31))/1000000</f>
        <v>12.063045499999998</v>
      </c>
      <c r="V291" s="57">
        <f>(1000*CHOOSE(CONTROL!$C$42, 500, 500)*CHOOSE(CONTROL!$C$42, 0.275, 0.275)*CHOOSE(CONTROL!$C$42, 31, 31))/1000000</f>
        <v>4.2625000000000002</v>
      </c>
      <c r="W291" s="57">
        <f>(1000*CHOOSE(CONTROL!$C$42, 0.1146, 0.1146)*CHOOSE(CONTROL!$C$42, 121.5, 121.5)*CHOOSE(CONTROL!$C$42, 31, 31))/1000000</f>
        <v>0.43164089999999994</v>
      </c>
      <c r="X291" s="57">
        <f>(31*0.1790888*100000/1000000)+(31*0.2374*100000/1000000)</f>
        <v>1.2911152800000001</v>
      </c>
      <c r="Y291" s="57"/>
      <c r="Z291" s="10"/>
      <c r="AA291" s="56"/>
      <c r="AB291" s="50">
        <f>(B291*122.58+C291*297.941+D291*89.177+E291*40.302+F291*40+G291*160+H291*0+I291*100+J291*300)/(122.58+297.941+89.177+40.302+0+40+160+100+300)</f>
        <v>11.739256111565217</v>
      </c>
      <c r="AC291" s="45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11.661919424460431</v>
      </c>
    </row>
    <row r="292" spans="1:29" ht="15.75" x14ac:dyDescent="0.25">
      <c r="A292" s="15">
        <v>49766</v>
      </c>
      <c r="B292" s="10">
        <f>CHOOSE(CONTROL!$C$42, 11.6957, 11.6957) * CHOOSE(CONTROL!$C$21, $C$9, 100%, $E$9)</f>
        <v>11.6957</v>
      </c>
      <c r="C292" s="10">
        <f>CHOOSE(CONTROL!$C$42, 11.7001, 11.7001) * CHOOSE(CONTROL!$C$21, $C$9, 100%, $E$9)</f>
        <v>11.700100000000001</v>
      </c>
      <c r="D292" s="10">
        <f>CHOOSE(CONTROL!$C$42, 11.9059, 11.9059) * CHOOSE(CONTROL!$C$21, $C$9, 100%, $E$9)</f>
        <v>11.905900000000001</v>
      </c>
      <c r="E292" s="10">
        <f>CHOOSE(CONTROL!$C$42, 11.9377, 11.9377) * CHOOSE(CONTROL!$C$21, $C$9, 100%, $E$9)</f>
        <v>11.9377</v>
      </c>
      <c r="F292" s="10">
        <f>CHOOSE(CONTROL!$C$42, 11.6725, 11.6725)*CHOOSE(CONTROL!$C$21, $C$9, 100%, $E$9)</f>
        <v>11.672499999999999</v>
      </c>
      <c r="G292" s="10">
        <f>CHOOSE(CONTROL!$C$42, 11.687, 11.687)*CHOOSE(CONTROL!$C$21, $C$9, 100%, $E$9)</f>
        <v>11.686999999999999</v>
      </c>
      <c r="H292" s="10">
        <f>CHOOSE(CONTROL!$C$42, 11.9275, 11.9275) * CHOOSE(CONTROL!$C$21, $C$9, 100%, $E$9)</f>
        <v>11.9275</v>
      </c>
      <c r="I292" s="10">
        <f>CHOOSE(CONTROL!$C$42, 11.6971, 11.6971)* CHOOSE(CONTROL!$C$21, $C$9, 100%, $E$9)</f>
        <v>11.697100000000001</v>
      </c>
      <c r="J292" s="10">
        <f>CHOOSE(CONTROL!$C$42, 11.6655, 11.6655)* CHOOSE(CONTROL!$C$21, $C$9, 100%, $E$9)</f>
        <v>11.6655</v>
      </c>
      <c r="K292" s="53">
        <f>CHOOSE(CONTROL!$C$42, 11.6932, 11.6932) * CHOOSE(CONTROL!$C$21, $C$9, 100%, $E$9)</f>
        <v>11.693199999999999</v>
      </c>
      <c r="L292" s="10">
        <f>CHOOSE(CONTROL!$C$42, 12.5145, 12.5145) * CHOOSE(CONTROL!$C$21, $C$9, 100%, $E$9)</f>
        <v>12.5145</v>
      </c>
      <c r="M292" s="10">
        <f>CHOOSE(CONTROL!$C$42, 11.5616, 11.5616) * CHOOSE(CONTROL!$C$21, $C$9, 100%, $E$9)</f>
        <v>11.5616</v>
      </c>
      <c r="N292" s="10">
        <f>CHOOSE(CONTROL!$C$42, 11.5759, 11.5759) * CHOOSE(CONTROL!$C$21, $C$9, 100%, $E$9)</f>
        <v>11.575900000000001</v>
      </c>
      <c r="O292" s="10">
        <f>CHOOSE(CONTROL!$C$42, 11.821, 11.821) * CHOOSE(CONTROL!$C$21, $C$9, 100%, $E$9)</f>
        <v>11.821</v>
      </c>
      <c r="P292" s="10">
        <f>CHOOSE(CONTROL!$C$42, 11.5929, 11.5929) * CHOOSE(CONTROL!$C$21, $C$9, 100%, $E$9)</f>
        <v>11.5929</v>
      </c>
      <c r="Q292" s="10">
        <f>CHOOSE(CONTROL!$C$42, 12.4163, 12.4163) * CHOOSE(CONTROL!$C$21, $C$9, 100%, $E$9)</f>
        <v>12.4163</v>
      </c>
      <c r="R292" s="10">
        <f>CHOOSE(CONTROL!$C$42, 13.0343, 13.0343) * CHOOSE(CONTROL!$C$21, $C$9, 100%, $E$9)</f>
        <v>13.0343</v>
      </c>
      <c r="S292" s="10">
        <f>CHOOSE(CONTROL!$C$42, 11.3548, 11.3548) * CHOOSE(CONTROL!$C$21, $C$9, 100%, $E$9)</f>
        <v>11.354799999999999</v>
      </c>
      <c r="T2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57">
        <f>(1000*CHOOSE(CONTROL!$C$42, 695, 695)*CHOOSE(CONTROL!$C$42, 0.5599, 0.5599)*CHOOSE(CONTROL!$C$42, 30, 30))/1000000</f>
        <v>11.673914999999997</v>
      </c>
      <c r="V292" s="57">
        <f>(1000*CHOOSE(CONTROL!$C$42, 500, 500)*CHOOSE(CONTROL!$C$42, 0.275, 0.275)*CHOOSE(CONTROL!$C$42, 30, 30))/1000000</f>
        <v>4.125</v>
      </c>
      <c r="W292" s="57">
        <f>(1000*CHOOSE(CONTROL!$C$42, 0.1146, 0.1146)*CHOOSE(CONTROL!$C$42, 121.5, 121.5)*CHOOSE(CONTROL!$C$42, 30, 30))/1000000</f>
        <v>0.417717</v>
      </c>
      <c r="X292" s="57">
        <f>(30*0.1790888*245000/1000000)+(30*0.2374*100000/1000000)</f>
        <v>2.0285026799999999</v>
      </c>
      <c r="Y292" s="57"/>
      <c r="Z292" s="10"/>
      <c r="AA292" s="56"/>
      <c r="AB292" s="50">
        <f>(B292*141.293+C292*267.993+D292*115.016+E292*89.698+F292*40+G292*185+H292*0+I292*100+J292*300)/(141.293+267.993+115.016+89.698+0+40+185+100+300)</f>
        <v>11.724436842937852</v>
      </c>
      <c r="AC292" s="45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11.642176978417265</v>
      </c>
    </row>
    <row r="293" spans="1:29" ht="15.75" x14ac:dyDescent="0.25">
      <c r="A293" s="15">
        <v>49796</v>
      </c>
      <c r="B293" s="10">
        <f>CHOOSE(CONTROL!$C$42, 11.8003, 11.8003) * CHOOSE(CONTROL!$C$21, $C$9, 100%, $E$9)</f>
        <v>11.8003</v>
      </c>
      <c r="C293" s="10">
        <f>CHOOSE(CONTROL!$C$42, 11.8082, 11.8082) * CHOOSE(CONTROL!$C$21, $C$9, 100%, $E$9)</f>
        <v>11.808199999999999</v>
      </c>
      <c r="D293" s="10">
        <f>CHOOSE(CONTROL!$C$42, 12.0109, 12.0109) * CHOOSE(CONTROL!$C$21, $C$9, 100%, $E$9)</f>
        <v>12.010899999999999</v>
      </c>
      <c r="E293" s="10">
        <f>CHOOSE(CONTROL!$C$42, 12.0421, 12.0421) * CHOOSE(CONTROL!$C$21, $C$9, 100%, $E$9)</f>
        <v>12.0421</v>
      </c>
      <c r="F293" s="10">
        <f>CHOOSE(CONTROL!$C$42, 11.776, 11.776)*CHOOSE(CONTROL!$C$21, $C$9, 100%, $E$9)</f>
        <v>11.776</v>
      </c>
      <c r="G293" s="10">
        <f>CHOOSE(CONTROL!$C$42, 11.791, 11.791)*CHOOSE(CONTROL!$C$21, $C$9, 100%, $E$9)</f>
        <v>11.791</v>
      </c>
      <c r="H293" s="10">
        <f>CHOOSE(CONTROL!$C$42, 12.0307, 12.0307) * CHOOSE(CONTROL!$C$21, $C$9, 100%, $E$9)</f>
        <v>12.0307</v>
      </c>
      <c r="I293" s="10">
        <f>CHOOSE(CONTROL!$C$42, 11.8003, 11.8003)* CHOOSE(CONTROL!$C$21, $C$9, 100%, $E$9)</f>
        <v>11.8003</v>
      </c>
      <c r="J293" s="10">
        <f>CHOOSE(CONTROL!$C$42, 11.769, 11.769)* CHOOSE(CONTROL!$C$21, $C$9, 100%, $E$9)</f>
        <v>11.769</v>
      </c>
      <c r="K293" s="53">
        <f>CHOOSE(CONTROL!$C$42, 11.7964, 11.7964) * CHOOSE(CONTROL!$C$21, $C$9, 100%, $E$9)</f>
        <v>11.7964</v>
      </c>
      <c r="L293" s="10">
        <f>CHOOSE(CONTROL!$C$42, 12.6177, 12.6177) * CHOOSE(CONTROL!$C$21, $C$9, 100%, $E$9)</f>
        <v>12.617699999999999</v>
      </c>
      <c r="M293" s="10">
        <f>CHOOSE(CONTROL!$C$42, 11.664, 11.664) * CHOOSE(CONTROL!$C$21, $C$9, 100%, $E$9)</f>
        <v>11.664</v>
      </c>
      <c r="N293" s="10">
        <f>CHOOSE(CONTROL!$C$42, 11.6789, 11.6789) * CHOOSE(CONTROL!$C$21, $C$9, 100%, $E$9)</f>
        <v>11.678900000000001</v>
      </c>
      <c r="O293" s="10">
        <f>CHOOSE(CONTROL!$C$42, 11.9231, 11.9231) * CHOOSE(CONTROL!$C$21, $C$9, 100%, $E$9)</f>
        <v>11.9231</v>
      </c>
      <c r="P293" s="10">
        <f>CHOOSE(CONTROL!$C$42, 11.6951, 11.6951) * CHOOSE(CONTROL!$C$21, $C$9, 100%, $E$9)</f>
        <v>11.6951</v>
      </c>
      <c r="Q293" s="10">
        <f>CHOOSE(CONTROL!$C$42, 12.5184, 12.5184) * CHOOSE(CONTROL!$C$21, $C$9, 100%, $E$9)</f>
        <v>12.5184</v>
      </c>
      <c r="R293" s="10">
        <f>CHOOSE(CONTROL!$C$42, 13.1367, 13.1367) * CHOOSE(CONTROL!$C$21, $C$9, 100%, $E$9)</f>
        <v>13.136699999999999</v>
      </c>
      <c r="S293" s="10">
        <f>CHOOSE(CONTROL!$C$42, 11.455, 11.455) * CHOOSE(CONTROL!$C$21, $C$9, 100%, $E$9)</f>
        <v>11.455</v>
      </c>
      <c r="T2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57">
        <f>(1000*CHOOSE(CONTROL!$C$42, 695, 695)*CHOOSE(CONTROL!$C$42, 0.5599, 0.5599)*CHOOSE(CONTROL!$C$42, 31, 31))/1000000</f>
        <v>12.063045499999998</v>
      </c>
      <c r="V293" s="57">
        <f>(1000*CHOOSE(CONTROL!$C$42, 500, 500)*CHOOSE(CONTROL!$C$42, 0.275, 0.275)*CHOOSE(CONTROL!$C$42, 31, 31))/1000000</f>
        <v>4.2625000000000002</v>
      </c>
      <c r="W293" s="57">
        <f>(1000*CHOOSE(CONTROL!$C$42, 0.1146, 0.1146)*CHOOSE(CONTROL!$C$42, 121.5, 121.5)*CHOOSE(CONTROL!$C$42, 31, 31))/1000000</f>
        <v>0.43164089999999994</v>
      </c>
      <c r="X293" s="57">
        <f>(31*0.1790888*245000/1000000)+(31*0.2374*100000/1000000)</f>
        <v>2.0961194359999999</v>
      </c>
      <c r="Y293" s="57"/>
      <c r="Z293" s="10"/>
      <c r="AA293" s="56"/>
      <c r="AB293" s="50">
        <f>(B293*194.205+C293*267.466+D293*133.845+E293*53.484+F293*40+G293*185+H293*0+I293*100+J293*300)/(194.205+267.466+133.845+53.484+0+40+185+100+300)</f>
        <v>11.824751075039247</v>
      </c>
      <c r="AC293" s="45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11.744602158273382</v>
      </c>
    </row>
    <row r="294" spans="1:29" ht="15.75" x14ac:dyDescent="0.25">
      <c r="A294" s="15">
        <v>49827</v>
      </c>
      <c r="B294" s="10">
        <f>CHOOSE(CONTROL!$C$42, 12.1348, 12.1348) * CHOOSE(CONTROL!$C$21, $C$9, 100%, $E$9)</f>
        <v>12.1348</v>
      </c>
      <c r="C294" s="10">
        <f>CHOOSE(CONTROL!$C$42, 12.1428, 12.1428) * CHOOSE(CONTROL!$C$21, $C$9, 100%, $E$9)</f>
        <v>12.142799999999999</v>
      </c>
      <c r="D294" s="10">
        <f>CHOOSE(CONTROL!$C$42, 12.3455, 12.3455) * CHOOSE(CONTROL!$C$21, $C$9, 100%, $E$9)</f>
        <v>12.345499999999999</v>
      </c>
      <c r="E294" s="10">
        <f>CHOOSE(CONTROL!$C$42, 12.3766, 12.3766) * CHOOSE(CONTROL!$C$21, $C$9, 100%, $E$9)</f>
        <v>12.3766</v>
      </c>
      <c r="F294" s="10">
        <f>CHOOSE(CONTROL!$C$42, 12.1111, 12.1111)*CHOOSE(CONTROL!$C$21, $C$9, 100%, $E$9)</f>
        <v>12.1111</v>
      </c>
      <c r="G294" s="10">
        <f>CHOOSE(CONTROL!$C$42, 12.1262, 12.1262)*CHOOSE(CONTROL!$C$21, $C$9, 100%, $E$9)</f>
        <v>12.126200000000001</v>
      </c>
      <c r="H294" s="10">
        <f>CHOOSE(CONTROL!$C$42, 12.3653, 12.3653) * CHOOSE(CONTROL!$C$21, $C$9, 100%, $E$9)</f>
        <v>12.3653</v>
      </c>
      <c r="I294" s="10">
        <f>CHOOSE(CONTROL!$C$42, 12.1349, 12.1349)* CHOOSE(CONTROL!$C$21, $C$9, 100%, $E$9)</f>
        <v>12.1349</v>
      </c>
      <c r="J294" s="10">
        <f>CHOOSE(CONTROL!$C$42, 12.1041, 12.1041)* CHOOSE(CONTROL!$C$21, $C$9, 100%, $E$9)</f>
        <v>12.104100000000001</v>
      </c>
      <c r="K294" s="53">
        <f>CHOOSE(CONTROL!$C$42, 12.131, 12.131) * CHOOSE(CONTROL!$C$21, $C$9, 100%, $E$9)</f>
        <v>12.131</v>
      </c>
      <c r="L294" s="10">
        <f>CHOOSE(CONTROL!$C$42, 12.9523, 12.9523) * CHOOSE(CONTROL!$C$21, $C$9, 100%, $E$9)</f>
        <v>12.952299999999999</v>
      </c>
      <c r="M294" s="10">
        <f>CHOOSE(CONTROL!$C$42, 11.9958, 11.9958) * CHOOSE(CONTROL!$C$21, $C$9, 100%, $E$9)</f>
        <v>11.995799999999999</v>
      </c>
      <c r="N294" s="10">
        <f>CHOOSE(CONTROL!$C$42, 12.0107, 12.0107) * CHOOSE(CONTROL!$C$21, $C$9, 100%, $E$9)</f>
        <v>12.0107</v>
      </c>
      <c r="O294" s="10">
        <f>CHOOSE(CONTROL!$C$42, 12.2543, 12.2543) * CHOOSE(CONTROL!$C$21, $C$9, 100%, $E$9)</f>
        <v>12.254300000000001</v>
      </c>
      <c r="P294" s="10">
        <f>CHOOSE(CONTROL!$C$42, 12.0263, 12.0263) * CHOOSE(CONTROL!$C$21, $C$9, 100%, $E$9)</f>
        <v>12.026300000000001</v>
      </c>
      <c r="Q294" s="10">
        <f>CHOOSE(CONTROL!$C$42, 12.8496, 12.8496) * CHOOSE(CONTROL!$C$21, $C$9, 100%, $E$9)</f>
        <v>12.849600000000001</v>
      </c>
      <c r="R294" s="10">
        <f>CHOOSE(CONTROL!$C$42, 13.4687, 13.4687) * CHOOSE(CONTROL!$C$21, $C$9, 100%, $E$9)</f>
        <v>13.4687</v>
      </c>
      <c r="S294" s="10">
        <f>CHOOSE(CONTROL!$C$42, 11.7799, 11.7799) * CHOOSE(CONTROL!$C$21, $C$9, 100%, $E$9)</f>
        <v>11.7799</v>
      </c>
      <c r="T2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57">
        <f>(1000*CHOOSE(CONTROL!$C$42, 695, 695)*CHOOSE(CONTROL!$C$42, 0.5599, 0.5599)*CHOOSE(CONTROL!$C$42, 30, 30))/1000000</f>
        <v>11.673914999999997</v>
      </c>
      <c r="V294" s="57">
        <f>(1000*CHOOSE(CONTROL!$C$42, 500, 500)*CHOOSE(CONTROL!$C$42, 0.275, 0.275)*CHOOSE(CONTROL!$C$42, 30, 30))/1000000</f>
        <v>4.125</v>
      </c>
      <c r="W294" s="57">
        <f>(1000*CHOOSE(CONTROL!$C$42, 0.1146, 0.1146)*CHOOSE(CONTROL!$C$42, 121.5, 121.5)*CHOOSE(CONTROL!$C$42, 30, 30))/1000000</f>
        <v>0.417717</v>
      </c>
      <c r="X294" s="57">
        <f>(30*0.1790888*245000/1000000)+(30*0.2374*100000/1000000)</f>
        <v>2.0285026799999999</v>
      </c>
      <c r="Y294" s="57"/>
      <c r="Z294" s="10"/>
      <c r="AA294" s="56"/>
      <c r="AB294" s="50">
        <f>(B294*194.205+C294*267.466+D294*133.845+E294*53.484+F294*40+G294*185+H294*0+I294*100+J294*300)/(194.205+267.466+133.845+53.484+0+40+185+100+300)</f>
        <v>12.159552198351648</v>
      </c>
      <c r="AC294" s="45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12.07614748201439</v>
      </c>
    </row>
    <row r="295" spans="1:29" ht="15.75" x14ac:dyDescent="0.25">
      <c r="A295" s="15">
        <v>49857</v>
      </c>
      <c r="B295" s="10">
        <f>CHOOSE(CONTROL!$C$42, 11.9022, 11.9022) * CHOOSE(CONTROL!$C$21, $C$9, 100%, $E$9)</f>
        <v>11.902200000000001</v>
      </c>
      <c r="C295" s="10">
        <f>CHOOSE(CONTROL!$C$42, 11.9101, 11.9101) * CHOOSE(CONTROL!$C$21, $C$9, 100%, $E$9)</f>
        <v>11.9101</v>
      </c>
      <c r="D295" s="10">
        <f>CHOOSE(CONTROL!$C$42, 12.1128, 12.1128) * CHOOSE(CONTROL!$C$21, $C$9, 100%, $E$9)</f>
        <v>12.1128</v>
      </c>
      <c r="E295" s="10">
        <f>CHOOSE(CONTROL!$C$42, 12.1439, 12.1439) * CHOOSE(CONTROL!$C$21, $C$9, 100%, $E$9)</f>
        <v>12.1439</v>
      </c>
      <c r="F295" s="10">
        <f>CHOOSE(CONTROL!$C$42, 11.8789, 11.8789)*CHOOSE(CONTROL!$C$21, $C$9, 100%, $E$9)</f>
        <v>11.8789</v>
      </c>
      <c r="G295" s="10">
        <f>CHOOSE(CONTROL!$C$42, 11.8942, 11.8942)*CHOOSE(CONTROL!$C$21, $C$9, 100%, $E$9)</f>
        <v>11.8942</v>
      </c>
      <c r="H295" s="10">
        <f>CHOOSE(CONTROL!$C$42, 12.1326, 12.1326) * CHOOSE(CONTROL!$C$21, $C$9, 100%, $E$9)</f>
        <v>12.1326</v>
      </c>
      <c r="I295" s="10">
        <f>CHOOSE(CONTROL!$C$42, 11.9022, 11.9022)* CHOOSE(CONTROL!$C$21, $C$9, 100%, $E$9)</f>
        <v>11.902200000000001</v>
      </c>
      <c r="J295" s="10">
        <f>CHOOSE(CONTROL!$C$42, 11.8719, 11.8719)* CHOOSE(CONTROL!$C$21, $C$9, 100%, $E$9)</f>
        <v>11.8719</v>
      </c>
      <c r="K295" s="53">
        <f>CHOOSE(CONTROL!$C$42, 11.8983, 11.8983) * CHOOSE(CONTROL!$C$21, $C$9, 100%, $E$9)</f>
        <v>11.898300000000001</v>
      </c>
      <c r="L295" s="10">
        <f>CHOOSE(CONTROL!$C$42, 12.7196, 12.7196) * CHOOSE(CONTROL!$C$21, $C$9, 100%, $E$9)</f>
        <v>12.7196</v>
      </c>
      <c r="M295" s="10">
        <f>CHOOSE(CONTROL!$C$42, 11.7659, 11.7659) * CHOOSE(CONTROL!$C$21, $C$9, 100%, $E$9)</f>
        <v>11.7659</v>
      </c>
      <c r="N295" s="10">
        <f>CHOOSE(CONTROL!$C$42, 11.781, 11.781) * CHOOSE(CONTROL!$C$21, $C$9, 100%, $E$9)</f>
        <v>11.781000000000001</v>
      </c>
      <c r="O295" s="10">
        <f>CHOOSE(CONTROL!$C$42, 12.024, 12.024) * CHOOSE(CONTROL!$C$21, $C$9, 100%, $E$9)</f>
        <v>12.023999999999999</v>
      </c>
      <c r="P295" s="10">
        <f>CHOOSE(CONTROL!$C$42, 11.7959, 11.7959) * CHOOSE(CONTROL!$C$21, $C$9, 100%, $E$9)</f>
        <v>11.7959</v>
      </c>
      <c r="Q295" s="10">
        <f>CHOOSE(CONTROL!$C$42, 12.6193, 12.6193) * CHOOSE(CONTROL!$C$21, $C$9, 100%, $E$9)</f>
        <v>12.619300000000001</v>
      </c>
      <c r="R295" s="10">
        <f>CHOOSE(CONTROL!$C$42, 13.2378, 13.2378) * CHOOSE(CONTROL!$C$21, $C$9, 100%, $E$9)</f>
        <v>13.2378</v>
      </c>
      <c r="S295" s="10">
        <f>CHOOSE(CONTROL!$C$42, 11.5539, 11.5539) * CHOOSE(CONTROL!$C$21, $C$9, 100%, $E$9)</f>
        <v>11.553900000000001</v>
      </c>
      <c r="T2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57">
        <f>(1000*CHOOSE(CONTROL!$C$42, 695, 695)*CHOOSE(CONTROL!$C$42, 0.5599, 0.5599)*CHOOSE(CONTROL!$C$42, 31, 31))/1000000</f>
        <v>12.063045499999998</v>
      </c>
      <c r="V295" s="57">
        <f>(1000*CHOOSE(CONTROL!$C$42, 500, 500)*CHOOSE(CONTROL!$C$42, 0.275, 0.275)*CHOOSE(CONTROL!$C$42, 31, 31))/1000000</f>
        <v>4.2625000000000002</v>
      </c>
      <c r="W295" s="57">
        <f>(1000*CHOOSE(CONTROL!$C$42, 0.1146, 0.1146)*CHOOSE(CONTROL!$C$42, 121.5, 121.5)*CHOOSE(CONTROL!$C$42, 31, 31))/1000000</f>
        <v>0.43164089999999994</v>
      </c>
      <c r="X295" s="57">
        <f>(31*0.1790888*245000/1000000)+(31*0.2374*100000/1000000)</f>
        <v>2.0961194359999999</v>
      </c>
      <c r="Y295" s="57"/>
      <c r="Z295" s="10"/>
      <c r="AA295" s="56"/>
      <c r="AB295" s="50">
        <f>(B295*194.205+C295*267.466+D295*133.845+E295*53.484+F295*40+G295*185+H295*0+I295*100+J295*300)/(194.205+267.466+133.845+53.484+0+40+185+100+300)</f>
        <v>11.927102528414443</v>
      </c>
      <c r="AC295" s="45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11.846109352517987</v>
      </c>
    </row>
    <row r="296" spans="1:29" ht="15.75" x14ac:dyDescent="0.25">
      <c r="A296" s="15">
        <v>49888</v>
      </c>
      <c r="B296" s="10">
        <f>CHOOSE(CONTROL!$C$42, 11.3145, 11.3145) * CHOOSE(CONTROL!$C$21, $C$9, 100%, $E$9)</f>
        <v>11.314500000000001</v>
      </c>
      <c r="C296" s="10">
        <f>CHOOSE(CONTROL!$C$42, 11.3224, 11.3224) * CHOOSE(CONTROL!$C$21, $C$9, 100%, $E$9)</f>
        <v>11.3224</v>
      </c>
      <c r="D296" s="10">
        <f>CHOOSE(CONTROL!$C$42, 11.5252, 11.5252) * CHOOSE(CONTROL!$C$21, $C$9, 100%, $E$9)</f>
        <v>11.5252</v>
      </c>
      <c r="E296" s="10">
        <f>CHOOSE(CONTROL!$C$42, 11.5563, 11.5563) * CHOOSE(CONTROL!$C$21, $C$9, 100%, $E$9)</f>
        <v>11.5563</v>
      </c>
      <c r="F296" s="10">
        <f>CHOOSE(CONTROL!$C$42, 11.2915, 11.2915)*CHOOSE(CONTROL!$C$21, $C$9, 100%, $E$9)</f>
        <v>11.291499999999999</v>
      </c>
      <c r="G296" s="10">
        <f>CHOOSE(CONTROL!$C$42, 11.3068, 11.3068)*CHOOSE(CONTROL!$C$21, $C$9, 100%, $E$9)</f>
        <v>11.306800000000001</v>
      </c>
      <c r="H296" s="10">
        <f>CHOOSE(CONTROL!$C$42, 11.5449, 11.5449) * CHOOSE(CONTROL!$C$21, $C$9, 100%, $E$9)</f>
        <v>11.5449</v>
      </c>
      <c r="I296" s="10">
        <f>CHOOSE(CONTROL!$C$42, 11.3146, 11.3146)* CHOOSE(CONTROL!$C$21, $C$9, 100%, $E$9)</f>
        <v>11.3146</v>
      </c>
      <c r="J296" s="10">
        <f>CHOOSE(CONTROL!$C$42, 11.2845, 11.2845)* CHOOSE(CONTROL!$C$21, $C$9, 100%, $E$9)</f>
        <v>11.2845</v>
      </c>
      <c r="K296" s="53">
        <f>CHOOSE(CONTROL!$C$42, 11.3107, 11.3107) * CHOOSE(CONTROL!$C$21, $C$9, 100%, $E$9)</f>
        <v>11.310700000000001</v>
      </c>
      <c r="L296" s="10">
        <f>CHOOSE(CONTROL!$C$42, 12.1319, 12.1319) * CHOOSE(CONTROL!$C$21, $C$9, 100%, $E$9)</f>
        <v>12.1319</v>
      </c>
      <c r="M296" s="10">
        <f>CHOOSE(CONTROL!$C$42, 11.1844, 11.1844) * CHOOSE(CONTROL!$C$21, $C$9, 100%, $E$9)</f>
        <v>11.1844</v>
      </c>
      <c r="N296" s="10">
        <f>CHOOSE(CONTROL!$C$42, 11.1996, 11.1996) * CHOOSE(CONTROL!$C$21, $C$9, 100%, $E$9)</f>
        <v>11.1996</v>
      </c>
      <c r="O296" s="10">
        <f>CHOOSE(CONTROL!$C$42, 11.4423, 11.4423) * CHOOSE(CONTROL!$C$21, $C$9, 100%, $E$9)</f>
        <v>11.442299999999999</v>
      </c>
      <c r="P296" s="10">
        <f>CHOOSE(CONTROL!$C$42, 11.2142, 11.2142) * CHOOSE(CONTROL!$C$21, $C$9, 100%, $E$9)</f>
        <v>11.2142</v>
      </c>
      <c r="Q296" s="10">
        <f>CHOOSE(CONTROL!$C$42, 12.0376, 12.0376) * CHOOSE(CONTROL!$C$21, $C$9, 100%, $E$9)</f>
        <v>12.037599999999999</v>
      </c>
      <c r="R296" s="10">
        <f>CHOOSE(CONTROL!$C$42, 12.6546, 12.6546) * CHOOSE(CONTROL!$C$21, $C$9, 100%, $E$9)</f>
        <v>12.6546</v>
      </c>
      <c r="S296" s="10">
        <f>CHOOSE(CONTROL!$C$42, 10.9833, 10.9833) * CHOOSE(CONTROL!$C$21, $C$9, 100%, $E$9)</f>
        <v>10.9833</v>
      </c>
      <c r="T2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57">
        <f>(1000*CHOOSE(CONTROL!$C$42, 695, 695)*CHOOSE(CONTROL!$C$42, 0.5599, 0.5599)*CHOOSE(CONTROL!$C$42, 31, 31))/1000000</f>
        <v>12.063045499999998</v>
      </c>
      <c r="V296" s="57">
        <f>(1000*CHOOSE(CONTROL!$C$42, 500, 500)*CHOOSE(CONTROL!$C$42, 0.275, 0.275)*CHOOSE(CONTROL!$C$42, 31, 31))/1000000</f>
        <v>4.2625000000000002</v>
      </c>
      <c r="W296" s="57">
        <f>(1000*CHOOSE(CONTROL!$C$42, 0.1146, 0.1146)*CHOOSE(CONTROL!$C$42, 121.5, 121.5)*CHOOSE(CONTROL!$C$42, 31, 31))/1000000</f>
        <v>0.43164089999999994</v>
      </c>
      <c r="X296" s="57">
        <f>(31*0.1790888*245000/1000000)+(31*0.2374*100000/1000000)</f>
        <v>2.0961194359999999</v>
      </c>
      <c r="Y296" s="57"/>
      <c r="Z296" s="10"/>
      <c r="AA296" s="56"/>
      <c r="AB296" s="50">
        <f>(B296*194.205+C296*267.466+D296*133.845+E296*53.484+F296*40+G296*185+H296*0+I296*100+J296*300)/(194.205+267.466+133.845+53.484+0+40+185+100+300)</f>
        <v>11.339548708084774</v>
      </c>
      <c r="AC296" s="45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11.264547482014388</v>
      </c>
    </row>
    <row r="297" spans="1:29" ht="15.75" x14ac:dyDescent="0.25">
      <c r="A297" s="15">
        <v>49919</v>
      </c>
      <c r="B297" s="10">
        <f>CHOOSE(CONTROL!$C$42, 10.5961, 10.5961) * CHOOSE(CONTROL!$C$21, $C$9, 100%, $E$9)</f>
        <v>10.5961</v>
      </c>
      <c r="C297" s="10">
        <f>CHOOSE(CONTROL!$C$42, 10.6041, 10.6041) * CHOOSE(CONTROL!$C$21, $C$9, 100%, $E$9)</f>
        <v>10.604100000000001</v>
      </c>
      <c r="D297" s="10">
        <f>CHOOSE(CONTROL!$C$42, 10.8068, 10.8068) * CHOOSE(CONTROL!$C$21, $C$9, 100%, $E$9)</f>
        <v>10.806800000000001</v>
      </c>
      <c r="E297" s="10">
        <f>CHOOSE(CONTROL!$C$42, 10.8379, 10.8379) * CHOOSE(CONTROL!$C$21, $C$9, 100%, $E$9)</f>
        <v>10.837899999999999</v>
      </c>
      <c r="F297" s="10">
        <f>CHOOSE(CONTROL!$C$42, 10.5729, 10.5729)*CHOOSE(CONTROL!$C$21, $C$9, 100%, $E$9)</f>
        <v>10.572900000000001</v>
      </c>
      <c r="G297" s="10">
        <f>CHOOSE(CONTROL!$C$42, 10.5882, 10.5882)*CHOOSE(CONTROL!$C$21, $C$9, 100%, $E$9)</f>
        <v>10.588200000000001</v>
      </c>
      <c r="H297" s="10">
        <f>CHOOSE(CONTROL!$C$42, 10.8266, 10.8266) * CHOOSE(CONTROL!$C$21, $C$9, 100%, $E$9)</f>
        <v>10.826599999999999</v>
      </c>
      <c r="I297" s="10">
        <f>CHOOSE(CONTROL!$C$42, 10.5962, 10.5962)* CHOOSE(CONTROL!$C$21, $C$9, 100%, $E$9)</f>
        <v>10.5962</v>
      </c>
      <c r="J297" s="10">
        <f>CHOOSE(CONTROL!$C$42, 10.5659, 10.5659)* CHOOSE(CONTROL!$C$21, $C$9, 100%, $E$9)</f>
        <v>10.565899999999999</v>
      </c>
      <c r="K297" s="53">
        <f>CHOOSE(CONTROL!$C$42, 10.5923, 10.5923) * CHOOSE(CONTROL!$C$21, $C$9, 100%, $E$9)</f>
        <v>10.5923</v>
      </c>
      <c r="L297" s="10">
        <f>CHOOSE(CONTROL!$C$42, 11.4136, 11.4136) * CHOOSE(CONTROL!$C$21, $C$9, 100%, $E$9)</f>
        <v>11.413600000000001</v>
      </c>
      <c r="M297" s="10">
        <f>CHOOSE(CONTROL!$C$42, 10.4731, 10.4731) * CHOOSE(CONTROL!$C$21, $C$9, 100%, $E$9)</f>
        <v>10.473100000000001</v>
      </c>
      <c r="N297" s="10">
        <f>CHOOSE(CONTROL!$C$42, 10.4883, 10.4883) * CHOOSE(CONTROL!$C$21, $C$9, 100%, $E$9)</f>
        <v>10.488300000000001</v>
      </c>
      <c r="O297" s="10">
        <f>CHOOSE(CONTROL!$C$42, 10.7311, 10.7311) * CHOOSE(CONTROL!$C$21, $C$9, 100%, $E$9)</f>
        <v>10.7311</v>
      </c>
      <c r="P297" s="10">
        <f>CHOOSE(CONTROL!$C$42, 10.5031, 10.5031) * CHOOSE(CONTROL!$C$21, $C$9, 100%, $E$9)</f>
        <v>10.5031</v>
      </c>
      <c r="Q297" s="10">
        <f>CHOOSE(CONTROL!$C$42, 11.3264, 11.3264) * CHOOSE(CONTROL!$C$21, $C$9, 100%, $E$9)</f>
        <v>11.3264</v>
      </c>
      <c r="R297" s="10">
        <f>CHOOSE(CONTROL!$C$42, 11.9417, 11.9417) * CHOOSE(CONTROL!$C$21, $C$9, 100%, $E$9)</f>
        <v>11.941700000000001</v>
      </c>
      <c r="S297" s="10">
        <f>CHOOSE(CONTROL!$C$42, 10.2857, 10.2857) * CHOOSE(CONTROL!$C$21, $C$9, 100%, $E$9)</f>
        <v>10.2857</v>
      </c>
      <c r="T2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57">
        <f>(1000*CHOOSE(CONTROL!$C$42, 695, 695)*CHOOSE(CONTROL!$C$42, 0.5599, 0.5599)*CHOOSE(CONTROL!$C$42, 30, 30))/1000000</f>
        <v>11.673914999999997</v>
      </c>
      <c r="V297" s="57">
        <f>(1000*CHOOSE(CONTROL!$C$42, 500, 500)*CHOOSE(CONTROL!$C$42, 0.275, 0.275)*CHOOSE(CONTROL!$C$42, 30, 30))/1000000</f>
        <v>4.125</v>
      </c>
      <c r="W297" s="57">
        <f>(1000*CHOOSE(CONTROL!$C$42, 0.1146, 0.1146)*CHOOSE(CONTROL!$C$42, 121.5, 121.5)*CHOOSE(CONTROL!$C$42, 30, 30))/1000000</f>
        <v>0.417717</v>
      </c>
      <c r="X297" s="57">
        <f>(30*0.1790888*245000/1000000)+(30*0.2374*100000/1000000)</f>
        <v>2.0285026799999999</v>
      </c>
      <c r="Y297" s="57"/>
      <c r="Z297" s="10"/>
      <c r="AA297" s="56"/>
      <c r="AB297" s="50">
        <f>(B297*194.205+C297*267.466+D297*133.845+E297*53.484+F297*40+G297*185+H297*0+I297*100+J297*300)/(194.205+267.466+133.845+53.484+0+40+185+100+300)</f>
        <v>10.621087284693877</v>
      </c>
      <c r="AC297" s="45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10.553304316546763</v>
      </c>
    </row>
    <row r="298" spans="1:29" ht="15.75" x14ac:dyDescent="0.25">
      <c r="A298" s="15">
        <v>49949</v>
      </c>
      <c r="B298" s="10">
        <f>CHOOSE(CONTROL!$C$42, 10.3793, 10.3793) * CHOOSE(CONTROL!$C$21, $C$9, 100%, $E$9)</f>
        <v>10.379300000000001</v>
      </c>
      <c r="C298" s="10">
        <f>CHOOSE(CONTROL!$C$42, 10.3846, 10.3846) * CHOOSE(CONTROL!$C$21, $C$9, 100%, $E$9)</f>
        <v>10.384600000000001</v>
      </c>
      <c r="D298" s="10">
        <f>CHOOSE(CONTROL!$C$42, 10.5923, 10.5923) * CHOOSE(CONTROL!$C$21, $C$9, 100%, $E$9)</f>
        <v>10.5923</v>
      </c>
      <c r="E298" s="10">
        <f>CHOOSE(CONTROL!$C$42, 10.6211, 10.6211) * CHOOSE(CONTROL!$C$21, $C$9, 100%, $E$9)</f>
        <v>10.6211</v>
      </c>
      <c r="F298" s="10">
        <f>CHOOSE(CONTROL!$C$42, 10.3581, 10.3581)*CHOOSE(CONTROL!$C$21, $C$9, 100%, $E$9)</f>
        <v>10.3581</v>
      </c>
      <c r="G298" s="10">
        <f>CHOOSE(CONTROL!$C$42, 10.373, 10.373)*CHOOSE(CONTROL!$C$21, $C$9, 100%, $E$9)</f>
        <v>10.372999999999999</v>
      </c>
      <c r="H298" s="10">
        <f>CHOOSE(CONTROL!$C$42, 10.6115, 10.6115) * CHOOSE(CONTROL!$C$21, $C$9, 100%, $E$9)</f>
        <v>10.611499999999999</v>
      </c>
      <c r="I298" s="10">
        <f>CHOOSE(CONTROL!$C$42, 10.3811, 10.3811)* CHOOSE(CONTROL!$C$21, $C$9, 100%, $E$9)</f>
        <v>10.3811</v>
      </c>
      <c r="J298" s="10">
        <f>CHOOSE(CONTROL!$C$42, 10.3511, 10.3511)* CHOOSE(CONTROL!$C$21, $C$9, 100%, $E$9)</f>
        <v>10.351100000000001</v>
      </c>
      <c r="K298" s="53">
        <f>CHOOSE(CONTROL!$C$42, 10.3773, 10.3773) * CHOOSE(CONTROL!$C$21, $C$9, 100%, $E$9)</f>
        <v>10.3773</v>
      </c>
      <c r="L298" s="10">
        <f>CHOOSE(CONTROL!$C$42, 11.1985, 11.1985) * CHOOSE(CONTROL!$C$21, $C$9, 100%, $E$9)</f>
        <v>11.198499999999999</v>
      </c>
      <c r="M298" s="10">
        <f>CHOOSE(CONTROL!$C$42, 10.2604, 10.2604) * CHOOSE(CONTROL!$C$21, $C$9, 100%, $E$9)</f>
        <v>10.260400000000001</v>
      </c>
      <c r="N298" s="10">
        <f>CHOOSE(CONTROL!$C$42, 10.2752, 10.2752) * CHOOSE(CONTROL!$C$21, $C$9, 100%, $E$9)</f>
        <v>10.2752</v>
      </c>
      <c r="O298" s="10">
        <f>CHOOSE(CONTROL!$C$42, 10.5183, 10.5183) * CHOOSE(CONTROL!$C$21, $C$9, 100%, $E$9)</f>
        <v>10.5183</v>
      </c>
      <c r="P298" s="10">
        <f>CHOOSE(CONTROL!$C$42, 10.2902, 10.2902) * CHOOSE(CONTROL!$C$21, $C$9, 100%, $E$9)</f>
        <v>10.2902</v>
      </c>
      <c r="Q298" s="10">
        <f>CHOOSE(CONTROL!$C$42, 11.1136, 11.1136) * CHOOSE(CONTROL!$C$21, $C$9, 100%, $E$9)</f>
        <v>11.1136</v>
      </c>
      <c r="R298" s="10">
        <f>CHOOSE(CONTROL!$C$42, 11.7283, 11.7283) * CHOOSE(CONTROL!$C$21, $C$9, 100%, $E$9)</f>
        <v>11.728300000000001</v>
      </c>
      <c r="S298" s="10">
        <f>CHOOSE(CONTROL!$C$42, 10.0768, 10.0768) * CHOOSE(CONTROL!$C$21, $C$9, 100%, $E$9)</f>
        <v>10.0768</v>
      </c>
      <c r="T2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57">
        <f>(1000*CHOOSE(CONTROL!$C$42, 695, 695)*CHOOSE(CONTROL!$C$42, 0.5599, 0.5599)*CHOOSE(CONTROL!$C$42, 31, 31))/1000000</f>
        <v>12.063045499999998</v>
      </c>
      <c r="V298" s="57">
        <f>(1000*CHOOSE(CONTROL!$C$42, 500, 500)*CHOOSE(CONTROL!$C$42, 0.275, 0.275)*CHOOSE(CONTROL!$C$42, 31, 31))/1000000</f>
        <v>4.2625000000000002</v>
      </c>
      <c r="W298" s="57">
        <f>(1000*CHOOSE(CONTROL!$C$42, 0.1146, 0.1146)*CHOOSE(CONTROL!$C$42, 121.5, 121.5)*CHOOSE(CONTROL!$C$42, 31, 31))/1000000</f>
        <v>0.43164089999999994</v>
      </c>
      <c r="X298" s="57">
        <f>(31*0.1790888*245000/1000000)+(31*0.2374*100000/1000000)</f>
        <v>2.0961194359999999</v>
      </c>
      <c r="Y298" s="57"/>
      <c r="Z298" s="10"/>
      <c r="AA298" s="56"/>
      <c r="AB298" s="50">
        <f>(B298*131.881+C298*277.167+D298*79.08+E298*125.872+F298*40+G298*185+H298*0+I298*100+J298*300)/(131.881+277.167+79.08+125.872+0+40+185+100+300)</f>
        <v>10.410337429136401</v>
      </c>
      <c r="AC298" s="45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10.340455395683453</v>
      </c>
    </row>
    <row r="299" spans="1:29" ht="15.75" x14ac:dyDescent="0.25">
      <c r="A299" s="15">
        <v>49980</v>
      </c>
      <c r="B299" s="10">
        <f>CHOOSE(CONTROL!$C$42, 10.6523, 10.6523) * CHOOSE(CONTROL!$C$21, $C$9, 100%, $E$9)</f>
        <v>10.6523</v>
      </c>
      <c r="C299" s="10">
        <f>CHOOSE(CONTROL!$C$42, 10.6572, 10.6572) * CHOOSE(CONTROL!$C$21, $C$9, 100%, $E$9)</f>
        <v>10.6572</v>
      </c>
      <c r="D299" s="10">
        <f>CHOOSE(CONTROL!$C$42, 10.7177, 10.7177) * CHOOSE(CONTROL!$C$21, $C$9, 100%, $E$9)</f>
        <v>10.717700000000001</v>
      </c>
      <c r="E299" s="10">
        <f>CHOOSE(CONTROL!$C$42, 10.7515, 10.7515) * CHOOSE(CONTROL!$C$21, $C$9, 100%, $E$9)</f>
        <v>10.7515</v>
      </c>
      <c r="F299" s="10">
        <f>CHOOSE(CONTROL!$C$42, 10.6479, 10.6479)*CHOOSE(CONTROL!$C$21, $C$9, 100%, $E$9)</f>
        <v>10.6479</v>
      </c>
      <c r="G299" s="10">
        <f>CHOOSE(CONTROL!$C$42, 10.6631, 10.6631)*CHOOSE(CONTROL!$C$21, $C$9, 100%, $E$9)</f>
        <v>10.6631</v>
      </c>
      <c r="H299" s="10">
        <f>CHOOSE(CONTROL!$C$42, 10.7407, 10.7407) * CHOOSE(CONTROL!$C$21, $C$9, 100%, $E$9)</f>
        <v>10.7407</v>
      </c>
      <c r="I299" s="10">
        <f>CHOOSE(CONTROL!$C$42, 10.6648, 10.6648)* CHOOSE(CONTROL!$C$21, $C$9, 100%, $E$9)</f>
        <v>10.6648</v>
      </c>
      <c r="J299" s="10">
        <f>CHOOSE(CONTROL!$C$42, 10.6409, 10.6409)* CHOOSE(CONTROL!$C$21, $C$9, 100%, $E$9)</f>
        <v>10.6409</v>
      </c>
      <c r="K299" s="53">
        <f>CHOOSE(CONTROL!$C$42, 10.6609, 10.6609) * CHOOSE(CONTROL!$C$21, $C$9, 100%, $E$9)</f>
        <v>10.6609</v>
      </c>
      <c r="L299" s="10">
        <f>CHOOSE(CONTROL!$C$42, 11.3277, 11.3277) * CHOOSE(CONTROL!$C$21, $C$9, 100%, $E$9)</f>
        <v>11.3277</v>
      </c>
      <c r="M299" s="10">
        <f>CHOOSE(CONTROL!$C$42, 10.5474, 10.5474) * CHOOSE(CONTROL!$C$21, $C$9, 100%, $E$9)</f>
        <v>10.5474</v>
      </c>
      <c r="N299" s="10">
        <f>CHOOSE(CONTROL!$C$42, 10.5624, 10.5624) * CHOOSE(CONTROL!$C$21, $C$9, 100%, $E$9)</f>
        <v>10.5624</v>
      </c>
      <c r="O299" s="10">
        <f>CHOOSE(CONTROL!$C$42, 10.6461, 10.6461) * CHOOSE(CONTROL!$C$21, $C$9, 100%, $E$9)</f>
        <v>10.646100000000001</v>
      </c>
      <c r="P299" s="10">
        <f>CHOOSE(CONTROL!$C$42, 10.571, 10.571) * CHOOSE(CONTROL!$C$21, $C$9, 100%, $E$9)</f>
        <v>10.571</v>
      </c>
      <c r="Q299" s="10">
        <f>CHOOSE(CONTROL!$C$42, 11.2414, 11.2414) * CHOOSE(CONTROL!$C$21, $C$9, 100%, $E$9)</f>
        <v>11.241400000000001</v>
      </c>
      <c r="R299" s="10">
        <f>CHOOSE(CONTROL!$C$42, 11.8565, 11.8565) * CHOOSE(CONTROL!$C$21, $C$9, 100%, $E$9)</f>
        <v>11.8565</v>
      </c>
      <c r="S299" s="10">
        <f>CHOOSE(CONTROL!$C$42, 10.3423, 10.3423) * CHOOSE(CONTROL!$C$21, $C$9, 100%, $E$9)</f>
        <v>10.3423</v>
      </c>
      <c r="T2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57">
        <f>(1000*CHOOSE(CONTROL!$C$42, 695, 695)*CHOOSE(CONTROL!$C$42, 0.5599, 0.5599)*CHOOSE(CONTROL!$C$42, 30, 30))/1000000</f>
        <v>11.673914999999997</v>
      </c>
      <c r="V299" s="57">
        <f>(1000*CHOOSE(CONTROL!$C$42, 500, 500)*CHOOSE(CONTROL!$C$42, 0.275, 0.275)*CHOOSE(CONTROL!$C$42, 30, 30))/1000000</f>
        <v>4.125</v>
      </c>
      <c r="W299" s="57">
        <f>(1000*CHOOSE(CONTROL!$C$42, 0.1146, 0.1146)*CHOOSE(CONTROL!$C$42, 121.5, 121.5)*CHOOSE(CONTROL!$C$42, 30, 30))/1000000</f>
        <v>0.417717</v>
      </c>
      <c r="X299" s="57">
        <f>(30*0.1790888*100000/1000000)+(30*0.2374*100000/1000000)</f>
        <v>1.2494664</v>
      </c>
      <c r="Y299" s="57"/>
      <c r="Z299" s="10"/>
      <c r="AA299" s="56"/>
      <c r="AB299" s="50">
        <f>(B299*122.58+C299*297.941+D299*89.177+E299*40.302+F299*40+G299*160+H299*0+I299*100+J299*300)/(122.58+297.941+89.177+40.302+0+40+160+100+300)</f>
        <v>10.661580039217391</v>
      </c>
      <c r="AC299" s="45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10.596393525179856</v>
      </c>
    </row>
    <row r="300" spans="1:29" ht="15.75" x14ac:dyDescent="0.25">
      <c r="A300" s="15">
        <v>50010</v>
      </c>
      <c r="B300" s="10">
        <f>CHOOSE(CONTROL!$C$42, 11.3783, 11.3783) * CHOOSE(CONTROL!$C$21, $C$9, 100%, $E$9)</f>
        <v>11.378299999999999</v>
      </c>
      <c r="C300" s="10">
        <f>CHOOSE(CONTROL!$C$42, 11.3833, 11.3833) * CHOOSE(CONTROL!$C$21, $C$9, 100%, $E$9)</f>
        <v>11.3833</v>
      </c>
      <c r="D300" s="10">
        <f>CHOOSE(CONTROL!$C$42, 11.4438, 11.4438) * CHOOSE(CONTROL!$C$21, $C$9, 100%, $E$9)</f>
        <v>11.4438</v>
      </c>
      <c r="E300" s="10">
        <f>CHOOSE(CONTROL!$C$42, 11.4776, 11.4776) * CHOOSE(CONTROL!$C$21, $C$9, 100%, $E$9)</f>
        <v>11.477600000000001</v>
      </c>
      <c r="F300" s="10">
        <f>CHOOSE(CONTROL!$C$42, 11.3758, 11.3758)*CHOOSE(CONTROL!$C$21, $C$9, 100%, $E$9)</f>
        <v>11.3758</v>
      </c>
      <c r="G300" s="10">
        <f>CHOOSE(CONTROL!$C$42, 11.3915, 11.3915)*CHOOSE(CONTROL!$C$21, $C$9, 100%, $E$9)</f>
        <v>11.391500000000001</v>
      </c>
      <c r="H300" s="10">
        <f>CHOOSE(CONTROL!$C$42, 11.4668, 11.4668) * CHOOSE(CONTROL!$C$21, $C$9, 100%, $E$9)</f>
        <v>11.466799999999999</v>
      </c>
      <c r="I300" s="10">
        <f>CHOOSE(CONTROL!$C$42, 11.3909, 11.3909)* CHOOSE(CONTROL!$C$21, $C$9, 100%, $E$9)</f>
        <v>11.3909</v>
      </c>
      <c r="J300" s="10">
        <f>CHOOSE(CONTROL!$C$42, 11.3688, 11.3688)* CHOOSE(CONTROL!$C$21, $C$9, 100%, $E$9)</f>
        <v>11.3688</v>
      </c>
      <c r="K300" s="53">
        <f>CHOOSE(CONTROL!$C$42, 11.387, 11.387) * CHOOSE(CONTROL!$C$21, $C$9, 100%, $E$9)</f>
        <v>11.387</v>
      </c>
      <c r="L300" s="10">
        <f>CHOOSE(CONTROL!$C$42, 12.0538, 12.0538) * CHOOSE(CONTROL!$C$21, $C$9, 100%, $E$9)</f>
        <v>12.053800000000001</v>
      </c>
      <c r="M300" s="10">
        <f>CHOOSE(CONTROL!$C$42, 11.2679, 11.2679) * CHOOSE(CONTROL!$C$21, $C$9, 100%, $E$9)</f>
        <v>11.267899999999999</v>
      </c>
      <c r="N300" s="10">
        <f>CHOOSE(CONTROL!$C$42, 11.2834, 11.2834) * CHOOSE(CONTROL!$C$21, $C$9, 100%, $E$9)</f>
        <v>11.2834</v>
      </c>
      <c r="O300" s="10">
        <f>CHOOSE(CONTROL!$C$42, 11.3649, 11.3649) * CHOOSE(CONTROL!$C$21, $C$9, 100%, $E$9)</f>
        <v>11.3649</v>
      </c>
      <c r="P300" s="10">
        <f>CHOOSE(CONTROL!$C$42, 11.2898, 11.2898) * CHOOSE(CONTROL!$C$21, $C$9, 100%, $E$9)</f>
        <v>11.2898</v>
      </c>
      <c r="Q300" s="10">
        <f>CHOOSE(CONTROL!$C$42, 11.9602, 11.9602) * CHOOSE(CONTROL!$C$21, $C$9, 100%, $E$9)</f>
        <v>11.9602</v>
      </c>
      <c r="R300" s="10">
        <f>CHOOSE(CONTROL!$C$42, 12.5771, 12.5771) * CHOOSE(CONTROL!$C$21, $C$9, 100%, $E$9)</f>
        <v>12.5771</v>
      </c>
      <c r="S300" s="10">
        <f>CHOOSE(CONTROL!$C$42, 11.0474, 11.0474) * CHOOSE(CONTROL!$C$21, $C$9, 100%, $E$9)</f>
        <v>11.0474</v>
      </c>
      <c r="T3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57">
        <f>(1000*CHOOSE(CONTROL!$C$42, 695, 695)*CHOOSE(CONTROL!$C$42, 0.5599, 0.5599)*CHOOSE(CONTROL!$C$42, 31, 31))/1000000</f>
        <v>12.063045499999998</v>
      </c>
      <c r="V300" s="57">
        <f>(1000*CHOOSE(CONTROL!$C$42, 500, 500)*CHOOSE(CONTROL!$C$42, 0.275, 0.275)*CHOOSE(CONTROL!$C$42, 31, 31))/1000000</f>
        <v>4.2625000000000002</v>
      </c>
      <c r="W300" s="57">
        <f>(1000*CHOOSE(CONTROL!$C$42, 0.1146, 0.1146)*CHOOSE(CONTROL!$C$42, 121.5, 121.5)*CHOOSE(CONTROL!$C$42, 31, 31))/1000000</f>
        <v>0.43164089999999994</v>
      </c>
      <c r="X300" s="57">
        <f>(31*0.1790888*100000/1000000)+(31*0.2374*100000/1000000)</f>
        <v>1.2911152800000001</v>
      </c>
      <c r="Y300" s="57"/>
      <c r="Z300" s="10"/>
      <c r="AA300" s="56"/>
      <c r="AB300" s="50">
        <f>(B300*122.58+C300*297.941+D300*89.177+E300*40.302+F300*40+G300*160+H300*0+I300*100+J300*300)/(122.58+297.941+89.177+40.302+0+40+160+100+300)</f>
        <v>11.388521553999999</v>
      </c>
      <c r="AC300" s="45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11.315907194244605</v>
      </c>
    </row>
    <row r="301" spans="1:29" ht="15.75" x14ac:dyDescent="0.25">
      <c r="A301" s="15">
        <v>50041</v>
      </c>
      <c r="B301" s="10">
        <f>CHOOSE(CONTROL!$C$42, 12.3104, 12.3104) * CHOOSE(CONTROL!$C$21, $C$9, 100%, $E$9)</f>
        <v>12.3104</v>
      </c>
      <c r="C301" s="10">
        <f>CHOOSE(CONTROL!$C$42, 12.3154, 12.3154) * CHOOSE(CONTROL!$C$21, $C$9, 100%, $E$9)</f>
        <v>12.3154</v>
      </c>
      <c r="D301" s="10">
        <f>CHOOSE(CONTROL!$C$42, 12.3724, 12.3724) * CHOOSE(CONTROL!$C$21, $C$9, 100%, $E$9)</f>
        <v>12.372400000000001</v>
      </c>
      <c r="E301" s="10">
        <f>CHOOSE(CONTROL!$C$42, 12.4062, 12.4062) * CHOOSE(CONTROL!$C$21, $C$9, 100%, $E$9)</f>
        <v>12.4062</v>
      </c>
      <c r="F301" s="10">
        <f>CHOOSE(CONTROL!$C$42, 12.3082, 12.3082)*CHOOSE(CONTROL!$C$21, $C$9, 100%, $E$9)</f>
        <v>12.308199999999999</v>
      </c>
      <c r="G301" s="10">
        <f>CHOOSE(CONTROL!$C$42, 12.3228, 12.3228)*CHOOSE(CONTROL!$C$21, $C$9, 100%, $E$9)</f>
        <v>12.322800000000001</v>
      </c>
      <c r="H301" s="10">
        <f>CHOOSE(CONTROL!$C$42, 12.3954, 12.3954) * CHOOSE(CONTROL!$C$21, $C$9, 100%, $E$9)</f>
        <v>12.3954</v>
      </c>
      <c r="I301" s="10">
        <f>CHOOSE(CONTROL!$C$42, 12.3212, 12.3212)* CHOOSE(CONTROL!$C$21, $C$9, 100%, $E$9)</f>
        <v>12.321199999999999</v>
      </c>
      <c r="J301" s="10">
        <f>CHOOSE(CONTROL!$C$42, 12.3012, 12.3012)* CHOOSE(CONTROL!$C$21, $C$9, 100%, $E$9)</f>
        <v>12.3012</v>
      </c>
      <c r="K301" s="53">
        <f>CHOOSE(CONTROL!$C$42, 12.3173, 12.3173) * CHOOSE(CONTROL!$C$21, $C$9, 100%, $E$9)</f>
        <v>12.317299999999999</v>
      </c>
      <c r="L301" s="10">
        <f>CHOOSE(CONTROL!$C$42, 12.9824, 12.9824) * CHOOSE(CONTROL!$C$21, $C$9, 100%, $E$9)</f>
        <v>12.9824</v>
      </c>
      <c r="M301" s="10">
        <f>CHOOSE(CONTROL!$C$42, 12.1909, 12.1909) * CHOOSE(CONTROL!$C$21, $C$9, 100%, $E$9)</f>
        <v>12.190899999999999</v>
      </c>
      <c r="N301" s="10">
        <f>CHOOSE(CONTROL!$C$42, 12.2054, 12.2054) * CHOOSE(CONTROL!$C$21, $C$9, 100%, $E$9)</f>
        <v>12.205399999999999</v>
      </c>
      <c r="O301" s="10">
        <f>CHOOSE(CONTROL!$C$42, 12.2841, 12.2841) * CHOOSE(CONTROL!$C$21, $C$9, 100%, $E$9)</f>
        <v>12.2841</v>
      </c>
      <c r="P301" s="10">
        <f>CHOOSE(CONTROL!$C$42, 12.2107, 12.2107) * CHOOSE(CONTROL!$C$21, $C$9, 100%, $E$9)</f>
        <v>12.210699999999999</v>
      </c>
      <c r="Q301" s="10">
        <f>CHOOSE(CONTROL!$C$42, 12.8794, 12.8794) * CHOOSE(CONTROL!$C$21, $C$9, 100%, $E$9)</f>
        <v>12.8794</v>
      </c>
      <c r="R301" s="10">
        <f>CHOOSE(CONTROL!$C$42, 13.4986, 13.4986) * CHOOSE(CONTROL!$C$21, $C$9, 100%, $E$9)</f>
        <v>13.4986</v>
      </c>
      <c r="S301" s="10">
        <f>CHOOSE(CONTROL!$C$42, 11.9525, 11.9525) * CHOOSE(CONTROL!$C$21, $C$9, 100%, $E$9)</f>
        <v>11.952500000000001</v>
      </c>
      <c r="T3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57">
        <f>(1000*CHOOSE(CONTROL!$C$42, 695, 695)*CHOOSE(CONTROL!$C$42, 0.5599, 0.5599)*CHOOSE(CONTROL!$C$42, 31, 31))/1000000</f>
        <v>12.063045499999998</v>
      </c>
      <c r="V301" s="57">
        <f>(1000*CHOOSE(CONTROL!$C$42, 500, 500)*CHOOSE(CONTROL!$C$42, 0.275, 0.275)*CHOOSE(CONTROL!$C$42, 31, 31))/1000000</f>
        <v>4.2625000000000002</v>
      </c>
      <c r="W301" s="57">
        <f>(1000*CHOOSE(CONTROL!$C$42, 0.1146, 0.1146)*CHOOSE(CONTROL!$C$42, 121.5, 121.5)*CHOOSE(CONTROL!$C$42, 31, 31))/1000000</f>
        <v>0.43164089999999994</v>
      </c>
      <c r="X301" s="57">
        <f>(31*0.1790888*100000/1000000)+(31*0.2374*100000/1000000)</f>
        <v>1.2911152800000001</v>
      </c>
      <c r="Y301" s="57"/>
      <c r="Z301" s="10"/>
      <c r="AA301" s="56"/>
      <c r="AB301" s="50">
        <f>(B301*122.58+C301*297.941+D301*89.177+E301*40.302+F301*40+G301*160+H301*0+I301*100+J301*300)/(122.58+297.941+89.177+40.302+0+40+160+100+300)</f>
        <v>12.320048357043479</v>
      </c>
      <c r="AC301" s="45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12.236825179856114</v>
      </c>
    </row>
    <row r="302" spans="1:29" ht="15.75" x14ac:dyDescent="0.25">
      <c r="A302" s="15">
        <v>50072</v>
      </c>
      <c r="B302" s="10">
        <f>CHOOSE(CONTROL!$C$42, 12.5295, 12.5295) * CHOOSE(CONTROL!$C$21, $C$9, 100%, $E$9)</f>
        <v>12.529500000000001</v>
      </c>
      <c r="C302" s="10">
        <f>CHOOSE(CONTROL!$C$42, 12.5344, 12.5344) * CHOOSE(CONTROL!$C$21, $C$9, 100%, $E$9)</f>
        <v>12.5344</v>
      </c>
      <c r="D302" s="10">
        <f>CHOOSE(CONTROL!$C$42, 12.5915, 12.5915) * CHOOSE(CONTROL!$C$21, $C$9, 100%, $E$9)</f>
        <v>12.5915</v>
      </c>
      <c r="E302" s="10">
        <f>CHOOSE(CONTROL!$C$42, 12.6253, 12.6253) * CHOOSE(CONTROL!$C$21, $C$9, 100%, $E$9)</f>
        <v>12.625299999999999</v>
      </c>
      <c r="F302" s="10">
        <f>CHOOSE(CONTROL!$C$42, 12.5274, 12.5274)*CHOOSE(CONTROL!$C$21, $C$9, 100%, $E$9)</f>
        <v>12.5274</v>
      </c>
      <c r="G302" s="10">
        <f>CHOOSE(CONTROL!$C$42, 12.5421, 12.5421)*CHOOSE(CONTROL!$C$21, $C$9, 100%, $E$9)</f>
        <v>12.5421</v>
      </c>
      <c r="H302" s="10">
        <f>CHOOSE(CONTROL!$C$42, 12.6145, 12.6145) * CHOOSE(CONTROL!$C$21, $C$9, 100%, $E$9)</f>
        <v>12.6145</v>
      </c>
      <c r="I302" s="10">
        <f>CHOOSE(CONTROL!$C$42, 12.5403, 12.5403)* CHOOSE(CONTROL!$C$21, $C$9, 100%, $E$9)</f>
        <v>12.5403</v>
      </c>
      <c r="J302" s="10">
        <f>CHOOSE(CONTROL!$C$42, 12.5204, 12.5204)* CHOOSE(CONTROL!$C$21, $C$9, 100%, $E$9)</f>
        <v>12.5204</v>
      </c>
      <c r="K302" s="53">
        <f>CHOOSE(CONTROL!$C$42, 12.5364, 12.5364) * CHOOSE(CONTROL!$C$21, $C$9, 100%, $E$9)</f>
        <v>12.5364</v>
      </c>
      <c r="L302" s="10">
        <f>CHOOSE(CONTROL!$C$42, 13.2015, 13.2015) * CHOOSE(CONTROL!$C$21, $C$9, 100%, $E$9)</f>
        <v>13.201499999999999</v>
      </c>
      <c r="M302" s="10">
        <f>CHOOSE(CONTROL!$C$42, 12.4079, 12.4079) * CHOOSE(CONTROL!$C$21, $C$9, 100%, $E$9)</f>
        <v>12.4079</v>
      </c>
      <c r="N302" s="10">
        <f>CHOOSE(CONTROL!$C$42, 12.4224, 12.4224) * CHOOSE(CONTROL!$C$21, $C$9, 100%, $E$9)</f>
        <v>12.4224</v>
      </c>
      <c r="O302" s="10">
        <f>CHOOSE(CONTROL!$C$42, 12.501, 12.501) * CHOOSE(CONTROL!$C$21, $C$9, 100%, $E$9)</f>
        <v>12.500999999999999</v>
      </c>
      <c r="P302" s="10">
        <f>CHOOSE(CONTROL!$C$42, 12.4276, 12.4276) * CHOOSE(CONTROL!$C$21, $C$9, 100%, $E$9)</f>
        <v>12.4276</v>
      </c>
      <c r="Q302" s="10">
        <f>CHOOSE(CONTROL!$C$42, 13.0963, 13.0963) * CHOOSE(CONTROL!$C$21, $C$9, 100%, $E$9)</f>
        <v>13.096299999999999</v>
      </c>
      <c r="R302" s="10">
        <f>CHOOSE(CONTROL!$C$42, 13.7161, 13.7161) * CHOOSE(CONTROL!$C$21, $C$9, 100%, $E$9)</f>
        <v>13.716100000000001</v>
      </c>
      <c r="S302" s="10">
        <f>CHOOSE(CONTROL!$C$42, 12.1653, 12.1653) * CHOOSE(CONTROL!$C$21, $C$9, 100%, $E$9)</f>
        <v>12.1653</v>
      </c>
      <c r="T3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57">
        <f>(1000*CHOOSE(CONTROL!$C$42, 695, 695)*CHOOSE(CONTROL!$C$42, 0.5599, 0.5599)*CHOOSE(CONTROL!$C$42, 28, 28))/1000000</f>
        <v>10.895653999999999</v>
      </c>
      <c r="V302" s="57">
        <f>(1000*CHOOSE(CONTROL!$C$42, 500, 500)*CHOOSE(CONTROL!$C$42, 0.275, 0.275)*CHOOSE(CONTROL!$C$42, 28, 28))/1000000</f>
        <v>3.85</v>
      </c>
      <c r="W302" s="57">
        <f>(1000*CHOOSE(CONTROL!$C$42, 0.1146, 0.1146)*CHOOSE(CONTROL!$C$42, 121.5, 121.5)*CHOOSE(CONTROL!$C$42, 28, 28))/1000000</f>
        <v>0.38986920000000003</v>
      </c>
      <c r="X302" s="57">
        <f>(28*0.1790888*100000/1000000)+(28*0.2374*100000/1000000)</f>
        <v>1.16616864</v>
      </c>
      <c r="Y302" s="57"/>
      <c r="Z302" s="10"/>
      <c r="AA302" s="56"/>
      <c r="AB302" s="50">
        <f>(B302*122.58+C302*297.941+D302*89.177+E302*40.302+F302*40+G302*160+H302*0+I302*100+J302*300)/(122.58+297.941+89.177+40.302+0+40+160+100+300)</f>
        <v>12.539179840434784</v>
      </c>
      <c r="AC302" s="45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12.453765467625898</v>
      </c>
    </row>
    <row r="303" spans="1:29" ht="15.75" x14ac:dyDescent="0.25">
      <c r="A303" s="15">
        <v>50100</v>
      </c>
      <c r="B303" s="10">
        <f>CHOOSE(CONTROL!$C$42, 12.1739, 12.1739) * CHOOSE(CONTROL!$C$21, $C$9, 100%, $E$9)</f>
        <v>12.1739</v>
      </c>
      <c r="C303" s="10">
        <f>CHOOSE(CONTROL!$C$42, 12.1788, 12.1788) * CHOOSE(CONTROL!$C$21, $C$9, 100%, $E$9)</f>
        <v>12.178800000000001</v>
      </c>
      <c r="D303" s="10">
        <f>CHOOSE(CONTROL!$C$42, 12.2359, 12.2359) * CHOOSE(CONTROL!$C$21, $C$9, 100%, $E$9)</f>
        <v>12.235900000000001</v>
      </c>
      <c r="E303" s="10">
        <f>CHOOSE(CONTROL!$C$42, 12.2697, 12.2697) * CHOOSE(CONTROL!$C$21, $C$9, 100%, $E$9)</f>
        <v>12.2697</v>
      </c>
      <c r="F303" s="10">
        <f>CHOOSE(CONTROL!$C$42, 12.1717, 12.1717)*CHOOSE(CONTROL!$C$21, $C$9, 100%, $E$9)</f>
        <v>12.1717</v>
      </c>
      <c r="G303" s="10">
        <f>CHOOSE(CONTROL!$C$42, 12.1863, 12.1863)*CHOOSE(CONTROL!$C$21, $C$9, 100%, $E$9)</f>
        <v>12.186299999999999</v>
      </c>
      <c r="H303" s="10">
        <f>CHOOSE(CONTROL!$C$42, 12.2589, 12.2589) * CHOOSE(CONTROL!$C$21, $C$9, 100%, $E$9)</f>
        <v>12.258900000000001</v>
      </c>
      <c r="I303" s="10">
        <f>CHOOSE(CONTROL!$C$42, 12.1847, 12.1847)* CHOOSE(CONTROL!$C$21, $C$9, 100%, $E$9)</f>
        <v>12.184699999999999</v>
      </c>
      <c r="J303" s="10">
        <f>CHOOSE(CONTROL!$C$42, 12.1647, 12.1647)* CHOOSE(CONTROL!$C$21, $C$9, 100%, $E$9)</f>
        <v>12.1647</v>
      </c>
      <c r="K303" s="53">
        <f>CHOOSE(CONTROL!$C$42, 12.1808, 12.1808) * CHOOSE(CONTROL!$C$21, $C$9, 100%, $E$9)</f>
        <v>12.1808</v>
      </c>
      <c r="L303" s="10">
        <f>CHOOSE(CONTROL!$C$42, 12.8459, 12.8459) * CHOOSE(CONTROL!$C$21, $C$9, 100%, $E$9)</f>
        <v>12.8459</v>
      </c>
      <c r="M303" s="10">
        <f>CHOOSE(CONTROL!$C$42, 12.0557, 12.0557) * CHOOSE(CONTROL!$C$21, $C$9, 100%, $E$9)</f>
        <v>12.0557</v>
      </c>
      <c r="N303" s="10">
        <f>CHOOSE(CONTROL!$C$42, 12.0702, 12.0702) * CHOOSE(CONTROL!$C$21, $C$9, 100%, $E$9)</f>
        <v>12.0702</v>
      </c>
      <c r="O303" s="10">
        <f>CHOOSE(CONTROL!$C$42, 12.149, 12.149) * CHOOSE(CONTROL!$C$21, $C$9, 100%, $E$9)</f>
        <v>12.148999999999999</v>
      </c>
      <c r="P303" s="10">
        <f>CHOOSE(CONTROL!$C$42, 12.0756, 12.0756) * CHOOSE(CONTROL!$C$21, $C$9, 100%, $E$9)</f>
        <v>12.0756</v>
      </c>
      <c r="Q303" s="10">
        <f>CHOOSE(CONTROL!$C$42, 12.7443, 12.7443) * CHOOSE(CONTROL!$C$21, $C$9, 100%, $E$9)</f>
        <v>12.744300000000001</v>
      </c>
      <c r="R303" s="10">
        <f>CHOOSE(CONTROL!$C$42, 13.3631, 13.3631) * CHOOSE(CONTROL!$C$21, $C$9, 100%, $E$9)</f>
        <v>13.363099999999999</v>
      </c>
      <c r="S303" s="10">
        <f>CHOOSE(CONTROL!$C$42, 11.8199, 11.8199) * CHOOSE(CONTROL!$C$21, $C$9, 100%, $E$9)</f>
        <v>11.819900000000001</v>
      </c>
      <c r="T3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57">
        <f>(1000*CHOOSE(CONTROL!$C$42, 695, 695)*CHOOSE(CONTROL!$C$42, 0.5599, 0.5599)*CHOOSE(CONTROL!$C$42, 31, 31))/1000000</f>
        <v>12.063045499999998</v>
      </c>
      <c r="V303" s="57">
        <f>(1000*CHOOSE(CONTROL!$C$42, 500, 500)*CHOOSE(CONTROL!$C$42, 0.275, 0.275)*CHOOSE(CONTROL!$C$42, 31, 31))/1000000</f>
        <v>4.2625000000000002</v>
      </c>
      <c r="W303" s="57">
        <f>(1000*CHOOSE(CONTROL!$C$42, 0.1146, 0.1146)*CHOOSE(CONTROL!$C$42, 121.5, 121.5)*CHOOSE(CONTROL!$C$42, 31, 31))/1000000</f>
        <v>0.43164089999999994</v>
      </c>
      <c r="X303" s="57">
        <f>(31*0.1790888*100000/1000000)+(31*0.2374*100000/1000000)</f>
        <v>1.2911152800000001</v>
      </c>
      <c r="Y303" s="57"/>
      <c r="Z303" s="10"/>
      <c r="AA303" s="56"/>
      <c r="AB303" s="50">
        <f>(B303*122.58+C303*297.941+D303*89.177+E303*40.302+F303*40+G303*160+H303*0+I303*100+J303*300)/(122.58+297.941+89.177+40.302+0+40+160+100+300)</f>
        <v>12.183522449130434</v>
      </c>
      <c r="AC303" s="45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12.101684892086331</v>
      </c>
    </row>
    <row r="304" spans="1:29" ht="15.75" x14ac:dyDescent="0.25">
      <c r="A304" s="15">
        <v>50131</v>
      </c>
      <c r="B304" s="10">
        <f>CHOOSE(CONTROL!$C$42, 12.1386, 12.1386) * CHOOSE(CONTROL!$C$21, $C$9, 100%, $E$9)</f>
        <v>12.1386</v>
      </c>
      <c r="C304" s="10">
        <f>CHOOSE(CONTROL!$C$42, 12.143, 12.143) * CHOOSE(CONTROL!$C$21, $C$9, 100%, $E$9)</f>
        <v>12.143000000000001</v>
      </c>
      <c r="D304" s="10">
        <f>CHOOSE(CONTROL!$C$42, 12.3488, 12.3488) * CHOOSE(CONTROL!$C$21, $C$9, 100%, $E$9)</f>
        <v>12.348800000000001</v>
      </c>
      <c r="E304" s="10">
        <f>CHOOSE(CONTROL!$C$42, 12.3806, 12.3806) * CHOOSE(CONTROL!$C$21, $C$9, 100%, $E$9)</f>
        <v>12.380599999999999</v>
      </c>
      <c r="F304" s="10">
        <f>CHOOSE(CONTROL!$C$42, 12.1154, 12.1154)*CHOOSE(CONTROL!$C$21, $C$9, 100%, $E$9)</f>
        <v>12.115399999999999</v>
      </c>
      <c r="G304" s="10">
        <f>CHOOSE(CONTROL!$C$42, 12.1299, 12.1299)*CHOOSE(CONTROL!$C$21, $C$9, 100%, $E$9)</f>
        <v>12.129899999999999</v>
      </c>
      <c r="H304" s="10">
        <f>CHOOSE(CONTROL!$C$42, 12.3704, 12.3704) * CHOOSE(CONTROL!$C$21, $C$9, 100%, $E$9)</f>
        <v>12.3704</v>
      </c>
      <c r="I304" s="10">
        <f>CHOOSE(CONTROL!$C$42, 12.14, 12.14)* CHOOSE(CONTROL!$C$21, $C$9, 100%, $E$9)</f>
        <v>12.14</v>
      </c>
      <c r="J304" s="10">
        <f>CHOOSE(CONTROL!$C$42, 12.1084, 12.1084)* CHOOSE(CONTROL!$C$21, $C$9, 100%, $E$9)</f>
        <v>12.1084</v>
      </c>
      <c r="K304" s="53">
        <f>CHOOSE(CONTROL!$C$42, 12.1361, 12.1361) * CHOOSE(CONTROL!$C$21, $C$9, 100%, $E$9)</f>
        <v>12.136100000000001</v>
      </c>
      <c r="L304" s="10">
        <f>CHOOSE(CONTROL!$C$42, 12.9574, 12.9574) * CHOOSE(CONTROL!$C$21, $C$9, 100%, $E$9)</f>
        <v>12.9574</v>
      </c>
      <c r="M304" s="10">
        <f>CHOOSE(CONTROL!$C$42, 12, 12) * CHOOSE(CONTROL!$C$21, $C$9, 100%, $E$9)</f>
        <v>12</v>
      </c>
      <c r="N304" s="10">
        <f>CHOOSE(CONTROL!$C$42, 12.0144, 12.0144) * CHOOSE(CONTROL!$C$21, $C$9, 100%, $E$9)</f>
        <v>12.0144</v>
      </c>
      <c r="O304" s="10">
        <f>CHOOSE(CONTROL!$C$42, 12.2594, 12.2594) * CHOOSE(CONTROL!$C$21, $C$9, 100%, $E$9)</f>
        <v>12.259399999999999</v>
      </c>
      <c r="P304" s="10">
        <f>CHOOSE(CONTROL!$C$42, 12.0314, 12.0314) * CHOOSE(CONTROL!$C$21, $C$9, 100%, $E$9)</f>
        <v>12.0314</v>
      </c>
      <c r="Q304" s="10">
        <f>CHOOSE(CONTROL!$C$42, 12.8547, 12.8547) * CHOOSE(CONTROL!$C$21, $C$9, 100%, $E$9)</f>
        <v>12.854699999999999</v>
      </c>
      <c r="R304" s="10">
        <f>CHOOSE(CONTROL!$C$42, 13.4738, 13.4738) * CHOOSE(CONTROL!$C$21, $C$9, 100%, $E$9)</f>
        <v>13.473800000000001</v>
      </c>
      <c r="S304" s="10">
        <f>CHOOSE(CONTROL!$C$42, 11.7849, 11.7849) * CHOOSE(CONTROL!$C$21, $C$9, 100%, $E$9)</f>
        <v>11.7849</v>
      </c>
      <c r="T3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57">
        <f>(1000*CHOOSE(CONTROL!$C$42, 695, 695)*CHOOSE(CONTROL!$C$42, 0.5599, 0.5599)*CHOOSE(CONTROL!$C$42, 30, 30))/1000000</f>
        <v>11.673914999999997</v>
      </c>
      <c r="V304" s="57">
        <f>(1000*CHOOSE(CONTROL!$C$42, 500, 500)*CHOOSE(CONTROL!$C$42, 0.275, 0.275)*CHOOSE(CONTROL!$C$42, 30, 30))/1000000</f>
        <v>4.125</v>
      </c>
      <c r="W304" s="57">
        <f>(1000*CHOOSE(CONTROL!$C$42, 0.1146, 0.1146)*CHOOSE(CONTROL!$C$42, 121.5, 121.5)*CHOOSE(CONTROL!$C$42, 30, 30))/1000000</f>
        <v>0.417717</v>
      </c>
      <c r="X304" s="57">
        <f>(30*0.1790888*245000/1000000)+(30*0.2374*100000/1000000)</f>
        <v>2.0285026799999999</v>
      </c>
      <c r="Y304" s="57"/>
      <c r="Z304" s="10"/>
      <c r="AA304" s="56"/>
      <c r="AB304" s="50">
        <f>(B304*141.293+C304*267.993+D304*115.016+E304*89.698+F304*40+G304*185+H304*0+I304*100+J304*300)/(141.293+267.993+115.016+89.698+0+40+185+100+300)</f>
        <v>12.167336842937852</v>
      </c>
      <c r="AC304" s="45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12.080614388489209</v>
      </c>
    </row>
    <row r="305" spans="1:29" ht="15.75" x14ac:dyDescent="0.25">
      <c r="A305" s="15">
        <v>50161</v>
      </c>
      <c r="B305" s="10">
        <f>CHOOSE(CONTROL!$C$42, 12.2471, 12.2471) * CHOOSE(CONTROL!$C$21, $C$9, 100%, $E$9)</f>
        <v>12.2471</v>
      </c>
      <c r="C305" s="10">
        <f>CHOOSE(CONTROL!$C$42, 12.255, 12.255) * CHOOSE(CONTROL!$C$21, $C$9, 100%, $E$9)</f>
        <v>12.255000000000001</v>
      </c>
      <c r="D305" s="10">
        <f>CHOOSE(CONTROL!$C$42, 12.4577, 12.4577) * CHOOSE(CONTROL!$C$21, $C$9, 100%, $E$9)</f>
        <v>12.457700000000001</v>
      </c>
      <c r="E305" s="10">
        <f>CHOOSE(CONTROL!$C$42, 12.4889, 12.4889) * CHOOSE(CONTROL!$C$21, $C$9, 100%, $E$9)</f>
        <v>12.488899999999999</v>
      </c>
      <c r="F305" s="10">
        <f>CHOOSE(CONTROL!$C$42, 12.2228, 12.2228)*CHOOSE(CONTROL!$C$21, $C$9, 100%, $E$9)</f>
        <v>12.222799999999999</v>
      </c>
      <c r="G305" s="10">
        <f>CHOOSE(CONTROL!$C$42, 12.2378, 12.2378)*CHOOSE(CONTROL!$C$21, $C$9, 100%, $E$9)</f>
        <v>12.2378</v>
      </c>
      <c r="H305" s="10">
        <f>CHOOSE(CONTROL!$C$42, 12.4775, 12.4775) * CHOOSE(CONTROL!$C$21, $C$9, 100%, $E$9)</f>
        <v>12.477499999999999</v>
      </c>
      <c r="I305" s="10">
        <f>CHOOSE(CONTROL!$C$42, 12.2471, 12.2471)* CHOOSE(CONTROL!$C$21, $C$9, 100%, $E$9)</f>
        <v>12.2471</v>
      </c>
      <c r="J305" s="10">
        <f>CHOOSE(CONTROL!$C$42, 12.2158, 12.2158)* CHOOSE(CONTROL!$C$21, $C$9, 100%, $E$9)</f>
        <v>12.2158</v>
      </c>
      <c r="K305" s="53">
        <f>CHOOSE(CONTROL!$C$42, 12.2432, 12.2432) * CHOOSE(CONTROL!$C$21, $C$9, 100%, $E$9)</f>
        <v>12.2432</v>
      </c>
      <c r="L305" s="10">
        <f>CHOOSE(CONTROL!$C$42, 13.0645, 13.0645) * CHOOSE(CONTROL!$C$21, $C$9, 100%, $E$9)</f>
        <v>13.064500000000001</v>
      </c>
      <c r="M305" s="10">
        <f>CHOOSE(CONTROL!$C$42, 12.1063, 12.1063) * CHOOSE(CONTROL!$C$21, $C$9, 100%, $E$9)</f>
        <v>12.106299999999999</v>
      </c>
      <c r="N305" s="10">
        <f>CHOOSE(CONTROL!$C$42, 12.1212, 12.1212) * CHOOSE(CONTROL!$C$21, $C$9, 100%, $E$9)</f>
        <v>12.1212</v>
      </c>
      <c r="O305" s="10">
        <f>CHOOSE(CONTROL!$C$42, 12.3654, 12.3654) * CHOOSE(CONTROL!$C$21, $C$9, 100%, $E$9)</f>
        <v>12.365399999999999</v>
      </c>
      <c r="P305" s="10">
        <f>CHOOSE(CONTROL!$C$42, 12.1374, 12.1374) * CHOOSE(CONTROL!$C$21, $C$9, 100%, $E$9)</f>
        <v>12.1374</v>
      </c>
      <c r="Q305" s="10">
        <f>CHOOSE(CONTROL!$C$42, 12.9607, 12.9607) * CHOOSE(CONTROL!$C$21, $C$9, 100%, $E$9)</f>
        <v>12.960699999999999</v>
      </c>
      <c r="R305" s="10">
        <f>CHOOSE(CONTROL!$C$42, 13.5801, 13.5801) * CHOOSE(CONTROL!$C$21, $C$9, 100%, $E$9)</f>
        <v>13.5801</v>
      </c>
      <c r="S305" s="10">
        <f>CHOOSE(CONTROL!$C$42, 11.8889, 11.8889) * CHOOSE(CONTROL!$C$21, $C$9, 100%, $E$9)</f>
        <v>11.8889</v>
      </c>
      <c r="T3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57">
        <f>(1000*CHOOSE(CONTROL!$C$42, 695, 695)*CHOOSE(CONTROL!$C$42, 0.5599, 0.5599)*CHOOSE(CONTROL!$C$42, 31, 31))/1000000</f>
        <v>12.063045499999998</v>
      </c>
      <c r="V305" s="57">
        <f>(1000*CHOOSE(CONTROL!$C$42, 500, 500)*CHOOSE(CONTROL!$C$42, 0.275, 0.275)*CHOOSE(CONTROL!$C$42, 31, 31))/1000000</f>
        <v>4.2625000000000002</v>
      </c>
      <c r="W305" s="57">
        <f>(1000*CHOOSE(CONTROL!$C$42, 0.1146, 0.1146)*CHOOSE(CONTROL!$C$42, 121.5, 121.5)*CHOOSE(CONTROL!$C$42, 31, 31))/1000000</f>
        <v>0.43164089999999994</v>
      </c>
      <c r="X305" s="57">
        <f>(31*0.1790888*245000/1000000)+(31*0.2374*100000/1000000)</f>
        <v>2.0961194359999999</v>
      </c>
      <c r="Y305" s="57"/>
      <c r="Z305" s="10"/>
      <c r="AA305" s="56"/>
      <c r="AB305" s="50">
        <f>(B305*194.205+C305*267.466+D305*133.845+E305*53.484+F305*40+G305*185+H305*0+I305*100+J305*300)/(194.205+267.466+133.845+53.484+0+40+185+100+300)</f>
        <v>12.271551075039246</v>
      </c>
      <c r="AC305" s="45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12.18690215827338</v>
      </c>
    </row>
    <row r="306" spans="1:29" ht="15.75" x14ac:dyDescent="0.25">
      <c r="A306" s="15">
        <v>50192</v>
      </c>
      <c r="B306" s="10">
        <f>CHOOSE(CONTROL!$C$42, 12.5943, 12.5943) * CHOOSE(CONTROL!$C$21, $C$9, 100%, $E$9)</f>
        <v>12.5943</v>
      </c>
      <c r="C306" s="10">
        <f>CHOOSE(CONTROL!$C$42, 12.6022, 12.6022) * CHOOSE(CONTROL!$C$21, $C$9, 100%, $E$9)</f>
        <v>12.6022</v>
      </c>
      <c r="D306" s="10">
        <f>CHOOSE(CONTROL!$C$42, 12.805, 12.805) * CHOOSE(CONTROL!$C$21, $C$9, 100%, $E$9)</f>
        <v>12.805</v>
      </c>
      <c r="E306" s="10">
        <f>CHOOSE(CONTROL!$C$42, 12.8361, 12.8361) * CHOOSE(CONTROL!$C$21, $C$9, 100%, $E$9)</f>
        <v>12.8361</v>
      </c>
      <c r="F306" s="10">
        <f>CHOOSE(CONTROL!$C$42, 12.5706, 12.5706)*CHOOSE(CONTROL!$C$21, $C$9, 100%, $E$9)</f>
        <v>12.570600000000001</v>
      </c>
      <c r="G306" s="10">
        <f>CHOOSE(CONTROL!$C$42, 12.5857, 12.5857)*CHOOSE(CONTROL!$C$21, $C$9, 100%, $E$9)</f>
        <v>12.585699999999999</v>
      </c>
      <c r="H306" s="10">
        <f>CHOOSE(CONTROL!$C$42, 12.8247, 12.8247) * CHOOSE(CONTROL!$C$21, $C$9, 100%, $E$9)</f>
        <v>12.8247</v>
      </c>
      <c r="I306" s="10">
        <f>CHOOSE(CONTROL!$C$42, 12.5944, 12.5944)* CHOOSE(CONTROL!$C$21, $C$9, 100%, $E$9)</f>
        <v>12.5944</v>
      </c>
      <c r="J306" s="10">
        <f>CHOOSE(CONTROL!$C$42, 12.5636, 12.5636)* CHOOSE(CONTROL!$C$21, $C$9, 100%, $E$9)</f>
        <v>12.563599999999999</v>
      </c>
      <c r="K306" s="53">
        <f>CHOOSE(CONTROL!$C$42, 12.5905, 12.5905) * CHOOSE(CONTROL!$C$21, $C$9, 100%, $E$9)</f>
        <v>12.5905</v>
      </c>
      <c r="L306" s="10">
        <f>CHOOSE(CONTROL!$C$42, 13.4117, 13.4117) * CHOOSE(CONTROL!$C$21, $C$9, 100%, $E$9)</f>
        <v>13.4117</v>
      </c>
      <c r="M306" s="10">
        <f>CHOOSE(CONTROL!$C$42, 12.4506, 12.4506) * CHOOSE(CONTROL!$C$21, $C$9, 100%, $E$9)</f>
        <v>12.4506</v>
      </c>
      <c r="N306" s="10">
        <f>CHOOSE(CONTROL!$C$42, 12.4656, 12.4656) * CHOOSE(CONTROL!$C$21, $C$9, 100%, $E$9)</f>
        <v>12.4656</v>
      </c>
      <c r="O306" s="10">
        <f>CHOOSE(CONTROL!$C$42, 12.7092, 12.7092) * CHOOSE(CONTROL!$C$21, $C$9, 100%, $E$9)</f>
        <v>12.709199999999999</v>
      </c>
      <c r="P306" s="10">
        <f>CHOOSE(CONTROL!$C$42, 12.4811, 12.4811) * CHOOSE(CONTROL!$C$21, $C$9, 100%, $E$9)</f>
        <v>12.4811</v>
      </c>
      <c r="Q306" s="10">
        <f>CHOOSE(CONTROL!$C$42, 13.3045, 13.3045) * CHOOSE(CONTROL!$C$21, $C$9, 100%, $E$9)</f>
        <v>13.304500000000001</v>
      </c>
      <c r="R306" s="10">
        <f>CHOOSE(CONTROL!$C$42, 13.9247, 13.9247) * CHOOSE(CONTROL!$C$21, $C$9, 100%, $E$9)</f>
        <v>13.9247</v>
      </c>
      <c r="S306" s="10">
        <f>CHOOSE(CONTROL!$C$42, 12.2261, 12.2261) * CHOOSE(CONTROL!$C$21, $C$9, 100%, $E$9)</f>
        <v>12.226100000000001</v>
      </c>
      <c r="T3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57">
        <f>(1000*CHOOSE(CONTROL!$C$42, 695, 695)*CHOOSE(CONTROL!$C$42, 0.5599, 0.5599)*CHOOSE(CONTROL!$C$42, 30, 30))/1000000</f>
        <v>11.673914999999997</v>
      </c>
      <c r="V306" s="57">
        <f>(1000*CHOOSE(CONTROL!$C$42, 500, 500)*CHOOSE(CONTROL!$C$42, 0.275, 0.275)*CHOOSE(CONTROL!$C$42, 30, 30))/1000000</f>
        <v>4.125</v>
      </c>
      <c r="W306" s="57">
        <f>(1000*CHOOSE(CONTROL!$C$42, 0.1146, 0.1146)*CHOOSE(CONTROL!$C$42, 121.5, 121.5)*CHOOSE(CONTROL!$C$42, 30, 30))/1000000</f>
        <v>0.417717</v>
      </c>
      <c r="X306" s="57">
        <f>(30*0.1790888*245000/1000000)+(30*0.2374*100000/1000000)</f>
        <v>2.0285026799999999</v>
      </c>
      <c r="Y306" s="57"/>
      <c r="Z306" s="10"/>
      <c r="AA306" s="56"/>
      <c r="AB306" s="50">
        <f>(B306*194.205+C306*267.466+D306*133.845+E306*53.484+F306*40+G306*185+H306*0+I306*100+J306*300)/(194.205+267.466+133.845+53.484+0+40+185+100+300)</f>
        <v>12.619031204160127</v>
      </c>
      <c r="AC306" s="45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12.53099856115108</v>
      </c>
    </row>
    <row r="307" spans="1:29" ht="15.75" x14ac:dyDescent="0.25">
      <c r="A307" s="15">
        <v>50222</v>
      </c>
      <c r="B307" s="10">
        <f>CHOOSE(CONTROL!$C$42, 12.3528, 12.3528) * CHOOSE(CONTROL!$C$21, $C$9, 100%, $E$9)</f>
        <v>12.3528</v>
      </c>
      <c r="C307" s="10">
        <f>CHOOSE(CONTROL!$C$42, 12.3607, 12.3607) * CHOOSE(CONTROL!$C$21, $C$9, 100%, $E$9)</f>
        <v>12.3607</v>
      </c>
      <c r="D307" s="10">
        <f>CHOOSE(CONTROL!$C$42, 12.5635, 12.5635) * CHOOSE(CONTROL!$C$21, $C$9, 100%, $E$9)</f>
        <v>12.563499999999999</v>
      </c>
      <c r="E307" s="10">
        <f>CHOOSE(CONTROL!$C$42, 12.5946, 12.5946) * CHOOSE(CONTROL!$C$21, $C$9, 100%, $E$9)</f>
        <v>12.5946</v>
      </c>
      <c r="F307" s="10">
        <f>CHOOSE(CONTROL!$C$42, 12.3296, 12.3296)*CHOOSE(CONTROL!$C$21, $C$9, 100%, $E$9)</f>
        <v>12.329599999999999</v>
      </c>
      <c r="G307" s="10">
        <f>CHOOSE(CONTROL!$C$42, 12.3448, 12.3448)*CHOOSE(CONTROL!$C$21, $C$9, 100%, $E$9)</f>
        <v>12.344799999999999</v>
      </c>
      <c r="H307" s="10">
        <f>CHOOSE(CONTROL!$C$42, 12.5832, 12.5832) * CHOOSE(CONTROL!$C$21, $C$9, 100%, $E$9)</f>
        <v>12.5832</v>
      </c>
      <c r="I307" s="10">
        <f>CHOOSE(CONTROL!$C$42, 12.3529, 12.3529)* CHOOSE(CONTROL!$C$21, $C$9, 100%, $E$9)</f>
        <v>12.3529</v>
      </c>
      <c r="J307" s="10">
        <f>CHOOSE(CONTROL!$C$42, 12.3226, 12.3226)* CHOOSE(CONTROL!$C$21, $C$9, 100%, $E$9)</f>
        <v>12.3226</v>
      </c>
      <c r="K307" s="53">
        <f>CHOOSE(CONTROL!$C$42, 12.349, 12.349) * CHOOSE(CONTROL!$C$21, $C$9, 100%, $E$9)</f>
        <v>12.349</v>
      </c>
      <c r="L307" s="10">
        <f>CHOOSE(CONTROL!$C$42, 13.1702, 13.1702) * CHOOSE(CONTROL!$C$21, $C$9, 100%, $E$9)</f>
        <v>13.170199999999999</v>
      </c>
      <c r="M307" s="10">
        <f>CHOOSE(CONTROL!$C$42, 12.212, 12.212) * CHOOSE(CONTROL!$C$21, $C$9, 100%, $E$9)</f>
        <v>12.212</v>
      </c>
      <c r="N307" s="10">
        <f>CHOOSE(CONTROL!$C$42, 12.2272, 12.2272) * CHOOSE(CONTROL!$C$21, $C$9, 100%, $E$9)</f>
        <v>12.2272</v>
      </c>
      <c r="O307" s="10">
        <f>CHOOSE(CONTROL!$C$42, 12.4701, 12.4701) * CHOOSE(CONTROL!$C$21, $C$9, 100%, $E$9)</f>
        <v>12.4701</v>
      </c>
      <c r="P307" s="10">
        <f>CHOOSE(CONTROL!$C$42, 12.2421, 12.2421) * CHOOSE(CONTROL!$C$21, $C$9, 100%, $E$9)</f>
        <v>12.242100000000001</v>
      </c>
      <c r="Q307" s="10">
        <f>CHOOSE(CONTROL!$C$42, 13.0654, 13.0654) * CHOOSE(CONTROL!$C$21, $C$9, 100%, $E$9)</f>
        <v>13.0654</v>
      </c>
      <c r="R307" s="10">
        <f>CHOOSE(CONTROL!$C$42, 13.685, 13.685) * CHOOSE(CONTROL!$C$21, $C$9, 100%, $E$9)</f>
        <v>13.685</v>
      </c>
      <c r="S307" s="10">
        <f>CHOOSE(CONTROL!$C$42, 11.9916, 11.9916) * CHOOSE(CONTROL!$C$21, $C$9, 100%, $E$9)</f>
        <v>11.9916</v>
      </c>
      <c r="T3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57">
        <f>(1000*CHOOSE(CONTROL!$C$42, 695, 695)*CHOOSE(CONTROL!$C$42, 0.5599, 0.5599)*CHOOSE(CONTROL!$C$42, 31, 31))/1000000</f>
        <v>12.063045499999998</v>
      </c>
      <c r="V307" s="57">
        <f>(1000*CHOOSE(CONTROL!$C$42, 500, 500)*CHOOSE(CONTROL!$C$42, 0.275, 0.275)*CHOOSE(CONTROL!$C$42, 31, 31))/1000000</f>
        <v>4.2625000000000002</v>
      </c>
      <c r="W307" s="57">
        <f>(1000*CHOOSE(CONTROL!$C$42, 0.1146, 0.1146)*CHOOSE(CONTROL!$C$42, 121.5, 121.5)*CHOOSE(CONTROL!$C$42, 31, 31))/1000000</f>
        <v>0.43164089999999994</v>
      </c>
      <c r="X307" s="57">
        <f>(31*0.1790888*245000/1000000)+(31*0.2374*100000/1000000)</f>
        <v>2.0961194359999999</v>
      </c>
      <c r="Y307" s="57"/>
      <c r="Z307" s="10"/>
      <c r="AA307" s="56"/>
      <c r="AB307" s="50">
        <f>(B307*194.205+C307*267.466+D307*133.845+E307*53.484+F307*40+G307*185+H307*0+I307*100+J307*300)/(194.205+267.466+133.845+53.484+0+40+185+100+300)</f>
        <v>12.377751769309262</v>
      </c>
      <c r="AC307" s="45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12.292246762589926</v>
      </c>
    </row>
    <row r="308" spans="1:29" ht="15.75" x14ac:dyDescent="0.25">
      <c r="A308" s="15">
        <v>50253</v>
      </c>
      <c r="B308" s="10">
        <f>CHOOSE(CONTROL!$C$42, 11.7429, 11.7429) * CHOOSE(CONTROL!$C$21, $C$9, 100%, $E$9)</f>
        <v>11.742900000000001</v>
      </c>
      <c r="C308" s="10">
        <f>CHOOSE(CONTROL!$C$42, 11.7508, 11.7508) * CHOOSE(CONTROL!$C$21, $C$9, 100%, $E$9)</f>
        <v>11.7508</v>
      </c>
      <c r="D308" s="10">
        <f>CHOOSE(CONTROL!$C$42, 11.9536, 11.9536) * CHOOSE(CONTROL!$C$21, $C$9, 100%, $E$9)</f>
        <v>11.9536</v>
      </c>
      <c r="E308" s="10">
        <f>CHOOSE(CONTROL!$C$42, 11.9847, 11.9847) * CHOOSE(CONTROL!$C$21, $C$9, 100%, $E$9)</f>
        <v>11.9847</v>
      </c>
      <c r="F308" s="10">
        <f>CHOOSE(CONTROL!$C$42, 11.7199, 11.7199)*CHOOSE(CONTROL!$C$21, $C$9, 100%, $E$9)</f>
        <v>11.719900000000001</v>
      </c>
      <c r="G308" s="10">
        <f>CHOOSE(CONTROL!$C$42, 11.7352, 11.7352)*CHOOSE(CONTROL!$C$21, $C$9, 100%, $E$9)</f>
        <v>11.735200000000001</v>
      </c>
      <c r="H308" s="10">
        <f>CHOOSE(CONTROL!$C$42, 11.9733, 11.9733) * CHOOSE(CONTROL!$C$21, $C$9, 100%, $E$9)</f>
        <v>11.9733</v>
      </c>
      <c r="I308" s="10">
        <f>CHOOSE(CONTROL!$C$42, 11.743, 11.743)* CHOOSE(CONTROL!$C$21, $C$9, 100%, $E$9)</f>
        <v>11.743</v>
      </c>
      <c r="J308" s="10">
        <f>CHOOSE(CONTROL!$C$42, 11.7129, 11.7129)* CHOOSE(CONTROL!$C$21, $C$9, 100%, $E$9)</f>
        <v>11.712899999999999</v>
      </c>
      <c r="K308" s="53">
        <f>CHOOSE(CONTROL!$C$42, 11.7391, 11.7391) * CHOOSE(CONTROL!$C$21, $C$9, 100%, $E$9)</f>
        <v>11.739100000000001</v>
      </c>
      <c r="L308" s="10">
        <f>CHOOSE(CONTROL!$C$42, 12.5603, 12.5603) * CHOOSE(CONTROL!$C$21, $C$9, 100%, $E$9)</f>
        <v>12.5603</v>
      </c>
      <c r="M308" s="10">
        <f>CHOOSE(CONTROL!$C$42, 11.6085, 11.6085) * CHOOSE(CONTROL!$C$21, $C$9, 100%, $E$9)</f>
        <v>11.608499999999999</v>
      </c>
      <c r="N308" s="10">
        <f>CHOOSE(CONTROL!$C$42, 11.6236, 11.6236) * CHOOSE(CONTROL!$C$21, $C$9, 100%, $E$9)</f>
        <v>11.6236</v>
      </c>
      <c r="O308" s="10">
        <f>CHOOSE(CONTROL!$C$42, 11.8663, 11.8663) * CHOOSE(CONTROL!$C$21, $C$9, 100%, $E$9)</f>
        <v>11.866300000000001</v>
      </c>
      <c r="P308" s="10">
        <f>CHOOSE(CONTROL!$C$42, 11.6383, 11.6383) * CHOOSE(CONTROL!$C$21, $C$9, 100%, $E$9)</f>
        <v>11.638299999999999</v>
      </c>
      <c r="Q308" s="10">
        <f>CHOOSE(CONTROL!$C$42, 12.4616, 12.4616) * CHOOSE(CONTROL!$C$21, $C$9, 100%, $E$9)</f>
        <v>12.461600000000001</v>
      </c>
      <c r="R308" s="10">
        <f>CHOOSE(CONTROL!$C$42, 13.0798, 13.0798) * CHOOSE(CONTROL!$C$21, $C$9, 100%, $E$9)</f>
        <v>13.079800000000001</v>
      </c>
      <c r="S308" s="10">
        <f>CHOOSE(CONTROL!$C$42, 11.3993, 11.3993) * CHOOSE(CONTROL!$C$21, $C$9, 100%, $E$9)</f>
        <v>11.3993</v>
      </c>
      <c r="T3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57">
        <f>(1000*CHOOSE(CONTROL!$C$42, 695, 695)*CHOOSE(CONTROL!$C$42, 0.5599, 0.5599)*CHOOSE(CONTROL!$C$42, 31, 31))/1000000</f>
        <v>12.063045499999998</v>
      </c>
      <c r="V308" s="57">
        <f>(1000*CHOOSE(CONTROL!$C$42, 500, 500)*CHOOSE(CONTROL!$C$42, 0.275, 0.275)*CHOOSE(CONTROL!$C$42, 31, 31))/1000000</f>
        <v>4.2625000000000002</v>
      </c>
      <c r="W308" s="57">
        <f>(1000*CHOOSE(CONTROL!$C$42, 0.1146, 0.1146)*CHOOSE(CONTROL!$C$42, 121.5, 121.5)*CHOOSE(CONTROL!$C$42, 31, 31))/1000000</f>
        <v>0.43164089999999994</v>
      </c>
      <c r="X308" s="57">
        <f>(31*0.1790888*245000/1000000)+(31*0.2374*100000/1000000)</f>
        <v>2.0961194359999999</v>
      </c>
      <c r="Y308" s="57"/>
      <c r="Z308" s="10"/>
      <c r="AA308" s="56"/>
      <c r="AB308" s="50">
        <f>(B308*194.205+C308*267.466+D308*133.845+E308*53.484+F308*40+G308*185+H308*0+I308*100+J308*300)/(194.205+267.466+133.845+53.484+0+40+185+100+300)</f>
        <v>11.767948708084774</v>
      </c>
      <c r="AC308" s="45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11.688596402877698</v>
      </c>
    </row>
    <row r="309" spans="1:29" ht="15.75" x14ac:dyDescent="0.25">
      <c r="A309" s="15">
        <v>50284</v>
      </c>
      <c r="B309" s="10">
        <f>CHOOSE(CONTROL!$C$42, 10.9973, 10.9973) * CHOOSE(CONTROL!$C$21, $C$9, 100%, $E$9)</f>
        <v>10.997299999999999</v>
      </c>
      <c r="C309" s="10">
        <f>CHOOSE(CONTROL!$C$42, 11.0053, 11.0053) * CHOOSE(CONTROL!$C$21, $C$9, 100%, $E$9)</f>
        <v>11.0053</v>
      </c>
      <c r="D309" s="10">
        <f>CHOOSE(CONTROL!$C$42, 11.208, 11.208) * CHOOSE(CONTROL!$C$21, $C$9, 100%, $E$9)</f>
        <v>11.208</v>
      </c>
      <c r="E309" s="10">
        <f>CHOOSE(CONTROL!$C$42, 11.2391, 11.2391) * CHOOSE(CONTROL!$C$21, $C$9, 100%, $E$9)</f>
        <v>11.239100000000001</v>
      </c>
      <c r="F309" s="10">
        <f>CHOOSE(CONTROL!$C$42, 10.9742, 10.9742)*CHOOSE(CONTROL!$C$21, $C$9, 100%, $E$9)</f>
        <v>10.9742</v>
      </c>
      <c r="G309" s="10">
        <f>CHOOSE(CONTROL!$C$42, 10.9894, 10.9894)*CHOOSE(CONTROL!$C$21, $C$9, 100%, $E$9)</f>
        <v>10.9894</v>
      </c>
      <c r="H309" s="10">
        <f>CHOOSE(CONTROL!$C$42, 11.2278, 11.2278) * CHOOSE(CONTROL!$C$21, $C$9, 100%, $E$9)</f>
        <v>11.2278</v>
      </c>
      <c r="I309" s="10">
        <f>CHOOSE(CONTROL!$C$42, 10.9974, 10.9974)* CHOOSE(CONTROL!$C$21, $C$9, 100%, $E$9)</f>
        <v>10.997400000000001</v>
      </c>
      <c r="J309" s="10">
        <f>CHOOSE(CONTROL!$C$42, 10.9672, 10.9672)* CHOOSE(CONTROL!$C$21, $C$9, 100%, $E$9)</f>
        <v>10.9672</v>
      </c>
      <c r="K309" s="53">
        <f>CHOOSE(CONTROL!$C$42, 10.9935, 10.9935) * CHOOSE(CONTROL!$C$21, $C$9, 100%, $E$9)</f>
        <v>10.993499999999999</v>
      </c>
      <c r="L309" s="10">
        <f>CHOOSE(CONTROL!$C$42, 11.8148, 11.8148) * CHOOSE(CONTROL!$C$21, $C$9, 100%, $E$9)</f>
        <v>11.8148</v>
      </c>
      <c r="M309" s="10">
        <f>CHOOSE(CONTROL!$C$42, 10.8703, 10.8703) * CHOOSE(CONTROL!$C$21, $C$9, 100%, $E$9)</f>
        <v>10.8703</v>
      </c>
      <c r="N309" s="10">
        <f>CHOOSE(CONTROL!$C$42, 10.8854, 10.8854) * CHOOSE(CONTROL!$C$21, $C$9, 100%, $E$9)</f>
        <v>10.885400000000001</v>
      </c>
      <c r="O309" s="10">
        <f>CHOOSE(CONTROL!$C$42, 11.1283, 11.1283) * CHOOSE(CONTROL!$C$21, $C$9, 100%, $E$9)</f>
        <v>11.128299999999999</v>
      </c>
      <c r="P309" s="10">
        <f>CHOOSE(CONTROL!$C$42, 10.9003, 10.9003) * CHOOSE(CONTROL!$C$21, $C$9, 100%, $E$9)</f>
        <v>10.9003</v>
      </c>
      <c r="Q309" s="10">
        <f>CHOOSE(CONTROL!$C$42, 11.7236, 11.7236) * CHOOSE(CONTROL!$C$21, $C$9, 100%, $E$9)</f>
        <v>11.723599999999999</v>
      </c>
      <c r="R309" s="10">
        <f>CHOOSE(CONTROL!$C$42, 12.3399, 12.3399) * CHOOSE(CONTROL!$C$21, $C$9, 100%, $E$9)</f>
        <v>12.3399</v>
      </c>
      <c r="S309" s="10">
        <f>CHOOSE(CONTROL!$C$42, 10.6753, 10.6753) * CHOOSE(CONTROL!$C$21, $C$9, 100%, $E$9)</f>
        <v>10.6753</v>
      </c>
      <c r="T3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57">
        <f>(1000*CHOOSE(CONTROL!$C$42, 695, 695)*CHOOSE(CONTROL!$C$42, 0.5599, 0.5599)*CHOOSE(CONTROL!$C$42, 30, 30))/1000000</f>
        <v>11.673914999999997</v>
      </c>
      <c r="V309" s="57">
        <f>(1000*CHOOSE(CONTROL!$C$42, 500, 500)*CHOOSE(CONTROL!$C$42, 0.275, 0.275)*CHOOSE(CONTROL!$C$42, 30, 30))/1000000</f>
        <v>4.125</v>
      </c>
      <c r="W309" s="57">
        <f>(1000*CHOOSE(CONTROL!$C$42, 0.1146, 0.1146)*CHOOSE(CONTROL!$C$42, 121.5, 121.5)*CHOOSE(CONTROL!$C$42, 30, 30))/1000000</f>
        <v>0.417717</v>
      </c>
      <c r="X309" s="57">
        <f>(30*0.1790888*245000/1000000)+(30*0.2374*100000/1000000)</f>
        <v>2.0285026799999999</v>
      </c>
      <c r="Y309" s="57"/>
      <c r="Z309" s="10"/>
      <c r="AA309" s="56"/>
      <c r="AB309" s="50">
        <f>(B309*194.205+C309*267.466+D309*133.845+E309*53.484+F309*40+G309*185+H309*0+I309*100+J309*300)/(194.205+267.466+133.845+53.484+0+40+185+100+300)</f>
        <v>11.022313972291993</v>
      </c>
      <c r="AC309" s="45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10.950481294964028</v>
      </c>
    </row>
    <row r="310" spans="1:29" ht="15.75" x14ac:dyDescent="0.25">
      <c r="A310" s="15">
        <v>50314</v>
      </c>
      <c r="B310" s="10">
        <f>CHOOSE(CONTROL!$C$42, 10.7724, 10.7724) * CHOOSE(CONTROL!$C$21, $C$9, 100%, $E$9)</f>
        <v>10.772399999999999</v>
      </c>
      <c r="C310" s="10">
        <f>CHOOSE(CONTROL!$C$42, 10.7776, 10.7776) * CHOOSE(CONTROL!$C$21, $C$9, 100%, $E$9)</f>
        <v>10.7776</v>
      </c>
      <c r="D310" s="10">
        <f>CHOOSE(CONTROL!$C$42, 10.9853, 10.9853) * CHOOSE(CONTROL!$C$21, $C$9, 100%, $E$9)</f>
        <v>10.985300000000001</v>
      </c>
      <c r="E310" s="10">
        <f>CHOOSE(CONTROL!$C$42, 11.0141, 11.0141) * CHOOSE(CONTROL!$C$21, $C$9, 100%, $E$9)</f>
        <v>11.014099999999999</v>
      </c>
      <c r="F310" s="10">
        <f>CHOOSE(CONTROL!$C$42, 10.7511, 10.7511)*CHOOSE(CONTROL!$C$21, $C$9, 100%, $E$9)</f>
        <v>10.751099999999999</v>
      </c>
      <c r="G310" s="10">
        <f>CHOOSE(CONTROL!$C$42, 10.7661, 10.7661)*CHOOSE(CONTROL!$C$21, $C$9, 100%, $E$9)</f>
        <v>10.7661</v>
      </c>
      <c r="H310" s="10">
        <f>CHOOSE(CONTROL!$C$42, 11.0046, 11.0046) * CHOOSE(CONTROL!$C$21, $C$9, 100%, $E$9)</f>
        <v>11.0046</v>
      </c>
      <c r="I310" s="10">
        <f>CHOOSE(CONTROL!$C$42, 10.7742, 10.7742)* CHOOSE(CONTROL!$C$21, $C$9, 100%, $E$9)</f>
        <v>10.7742</v>
      </c>
      <c r="J310" s="10">
        <f>CHOOSE(CONTROL!$C$42, 10.7441, 10.7441)* CHOOSE(CONTROL!$C$21, $C$9, 100%, $E$9)</f>
        <v>10.7441</v>
      </c>
      <c r="K310" s="53">
        <f>CHOOSE(CONTROL!$C$42, 10.7703, 10.7703) * CHOOSE(CONTROL!$C$21, $C$9, 100%, $E$9)</f>
        <v>10.770300000000001</v>
      </c>
      <c r="L310" s="10">
        <f>CHOOSE(CONTROL!$C$42, 11.5916, 11.5916) * CHOOSE(CONTROL!$C$21, $C$9, 100%, $E$9)</f>
        <v>11.5916</v>
      </c>
      <c r="M310" s="10">
        <f>CHOOSE(CONTROL!$C$42, 10.6495, 10.6495) * CHOOSE(CONTROL!$C$21, $C$9, 100%, $E$9)</f>
        <v>10.6495</v>
      </c>
      <c r="N310" s="10">
        <f>CHOOSE(CONTROL!$C$42, 10.6643, 10.6643) * CHOOSE(CONTROL!$C$21, $C$9, 100%, $E$9)</f>
        <v>10.664300000000001</v>
      </c>
      <c r="O310" s="10">
        <f>CHOOSE(CONTROL!$C$42, 10.9074, 10.9074) * CHOOSE(CONTROL!$C$21, $C$9, 100%, $E$9)</f>
        <v>10.907400000000001</v>
      </c>
      <c r="P310" s="10">
        <f>CHOOSE(CONTROL!$C$42, 10.6793, 10.6793) * CHOOSE(CONTROL!$C$21, $C$9, 100%, $E$9)</f>
        <v>10.6793</v>
      </c>
      <c r="Q310" s="10">
        <f>CHOOSE(CONTROL!$C$42, 11.5027, 11.5027) * CHOOSE(CONTROL!$C$21, $C$9, 100%, $E$9)</f>
        <v>11.502700000000001</v>
      </c>
      <c r="R310" s="10">
        <f>CHOOSE(CONTROL!$C$42, 12.1184, 12.1184) * CHOOSE(CONTROL!$C$21, $C$9, 100%, $E$9)</f>
        <v>12.118399999999999</v>
      </c>
      <c r="S310" s="10">
        <f>CHOOSE(CONTROL!$C$42, 10.4585, 10.4585) * CHOOSE(CONTROL!$C$21, $C$9, 100%, $E$9)</f>
        <v>10.458500000000001</v>
      </c>
      <c r="T3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57">
        <f>(1000*CHOOSE(CONTROL!$C$42, 695, 695)*CHOOSE(CONTROL!$C$42, 0.5599, 0.5599)*CHOOSE(CONTROL!$C$42, 31, 31))/1000000</f>
        <v>12.063045499999998</v>
      </c>
      <c r="V310" s="57">
        <f>(1000*CHOOSE(CONTROL!$C$42, 500, 500)*CHOOSE(CONTROL!$C$42, 0.275, 0.275)*CHOOSE(CONTROL!$C$42, 31, 31))/1000000</f>
        <v>4.2625000000000002</v>
      </c>
      <c r="W310" s="57">
        <f>(1000*CHOOSE(CONTROL!$C$42, 0.1146, 0.1146)*CHOOSE(CONTROL!$C$42, 121.5, 121.5)*CHOOSE(CONTROL!$C$42, 31, 31))/1000000</f>
        <v>0.43164089999999994</v>
      </c>
      <c r="X310" s="57">
        <f>(31*0.1790888*245000/1000000)+(31*0.2374*100000/1000000)</f>
        <v>2.0961194359999999</v>
      </c>
      <c r="Y310" s="57"/>
      <c r="Z310" s="10"/>
      <c r="AA310" s="56"/>
      <c r="AB310" s="50">
        <f>(B310*131.881+C310*277.167+D310*79.08+E310*125.872+F310*40+G310*185+H310*0+I310*100+J310*300)/(131.881+277.167+79.08+125.872+0+40+185+100+300)</f>
        <v>10.803371075706213</v>
      </c>
      <c r="AC310" s="45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10.729555395683454</v>
      </c>
    </row>
    <row r="311" spans="1:29" ht="15.75" x14ac:dyDescent="0.25">
      <c r="A311" s="15">
        <v>50345</v>
      </c>
      <c r="B311" s="10">
        <f>CHOOSE(CONTROL!$C$42, 11.0557, 11.0557) * CHOOSE(CONTROL!$C$21, $C$9, 100%, $E$9)</f>
        <v>11.0557</v>
      </c>
      <c r="C311" s="10">
        <f>CHOOSE(CONTROL!$C$42, 11.0606, 11.0606) * CHOOSE(CONTROL!$C$21, $C$9, 100%, $E$9)</f>
        <v>11.060600000000001</v>
      </c>
      <c r="D311" s="10">
        <f>CHOOSE(CONTROL!$C$42, 11.1211, 11.1211) * CHOOSE(CONTROL!$C$21, $C$9, 100%, $E$9)</f>
        <v>11.1211</v>
      </c>
      <c r="E311" s="10">
        <f>CHOOSE(CONTROL!$C$42, 11.1549, 11.1549) * CHOOSE(CONTROL!$C$21, $C$9, 100%, $E$9)</f>
        <v>11.1549</v>
      </c>
      <c r="F311" s="10">
        <f>CHOOSE(CONTROL!$C$42, 11.0513, 11.0513)*CHOOSE(CONTROL!$C$21, $C$9, 100%, $E$9)</f>
        <v>11.051299999999999</v>
      </c>
      <c r="G311" s="10">
        <f>CHOOSE(CONTROL!$C$42, 11.0665, 11.0665)*CHOOSE(CONTROL!$C$21, $C$9, 100%, $E$9)</f>
        <v>11.0665</v>
      </c>
      <c r="H311" s="10">
        <f>CHOOSE(CONTROL!$C$42, 11.1441, 11.1441) * CHOOSE(CONTROL!$C$21, $C$9, 100%, $E$9)</f>
        <v>11.1441</v>
      </c>
      <c r="I311" s="10">
        <f>CHOOSE(CONTROL!$C$42, 11.0682, 11.0682)* CHOOSE(CONTROL!$C$21, $C$9, 100%, $E$9)</f>
        <v>11.068199999999999</v>
      </c>
      <c r="J311" s="10">
        <f>CHOOSE(CONTROL!$C$42, 11.0443, 11.0443)* CHOOSE(CONTROL!$C$21, $C$9, 100%, $E$9)</f>
        <v>11.0443</v>
      </c>
      <c r="K311" s="53">
        <f>CHOOSE(CONTROL!$C$42, 11.0643, 11.0643) * CHOOSE(CONTROL!$C$21, $C$9, 100%, $E$9)</f>
        <v>11.064299999999999</v>
      </c>
      <c r="L311" s="10">
        <f>CHOOSE(CONTROL!$C$42, 11.7311, 11.7311) * CHOOSE(CONTROL!$C$21, $C$9, 100%, $E$9)</f>
        <v>11.7311</v>
      </c>
      <c r="M311" s="10">
        <f>CHOOSE(CONTROL!$C$42, 10.9467, 10.9467) * CHOOSE(CONTROL!$C$21, $C$9, 100%, $E$9)</f>
        <v>10.9467</v>
      </c>
      <c r="N311" s="10">
        <f>CHOOSE(CONTROL!$C$42, 10.9618, 10.9618) * CHOOSE(CONTROL!$C$21, $C$9, 100%, $E$9)</f>
        <v>10.9618</v>
      </c>
      <c r="O311" s="10">
        <f>CHOOSE(CONTROL!$C$42, 11.0455, 11.0455) * CHOOSE(CONTROL!$C$21, $C$9, 100%, $E$9)</f>
        <v>11.045500000000001</v>
      </c>
      <c r="P311" s="10">
        <f>CHOOSE(CONTROL!$C$42, 10.9704, 10.9704) * CHOOSE(CONTROL!$C$21, $C$9, 100%, $E$9)</f>
        <v>10.9704</v>
      </c>
      <c r="Q311" s="10">
        <f>CHOOSE(CONTROL!$C$42, 11.6408, 11.6408) * CHOOSE(CONTROL!$C$21, $C$9, 100%, $E$9)</f>
        <v>11.6408</v>
      </c>
      <c r="R311" s="10">
        <f>CHOOSE(CONTROL!$C$42, 12.2569, 12.2569) * CHOOSE(CONTROL!$C$21, $C$9, 100%, $E$9)</f>
        <v>12.2569</v>
      </c>
      <c r="S311" s="10">
        <f>CHOOSE(CONTROL!$C$42, 10.734, 10.734) * CHOOSE(CONTROL!$C$21, $C$9, 100%, $E$9)</f>
        <v>10.734</v>
      </c>
      <c r="T3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57">
        <f>(1000*CHOOSE(CONTROL!$C$42, 695, 695)*CHOOSE(CONTROL!$C$42, 0.5599, 0.5599)*CHOOSE(CONTROL!$C$42, 30, 30))/1000000</f>
        <v>11.673914999999997</v>
      </c>
      <c r="V311" s="57">
        <f>(1000*CHOOSE(CONTROL!$C$42, 500, 500)*CHOOSE(CONTROL!$C$42, 0.275, 0.275)*CHOOSE(CONTROL!$C$42, 30, 30))/1000000</f>
        <v>4.125</v>
      </c>
      <c r="W311" s="57">
        <f>(1000*CHOOSE(CONTROL!$C$42, 0.1146, 0.1146)*CHOOSE(CONTROL!$C$42, 121.5, 121.5)*CHOOSE(CONTROL!$C$42, 30, 30))/1000000</f>
        <v>0.417717</v>
      </c>
      <c r="X311" s="57">
        <f>(30*0.1790888*100000/1000000)+(30*0.2374*100000/1000000)</f>
        <v>1.2494664</v>
      </c>
      <c r="Y311" s="57"/>
      <c r="Z311" s="10"/>
      <c r="AA311" s="56"/>
      <c r="AB311" s="50">
        <f>(B311*122.58+C311*297.941+D311*89.177+E311*40.302+F311*40+G311*160+H311*0+I311*100+J311*300)/(122.58+297.941+89.177+40.302+0+40+160+100+300)</f>
        <v>11.064980039217392</v>
      </c>
      <c r="AC311" s="45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10.995758992805756</v>
      </c>
    </row>
    <row r="312" spans="1:29" ht="15.75" x14ac:dyDescent="0.25">
      <c r="A312" s="15">
        <v>50375</v>
      </c>
      <c r="B312" s="10">
        <f>CHOOSE(CONTROL!$C$42, 11.8093, 11.8093) * CHOOSE(CONTROL!$C$21, $C$9, 100%, $E$9)</f>
        <v>11.8093</v>
      </c>
      <c r="C312" s="10">
        <f>CHOOSE(CONTROL!$C$42, 11.8142, 11.8142) * CHOOSE(CONTROL!$C$21, $C$9, 100%, $E$9)</f>
        <v>11.8142</v>
      </c>
      <c r="D312" s="10">
        <f>CHOOSE(CONTROL!$C$42, 11.8747, 11.8747) * CHOOSE(CONTROL!$C$21, $C$9, 100%, $E$9)</f>
        <v>11.874700000000001</v>
      </c>
      <c r="E312" s="10">
        <f>CHOOSE(CONTROL!$C$42, 11.9085, 11.9085) * CHOOSE(CONTROL!$C$21, $C$9, 100%, $E$9)</f>
        <v>11.9085</v>
      </c>
      <c r="F312" s="10">
        <f>CHOOSE(CONTROL!$C$42, 11.8067, 11.8067)*CHOOSE(CONTROL!$C$21, $C$9, 100%, $E$9)</f>
        <v>11.806699999999999</v>
      </c>
      <c r="G312" s="10">
        <f>CHOOSE(CONTROL!$C$42, 11.8224, 11.8224)*CHOOSE(CONTROL!$C$21, $C$9, 100%, $E$9)</f>
        <v>11.8224</v>
      </c>
      <c r="H312" s="10">
        <f>CHOOSE(CONTROL!$C$42, 11.8977, 11.8977) * CHOOSE(CONTROL!$C$21, $C$9, 100%, $E$9)</f>
        <v>11.8977</v>
      </c>
      <c r="I312" s="10">
        <f>CHOOSE(CONTROL!$C$42, 11.8218, 11.8218)* CHOOSE(CONTROL!$C$21, $C$9, 100%, $E$9)</f>
        <v>11.8218</v>
      </c>
      <c r="J312" s="10">
        <f>CHOOSE(CONTROL!$C$42, 11.7997, 11.7997)* CHOOSE(CONTROL!$C$21, $C$9, 100%, $E$9)</f>
        <v>11.7997</v>
      </c>
      <c r="K312" s="53">
        <f>CHOOSE(CONTROL!$C$42, 11.8179, 11.8179) * CHOOSE(CONTROL!$C$21, $C$9, 100%, $E$9)</f>
        <v>11.8179</v>
      </c>
      <c r="L312" s="10">
        <f>CHOOSE(CONTROL!$C$42, 12.4847, 12.4847) * CHOOSE(CONTROL!$C$21, $C$9, 100%, $E$9)</f>
        <v>12.4847</v>
      </c>
      <c r="M312" s="10">
        <f>CHOOSE(CONTROL!$C$42, 11.6945, 11.6945) * CHOOSE(CONTROL!$C$21, $C$9, 100%, $E$9)</f>
        <v>11.6945</v>
      </c>
      <c r="N312" s="10">
        <f>CHOOSE(CONTROL!$C$42, 11.71, 11.71) * CHOOSE(CONTROL!$C$21, $C$9, 100%, $E$9)</f>
        <v>11.71</v>
      </c>
      <c r="O312" s="10">
        <f>CHOOSE(CONTROL!$C$42, 11.7914, 11.7914) * CHOOSE(CONTROL!$C$21, $C$9, 100%, $E$9)</f>
        <v>11.791399999999999</v>
      </c>
      <c r="P312" s="10">
        <f>CHOOSE(CONTROL!$C$42, 11.7163, 11.7163) * CHOOSE(CONTROL!$C$21, $C$9, 100%, $E$9)</f>
        <v>11.7163</v>
      </c>
      <c r="Q312" s="10">
        <f>CHOOSE(CONTROL!$C$42, 12.3867, 12.3867) * CHOOSE(CONTROL!$C$21, $C$9, 100%, $E$9)</f>
        <v>12.386699999999999</v>
      </c>
      <c r="R312" s="10">
        <f>CHOOSE(CONTROL!$C$42, 13.0047, 13.0047) * CHOOSE(CONTROL!$C$21, $C$9, 100%, $E$9)</f>
        <v>13.0047</v>
      </c>
      <c r="S312" s="10">
        <f>CHOOSE(CONTROL!$C$42, 11.4658, 11.4658) * CHOOSE(CONTROL!$C$21, $C$9, 100%, $E$9)</f>
        <v>11.4658</v>
      </c>
      <c r="T3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57">
        <f>(1000*CHOOSE(CONTROL!$C$42, 695, 695)*CHOOSE(CONTROL!$C$42, 0.5599, 0.5599)*CHOOSE(CONTROL!$C$42, 31, 31))/1000000</f>
        <v>12.063045499999998</v>
      </c>
      <c r="V312" s="57">
        <f>(1000*CHOOSE(CONTROL!$C$42, 500, 500)*CHOOSE(CONTROL!$C$42, 0.275, 0.275)*CHOOSE(CONTROL!$C$42, 31, 31))/1000000</f>
        <v>4.2625000000000002</v>
      </c>
      <c r="W312" s="57">
        <f>(1000*CHOOSE(CONTROL!$C$42, 0.1146, 0.1146)*CHOOSE(CONTROL!$C$42, 121.5, 121.5)*CHOOSE(CONTROL!$C$42, 31, 31))/1000000</f>
        <v>0.43164089999999994</v>
      </c>
      <c r="X312" s="57">
        <f>(31*0.1790888*100000/1000000)+(31*0.2374*100000/1000000)</f>
        <v>1.2911152800000001</v>
      </c>
      <c r="Y312" s="57"/>
      <c r="Z312" s="10"/>
      <c r="AA312" s="56"/>
      <c r="AB312" s="50">
        <f>(B312*122.58+C312*297.941+D312*89.177+E312*40.302+F312*40+G312*160+H312*0+I312*100+J312*300)/(122.58+297.941+89.177+40.302+0+40+160+100+300)</f>
        <v>11.819432213130435</v>
      </c>
      <c r="AC312" s="45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11.742447482014388</v>
      </c>
    </row>
    <row r="313" spans="1:29" ht="15.75" x14ac:dyDescent="0.25">
      <c r="A313" s="14">
        <v>50436</v>
      </c>
      <c r="B313" s="10">
        <f>CHOOSE(CONTROL!$C$42, 12.7766, 12.7766) * CHOOSE(CONTROL!$C$21, $C$9, 100%, $E$9)</f>
        <v>12.7766</v>
      </c>
      <c r="C313" s="10">
        <f>CHOOSE(CONTROL!$C$42, 12.7816, 12.7816) * CHOOSE(CONTROL!$C$21, $C$9, 100%, $E$9)</f>
        <v>12.781599999999999</v>
      </c>
      <c r="D313" s="10">
        <f>CHOOSE(CONTROL!$C$42, 12.8387, 12.8387) * CHOOSE(CONTROL!$C$21, $C$9, 100%, $E$9)</f>
        <v>12.838699999999999</v>
      </c>
      <c r="E313" s="10">
        <f>CHOOSE(CONTROL!$C$42, 12.8724, 12.8724) * CHOOSE(CONTROL!$C$21, $C$9, 100%, $E$9)</f>
        <v>12.872400000000001</v>
      </c>
      <c r="F313" s="10">
        <f>CHOOSE(CONTROL!$C$42, 12.7744, 12.7744)*CHOOSE(CONTROL!$C$21, $C$9, 100%, $E$9)</f>
        <v>12.7744</v>
      </c>
      <c r="G313" s="10">
        <f>CHOOSE(CONTROL!$C$42, 12.7891, 12.7891)*CHOOSE(CONTROL!$C$21, $C$9, 100%, $E$9)</f>
        <v>12.789099999999999</v>
      </c>
      <c r="H313" s="10">
        <f>CHOOSE(CONTROL!$C$42, 12.8616, 12.8616) * CHOOSE(CONTROL!$C$21, $C$9, 100%, $E$9)</f>
        <v>12.861599999999999</v>
      </c>
      <c r="I313" s="10">
        <f>CHOOSE(CONTROL!$C$42, 12.7874, 12.7874)* CHOOSE(CONTROL!$C$21, $C$9, 100%, $E$9)</f>
        <v>12.7874</v>
      </c>
      <c r="J313" s="10">
        <f>CHOOSE(CONTROL!$C$42, 12.7674, 12.7674)* CHOOSE(CONTROL!$C$21, $C$9, 100%, $E$9)</f>
        <v>12.7674</v>
      </c>
      <c r="K313" s="53">
        <f>CHOOSE(CONTROL!$C$42, 12.7835, 12.7835) * CHOOSE(CONTROL!$C$21, $C$9, 100%, $E$9)</f>
        <v>12.7835</v>
      </c>
      <c r="L313" s="10">
        <f>CHOOSE(CONTROL!$C$42, 13.4486, 13.4486) * CHOOSE(CONTROL!$C$21, $C$9, 100%, $E$9)</f>
        <v>13.448600000000001</v>
      </c>
      <c r="M313" s="10">
        <f>CHOOSE(CONTROL!$C$42, 12.6524, 12.6524) * CHOOSE(CONTROL!$C$21, $C$9, 100%, $E$9)</f>
        <v>12.6524</v>
      </c>
      <c r="N313" s="10">
        <f>CHOOSE(CONTROL!$C$42, 12.6669, 12.6669) * CHOOSE(CONTROL!$C$21, $C$9, 100%, $E$9)</f>
        <v>12.6669</v>
      </c>
      <c r="O313" s="10">
        <f>CHOOSE(CONTROL!$C$42, 12.7457, 12.7457) * CHOOSE(CONTROL!$C$21, $C$9, 100%, $E$9)</f>
        <v>12.745699999999999</v>
      </c>
      <c r="P313" s="10">
        <f>CHOOSE(CONTROL!$C$42, 12.6722, 12.6722) * CHOOSE(CONTROL!$C$21, $C$9, 100%, $E$9)</f>
        <v>12.6722</v>
      </c>
      <c r="Q313" s="10">
        <f>CHOOSE(CONTROL!$C$42, 13.341, 13.341) * CHOOSE(CONTROL!$C$21, $C$9, 100%, $E$9)</f>
        <v>13.340999999999999</v>
      </c>
      <c r="R313" s="10">
        <f>CHOOSE(CONTROL!$C$42, 13.9613, 13.9613) * CHOOSE(CONTROL!$C$21, $C$9, 100%, $E$9)</f>
        <v>13.9613</v>
      </c>
      <c r="S313" s="10">
        <f>CHOOSE(CONTROL!$C$42, 12.4052, 12.4052) * CHOOSE(CONTROL!$C$21, $C$9, 100%, $E$9)</f>
        <v>12.405200000000001</v>
      </c>
      <c r="T3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57">
        <f>(1000*CHOOSE(CONTROL!$C$42, 695, 695)*CHOOSE(CONTROL!$C$42, 0.5599, 0.5599)*CHOOSE(CONTROL!$C$42, 31, 31))/1000000</f>
        <v>12.063045499999998</v>
      </c>
      <c r="V313" s="57">
        <f>(1000*CHOOSE(CONTROL!$C$42, 500, 500)*CHOOSE(CONTROL!$C$42, 0.275, 0.275)*CHOOSE(CONTROL!$C$42, 31, 31))/1000000</f>
        <v>4.2625000000000002</v>
      </c>
      <c r="W313" s="57">
        <f>(1000*CHOOSE(CONTROL!$C$42, 0.1146, 0.1146)*CHOOSE(CONTROL!$C$42, 121.5, 121.5)*CHOOSE(CONTROL!$C$42, 31, 31))/1000000</f>
        <v>0.43164089999999994</v>
      </c>
      <c r="X313" s="57">
        <f>(31*0.1790888*100000/1000000)+(31*0.2374*100000/1000000)</f>
        <v>1.2911152800000001</v>
      </c>
      <c r="Y313" s="57"/>
      <c r="Z313" s="10"/>
      <c r="AA313" s="56"/>
      <c r="AB313" s="50">
        <f>(B313*122.58+C313*297.941+D313*89.177+E313*40.302+F313*40+G313*160+H313*0+I313*100+J313*300)/(122.58+297.941+89.177+40.302+0+40+160+100+300)</f>
        <v>12.786270024608694</v>
      </c>
      <c r="AC313" s="45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12.69837050359712</v>
      </c>
    </row>
    <row r="314" spans="1:29" ht="15.75" x14ac:dyDescent="0.25">
      <c r="A314" s="14">
        <v>50464</v>
      </c>
      <c r="B314" s="10">
        <f>CHOOSE(CONTROL!$C$42, 13.004, 13.004) * CHOOSE(CONTROL!$C$21, $C$9, 100%, $E$9)</f>
        <v>13.004</v>
      </c>
      <c r="C314" s="10">
        <f>CHOOSE(CONTROL!$C$42, 13.009, 13.009) * CHOOSE(CONTROL!$C$21, $C$9, 100%, $E$9)</f>
        <v>13.009</v>
      </c>
      <c r="D314" s="10">
        <f>CHOOSE(CONTROL!$C$42, 13.066, 13.066) * CHOOSE(CONTROL!$C$21, $C$9, 100%, $E$9)</f>
        <v>13.066000000000001</v>
      </c>
      <c r="E314" s="10">
        <f>CHOOSE(CONTROL!$C$42, 13.0998, 13.0998) * CHOOSE(CONTROL!$C$21, $C$9, 100%, $E$9)</f>
        <v>13.0998</v>
      </c>
      <c r="F314" s="10">
        <f>CHOOSE(CONTROL!$C$42, 13.002, 13.002)*CHOOSE(CONTROL!$C$21, $C$9, 100%, $E$9)</f>
        <v>13.002000000000001</v>
      </c>
      <c r="G314" s="10">
        <f>CHOOSE(CONTROL!$C$42, 13.0166, 13.0166)*CHOOSE(CONTROL!$C$21, $C$9, 100%, $E$9)</f>
        <v>13.0166</v>
      </c>
      <c r="H314" s="10">
        <f>CHOOSE(CONTROL!$C$42, 13.089, 13.089) * CHOOSE(CONTROL!$C$21, $C$9, 100%, $E$9)</f>
        <v>13.089</v>
      </c>
      <c r="I314" s="10">
        <f>CHOOSE(CONTROL!$C$42, 13.0148, 13.0148)* CHOOSE(CONTROL!$C$21, $C$9, 100%, $E$9)</f>
        <v>13.014799999999999</v>
      </c>
      <c r="J314" s="10">
        <f>CHOOSE(CONTROL!$C$42, 12.995, 12.995)* CHOOSE(CONTROL!$C$21, $C$9, 100%, $E$9)</f>
        <v>12.994999999999999</v>
      </c>
      <c r="K314" s="53">
        <f>CHOOSE(CONTROL!$C$42, 13.0109, 13.0109) * CHOOSE(CONTROL!$C$21, $C$9, 100%, $E$9)</f>
        <v>13.010899999999999</v>
      </c>
      <c r="L314" s="10">
        <f>CHOOSE(CONTROL!$C$42, 13.676, 13.676) * CHOOSE(CONTROL!$C$21, $C$9, 100%, $E$9)</f>
        <v>13.676</v>
      </c>
      <c r="M314" s="10">
        <f>CHOOSE(CONTROL!$C$42, 12.8776, 12.8776) * CHOOSE(CONTROL!$C$21, $C$9, 100%, $E$9)</f>
        <v>12.877599999999999</v>
      </c>
      <c r="N314" s="10">
        <f>CHOOSE(CONTROL!$C$42, 12.8921, 12.8921) * CHOOSE(CONTROL!$C$21, $C$9, 100%, $E$9)</f>
        <v>12.892099999999999</v>
      </c>
      <c r="O314" s="10">
        <f>CHOOSE(CONTROL!$C$42, 12.9708, 12.9708) * CHOOSE(CONTROL!$C$21, $C$9, 100%, $E$9)</f>
        <v>12.970800000000001</v>
      </c>
      <c r="P314" s="10">
        <f>CHOOSE(CONTROL!$C$42, 12.8973, 12.8973) * CHOOSE(CONTROL!$C$21, $C$9, 100%, $E$9)</f>
        <v>12.8973</v>
      </c>
      <c r="Q314" s="10">
        <f>CHOOSE(CONTROL!$C$42, 13.5661, 13.5661) * CHOOSE(CONTROL!$C$21, $C$9, 100%, $E$9)</f>
        <v>13.5661</v>
      </c>
      <c r="R314" s="10">
        <f>CHOOSE(CONTROL!$C$42, 14.187, 14.187) * CHOOSE(CONTROL!$C$21, $C$9, 100%, $E$9)</f>
        <v>14.186999999999999</v>
      </c>
      <c r="S314" s="10">
        <f>CHOOSE(CONTROL!$C$42, 12.6261, 12.6261) * CHOOSE(CONTROL!$C$21, $C$9, 100%, $E$9)</f>
        <v>12.626099999999999</v>
      </c>
      <c r="T3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57">
        <f>(1000*CHOOSE(CONTROL!$C$42, 695, 695)*CHOOSE(CONTROL!$C$42, 0.5599, 0.5599)*CHOOSE(CONTROL!$C$42, 28, 28))/1000000</f>
        <v>10.895653999999999</v>
      </c>
      <c r="V314" s="57">
        <f>(1000*CHOOSE(CONTROL!$C$42, 500, 500)*CHOOSE(CONTROL!$C$42, 0.275, 0.275)*CHOOSE(CONTROL!$C$42, 28, 28))/1000000</f>
        <v>3.85</v>
      </c>
      <c r="W314" s="57">
        <f>(1000*CHOOSE(CONTROL!$C$42, 0.1146, 0.1146)*CHOOSE(CONTROL!$C$42, 121.5, 121.5)*CHOOSE(CONTROL!$C$42, 28, 28))/1000000</f>
        <v>0.38986920000000003</v>
      </c>
      <c r="X314" s="57">
        <f>(28*0.1790888*100000/1000000)+(28*0.2374*100000/1000000)</f>
        <v>1.16616864</v>
      </c>
      <c r="Y314" s="57"/>
      <c r="Z314" s="10"/>
      <c r="AA314" s="56"/>
      <c r="AB314" s="50">
        <f>(B314*122.58+C314*297.941+D314*89.177+E314*40.302+F314*40+G314*160+H314*0+I314*100+J314*300)/(122.58+297.941+89.177+40.302+0+40+160+100+300)</f>
        <v>13.013735313565215</v>
      </c>
      <c r="AC314" s="45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12.923510791366907</v>
      </c>
    </row>
    <row r="315" spans="1:29" ht="15.75" x14ac:dyDescent="0.25">
      <c r="A315" s="14">
        <v>50495</v>
      </c>
      <c r="B315" s="10">
        <f>CHOOSE(CONTROL!$C$42, 12.6349, 12.6349) * CHOOSE(CONTROL!$C$21, $C$9, 100%, $E$9)</f>
        <v>12.6349</v>
      </c>
      <c r="C315" s="10">
        <f>CHOOSE(CONTROL!$C$42, 12.6399, 12.6399) * CHOOSE(CONTROL!$C$21, $C$9, 100%, $E$9)</f>
        <v>12.639900000000001</v>
      </c>
      <c r="D315" s="10">
        <f>CHOOSE(CONTROL!$C$42, 12.6969, 12.6969) * CHOOSE(CONTROL!$C$21, $C$9, 100%, $E$9)</f>
        <v>12.696899999999999</v>
      </c>
      <c r="E315" s="10">
        <f>CHOOSE(CONTROL!$C$42, 12.7307, 12.7307) * CHOOSE(CONTROL!$C$21, $C$9, 100%, $E$9)</f>
        <v>12.730700000000001</v>
      </c>
      <c r="F315" s="10">
        <f>CHOOSE(CONTROL!$C$42, 12.6327, 12.6327)*CHOOSE(CONTROL!$C$21, $C$9, 100%, $E$9)</f>
        <v>12.6327</v>
      </c>
      <c r="G315" s="10">
        <f>CHOOSE(CONTROL!$C$42, 12.6473, 12.6473)*CHOOSE(CONTROL!$C$21, $C$9, 100%, $E$9)</f>
        <v>12.6473</v>
      </c>
      <c r="H315" s="10">
        <f>CHOOSE(CONTROL!$C$42, 12.7199, 12.7199) * CHOOSE(CONTROL!$C$21, $C$9, 100%, $E$9)</f>
        <v>12.719900000000001</v>
      </c>
      <c r="I315" s="10">
        <f>CHOOSE(CONTROL!$C$42, 12.6457, 12.6457)* CHOOSE(CONTROL!$C$21, $C$9, 100%, $E$9)</f>
        <v>12.6457</v>
      </c>
      <c r="J315" s="10">
        <f>CHOOSE(CONTROL!$C$42, 12.6257, 12.6257)* CHOOSE(CONTROL!$C$21, $C$9, 100%, $E$9)</f>
        <v>12.6257</v>
      </c>
      <c r="K315" s="53">
        <f>CHOOSE(CONTROL!$C$42, 12.6418, 12.6418) * CHOOSE(CONTROL!$C$21, $C$9, 100%, $E$9)</f>
        <v>12.6418</v>
      </c>
      <c r="L315" s="10">
        <f>CHOOSE(CONTROL!$C$42, 13.3069, 13.3069) * CHOOSE(CONTROL!$C$21, $C$9, 100%, $E$9)</f>
        <v>13.306900000000001</v>
      </c>
      <c r="M315" s="10">
        <f>CHOOSE(CONTROL!$C$42, 12.5121, 12.5121) * CHOOSE(CONTROL!$C$21, $C$9, 100%, $E$9)</f>
        <v>12.5121</v>
      </c>
      <c r="N315" s="10">
        <f>CHOOSE(CONTROL!$C$42, 12.5266, 12.5266) * CHOOSE(CONTROL!$C$21, $C$9, 100%, $E$9)</f>
        <v>12.5266</v>
      </c>
      <c r="O315" s="10">
        <f>CHOOSE(CONTROL!$C$42, 12.6054, 12.6054) * CHOOSE(CONTROL!$C$21, $C$9, 100%, $E$9)</f>
        <v>12.605399999999999</v>
      </c>
      <c r="P315" s="10">
        <f>CHOOSE(CONTROL!$C$42, 12.532, 12.532) * CHOOSE(CONTROL!$C$21, $C$9, 100%, $E$9)</f>
        <v>12.532</v>
      </c>
      <c r="Q315" s="10">
        <f>CHOOSE(CONTROL!$C$42, 13.2007, 13.2007) * CHOOSE(CONTROL!$C$21, $C$9, 100%, $E$9)</f>
        <v>13.200699999999999</v>
      </c>
      <c r="R315" s="10">
        <f>CHOOSE(CONTROL!$C$42, 13.8207, 13.8207) * CHOOSE(CONTROL!$C$21, $C$9, 100%, $E$9)</f>
        <v>13.8207</v>
      </c>
      <c r="S315" s="10">
        <f>CHOOSE(CONTROL!$C$42, 12.2676, 12.2676) * CHOOSE(CONTROL!$C$21, $C$9, 100%, $E$9)</f>
        <v>12.2676</v>
      </c>
      <c r="T3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57">
        <f>(1000*CHOOSE(CONTROL!$C$42, 695, 695)*CHOOSE(CONTROL!$C$42, 0.5599, 0.5599)*CHOOSE(CONTROL!$C$42, 31, 31))/1000000</f>
        <v>12.063045499999998</v>
      </c>
      <c r="V315" s="57">
        <f>(1000*CHOOSE(CONTROL!$C$42, 500, 500)*CHOOSE(CONTROL!$C$42, 0.275, 0.275)*CHOOSE(CONTROL!$C$42, 31, 31))/1000000</f>
        <v>4.2625000000000002</v>
      </c>
      <c r="W315" s="57">
        <f>(1000*CHOOSE(CONTROL!$C$42, 0.1146, 0.1146)*CHOOSE(CONTROL!$C$42, 121.5, 121.5)*CHOOSE(CONTROL!$C$42, 31, 31))/1000000</f>
        <v>0.43164089999999994</v>
      </c>
      <c r="X315" s="57">
        <f>(31*0.1790888*100000/1000000)+(31*0.2374*100000/1000000)</f>
        <v>1.2911152800000001</v>
      </c>
      <c r="Y315" s="57"/>
      <c r="Z315" s="10"/>
      <c r="AA315" s="56"/>
      <c r="AB315" s="50">
        <f>(B315*122.58+C315*297.941+D315*89.177+E315*40.302+F315*40+G315*160+H315*0+I315*100+J315*300)/(122.58+297.941+89.177+40.302+0+40+160+100+300)</f>
        <v>12.644548357043478</v>
      </c>
      <c r="AC315" s="45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12.558084892086331</v>
      </c>
    </row>
    <row r="316" spans="1:29" ht="15.75" x14ac:dyDescent="0.25">
      <c r="A316" s="14">
        <v>50525</v>
      </c>
      <c r="B316" s="10">
        <f>CHOOSE(CONTROL!$C$42, 12.5983, 12.5983) * CHOOSE(CONTROL!$C$21, $C$9, 100%, $E$9)</f>
        <v>12.5983</v>
      </c>
      <c r="C316" s="10">
        <f>CHOOSE(CONTROL!$C$42, 12.6026, 12.6026) * CHOOSE(CONTROL!$C$21, $C$9, 100%, $E$9)</f>
        <v>12.602600000000001</v>
      </c>
      <c r="D316" s="10">
        <f>CHOOSE(CONTROL!$C$42, 12.8085, 12.8085) * CHOOSE(CONTROL!$C$21, $C$9, 100%, $E$9)</f>
        <v>12.8085</v>
      </c>
      <c r="E316" s="10">
        <f>CHOOSE(CONTROL!$C$42, 12.8403, 12.8403) * CHOOSE(CONTROL!$C$21, $C$9, 100%, $E$9)</f>
        <v>12.840299999999999</v>
      </c>
      <c r="F316" s="10">
        <f>CHOOSE(CONTROL!$C$42, 12.575, 12.575)*CHOOSE(CONTROL!$C$21, $C$9, 100%, $E$9)</f>
        <v>12.574999999999999</v>
      </c>
      <c r="G316" s="10">
        <f>CHOOSE(CONTROL!$C$42, 12.5895, 12.5895)*CHOOSE(CONTROL!$C$21, $C$9, 100%, $E$9)</f>
        <v>12.589499999999999</v>
      </c>
      <c r="H316" s="10">
        <f>CHOOSE(CONTROL!$C$42, 12.8301, 12.8301) * CHOOSE(CONTROL!$C$21, $C$9, 100%, $E$9)</f>
        <v>12.8301</v>
      </c>
      <c r="I316" s="10">
        <f>CHOOSE(CONTROL!$C$42, 12.5997, 12.5997)* CHOOSE(CONTROL!$C$21, $C$9, 100%, $E$9)</f>
        <v>12.5997</v>
      </c>
      <c r="J316" s="10">
        <f>CHOOSE(CONTROL!$C$42, 12.568, 12.568)* CHOOSE(CONTROL!$C$21, $C$9, 100%, $E$9)</f>
        <v>12.568</v>
      </c>
      <c r="K316" s="53">
        <f>CHOOSE(CONTROL!$C$42, 12.5958, 12.5958) * CHOOSE(CONTROL!$C$21, $C$9, 100%, $E$9)</f>
        <v>12.595800000000001</v>
      </c>
      <c r="L316" s="10">
        <f>CHOOSE(CONTROL!$C$42, 13.4171, 13.4171) * CHOOSE(CONTROL!$C$21, $C$9, 100%, $E$9)</f>
        <v>13.4171</v>
      </c>
      <c r="M316" s="10">
        <f>CHOOSE(CONTROL!$C$42, 12.455, 12.455) * CHOOSE(CONTROL!$C$21, $C$9, 100%, $E$9)</f>
        <v>12.455</v>
      </c>
      <c r="N316" s="10">
        <f>CHOOSE(CONTROL!$C$42, 12.4694, 12.4694) * CHOOSE(CONTROL!$C$21, $C$9, 100%, $E$9)</f>
        <v>12.4694</v>
      </c>
      <c r="O316" s="10">
        <f>CHOOSE(CONTROL!$C$42, 12.7144, 12.7144) * CHOOSE(CONTROL!$C$21, $C$9, 100%, $E$9)</f>
        <v>12.714399999999999</v>
      </c>
      <c r="P316" s="10">
        <f>CHOOSE(CONTROL!$C$42, 12.4864, 12.4864) * CHOOSE(CONTROL!$C$21, $C$9, 100%, $E$9)</f>
        <v>12.4864</v>
      </c>
      <c r="Q316" s="10">
        <f>CHOOSE(CONTROL!$C$42, 13.3097, 13.3097) * CHOOSE(CONTROL!$C$21, $C$9, 100%, $E$9)</f>
        <v>13.309699999999999</v>
      </c>
      <c r="R316" s="10">
        <f>CHOOSE(CONTROL!$C$42, 13.93, 13.93) * CHOOSE(CONTROL!$C$21, $C$9, 100%, $E$9)</f>
        <v>13.93</v>
      </c>
      <c r="S316" s="10">
        <f>CHOOSE(CONTROL!$C$42, 12.2313, 12.2313) * CHOOSE(CONTROL!$C$21, $C$9, 100%, $E$9)</f>
        <v>12.231299999999999</v>
      </c>
      <c r="T3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57">
        <f>(1000*CHOOSE(CONTROL!$C$42, 695, 695)*CHOOSE(CONTROL!$C$42, 0.5599, 0.5599)*CHOOSE(CONTROL!$C$42, 30, 30))/1000000</f>
        <v>11.673914999999997</v>
      </c>
      <c r="V316" s="57">
        <f>(1000*CHOOSE(CONTROL!$C$42, 500, 500)*CHOOSE(CONTROL!$C$42, 0.275, 0.275)*CHOOSE(CONTROL!$C$42, 30, 30))/1000000</f>
        <v>4.125</v>
      </c>
      <c r="W316" s="57">
        <f>(1000*CHOOSE(CONTROL!$C$42, 0.1146, 0.1146)*CHOOSE(CONTROL!$C$42, 121.5, 121.5)*CHOOSE(CONTROL!$C$42, 30, 30))/1000000</f>
        <v>0.417717</v>
      </c>
      <c r="X316" s="57">
        <f>(30*0.1790888*245000/1000000)+(30*0.2374*100000/1000000)</f>
        <v>2.0285026799999999</v>
      </c>
      <c r="Y316" s="57"/>
      <c r="Z316" s="10"/>
      <c r="AA316" s="56"/>
      <c r="AB316" s="50">
        <f>(B316*141.293+C316*267.993+D316*115.016+E316*89.698+F316*40+G316*185+H316*0+I316*100+J316*300)/(141.293+267.993+115.016+89.698+0+40+185+100+300)</f>
        <v>12.626972840274414</v>
      </c>
      <c r="AC316" s="45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12.53561438848921</v>
      </c>
    </row>
    <row r="317" spans="1:29" ht="15.75" x14ac:dyDescent="0.25">
      <c r="A317" s="14">
        <v>50556</v>
      </c>
      <c r="B317" s="10">
        <f>CHOOSE(CONTROL!$C$42, 12.7108, 12.7108) * CHOOSE(CONTROL!$C$21, $C$9, 100%, $E$9)</f>
        <v>12.710800000000001</v>
      </c>
      <c r="C317" s="10">
        <f>CHOOSE(CONTROL!$C$42, 12.7187, 12.7187) * CHOOSE(CONTROL!$C$21, $C$9, 100%, $E$9)</f>
        <v>12.7187</v>
      </c>
      <c r="D317" s="10">
        <f>CHOOSE(CONTROL!$C$42, 12.9215, 12.9215) * CHOOSE(CONTROL!$C$21, $C$9, 100%, $E$9)</f>
        <v>12.9215</v>
      </c>
      <c r="E317" s="10">
        <f>CHOOSE(CONTROL!$C$42, 12.9526, 12.9526) * CHOOSE(CONTROL!$C$21, $C$9, 100%, $E$9)</f>
        <v>12.9526</v>
      </c>
      <c r="F317" s="10">
        <f>CHOOSE(CONTROL!$C$42, 12.6865, 12.6865)*CHOOSE(CONTROL!$C$21, $C$9, 100%, $E$9)</f>
        <v>12.686500000000001</v>
      </c>
      <c r="G317" s="10">
        <f>CHOOSE(CONTROL!$C$42, 12.7015, 12.7015)*CHOOSE(CONTROL!$C$21, $C$9, 100%, $E$9)</f>
        <v>12.701499999999999</v>
      </c>
      <c r="H317" s="10">
        <f>CHOOSE(CONTROL!$C$42, 12.9412, 12.9412) * CHOOSE(CONTROL!$C$21, $C$9, 100%, $E$9)</f>
        <v>12.9412</v>
      </c>
      <c r="I317" s="10">
        <f>CHOOSE(CONTROL!$C$42, 12.7109, 12.7109)* CHOOSE(CONTROL!$C$21, $C$9, 100%, $E$9)</f>
        <v>12.710900000000001</v>
      </c>
      <c r="J317" s="10">
        <f>CHOOSE(CONTROL!$C$42, 12.6795, 12.6795)* CHOOSE(CONTROL!$C$21, $C$9, 100%, $E$9)</f>
        <v>12.679500000000001</v>
      </c>
      <c r="K317" s="53">
        <f>CHOOSE(CONTROL!$C$42, 12.707, 12.707) * CHOOSE(CONTROL!$C$21, $C$9, 100%, $E$9)</f>
        <v>12.707000000000001</v>
      </c>
      <c r="L317" s="10">
        <f>CHOOSE(CONTROL!$C$42, 13.5282, 13.5282) * CHOOSE(CONTROL!$C$21, $C$9, 100%, $E$9)</f>
        <v>13.5282</v>
      </c>
      <c r="M317" s="10">
        <f>CHOOSE(CONTROL!$C$42, 12.5654, 12.5654) * CHOOSE(CONTROL!$C$21, $C$9, 100%, $E$9)</f>
        <v>12.5654</v>
      </c>
      <c r="N317" s="10">
        <f>CHOOSE(CONTROL!$C$42, 12.5802, 12.5802) * CHOOSE(CONTROL!$C$21, $C$9, 100%, $E$9)</f>
        <v>12.5802</v>
      </c>
      <c r="O317" s="10">
        <f>CHOOSE(CONTROL!$C$42, 12.8245, 12.8245) * CHOOSE(CONTROL!$C$21, $C$9, 100%, $E$9)</f>
        <v>12.8245</v>
      </c>
      <c r="P317" s="10">
        <f>CHOOSE(CONTROL!$C$42, 12.5964, 12.5964) * CHOOSE(CONTROL!$C$21, $C$9, 100%, $E$9)</f>
        <v>12.596399999999999</v>
      </c>
      <c r="Q317" s="10">
        <f>CHOOSE(CONTROL!$C$42, 13.4198, 13.4198) * CHOOSE(CONTROL!$C$21, $C$9, 100%, $E$9)</f>
        <v>13.4198</v>
      </c>
      <c r="R317" s="10">
        <f>CHOOSE(CONTROL!$C$42, 14.0403, 14.0403) * CHOOSE(CONTROL!$C$21, $C$9, 100%, $E$9)</f>
        <v>14.0403</v>
      </c>
      <c r="S317" s="10">
        <f>CHOOSE(CONTROL!$C$42, 12.3392, 12.3392) * CHOOSE(CONTROL!$C$21, $C$9, 100%, $E$9)</f>
        <v>12.3392</v>
      </c>
      <c r="T3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57">
        <f>(1000*CHOOSE(CONTROL!$C$42, 695, 695)*CHOOSE(CONTROL!$C$42, 0.5599, 0.5599)*CHOOSE(CONTROL!$C$42, 31, 31))/1000000</f>
        <v>12.063045499999998</v>
      </c>
      <c r="V317" s="57">
        <f>(1000*CHOOSE(CONTROL!$C$42, 500, 500)*CHOOSE(CONTROL!$C$42, 0.275, 0.275)*CHOOSE(CONTROL!$C$42, 31, 31))/1000000</f>
        <v>4.2625000000000002</v>
      </c>
      <c r="W317" s="57">
        <f>(1000*CHOOSE(CONTROL!$C$42, 0.1146, 0.1146)*CHOOSE(CONTROL!$C$42, 121.5, 121.5)*CHOOSE(CONTROL!$C$42, 31, 31))/1000000</f>
        <v>0.43164089999999994</v>
      </c>
      <c r="X317" s="57">
        <f>(31*0.1790888*245000/1000000)+(31*0.2374*100000/1000000)</f>
        <v>2.0961194359999999</v>
      </c>
      <c r="Y317" s="57"/>
      <c r="Z317" s="10"/>
      <c r="AA317" s="56"/>
      <c r="AB317" s="50">
        <f>(B317*194.205+C317*267.466+D317*133.845+E317*53.484+F317*40+G317*185+H317*0+I317*100+J317*300)/(194.205+267.466+133.845+53.484+0+40+185+100+300)</f>
        <v>12.735269430219782</v>
      </c>
      <c r="AC317" s="45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12.645964748201438</v>
      </c>
    </row>
    <row r="318" spans="1:29" ht="15.75" x14ac:dyDescent="0.25">
      <c r="A318" s="14">
        <v>50586</v>
      </c>
      <c r="B318" s="10">
        <f>CHOOSE(CONTROL!$C$42, 13.0712, 13.0712) * CHOOSE(CONTROL!$C$21, $C$9, 100%, $E$9)</f>
        <v>13.071199999999999</v>
      </c>
      <c r="C318" s="10">
        <f>CHOOSE(CONTROL!$C$42, 13.0791, 13.0791) * CHOOSE(CONTROL!$C$21, $C$9, 100%, $E$9)</f>
        <v>13.0791</v>
      </c>
      <c r="D318" s="10">
        <f>CHOOSE(CONTROL!$C$42, 13.2819, 13.2819) * CHOOSE(CONTROL!$C$21, $C$9, 100%, $E$9)</f>
        <v>13.2819</v>
      </c>
      <c r="E318" s="10">
        <f>CHOOSE(CONTROL!$C$42, 13.313, 13.313) * CHOOSE(CONTROL!$C$21, $C$9, 100%, $E$9)</f>
        <v>13.313000000000001</v>
      </c>
      <c r="F318" s="10">
        <f>CHOOSE(CONTROL!$C$42, 13.0474, 13.0474)*CHOOSE(CONTROL!$C$21, $C$9, 100%, $E$9)</f>
        <v>13.0474</v>
      </c>
      <c r="G318" s="10">
        <f>CHOOSE(CONTROL!$C$42, 13.0626, 13.0626)*CHOOSE(CONTROL!$C$21, $C$9, 100%, $E$9)</f>
        <v>13.0626</v>
      </c>
      <c r="H318" s="10">
        <f>CHOOSE(CONTROL!$C$42, 13.3016, 13.3016) * CHOOSE(CONTROL!$C$21, $C$9, 100%, $E$9)</f>
        <v>13.301600000000001</v>
      </c>
      <c r="I318" s="10">
        <f>CHOOSE(CONTROL!$C$42, 13.0713, 13.0713)* CHOOSE(CONTROL!$C$21, $C$9, 100%, $E$9)</f>
        <v>13.071300000000001</v>
      </c>
      <c r="J318" s="10">
        <f>CHOOSE(CONTROL!$C$42, 13.0404, 13.0404)* CHOOSE(CONTROL!$C$21, $C$9, 100%, $E$9)</f>
        <v>13.0404</v>
      </c>
      <c r="K318" s="53">
        <f>CHOOSE(CONTROL!$C$42, 13.0674, 13.0674) * CHOOSE(CONTROL!$C$21, $C$9, 100%, $E$9)</f>
        <v>13.067399999999999</v>
      </c>
      <c r="L318" s="10">
        <f>CHOOSE(CONTROL!$C$42, 13.8886, 13.8886) * CHOOSE(CONTROL!$C$21, $C$9, 100%, $E$9)</f>
        <v>13.8886</v>
      </c>
      <c r="M318" s="10">
        <f>CHOOSE(CONTROL!$C$42, 12.9227, 12.9227) * CHOOSE(CONTROL!$C$21, $C$9, 100%, $E$9)</f>
        <v>12.922700000000001</v>
      </c>
      <c r="N318" s="10">
        <f>CHOOSE(CONTROL!$C$42, 12.9377, 12.9377) * CHOOSE(CONTROL!$C$21, $C$9, 100%, $E$9)</f>
        <v>12.9377</v>
      </c>
      <c r="O318" s="10">
        <f>CHOOSE(CONTROL!$C$42, 13.1812, 13.1812) * CHOOSE(CONTROL!$C$21, $C$9, 100%, $E$9)</f>
        <v>13.1812</v>
      </c>
      <c r="P318" s="10">
        <f>CHOOSE(CONTROL!$C$42, 12.9532, 12.9532) * CHOOSE(CONTROL!$C$21, $C$9, 100%, $E$9)</f>
        <v>12.953200000000001</v>
      </c>
      <c r="Q318" s="10">
        <f>CHOOSE(CONTROL!$C$42, 13.7765, 13.7765) * CHOOSE(CONTROL!$C$21, $C$9, 100%, $E$9)</f>
        <v>13.7765</v>
      </c>
      <c r="R318" s="10">
        <f>CHOOSE(CONTROL!$C$42, 14.398, 14.398) * CHOOSE(CONTROL!$C$21, $C$9, 100%, $E$9)</f>
        <v>14.398</v>
      </c>
      <c r="S318" s="10">
        <f>CHOOSE(CONTROL!$C$42, 12.6892, 12.6892) * CHOOSE(CONTROL!$C$21, $C$9, 100%, $E$9)</f>
        <v>12.6892</v>
      </c>
      <c r="T3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57">
        <f>(1000*CHOOSE(CONTROL!$C$42, 695, 695)*CHOOSE(CONTROL!$C$42, 0.5599, 0.5599)*CHOOSE(CONTROL!$C$42, 30, 30))/1000000</f>
        <v>11.673914999999997</v>
      </c>
      <c r="V318" s="57">
        <f>(1000*CHOOSE(CONTROL!$C$42, 500, 500)*CHOOSE(CONTROL!$C$42, 0.275, 0.275)*CHOOSE(CONTROL!$C$42, 30, 30))/1000000</f>
        <v>4.125</v>
      </c>
      <c r="W318" s="57">
        <f>(1000*CHOOSE(CONTROL!$C$42, 0.1146, 0.1146)*CHOOSE(CONTROL!$C$42, 121.5, 121.5)*CHOOSE(CONTROL!$C$42, 30, 30))/1000000</f>
        <v>0.417717</v>
      </c>
      <c r="X318" s="57">
        <f>(30*0.1790888*245000/1000000)+(30*0.2374*100000/1000000)</f>
        <v>2.0285026799999999</v>
      </c>
      <c r="Y318" s="57"/>
      <c r="Z318" s="10"/>
      <c r="AA318" s="56"/>
      <c r="AB318" s="50">
        <f>(B318*194.205+C318*267.466+D318*133.845+E318*53.484+F318*40+G318*185+H318*0+I318*100+J318*300)/(194.205+267.466+133.845+53.484+0+40+185+100+300)</f>
        <v>13.09590451656201</v>
      </c>
      <c r="AC318" s="45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13.003070503597122</v>
      </c>
    </row>
    <row r="319" spans="1:29" ht="15.75" x14ac:dyDescent="0.25">
      <c r="A319" s="14">
        <v>50617</v>
      </c>
      <c r="B319" s="10">
        <f>CHOOSE(CONTROL!$C$42, 12.8206, 12.8206) * CHOOSE(CONTROL!$C$21, $C$9, 100%, $E$9)</f>
        <v>12.820600000000001</v>
      </c>
      <c r="C319" s="10">
        <f>CHOOSE(CONTROL!$C$42, 12.8285, 12.8285) * CHOOSE(CONTROL!$C$21, $C$9, 100%, $E$9)</f>
        <v>12.8285</v>
      </c>
      <c r="D319" s="10">
        <f>CHOOSE(CONTROL!$C$42, 13.0312, 13.0312) * CHOOSE(CONTROL!$C$21, $C$9, 100%, $E$9)</f>
        <v>13.0312</v>
      </c>
      <c r="E319" s="10">
        <f>CHOOSE(CONTROL!$C$42, 13.0623, 13.0623) * CHOOSE(CONTROL!$C$21, $C$9, 100%, $E$9)</f>
        <v>13.0623</v>
      </c>
      <c r="F319" s="10">
        <f>CHOOSE(CONTROL!$C$42, 12.7973, 12.7973)*CHOOSE(CONTROL!$C$21, $C$9, 100%, $E$9)</f>
        <v>12.7973</v>
      </c>
      <c r="G319" s="10">
        <f>CHOOSE(CONTROL!$C$42, 12.8126, 12.8126)*CHOOSE(CONTROL!$C$21, $C$9, 100%, $E$9)</f>
        <v>12.8126</v>
      </c>
      <c r="H319" s="10">
        <f>CHOOSE(CONTROL!$C$42, 13.051, 13.051) * CHOOSE(CONTROL!$C$21, $C$9, 100%, $E$9)</f>
        <v>13.051</v>
      </c>
      <c r="I319" s="10">
        <f>CHOOSE(CONTROL!$C$42, 12.8206, 12.8206)* CHOOSE(CONTROL!$C$21, $C$9, 100%, $E$9)</f>
        <v>12.820600000000001</v>
      </c>
      <c r="J319" s="10">
        <f>CHOOSE(CONTROL!$C$42, 12.7903, 12.7903)* CHOOSE(CONTROL!$C$21, $C$9, 100%, $E$9)</f>
        <v>12.7903</v>
      </c>
      <c r="K319" s="53">
        <f>CHOOSE(CONTROL!$C$42, 12.8167, 12.8167) * CHOOSE(CONTROL!$C$21, $C$9, 100%, $E$9)</f>
        <v>12.816700000000001</v>
      </c>
      <c r="L319" s="10">
        <f>CHOOSE(CONTROL!$C$42, 13.638, 13.638) * CHOOSE(CONTROL!$C$21, $C$9, 100%, $E$9)</f>
        <v>13.638</v>
      </c>
      <c r="M319" s="10">
        <f>CHOOSE(CONTROL!$C$42, 12.6751, 12.6751) * CHOOSE(CONTROL!$C$21, $C$9, 100%, $E$9)</f>
        <v>12.6751</v>
      </c>
      <c r="N319" s="10">
        <f>CHOOSE(CONTROL!$C$42, 12.6902, 12.6902) * CHOOSE(CONTROL!$C$21, $C$9, 100%, $E$9)</f>
        <v>12.690200000000001</v>
      </c>
      <c r="O319" s="10">
        <f>CHOOSE(CONTROL!$C$42, 12.9331, 12.9331) * CHOOSE(CONTROL!$C$21, $C$9, 100%, $E$9)</f>
        <v>12.9331</v>
      </c>
      <c r="P319" s="10">
        <f>CHOOSE(CONTROL!$C$42, 12.7051, 12.7051) * CHOOSE(CONTROL!$C$21, $C$9, 100%, $E$9)</f>
        <v>12.7051</v>
      </c>
      <c r="Q319" s="10">
        <f>CHOOSE(CONTROL!$C$42, 13.5284, 13.5284) * CHOOSE(CONTROL!$C$21, $C$9, 100%, $E$9)</f>
        <v>13.5284</v>
      </c>
      <c r="R319" s="10">
        <f>CHOOSE(CONTROL!$C$42, 14.1492, 14.1492) * CHOOSE(CONTROL!$C$21, $C$9, 100%, $E$9)</f>
        <v>14.1492</v>
      </c>
      <c r="S319" s="10">
        <f>CHOOSE(CONTROL!$C$42, 12.4458, 12.4458) * CHOOSE(CONTROL!$C$21, $C$9, 100%, $E$9)</f>
        <v>12.4458</v>
      </c>
      <c r="T3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57">
        <f>(1000*CHOOSE(CONTROL!$C$42, 695, 695)*CHOOSE(CONTROL!$C$42, 0.5599, 0.5599)*CHOOSE(CONTROL!$C$42, 31, 31))/1000000</f>
        <v>12.063045499999998</v>
      </c>
      <c r="V319" s="57">
        <f>(1000*CHOOSE(CONTROL!$C$42, 500, 500)*CHOOSE(CONTROL!$C$42, 0.275, 0.275)*CHOOSE(CONTROL!$C$42, 31, 31))/1000000</f>
        <v>4.2625000000000002</v>
      </c>
      <c r="W319" s="57">
        <f>(1000*CHOOSE(CONTROL!$C$42, 0.1146, 0.1146)*CHOOSE(CONTROL!$C$42, 121.5, 121.5)*CHOOSE(CONTROL!$C$42, 31, 31))/1000000</f>
        <v>0.43164089999999994</v>
      </c>
      <c r="X319" s="57">
        <f>(31*0.1790888*245000/1000000)+(31*0.2374*100000/1000000)</f>
        <v>2.0961194359999999</v>
      </c>
      <c r="Y319" s="57"/>
      <c r="Z319" s="10"/>
      <c r="AA319" s="56"/>
      <c r="AB319" s="50">
        <f>(B319*194.205+C319*267.466+D319*133.845+E319*53.484+F319*40+G319*185+H319*0+I319*100+J319*300)/(194.205+267.466+133.845+53.484+0+40+185+100+300)</f>
        <v>12.845502528414443</v>
      </c>
      <c r="AC319" s="45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12.755281294964028</v>
      </c>
    </row>
    <row r="320" spans="1:29" ht="15.75" x14ac:dyDescent="0.25">
      <c r="A320" s="14">
        <v>50648</v>
      </c>
      <c r="B320" s="10">
        <f>CHOOSE(CONTROL!$C$42, 12.1876, 12.1876) * CHOOSE(CONTROL!$C$21, $C$9, 100%, $E$9)</f>
        <v>12.1876</v>
      </c>
      <c r="C320" s="10">
        <f>CHOOSE(CONTROL!$C$42, 12.1955, 12.1955) * CHOOSE(CONTROL!$C$21, $C$9, 100%, $E$9)</f>
        <v>12.195499999999999</v>
      </c>
      <c r="D320" s="10">
        <f>CHOOSE(CONTROL!$C$42, 12.3982, 12.3982) * CHOOSE(CONTROL!$C$21, $C$9, 100%, $E$9)</f>
        <v>12.398199999999999</v>
      </c>
      <c r="E320" s="10">
        <f>CHOOSE(CONTROL!$C$42, 12.4293, 12.4293) * CHOOSE(CONTROL!$C$21, $C$9, 100%, $E$9)</f>
        <v>12.4293</v>
      </c>
      <c r="F320" s="10">
        <f>CHOOSE(CONTROL!$C$42, 12.1645, 12.1645)*CHOOSE(CONTROL!$C$21, $C$9, 100%, $E$9)</f>
        <v>12.1645</v>
      </c>
      <c r="G320" s="10">
        <f>CHOOSE(CONTROL!$C$42, 12.1798, 12.1798)*CHOOSE(CONTROL!$C$21, $C$9, 100%, $E$9)</f>
        <v>12.1798</v>
      </c>
      <c r="H320" s="10">
        <f>CHOOSE(CONTROL!$C$42, 12.418, 12.418) * CHOOSE(CONTROL!$C$21, $C$9, 100%, $E$9)</f>
        <v>12.417999999999999</v>
      </c>
      <c r="I320" s="10">
        <f>CHOOSE(CONTROL!$C$42, 12.1876, 12.1876)* CHOOSE(CONTROL!$C$21, $C$9, 100%, $E$9)</f>
        <v>12.1876</v>
      </c>
      <c r="J320" s="10">
        <f>CHOOSE(CONTROL!$C$42, 12.1575, 12.1575)* CHOOSE(CONTROL!$C$21, $C$9, 100%, $E$9)</f>
        <v>12.157500000000001</v>
      </c>
      <c r="K320" s="53">
        <f>CHOOSE(CONTROL!$C$42, 12.1837, 12.1837) * CHOOSE(CONTROL!$C$21, $C$9, 100%, $E$9)</f>
        <v>12.1837</v>
      </c>
      <c r="L320" s="10">
        <f>CHOOSE(CONTROL!$C$42, 13.005, 13.005) * CHOOSE(CONTROL!$C$21, $C$9, 100%, $E$9)</f>
        <v>13.005000000000001</v>
      </c>
      <c r="M320" s="10">
        <f>CHOOSE(CONTROL!$C$42, 12.0486, 12.0486) * CHOOSE(CONTROL!$C$21, $C$9, 100%, $E$9)</f>
        <v>12.0486</v>
      </c>
      <c r="N320" s="10">
        <f>CHOOSE(CONTROL!$C$42, 12.0638, 12.0638) * CHOOSE(CONTROL!$C$21, $C$9, 100%, $E$9)</f>
        <v>12.063800000000001</v>
      </c>
      <c r="O320" s="10">
        <f>CHOOSE(CONTROL!$C$42, 12.3065, 12.3065) * CHOOSE(CONTROL!$C$21, $C$9, 100%, $E$9)</f>
        <v>12.3065</v>
      </c>
      <c r="P320" s="10">
        <f>CHOOSE(CONTROL!$C$42, 12.0785, 12.0785) * CHOOSE(CONTROL!$C$21, $C$9, 100%, $E$9)</f>
        <v>12.0785</v>
      </c>
      <c r="Q320" s="10">
        <f>CHOOSE(CONTROL!$C$42, 12.9018, 12.9018) * CHOOSE(CONTROL!$C$21, $C$9, 100%, $E$9)</f>
        <v>12.9018</v>
      </c>
      <c r="R320" s="10">
        <f>CHOOSE(CONTROL!$C$42, 13.521, 13.521) * CHOOSE(CONTROL!$C$21, $C$9, 100%, $E$9)</f>
        <v>13.521000000000001</v>
      </c>
      <c r="S320" s="10">
        <f>CHOOSE(CONTROL!$C$42, 11.8311, 11.8311) * CHOOSE(CONTROL!$C$21, $C$9, 100%, $E$9)</f>
        <v>11.831099999999999</v>
      </c>
      <c r="T3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57">
        <f>(1000*CHOOSE(CONTROL!$C$42, 695, 695)*CHOOSE(CONTROL!$C$42, 0.5599, 0.5599)*CHOOSE(CONTROL!$C$42, 31, 31))/1000000</f>
        <v>12.063045499999998</v>
      </c>
      <c r="V320" s="57">
        <f>(1000*CHOOSE(CONTROL!$C$42, 500, 500)*CHOOSE(CONTROL!$C$42, 0.275, 0.275)*CHOOSE(CONTROL!$C$42, 31, 31))/1000000</f>
        <v>4.2625000000000002</v>
      </c>
      <c r="W320" s="57">
        <f>(1000*CHOOSE(CONTROL!$C$42, 0.1146, 0.1146)*CHOOSE(CONTROL!$C$42, 121.5, 121.5)*CHOOSE(CONTROL!$C$42, 31, 31))/1000000</f>
        <v>0.43164089999999994</v>
      </c>
      <c r="X320" s="57">
        <f>(31*0.1790888*245000/1000000)+(31*0.2374*100000/1000000)</f>
        <v>2.0961194359999999</v>
      </c>
      <c r="Y320" s="57"/>
      <c r="Z320" s="10"/>
      <c r="AA320" s="56"/>
      <c r="AB320" s="50">
        <f>(B320*194.205+C320*267.466+D320*133.845+E320*53.484+F320*40+G320*185+H320*0+I320*100+J320*300)/(194.205+267.466+133.845+53.484+0+40+185+100+300)</f>
        <v>12.212584945996861</v>
      </c>
      <c r="AC320" s="45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12.128761870503597</v>
      </c>
    </row>
    <row r="321" spans="1:29" ht="15.75" x14ac:dyDescent="0.25">
      <c r="A321" s="14">
        <v>50678</v>
      </c>
      <c r="B321" s="10">
        <f>CHOOSE(CONTROL!$C$42, 11.4138, 11.4138) * CHOOSE(CONTROL!$C$21, $C$9, 100%, $E$9)</f>
        <v>11.4138</v>
      </c>
      <c r="C321" s="10">
        <f>CHOOSE(CONTROL!$C$42, 11.4217, 11.4217) * CHOOSE(CONTROL!$C$21, $C$9, 100%, $E$9)</f>
        <v>11.4217</v>
      </c>
      <c r="D321" s="10">
        <f>CHOOSE(CONTROL!$C$42, 11.6244, 11.6244) * CHOOSE(CONTROL!$C$21, $C$9, 100%, $E$9)</f>
        <v>11.6244</v>
      </c>
      <c r="E321" s="10">
        <f>CHOOSE(CONTROL!$C$42, 11.6555, 11.6555) * CHOOSE(CONTROL!$C$21, $C$9, 100%, $E$9)</f>
        <v>11.6555</v>
      </c>
      <c r="F321" s="10">
        <f>CHOOSE(CONTROL!$C$42, 11.3906, 11.3906)*CHOOSE(CONTROL!$C$21, $C$9, 100%, $E$9)</f>
        <v>11.390599999999999</v>
      </c>
      <c r="G321" s="10">
        <f>CHOOSE(CONTROL!$C$42, 11.4058, 11.4058)*CHOOSE(CONTROL!$C$21, $C$9, 100%, $E$9)</f>
        <v>11.405799999999999</v>
      </c>
      <c r="H321" s="10">
        <f>CHOOSE(CONTROL!$C$42, 11.6442, 11.6442) * CHOOSE(CONTROL!$C$21, $C$9, 100%, $E$9)</f>
        <v>11.6442</v>
      </c>
      <c r="I321" s="10">
        <f>CHOOSE(CONTROL!$C$42, 11.4138, 11.4138)* CHOOSE(CONTROL!$C$21, $C$9, 100%, $E$9)</f>
        <v>11.4138</v>
      </c>
      <c r="J321" s="10">
        <f>CHOOSE(CONTROL!$C$42, 11.3836, 11.3836)* CHOOSE(CONTROL!$C$21, $C$9, 100%, $E$9)</f>
        <v>11.383599999999999</v>
      </c>
      <c r="K321" s="53">
        <f>CHOOSE(CONTROL!$C$42, 11.4099, 11.4099) * CHOOSE(CONTROL!$C$21, $C$9, 100%, $E$9)</f>
        <v>11.4099</v>
      </c>
      <c r="L321" s="10">
        <f>CHOOSE(CONTROL!$C$42, 12.2312, 12.2312) * CHOOSE(CONTROL!$C$21, $C$9, 100%, $E$9)</f>
        <v>12.231199999999999</v>
      </c>
      <c r="M321" s="10">
        <f>CHOOSE(CONTROL!$C$42, 11.2825, 11.2825) * CHOOSE(CONTROL!$C$21, $C$9, 100%, $E$9)</f>
        <v>11.282500000000001</v>
      </c>
      <c r="N321" s="10">
        <f>CHOOSE(CONTROL!$C$42, 11.2976, 11.2976) * CHOOSE(CONTROL!$C$21, $C$9, 100%, $E$9)</f>
        <v>11.297599999999999</v>
      </c>
      <c r="O321" s="10">
        <f>CHOOSE(CONTROL!$C$42, 11.5405, 11.5405) * CHOOSE(CONTROL!$C$21, $C$9, 100%, $E$9)</f>
        <v>11.5405</v>
      </c>
      <c r="P321" s="10">
        <f>CHOOSE(CONTROL!$C$42, 11.3125, 11.3125) * CHOOSE(CONTROL!$C$21, $C$9, 100%, $E$9)</f>
        <v>11.3125</v>
      </c>
      <c r="Q321" s="10">
        <f>CHOOSE(CONTROL!$C$42, 12.1358, 12.1358) * CHOOSE(CONTROL!$C$21, $C$9, 100%, $E$9)</f>
        <v>12.1358</v>
      </c>
      <c r="R321" s="10">
        <f>CHOOSE(CONTROL!$C$42, 12.7531, 12.7531) * CHOOSE(CONTROL!$C$21, $C$9, 100%, $E$9)</f>
        <v>12.7531</v>
      </c>
      <c r="S321" s="10">
        <f>CHOOSE(CONTROL!$C$42, 11.0796, 11.0796) * CHOOSE(CONTROL!$C$21, $C$9, 100%, $E$9)</f>
        <v>11.079599999999999</v>
      </c>
      <c r="T3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57">
        <f>(1000*CHOOSE(CONTROL!$C$42, 695, 695)*CHOOSE(CONTROL!$C$42, 0.5599, 0.5599)*CHOOSE(CONTROL!$C$42, 30, 30))/1000000</f>
        <v>11.673914999999997</v>
      </c>
      <c r="V321" s="57">
        <f>(1000*CHOOSE(CONTROL!$C$42, 500, 500)*CHOOSE(CONTROL!$C$42, 0.275, 0.275)*CHOOSE(CONTROL!$C$42, 30, 30))/1000000</f>
        <v>4.125</v>
      </c>
      <c r="W321" s="57">
        <f>(1000*CHOOSE(CONTROL!$C$42, 0.1146, 0.1146)*CHOOSE(CONTROL!$C$42, 121.5, 121.5)*CHOOSE(CONTROL!$C$42, 30, 30))/1000000</f>
        <v>0.417717</v>
      </c>
      <c r="X321" s="57">
        <f>(30*0.1790888*245000/1000000)+(30*0.2374*100000/1000000)</f>
        <v>2.0285026799999999</v>
      </c>
      <c r="Y321" s="57"/>
      <c r="Z321" s="10"/>
      <c r="AA321" s="56"/>
      <c r="AB321" s="50">
        <f>(B321*194.205+C321*267.466+D321*133.845+E321*53.484+F321*40+G321*185+H321*0+I321*100+J321*300)/(194.205+267.466+133.845+53.484+0+40+185+100+300)</f>
        <v>11.438729216012558</v>
      </c>
      <c r="AC321" s="45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11.362681294964029</v>
      </c>
    </row>
    <row r="322" spans="1:29" ht="15.75" x14ac:dyDescent="0.25">
      <c r="A322" s="14">
        <v>50709</v>
      </c>
      <c r="B322" s="10">
        <f>CHOOSE(CONTROL!$C$42, 11.1804, 11.1804) * CHOOSE(CONTROL!$C$21, $C$9, 100%, $E$9)</f>
        <v>11.180400000000001</v>
      </c>
      <c r="C322" s="10">
        <f>CHOOSE(CONTROL!$C$42, 11.1856, 11.1856) * CHOOSE(CONTROL!$C$21, $C$9, 100%, $E$9)</f>
        <v>11.185600000000001</v>
      </c>
      <c r="D322" s="10">
        <f>CHOOSE(CONTROL!$C$42, 11.3933, 11.3933) * CHOOSE(CONTROL!$C$21, $C$9, 100%, $E$9)</f>
        <v>11.3933</v>
      </c>
      <c r="E322" s="10">
        <f>CHOOSE(CONTROL!$C$42, 11.4221, 11.4221) * CHOOSE(CONTROL!$C$21, $C$9, 100%, $E$9)</f>
        <v>11.4221</v>
      </c>
      <c r="F322" s="10">
        <f>CHOOSE(CONTROL!$C$42, 11.1591, 11.1591)*CHOOSE(CONTROL!$C$21, $C$9, 100%, $E$9)</f>
        <v>11.1591</v>
      </c>
      <c r="G322" s="10">
        <f>CHOOSE(CONTROL!$C$42, 11.174, 11.174)*CHOOSE(CONTROL!$C$21, $C$9, 100%, $E$9)</f>
        <v>11.173999999999999</v>
      </c>
      <c r="H322" s="10">
        <f>CHOOSE(CONTROL!$C$42, 11.4125, 11.4125) * CHOOSE(CONTROL!$C$21, $C$9, 100%, $E$9)</f>
        <v>11.4125</v>
      </c>
      <c r="I322" s="10">
        <f>CHOOSE(CONTROL!$C$42, 11.1822, 11.1822)* CHOOSE(CONTROL!$C$21, $C$9, 100%, $E$9)</f>
        <v>11.1822</v>
      </c>
      <c r="J322" s="10">
        <f>CHOOSE(CONTROL!$C$42, 11.1521, 11.1521)* CHOOSE(CONTROL!$C$21, $C$9, 100%, $E$9)</f>
        <v>11.152100000000001</v>
      </c>
      <c r="K322" s="53">
        <f>CHOOSE(CONTROL!$C$42, 11.1783, 11.1783) * CHOOSE(CONTROL!$C$21, $C$9, 100%, $E$9)</f>
        <v>11.1783</v>
      </c>
      <c r="L322" s="10">
        <f>CHOOSE(CONTROL!$C$42, 11.9995, 11.9995) * CHOOSE(CONTROL!$C$21, $C$9, 100%, $E$9)</f>
        <v>11.999499999999999</v>
      </c>
      <c r="M322" s="10">
        <f>CHOOSE(CONTROL!$C$42, 11.0534, 11.0534) * CHOOSE(CONTROL!$C$21, $C$9, 100%, $E$9)</f>
        <v>11.0534</v>
      </c>
      <c r="N322" s="10">
        <f>CHOOSE(CONTROL!$C$42, 11.0681, 11.0681) * CHOOSE(CONTROL!$C$21, $C$9, 100%, $E$9)</f>
        <v>11.068099999999999</v>
      </c>
      <c r="O322" s="10">
        <f>CHOOSE(CONTROL!$C$42, 11.3112, 11.3112) * CHOOSE(CONTROL!$C$21, $C$9, 100%, $E$9)</f>
        <v>11.311199999999999</v>
      </c>
      <c r="P322" s="10">
        <f>CHOOSE(CONTROL!$C$42, 11.0832, 11.0832) * CHOOSE(CONTROL!$C$21, $C$9, 100%, $E$9)</f>
        <v>11.0832</v>
      </c>
      <c r="Q322" s="10">
        <f>CHOOSE(CONTROL!$C$42, 11.9065, 11.9065) * CHOOSE(CONTROL!$C$21, $C$9, 100%, $E$9)</f>
        <v>11.906499999999999</v>
      </c>
      <c r="R322" s="10">
        <f>CHOOSE(CONTROL!$C$42, 12.5233, 12.5233) * CHOOSE(CONTROL!$C$21, $C$9, 100%, $E$9)</f>
        <v>12.523300000000001</v>
      </c>
      <c r="S322" s="10">
        <f>CHOOSE(CONTROL!$C$42, 10.8547, 10.8547) * CHOOSE(CONTROL!$C$21, $C$9, 100%, $E$9)</f>
        <v>10.854699999999999</v>
      </c>
      <c r="T3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57">
        <f>(1000*CHOOSE(CONTROL!$C$42, 695, 695)*CHOOSE(CONTROL!$C$42, 0.5599, 0.5599)*CHOOSE(CONTROL!$C$42, 31, 31))/1000000</f>
        <v>12.063045499999998</v>
      </c>
      <c r="V322" s="57">
        <f>(1000*CHOOSE(CONTROL!$C$42, 500, 500)*CHOOSE(CONTROL!$C$42, 0.275, 0.275)*CHOOSE(CONTROL!$C$42, 31, 31))/1000000</f>
        <v>4.2625000000000002</v>
      </c>
      <c r="W322" s="57">
        <f>(1000*CHOOSE(CONTROL!$C$42, 0.1146, 0.1146)*CHOOSE(CONTROL!$C$42, 121.5, 121.5)*CHOOSE(CONTROL!$C$42, 31, 31))/1000000</f>
        <v>0.43164089999999994</v>
      </c>
      <c r="X322" s="57">
        <f>(31*0.1790888*245000/1000000)+(31*0.2374*100000/1000000)</f>
        <v>2.0961194359999999</v>
      </c>
      <c r="Y322" s="57"/>
      <c r="Z322" s="10"/>
      <c r="AA322" s="56"/>
      <c r="AB322" s="50">
        <f>(B322*131.881+C322*277.167+D322*79.08+E322*125.872+F322*40+G322*185+H322*0+I322*100+J322*300)/(131.881+277.167+79.08+125.872+0+40+185+100+300)</f>
        <v>11.211356144309926</v>
      </c>
      <c r="AC322" s="45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11.133404316546761</v>
      </c>
    </row>
    <row r="323" spans="1:29" ht="15.75" x14ac:dyDescent="0.25">
      <c r="A323" s="14">
        <v>50739</v>
      </c>
      <c r="B323" s="10">
        <f>CHOOSE(CONTROL!$C$42, 11.4744, 11.4744) * CHOOSE(CONTROL!$C$21, $C$9, 100%, $E$9)</f>
        <v>11.474399999999999</v>
      </c>
      <c r="C323" s="10">
        <f>CHOOSE(CONTROL!$C$42, 11.4793, 11.4793) * CHOOSE(CONTROL!$C$21, $C$9, 100%, $E$9)</f>
        <v>11.4793</v>
      </c>
      <c r="D323" s="10">
        <f>CHOOSE(CONTROL!$C$42, 11.5398, 11.5398) * CHOOSE(CONTROL!$C$21, $C$9, 100%, $E$9)</f>
        <v>11.5398</v>
      </c>
      <c r="E323" s="10">
        <f>CHOOSE(CONTROL!$C$42, 11.5736, 11.5736) * CHOOSE(CONTROL!$C$21, $C$9, 100%, $E$9)</f>
        <v>11.573600000000001</v>
      </c>
      <c r="F323" s="10">
        <f>CHOOSE(CONTROL!$C$42, 11.47, 11.47)*CHOOSE(CONTROL!$C$21, $C$9, 100%, $E$9)</f>
        <v>11.47</v>
      </c>
      <c r="G323" s="10">
        <f>CHOOSE(CONTROL!$C$42, 11.4852, 11.4852)*CHOOSE(CONTROL!$C$21, $C$9, 100%, $E$9)</f>
        <v>11.485200000000001</v>
      </c>
      <c r="H323" s="10">
        <f>CHOOSE(CONTROL!$C$42, 11.5628, 11.5628) * CHOOSE(CONTROL!$C$21, $C$9, 100%, $E$9)</f>
        <v>11.562799999999999</v>
      </c>
      <c r="I323" s="10">
        <f>CHOOSE(CONTROL!$C$42, 11.4869, 11.4869)* CHOOSE(CONTROL!$C$21, $C$9, 100%, $E$9)</f>
        <v>11.4869</v>
      </c>
      <c r="J323" s="10">
        <f>CHOOSE(CONTROL!$C$42, 11.463, 11.463)* CHOOSE(CONTROL!$C$21, $C$9, 100%, $E$9)</f>
        <v>11.462999999999999</v>
      </c>
      <c r="K323" s="53">
        <f>CHOOSE(CONTROL!$C$42, 11.483, 11.483) * CHOOSE(CONTROL!$C$21, $C$9, 100%, $E$9)</f>
        <v>11.483000000000001</v>
      </c>
      <c r="L323" s="10">
        <f>CHOOSE(CONTROL!$C$42, 12.1498, 12.1498) * CHOOSE(CONTROL!$C$21, $C$9, 100%, $E$9)</f>
        <v>12.149800000000001</v>
      </c>
      <c r="M323" s="10">
        <f>CHOOSE(CONTROL!$C$42, 11.3612, 11.3612) * CHOOSE(CONTROL!$C$21, $C$9, 100%, $E$9)</f>
        <v>11.3612</v>
      </c>
      <c r="N323" s="10">
        <f>CHOOSE(CONTROL!$C$42, 11.3762, 11.3762) * CHOOSE(CONTROL!$C$21, $C$9, 100%, $E$9)</f>
        <v>11.376200000000001</v>
      </c>
      <c r="O323" s="10">
        <f>CHOOSE(CONTROL!$C$42, 11.46, 11.46) * CHOOSE(CONTROL!$C$21, $C$9, 100%, $E$9)</f>
        <v>11.46</v>
      </c>
      <c r="P323" s="10">
        <f>CHOOSE(CONTROL!$C$42, 11.3848, 11.3848) * CHOOSE(CONTROL!$C$21, $C$9, 100%, $E$9)</f>
        <v>11.3848</v>
      </c>
      <c r="Q323" s="10">
        <f>CHOOSE(CONTROL!$C$42, 12.0553, 12.0553) * CHOOSE(CONTROL!$C$21, $C$9, 100%, $E$9)</f>
        <v>12.055300000000001</v>
      </c>
      <c r="R323" s="10">
        <f>CHOOSE(CONTROL!$C$42, 12.6724, 12.6724) * CHOOSE(CONTROL!$C$21, $C$9, 100%, $E$9)</f>
        <v>12.6724</v>
      </c>
      <c r="S323" s="10">
        <f>CHOOSE(CONTROL!$C$42, 11.1406, 11.1406) * CHOOSE(CONTROL!$C$21, $C$9, 100%, $E$9)</f>
        <v>11.140599999999999</v>
      </c>
      <c r="T3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57">
        <f>(1000*CHOOSE(CONTROL!$C$42, 695, 695)*CHOOSE(CONTROL!$C$42, 0.5599, 0.5599)*CHOOSE(CONTROL!$C$42, 30, 30))/1000000</f>
        <v>11.673914999999997</v>
      </c>
      <c r="V323" s="57">
        <f>(1000*CHOOSE(CONTROL!$C$42, 500, 500)*CHOOSE(CONTROL!$C$42, 0.275, 0.275)*CHOOSE(CONTROL!$C$42, 30, 30))/1000000</f>
        <v>4.125</v>
      </c>
      <c r="W323" s="57">
        <f>(1000*CHOOSE(CONTROL!$C$42, 0.1146, 0.1146)*CHOOSE(CONTROL!$C$42, 121.5, 121.5)*CHOOSE(CONTROL!$C$42, 30, 30))/1000000</f>
        <v>0.417717</v>
      </c>
      <c r="X323" s="57">
        <f>(30*0.1790888*100000/1000000)+(30*0.2374*100000/1000000)</f>
        <v>1.2494664</v>
      </c>
      <c r="Y323" s="57"/>
      <c r="Z323" s="10"/>
      <c r="AA323" s="56"/>
      <c r="AB323" s="50">
        <f>(B323*122.58+C323*297.941+D323*89.177+E323*40.302+F323*40+G323*160+H323*0+I323*100+J323*300)/(122.58+297.941+89.177+40.302+0+40+160+100+300)</f>
        <v>11.483680039217392</v>
      </c>
      <c r="AC323" s="45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11.410238848920864</v>
      </c>
    </row>
    <row r="324" spans="1:29" ht="15.75" x14ac:dyDescent="0.25">
      <c r="A324" s="14">
        <v>50770</v>
      </c>
      <c r="B324" s="10">
        <f>CHOOSE(CONTROL!$C$42, 12.2565, 12.2565) * CHOOSE(CONTROL!$C$21, $C$9, 100%, $E$9)</f>
        <v>12.256500000000001</v>
      </c>
      <c r="C324" s="10">
        <f>CHOOSE(CONTROL!$C$42, 12.2615, 12.2615) * CHOOSE(CONTROL!$C$21, $C$9, 100%, $E$9)</f>
        <v>12.2615</v>
      </c>
      <c r="D324" s="10">
        <f>CHOOSE(CONTROL!$C$42, 12.322, 12.322) * CHOOSE(CONTROL!$C$21, $C$9, 100%, $E$9)</f>
        <v>12.321999999999999</v>
      </c>
      <c r="E324" s="10">
        <f>CHOOSE(CONTROL!$C$42, 12.3557, 12.3557) * CHOOSE(CONTROL!$C$21, $C$9, 100%, $E$9)</f>
        <v>12.355700000000001</v>
      </c>
      <c r="F324" s="10">
        <f>CHOOSE(CONTROL!$C$42, 12.254, 12.254)*CHOOSE(CONTROL!$C$21, $C$9, 100%, $E$9)</f>
        <v>12.254</v>
      </c>
      <c r="G324" s="10">
        <f>CHOOSE(CONTROL!$C$42, 12.2697, 12.2697)*CHOOSE(CONTROL!$C$21, $C$9, 100%, $E$9)</f>
        <v>12.2697</v>
      </c>
      <c r="H324" s="10">
        <f>CHOOSE(CONTROL!$C$42, 12.3449, 12.3449) * CHOOSE(CONTROL!$C$21, $C$9, 100%, $E$9)</f>
        <v>12.344900000000001</v>
      </c>
      <c r="I324" s="10">
        <f>CHOOSE(CONTROL!$C$42, 12.269, 12.269)* CHOOSE(CONTROL!$C$21, $C$9, 100%, $E$9)</f>
        <v>12.269</v>
      </c>
      <c r="J324" s="10">
        <f>CHOOSE(CONTROL!$C$42, 12.247, 12.247)* CHOOSE(CONTROL!$C$21, $C$9, 100%, $E$9)</f>
        <v>12.247</v>
      </c>
      <c r="K324" s="53">
        <f>CHOOSE(CONTROL!$C$42, 12.2651, 12.2651) * CHOOSE(CONTROL!$C$21, $C$9, 100%, $E$9)</f>
        <v>12.2651</v>
      </c>
      <c r="L324" s="10">
        <f>CHOOSE(CONTROL!$C$42, 12.9319, 12.9319) * CHOOSE(CONTROL!$C$21, $C$9, 100%, $E$9)</f>
        <v>12.931900000000001</v>
      </c>
      <c r="M324" s="10">
        <f>CHOOSE(CONTROL!$C$42, 12.1372, 12.1372) * CHOOSE(CONTROL!$C$21, $C$9, 100%, $E$9)</f>
        <v>12.1372</v>
      </c>
      <c r="N324" s="10">
        <f>CHOOSE(CONTROL!$C$42, 12.1527, 12.1527) * CHOOSE(CONTROL!$C$21, $C$9, 100%, $E$9)</f>
        <v>12.152699999999999</v>
      </c>
      <c r="O324" s="10">
        <f>CHOOSE(CONTROL!$C$42, 12.2342, 12.2342) * CHOOSE(CONTROL!$C$21, $C$9, 100%, $E$9)</f>
        <v>12.2342</v>
      </c>
      <c r="P324" s="10">
        <f>CHOOSE(CONTROL!$C$42, 12.1591, 12.1591) * CHOOSE(CONTROL!$C$21, $C$9, 100%, $E$9)</f>
        <v>12.1591</v>
      </c>
      <c r="Q324" s="10">
        <f>CHOOSE(CONTROL!$C$42, 12.8295, 12.8295) * CHOOSE(CONTROL!$C$21, $C$9, 100%, $E$9)</f>
        <v>12.829499999999999</v>
      </c>
      <c r="R324" s="10">
        <f>CHOOSE(CONTROL!$C$42, 13.4486, 13.4486) * CHOOSE(CONTROL!$C$21, $C$9, 100%, $E$9)</f>
        <v>13.448600000000001</v>
      </c>
      <c r="S324" s="10">
        <f>CHOOSE(CONTROL!$C$42, 11.9002, 11.9002) * CHOOSE(CONTROL!$C$21, $C$9, 100%, $E$9)</f>
        <v>11.9002</v>
      </c>
      <c r="T3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57">
        <f>(1000*CHOOSE(CONTROL!$C$42, 695, 695)*CHOOSE(CONTROL!$C$42, 0.5599, 0.5599)*CHOOSE(CONTROL!$C$42, 31, 31))/1000000</f>
        <v>12.063045499999998</v>
      </c>
      <c r="V324" s="57">
        <f>(1000*CHOOSE(CONTROL!$C$42, 500, 500)*CHOOSE(CONTROL!$C$42, 0.275, 0.275)*CHOOSE(CONTROL!$C$42, 31, 31))/1000000</f>
        <v>4.2625000000000002</v>
      </c>
      <c r="W324" s="57">
        <f>(1000*CHOOSE(CONTROL!$C$42, 0.1146, 0.1146)*CHOOSE(CONTROL!$C$42, 121.5, 121.5)*CHOOSE(CONTROL!$C$42, 31, 31))/1000000</f>
        <v>0.43164089999999994</v>
      </c>
      <c r="X324" s="57">
        <f>(31*0.1790888*100000/1000000)+(31*0.2374*100000/1000000)</f>
        <v>1.2911152800000001</v>
      </c>
      <c r="Y324" s="57"/>
      <c r="Z324" s="10"/>
      <c r="AA324" s="56"/>
      <c r="AB324" s="50">
        <f>(B324*122.58+C324*297.941+D324*89.177+E324*40.302+F324*40+G324*160+H324*0+I324*100+J324*300)/(122.58+297.941+89.177+40.302+0+40+160+100+300)</f>
        <v>12.266709353826085</v>
      </c>
      <c r="AC324" s="45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12.185207194244603</v>
      </c>
    </row>
    <row r="325" spans="1:29" ht="15.75" x14ac:dyDescent="0.25">
      <c r="A325" s="14">
        <v>50801</v>
      </c>
      <c r="B325" s="10">
        <f>CHOOSE(CONTROL!$C$42, 13.2605, 13.2605) * CHOOSE(CONTROL!$C$21, $C$9, 100%, $E$9)</f>
        <v>13.2605</v>
      </c>
      <c r="C325" s="10">
        <f>CHOOSE(CONTROL!$C$42, 13.2655, 13.2655) * CHOOSE(CONTROL!$C$21, $C$9, 100%, $E$9)</f>
        <v>13.265499999999999</v>
      </c>
      <c r="D325" s="10">
        <f>CHOOSE(CONTROL!$C$42, 13.3225, 13.3225) * CHOOSE(CONTROL!$C$21, $C$9, 100%, $E$9)</f>
        <v>13.3225</v>
      </c>
      <c r="E325" s="10">
        <f>CHOOSE(CONTROL!$C$42, 13.3563, 13.3563) * CHOOSE(CONTROL!$C$21, $C$9, 100%, $E$9)</f>
        <v>13.356299999999999</v>
      </c>
      <c r="F325" s="10">
        <f>CHOOSE(CONTROL!$C$42, 13.2583, 13.2583)*CHOOSE(CONTROL!$C$21, $C$9, 100%, $E$9)</f>
        <v>13.2583</v>
      </c>
      <c r="G325" s="10">
        <f>CHOOSE(CONTROL!$C$42, 13.273, 13.273)*CHOOSE(CONTROL!$C$21, $C$9, 100%, $E$9)</f>
        <v>13.273</v>
      </c>
      <c r="H325" s="10">
        <f>CHOOSE(CONTROL!$C$42, 13.3455, 13.3455) * CHOOSE(CONTROL!$C$21, $C$9, 100%, $E$9)</f>
        <v>13.345499999999999</v>
      </c>
      <c r="I325" s="10">
        <f>CHOOSE(CONTROL!$C$42, 13.2713, 13.2713)* CHOOSE(CONTROL!$C$21, $C$9, 100%, $E$9)</f>
        <v>13.2713</v>
      </c>
      <c r="J325" s="10">
        <f>CHOOSE(CONTROL!$C$42, 13.2513, 13.2513)* CHOOSE(CONTROL!$C$21, $C$9, 100%, $E$9)</f>
        <v>13.251300000000001</v>
      </c>
      <c r="K325" s="53">
        <f>CHOOSE(CONTROL!$C$42, 13.2674, 13.2674) * CHOOSE(CONTROL!$C$21, $C$9, 100%, $E$9)</f>
        <v>13.2674</v>
      </c>
      <c r="L325" s="10">
        <f>CHOOSE(CONTROL!$C$42, 13.9325, 13.9325) * CHOOSE(CONTROL!$C$21, $C$9, 100%, $E$9)</f>
        <v>13.932499999999999</v>
      </c>
      <c r="M325" s="10">
        <f>CHOOSE(CONTROL!$C$42, 13.1314, 13.1314) * CHOOSE(CONTROL!$C$21, $C$9, 100%, $E$9)</f>
        <v>13.131399999999999</v>
      </c>
      <c r="N325" s="10">
        <f>CHOOSE(CONTROL!$C$42, 13.1459, 13.1459) * CHOOSE(CONTROL!$C$21, $C$9, 100%, $E$9)</f>
        <v>13.145899999999999</v>
      </c>
      <c r="O325" s="10">
        <f>CHOOSE(CONTROL!$C$42, 13.2247, 13.2247) * CHOOSE(CONTROL!$C$21, $C$9, 100%, $E$9)</f>
        <v>13.2247</v>
      </c>
      <c r="P325" s="10">
        <f>CHOOSE(CONTROL!$C$42, 13.1513, 13.1513) * CHOOSE(CONTROL!$C$21, $C$9, 100%, $E$9)</f>
        <v>13.151300000000001</v>
      </c>
      <c r="Q325" s="10">
        <f>CHOOSE(CONTROL!$C$42, 13.82, 13.82) * CHOOSE(CONTROL!$C$21, $C$9, 100%, $E$9)</f>
        <v>13.82</v>
      </c>
      <c r="R325" s="10">
        <f>CHOOSE(CONTROL!$C$42, 14.4415, 14.4415) * CHOOSE(CONTROL!$C$21, $C$9, 100%, $E$9)</f>
        <v>14.4415</v>
      </c>
      <c r="S325" s="10">
        <f>CHOOSE(CONTROL!$C$42, 12.8752, 12.8752) * CHOOSE(CONTROL!$C$21, $C$9, 100%, $E$9)</f>
        <v>12.8752</v>
      </c>
      <c r="T3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57">
        <f>(1000*CHOOSE(CONTROL!$C$42, 695, 695)*CHOOSE(CONTROL!$C$42, 0.5599, 0.5599)*CHOOSE(CONTROL!$C$42, 31, 31))/1000000</f>
        <v>12.063045499999998</v>
      </c>
      <c r="V325" s="57">
        <f>(1000*CHOOSE(CONTROL!$C$42, 500, 500)*CHOOSE(CONTROL!$C$42, 0.275, 0.275)*CHOOSE(CONTROL!$C$42, 31, 31))/1000000</f>
        <v>4.2625000000000002</v>
      </c>
      <c r="W325" s="57">
        <f>(1000*CHOOSE(CONTROL!$C$42, 0.1146, 0.1146)*CHOOSE(CONTROL!$C$42, 121.5, 121.5)*CHOOSE(CONTROL!$C$42, 31, 31))/1000000</f>
        <v>0.43164089999999994</v>
      </c>
      <c r="X325" s="57">
        <f>(31*0.1790888*100000/1000000)+(31*0.2374*100000/1000000)</f>
        <v>1.2911152800000001</v>
      </c>
      <c r="Y325" s="57"/>
      <c r="Z325" s="10"/>
      <c r="AA325" s="56"/>
      <c r="AB325" s="50">
        <f>(B325*122.58+C325*297.941+D325*89.177+E325*40.302+F325*40+G325*160+H325*0+I325*100+J325*300)/(122.58+297.941+89.177+40.302+0+40+160+100+300)</f>
        <v>13.270162270086955</v>
      </c>
      <c r="AC325" s="45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13.177384892086332</v>
      </c>
    </row>
    <row r="326" spans="1:29" ht="15.75" x14ac:dyDescent="0.25">
      <c r="A326" s="14">
        <v>50829</v>
      </c>
      <c r="B326" s="10">
        <f>CHOOSE(CONTROL!$C$42, 13.4965, 13.4965) * CHOOSE(CONTROL!$C$21, $C$9, 100%, $E$9)</f>
        <v>13.496499999999999</v>
      </c>
      <c r="C326" s="10">
        <f>CHOOSE(CONTROL!$C$42, 13.5015, 13.5015) * CHOOSE(CONTROL!$C$21, $C$9, 100%, $E$9)</f>
        <v>13.5015</v>
      </c>
      <c r="D326" s="10">
        <f>CHOOSE(CONTROL!$C$42, 13.5585, 13.5585) * CHOOSE(CONTROL!$C$21, $C$9, 100%, $E$9)</f>
        <v>13.5585</v>
      </c>
      <c r="E326" s="10">
        <f>CHOOSE(CONTROL!$C$42, 13.5923, 13.5923) * CHOOSE(CONTROL!$C$21, $C$9, 100%, $E$9)</f>
        <v>13.5923</v>
      </c>
      <c r="F326" s="10">
        <f>CHOOSE(CONTROL!$C$42, 13.4945, 13.4945)*CHOOSE(CONTROL!$C$21, $C$9, 100%, $E$9)</f>
        <v>13.4945</v>
      </c>
      <c r="G326" s="10">
        <f>CHOOSE(CONTROL!$C$42, 13.5091, 13.5091)*CHOOSE(CONTROL!$C$21, $C$9, 100%, $E$9)</f>
        <v>13.5091</v>
      </c>
      <c r="H326" s="10">
        <f>CHOOSE(CONTROL!$C$42, 13.5815, 13.5815) * CHOOSE(CONTROL!$C$21, $C$9, 100%, $E$9)</f>
        <v>13.5815</v>
      </c>
      <c r="I326" s="10">
        <f>CHOOSE(CONTROL!$C$42, 13.5073, 13.5073)* CHOOSE(CONTROL!$C$21, $C$9, 100%, $E$9)</f>
        <v>13.507300000000001</v>
      </c>
      <c r="J326" s="10">
        <f>CHOOSE(CONTROL!$C$42, 13.4875, 13.4875)* CHOOSE(CONTROL!$C$21, $C$9, 100%, $E$9)</f>
        <v>13.487500000000001</v>
      </c>
      <c r="K326" s="53">
        <f>CHOOSE(CONTROL!$C$42, 13.5034, 13.5034) * CHOOSE(CONTROL!$C$21, $C$9, 100%, $E$9)</f>
        <v>13.503399999999999</v>
      </c>
      <c r="L326" s="10">
        <f>CHOOSE(CONTROL!$C$42, 14.1685, 14.1685) * CHOOSE(CONTROL!$C$21, $C$9, 100%, $E$9)</f>
        <v>14.1685</v>
      </c>
      <c r="M326" s="10">
        <f>CHOOSE(CONTROL!$C$42, 13.3652, 13.3652) * CHOOSE(CONTROL!$C$21, $C$9, 100%, $E$9)</f>
        <v>13.3652</v>
      </c>
      <c r="N326" s="10">
        <f>CHOOSE(CONTROL!$C$42, 13.3797, 13.3797) * CHOOSE(CONTROL!$C$21, $C$9, 100%, $E$9)</f>
        <v>13.3797</v>
      </c>
      <c r="O326" s="10">
        <f>CHOOSE(CONTROL!$C$42, 13.4583, 13.4583) * CHOOSE(CONTROL!$C$21, $C$9, 100%, $E$9)</f>
        <v>13.458299999999999</v>
      </c>
      <c r="P326" s="10">
        <f>CHOOSE(CONTROL!$C$42, 13.3849, 13.3849) * CHOOSE(CONTROL!$C$21, $C$9, 100%, $E$9)</f>
        <v>13.3849</v>
      </c>
      <c r="Q326" s="10">
        <f>CHOOSE(CONTROL!$C$42, 14.0536, 14.0536) * CHOOSE(CONTROL!$C$21, $C$9, 100%, $E$9)</f>
        <v>14.053599999999999</v>
      </c>
      <c r="R326" s="10">
        <f>CHOOSE(CONTROL!$C$42, 14.6757, 14.6757) * CHOOSE(CONTROL!$C$21, $C$9, 100%, $E$9)</f>
        <v>14.675700000000001</v>
      </c>
      <c r="S326" s="10">
        <f>CHOOSE(CONTROL!$C$42, 13.1043, 13.1043) * CHOOSE(CONTROL!$C$21, $C$9, 100%, $E$9)</f>
        <v>13.1043</v>
      </c>
      <c r="T3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26" s="57">
        <f>(1000*CHOOSE(CONTROL!$C$42, 695, 695)*CHOOSE(CONTROL!$C$42, 0.5599, 0.5599)*CHOOSE(CONTROL!$C$42, 28, 28))/1000000</f>
        <v>10.895653999999999</v>
      </c>
      <c r="V326" s="57">
        <f>(1000*CHOOSE(CONTROL!$C$42, 500, 500)*CHOOSE(CONTROL!$C$42, 0.275, 0.275)*CHOOSE(CONTROL!$C$42, 28, 28))/1000000</f>
        <v>3.85</v>
      </c>
      <c r="W326" s="57">
        <f>(1000*CHOOSE(CONTROL!$C$42, 0.1146, 0.1146)*CHOOSE(CONTROL!$C$42, 121.5, 121.5)*CHOOSE(CONTROL!$C$42, 28, 28))/1000000</f>
        <v>0.38986920000000003</v>
      </c>
      <c r="X326" s="57">
        <f>(28*0.1790888*100000/1000000)+(28*0.2374*100000/1000000)</f>
        <v>1.16616864</v>
      </c>
      <c r="Y326" s="57"/>
      <c r="Z326" s="10"/>
      <c r="AA326" s="56"/>
      <c r="AB326" s="50">
        <f>(B326*122.58+C326*297.941+D326*89.177+E326*40.302+F326*40+G326*160+H326*0+I326*100+J326*300)/(122.58+297.941+89.177+40.302+0+40+160+100+300)</f>
        <v>13.506235313565217</v>
      </c>
      <c r="AC326" s="45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13.4110654676259</v>
      </c>
    </row>
    <row r="327" spans="1:29" ht="15.75" x14ac:dyDescent="0.25">
      <c r="A327" s="14">
        <v>50860</v>
      </c>
      <c r="B327" s="10">
        <f>CHOOSE(CONTROL!$C$42, 13.1134, 13.1134) * CHOOSE(CONTROL!$C$21, $C$9, 100%, $E$9)</f>
        <v>13.1134</v>
      </c>
      <c r="C327" s="10">
        <f>CHOOSE(CONTROL!$C$42, 13.1184, 13.1184) * CHOOSE(CONTROL!$C$21, $C$9, 100%, $E$9)</f>
        <v>13.118399999999999</v>
      </c>
      <c r="D327" s="10">
        <f>CHOOSE(CONTROL!$C$42, 13.1755, 13.1755) * CHOOSE(CONTROL!$C$21, $C$9, 100%, $E$9)</f>
        <v>13.1755</v>
      </c>
      <c r="E327" s="10">
        <f>CHOOSE(CONTROL!$C$42, 13.2092, 13.2092) * CHOOSE(CONTROL!$C$21, $C$9, 100%, $E$9)</f>
        <v>13.209199999999999</v>
      </c>
      <c r="F327" s="10">
        <f>CHOOSE(CONTROL!$C$42, 13.1112, 13.1112)*CHOOSE(CONTROL!$C$21, $C$9, 100%, $E$9)</f>
        <v>13.1112</v>
      </c>
      <c r="G327" s="10">
        <f>CHOOSE(CONTROL!$C$42, 13.1259, 13.1259)*CHOOSE(CONTROL!$C$21, $C$9, 100%, $E$9)</f>
        <v>13.1259</v>
      </c>
      <c r="H327" s="10">
        <f>CHOOSE(CONTROL!$C$42, 13.1984, 13.1984) * CHOOSE(CONTROL!$C$21, $C$9, 100%, $E$9)</f>
        <v>13.198399999999999</v>
      </c>
      <c r="I327" s="10">
        <f>CHOOSE(CONTROL!$C$42, 13.1242, 13.1242)* CHOOSE(CONTROL!$C$21, $C$9, 100%, $E$9)</f>
        <v>13.1242</v>
      </c>
      <c r="J327" s="10">
        <f>CHOOSE(CONTROL!$C$42, 13.1042, 13.1042)* CHOOSE(CONTROL!$C$21, $C$9, 100%, $E$9)</f>
        <v>13.104200000000001</v>
      </c>
      <c r="K327" s="53">
        <f>CHOOSE(CONTROL!$C$42, 13.1203, 13.1203) * CHOOSE(CONTROL!$C$21, $C$9, 100%, $E$9)</f>
        <v>13.1203</v>
      </c>
      <c r="L327" s="10">
        <f>CHOOSE(CONTROL!$C$42, 13.7854, 13.7854) * CHOOSE(CONTROL!$C$21, $C$9, 100%, $E$9)</f>
        <v>13.785399999999999</v>
      </c>
      <c r="M327" s="10">
        <f>CHOOSE(CONTROL!$C$42, 12.9858, 12.9858) * CHOOSE(CONTROL!$C$21, $C$9, 100%, $E$9)</f>
        <v>12.985799999999999</v>
      </c>
      <c r="N327" s="10">
        <f>CHOOSE(CONTROL!$C$42, 13.0003, 13.0003) * CHOOSE(CONTROL!$C$21, $C$9, 100%, $E$9)</f>
        <v>13.000299999999999</v>
      </c>
      <c r="O327" s="10">
        <f>CHOOSE(CONTROL!$C$42, 13.0791, 13.0791) * CHOOSE(CONTROL!$C$21, $C$9, 100%, $E$9)</f>
        <v>13.0791</v>
      </c>
      <c r="P327" s="10">
        <f>CHOOSE(CONTROL!$C$42, 13.0056, 13.0056) * CHOOSE(CONTROL!$C$21, $C$9, 100%, $E$9)</f>
        <v>13.005599999999999</v>
      </c>
      <c r="Q327" s="10">
        <f>CHOOSE(CONTROL!$C$42, 13.6744, 13.6744) * CHOOSE(CONTROL!$C$21, $C$9, 100%, $E$9)</f>
        <v>13.6744</v>
      </c>
      <c r="R327" s="10">
        <f>CHOOSE(CONTROL!$C$42, 14.2955, 14.2955) * CHOOSE(CONTROL!$C$21, $C$9, 100%, $E$9)</f>
        <v>14.295500000000001</v>
      </c>
      <c r="S327" s="10">
        <f>CHOOSE(CONTROL!$C$42, 12.7323, 12.7323) * CHOOSE(CONTROL!$C$21, $C$9, 100%, $E$9)</f>
        <v>12.7323</v>
      </c>
      <c r="T3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57">
        <f>(1000*CHOOSE(CONTROL!$C$42, 695, 695)*CHOOSE(CONTROL!$C$42, 0.5599, 0.5599)*CHOOSE(CONTROL!$C$42, 31, 31))/1000000</f>
        <v>12.063045499999998</v>
      </c>
      <c r="V327" s="57">
        <f>(1000*CHOOSE(CONTROL!$C$42, 500, 500)*CHOOSE(CONTROL!$C$42, 0.275, 0.275)*CHOOSE(CONTROL!$C$42, 31, 31))/1000000</f>
        <v>4.2625000000000002</v>
      </c>
      <c r="W327" s="57">
        <f>(1000*CHOOSE(CONTROL!$C$42, 0.1146, 0.1146)*CHOOSE(CONTROL!$C$42, 121.5, 121.5)*CHOOSE(CONTROL!$C$42, 31, 31))/1000000</f>
        <v>0.43164089999999994</v>
      </c>
      <c r="X327" s="57">
        <f>(31*0.1790888*100000/1000000)+(31*0.2374*100000/1000000)</f>
        <v>1.2911152800000001</v>
      </c>
      <c r="Y327" s="57"/>
      <c r="Z327" s="10"/>
      <c r="AA327" s="56"/>
      <c r="AB327" s="50">
        <f>(B327*122.58+C327*297.941+D327*89.177+E327*40.302+F327*40+G327*160+H327*0+I327*100+J327*300)/(122.58+297.941+89.177+40.302+0+40+160+100+300)</f>
        <v>13.123070024608696</v>
      </c>
      <c r="AC327" s="45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13.031770503597123</v>
      </c>
    </row>
    <row r="328" spans="1:29" ht="15.75" x14ac:dyDescent="0.25">
      <c r="A328" s="14">
        <v>50890</v>
      </c>
      <c r="B328" s="10">
        <f>CHOOSE(CONTROL!$C$42, 13.0753, 13.0753) * CHOOSE(CONTROL!$C$21, $C$9, 100%, $E$9)</f>
        <v>13.0753</v>
      </c>
      <c r="C328" s="10">
        <f>CHOOSE(CONTROL!$C$42, 13.0797, 13.0797) * CHOOSE(CONTROL!$C$21, $C$9, 100%, $E$9)</f>
        <v>13.079700000000001</v>
      </c>
      <c r="D328" s="10">
        <f>CHOOSE(CONTROL!$C$42, 13.2856, 13.2856) * CHOOSE(CONTROL!$C$21, $C$9, 100%, $E$9)</f>
        <v>13.285600000000001</v>
      </c>
      <c r="E328" s="10">
        <f>CHOOSE(CONTROL!$C$42, 13.3174, 13.3174) * CHOOSE(CONTROL!$C$21, $C$9, 100%, $E$9)</f>
        <v>13.317399999999999</v>
      </c>
      <c r="F328" s="10">
        <f>CHOOSE(CONTROL!$C$42, 13.0521, 13.0521)*CHOOSE(CONTROL!$C$21, $C$9, 100%, $E$9)</f>
        <v>13.052099999999999</v>
      </c>
      <c r="G328" s="10">
        <f>CHOOSE(CONTROL!$C$42, 13.0666, 13.0666)*CHOOSE(CONTROL!$C$21, $C$9, 100%, $E$9)</f>
        <v>13.066599999999999</v>
      </c>
      <c r="H328" s="10">
        <f>CHOOSE(CONTROL!$C$42, 13.3072, 13.3072) * CHOOSE(CONTROL!$C$21, $C$9, 100%, $E$9)</f>
        <v>13.3072</v>
      </c>
      <c r="I328" s="10">
        <f>CHOOSE(CONTROL!$C$42, 13.0768, 13.0768)* CHOOSE(CONTROL!$C$21, $C$9, 100%, $E$9)</f>
        <v>13.0768</v>
      </c>
      <c r="J328" s="10">
        <f>CHOOSE(CONTROL!$C$42, 13.0451, 13.0451)* CHOOSE(CONTROL!$C$21, $C$9, 100%, $E$9)</f>
        <v>13.0451</v>
      </c>
      <c r="K328" s="53">
        <f>CHOOSE(CONTROL!$C$42, 13.0729, 13.0729) * CHOOSE(CONTROL!$C$21, $C$9, 100%, $E$9)</f>
        <v>13.072900000000001</v>
      </c>
      <c r="L328" s="10">
        <f>CHOOSE(CONTROL!$C$42, 13.8942, 13.8942) * CHOOSE(CONTROL!$C$21, $C$9, 100%, $E$9)</f>
        <v>13.8942</v>
      </c>
      <c r="M328" s="10">
        <f>CHOOSE(CONTROL!$C$42, 12.9273, 12.9273) * CHOOSE(CONTROL!$C$21, $C$9, 100%, $E$9)</f>
        <v>12.927300000000001</v>
      </c>
      <c r="N328" s="10">
        <f>CHOOSE(CONTROL!$C$42, 12.9417, 12.9417) * CHOOSE(CONTROL!$C$21, $C$9, 100%, $E$9)</f>
        <v>12.941700000000001</v>
      </c>
      <c r="O328" s="10">
        <f>CHOOSE(CONTROL!$C$42, 13.1867, 13.1867) * CHOOSE(CONTROL!$C$21, $C$9, 100%, $E$9)</f>
        <v>13.1867</v>
      </c>
      <c r="P328" s="10">
        <f>CHOOSE(CONTROL!$C$42, 12.9587, 12.9587) * CHOOSE(CONTROL!$C$21, $C$9, 100%, $E$9)</f>
        <v>12.9587</v>
      </c>
      <c r="Q328" s="10">
        <f>CHOOSE(CONTROL!$C$42, 13.782, 13.782) * CHOOSE(CONTROL!$C$21, $C$9, 100%, $E$9)</f>
        <v>13.782</v>
      </c>
      <c r="R328" s="10">
        <f>CHOOSE(CONTROL!$C$42, 14.4035, 14.4035) * CHOOSE(CONTROL!$C$21, $C$9, 100%, $E$9)</f>
        <v>14.403499999999999</v>
      </c>
      <c r="S328" s="10">
        <f>CHOOSE(CONTROL!$C$42, 12.6946, 12.6946) * CHOOSE(CONTROL!$C$21, $C$9, 100%, $E$9)</f>
        <v>12.694599999999999</v>
      </c>
      <c r="T3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57">
        <f>(1000*CHOOSE(CONTROL!$C$42, 695, 695)*CHOOSE(CONTROL!$C$42, 0.5599, 0.5599)*CHOOSE(CONTROL!$C$42, 30, 30))/1000000</f>
        <v>11.673914999999997</v>
      </c>
      <c r="V328" s="57">
        <f>(1000*CHOOSE(CONTROL!$C$42, 500, 500)*CHOOSE(CONTROL!$C$42, 0.275, 0.275)*CHOOSE(CONTROL!$C$42, 30, 30))/1000000</f>
        <v>4.125</v>
      </c>
      <c r="W328" s="57">
        <f>(1000*CHOOSE(CONTROL!$C$42, 0.1146, 0.1146)*CHOOSE(CONTROL!$C$42, 121.5, 121.5)*CHOOSE(CONTROL!$C$42, 30, 30))/1000000</f>
        <v>0.417717</v>
      </c>
      <c r="X328" s="57">
        <f>(30*0.1790888*245000/1000000)+(30*0.2374*100000/1000000)</f>
        <v>2.0285026799999999</v>
      </c>
      <c r="Y328" s="57"/>
      <c r="Z328" s="10"/>
      <c r="AA328" s="56"/>
      <c r="AB328" s="50">
        <f>(B328*141.293+C328*267.993+D328*115.016+E328*89.698+F328*40+G328*185+H328*0+I328*100+J328*300)/(141.293+267.993+115.016+89.698+0+40+185+100+300)</f>
        <v>13.104061436481032</v>
      </c>
      <c r="AC328" s="45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13.007914388489208</v>
      </c>
    </row>
    <row r="329" spans="1:29" ht="15.75" x14ac:dyDescent="0.25">
      <c r="A329" s="14">
        <v>50921</v>
      </c>
      <c r="B329" s="10">
        <f>CHOOSE(CONTROL!$C$42, 13.1921, 13.1921) * CHOOSE(CONTROL!$C$21, $C$9, 100%, $E$9)</f>
        <v>13.1921</v>
      </c>
      <c r="C329" s="10">
        <f>CHOOSE(CONTROL!$C$42, 13.2, 13.2) * CHOOSE(CONTROL!$C$21, $C$9, 100%, $E$9)</f>
        <v>13.2</v>
      </c>
      <c r="D329" s="10">
        <f>CHOOSE(CONTROL!$C$42, 13.4028, 13.4028) * CHOOSE(CONTROL!$C$21, $C$9, 100%, $E$9)</f>
        <v>13.402799999999999</v>
      </c>
      <c r="E329" s="10">
        <f>CHOOSE(CONTROL!$C$42, 13.4339, 13.4339) * CHOOSE(CONTROL!$C$21, $C$9, 100%, $E$9)</f>
        <v>13.4339</v>
      </c>
      <c r="F329" s="10">
        <f>CHOOSE(CONTROL!$C$42, 13.1678, 13.1678)*CHOOSE(CONTROL!$C$21, $C$9, 100%, $E$9)</f>
        <v>13.1678</v>
      </c>
      <c r="G329" s="10">
        <f>CHOOSE(CONTROL!$C$42, 13.1828, 13.1828)*CHOOSE(CONTROL!$C$21, $C$9, 100%, $E$9)</f>
        <v>13.1828</v>
      </c>
      <c r="H329" s="10">
        <f>CHOOSE(CONTROL!$C$42, 13.4225, 13.4225) * CHOOSE(CONTROL!$C$21, $C$9, 100%, $E$9)</f>
        <v>13.422499999999999</v>
      </c>
      <c r="I329" s="10">
        <f>CHOOSE(CONTROL!$C$42, 13.1921, 13.1921)* CHOOSE(CONTROL!$C$21, $C$9, 100%, $E$9)</f>
        <v>13.1921</v>
      </c>
      <c r="J329" s="10">
        <f>CHOOSE(CONTROL!$C$42, 13.1608, 13.1608)* CHOOSE(CONTROL!$C$21, $C$9, 100%, $E$9)</f>
        <v>13.1608</v>
      </c>
      <c r="K329" s="53">
        <f>CHOOSE(CONTROL!$C$42, 13.1883, 13.1883) * CHOOSE(CONTROL!$C$21, $C$9, 100%, $E$9)</f>
        <v>13.1883</v>
      </c>
      <c r="L329" s="10">
        <f>CHOOSE(CONTROL!$C$42, 14.0095, 14.0095) * CHOOSE(CONTROL!$C$21, $C$9, 100%, $E$9)</f>
        <v>14.009499999999999</v>
      </c>
      <c r="M329" s="10">
        <f>CHOOSE(CONTROL!$C$42, 13.0418, 13.0418) * CHOOSE(CONTROL!$C$21, $C$9, 100%, $E$9)</f>
        <v>13.0418</v>
      </c>
      <c r="N329" s="10">
        <f>CHOOSE(CONTROL!$C$42, 13.0567, 13.0567) * CHOOSE(CONTROL!$C$21, $C$9, 100%, $E$9)</f>
        <v>13.056699999999999</v>
      </c>
      <c r="O329" s="10">
        <f>CHOOSE(CONTROL!$C$42, 13.3009, 13.3009) * CHOOSE(CONTROL!$C$21, $C$9, 100%, $E$9)</f>
        <v>13.3009</v>
      </c>
      <c r="P329" s="10">
        <f>CHOOSE(CONTROL!$C$42, 13.0729, 13.0729) * CHOOSE(CONTROL!$C$21, $C$9, 100%, $E$9)</f>
        <v>13.072900000000001</v>
      </c>
      <c r="Q329" s="10">
        <f>CHOOSE(CONTROL!$C$42, 13.8962, 13.8962) * CHOOSE(CONTROL!$C$21, $C$9, 100%, $E$9)</f>
        <v>13.8962</v>
      </c>
      <c r="R329" s="10">
        <f>CHOOSE(CONTROL!$C$42, 14.5179, 14.5179) * CHOOSE(CONTROL!$C$21, $C$9, 100%, $E$9)</f>
        <v>14.517899999999999</v>
      </c>
      <c r="S329" s="10">
        <f>CHOOSE(CONTROL!$C$42, 12.8066, 12.8066) * CHOOSE(CONTROL!$C$21, $C$9, 100%, $E$9)</f>
        <v>12.8066</v>
      </c>
      <c r="T3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57">
        <f>(1000*CHOOSE(CONTROL!$C$42, 695, 695)*CHOOSE(CONTROL!$C$42, 0.5599, 0.5599)*CHOOSE(CONTROL!$C$42, 31, 31))/1000000</f>
        <v>12.063045499999998</v>
      </c>
      <c r="V329" s="57">
        <f>(1000*CHOOSE(CONTROL!$C$42, 500, 500)*CHOOSE(CONTROL!$C$42, 0.275, 0.275)*CHOOSE(CONTROL!$C$42, 31, 31))/1000000</f>
        <v>4.2625000000000002</v>
      </c>
      <c r="W329" s="57">
        <f>(1000*CHOOSE(CONTROL!$C$42, 0.1146, 0.1146)*CHOOSE(CONTROL!$C$42, 121.5, 121.5)*CHOOSE(CONTROL!$C$42, 31, 31))/1000000</f>
        <v>0.43164089999999994</v>
      </c>
      <c r="X329" s="57">
        <f>(31*0.1790888*245000/1000000)+(31*0.2374*100000/1000000)</f>
        <v>2.0961194359999999</v>
      </c>
      <c r="Y329" s="57"/>
      <c r="Z329" s="10"/>
      <c r="AA329" s="56"/>
      <c r="AB329" s="50">
        <f>(B329*194.205+C329*267.466+D329*133.845+E329*53.484+F329*40+G329*185+H329*0+I329*100+J329*300)/(194.205+267.466+133.845+53.484+0+40+185+100+300)</f>
        <v>13.216561580926216</v>
      </c>
      <c r="AC329" s="45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13.122402158273383</v>
      </c>
    </row>
    <row r="330" spans="1:29" ht="15.75" x14ac:dyDescent="0.25">
      <c r="A330" s="14">
        <v>50951</v>
      </c>
      <c r="B330" s="10">
        <f>CHOOSE(CONTROL!$C$42, 13.5662, 13.5662) * CHOOSE(CONTROL!$C$21, $C$9, 100%, $E$9)</f>
        <v>13.5662</v>
      </c>
      <c r="C330" s="10">
        <f>CHOOSE(CONTROL!$C$42, 13.5741, 13.5741) * CHOOSE(CONTROL!$C$21, $C$9, 100%, $E$9)</f>
        <v>13.5741</v>
      </c>
      <c r="D330" s="10">
        <f>CHOOSE(CONTROL!$C$42, 13.7768, 13.7768) * CHOOSE(CONTROL!$C$21, $C$9, 100%, $E$9)</f>
        <v>13.7768</v>
      </c>
      <c r="E330" s="10">
        <f>CHOOSE(CONTROL!$C$42, 13.808, 13.808) * CHOOSE(CONTROL!$C$21, $C$9, 100%, $E$9)</f>
        <v>13.808</v>
      </c>
      <c r="F330" s="10">
        <f>CHOOSE(CONTROL!$C$42, 13.5424, 13.5424)*CHOOSE(CONTROL!$C$21, $C$9, 100%, $E$9)</f>
        <v>13.542400000000001</v>
      </c>
      <c r="G330" s="10">
        <f>CHOOSE(CONTROL!$C$42, 13.5575, 13.5575)*CHOOSE(CONTROL!$C$21, $C$9, 100%, $E$9)</f>
        <v>13.557499999999999</v>
      </c>
      <c r="H330" s="10">
        <f>CHOOSE(CONTROL!$C$42, 13.7966, 13.7966) * CHOOSE(CONTROL!$C$21, $C$9, 100%, $E$9)</f>
        <v>13.7966</v>
      </c>
      <c r="I330" s="10">
        <f>CHOOSE(CONTROL!$C$42, 13.5662, 13.5662)* CHOOSE(CONTROL!$C$21, $C$9, 100%, $E$9)</f>
        <v>13.5662</v>
      </c>
      <c r="J330" s="10">
        <f>CHOOSE(CONTROL!$C$42, 13.5354, 13.5354)* CHOOSE(CONTROL!$C$21, $C$9, 100%, $E$9)</f>
        <v>13.535399999999999</v>
      </c>
      <c r="K330" s="53">
        <f>CHOOSE(CONTROL!$C$42, 13.5623, 13.5623) * CHOOSE(CONTROL!$C$21, $C$9, 100%, $E$9)</f>
        <v>13.5623</v>
      </c>
      <c r="L330" s="10">
        <f>CHOOSE(CONTROL!$C$42, 14.3836, 14.3836) * CHOOSE(CONTROL!$C$21, $C$9, 100%, $E$9)</f>
        <v>14.383599999999999</v>
      </c>
      <c r="M330" s="10">
        <f>CHOOSE(CONTROL!$C$42, 13.4126, 13.4126) * CHOOSE(CONTROL!$C$21, $C$9, 100%, $E$9)</f>
        <v>13.412599999999999</v>
      </c>
      <c r="N330" s="10">
        <f>CHOOSE(CONTROL!$C$42, 13.4276, 13.4276) * CHOOSE(CONTROL!$C$21, $C$9, 100%, $E$9)</f>
        <v>13.4276</v>
      </c>
      <c r="O330" s="10">
        <f>CHOOSE(CONTROL!$C$42, 13.6712, 13.6712) * CHOOSE(CONTROL!$C$21, $C$9, 100%, $E$9)</f>
        <v>13.671200000000001</v>
      </c>
      <c r="P330" s="10">
        <f>CHOOSE(CONTROL!$C$42, 13.4432, 13.4432) * CHOOSE(CONTROL!$C$21, $C$9, 100%, $E$9)</f>
        <v>13.443199999999999</v>
      </c>
      <c r="Q330" s="10">
        <f>CHOOSE(CONTROL!$C$42, 14.2665, 14.2665) * CHOOSE(CONTROL!$C$21, $C$9, 100%, $E$9)</f>
        <v>14.266500000000001</v>
      </c>
      <c r="R330" s="10">
        <f>CHOOSE(CONTROL!$C$42, 14.8891, 14.8891) * CHOOSE(CONTROL!$C$21, $C$9, 100%, $E$9)</f>
        <v>14.889099999999999</v>
      </c>
      <c r="S330" s="10">
        <f>CHOOSE(CONTROL!$C$42, 13.1699, 13.1699) * CHOOSE(CONTROL!$C$21, $C$9, 100%, $E$9)</f>
        <v>13.1699</v>
      </c>
      <c r="T3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57">
        <f>(1000*CHOOSE(CONTROL!$C$42, 695, 695)*CHOOSE(CONTROL!$C$42, 0.5599, 0.5599)*CHOOSE(CONTROL!$C$42, 30, 30))/1000000</f>
        <v>11.673914999999997</v>
      </c>
      <c r="V330" s="57">
        <f>(1000*CHOOSE(CONTROL!$C$42, 500, 500)*CHOOSE(CONTROL!$C$42, 0.275, 0.275)*CHOOSE(CONTROL!$C$42, 30, 30))/1000000</f>
        <v>4.125</v>
      </c>
      <c r="W330" s="57">
        <f>(1000*CHOOSE(CONTROL!$C$42, 0.1146, 0.1146)*CHOOSE(CONTROL!$C$42, 121.5, 121.5)*CHOOSE(CONTROL!$C$42, 30, 30))/1000000</f>
        <v>0.417717</v>
      </c>
      <c r="X330" s="57">
        <f>(30*0.1790888*245000/1000000)+(30*0.2374*100000/1000000)</f>
        <v>2.0285026799999999</v>
      </c>
      <c r="Y330" s="57"/>
      <c r="Z330" s="10"/>
      <c r="AA330" s="56"/>
      <c r="AB330" s="50">
        <f>(B330*194.205+C330*267.466+D330*133.845+E330*53.484+F330*40+G330*185+H330*0+I330*100+J330*300)/(194.205+267.466+133.845+53.484+0+40+185+100+300)</f>
        <v>13.590871640188382</v>
      </c>
      <c r="AC330" s="45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13.493012949640288</v>
      </c>
    </row>
    <row r="331" spans="1:29" ht="15.75" x14ac:dyDescent="0.25">
      <c r="A331" s="14">
        <v>50982</v>
      </c>
      <c r="B331" s="10">
        <f>CHOOSE(CONTROL!$C$42, 13.306, 13.306) * CHOOSE(CONTROL!$C$21, $C$9, 100%, $E$9)</f>
        <v>13.305999999999999</v>
      </c>
      <c r="C331" s="10">
        <f>CHOOSE(CONTROL!$C$42, 13.3139, 13.3139) * CHOOSE(CONTROL!$C$21, $C$9, 100%, $E$9)</f>
        <v>13.3139</v>
      </c>
      <c r="D331" s="10">
        <f>CHOOSE(CONTROL!$C$42, 13.5167, 13.5167) * CHOOSE(CONTROL!$C$21, $C$9, 100%, $E$9)</f>
        <v>13.5167</v>
      </c>
      <c r="E331" s="10">
        <f>CHOOSE(CONTROL!$C$42, 13.5478, 13.5478) * CHOOSE(CONTROL!$C$21, $C$9, 100%, $E$9)</f>
        <v>13.547800000000001</v>
      </c>
      <c r="F331" s="10">
        <f>CHOOSE(CONTROL!$C$42, 13.2828, 13.2828)*CHOOSE(CONTROL!$C$21, $C$9, 100%, $E$9)</f>
        <v>13.2828</v>
      </c>
      <c r="G331" s="10">
        <f>CHOOSE(CONTROL!$C$42, 13.298, 13.298)*CHOOSE(CONTROL!$C$21, $C$9, 100%, $E$9)</f>
        <v>13.298</v>
      </c>
      <c r="H331" s="10">
        <f>CHOOSE(CONTROL!$C$42, 13.5364, 13.5364) * CHOOSE(CONTROL!$C$21, $C$9, 100%, $E$9)</f>
        <v>13.5364</v>
      </c>
      <c r="I331" s="10">
        <f>CHOOSE(CONTROL!$C$42, 13.306, 13.306)* CHOOSE(CONTROL!$C$21, $C$9, 100%, $E$9)</f>
        <v>13.305999999999999</v>
      </c>
      <c r="J331" s="10">
        <f>CHOOSE(CONTROL!$C$42, 13.2758, 13.2758)* CHOOSE(CONTROL!$C$21, $C$9, 100%, $E$9)</f>
        <v>13.2758</v>
      </c>
      <c r="K331" s="53">
        <f>CHOOSE(CONTROL!$C$42, 13.3022, 13.3022) * CHOOSE(CONTROL!$C$21, $C$9, 100%, $E$9)</f>
        <v>13.302199999999999</v>
      </c>
      <c r="L331" s="10">
        <f>CHOOSE(CONTROL!$C$42, 14.1234, 14.1234) * CHOOSE(CONTROL!$C$21, $C$9, 100%, $E$9)</f>
        <v>14.1234</v>
      </c>
      <c r="M331" s="10">
        <f>CHOOSE(CONTROL!$C$42, 13.1556, 13.1556) * CHOOSE(CONTROL!$C$21, $C$9, 100%, $E$9)</f>
        <v>13.1556</v>
      </c>
      <c r="N331" s="10">
        <f>CHOOSE(CONTROL!$C$42, 13.1707, 13.1707) * CHOOSE(CONTROL!$C$21, $C$9, 100%, $E$9)</f>
        <v>13.1707</v>
      </c>
      <c r="O331" s="10">
        <f>CHOOSE(CONTROL!$C$42, 13.4136, 13.4136) * CHOOSE(CONTROL!$C$21, $C$9, 100%, $E$9)</f>
        <v>13.413600000000001</v>
      </c>
      <c r="P331" s="10">
        <f>CHOOSE(CONTROL!$C$42, 13.1856, 13.1856) * CHOOSE(CONTROL!$C$21, $C$9, 100%, $E$9)</f>
        <v>13.185600000000001</v>
      </c>
      <c r="Q331" s="10">
        <f>CHOOSE(CONTROL!$C$42, 14.0089, 14.0089) * CHOOSE(CONTROL!$C$21, $C$9, 100%, $E$9)</f>
        <v>14.008900000000001</v>
      </c>
      <c r="R331" s="10">
        <f>CHOOSE(CONTROL!$C$42, 14.631, 14.631) * CHOOSE(CONTROL!$C$21, $C$9, 100%, $E$9)</f>
        <v>14.631</v>
      </c>
      <c r="S331" s="10">
        <f>CHOOSE(CONTROL!$C$42, 12.9172, 12.9172) * CHOOSE(CONTROL!$C$21, $C$9, 100%, $E$9)</f>
        <v>12.917199999999999</v>
      </c>
      <c r="T3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57">
        <f>(1000*CHOOSE(CONTROL!$C$42, 695, 695)*CHOOSE(CONTROL!$C$42, 0.5599, 0.5599)*CHOOSE(CONTROL!$C$42, 31, 31))/1000000</f>
        <v>12.063045499999998</v>
      </c>
      <c r="V331" s="57">
        <f>(1000*CHOOSE(CONTROL!$C$42, 500, 500)*CHOOSE(CONTROL!$C$42, 0.275, 0.275)*CHOOSE(CONTROL!$C$42, 31, 31))/1000000</f>
        <v>4.2625000000000002</v>
      </c>
      <c r="W331" s="57">
        <f>(1000*CHOOSE(CONTROL!$C$42, 0.1146, 0.1146)*CHOOSE(CONTROL!$C$42, 121.5, 121.5)*CHOOSE(CONTROL!$C$42, 31, 31))/1000000</f>
        <v>0.43164089999999994</v>
      </c>
      <c r="X331" s="57">
        <f>(31*0.1790888*245000/1000000)+(31*0.2374*100000/1000000)</f>
        <v>2.0961194359999999</v>
      </c>
      <c r="Y331" s="57"/>
      <c r="Z331" s="10"/>
      <c r="AA331" s="56"/>
      <c r="AB331" s="50">
        <f>(B331*194.205+C331*267.466+D331*133.845+E331*53.484+F331*40+G331*185+H331*0+I331*100+J331*300)/(194.205+267.466+133.845+53.484+0+40+185+100+300)</f>
        <v>13.330943920015697</v>
      </c>
      <c r="AC331" s="45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13.235781294964029</v>
      </c>
    </row>
    <row r="332" spans="1:29" ht="15.75" x14ac:dyDescent="0.25">
      <c r="A332" s="14">
        <v>51013</v>
      </c>
      <c r="B332" s="10">
        <f>CHOOSE(CONTROL!$C$42, 12.649, 12.649) * CHOOSE(CONTROL!$C$21, $C$9, 100%, $E$9)</f>
        <v>12.648999999999999</v>
      </c>
      <c r="C332" s="10">
        <f>CHOOSE(CONTROL!$C$42, 12.6569, 12.6569) * CHOOSE(CONTROL!$C$21, $C$9, 100%, $E$9)</f>
        <v>12.6569</v>
      </c>
      <c r="D332" s="10">
        <f>CHOOSE(CONTROL!$C$42, 12.8597, 12.8597) * CHOOSE(CONTROL!$C$21, $C$9, 100%, $E$9)</f>
        <v>12.8597</v>
      </c>
      <c r="E332" s="10">
        <f>CHOOSE(CONTROL!$C$42, 12.8908, 12.8908) * CHOOSE(CONTROL!$C$21, $C$9, 100%, $E$9)</f>
        <v>12.8908</v>
      </c>
      <c r="F332" s="10">
        <f>CHOOSE(CONTROL!$C$42, 12.626, 12.626)*CHOOSE(CONTROL!$C$21, $C$9, 100%, $E$9)</f>
        <v>12.625999999999999</v>
      </c>
      <c r="G332" s="10">
        <f>CHOOSE(CONTROL!$C$42, 12.6413, 12.6413)*CHOOSE(CONTROL!$C$21, $C$9, 100%, $E$9)</f>
        <v>12.641299999999999</v>
      </c>
      <c r="H332" s="10">
        <f>CHOOSE(CONTROL!$C$42, 12.8794, 12.8794) * CHOOSE(CONTROL!$C$21, $C$9, 100%, $E$9)</f>
        <v>12.8794</v>
      </c>
      <c r="I332" s="10">
        <f>CHOOSE(CONTROL!$C$42, 12.6491, 12.6491)* CHOOSE(CONTROL!$C$21, $C$9, 100%, $E$9)</f>
        <v>12.649100000000001</v>
      </c>
      <c r="J332" s="10">
        <f>CHOOSE(CONTROL!$C$42, 12.619, 12.619)* CHOOSE(CONTROL!$C$21, $C$9, 100%, $E$9)</f>
        <v>12.619</v>
      </c>
      <c r="K332" s="53">
        <f>CHOOSE(CONTROL!$C$42, 12.6452, 12.6452) * CHOOSE(CONTROL!$C$21, $C$9, 100%, $E$9)</f>
        <v>12.645200000000001</v>
      </c>
      <c r="L332" s="10">
        <f>CHOOSE(CONTROL!$C$42, 13.4664, 13.4664) * CHOOSE(CONTROL!$C$21, $C$9, 100%, $E$9)</f>
        <v>13.4664</v>
      </c>
      <c r="M332" s="10">
        <f>CHOOSE(CONTROL!$C$42, 12.5054, 12.5054) * CHOOSE(CONTROL!$C$21, $C$9, 100%, $E$9)</f>
        <v>12.5054</v>
      </c>
      <c r="N332" s="10">
        <f>CHOOSE(CONTROL!$C$42, 12.5206, 12.5206) * CHOOSE(CONTROL!$C$21, $C$9, 100%, $E$9)</f>
        <v>12.5206</v>
      </c>
      <c r="O332" s="10">
        <f>CHOOSE(CONTROL!$C$42, 12.7633, 12.7633) * CHOOSE(CONTROL!$C$21, $C$9, 100%, $E$9)</f>
        <v>12.763299999999999</v>
      </c>
      <c r="P332" s="10">
        <f>CHOOSE(CONTROL!$C$42, 12.5353, 12.5353) * CHOOSE(CONTROL!$C$21, $C$9, 100%, $E$9)</f>
        <v>12.535299999999999</v>
      </c>
      <c r="Q332" s="10">
        <f>CHOOSE(CONTROL!$C$42, 13.3586, 13.3586) * CHOOSE(CONTROL!$C$21, $C$9, 100%, $E$9)</f>
        <v>13.358599999999999</v>
      </c>
      <c r="R332" s="10">
        <f>CHOOSE(CONTROL!$C$42, 13.979, 13.979) * CHOOSE(CONTROL!$C$21, $C$9, 100%, $E$9)</f>
        <v>13.978999999999999</v>
      </c>
      <c r="S332" s="10">
        <f>CHOOSE(CONTROL!$C$42, 12.2792, 12.2792) * CHOOSE(CONTROL!$C$21, $C$9, 100%, $E$9)</f>
        <v>12.279199999999999</v>
      </c>
      <c r="T3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57">
        <f>(1000*CHOOSE(CONTROL!$C$42, 695, 695)*CHOOSE(CONTROL!$C$42, 0.5599, 0.5599)*CHOOSE(CONTROL!$C$42, 31, 31))/1000000</f>
        <v>12.063045499999998</v>
      </c>
      <c r="V332" s="57">
        <f>(1000*CHOOSE(CONTROL!$C$42, 500, 500)*CHOOSE(CONTROL!$C$42, 0.275, 0.275)*CHOOSE(CONTROL!$C$42, 31, 31))/1000000</f>
        <v>4.2625000000000002</v>
      </c>
      <c r="W332" s="57">
        <f>(1000*CHOOSE(CONTROL!$C$42, 0.1146, 0.1146)*CHOOSE(CONTROL!$C$42, 121.5, 121.5)*CHOOSE(CONTROL!$C$42, 31, 31))/1000000</f>
        <v>0.43164089999999994</v>
      </c>
      <c r="X332" s="57">
        <f>(31*0.1790888*245000/1000000)+(31*0.2374*100000/1000000)</f>
        <v>2.0961194359999999</v>
      </c>
      <c r="Y332" s="57"/>
      <c r="Z332" s="10"/>
      <c r="AA332" s="56"/>
      <c r="AB332" s="50">
        <f>(B332*194.205+C332*267.466+D332*133.845+E332*53.484+F332*40+G332*185+H332*0+I332*100+J332*300)/(194.205+267.466+133.845+53.484+0+40+185+100+300)</f>
        <v>12.67404870808477</v>
      </c>
      <c r="AC332" s="45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12.585561870503598</v>
      </c>
    </row>
    <row r="333" spans="1:29" ht="15.75" x14ac:dyDescent="0.25">
      <c r="A333" s="14">
        <v>51043</v>
      </c>
      <c r="B333" s="10">
        <f>CHOOSE(CONTROL!$C$42, 11.8459, 11.8459) * CHOOSE(CONTROL!$C$21, $C$9, 100%, $E$9)</f>
        <v>11.8459</v>
      </c>
      <c r="C333" s="10">
        <f>CHOOSE(CONTROL!$C$42, 11.8538, 11.8538) * CHOOSE(CONTROL!$C$21, $C$9, 100%, $E$9)</f>
        <v>11.8538</v>
      </c>
      <c r="D333" s="10">
        <f>CHOOSE(CONTROL!$C$42, 12.0566, 12.0566) * CHOOSE(CONTROL!$C$21, $C$9, 100%, $E$9)</f>
        <v>12.0566</v>
      </c>
      <c r="E333" s="10">
        <f>CHOOSE(CONTROL!$C$42, 12.0877, 12.0877) * CHOOSE(CONTROL!$C$21, $C$9, 100%, $E$9)</f>
        <v>12.0877</v>
      </c>
      <c r="F333" s="10">
        <f>CHOOSE(CONTROL!$C$42, 11.8227, 11.8227)*CHOOSE(CONTROL!$C$21, $C$9, 100%, $E$9)</f>
        <v>11.822699999999999</v>
      </c>
      <c r="G333" s="10">
        <f>CHOOSE(CONTROL!$C$42, 11.838, 11.838)*CHOOSE(CONTROL!$C$21, $C$9, 100%, $E$9)</f>
        <v>11.837999999999999</v>
      </c>
      <c r="H333" s="10">
        <f>CHOOSE(CONTROL!$C$42, 12.0763, 12.0763) * CHOOSE(CONTROL!$C$21, $C$9, 100%, $E$9)</f>
        <v>12.0763</v>
      </c>
      <c r="I333" s="10">
        <f>CHOOSE(CONTROL!$C$42, 11.846, 11.846)* CHOOSE(CONTROL!$C$21, $C$9, 100%, $E$9)</f>
        <v>11.846</v>
      </c>
      <c r="J333" s="10">
        <f>CHOOSE(CONTROL!$C$42, 11.8157, 11.8157)* CHOOSE(CONTROL!$C$21, $C$9, 100%, $E$9)</f>
        <v>11.8157</v>
      </c>
      <c r="K333" s="53">
        <f>CHOOSE(CONTROL!$C$42, 11.8421, 11.8421) * CHOOSE(CONTROL!$C$21, $C$9, 100%, $E$9)</f>
        <v>11.8421</v>
      </c>
      <c r="L333" s="10">
        <f>CHOOSE(CONTROL!$C$42, 12.6633, 12.6633) * CHOOSE(CONTROL!$C$21, $C$9, 100%, $E$9)</f>
        <v>12.6633</v>
      </c>
      <c r="M333" s="10">
        <f>CHOOSE(CONTROL!$C$42, 11.7103, 11.7103) * CHOOSE(CONTROL!$C$21, $C$9, 100%, $E$9)</f>
        <v>11.7103</v>
      </c>
      <c r="N333" s="10">
        <f>CHOOSE(CONTROL!$C$42, 11.7255, 11.7255) * CHOOSE(CONTROL!$C$21, $C$9, 100%, $E$9)</f>
        <v>11.7255</v>
      </c>
      <c r="O333" s="10">
        <f>CHOOSE(CONTROL!$C$42, 11.9683, 11.9683) * CHOOSE(CONTROL!$C$21, $C$9, 100%, $E$9)</f>
        <v>11.968299999999999</v>
      </c>
      <c r="P333" s="10">
        <f>CHOOSE(CONTROL!$C$42, 11.7403, 11.7403) * CHOOSE(CONTROL!$C$21, $C$9, 100%, $E$9)</f>
        <v>11.7403</v>
      </c>
      <c r="Q333" s="10">
        <f>CHOOSE(CONTROL!$C$42, 12.5636, 12.5636) * CHOOSE(CONTROL!$C$21, $C$9, 100%, $E$9)</f>
        <v>12.563599999999999</v>
      </c>
      <c r="R333" s="10">
        <f>CHOOSE(CONTROL!$C$42, 13.182, 13.182) * CHOOSE(CONTROL!$C$21, $C$9, 100%, $E$9)</f>
        <v>13.182</v>
      </c>
      <c r="S333" s="10">
        <f>CHOOSE(CONTROL!$C$42, 11.4993, 11.4993) * CHOOSE(CONTROL!$C$21, $C$9, 100%, $E$9)</f>
        <v>11.4993</v>
      </c>
      <c r="T3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57">
        <f>(1000*CHOOSE(CONTROL!$C$42, 695, 695)*CHOOSE(CONTROL!$C$42, 0.5599, 0.5599)*CHOOSE(CONTROL!$C$42, 30, 30))/1000000</f>
        <v>11.673914999999997</v>
      </c>
      <c r="V333" s="57">
        <f>(1000*CHOOSE(CONTROL!$C$42, 500, 500)*CHOOSE(CONTROL!$C$42, 0.275, 0.275)*CHOOSE(CONTROL!$C$42, 30, 30))/1000000</f>
        <v>4.125</v>
      </c>
      <c r="W333" s="57">
        <f>(1000*CHOOSE(CONTROL!$C$42, 0.1146, 0.1146)*CHOOSE(CONTROL!$C$42, 121.5, 121.5)*CHOOSE(CONTROL!$C$42, 30, 30))/1000000</f>
        <v>0.417717</v>
      </c>
      <c r="X333" s="57">
        <f>(30*0.1790888*245000/1000000)+(30*0.2374*100000/1000000)</f>
        <v>2.0285026799999999</v>
      </c>
      <c r="Y333" s="57"/>
      <c r="Z333" s="10"/>
      <c r="AA333" s="56"/>
      <c r="AB333" s="50">
        <f>(B333*194.205+C333*267.466+D333*133.845+E333*53.484+F333*40+G333*185+H333*0+I333*100+J333*300)/(194.205+267.466+133.845+53.484+0+40+185+100+300)</f>
        <v>11.870866290502356</v>
      </c>
      <c r="AC333" s="45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11.790504316546762</v>
      </c>
    </row>
    <row r="334" spans="1:29" ht="15.75" x14ac:dyDescent="0.25">
      <c r="A334" s="14">
        <v>51074</v>
      </c>
      <c r="B334" s="10">
        <f>CHOOSE(CONTROL!$C$42, 11.6038, 11.6038) * CHOOSE(CONTROL!$C$21, $C$9, 100%, $E$9)</f>
        <v>11.6038</v>
      </c>
      <c r="C334" s="10">
        <f>CHOOSE(CONTROL!$C$42, 11.609, 11.609) * CHOOSE(CONTROL!$C$21, $C$9, 100%, $E$9)</f>
        <v>11.609</v>
      </c>
      <c r="D334" s="10">
        <f>CHOOSE(CONTROL!$C$42, 11.8167, 11.8167) * CHOOSE(CONTROL!$C$21, $C$9, 100%, $E$9)</f>
        <v>11.816700000000001</v>
      </c>
      <c r="E334" s="10">
        <f>CHOOSE(CONTROL!$C$42, 11.8455, 11.8455) * CHOOSE(CONTROL!$C$21, $C$9, 100%, $E$9)</f>
        <v>11.845499999999999</v>
      </c>
      <c r="F334" s="10">
        <f>CHOOSE(CONTROL!$C$42, 11.5825, 11.5825)*CHOOSE(CONTROL!$C$21, $C$9, 100%, $E$9)</f>
        <v>11.5825</v>
      </c>
      <c r="G334" s="10">
        <f>CHOOSE(CONTROL!$C$42, 11.5974, 11.5974)*CHOOSE(CONTROL!$C$21, $C$9, 100%, $E$9)</f>
        <v>11.5974</v>
      </c>
      <c r="H334" s="10">
        <f>CHOOSE(CONTROL!$C$42, 11.8359, 11.8359) * CHOOSE(CONTROL!$C$21, $C$9, 100%, $E$9)</f>
        <v>11.835900000000001</v>
      </c>
      <c r="I334" s="10">
        <f>CHOOSE(CONTROL!$C$42, 11.6056, 11.6056)* CHOOSE(CONTROL!$C$21, $C$9, 100%, $E$9)</f>
        <v>11.605600000000001</v>
      </c>
      <c r="J334" s="10">
        <f>CHOOSE(CONTROL!$C$42, 11.5755, 11.5755)* CHOOSE(CONTROL!$C$21, $C$9, 100%, $E$9)</f>
        <v>11.5755</v>
      </c>
      <c r="K334" s="53">
        <f>CHOOSE(CONTROL!$C$42, 11.6017, 11.6017) * CHOOSE(CONTROL!$C$21, $C$9, 100%, $E$9)</f>
        <v>11.601699999999999</v>
      </c>
      <c r="L334" s="10">
        <f>CHOOSE(CONTROL!$C$42, 12.4229, 12.4229) * CHOOSE(CONTROL!$C$21, $C$9, 100%, $E$9)</f>
        <v>12.4229</v>
      </c>
      <c r="M334" s="10">
        <f>CHOOSE(CONTROL!$C$42, 11.4725, 11.4725) * CHOOSE(CONTROL!$C$21, $C$9, 100%, $E$9)</f>
        <v>11.4725</v>
      </c>
      <c r="N334" s="10">
        <f>CHOOSE(CONTROL!$C$42, 11.4873, 11.4873) * CHOOSE(CONTROL!$C$21, $C$9, 100%, $E$9)</f>
        <v>11.487299999999999</v>
      </c>
      <c r="O334" s="10">
        <f>CHOOSE(CONTROL!$C$42, 11.7303, 11.7303) * CHOOSE(CONTROL!$C$21, $C$9, 100%, $E$9)</f>
        <v>11.7303</v>
      </c>
      <c r="P334" s="10">
        <f>CHOOSE(CONTROL!$C$42, 11.5023, 11.5023) * CHOOSE(CONTROL!$C$21, $C$9, 100%, $E$9)</f>
        <v>11.5023</v>
      </c>
      <c r="Q334" s="10">
        <f>CHOOSE(CONTROL!$C$42, 12.3256, 12.3256) * CHOOSE(CONTROL!$C$21, $C$9, 100%, $E$9)</f>
        <v>12.3256</v>
      </c>
      <c r="R334" s="10">
        <f>CHOOSE(CONTROL!$C$42, 12.9434, 12.9434) * CHOOSE(CONTROL!$C$21, $C$9, 100%, $E$9)</f>
        <v>12.9434</v>
      </c>
      <c r="S334" s="10">
        <f>CHOOSE(CONTROL!$C$42, 11.2659, 11.2659) * CHOOSE(CONTROL!$C$21, $C$9, 100%, $E$9)</f>
        <v>11.2659</v>
      </c>
      <c r="T3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57">
        <f>(1000*CHOOSE(CONTROL!$C$42, 695, 695)*CHOOSE(CONTROL!$C$42, 0.5599, 0.5599)*CHOOSE(CONTROL!$C$42, 31, 31))/1000000</f>
        <v>12.063045499999998</v>
      </c>
      <c r="V334" s="57">
        <f>(1000*CHOOSE(CONTROL!$C$42, 500, 500)*CHOOSE(CONTROL!$C$42, 0.275, 0.275)*CHOOSE(CONTROL!$C$42, 31, 31))/1000000</f>
        <v>4.2625000000000002</v>
      </c>
      <c r="W334" s="57">
        <f>(1000*CHOOSE(CONTROL!$C$42, 0.1146, 0.1146)*CHOOSE(CONTROL!$C$42, 121.5, 121.5)*CHOOSE(CONTROL!$C$42, 31, 31))/1000000</f>
        <v>0.43164089999999994</v>
      </c>
      <c r="X334" s="57">
        <f>(31*0.1790888*245000/1000000)+(31*0.2374*100000/1000000)</f>
        <v>2.0961194359999999</v>
      </c>
      <c r="Y334" s="57"/>
      <c r="Z334" s="10"/>
      <c r="AA334" s="56"/>
      <c r="AB334" s="50">
        <f>(B334*131.881+C334*277.167+D334*79.08+E334*125.872+F334*40+G334*185+H334*0+I334*100+J334*300)/(131.881+277.167+79.08+125.872+0+40+185+100+300)</f>
        <v>11.634756144309927</v>
      </c>
      <c r="AC334" s="45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11.552527338129496</v>
      </c>
    </row>
    <row r="335" spans="1:29" ht="15.75" x14ac:dyDescent="0.25">
      <c r="A335" s="14">
        <v>51104</v>
      </c>
      <c r="B335" s="10">
        <f>CHOOSE(CONTROL!$C$42, 11.9089, 11.9089) * CHOOSE(CONTROL!$C$21, $C$9, 100%, $E$9)</f>
        <v>11.908899999999999</v>
      </c>
      <c r="C335" s="10">
        <f>CHOOSE(CONTROL!$C$42, 11.9139, 11.9139) * CHOOSE(CONTROL!$C$21, $C$9, 100%, $E$9)</f>
        <v>11.9139</v>
      </c>
      <c r="D335" s="10">
        <f>CHOOSE(CONTROL!$C$42, 11.9744, 11.9744) * CHOOSE(CONTROL!$C$21, $C$9, 100%, $E$9)</f>
        <v>11.974399999999999</v>
      </c>
      <c r="E335" s="10">
        <f>CHOOSE(CONTROL!$C$42, 12.0082, 12.0082) * CHOOSE(CONTROL!$C$21, $C$9, 100%, $E$9)</f>
        <v>12.0082</v>
      </c>
      <c r="F335" s="10">
        <f>CHOOSE(CONTROL!$C$42, 11.9046, 11.9046)*CHOOSE(CONTROL!$C$21, $C$9, 100%, $E$9)</f>
        <v>11.9046</v>
      </c>
      <c r="G335" s="10">
        <f>CHOOSE(CONTROL!$C$42, 11.9198, 11.9198)*CHOOSE(CONTROL!$C$21, $C$9, 100%, $E$9)</f>
        <v>11.9198</v>
      </c>
      <c r="H335" s="10">
        <f>CHOOSE(CONTROL!$C$42, 11.9974, 11.9974) * CHOOSE(CONTROL!$C$21, $C$9, 100%, $E$9)</f>
        <v>11.997400000000001</v>
      </c>
      <c r="I335" s="10">
        <f>CHOOSE(CONTROL!$C$42, 11.9215, 11.9215)* CHOOSE(CONTROL!$C$21, $C$9, 100%, $E$9)</f>
        <v>11.9215</v>
      </c>
      <c r="J335" s="10">
        <f>CHOOSE(CONTROL!$C$42, 11.8976, 11.8976)* CHOOSE(CONTROL!$C$21, $C$9, 100%, $E$9)</f>
        <v>11.897600000000001</v>
      </c>
      <c r="K335" s="53">
        <f>CHOOSE(CONTROL!$C$42, 11.9176, 11.9176) * CHOOSE(CONTROL!$C$21, $C$9, 100%, $E$9)</f>
        <v>11.9176</v>
      </c>
      <c r="L335" s="10">
        <f>CHOOSE(CONTROL!$C$42, 12.5844, 12.5844) * CHOOSE(CONTROL!$C$21, $C$9, 100%, $E$9)</f>
        <v>12.5844</v>
      </c>
      <c r="M335" s="10">
        <f>CHOOSE(CONTROL!$C$42, 11.7913, 11.7913) * CHOOSE(CONTROL!$C$21, $C$9, 100%, $E$9)</f>
        <v>11.7913</v>
      </c>
      <c r="N335" s="10">
        <f>CHOOSE(CONTROL!$C$42, 11.8064, 11.8064) * CHOOSE(CONTROL!$C$21, $C$9, 100%, $E$9)</f>
        <v>11.8064</v>
      </c>
      <c r="O335" s="10">
        <f>CHOOSE(CONTROL!$C$42, 11.8901, 11.8901) * CHOOSE(CONTROL!$C$21, $C$9, 100%, $E$9)</f>
        <v>11.8901</v>
      </c>
      <c r="P335" s="10">
        <f>CHOOSE(CONTROL!$C$42, 11.815, 11.815) * CHOOSE(CONTROL!$C$21, $C$9, 100%, $E$9)</f>
        <v>11.815</v>
      </c>
      <c r="Q335" s="10">
        <f>CHOOSE(CONTROL!$C$42, 12.4854, 12.4854) * CHOOSE(CONTROL!$C$21, $C$9, 100%, $E$9)</f>
        <v>12.4854</v>
      </c>
      <c r="R335" s="10">
        <f>CHOOSE(CONTROL!$C$42, 13.1036, 13.1036) * CHOOSE(CONTROL!$C$21, $C$9, 100%, $E$9)</f>
        <v>13.1036</v>
      </c>
      <c r="S335" s="10">
        <f>CHOOSE(CONTROL!$C$42, 11.5626, 11.5626) * CHOOSE(CONTROL!$C$21, $C$9, 100%, $E$9)</f>
        <v>11.5626</v>
      </c>
      <c r="T3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57">
        <f>(1000*CHOOSE(CONTROL!$C$42, 695, 695)*CHOOSE(CONTROL!$C$42, 0.5599, 0.5599)*CHOOSE(CONTROL!$C$42, 30, 30))/1000000</f>
        <v>11.673914999999997</v>
      </c>
      <c r="V335" s="57">
        <f>(1000*CHOOSE(CONTROL!$C$42, 500, 500)*CHOOSE(CONTROL!$C$42, 0.275, 0.275)*CHOOSE(CONTROL!$C$42, 30, 30))/1000000</f>
        <v>4.125</v>
      </c>
      <c r="W335" s="57">
        <f>(1000*CHOOSE(CONTROL!$C$42, 0.1146, 0.1146)*CHOOSE(CONTROL!$C$42, 121.5, 121.5)*CHOOSE(CONTROL!$C$42, 30, 30))/1000000</f>
        <v>0.417717</v>
      </c>
      <c r="X335" s="57">
        <f>(30*0.1790888*100000/1000000)+(30*0.2374*100000/1000000)</f>
        <v>1.2494664</v>
      </c>
      <c r="Y335" s="57"/>
      <c r="Z335" s="10"/>
      <c r="AA335" s="56"/>
      <c r="AB335" s="50">
        <f>(B335*122.58+C335*297.941+D335*89.177+E335*40.302+F335*40+G335*160+H335*0+I335*100+J335*300)/(122.58+297.941+89.177+40.302+0+40+160+100+300)</f>
        <v>11.918269380086958</v>
      </c>
      <c r="AC335" s="45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11.840358992805754</v>
      </c>
    </row>
    <row r="336" spans="1:29" ht="15.75" x14ac:dyDescent="0.25">
      <c r="A336" s="14">
        <v>51135</v>
      </c>
      <c r="B336" s="10">
        <f>CHOOSE(CONTROL!$C$42, 12.7207, 12.7207) * CHOOSE(CONTROL!$C$21, $C$9, 100%, $E$9)</f>
        <v>12.720700000000001</v>
      </c>
      <c r="C336" s="10">
        <f>CHOOSE(CONTROL!$C$42, 12.7256, 12.7256) * CHOOSE(CONTROL!$C$21, $C$9, 100%, $E$9)</f>
        <v>12.7256</v>
      </c>
      <c r="D336" s="10">
        <f>CHOOSE(CONTROL!$C$42, 12.7861, 12.7861) * CHOOSE(CONTROL!$C$21, $C$9, 100%, $E$9)</f>
        <v>12.786099999999999</v>
      </c>
      <c r="E336" s="10">
        <f>CHOOSE(CONTROL!$C$42, 12.8199, 12.8199) * CHOOSE(CONTROL!$C$21, $C$9, 100%, $E$9)</f>
        <v>12.819900000000001</v>
      </c>
      <c r="F336" s="10">
        <f>CHOOSE(CONTROL!$C$42, 12.7181, 12.7181)*CHOOSE(CONTROL!$C$21, $C$9, 100%, $E$9)</f>
        <v>12.7181</v>
      </c>
      <c r="G336" s="10">
        <f>CHOOSE(CONTROL!$C$42, 12.7338, 12.7338)*CHOOSE(CONTROL!$C$21, $C$9, 100%, $E$9)</f>
        <v>12.7338</v>
      </c>
      <c r="H336" s="10">
        <f>CHOOSE(CONTROL!$C$42, 12.8091, 12.8091) * CHOOSE(CONTROL!$C$21, $C$9, 100%, $E$9)</f>
        <v>12.809100000000001</v>
      </c>
      <c r="I336" s="10">
        <f>CHOOSE(CONTROL!$C$42, 12.7332, 12.7332)* CHOOSE(CONTROL!$C$21, $C$9, 100%, $E$9)</f>
        <v>12.7332</v>
      </c>
      <c r="J336" s="10">
        <f>CHOOSE(CONTROL!$C$42, 12.7111, 12.7111)* CHOOSE(CONTROL!$C$21, $C$9, 100%, $E$9)</f>
        <v>12.7111</v>
      </c>
      <c r="K336" s="53">
        <f>CHOOSE(CONTROL!$C$42, 12.7293, 12.7293) * CHOOSE(CONTROL!$C$21, $C$9, 100%, $E$9)</f>
        <v>12.7293</v>
      </c>
      <c r="L336" s="10">
        <f>CHOOSE(CONTROL!$C$42, 13.3961, 13.3961) * CHOOSE(CONTROL!$C$21, $C$9, 100%, $E$9)</f>
        <v>13.396100000000001</v>
      </c>
      <c r="M336" s="10">
        <f>CHOOSE(CONTROL!$C$42, 12.5967, 12.5967) * CHOOSE(CONTROL!$C$21, $C$9, 100%, $E$9)</f>
        <v>12.5967</v>
      </c>
      <c r="N336" s="10">
        <f>CHOOSE(CONTROL!$C$42, 12.6122, 12.6122) * CHOOSE(CONTROL!$C$21, $C$9, 100%, $E$9)</f>
        <v>12.6122</v>
      </c>
      <c r="O336" s="10">
        <f>CHOOSE(CONTROL!$C$42, 12.6937, 12.6937) * CHOOSE(CONTROL!$C$21, $C$9, 100%, $E$9)</f>
        <v>12.6937</v>
      </c>
      <c r="P336" s="10">
        <f>CHOOSE(CONTROL!$C$42, 12.6186, 12.6186) * CHOOSE(CONTROL!$C$21, $C$9, 100%, $E$9)</f>
        <v>12.618600000000001</v>
      </c>
      <c r="Q336" s="10">
        <f>CHOOSE(CONTROL!$C$42, 13.289, 13.289) * CHOOSE(CONTROL!$C$21, $C$9, 100%, $E$9)</f>
        <v>13.289</v>
      </c>
      <c r="R336" s="10">
        <f>CHOOSE(CONTROL!$C$42, 13.9092, 13.9092) * CHOOSE(CONTROL!$C$21, $C$9, 100%, $E$9)</f>
        <v>13.9092</v>
      </c>
      <c r="S336" s="10">
        <f>CHOOSE(CONTROL!$C$42, 12.3509, 12.3509) * CHOOSE(CONTROL!$C$21, $C$9, 100%, $E$9)</f>
        <v>12.350899999999999</v>
      </c>
      <c r="T3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57">
        <f>(1000*CHOOSE(CONTROL!$C$42, 695, 695)*CHOOSE(CONTROL!$C$42, 0.5599, 0.5599)*CHOOSE(CONTROL!$C$42, 31, 31))/1000000</f>
        <v>12.063045499999998</v>
      </c>
      <c r="V336" s="57">
        <f>(1000*CHOOSE(CONTROL!$C$42, 500, 500)*CHOOSE(CONTROL!$C$42, 0.275, 0.275)*CHOOSE(CONTROL!$C$42, 31, 31))/1000000</f>
        <v>4.2625000000000002</v>
      </c>
      <c r="W336" s="57">
        <f>(1000*CHOOSE(CONTROL!$C$42, 0.1146, 0.1146)*CHOOSE(CONTROL!$C$42, 121.5, 121.5)*CHOOSE(CONTROL!$C$42, 31, 31))/1000000</f>
        <v>0.43164089999999994</v>
      </c>
      <c r="X336" s="57">
        <f>(31*0.1790888*100000/1000000)+(31*0.2374*100000/1000000)</f>
        <v>1.2911152800000001</v>
      </c>
      <c r="Y336" s="57"/>
      <c r="Z336" s="10"/>
      <c r="AA336" s="56"/>
      <c r="AB336" s="50">
        <f>(B336*122.58+C336*297.941+D336*89.177+E336*40.302+F336*40+G336*160+H336*0+I336*100+J336*300)/(122.58+297.941+89.177+40.302+0+40+160+100+300)</f>
        <v>12.730832213130434</v>
      </c>
      <c r="AC336" s="45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12.644707194244605</v>
      </c>
    </row>
    <row r="337" spans="1:29" ht="15.75" x14ac:dyDescent="0.25">
      <c r="A337" s="14">
        <v>51166</v>
      </c>
      <c r="B337" s="10">
        <f>CHOOSE(CONTROL!$C$42, 13.7627, 13.7627) * CHOOSE(CONTROL!$C$21, $C$9, 100%, $E$9)</f>
        <v>13.762700000000001</v>
      </c>
      <c r="C337" s="10">
        <f>CHOOSE(CONTROL!$C$42, 13.7677, 13.7677) * CHOOSE(CONTROL!$C$21, $C$9, 100%, $E$9)</f>
        <v>13.7677</v>
      </c>
      <c r="D337" s="10">
        <f>CHOOSE(CONTROL!$C$42, 13.8248, 13.8248) * CHOOSE(CONTROL!$C$21, $C$9, 100%, $E$9)</f>
        <v>13.8248</v>
      </c>
      <c r="E337" s="10">
        <f>CHOOSE(CONTROL!$C$42, 13.8585, 13.8585) * CHOOSE(CONTROL!$C$21, $C$9, 100%, $E$9)</f>
        <v>13.858499999999999</v>
      </c>
      <c r="F337" s="10">
        <f>CHOOSE(CONTROL!$C$42, 13.7606, 13.7606)*CHOOSE(CONTROL!$C$21, $C$9, 100%, $E$9)</f>
        <v>13.7606</v>
      </c>
      <c r="G337" s="10">
        <f>CHOOSE(CONTROL!$C$42, 13.7752, 13.7752)*CHOOSE(CONTROL!$C$21, $C$9, 100%, $E$9)</f>
        <v>13.7752</v>
      </c>
      <c r="H337" s="10">
        <f>CHOOSE(CONTROL!$C$42, 13.8477, 13.8477) * CHOOSE(CONTROL!$C$21, $C$9, 100%, $E$9)</f>
        <v>13.8477</v>
      </c>
      <c r="I337" s="10">
        <f>CHOOSE(CONTROL!$C$42, 13.7735, 13.7735)* CHOOSE(CONTROL!$C$21, $C$9, 100%, $E$9)</f>
        <v>13.7735</v>
      </c>
      <c r="J337" s="10">
        <f>CHOOSE(CONTROL!$C$42, 13.7536, 13.7536)* CHOOSE(CONTROL!$C$21, $C$9, 100%, $E$9)</f>
        <v>13.7536</v>
      </c>
      <c r="K337" s="53">
        <f>CHOOSE(CONTROL!$C$42, 13.7696, 13.7696) * CHOOSE(CONTROL!$C$21, $C$9, 100%, $E$9)</f>
        <v>13.769600000000001</v>
      </c>
      <c r="L337" s="10">
        <f>CHOOSE(CONTROL!$C$42, 14.4347, 14.4347) * CHOOSE(CONTROL!$C$21, $C$9, 100%, $E$9)</f>
        <v>14.434699999999999</v>
      </c>
      <c r="M337" s="10">
        <f>CHOOSE(CONTROL!$C$42, 13.6286, 13.6286) * CHOOSE(CONTROL!$C$21, $C$9, 100%, $E$9)</f>
        <v>13.6286</v>
      </c>
      <c r="N337" s="10">
        <f>CHOOSE(CONTROL!$C$42, 13.6431, 13.6431) * CHOOSE(CONTROL!$C$21, $C$9, 100%, $E$9)</f>
        <v>13.6431</v>
      </c>
      <c r="O337" s="10">
        <f>CHOOSE(CONTROL!$C$42, 13.7218, 13.7218) * CHOOSE(CONTROL!$C$21, $C$9, 100%, $E$9)</f>
        <v>13.7218</v>
      </c>
      <c r="P337" s="10">
        <f>CHOOSE(CONTROL!$C$42, 13.6484, 13.6484) * CHOOSE(CONTROL!$C$21, $C$9, 100%, $E$9)</f>
        <v>13.648400000000001</v>
      </c>
      <c r="Q337" s="10">
        <f>CHOOSE(CONTROL!$C$42, 14.3171, 14.3171) * CHOOSE(CONTROL!$C$21, $C$9, 100%, $E$9)</f>
        <v>14.3171</v>
      </c>
      <c r="R337" s="10">
        <f>CHOOSE(CONTROL!$C$42, 14.9399, 14.9399) * CHOOSE(CONTROL!$C$21, $C$9, 100%, $E$9)</f>
        <v>14.9399</v>
      </c>
      <c r="S337" s="10">
        <f>CHOOSE(CONTROL!$C$42, 13.3629, 13.3629) * CHOOSE(CONTROL!$C$21, $C$9, 100%, $E$9)</f>
        <v>13.3629</v>
      </c>
      <c r="T3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57">
        <f>(1000*CHOOSE(CONTROL!$C$42, 695, 695)*CHOOSE(CONTROL!$C$42, 0.5599, 0.5599)*CHOOSE(CONTROL!$C$42, 31, 31))/1000000</f>
        <v>12.063045499999998</v>
      </c>
      <c r="V337" s="57">
        <f>(1000*CHOOSE(CONTROL!$C$42, 500, 500)*CHOOSE(CONTROL!$C$42, 0.275, 0.275)*CHOOSE(CONTROL!$C$42, 31, 31))/1000000</f>
        <v>4.2625000000000002</v>
      </c>
      <c r="W337" s="57">
        <f>(1000*CHOOSE(CONTROL!$C$42, 0.1146, 0.1146)*CHOOSE(CONTROL!$C$42, 121.5, 121.5)*CHOOSE(CONTROL!$C$42, 31, 31))/1000000</f>
        <v>0.43164089999999994</v>
      </c>
      <c r="X337" s="57">
        <f>(31*0.1790888*100000/1000000)+(31*0.2374*100000/1000000)</f>
        <v>1.2911152800000001</v>
      </c>
      <c r="Y337" s="57"/>
      <c r="Z337" s="10"/>
      <c r="AA337" s="56"/>
      <c r="AB337" s="50">
        <f>(B337*122.58+C337*297.941+D337*89.177+E337*40.302+F337*40+G337*160+H337*0+I337*100+J337*300)/(122.58+297.941+89.177+40.302+0+40+160+100+300)</f>
        <v>13.772399589826088</v>
      </c>
      <c r="AC337" s="45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13.674525179856115</v>
      </c>
    </row>
    <row r="338" spans="1:29" ht="15.75" x14ac:dyDescent="0.25">
      <c r="A338" s="14">
        <v>51194</v>
      </c>
      <c r="B338" s="10">
        <f>CHOOSE(CONTROL!$C$42, 14.0077, 14.0077) * CHOOSE(CONTROL!$C$21, $C$9, 100%, $E$9)</f>
        <v>14.0077</v>
      </c>
      <c r="C338" s="10">
        <f>CHOOSE(CONTROL!$C$42, 14.0126, 14.0126) * CHOOSE(CONTROL!$C$21, $C$9, 100%, $E$9)</f>
        <v>14.012600000000001</v>
      </c>
      <c r="D338" s="10">
        <f>CHOOSE(CONTROL!$C$42, 14.0697, 14.0697) * CHOOSE(CONTROL!$C$21, $C$9, 100%, $E$9)</f>
        <v>14.069699999999999</v>
      </c>
      <c r="E338" s="10">
        <f>CHOOSE(CONTROL!$C$42, 14.1035, 14.1035) * CHOOSE(CONTROL!$C$21, $C$9, 100%, $E$9)</f>
        <v>14.1035</v>
      </c>
      <c r="F338" s="10">
        <f>CHOOSE(CONTROL!$C$42, 14.0056, 14.0056)*CHOOSE(CONTROL!$C$21, $C$9, 100%, $E$9)</f>
        <v>14.005599999999999</v>
      </c>
      <c r="G338" s="10">
        <f>CHOOSE(CONTROL!$C$42, 14.0203, 14.0203)*CHOOSE(CONTROL!$C$21, $C$9, 100%, $E$9)</f>
        <v>14.020300000000001</v>
      </c>
      <c r="H338" s="10">
        <f>CHOOSE(CONTROL!$C$42, 14.0927, 14.0927) * CHOOSE(CONTROL!$C$21, $C$9, 100%, $E$9)</f>
        <v>14.092700000000001</v>
      </c>
      <c r="I338" s="10">
        <f>CHOOSE(CONTROL!$C$42, 14.0185, 14.0185)* CHOOSE(CONTROL!$C$21, $C$9, 100%, $E$9)</f>
        <v>14.0185</v>
      </c>
      <c r="J338" s="10">
        <f>CHOOSE(CONTROL!$C$42, 13.9986, 13.9986)* CHOOSE(CONTROL!$C$21, $C$9, 100%, $E$9)</f>
        <v>13.9986</v>
      </c>
      <c r="K338" s="53">
        <f>CHOOSE(CONTROL!$C$42, 14.0146, 14.0146) * CHOOSE(CONTROL!$C$21, $C$9, 100%, $E$9)</f>
        <v>14.0146</v>
      </c>
      <c r="L338" s="10">
        <f>CHOOSE(CONTROL!$C$42, 14.6797, 14.6797) * CHOOSE(CONTROL!$C$21, $C$9, 100%, $E$9)</f>
        <v>14.6797</v>
      </c>
      <c r="M338" s="10">
        <f>CHOOSE(CONTROL!$C$42, 13.8712, 13.8712) * CHOOSE(CONTROL!$C$21, $C$9, 100%, $E$9)</f>
        <v>13.8712</v>
      </c>
      <c r="N338" s="10">
        <f>CHOOSE(CONTROL!$C$42, 13.8857, 13.8857) * CHOOSE(CONTROL!$C$21, $C$9, 100%, $E$9)</f>
        <v>13.8857</v>
      </c>
      <c r="O338" s="10">
        <f>CHOOSE(CONTROL!$C$42, 13.9643, 13.9643) * CHOOSE(CONTROL!$C$21, $C$9, 100%, $E$9)</f>
        <v>13.9643</v>
      </c>
      <c r="P338" s="10">
        <f>CHOOSE(CONTROL!$C$42, 13.8909, 13.8909) * CHOOSE(CONTROL!$C$21, $C$9, 100%, $E$9)</f>
        <v>13.8909</v>
      </c>
      <c r="Q338" s="10">
        <f>CHOOSE(CONTROL!$C$42, 14.5596, 14.5596) * CHOOSE(CONTROL!$C$21, $C$9, 100%, $E$9)</f>
        <v>14.5596</v>
      </c>
      <c r="R338" s="10">
        <f>CHOOSE(CONTROL!$C$42, 15.183, 15.183) * CHOOSE(CONTROL!$C$21, $C$9, 100%, $E$9)</f>
        <v>15.183</v>
      </c>
      <c r="S338" s="10">
        <f>CHOOSE(CONTROL!$C$42, 13.6007, 13.6007) * CHOOSE(CONTROL!$C$21, $C$9, 100%, $E$9)</f>
        <v>13.6007</v>
      </c>
      <c r="T33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38" s="57">
        <f>(1000*CHOOSE(CONTROL!$C$42, 695, 695)*CHOOSE(CONTROL!$C$42, 0.5599, 0.5599)*CHOOSE(CONTROL!$C$42, 29, 29))/1000000</f>
        <v>11.284784499999999</v>
      </c>
      <c r="V338" s="57">
        <f>(1000*CHOOSE(CONTROL!$C$42, 500, 500)*CHOOSE(CONTROL!$C$42, 0.275, 0.275)*CHOOSE(CONTROL!$C$42, 29, 29))/1000000</f>
        <v>3.9874999999999998</v>
      </c>
      <c r="W338" s="57">
        <f>(1000*CHOOSE(CONTROL!$C$42, 0.1146, 0.1146)*CHOOSE(CONTROL!$C$42, 121.5, 121.5)*CHOOSE(CONTROL!$C$42, 29, 29))/1000000</f>
        <v>0.40379309999999996</v>
      </c>
      <c r="X338" s="57">
        <f>(29*0.1790888*100000/1000000)+(29*0.2374*100000/1000000)</f>
        <v>1.2078175199999999</v>
      </c>
      <c r="Y338" s="57"/>
      <c r="Z338" s="10"/>
      <c r="AA338" s="56"/>
      <c r="AB338" s="50">
        <f>(B338*122.58+C338*297.941+D338*89.177+E338*40.302+F338*40+G338*160+H338*0+I338*100+J338*300)/(122.58+297.941+89.177+40.302+0+40+160+100+300)</f>
        <v>14.017379840434781</v>
      </c>
      <c r="AC338" s="45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13.9170654676259</v>
      </c>
    </row>
    <row r="339" spans="1:29" ht="15.75" x14ac:dyDescent="0.25">
      <c r="A339" s="14">
        <v>51226</v>
      </c>
      <c r="B339" s="10">
        <f>CHOOSE(CONTROL!$C$42, 13.6101, 13.6101) * CHOOSE(CONTROL!$C$21, $C$9, 100%, $E$9)</f>
        <v>13.610099999999999</v>
      </c>
      <c r="C339" s="10">
        <f>CHOOSE(CONTROL!$C$42, 13.615, 13.615) * CHOOSE(CONTROL!$C$21, $C$9, 100%, $E$9)</f>
        <v>13.615</v>
      </c>
      <c r="D339" s="10">
        <f>CHOOSE(CONTROL!$C$42, 13.6721, 13.6721) * CHOOSE(CONTROL!$C$21, $C$9, 100%, $E$9)</f>
        <v>13.6721</v>
      </c>
      <c r="E339" s="10">
        <f>CHOOSE(CONTROL!$C$42, 13.7059, 13.7059) * CHOOSE(CONTROL!$C$21, $C$9, 100%, $E$9)</f>
        <v>13.7059</v>
      </c>
      <c r="F339" s="10">
        <f>CHOOSE(CONTROL!$C$42, 13.6079, 13.6079)*CHOOSE(CONTROL!$C$21, $C$9, 100%, $E$9)</f>
        <v>13.607900000000001</v>
      </c>
      <c r="G339" s="10">
        <f>CHOOSE(CONTROL!$C$42, 13.6225, 13.6225)*CHOOSE(CONTROL!$C$21, $C$9, 100%, $E$9)</f>
        <v>13.6225</v>
      </c>
      <c r="H339" s="10">
        <f>CHOOSE(CONTROL!$C$42, 13.6951, 13.6951) * CHOOSE(CONTROL!$C$21, $C$9, 100%, $E$9)</f>
        <v>13.6951</v>
      </c>
      <c r="I339" s="10">
        <f>CHOOSE(CONTROL!$C$42, 13.6209, 13.6209)* CHOOSE(CONTROL!$C$21, $C$9, 100%, $E$9)</f>
        <v>13.620900000000001</v>
      </c>
      <c r="J339" s="10">
        <f>CHOOSE(CONTROL!$C$42, 13.6009, 13.6009)* CHOOSE(CONTROL!$C$21, $C$9, 100%, $E$9)</f>
        <v>13.600899999999999</v>
      </c>
      <c r="K339" s="53">
        <f>CHOOSE(CONTROL!$C$42, 13.617, 13.617) * CHOOSE(CONTROL!$C$21, $C$9, 100%, $E$9)</f>
        <v>13.617000000000001</v>
      </c>
      <c r="L339" s="10">
        <f>CHOOSE(CONTROL!$C$42, 14.2821, 14.2821) * CHOOSE(CONTROL!$C$21, $C$9, 100%, $E$9)</f>
        <v>14.2821</v>
      </c>
      <c r="M339" s="10">
        <f>CHOOSE(CONTROL!$C$42, 13.4775, 13.4775) * CHOOSE(CONTROL!$C$21, $C$9, 100%, $E$9)</f>
        <v>13.477499999999999</v>
      </c>
      <c r="N339" s="10">
        <f>CHOOSE(CONTROL!$C$42, 13.4919, 13.4919) * CHOOSE(CONTROL!$C$21, $C$9, 100%, $E$9)</f>
        <v>13.491899999999999</v>
      </c>
      <c r="O339" s="10">
        <f>CHOOSE(CONTROL!$C$42, 13.5707, 13.5707) * CHOOSE(CONTROL!$C$21, $C$9, 100%, $E$9)</f>
        <v>13.5707</v>
      </c>
      <c r="P339" s="10">
        <f>CHOOSE(CONTROL!$C$42, 13.4973, 13.4973) * CHOOSE(CONTROL!$C$21, $C$9, 100%, $E$9)</f>
        <v>13.497299999999999</v>
      </c>
      <c r="Q339" s="10">
        <f>CHOOSE(CONTROL!$C$42, 14.166, 14.166) * CHOOSE(CONTROL!$C$21, $C$9, 100%, $E$9)</f>
        <v>14.166</v>
      </c>
      <c r="R339" s="10">
        <f>CHOOSE(CONTROL!$C$42, 14.7884, 14.7884) * CHOOSE(CONTROL!$C$21, $C$9, 100%, $E$9)</f>
        <v>14.788399999999999</v>
      </c>
      <c r="S339" s="10">
        <f>CHOOSE(CONTROL!$C$42, 13.2146, 13.2146) * CHOOSE(CONTROL!$C$21, $C$9, 100%, $E$9)</f>
        <v>13.214600000000001</v>
      </c>
      <c r="T3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57">
        <f>(1000*CHOOSE(CONTROL!$C$42, 695, 695)*CHOOSE(CONTROL!$C$42, 0.5599, 0.5599)*CHOOSE(CONTROL!$C$42, 31, 31))/1000000</f>
        <v>12.063045499999998</v>
      </c>
      <c r="V339" s="57">
        <f>(1000*CHOOSE(CONTROL!$C$42, 500, 500)*CHOOSE(CONTROL!$C$42, 0.275, 0.275)*CHOOSE(CONTROL!$C$42, 31, 31))/1000000</f>
        <v>4.2625000000000002</v>
      </c>
      <c r="W339" s="57">
        <f>(1000*CHOOSE(CONTROL!$C$42, 0.1146, 0.1146)*CHOOSE(CONTROL!$C$42, 121.5, 121.5)*CHOOSE(CONTROL!$C$42, 31, 31))/1000000</f>
        <v>0.43164089999999994</v>
      </c>
      <c r="X339" s="57">
        <f>(31*0.1790888*100000/1000000)+(31*0.2374*100000/1000000)</f>
        <v>1.2911152800000001</v>
      </c>
      <c r="Y339" s="57"/>
      <c r="Z339" s="10"/>
      <c r="AA339" s="56"/>
      <c r="AB339" s="50">
        <f>(B339*122.58+C339*297.941+D339*89.177+E339*40.302+F339*40+G339*160+H339*0+I339*100+J339*300)/(122.58+297.941+89.177+40.302+0+40+160+100+300)</f>
        <v>13.619722449130435</v>
      </c>
      <c r="AC339" s="45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13.523419424460432</v>
      </c>
    </row>
    <row r="340" spans="1:29" ht="15.75" x14ac:dyDescent="0.25">
      <c r="A340" s="14">
        <v>51256</v>
      </c>
      <c r="B340" s="10">
        <f>CHOOSE(CONTROL!$C$42, 13.5705, 13.5705) * CHOOSE(CONTROL!$C$21, $C$9, 100%, $E$9)</f>
        <v>13.570499999999999</v>
      </c>
      <c r="C340" s="10">
        <f>CHOOSE(CONTROL!$C$42, 13.5749, 13.5749) * CHOOSE(CONTROL!$C$21, $C$9, 100%, $E$9)</f>
        <v>13.5749</v>
      </c>
      <c r="D340" s="10">
        <f>CHOOSE(CONTROL!$C$42, 13.7808, 13.7808) * CHOOSE(CONTROL!$C$21, $C$9, 100%, $E$9)</f>
        <v>13.780799999999999</v>
      </c>
      <c r="E340" s="10">
        <f>CHOOSE(CONTROL!$C$42, 13.8125, 13.8125) * CHOOSE(CONTROL!$C$21, $C$9, 100%, $E$9)</f>
        <v>13.8125</v>
      </c>
      <c r="F340" s="10">
        <f>CHOOSE(CONTROL!$C$42, 13.5473, 13.5473)*CHOOSE(CONTROL!$C$21, $C$9, 100%, $E$9)</f>
        <v>13.5473</v>
      </c>
      <c r="G340" s="10">
        <f>CHOOSE(CONTROL!$C$42, 13.5618, 13.5618)*CHOOSE(CONTROL!$C$21, $C$9, 100%, $E$9)</f>
        <v>13.5618</v>
      </c>
      <c r="H340" s="10">
        <f>CHOOSE(CONTROL!$C$42, 13.8023, 13.8023) * CHOOSE(CONTROL!$C$21, $C$9, 100%, $E$9)</f>
        <v>13.802300000000001</v>
      </c>
      <c r="I340" s="10">
        <f>CHOOSE(CONTROL!$C$42, 13.5719, 13.5719)* CHOOSE(CONTROL!$C$21, $C$9, 100%, $E$9)</f>
        <v>13.571899999999999</v>
      </c>
      <c r="J340" s="10">
        <f>CHOOSE(CONTROL!$C$42, 13.5403, 13.5403)* CHOOSE(CONTROL!$C$21, $C$9, 100%, $E$9)</f>
        <v>13.5403</v>
      </c>
      <c r="K340" s="53">
        <f>CHOOSE(CONTROL!$C$42, 13.5681, 13.5681) * CHOOSE(CONTROL!$C$21, $C$9, 100%, $E$9)</f>
        <v>13.568099999999999</v>
      </c>
      <c r="L340" s="10">
        <f>CHOOSE(CONTROL!$C$42, 14.3893, 14.3893) * CHOOSE(CONTROL!$C$21, $C$9, 100%, $E$9)</f>
        <v>14.3893</v>
      </c>
      <c r="M340" s="10">
        <f>CHOOSE(CONTROL!$C$42, 13.4175, 13.4175) * CHOOSE(CONTROL!$C$21, $C$9, 100%, $E$9)</f>
        <v>13.4175</v>
      </c>
      <c r="N340" s="10">
        <f>CHOOSE(CONTROL!$C$42, 13.4318, 13.4318) * CHOOSE(CONTROL!$C$21, $C$9, 100%, $E$9)</f>
        <v>13.431800000000001</v>
      </c>
      <c r="O340" s="10">
        <f>CHOOSE(CONTROL!$C$42, 13.6769, 13.6769) * CHOOSE(CONTROL!$C$21, $C$9, 100%, $E$9)</f>
        <v>13.6769</v>
      </c>
      <c r="P340" s="10">
        <f>CHOOSE(CONTROL!$C$42, 13.4488, 13.4488) * CHOOSE(CONTROL!$C$21, $C$9, 100%, $E$9)</f>
        <v>13.4488</v>
      </c>
      <c r="Q340" s="10">
        <f>CHOOSE(CONTROL!$C$42, 14.2722, 14.2722) * CHOOSE(CONTROL!$C$21, $C$9, 100%, $E$9)</f>
        <v>14.2722</v>
      </c>
      <c r="R340" s="10">
        <f>CHOOSE(CONTROL!$C$42, 14.8948, 14.8948) * CHOOSE(CONTROL!$C$21, $C$9, 100%, $E$9)</f>
        <v>14.8948</v>
      </c>
      <c r="S340" s="10">
        <f>CHOOSE(CONTROL!$C$42, 13.1754, 13.1754) * CHOOSE(CONTROL!$C$21, $C$9, 100%, $E$9)</f>
        <v>13.1754</v>
      </c>
      <c r="T3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57">
        <f>(1000*CHOOSE(CONTROL!$C$42, 695, 695)*CHOOSE(CONTROL!$C$42, 0.5599, 0.5599)*CHOOSE(CONTROL!$C$42, 30, 30))/1000000</f>
        <v>11.673914999999997</v>
      </c>
      <c r="V340" s="57">
        <f>(1000*CHOOSE(CONTROL!$C$42, 500, 500)*CHOOSE(CONTROL!$C$42, 0.275, 0.275)*CHOOSE(CONTROL!$C$42, 30, 30))/1000000</f>
        <v>4.125</v>
      </c>
      <c r="W340" s="57">
        <f>(1000*CHOOSE(CONTROL!$C$42, 0.1146, 0.1146)*CHOOSE(CONTROL!$C$42, 121.5, 121.5)*CHOOSE(CONTROL!$C$42, 30, 30))/1000000</f>
        <v>0.417717</v>
      </c>
      <c r="X340" s="57">
        <f>(30*0.1790888*245000/1000000)+(30*0.2374*100000/1000000)</f>
        <v>2.0285026799999999</v>
      </c>
      <c r="Y340" s="57"/>
      <c r="Z340" s="10"/>
      <c r="AA340" s="56"/>
      <c r="AB340" s="50">
        <f>(B340*141.293+C340*267.993+D340*115.016+E340*89.698+F340*40+G340*185+H340*0+I340*100+J340*300)/(141.293+267.993+115.016+89.698+0+40+185+100+300)</f>
        <v>13.599246125907989</v>
      </c>
      <c r="AC340" s="45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13.498076978417267</v>
      </c>
    </row>
    <row r="341" spans="1:29" ht="15.75" x14ac:dyDescent="0.25">
      <c r="A341" s="14">
        <v>51287</v>
      </c>
      <c r="B341" s="10">
        <f>CHOOSE(CONTROL!$C$42, 13.6916, 13.6916) * CHOOSE(CONTROL!$C$21, $C$9, 100%, $E$9)</f>
        <v>13.691599999999999</v>
      </c>
      <c r="C341" s="10">
        <f>CHOOSE(CONTROL!$C$42, 13.6996, 13.6996) * CHOOSE(CONTROL!$C$21, $C$9, 100%, $E$9)</f>
        <v>13.6996</v>
      </c>
      <c r="D341" s="10">
        <f>CHOOSE(CONTROL!$C$42, 13.9023, 13.9023) * CHOOSE(CONTROL!$C$21, $C$9, 100%, $E$9)</f>
        <v>13.9023</v>
      </c>
      <c r="E341" s="10">
        <f>CHOOSE(CONTROL!$C$42, 13.9334, 13.9334) * CHOOSE(CONTROL!$C$21, $C$9, 100%, $E$9)</f>
        <v>13.933400000000001</v>
      </c>
      <c r="F341" s="10">
        <f>CHOOSE(CONTROL!$C$42, 13.6674, 13.6674)*CHOOSE(CONTROL!$C$21, $C$9, 100%, $E$9)</f>
        <v>13.667400000000001</v>
      </c>
      <c r="G341" s="10">
        <f>CHOOSE(CONTROL!$C$42, 13.6824, 13.6824)*CHOOSE(CONTROL!$C$21, $C$9, 100%, $E$9)</f>
        <v>13.682399999999999</v>
      </c>
      <c r="H341" s="10">
        <f>CHOOSE(CONTROL!$C$42, 13.9221, 13.9221) * CHOOSE(CONTROL!$C$21, $C$9, 100%, $E$9)</f>
        <v>13.9221</v>
      </c>
      <c r="I341" s="10">
        <f>CHOOSE(CONTROL!$C$42, 13.6917, 13.6917)* CHOOSE(CONTROL!$C$21, $C$9, 100%, $E$9)</f>
        <v>13.691700000000001</v>
      </c>
      <c r="J341" s="10">
        <f>CHOOSE(CONTROL!$C$42, 13.6604, 13.6604)* CHOOSE(CONTROL!$C$21, $C$9, 100%, $E$9)</f>
        <v>13.660399999999999</v>
      </c>
      <c r="K341" s="53">
        <f>CHOOSE(CONTROL!$C$42, 13.6878, 13.6878) * CHOOSE(CONTROL!$C$21, $C$9, 100%, $E$9)</f>
        <v>13.687799999999999</v>
      </c>
      <c r="L341" s="10">
        <f>CHOOSE(CONTROL!$C$42, 14.5091, 14.5091) * CHOOSE(CONTROL!$C$21, $C$9, 100%, $E$9)</f>
        <v>14.5091</v>
      </c>
      <c r="M341" s="10">
        <f>CHOOSE(CONTROL!$C$42, 13.5363, 13.5363) * CHOOSE(CONTROL!$C$21, $C$9, 100%, $E$9)</f>
        <v>13.536300000000001</v>
      </c>
      <c r="N341" s="10">
        <f>CHOOSE(CONTROL!$C$42, 13.5512, 13.5512) * CHOOSE(CONTROL!$C$21, $C$9, 100%, $E$9)</f>
        <v>13.5512</v>
      </c>
      <c r="O341" s="10">
        <f>CHOOSE(CONTROL!$C$42, 13.7954, 13.7954) * CHOOSE(CONTROL!$C$21, $C$9, 100%, $E$9)</f>
        <v>13.795400000000001</v>
      </c>
      <c r="P341" s="10">
        <f>CHOOSE(CONTROL!$C$42, 13.5674, 13.5674) * CHOOSE(CONTROL!$C$21, $C$9, 100%, $E$9)</f>
        <v>13.567399999999999</v>
      </c>
      <c r="Q341" s="10">
        <f>CHOOSE(CONTROL!$C$42, 14.3907, 14.3907) * CHOOSE(CONTROL!$C$21, $C$9, 100%, $E$9)</f>
        <v>14.390700000000001</v>
      </c>
      <c r="R341" s="10">
        <f>CHOOSE(CONTROL!$C$42, 15.0137, 15.0137) * CHOOSE(CONTROL!$C$21, $C$9, 100%, $E$9)</f>
        <v>15.0137</v>
      </c>
      <c r="S341" s="10">
        <f>CHOOSE(CONTROL!$C$42, 13.2917, 13.2917) * CHOOSE(CONTROL!$C$21, $C$9, 100%, $E$9)</f>
        <v>13.291700000000001</v>
      </c>
      <c r="T3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57">
        <f>(1000*CHOOSE(CONTROL!$C$42, 695, 695)*CHOOSE(CONTROL!$C$42, 0.5599, 0.5599)*CHOOSE(CONTROL!$C$42, 31, 31))/1000000</f>
        <v>12.063045499999998</v>
      </c>
      <c r="V341" s="57">
        <f>(1000*CHOOSE(CONTROL!$C$42, 500, 500)*CHOOSE(CONTROL!$C$42, 0.275, 0.275)*CHOOSE(CONTROL!$C$42, 31, 31))/1000000</f>
        <v>4.2625000000000002</v>
      </c>
      <c r="W341" s="57">
        <f>(1000*CHOOSE(CONTROL!$C$42, 0.1146, 0.1146)*CHOOSE(CONTROL!$C$42, 121.5, 121.5)*CHOOSE(CONTROL!$C$42, 31, 31))/1000000</f>
        <v>0.43164089999999994</v>
      </c>
      <c r="X341" s="57">
        <f>(31*0.1790888*245000/1000000)+(31*0.2374*100000/1000000)</f>
        <v>2.0961194359999999</v>
      </c>
      <c r="Y341" s="57"/>
      <c r="Z341" s="10"/>
      <c r="AA341" s="56"/>
      <c r="AB341" s="50">
        <f>(B341*194.205+C341*267.466+D341*133.845+E341*53.484+F341*40+G341*185+H341*0+I341*100+J341*300)/(194.205+267.466+133.845+53.484+0+40+185+100+300)</f>
        <v>13.716131633202513</v>
      </c>
      <c r="AC341" s="45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13.616902158273383</v>
      </c>
    </row>
    <row r="342" spans="1:29" ht="15.75" x14ac:dyDescent="0.25">
      <c r="A342" s="14">
        <v>51317</v>
      </c>
      <c r="B342" s="10">
        <f>CHOOSE(CONTROL!$C$42, 14.0799, 14.0799) * CHOOSE(CONTROL!$C$21, $C$9, 100%, $E$9)</f>
        <v>14.0799</v>
      </c>
      <c r="C342" s="10">
        <f>CHOOSE(CONTROL!$C$42, 14.0878, 14.0878) * CHOOSE(CONTROL!$C$21, $C$9, 100%, $E$9)</f>
        <v>14.0878</v>
      </c>
      <c r="D342" s="10">
        <f>CHOOSE(CONTROL!$C$42, 14.2905, 14.2905) * CHOOSE(CONTROL!$C$21, $C$9, 100%, $E$9)</f>
        <v>14.2905</v>
      </c>
      <c r="E342" s="10">
        <f>CHOOSE(CONTROL!$C$42, 14.3217, 14.3217) * CHOOSE(CONTROL!$C$21, $C$9, 100%, $E$9)</f>
        <v>14.3217</v>
      </c>
      <c r="F342" s="10">
        <f>CHOOSE(CONTROL!$C$42, 14.0561, 14.0561)*CHOOSE(CONTROL!$C$21, $C$9, 100%, $E$9)</f>
        <v>14.056100000000001</v>
      </c>
      <c r="G342" s="10">
        <f>CHOOSE(CONTROL!$C$42, 14.0712, 14.0712)*CHOOSE(CONTROL!$C$21, $C$9, 100%, $E$9)</f>
        <v>14.071199999999999</v>
      </c>
      <c r="H342" s="10">
        <f>CHOOSE(CONTROL!$C$42, 14.3103, 14.3103) * CHOOSE(CONTROL!$C$21, $C$9, 100%, $E$9)</f>
        <v>14.3103</v>
      </c>
      <c r="I342" s="10">
        <f>CHOOSE(CONTROL!$C$42, 14.0799, 14.0799)* CHOOSE(CONTROL!$C$21, $C$9, 100%, $E$9)</f>
        <v>14.0799</v>
      </c>
      <c r="J342" s="10">
        <f>CHOOSE(CONTROL!$C$42, 14.0491, 14.0491)* CHOOSE(CONTROL!$C$21, $C$9, 100%, $E$9)</f>
        <v>14.049099999999999</v>
      </c>
      <c r="K342" s="53">
        <f>CHOOSE(CONTROL!$C$42, 14.076, 14.076) * CHOOSE(CONTROL!$C$21, $C$9, 100%, $E$9)</f>
        <v>14.076000000000001</v>
      </c>
      <c r="L342" s="10">
        <f>CHOOSE(CONTROL!$C$42, 14.8973, 14.8973) * CHOOSE(CONTROL!$C$21, $C$9, 100%, $E$9)</f>
        <v>14.8973</v>
      </c>
      <c r="M342" s="10">
        <f>CHOOSE(CONTROL!$C$42, 13.9211, 13.9211) * CHOOSE(CONTROL!$C$21, $C$9, 100%, $E$9)</f>
        <v>13.921099999999999</v>
      </c>
      <c r="N342" s="10">
        <f>CHOOSE(CONTROL!$C$42, 13.9361, 13.9361) * CHOOSE(CONTROL!$C$21, $C$9, 100%, $E$9)</f>
        <v>13.9361</v>
      </c>
      <c r="O342" s="10">
        <f>CHOOSE(CONTROL!$C$42, 14.1797, 14.1797) * CHOOSE(CONTROL!$C$21, $C$9, 100%, $E$9)</f>
        <v>14.1797</v>
      </c>
      <c r="P342" s="10">
        <f>CHOOSE(CONTROL!$C$42, 13.9517, 13.9517) * CHOOSE(CONTROL!$C$21, $C$9, 100%, $E$9)</f>
        <v>13.951700000000001</v>
      </c>
      <c r="Q342" s="10">
        <f>CHOOSE(CONTROL!$C$42, 14.775, 14.775) * CHOOSE(CONTROL!$C$21, $C$9, 100%, $E$9)</f>
        <v>14.775</v>
      </c>
      <c r="R342" s="10">
        <f>CHOOSE(CONTROL!$C$42, 15.3989, 15.3989) * CHOOSE(CONTROL!$C$21, $C$9, 100%, $E$9)</f>
        <v>15.398899999999999</v>
      </c>
      <c r="S342" s="10">
        <f>CHOOSE(CONTROL!$C$42, 13.6687, 13.6687) * CHOOSE(CONTROL!$C$21, $C$9, 100%, $E$9)</f>
        <v>13.668699999999999</v>
      </c>
      <c r="T3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57">
        <f>(1000*CHOOSE(CONTROL!$C$42, 695, 695)*CHOOSE(CONTROL!$C$42, 0.5599, 0.5599)*CHOOSE(CONTROL!$C$42, 30, 30))/1000000</f>
        <v>11.673914999999997</v>
      </c>
      <c r="V342" s="57">
        <f>(1000*CHOOSE(CONTROL!$C$42, 500, 500)*CHOOSE(CONTROL!$C$42, 0.275, 0.275)*CHOOSE(CONTROL!$C$42, 30, 30))/1000000</f>
        <v>4.125</v>
      </c>
      <c r="W342" s="57">
        <f>(1000*CHOOSE(CONTROL!$C$42, 0.1146, 0.1146)*CHOOSE(CONTROL!$C$42, 121.5, 121.5)*CHOOSE(CONTROL!$C$42, 30, 30))/1000000</f>
        <v>0.417717</v>
      </c>
      <c r="X342" s="57">
        <f>(30*0.1790888*245000/1000000)+(30*0.2374*100000/1000000)</f>
        <v>2.0285026799999999</v>
      </c>
      <c r="Y342" s="57"/>
      <c r="Z342" s="10"/>
      <c r="AA342" s="56"/>
      <c r="AB342" s="50">
        <f>(B342*194.205+C342*267.466+D342*133.845+E342*53.484+F342*40+G342*185+H342*0+I342*100+J342*300)/(194.205+267.466+133.845+53.484+0+40+185+100+300)</f>
        <v>14.104571640188386</v>
      </c>
      <c r="AC342" s="45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14.001512949640286</v>
      </c>
    </row>
    <row r="343" spans="1:29" ht="15.75" x14ac:dyDescent="0.25">
      <c r="A343" s="14">
        <v>51348</v>
      </c>
      <c r="B343" s="10">
        <f>CHOOSE(CONTROL!$C$42, 13.8099, 13.8099) * CHOOSE(CONTROL!$C$21, $C$9, 100%, $E$9)</f>
        <v>13.809900000000001</v>
      </c>
      <c r="C343" s="10">
        <f>CHOOSE(CONTROL!$C$42, 13.8178, 13.8178) * CHOOSE(CONTROL!$C$21, $C$9, 100%, $E$9)</f>
        <v>13.8178</v>
      </c>
      <c r="D343" s="10">
        <f>CHOOSE(CONTROL!$C$42, 14.0205, 14.0205) * CHOOSE(CONTROL!$C$21, $C$9, 100%, $E$9)</f>
        <v>14.0205</v>
      </c>
      <c r="E343" s="10">
        <f>CHOOSE(CONTROL!$C$42, 14.0516, 14.0516) * CHOOSE(CONTROL!$C$21, $C$9, 100%, $E$9)</f>
        <v>14.051600000000001</v>
      </c>
      <c r="F343" s="10">
        <f>CHOOSE(CONTROL!$C$42, 13.7866, 13.7866)*CHOOSE(CONTROL!$C$21, $C$9, 100%, $E$9)</f>
        <v>13.7866</v>
      </c>
      <c r="G343" s="10">
        <f>CHOOSE(CONTROL!$C$42, 13.8019, 13.8019)*CHOOSE(CONTROL!$C$21, $C$9, 100%, $E$9)</f>
        <v>13.8019</v>
      </c>
      <c r="H343" s="10">
        <f>CHOOSE(CONTROL!$C$42, 14.0403, 14.0403) * CHOOSE(CONTROL!$C$21, $C$9, 100%, $E$9)</f>
        <v>14.0403</v>
      </c>
      <c r="I343" s="10">
        <f>CHOOSE(CONTROL!$C$42, 13.8099, 13.8099)* CHOOSE(CONTROL!$C$21, $C$9, 100%, $E$9)</f>
        <v>13.809900000000001</v>
      </c>
      <c r="J343" s="10">
        <f>CHOOSE(CONTROL!$C$42, 13.7796, 13.7796)* CHOOSE(CONTROL!$C$21, $C$9, 100%, $E$9)</f>
        <v>13.7796</v>
      </c>
      <c r="K343" s="53">
        <f>CHOOSE(CONTROL!$C$42, 13.806, 13.806) * CHOOSE(CONTROL!$C$21, $C$9, 100%, $E$9)</f>
        <v>13.805999999999999</v>
      </c>
      <c r="L343" s="10">
        <f>CHOOSE(CONTROL!$C$42, 14.6273, 14.6273) * CHOOSE(CONTROL!$C$21, $C$9, 100%, $E$9)</f>
        <v>14.6273</v>
      </c>
      <c r="M343" s="10">
        <f>CHOOSE(CONTROL!$C$42, 13.6544, 13.6544) * CHOOSE(CONTROL!$C$21, $C$9, 100%, $E$9)</f>
        <v>13.654400000000001</v>
      </c>
      <c r="N343" s="10">
        <f>CHOOSE(CONTROL!$C$42, 13.6695, 13.6695) * CHOOSE(CONTROL!$C$21, $C$9, 100%, $E$9)</f>
        <v>13.669499999999999</v>
      </c>
      <c r="O343" s="10">
        <f>CHOOSE(CONTROL!$C$42, 13.9124, 13.9124) * CHOOSE(CONTROL!$C$21, $C$9, 100%, $E$9)</f>
        <v>13.9124</v>
      </c>
      <c r="P343" s="10">
        <f>CHOOSE(CONTROL!$C$42, 13.6844, 13.6844) * CHOOSE(CONTROL!$C$21, $C$9, 100%, $E$9)</f>
        <v>13.6844</v>
      </c>
      <c r="Q343" s="10">
        <f>CHOOSE(CONTROL!$C$42, 14.5077, 14.5077) * CHOOSE(CONTROL!$C$21, $C$9, 100%, $E$9)</f>
        <v>14.5077</v>
      </c>
      <c r="R343" s="10">
        <f>CHOOSE(CONTROL!$C$42, 15.131, 15.131) * CHOOSE(CONTROL!$C$21, $C$9, 100%, $E$9)</f>
        <v>15.131</v>
      </c>
      <c r="S343" s="10">
        <f>CHOOSE(CONTROL!$C$42, 13.4065, 13.4065) * CHOOSE(CONTROL!$C$21, $C$9, 100%, $E$9)</f>
        <v>13.406499999999999</v>
      </c>
      <c r="T3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57">
        <f>(1000*CHOOSE(CONTROL!$C$42, 695, 695)*CHOOSE(CONTROL!$C$42, 0.5599, 0.5599)*CHOOSE(CONTROL!$C$42, 31, 31))/1000000</f>
        <v>12.063045499999998</v>
      </c>
      <c r="V343" s="57">
        <f>(1000*CHOOSE(CONTROL!$C$42, 500, 500)*CHOOSE(CONTROL!$C$42, 0.275, 0.275)*CHOOSE(CONTROL!$C$42, 31, 31))/1000000</f>
        <v>4.2625000000000002</v>
      </c>
      <c r="W343" s="57">
        <f>(1000*CHOOSE(CONTROL!$C$42, 0.1146, 0.1146)*CHOOSE(CONTROL!$C$42, 121.5, 121.5)*CHOOSE(CONTROL!$C$42, 31, 31))/1000000</f>
        <v>0.43164089999999994</v>
      </c>
      <c r="X343" s="57">
        <f>(31*0.1790888*245000/1000000)+(31*0.2374*100000/1000000)</f>
        <v>2.0961194359999999</v>
      </c>
      <c r="Y343" s="57"/>
      <c r="Z343" s="10"/>
      <c r="AA343" s="56"/>
      <c r="AB343" s="50">
        <f>(B343*194.205+C343*267.466+D343*133.845+E343*53.484+F343*40+G343*185+H343*0+I343*100+J343*300)/(194.205+267.466+133.845+53.484+0+40+185+100+300)</f>
        <v>13.834802528414443</v>
      </c>
      <c r="AC343" s="45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13.734581294964029</v>
      </c>
    </row>
    <row r="344" spans="1:29" ht="15.75" x14ac:dyDescent="0.25">
      <c r="A344" s="14">
        <v>51379</v>
      </c>
      <c r="B344" s="10">
        <f>CHOOSE(CONTROL!$C$42, 13.128, 13.128) * CHOOSE(CONTROL!$C$21, $C$9, 100%, $E$9)</f>
        <v>13.128</v>
      </c>
      <c r="C344" s="10">
        <f>CHOOSE(CONTROL!$C$42, 13.1359, 13.1359) * CHOOSE(CONTROL!$C$21, $C$9, 100%, $E$9)</f>
        <v>13.135899999999999</v>
      </c>
      <c r="D344" s="10">
        <f>CHOOSE(CONTROL!$C$42, 13.3386, 13.3386) * CHOOSE(CONTROL!$C$21, $C$9, 100%, $E$9)</f>
        <v>13.3386</v>
      </c>
      <c r="E344" s="10">
        <f>CHOOSE(CONTROL!$C$42, 13.3698, 13.3698) * CHOOSE(CONTROL!$C$21, $C$9, 100%, $E$9)</f>
        <v>13.3698</v>
      </c>
      <c r="F344" s="10">
        <f>CHOOSE(CONTROL!$C$42, 13.1049, 13.1049)*CHOOSE(CONTROL!$C$21, $C$9, 100%, $E$9)</f>
        <v>13.104900000000001</v>
      </c>
      <c r="G344" s="10">
        <f>CHOOSE(CONTROL!$C$42, 13.1202, 13.1202)*CHOOSE(CONTROL!$C$21, $C$9, 100%, $E$9)</f>
        <v>13.120200000000001</v>
      </c>
      <c r="H344" s="10">
        <f>CHOOSE(CONTROL!$C$42, 13.3584, 13.3584) * CHOOSE(CONTROL!$C$21, $C$9, 100%, $E$9)</f>
        <v>13.3584</v>
      </c>
      <c r="I344" s="10">
        <f>CHOOSE(CONTROL!$C$42, 13.128, 13.128)* CHOOSE(CONTROL!$C$21, $C$9, 100%, $E$9)</f>
        <v>13.128</v>
      </c>
      <c r="J344" s="10">
        <f>CHOOSE(CONTROL!$C$42, 13.0979, 13.0979)* CHOOSE(CONTROL!$C$21, $C$9, 100%, $E$9)</f>
        <v>13.097899999999999</v>
      </c>
      <c r="K344" s="53">
        <f>CHOOSE(CONTROL!$C$42, 13.1241, 13.1241) * CHOOSE(CONTROL!$C$21, $C$9, 100%, $E$9)</f>
        <v>13.1241</v>
      </c>
      <c r="L344" s="10">
        <f>CHOOSE(CONTROL!$C$42, 13.9454, 13.9454) * CHOOSE(CONTROL!$C$21, $C$9, 100%, $E$9)</f>
        <v>13.945399999999999</v>
      </c>
      <c r="M344" s="10">
        <f>CHOOSE(CONTROL!$C$42, 12.9796, 12.9796) * CHOOSE(CONTROL!$C$21, $C$9, 100%, $E$9)</f>
        <v>12.9796</v>
      </c>
      <c r="N344" s="10">
        <f>CHOOSE(CONTROL!$C$42, 12.9947, 12.9947) * CHOOSE(CONTROL!$C$21, $C$9, 100%, $E$9)</f>
        <v>12.9947</v>
      </c>
      <c r="O344" s="10">
        <f>CHOOSE(CONTROL!$C$42, 13.2374, 13.2374) * CHOOSE(CONTROL!$C$21, $C$9, 100%, $E$9)</f>
        <v>13.237399999999999</v>
      </c>
      <c r="P344" s="10">
        <f>CHOOSE(CONTROL!$C$42, 13.0094, 13.0094) * CHOOSE(CONTROL!$C$21, $C$9, 100%, $E$9)</f>
        <v>13.009399999999999</v>
      </c>
      <c r="Q344" s="10">
        <f>CHOOSE(CONTROL!$C$42, 13.8327, 13.8327) * CHOOSE(CONTROL!$C$21, $C$9, 100%, $E$9)</f>
        <v>13.832700000000001</v>
      </c>
      <c r="R344" s="10">
        <f>CHOOSE(CONTROL!$C$42, 14.4543, 14.4543) * CHOOSE(CONTROL!$C$21, $C$9, 100%, $E$9)</f>
        <v>14.4543</v>
      </c>
      <c r="S344" s="10">
        <f>CHOOSE(CONTROL!$C$42, 12.7443, 12.7443) * CHOOSE(CONTROL!$C$21, $C$9, 100%, $E$9)</f>
        <v>12.744300000000001</v>
      </c>
      <c r="T3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57">
        <f>(1000*CHOOSE(CONTROL!$C$42, 695, 695)*CHOOSE(CONTROL!$C$42, 0.5599, 0.5599)*CHOOSE(CONTROL!$C$42, 31, 31))/1000000</f>
        <v>12.063045499999998</v>
      </c>
      <c r="V344" s="57">
        <f>(1000*CHOOSE(CONTROL!$C$42, 500, 500)*CHOOSE(CONTROL!$C$42, 0.275, 0.275)*CHOOSE(CONTROL!$C$42, 31, 31))/1000000</f>
        <v>4.2625000000000002</v>
      </c>
      <c r="W344" s="57">
        <f>(1000*CHOOSE(CONTROL!$C$42, 0.1146, 0.1146)*CHOOSE(CONTROL!$C$42, 121.5, 121.5)*CHOOSE(CONTROL!$C$42, 31, 31))/1000000</f>
        <v>0.43164089999999994</v>
      </c>
      <c r="X344" s="57">
        <f>(31*0.1790888*245000/1000000)+(31*0.2374*100000/1000000)</f>
        <v>2.0961194359999999</v>
      </c>
      <c r="Y344" s="57"/>
      <c r="Z344" s="10"/>
      <c r="AA344" s="56"/>
      <c r="AB344" s="50">
        <f>(B344*194.205+C344*267.466+D344*133.845+E344*53.484+F344*40+G344*185+H344*0+I344*100+J344*300)/(194.205+267.466+133.845+53.484+0+40+185+100+300)</f>
        <v>13.152989144113029</v>
      </c>
      <c r="AC344" s="45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13.059696402877698</v>
      </c>
    </row>
    <row r="345" spans="1:29" ht="15.75" x14ac:dyDescent="0.25">
      <c r="A345" s="14">
        <v>51409</v>
      </c>
      <c r="B345" s="10">
        <f>CHOOSE(CONTROL!$C$42, 12.2945, 12.2945) * CHOOSE(CONTROL!$C$21, $C$9, 100%, $E$9)</f>
        <v>12.294499999999999</v>
      </c>
      <c r="C345" s="10">
        <f>CHOOSE(CONTROL!$C$42, 12.3024, 12.3024) * CHOOSE(CONTROL!$C$21, $C$9, 100%, $E$9)</f>
        <v>12.3024</v>
      </c>
      <c r="D345" s="10">
        <f>CHOOSE(CONTROL!$C$42, 12.5051, 12.5051) * CHOOSE(CONTROL!$C$21, $C$9, 100%, $E$9)</f>
        <v>12.505100000000001</v>
      </c>
      <c r="E345" s="10">
        <f>CHOOSE(CONTROL!$C$42, 12.5363, 12.5363) * CHOOSE(CONTROL!$C$21, $C$9, 100%, $E$9)</f>
        <v>12.536300000000001</v>
      </c>
      <c r="F345" s="10">
        <f>CHOOSE(CONTROL!$C$42, 12.2713, 12.2713)*CHOOSE(CONTROL!$C$21, $C$9, 100%, $E$9)</f>
        <v>12.2713</v>
      </c>
      <c r="G345" s="10">
        <f>CHOOSE(CONTROL!$C$42, 12.2866, 12.2866)*CHOOSE(CONTROL!$C$21, $C$9, 100%, $E$9)</f>
        <v>12.2866</v>
      </c>
      <c r="H345" s="10">
        <f>CHOOSE(CONTROL!$C$42, 12.5249, 12.5249) * CHOOSE(CONTROL!$C$21, $C$9, 100%, $E$9)</f>
        <v>12.524900000000001</v>
      </c>
      <c r="I345" s="10">
        <f>CHOOSE(CONTROL!$C$42, 12.2945, 12.2945)* CHOOSE(CONTROL!$C$21, $C$9, 100%, $E$9)</f>
        <v>12.294499999999999</v>
      </c>
      <c r="J345" s="10">
        <f>CHOOSE(CONTROL!$C$42, 12.2643, 12.2643)* CHOOSE(CONTROL!$C$21, $C$9, 100%, $E$9)</f>
        <v>12.2643</v>
      </c>
      <c r="K345" s="53">
        <f>CHOOSE(CONTROL!$C$42, 12.2906, 12.2906) * CHOOSE(CONTROL!$C$21, $C$9, 100%, $E$9)</f>
        <v>12.2906</v>
      </c>
      <c r="L345" s="10">
        <f>CHOOSE(CONTROL!$C$42, 13.1119, 13.1119) * CHOOSE(CONTROL!$C$21, $C$9, 100%, $E$9)</f>
        <v>13.1119</v>
      </c>
      <c r="M345" s="10">
        <f>CHOOSE(CONTROL!$C$42, 12.1543, 12.1543) * CHOOSE(CONTROL!$C$21, $C$9, 100%, $E$9)</f>
        <v>12.154299999999999</v>
      </c>
      <c r="N345" s="10">
        <f>CHOOSE(CONTROL!$C$42, 12.1695, 12.1695) * CHOOSE(CONTROL!$C$21, $C$9, 100%, $E$9)</f>
        <v>12.169499999999999</v>
      </c>
      <c r="O345" s="10">
        <f>CHOOSE(CONTROL!$C$42, 12.4123, 12.4123) * CHOOSE(CONTROL!$C$21, $C$9, 100%, $E$9)</f>
        <v>12.4123</v>
      </c>
      <c r="P345" s="10">
        <f>CHOOSE(CONTROL!$C$42, 12.1843, 12.1843) * CHOOSE(CONTROL!$C$21, $C$9, 100%, $E$9)</f>
        <v>12.1843</v>
      </c>
      <c r="Q345" s="10">
        <f>CHOOSE(CONTROL!$C$42, 13.0076, 13.0076) * CHOOSE(CONTROL!$C$21, $C$9, 100%, $E$9)</f>
        <v>13.0076</v>
      </c>
      <c r="R345" s="10">
        <f>CHOOSE(CONTROL!$C$42, 13.6271, 13.6271) * CHOOSE(CONTROL!$C$21, $C$9, 100%, $E$9)</f>
        <v>13.6271</v>
      </c>
      <c r="S345" s="10">
        <f>CHOOSE(CONTROL!$C$42, 11.9349, 11.9349) * CHOOSE(CONTROL!$C$21, $C$9, 100%, $E$9)</f>
        <v>11.934900000000001</v>
      </c>
      <c r="T3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57">
        <f>(1000*CHOOSE(CONTROL!$C$42, 695, 695)*CHOOSE(CONTROL!$C$42, 0.5599, 0.5599)*CHOOSE(CONTROL!$C$42, 30, 30))/1000000</f>
        <v>11.673914999999997</v>
      </c>
      <c r="V345" s="57">
        <f>(1000*CHOOSE(CONTROL!$C$42, 500, 500)*CHOOSE(CONTROL!$C$42, 0.275, 0.275)*CHOOSE(CONTROL!$C$42, 30, 30))/1000000</f>
        <v>4.125</v>
      </c>
      <c r="W345" s="57">
        <f>(1000*CHOOSE(CONTROL!$C$42, 0.1146, 0.1146)*CHOOSE(CONTROL!$C$42, 121.5, 121.5)*CHOOSE(CONTROL!$C$42, 30, 30))/1000000</f>
        <v>0.417717</v>
      </c>
      <c r="X345" s="57">
        <f>(30*0.1790888*245000/1000000)+(30*0.2374*100000/1000000)</f>
        <v>2.0285026799999999</v>
      </c>
      <c r="Y345" s="57"/>
      <c r="Z345" s="10"/>
      <c r="AA345" s="56"/>
      <c r="AB345" s="50">
        <f>(B345*194.205+C345*267.466+D345*133.845+E345*53.484+F345*40+G345*185+H345*0+I345*100+J345*300)/(194.205+267.466+133.845+53.484+0+40+185+100+300)</f>
        <v>12.319447935321822</v>
      </c>
      <c r="AC345" s="45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12.234504316546762</v>
      </c>
    </row>
    <row r="346" spans="1:29" ht="15.75" x14ac:dyDescent="0.25">
      <c r="A346" s="14">
        <v>51440</v>
      </c>
      <c r="B346" s="10">
        <f>CHOOSE(CONTROL!$C$42, 12.0432, 12.0432) * CHOOSE(CONTROL!$C$21, $C$9, 100%, $E$9)</f>
        <v>12.043200000000001</v>
      </c>
      <c r="C346" s="10">
        <f>CHOOSE(CONTROL!$C$42, 12.0484, 12.0484) * CHOOSE(CONTROL!$C$21, $C$9, 100%, $E$9)</f>
        <v>12.048400000000001</v>
      </c>
      <c r="D346" s="10">
        <f>CHOOSE(CONTROL!$C$42, 12.2561, 12.2561) * CHOOSE(CONTROL!$C$21, $C$9, 100%, $E$9)</f>
        <v>12.2561</v>
      </c>
      <c r="E346" s="10">
        <f>CHOOSE(CONTROL!$C$42, 12.2849, 12.2849) * CHOOSE(CONTROL!$C$21, $C$9, 100%, $E$9)</f>
        <v>12.2849</v>
      </c>
      <c r="F346" s="10">
        <f>CHOOSE(CONTROL!$C$42, 12.0219, 12.0219)*CHOOSE(CONTROL!$C$21, $C$9, 100%, $E$9)</f>
        <v>12.0219</v>
      </c>
      <c r="G346" s="10">
        <f>CHOOSE(CONTROL!$C$42, 12.0369, 12.0369)*CHOOSE(CONTROL!$C$21, $C$9, 100%, $E$9)</f>
        <v>12.036899999999999</v>
      </c>
      <c r="H346" s="10">
        <f>CHOOSE(CONTROL!$C$42, 12.2754, 12.2754) * CHOOSE(CONTROL!$C$21, $C$9, 100%, $E$9)</f>
        <v>12.275399999999999</v>
      </c>
      <c r="I346" s="10">
        <f>CHOOSE(CONTROL!$C$42, 12.045, 12.045)* CHOOSE(CONTROL!$C$21, $C$9, 100%, $E$9)</f>
        <v>12.045</v>
      </c>
      <c r="J346" s="10">
        <f>CHOOSE(CONTROL!$C$42, 12.0149, 12.0149)* CHOOSE(CONTROL!$C$21, $C$9, 100%, $E$9)</f>
        <v>12.014900000000001</v>
      </c>
      <c r="K346" s="53">
        <f>CHOOSE(CONTROL!$C$42, 12.0411, 12.0411) * CHOOSE(CONTROL!$C$21, $C$9, 100%, $E$9)</f>
        <v>12.0411</v>
      </c>
      <c r="L346" s="10">
        <f>CHOOSE(CONTROL!$C$42, 12.8624, 12.8624) * CHOOSE(CONTROL!$C$21, $C$9, 100%, $E$9)</f>
        <v>12.862399999999999</v>
      </c>
      <c r="M346" s="10">
        <f>CHOOSE(CONTROL!$C$42, 11.9075, 11.9075) * CHOOSE(CONTROL!$C$21, $C$9, 100%, $E$9)</f>
        <v>11.907500000000001</v>
      </c>
      <c r="N346" s="10">
        <f>CHOOSE(CONTROL!$C$42, 11.9223, 11.9223) * CHOOSE(CONTROL!$C$21, $C$9, 100%, $E$9)</f>
        <v>11.9223</v>
      </c>
      <c r="O346" s="10">
        <f>CHOOSE(CONTROL!$C$42, 12.1653, 12.1653) * CHOOSE(CONTROL!$C$21, $C$9, 100%, $E$9)</f>
        <v>12.1653</v>
      </c>
      <c r="P346" s="10">
        <f>CHOOSE(CONTROL!$C$42, 11.9373, 11.9373) * CHOOSE(CONTROL!$C$21, $C$9, 100%, $E$9)</f>
        <v>11.9373</v>
      </c>
      <c r="Q346" s="10">
        <f>CHOOSE(CONTROL!$C$42, 12.7606, 12.7606) * CHOOSE(CONTROL!$C$21, $C$9, 100%, $E$9)</f>
        <v>12.7606</v>
      </c>
      <c r="R346" s="10">
        <f>CHOOSE(CONTROL!$C$42, 13.3795, 13.3795) * CHOOSE(CONTROL!$C$21, $C$9, 100%, $E$9)</f>
        <v>13.3795</v>
      </c>
      <c r="S346" s="10">
        <f>CHOOSE(CONTROL!$C$42, 11.6926, 11.6926) * CHOOSE(CONTROL!$C$21, $C$9, 100%, $E$9)</f>
        <v>11.692600000000001</v>
      </c>
      <c r="T3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57">
        <f>(1000*CHOOSE(CONTROL!$C$42, 695, 695)*CHOOSE(CONTROL!$C$42, 0.5599, 0.5599)*CHOOSE(CONTROL!$C$42, 31, 31))/1000000</f>
        <v>12.063045499999998</v>
      </c>
      <c r="V346" s="57">
        <f>(1000*CHOOSE(CONTROL!$C$42, 500, 500)*CHOOSE(CONTROL!$C$42, 0.275, 0.275)*CHOOSE(CONTROL!$C$42, 31, 31))/1000000</f>
        <v>4.2625000000000002</v>
      </c>
      <c r="W346" s="57">
        <f>(1000*CHOOSE(CONTROL!$C$42, 0.1146, 0.1146)*CHOOSE(CONTROL!$C$42, 121.5, 121.5)*CHOOSE(CONTROL!$C$42, 31, 31))/1000000</f>
        <v>0.43164089999999994</v>
      </c>
      <c r="X346" s="57">
        <f>(31*0.1790888*245000/1000000)+(31*0.2374*100000/1000000)</f>
        <v>2.0961194359999999</v>
      </c>
      <c r="Y346" s="57"/>
      <c r="Z346" s="10"/>
      <c r="AA346" s="56"/>
      <c r="AB346" s="50">
        <f>(B346*131.881+C346*277.167+D346*79.08+E346*125.872+F346*40+G346*185+H346*0+I346*100+J346*300)/(131.881+277.167+79.08+125.872+0+40+185+100+300)</f>
        <v>12.074171075706216</v>
      </c>
      <c r="AC346" s="45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11.987527338129496</v>
      </c>
    </row>
    <row r="347" spans="1:29" ht="15.75" x14ac:dyDescent="0.25">
      <c r="A347" s="14">
        <v>51470</v>
      </c>
      <c r="B347" s="10">
        <f>CHOOSE(CONTROL!$C$42, 12.36, 12.36) * CHOOSE(CONTROL!$C$21, $C$9, 100%, $E$9)</f>
        <v>12.36</v>
      </c>
      <c r="C347" s="10">
        <f>CHOOSE(CONTROL!$C$42, 12.3649, 12.3649) * CHOOSE(CONTROL!$C$21, $C$9, 100%, $E$9)</f>
        <v>12.3649</v>
      </c>
      <c r="D347" s="10">
        <f>CHOOSE(CONTROL!$C$42, 12.4254, 12.4254) * CHOOSE(CONTROL!$C$21, $C$9, 100%, $E$9)</f>
        <v>12.4254</v>
      </c>
      <c r="E347" s="10">
        <f>CHOOSE(CONTROL!$C$42, 12.4592, 12.4592) * CHOOSE(CONTROL!$C$21, $C$9, 100%, $E$9)</f>
        <v>12.459199999999999</v>
      </c>
      <c r="F347" s="10">
        <f>CHOOSE(CONTROL!$C$42, 12.3556, 12.3556)*CHOOSE(CONTROL!$C$21, $C$9, 100%, $E$9)</f>
        <v>12.355600000000001</v>
      </c>
      <c r="G347" s="10">
        <f>CHOOSE(CONTROL!$C$42, 12.3708, 12.3708)*CHOOSE(CONTROL!$C$21, $C$9, 100%, $E$9)</f>
        <v>12.370799999999999</v>
      </c>
      <c r="H347" s="10">
        <f>CHOOSE(CONTROL!$C$42, 12.4484, 12.4484) * CHOOSE(CONTROL!$C$21, $C$9, 100%, $E$9)</f>
        <v>12.448399999999999</v>
      </c>
      <c r="I347" s="10">
        <f>CHOOSE(CONTROL!$C$42, 12.3725, 12.3725)* CHOOSE(CONTROL!$C$21, $C$9, 100%, $E$9)</f>
        <v>12.3725</v>
      </c>
      <c r="J347" s="10">
        <f>CHOOSE(CONTROL!$C$42, 12.3486, 12.3486)* CHOOSE(CONTROL!$C$21, $C$9, 100%, $E$9)</f>
        <v>12.348599999999999</v>
      </c>
      <c r="K347" s="53">
        <f>CHOOSE(CONTROL!$C$42, 12.3686, 12.3686) * CHOOSE(CONTROL!$C$21, $C$9, 100%, $E$9)</f>
        <v>12.368600000000001</v>
      </c>
      <c r="L347" s="10">
        <f>CHOOSE(CONTROL!$C$42, 13.0354, 13.0354) * CHOOSE(CONTROL!$C$21, $C$9, 100%, $E$9)</f>
        <v>13.035399999999999</v>
      </c>
      <c r="M347" s="10">
        <f>CHOOSE(CONTROL!$C$42, 12.2378, 12.2378) * CHOOSE(CONTROL!$C$21, $C$9, 100%, $E$9)</f>
        <v>12.2378</v>
      </c>
      <c r="N347" s="10">
        <f>CHOOSE(CONTROL!$C$42, 12.2529, 12.2529) * CHOOSE(CONTROL!$C$21, $C$9, 100%, $E$9)</f>
        <v>12.2529</v>
      </c>
      <c r="O347" s="10">
        <f>CHOOSE(CONTROL!$C$42, 12.3366, 12.3366) * CHOOSE(CONTROL!$C$21, $C$9, 100%, $E$9)</f>
        <v>12.336600000000001</v>
      </c>
      <c r="P347" s="10">
        <f>CHOOSE(CONTROL!$C$42, 12.2615, 12.2615) * CHOOSE(CONTROL!$C$21, $C$9, 100%, $E$9)</f>
        <v>12.2615</v>
      </c>
      <c r="Q347" s="10">
        <f>CHOOSE(CONTROL!$C$42, 12.9319, 12.9319) * CHOOSE(CONTROL!$C$21, $C$9, 100%, $E$9)</f>
        <v>12.931900000000001</v>
      </c>
      <c r="R347" s="10">
        <f>CHOOSE(CONTROL!$C$42, 13.5512, 13.5512) * CHOOSE(CONTROL!$C$21, $C$9, 100%, $E$9)</f>
        <v>13.5512</v>
      </c>
      <c r="S347" s="10">
        <f>CHOOSE(CONTROL!$C$42, 12.0006, 12.0006) * CHOOSE(CONTROL!$C$21, $C$9, 100%, $E$9)</f>
        <v>12.0006</v>
      </c>
      <c r="T3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57">
        <f>(1000*CHOOSE(CONTROL!$C$42, 695, 695)*CHOOSE(CONTROL!$C$42, 0.5599, 0.5599)*CHOOSE(CONTROL!$C$42, 30, 30))/1000000</f>
        <v>11.673914999999997</v>
      </c>
      <c r="V347" s="57">
        <f>(1000*CHOOSE(CONTROL!$C$42, 500, 500)*CHOOSE(CONTROL!$C$42, 0.275, 0.275)*CHOOSE(CONTROL!$C$42, 30, 30))/1000000</f>
        <v>4.125</v>
      </c>
      <c r="W347" s="57">
        <f>(1000*CHOOSE(CONTROL!$C$42, 0.1146, 0.1146)*CHOOSE(CONTROL!$C$42, 121.5, 121.5)*CHOOSE(CONTROL!$C$42, 30, 30))/1000000</f>
        <v>0.417717</v>
      </c>
      <c r="X347" s="57">
        <f>(30*0.1790888*100000/1000000)+(30*0.2374*100000/1000000)</f>
        <v>1.2494664</v>
      </c>
      <c r="Y347" s="57"/>
      <c r="Z347" s="10"/>
      <c r="AA347" s="56"/>
      <c r="AB347" s="50">
        <f>(B347*122.58+C347*297.941+D347*89.177+E347*40.302+F347*40+G347*160+H347*0+I347*100+J347*300)/(122.58+297.941+89.177+40.302+0+40+160+100+300)</f>
        <v>12.369280039217392</v>
      </c>
      <c r="AC347" s="45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12.286858992805756</v>
      </c>
    </row>
    <row r="348" spans="1:29" ht="15.75" x14ac:dyDescent="0.25">
      <c r="A348" s="14">
        <v>51501</v>
      </c>
      <c r="B348" s="10">
        <f>CHOOSE(CONTROL!$C$42, 13.2025, 13.2025) * CHOOSE(CONTROL!$C$21, $C$9, 100%, $E$9)</f>
        <v>13.202500000000001</v>
      </c>
      <c r="C348" s="10">
        <f>CHOOSE(CONTROL!$C$42, 13.2074, 13.2074) * CHOOSE(CONTROL!$C$21, $C$9, 100%, $E$9)</f>
        <v>13.2074</v>
      </c>
      <c r="D348" s="10">
        <f>CHOOSE(CONTROL!$C$42, 13.2679, 13.2679) * CHOOSE(CONTROL!$C$21, $C$9, 100%, $E$9)</f>
        <v>13.267899999999999</v>
      </c>
      <c r="E348" s="10">
        <f>CHOOSE(CONTROL!$C$42, 13.3017, 13.3017) * CHOOSE(CONTROL!$C$21, $C$9, 100%, $E$9)</f>
        <v>13.3017</v>
      </c>
      <c r="F348" s="10">
        <f>CHOOSE(CONTROL!$C$42, 13.1999, 13.1999)*CHOOSE(CONTROL!$C$21, $C$9, 100%, $E$9)</f>
        <v>13.1999</v>
      </c>
      <c r="G348" s="10">
        <f>CHOOSE(CONTROL!$C$42, 13.2156, 13.2156)*CHOOSE(CONTROL!$C$21, $C$9, 100%, $E$9)</f>
        <v>13.2156</v>
      </c>
      <c r="H348" s="10">
        <f>CHOOSE(CONTROL!$C$42, 13.2909, 13.2909) * CHOOSE(CONTROL!$C$21, $C$9, 100%, $E$9)</f>
        <v>13.290900000000001</v>
      </c>
      <c r="I348" s="10">
        <f>CHOOSE(CONTROL!$C$42, 13.215, 13.215)* CHOOSE(CONTROL!$C$21, $C$9, 100%, $E$9)</f>
        <v>13.215</v>
      </c>
      <c r="J348" s="10">
        <f>CHOOSE(CONTROL!$C$42, 13.1929, 13.1929)* CHOOSE(CONTROL!$C$21, $C$9, 100%, $E$9)</f>
        <v>13.1929</v>
      </c>
      <c r="K348" s="53">
        <f>CHOOSE(CONTROL!$C$42, 13.2111, 13.2111) * CHOOSE(CONTROL!$C$21, $C$9, 100%, $E$9)</f>
        <v>13.2111</v>
      </c>
      <c r="L348" s="10">
        <f>CHOOSE(CONTROL!$C$42, 13.8779, 13.8779) * CHOOSE(CONTROL!$C$21, $C$9, 100%, $E$9)</f>
        <v>13.8779</v>
      </c>
      <c r="M348" s="10">
        <f>CHOOSE(CONTROL!$C$42, 13.0736, 13.0736) * CHOOSE(CONTROL!$C$21, $C$9, 100%, $E$9)</f>
        <v>13.073600000000001</v>
      </c>
      <c r="N348" s="10">
        <f>CHOOSE(CONTROL!$C$42, 13.0891, 13.0891) * CHOOSE(CONTROL!$C$21, $C$9, 100%, $E$9)</f>
        <v>13.0891</v>
      </c>
      <c r="O348" s="10">
        <f>CHOOSE(CONTROL!$C$42, 13.1706, 13.1706) * CHOOSE(CONTROL!$C$21, $C$9, 100%, $E$9)</f>
        <v>13.1706</v>
      </c>
      <c r="P348" s="10">
        <f>CHOOSE(CONTROL!$C$42, 13.0955, 13.0955) * CHOOSE(CONTROL!$C$21, $C$9, 100%, $E$9)</f>
        <v>13.095499999999999</v>
      </c>
      <c r="Q348" s="10">
        <f>CHOOSE(CONTROL!$C$42, 13.7659, 13.7659) * CHOOSE(CONTROL!$C$21, $C$9, 100%, $E$9)</f>
        <v>13.7659</v>
      </c>
      <c r="R348" s="10">
        <f>CHOOSE(CONTROL!$C$42, 14.3873, 14.3873) * CHOOSE(CONTROL!$C$21, $C$9, 100%, $E$9)</f>
        <v>14.3873</v>
      </c>
      <c r="S348" s="10">
        <f>CHOOSE(CONTROL!$C$42, 12.8188, 12.8188) * CHOOSE(CONTROL!$C$21, $C$9, 100%, $E$9)</f>
        <v>12.8188</v>
      </c>
      <c r="T3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57">
        <f>(1000*CHOOSE(CONTROL!$C$42, 695, 695)*CHOOSE(CONTROL!$C$42, 0.5599, 0.5599)*CHOOSE(CONTROL!$C$42, 31, 31))/1000000</f>
        <v>12.063045499999998</v>
      </c>
      <c r="V348" s="57">
        <f>(1000*CHOOSE(CONTROL!$C$42, 500, 500)*CHOOSE(CONTROL!$C$42, 0.275, 0.275)*CHOOSE(CONTROL!$C$42, 31, 31))/1000000</f>
        <v>4.2625000000000002</v>
      </c>
      <c r="W348" s="57">
        <f>(1000*CHOOSE(CONTROL!$C$42, 0.1146, 0.1146)*CHOOSE(CONTROL!$C$42, 121.5, 121.5)*CHOOSE(CONTROL!$C$42, 31, 31))/1000000</f>
        <v>0.43164089999999994</v>
      </c>
      <c r="X348" s="57">
        <f>(31*0.1790888*100000/1000000)+(31*0.2374*100000/1000000)</f>
        <v>1.2911152800000001</v>
      </c>
      <c r="Y348" s="57"/>
      <c r="Z348" s="10"/>
      <c r="AA348" s="56"/>
      <c r="AB348" s="50">
        <f>(B348*122.58+C348*297.941+D348*89.177+E348*40.302+F348*40+G348*160+H348*0+I348*100+J348*300)/(122.58+297.941+89.177+40.302+0+40+160+100+300)</f>
        <v>13.212632213130435</v>
      </c>
      <c r="AC348" s="45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13.121607194244604</v>
      </c>
    </row>
    <row r="349" spans="1:29" ht="15.75" x14ac:dyDescent="0.25">
      <c r="A349" s="14">
        <v>51532</v>
      </c>
      <c r="B349" s="10">
        <f>CHOOSE(CONTROL!$C$42, 14.284, 14.284) * CHOOSE(CONTROL!$C$21, $C$9, 100%, $E$9)</f>
        <v>14.284000000000001</v>
      </c>
      <c r="C349" s="10">
        <f>CHOOSE(CONTROL!$C$42, 14.2889, 14.2889) * CHOOSE(CONTROL!$C$21, $C$9, 100%, $E$9)</f>
        <v>14.2889</v>
      </c>
      <c r="D349" s="10">
        <f>CHOOSE(CONTROL!$C$42, 14.346, 14.346) * CHOOSE(CONTROL!$C$21, $C$9, 100%, $E$9)</f>
        <v>14.346</v>
      </c>
      <c r="E349" s="10">
        <f>CHOOSE(CONTROL!$C$42, 14.3798, 14.3798) * CHOOSE(CONTROL!$C$21, $C$9, 100%, $E$9)</f>
        <v>14.379799999999999</v>
      </c>
      <c r="F349" s="10">
        <f>CHOOSE(CONTROL!$C$42, 14.2818, 14.2818)*CHOOSE(CONTROL!$C$21, $C$9, 100%, $E$9)</f>
        <v>14.2818</v>
      </c>
      <c r="G349" s="10">
        <f>CHOOSE(CONTROL!$C$42, 14.2964, 14.2964)*CHOOSE(CONTROL!$C$21, $C$9, 100%, $E$9)</f>
        <v>14.2964</v>
      </c>
      <c r="H349" s="10">
        <f>CHOOSE(CONTROL!$C$42, 14.369, 14.369) * CHOOSE(CONTROL!$C$21, $C$9, 100%, $E$9)</f>
        <v>14.369</v>
      </c>
      <c r="I349" s="10">
        <f>CHOOSE(CONTROL!$C$42, 14.2948, 14.2948)* CHOOSE(CONTROL!$C$21, $C$9, 100%, $E$9)</f>
        <v>14.2948</v>
      </c>
      <c r="J349" s="10">
        <f>CHOOSE(CONTROL!$C$42, 14.2748, 14.2748)* CHOOSE(CONTROL!$C$21, $C$9, 100%, $E$9)</f>
        <v>14.274800000000001</v>
      </c>
      <c r="K349" s="53">
        <f>CHOOSE(CONTROL!$C$42, 14.2909, 14.2909) * CHOOSE(CONTROL!$C$21, $C$9, 100%, $E$9)</f>
        <v>14.290900000000001</v>
      </c>
      <c r="L349" s="10">
        <f>CHOOSE(CONTROL!$C$42, 14.956, 14.956) * CHOOSE(CONTROL!$C$21, $C$9, 100%, $E$9)</f>
        <v>14.956</v>
      </c>
      <c r="M349" s="10">
        <f>CHOOSE(CONTROL!$C$42, 14.1446, 14.1446) * CHOOSE(CONTROL!$C$21, $C$9, 100%, $E$9)</f>
        <v>14.144600000000001</v>
      </c>
      <c r="N349" s="10">
        <f>CHOOSE(CONTROL!$C$42, 14.159, 14.159) * CHOOSE(CONTROL!$C$21, $C$9, 100%, $E$9)</f>
        <v>14.159000000000001</v>
      </c>
      <c r="O349" s="10">
        <f>CHOOSE(CONTROL!$C$42, 14.2378, 14.2378) * CHOOSE(CONTROL!$C$21, $C$9, 100%, $E$9)</f>
        <v>14.2378</v>
      </c>
      <c r="P349" s="10">
        <f>CHOOSE(CONTROL!$C$42, 14.1644, 14.1644) * CHOOSE(CONTROL!$C$21, $C$9, 100%, $E$9)</f>
        <v>14.164400000000001</v>
      </c>
      <c r="Q349" s="10">
        <f>CHOOSE(CONTROL!$C$42, 14.8331, 14.8331) * CHOOSE(CONTROL!$C$21, $C$9, 100%, $E$9)</f>
        <v>14.8331</v>
      </c>
      <c r="R349" s="10">
        <f>CHOOSE(CONTROL!$C$42, 15.4572, 15.4572) * CHOOSE(CONTROL!$C$21, $C$9, 100%, $E$9)</f>
        <v>15.4572</v>
      </c>
      <c r="S349" s="10">
        <f>CHOOSE(CONTROL!$C$42, 13.869, 13.869) * CHOOSE(CONTROL!$C$21, $C$9, 100%, $E$9)</f>
        <v>13.869</v>
      </c>
      <c r="T3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57">
        <f>(1000*CHOOSE(CONTROL!$C$42, 695, 695)*CHOOSE(CONTROL!$C$42, 0.5599, 0.5599)*CHOOSE(CONTROL!$C$42, 31, 31))/1000000</f>
        <v>12.063045499999998</v>
      </c>
      <c r="V349" s="57">
        <f>(1000*CHOOSE(CONTROL!$C$42, 500, 500)*CHOOSE(CONTROL!$C$42, 0.275, 0.275)*CHOOSE(CONTROL!$C$42, 31, 31))/1000000</f>
        <v>4.2625000000000002</v>
      </c>
      <c r="W349" s="57">
        <f>(1000*CHOOSE(CONTROL!$C$42, 0.1146, 0.1146)*CHOOSE(CONTROL!$C$42, 121.5, 121.5)*CHOOSE(CONTROL!$C$42, 31, 31))/1000000</f>
        <v>0.43164089999999994</v>
      </c>
      <c r="X349" s="57">
        <f>(31*0.1790888*100000/1000000)+(31*0.2374*100000/1000000)</f>
        <v>1.2911152800000001</v>
      </c>
      <c r="Y349" s="57"/>
      <c r="Z349" s="10"/>
      <c r="AA349" s="56"/>
      <c r="AB349" s="50">
        <f>(B349*122.58+C349*297.941+D349*89.177+E349*40.302+F349*40+G349*160+H349*0+I349*100+J349*300)/(122.58+297.941+89.177+40.302+0+40+160+100+300)</f>
        <v>14.293622449130432</v>
      </c>
      <c r="AC349" s="45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14.190519424460435</v>
      </c>
    </row>
    <row r="350" spans="1:29" ht="15.75" x14ac:dyDescent="0.25">
      <c r="A350" s="14">
        <v>51560</v>
      </c>
      <c r="B350" s="10">
        <f>CHOOSE(CONTROL!$C$42, 14.5382, 14.5382) * CHOOSE(CONTROL!$C$21, $C$9, 100%, $E$9)</f>
        <v>14.5382</v>
      </c>
      <c r="C350" s="10">
        <f>CHOOSE(CONTROL!$C$42, 14.5432, 14.5432) * CHOOSE(CONTROL!$C$21, $C$9, 100%, $E$9)</f>
        <v>14.543200000000001</v>
      </c>
      <c r="D350" s="10">
        <f>CHOOSE(CONTROL!$C$42, 14.6002, 14.6002) * CHOOSE(CONTROL!$C$21, $C$9, 100%, $E$9)</f>
        <v>14.600199999999999</v>
      </c>
      <c r="E350" s="10">
        <f>CHOOSE(CONTROL!$C$42, 14.634, 14.634) * CHOOSE(CONTROL!$C$21, $C$9, 100%, $E$9)</f>
        <v>14.634</v>
      </c>
      <c r="F350" s="10">
        <f>CHOOSE(CONTROL!$C$42, 14.5361, 14.5361)*CHOOSE(CONTROL!$C$21, $C$9, 100%, $E$9)</f>
        <v>14.536099999999999</v>
      </c>
      <c r="G350" s="10">
        <f>CHOOSE(CONTROL!$C$42, 14.5508, 14.5508)*CHOOSE(CONTROL!$C$21, $C$9, 100%, $E$9)</f>
        <v>14.550800000000001</v>
      </c>
      <c r="H350" s="10">
        <f>CHOOSE(CONTROL!$C$42, 14.6232, 14.6232) * CHOOSE(CONTROL!$C$21, $C$9, 100%, $E$9)</f>
        <v>14.623200000000001</v>
      </c>
      <c r="I350" s="10">
        <f>CHOOSE(CONTROL!$C$42, 14.549, 14.549)* CHOOSE(CONTROL!$C$21, $C$9, 100%, $E$9)</f>
        <v>14.548999999999999</v>
      </c>
      <c r="J350" s="10">
        <f>CHOOSE(CONTROL!$C$42, 14.5291, 14.5291)* CHOOSE(CONTROL!$C$21, $C$9, 100%, $E$9)</f>
        <v>14.5291</v>
      </c>
      <c r="K350" s="53">
        <f>CHOOSE(CONTROL!$C$42, 14.5451, 14.5451) * CHOOSE(CONTROL!$C$21, $C$9, 100%, $E$9)</f>
        <v>14.5451</v>
      </c>
      <c r="L350" s="10">
        <f>CHOOSE(CONTROL!$C$42, 15.2102, 15.2102) * CHOOSE(CONTROL!$C$21, $C$9, 100%, $E$9)</f>
        <v>15.2102</v>
      </c>
      <c r="M350" s="10">
        <f>CHOOSE(CONTROL!$C$42, 14.3963, 14.3963) * CHOOSE(CONTROL!$C$21, $C$9, 100%, $E$9)</f>
        <v>14.3963</v>
      </c>
      <c r="N350" s="10">
        <f>CHOOSE(CONTROL!$C$42, 14.4108, 14.4108) * CHOOSE(CONTROL!$C$21, $C$9, 100%, $E$9)</f>
        <v>14.4108</v>
      </c>
      <c r="O350" s="10">
        <f>CHOOSE(CONTROL!$C$42, 14.4895, 14.4895) * CHOOSE(CONTROL!$C$21, $C$9, 100%, $E$9)</f>
        <v>14.4895</v>
      </c>
      <c r="P350" s="10">
        <f>CHOOSE(CONTROL!$C$42, 14.416, 14.416) * CHOOSE(CONTROL!$C$21, $C$9, 100%, $E$9)</f>
        <v>14.416</v>
      </c>
      <c r="Q350" s="10">
        <f>CHOOSE(CONTROL!$C$42, 15.0848, 15.0848) * CHOOSE(CONTROL!$C$21, $C$9, 100%, $E$9)</f>
        <v>15.0848</v>
      </c>
      <c r="R350" s="10">
        <f>CHOOSE(CONTROL!$C$42, 15.7095, 15.7095) * CHOOSE(CONTROL!$C$21, $C$9, 100%, $E$9)</f>
        <v>15.7095</v>
      </c>
      <c r="S350" s="10">
        <f>CHOOSE(CONTROL!$C$42, 14.1159, 14.1159) * CHOOSE(CONTROL!$C$21, $C$9, 100%, $E$9)</f>
        <v>14.1159</v>
      </c>
      <c r="T3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57">
        <f>(1000*CHOOSE(CONTROL!$C$42, 695, 695)*CHOOSE(CONTROL!$C$42, 0.5599, 0.5599)*CHOOSE(CONTROL!$C$42, 28, 28))/1000000</f>
        <v>10.895653999999999</v>
      </c>
      <c r="V350" s="57">
        <f>(1000*CHOOSE(CONTROL!$C$42, 500, 500)*CHOOSE(CONTROL!$C$42, 0.275, 0.275)*CHOOSE(CONTROL!$C$42, 28, 28))/1000000</f>
        <v>3.85</v>
      </c>
      <c r="W350" s="57">
        <f>(1000*CHOOSE(CONTROL!$C$42, 0.1146, 0.1146)*CHOOSE(CONTROL!$C$42, 121.5, 121.5)*CHOOSE(CONTROL!$C$42, 28, 28))/1000000</f>
        <v>0.38986920000000003</v>
      </c>
      <c r="X350" s="57">
        <f>(28*0.1790888*100000/1000000)+(28*0.2374*100000/1000000)</f>
        <v>1.16616864</v>
      </c>
      <c r="Y350" s="57"/>
      <c r="Z350" s="10"/>
      <c r="AA350" s="56"/>
      <c r="AB350" s="50">
        <f>(B350*122.58+C350*297.941+D350*89.177+E350*40.302+F350*40+G350*160+H350*0+I350*100+J350*300)/(122.58+297.941+89.177+40.302+0+40+160+100+300)</f>
        <v>14.547905748347826</v>
      </c>
      <c r="AC350" s="45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14.442210791366906</v>
      </c>
    </row>
    <row r="351" spans="1:29" ht="15.75" x14ac:dyDescent="0.25">
      <c r="A351" s="14">
        <v>51591</v>
      </c>
      <c r="B351" s="10">
        <f>CHOOSE(CONTROL!$C$42, 14.1255, 14.1255) * CHOOSE(CONTROL!$C$21, $C$9, 100%, $E$9)</f>
        <v>14.125500000000001</v>
      </c>
      <c r="C351" s="10">
        <f>CHOOSE(CONTROL!$C$42, 14.1305, 14.1305) * CHOOSE(CONTROL!$C$21, $C$9, 100%, $E$9)</f>
        <v>14.1305</v>
      </c>
      <c r="D351" s="10">
        <f>CHOOSE(CONTROL!$C$42, 14.1876, 14.1876) * CHOOSE(CONTROL!$C$21, $C$9, 100%, $E$9)</f>
        <v>14.1876</v>
      </c>
      <c r="E351" s="10">
        <f>CHOOSE(CONTROL!$C$42, 14.2213, 14.2213) * CHOOSE(CONTROL!$C$21, $C$9, 100%, $E$9)</f>
        <v>14.221299999999999</v>
      </c>
      <c r="F351" s="10">
        <f>CHOOSE(CONTROL!$C$42, 14.1233, 14.1233)*CHOOSE(CONTROL!$C$21, $C$9, 100%, $E$9)</f>
        <v>14.1233</v>
      </c>
      <c r="G351" s="10">
        <f>CHOOSE(CONTROL!$C$42, 14.138, 14.138)*CHOOSE(CONTROL!$C$21, $C$9, 100%, $E$9)</f>
        <v>14.138</v>
      </c>
      <c r="H351" s="10">
        <f>CHOOSE(CONTROL!$C$42, 14.2105, 14.2105) * CHOOSE(CONTROL!$C$21, $C$9, 100%, $E$9)</f>
        <v>14.2105</v>
      </c>
      <c r="I351" s="10">
        <f>CHOOSE(CONTROL!$C$42, 14.1363, 14.1363)* CHOOSE(CONTROL!$C$21, $C$9, 100%, $E$9)</f>
        <v>14.1363</v>
      </c>
      <c r="J351" s="10">
        <f>CHOOSE(CONTROL!$C$42, 14.1163, 14.1163)* CHOOSE(CONTROL!$C$21, $C$9, 100%, $E$9)</f>
        <v>14.116300000000001</v>
      </c>
      <c r="K351" s="53">
        <f>CHOOSE(CONTROL!$C$42, 14.1324, 14.1324) * CHOOSE(CONTROL!$C$21, $C$9, 100%, $E$9)</f>
        <v>14.132400000000001</v>
      </c>
      <c r="L351" s="10">
        <f>CHOOSE(CONTROL!$C$42, 14.7975, 14.7975) * CHOOSE(CONTROL!$C$21, $C$9, 100%, $E$9)</f>
        <v>14.797499999999999</v>
      </c>
      <c r="M351" s="10">
        <f>CHOOSE(CONTROL!$C$42, 13.9877, 13.9877) * CHOOSE(CONTROL!$C$21, $C$9, 100%, $E$9)</f>
        <v>13.9877</v>
      </c>
      <c r="N351" s="10">
        <f>CHOOSE(CONTROL!$C$42, 14.0022, 14.0022) * CHOOSE(CONTROL!$C$21, $C$9, 100%, $E$9)</f>
        <v>14.0022</v>
      </c>
      <c r="O351" s="10">
        <f>CHOOSE(CONTROL!$C$42, 14.081, 14.081) * CHOOSE(CONTROL!$C$21, $C$9, 100%, $E$9)</f>
        <v>14.081</v>
      </c>
      <c r="P351" s="10">
        <f>CHOOSE(CONTROL!$C$42, 14.0075, 14.0075) * CHOOSE(CONTROL!$C$21, $C$9, 100%, $E$9)</f>
        <v>14.0075</v>
      </c>
      <c r="Q351" s="10">
        <f>CHOOSE(CONTROL!$C$42, 14.6763, 14.6763) * CHOOSE(CONTROL!$C$21, $C$9, 100%, $E$9)</f>
        <v>14.676299999999999</v>
      </c>
      <c r="R351" s="10">
        <f>CHOOSE(CONTROL!$C$42, 15.2999, 15.2999) * CHOOSE(CONTROL!$C$21, $C$9, 100%, $E$9)</f>
        <v>15.299899999999999</v>
      </c>
      <c r="S351" s="10">
        <f>CHOOSE(CONTROL!$C$42, 13.7152, 13.7152) * CHOOSE(CONTROL!$C$21, $C$9, 100%, $E$9)</f>
        <v>13.715199999999999</v>
      </c>
      <c r="T3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57">
        <f>(1000*CHOOSE(CONTROL!$C$42, 695, 695)*CHOOSE(CONTROL!$C$42, 0.5599, 0.5599)*CHOOSE(CONTROL!$C$42, 31, 31))/1000000</f>
        <v>12.063045499999998</v>
      </c>
      <c r="V351" s="57">
        <f>(1000*CHOOSE(CONTROL!$C$42, 500, 500)*CHOOSE(CONTROL!$C$42, 0.275, 0.275)*CHOOSE(CONTROL!$C$42, 31, 31))/1000000</f>
        <v>4.2625000000000002</v>
      </c>
      <c r="W351" s="57">
        <f>(1000*CHOOSE(CONTROL!$C$42, 0.1146, 0.1146)*CHOOSE(CONTROL!$C$42, 121.5, 121.5)*CHOOSE(CONTROL!$C$42, 31, 31))/1000000</f>
        <v>0.43164089999999994</v>
      </c>
      <c r="X351" s="57">
        <f>(31*0.1790888*100000/1000000)+(31*0.2374*100000/1000000)</f>
        <v>1.2911152800000001</v>
      </c>
      <c r="Y351" s="57"/>
      <c r="Z351" s="10"/>
      <c r="AA351" s="56"/>
      <c r="AB351" s="50">
        <f>(B351*122.58+C351*297.941+D351*89.177+E351*40.302+F351*40+G351*160+H351*0+I351*100+J351*300)/(122.58+297.941+89.177+40.302+0+40+160+100+300)</f>
        <v>14.135170024608694</v>
      </c>
      <c r="AC351" s="45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14.033670503597122</v>
      </c>
    </row>
    <row r="352" spans="1:29" ht="15.75" x14ac:dyDescent="0.25">
      <c r="A352" s="14">
        <v>51621</v>
      </c>
      <c r="B352" s="10">
        <f>CHOOSE(CONTROL!$C$42, 14.0844, 14.0844) * CHOOSE(CONTROL!$C$21, $C$9, 100%, $E$9)</f>
        <v>14.0844</v>
      </c>
      <c r="C352" s="10">
        <f>CHOOSE(CONTROL!$C$42, 14.0888, 14.0888) * CHOOSE(CONTROL!$C$21, $C$9, 100%, $E$9)</f>
        <v>14.088800000000001</v>
      </c>
      <c r="D352" s="10">
        <f>CHOOSE(CONTROL!$C$42, 14.2947, 14.2947) * CHOOSE(CONTROL!$C$21, $C$9, 100%, $E$9)</f>
        <v>14.294700000000001</v>
      </c>
      <c r="E352" s="10">
        <f>CHOOSE(CONTROL!$C$42, 14.3265, 14.3265) * CHOOSE(CONTROL!$C$21, $C$9, 100%, $E$9)</f>
        <v>14.326499999999999</v>
      </c>
      <c r="F352" s="10">
        <f>CHOOSE(CONTROL!$C$42, 14.0612, 14.0612)*CHOOSE(CONTROL!$C$21, $C$9, 100%, $E$9)</f>
        <v>14.061199999999999</v>
      </c>
      <c r="G352" s="10">
        <f>CHOOSE(CONTROL!$C$42, 14.0757, 14.0757)*CHOOSE(CONTROL!$C$21, $C$9, 100%, $E$9)</f>
        <v>14.075699999999999</v>
      </c>
      <c r="H352" s="10">
        <f>CHOOSE(CONTROL!$C$42, 14.3162, 14.3162) * CHOOSE(CONTROL!$C$21, $C$9, 100%, $E$9)</f>
        <v>14.3162</v>
      </c>
      <c r="I352" s="10">
        <f>CHOOSE(CONTROL!$C$42, 14.0859, 14.0859)* CHOOSE(CONTROL!$C$21, $C$9, 100%, $E$9)</f>
        <v>14.085900000000001</v>
      </c>
      <c r="J352" s="10">
        <f>CHOOSE(CONTROL!$C$42, 14.0542, 14.0542)* CHOOSE(CONTROL!$C$21, $C$9, 100%, $E$9)</f>
        <v>14.0542</v>
      </c>
      <c r="K352" s="53">
        <f>CHOOSE(CONTROL!$C$42, 14.082, 14.082) * CHOOSE(CONTROL!$C$21, $C$9, 100%, $E$9)</f>
        <v>14.082000000000001</v>
      </c>
      <c r="L352" s="10">
        <f>CHOOSE(CONTROL!$C$42, 14.9032, 14.9032) * CHOOSE(CONTROL!$C$21, $C$9, 100%, $E$9)</f>
        <v>14.9032</v>
      </c>
      <c r="M352" s="10">
        <f>CHOOSE(CONTROL!$C$42, 13.9262, 13.9262) * CHOOSE(CONTROL!$C$21, $C$9, 100%, $E$9)</f>
        <v>13.9262</v>
      </c>
      <c r="N352" s="10">
        <f>CHOOSE(CONTROL!$C$42, 13.9406, 13.9406) * CHOOSE(CONTROL!$C$21, $C$9, 100%, $E$9)</f>
        <v>13.9406</v>
      </c>
      <c r="O352" s="10">
        <f>CHOOSE(CONTROL!$C$42, 14.1856, 14.1856) * CHOOSE(CONTROL!$C$21, $C$9, 100%, $E$9)</f>
        <v>14.185600000000001</v>
      </c>
      <c r="P352" s="10">
        <f>CHOOSE(CONTROL!$C$42, 13.9576, 13.9576) * CHOOSE(CONTROL!$C$21, $C$9, 100%, $E$9)</f>
        <v>13.957599999999999</v>
      </c>
      <c r="Q352" s="10">
        <f>CHOOSE(CONTROL!$C$42, 14.7809, 14.7809) * CHOOSE(CONTROL!$C$21, $C$9, 100%, $E$9)</f>
        <v>14.780900000000001</v>
      </c>
      <c r="R352" s="10">
        <f>CHOOSE(CONTROL!$C$42, 15.4048, 15.4048) * CHOOSE(CONTROL!$C$21, $C$9, 100%, $E$9)</f>
        <v>15.4048</v>
      </c>
      <c r="S352" s="10">
        <f>CHOOSE(CONTROL!$C$42, 13.6745, 13.6745) * CHOOSE(CONTROL!$C$21, $C$9, 100%, $E$9)</f>
        <v>13.6745</v>
      </c>
      <c r="T3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57">
        <f>(1000*CHOOSE(CONTROL!$C$42, 695, 695)*CHOOSE(CONTROL!$C$42, 0.5599, 0.5599)*CHOOSE(CONTROL!$C$42, 30, 30))/1000000</f>
        <v>11.673914999999997</v>
      </c>
      <c r="V352" s="57">
        <f>(1000*CHOOSE(CONTROL!$C$42, 500, 500)*CHOOSE(CONTROL!$C$42, 0.275, 0.275)*CHOOSE(CONTROL!$C$42, 30, 30))/1000000</f>
        <v>4.125</v>
      </c>
      <c r="W352" s="57">
        <f>(1000*CHOOSE(CONTROL!$C$42, 0.1146, 0.1146)*CHOOSE(CONTROL!$C$42, 121.5, 121.5)*CHOOSE(CONTROL!$C$42, 30, 30))/1000000</f>
        <v>0.417717</v>
      </c>
      <c r="X352" s="57">
        <f>(30*0.1790888*245000/1000000)+(30*0.2374*100000/1000000)</f>
        <v>2.0285026799999999</v>
      </c>
      <c r="Y352" s="57"/>
      <c r="Z352" s="10"/>
      <c r="AA352" s="56"/>
      <c r="AB352" s="50">
        <f>(B352*141.293+C352*267.993+D352*115.016+E352*89.698+F352*40+G352*185+H352*0+I352*100+J352*300)/(141.293+267.993+115.016+89.698+0+40+185+100+300)</f>
        <v>14.113161436481032</v>
      </c>
      <c r="AC352" s="45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14.006814388489207</v>
      </c>
    </row>
    <row r="353" spans="1:29" ht="15.75" x14ac:dyDescent="0.25">
      <c r="A353" s="14">
        <v>51652</v>
      </c>
      <c r="B353" s="10">
        <f>CHOOSE(CONTROL!$C$42, 14.2101, 14.2101) * CHOOSE(CONTROL!$C$21, $C$9, 100%, $E$9)</f>
        <v>14.210100000000001</v>
      </c>
      <c r="C353" s="10">
        <f>CHOOSE(CONTROL!$C$42, 14.218, 14.218) * CHOOSE(CONTROL!$C$21, $C$9, 100%, $E$9)</f>
        <v>14.218</v>
      </c>
      <c r="D353" s="10">
        <f>CHOOSE(CONTROL!$C$42, 14.4207, 14.4207) * CHOOSE(CONTROL!$C$21, $C$9, 100%, $E$9)</f>
        <v>14.4207</v>
      </c>
      <c r="E353" s="10">
        <f>CHOOSE(CONTROL!$C$42, 14.4519, 14.4519) * CHOOSE(CONTROL!$C$21, $C$9, 100%, $E$9)</f>
        <v>14.4519</v>
      </c>
      <c r="F353" s="10">
        <f>CHOOSE(CONTROL!$C$42, 14.1858, 14.1858)*CHOOSE(CONTROL!$C$21, $C$9, 100%, $E$9)</f>
        <v>14.1858</v>
      </c>
      <c r="G353" s="10">
        <f>CHOOSE(CONTROL!$C$42, 14.2008, 14.2008)*CHOOSE(CONTROL!$C$21, $C$9, 100%, $E$9)</f>
        <v>14.200799999999999</v>
      </c>
      <c r="H353" s="10">
        <f>CHOOSE(CONTROL!$C$42, 14.4405, 14.4405) * CHOOSE(CONTROL!$C$21, $C$9, 100%, $E$9)</f>
        <v>14.4405</v>
      </c>
      <c r="I353" s="10">
        <f>CHOOSE(CONTROL!$C$42, 14.2101, 14.2101)* CHOOSE(CONTROL!$C$21, $C$9, 100%, $E$9)</f>
        <v>14.210100000000001</v>
      </c>
      <c r="J353" s="10">
        <f>CHOOSE(CONTROL!$C$42, 14.1788, 14.1788)* CHOOSE(CONTROL!$C$21, $C$9, 100%, $E$9)</f>
        <v>14.178800000000001</v>
      </c>
      <c r="K353" s="53">
        <f>CHOOSE(CONTROL!$C$42, 14.2062, 14.2062) * CHOOSE(CONTROL!$C$21, $C$9, 100%, $E$9)</f>
        <v>14.206200000000001</v>
      </c>
      <c r="L353" s="10">
        <f>CHOOSE(CONTROL!$C$42, 15.0275, 15.0275) * CHOOSE(CONTROL!$C$21, $C$9, 100%, $E$9)</f>
        <v>15.0275</v>
      </c>
      <c r="M353" s="10">
        <f>CHOOSE(CONTROL!$C$42, 14.0496, 14.0496) * CHOOSE(CONTROL!$C$21, $C$9, 100%, $E$9)</f>
        <v>14.0496</v>
      </c>
      <c r="N353" s="10">
        <f>CHOOSE(CONTROL!$C$42, 14.0644, 14.0644) * CHOOSE(CONTROL!$C$21, $C$9, 100%, $E$9)</f>
        <v>14.064399999999999</v>
      </c>
      <c r="O353" s="10">
        <f>CHOOSE(CONTROL!$C$42, 14.3086, 14.3086) * CHOOSE(CONTROL!$C$21, $C$9, 100%, $E$9)</f>
        <v>14.3086</v>
      </c>
      <c r="P353" s="10">
        <f>CHOOSE(CONTROL!$C$42, 14.0806, 14.0806) * CHOOSE(CONTROL!$C$21, $C$9, 100%, $E$9)</f>
        <v>14.0806</v>
      </c>
      <c r="Q353" s="10">
        <f>CHOOSE(CONTROL!$C$42, 14.9039, 14.9039) * CHOOSE(CONTROL!$C$21, $C$9, 100%, $E$9)</f>
        <v>14.9039</v>
      </c>
      <c r="R353" s="10">
        <f>CHOOSE(CONTROL!$C$42, 15.5282, 15.5282) * CHOOSE(CONTROL!$C$21, $C$9, 100%, $E$9)</f>
        <v>15.5282</v>
      </c>
      <c r="S353" s="10">
        <f>CHOOSE(CONTROL!$C$42, 13.7952, 13.7952) * CHOOSE(CONTROL!$C$21, $C$9, 100%, $E$9)</f>
        <v>13.795199999999999</v>
      </c>
      <c r="T3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57">
        <f>(1000*CHOOSE(CONTROL!$C$42, 695, 695)*CHOOSE(CONTROL!$C$42, 0.5599, 0.5599)*CHOOSE(CONTROL!$C$42, 31, 31))/1000000</f>
        <v>12.063045499999998</v>
      </c>
      <c r="V353" s="57">
        <f>(1000*CHOOSE(CONTROL!$C$42, 500, 500)*CHOOSE(CONTROL!$C$42, 0.275, 0.275)*CHOOSE(CONTROL!$C$42, 31, 31))/1000000</f>
        <v>4.2625000000000002</v>
      </c>
      <c r="W353" s="57">
        <f>(1000*CHOOSE(CONTROL!$C$42, 0.1146, 0.1146)*CHOOSE(CONTROL!$C$42, 121.5, 121.5)*CHOOSE(CONTROL!$C$42, 31, 31))/1000000</f>
        <v>0.43164089999999994</v>
      </c>
      <c r="X353" s="57">
        <f>(31*0.1790888*245000/1000000)+(31*0.2374*100000/1000000)</f>
        <v>2.0961194359999999</v>
      </c>
      <c r="Y353" s="57"/>
      <c r="Z353" s="10"/>
      <c r="AA353" s="56"/>
      <c r="AB353" s="50">
        <f>(B353*194.205+C353*267.466+D353*133.845+E353*53.484+F353*40+G353*185+H353*0+I353*100+J353*300)/(194.205+267.466+133.845+53.484+0+40+185+100+300)</f>
        <v>14.234551075039247</v>
      </c>
      <c r="AC353" s="45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14.130136690647481</v>
      </c>
    </row>
    <row r="354" spans="1:29" ht="15.75" x14ac:dyDescent="0.25">
      <c r="A354" s="14">
        <v>51682</v>
      </c>
      <c r="B354" s="10">
        <f>CHOOSE(CONTROL!$C$42, 14.613, 14.613) * CHOOSE(CONTROL!$C$21, $C$9, 100%, $E$9)</f>
        <v>14.613</v>
      </c>
      <c r="C354" s="10">
        <f>CHOOSE(CONTROL!$C$42, 14.6209, 14.6209) * CHOOSE(CONTROL!$C$21, $C$9, 100%, $E$9)</f>
        <v>14.620900000000001</v>
      </c>
      <c r="D354" s="10">
        <f>CHOOSE(CONTROL!$C$42, 14.8237, 14.8237) * CHOOSE(CONTROL!$C$21, $C$9, 100%, $E$9)</f>
        <v>14.823700000000001</v>
      </c>
      <c r="E354" s="10">
        <f>CHOOSE(CONTROL!$C$42, 14.8548, 14.8548) * CHOOSE(CONTROL!$C$21, $C$9, 100%, $E$9)</f>
        <v>14.854799999999999</v>
      </c>
      <c r="F354" s="10">
        <f>CHOOSE(CONTROL!$C$42, 14.5893, 14.5893)*CHOOSE(CONTROL!$C$21, $C$9, 100%, $E$9)</f>
        <v>14.5893</v>
      </c>
      <c r="G354" s="10">
        <f>CHOOSE(CONTROL!$C$42, 14.6044, 14.6044)*CHOOSE(CONTROL!$C$21, $C$9, 100%, $E$9)</f>
        <v>14.6044</v>
      </c>
      <c r="H354" s="10">
        <f>CHOOSE(CONTROL!$C$42, 14.8434, 14.8434) * CHOOSE(CONTROL!$C$21, $C$9, 100%, $E$9)</f>
        <v>14.843400000000001</v>
      </c>
      <c r="I354" s="10">
        <f>CHOOSE(CONTROL!$C$42, 14.6131, 14.6131)* CHOOSE(CONTROL!$C$21, $C$9, 100%, $E$9)</f>
        <v>14.613099999999999</v>
      </c>
      <c r="J354" s="10">
        <f>CHOOSE(CONTROL!$C$42, 14.5823, 14.5823)* CHOOSE(CONTROL!$C$21, $C$9, 100%, $E$9)</f>
        <v>14.5823</v>
      </c>
      <c r="K354" s="53">
        <f>CHOOSE(CONTROL!$C$42, 14.6092, 14.6092) * CHOOSE(CONTROL!$C$21, $C$9, 100%, $E$9)</f>
        <v>14.6092</v>
      </c>
      <c r="L354" s="10">
        <f>CHOOSE(CONTROL!$C$42, 15.4304, 15.4304) * CHOOSE(CONTROL!$C$21, $C$9, 100%, $E$9)</f>
        <v>15.430400000000001</v>
      </c>
      <c r="M354" s="10">
        <f>CHOOSE(CONTROL!$C$42, 14.4489, 14.4489) * CHOOSE(CONTROL!$C$21, $C$9, 100%, $E$9)</f>
        <v>14.4489</v>
      </c>
      <c r="N354" s="10">
        <f>CHOOSE(CONTROL!$C$42, 14.4639, 14.4639) * CHOOSE(CONTROL!$C$21, $C$9, 100%, $E$9)</f>
        <v>14.463900000000001</v>
      </c>
      <c r="O354" s="10">
        <f>CHOOSE(CONTROL!$C$42, 14.7075, 14.7075) * CHOOSE(CONTROL!$C$21, $C$9, 100%, $E$9)</f>
        <v>14.7075</v>
      </c>
      <c r="P354" s="10">
        <f>CHOOSE(CONTROL!$C$42, 14.4795, 14.4795) * CHOOSE(CONTROL!$C$21, $C$9, 100%, $E$9)</f>
        <v>14.4795</v>
      </c>
      <c r="Q354" s="10">
        <f>CHOOSE(CONTROL!$C$42, 15.3028, 15.3028) * CHOOSE(CONTROL!$C$21, $C$9, 100%, $E$9)</f>
        <v>15.3028</v>
      </c>
      <c r="R354" s="10">
        <f>CHOOSE(CONTROL!$C$42, 15.928, 15.928) * CHOOSE(CONTROL!$C$21, $C$9, 100%, $E$9)</f>
        <v>15.928000000000001</v>
      </c>
      <c r="S354" s="10">
        <f>CHOOSE(CONTROL!$C$42, 14.1865, 14.1865) * CHOOSE(CONTROL!$C$21, $C$9, 100%, $E$9)</f>
        <v>14.186500000000001</v>
      </c>
      <c r="T3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57">
        <f>(1000*CHOOSE(CONTROL!$C$42, 695, 695)*CHOOSE(CONTROL!$C$42, 0.5599, 0.5599)*CHOOSE(CONTROL!$C$42, 30, 30))/1000000</f>
        <v>11.673914999999997</v>
      </c>
      <c r="V354" s="57">
        <f>(1000*CHOOSE(CONTROL!$C$42, 500, 500)*CHOOSE(CONTROL!$C$42, 0.275, 0.275)*CHOOSE(CONTROL!$C$42, 30, 30))/1000000</f>
        <v>4.125</v>
      </c>
      <c r="W354" s="57">
        <f>(1000*CHOOSE(CONTROL!$C$42, 0.1146, 0.1146)*CHOOSE(CONTROL!$C$42, 121.5, 121.5)*CHOOSE(CONTROL!$C$42, 30, 30))/1000000</f>
        <v>0.417717</v>
      </c>
      <c r="X354" s="57">
        <f>(30*0.1790888*245000/1000000)+(30*0.2374*100000/1000000)</f>
        <v>2.0285026799999999</v>
      </c>
      <c r="Y354" s="57"/>
      <c r="Z354" s="10"/>
      <c r="AA354" s="56"/>
      <c r="AB354" s="50">
        <f>(B354*194.205+C354*267.466+D354*133.845+E354*53.484+F354*40+G354*185+H354*0+I354*100+J354*300)/(194.205+267.466+133.845+53.484+0+40+185+100+300)</f>
        <v>14.637731204160126</v>
      </c>
      <c r="AC354" s="45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14.529312949640289</v>
      </c>
    </row>
    <row r="355" spans="1:29" ht="15.75" x14ac:dyDescent="0.25">
      <c r="A355" s="14">
        <v>51713</v>
      </c>
      <c r="B355" s="10">
        <f>CHOOSE(CONTROL!$C$42, 14.3328, 14.3328) * CHOOSE(CONTROL!$C$21, $C$9, 100%, $E$9)</f>
        <v>14.332800000000001</v>
      </c>
      <c r="C355" s="10">
        <f>CHOOSE(CONTROL!$C$42, 14.3407, 14.3407) * CHOOSE(CONTROL!$C$21, $C$9, 100%, $E$9)</f>
        <v>14.3407</v>
      </c>
      <c r="D355" s="10">
        <f>CHOOSE(CONTROL!$C$42, 14.5434, 14.5434) * CHOOSE(CONTROL!$C$21, $C$9, 100%, $E$9)</f>
        <v>14.5434</v>
      </c>
      <c r="E355" s="10">
        <f>CHOOSE(CONTROL!$C$42, 14.5746, 14.5746) * CHOOSE(CONTROL!$C$21, $C$9, 100%, $E$9)</f>
        <v>14.5746</v>
      </c>
      <c r="F355" s="10">
        <f>CHOOSE(CONTROL!$C$42, 14.3095, 14.3095)*CHOOSE(CONTROL!$C$21, $C$9, 100%, $E$9)</f>
        <v>14.3095</v>
      </c>
      <c r="G355" s="10">
        <f>CHOOSE(CONTROL!$C$42, 14.3248, 14.3248)*CHOOSE(CONTROL!$C$21, $C$9, 100%, $E$9)</f>
        <v>14.3248</v>
      </c>
      <c r="H355" s="10">
        <f>CHOOSE(CONTROL!$C$42, 14.5632, 14.5632) * CHOOSE(CONTROL!$C$21, $C$9, 100%, $E$9)</f>
        <v>14.5632</v>
      </c>
      <c r="I355" s="10">
        <f>CHOOSE(CONTROL!$C$42, 14.3328, 14.3328)* CHOOSE(CONTROL!$C$21, $C$9, 100%, $E$9)</f>
        <v>14.332800000000001</v>
      </c>
      <c r="J355" s="10">
        <f>CHOOSE(CONTROL!$C$42, 14.3025, 14.3025)* CHOOSE(CONTROL!$C$21, $C$9, 100%, $E$9)</f>
        <v>14.3025</v>
      </c>
      <c r="K355" s="53">
        <f>CHOOSE(CONTROL!$C$42, 14.3289, 14.3289) * CHOOSE(CONTROL!$C$21, $C$9, 100%, $E$9)</f>
        <v>14.328900000000001</v>
      </c>
      <c r="L355" s="10">
        <f>CHOOSE(CONTROL!$C$42, 15.1502, 15.1502) * CHOOSE(CONTROL!$C$21, $C$9, 100%, $E$9)</f>
        <v>15.1502</v>
      </c>
      <c r="M355" s="10">
        <f>CHOOSE(CONTROL!$C$42, 14.172, 14.172) * CHOOSE(CONTROL!$C$21, $C$9, 100%, $E$9)</f>
        <v>14.172000000000001</v>
      </c>
      <c r="N355" s="10">
        <f>CHOOSE(CONTROL!$C$42, 14.1871, 14.1871) * CHOOSE(CONTROL!$C$21, $C$9, 100%, $E$9)</f>
        <v>14.187099999999999</v>
      </c>
      <c r="O355" s="10">
        <f>CHOOSE(CONTROL!$C$42, 14.4301, 14.4301) * CHOOSE(CONTROL!$C$21, $C$9, 100%, $E$9)</f>
        <v>14.430099999999999</v>
      </c>
      <c r="P355" s="10">
        <f>CHOOSE(CONTROL!$C$42, 14.202, 14.202) * CHOOSE(CONTROL!$C$21, $C$9, 100%, $E$9)</f>
        <v>14.202</v>
      </c>
      <c r="Q355" s="10">
        <f>CHOOSE(CONTROL!$C$42, 15.0254, 15.0254) * CHOOSE(CONTROL!$C$21, $C$9, 100%, $E$9)</f>
        <v>15.025399999999999</v>
      </c>
      <c r="R355" s="10">
        <f>CHOOSE(CONTROL!$C$42, 15.6499, 15.6499) * CHOOSE(CONTROL!$C$21, $C$9, 100%, $E$9)</f>
        <v>15.649900000000001</v>
      </c>
      <c r="S355" s="10">
        <f>CHOOSE(CONTROL!$C$42, 13.9143, 13.9143) * CHOOSE(CONTROL!$C$21, $C$9, 100%, $E$9)</f>
        <v>13.914300000000001</v>
      </c>
      <c r="T3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57">
        <f>(1000*CHOOSE(CONTROL!$C$42, 695, 695)*CHOOSE(CONTROL!$C$42, 0.5599, 0.5599)*CHOOSE(CONTROL!$C$42, 31, 31))/1000000</f>
        <v>12.063045499999998</v>
      </c>
      <c r="V355" s="57">
        <f>(1000*CHOOSE(CONTROL!$C$42, 500, 500)*CHOOSE(CONTROL!$C$42, 0.275, 0.275)*CHOOSE(CONTROL!$C$42, 31, 31))/1000000</f>
        <v>4.2625000000000002</v>
      </c>
      <c r="W355" s="57">
        <f>(1000*CHOOSE(CONTROL!$C$42, 0.1146, 0.1146)*CHOOSE(CONTROL!$C$42, 121.5, 121.5)*CHOOSE(CONTROL!$C$42, 31, 31))/1000000</f>
        <v>0.43164089999999994</v>
      </c>
      <c r="X355" s="57">
        <f>(31*0.1790888*245000/1000000)+(31*0.2374*100000/1000000)</f>
        <v>2.0961194359999999</v>
      </c>
      <c r="Y355" s="57"/>
      <c r="Z355" s="10"/>
      <c r="AA355" s="56"/>
      <c r="AB355" s="50">
        <f>(B355*194.205+C355*267.466+D355*133.845+E355*53.484+F355*40+G355*185+H355*0+I355*100+J355*300)/(194.205+267.466+133.845+53.484+0+40+185+100+300)</f>
        <v>14.357706726530612</v>
      </c>
      <c r="AC355" s="45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14.252209352517989</v>
      </c>
    </row>
    <row r="356" spans="1:29" ht="15.75" x14ac:dyDescent="0.25">
      <c r="A356" s="14">
        <v>51744</v>
      </c>
      <c r="B356" s="10">
        <f>CHOOSE(CONTROL!$C$42, 13.6251, 13.6251) * CHOOSE(CONTROL!$C$21, $C$9, 100%, $E$9)</f>
        <v>13.6251</v>
      </c>
      <c r="C356" s="10">
        <f>CHOOSE(CONTROL!$C$42, 13.633, 13.633) * CHOOSE(CONTROL!$C$21, $C$9, 100%, $E$9)</f>
        <v>13.632999999999999</v>
      </c>
      <c r="D356" s="10">
        <f>CHOOSE(CONTROL!$C$42, 13.8357, 13.8357) * CHOOSE(CONTROL!$C$21, $C$9, 100%, $E$9)</f>
        <v>13.835699999999999</v>
      </c>
      <c r="E356" s="10">
        <f>CHOOSE(CONTROL!$C$42, 13.8669, 13.8669) * CHOOSE(CONTROL!$C$21, $C$9, 100%, $E$9)</f>
        <v>13.866899999999999</v>
      </c>
      <c r="F356" s="10">
        <f>CHOOSE(CONTROL!$C$42, 13.602, 13.602)*CHOOSE(CONTROL!$C$21, $C$9, 100%, $E$9)</f>
        <v>13.602</v>
      </c>
      <c r="G356" s="10">
        <f>CHOOSE(CONTROL!$C$42, 13.6173, 13.6173)*CHOOSE(CONTROL!$C$21, $C$9, 100%, $E$9)</f>
        <v>13.6173</v>
      </c>
      <c r="H356" s="10">
        <f>CHOOSE(CONTROL!$C$42, 13.8555, 13.8555) * CHOOSE(CONTROL!$C$21, $C$9, 100%, $E$9)</f>
        <v>13.855499999999999</v>
      </c>
      <c r="I356" s="10">
        <f>CHOOSE(CONTROL!$C$42, 13.6251, 13.6251)* CHOOSE(CONTROL!$C$21, $C$9, 100%, $E$9)</f>
        <v>13.6251</v>
      </c>
      <c r="J356" s="10">
        <f>CHOOSE(CONTROL!$C$42, 13.595, 13.595)* CHOOSE(CONTROL!$C$21, $C$9, 100%, $E$9)</f>
        <v>13.595000000000001</v>
      </c>
      <c r="K356" s="53">
        <f>CHOOSE(CONTROL!$C$42, 13.6212, 13.6212) * CHOOSE(CONTROL!$C$21, $C$9, 100%, $E$9)</f>
        <v>13.6212</v>
      </c>
      <c r="L356" s="10">
        <f>CHOOSE(CONTROL!$C$42, 14.4425, 14.4425) * CHOOSE(CONTROL!$C$21, $C$9, 100%, $E$9)</f>
        <v>14.442500000000001</v>
      </c>
      <c r="M356" s="10">
        <f>CHOOSE(CONTROL!$C$42, 13.4717, 13.4717) * CHOOSE(CONTROL!$C$21, $C$9, 100%, $E$9)</f>
        <v>13.4717</v>
      </c>
      <c r="N356" s="10">
        <f>CHOOSE(CONTROL!$C$42, 13.4868, 13.4868) * CHOOSE(CONTROL!$C$21, $C$9, 100%, $E$9)</f>
        <v>13.486800000000001</v>
      </c>
      <c r="O356" s="10">
        <f>CHOOSE(CONTROL!$C$42, 13.7295, 13.7295) * CHOOSE(CONTROL!$C$21, $C$9, 100%, $E$9)</f>
        <v>13.7295</v>
      </c>
      <c r="P356" s="10">
        <f>CHOOSE(CONTROL!$C$42, 13.5015, 13.5015) * CHOOSE(CONTROL!$C$21, $C$9, 100%, $E$9)</f>
        <v>13.5015</v>
      </c>
      <c r="Q356" s="10">
        <f>CHOOSE(CONTROL!$C$42, 14.3248, 14.3248) * CHOOSE(CONTROL!$C$21, $C$9, 100%, $E$9)</f>
        <v>14.3248</v>
      </c>
      <c r="R356" s="10">
        <f>CHOOSE(CONTROL!$C$42, 14.9476, 14.9476) * CHOOSE(CONTROL!$C$21, $C$9, 100%, $E$9)</f>
        <v>14.9476</v>
      </c>
      <c r="S356" s="10">
        <f>CHOOSE(CONTROL!$C$42, 13.2271, 13.2271) * CHOOSE(CONTROL!$C$21, $C$9, 100%, $E$9)</f>
        <v>13.2271</v>
      </c>
      <c r="T3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57">
        <f>(1000*CHOOSE(CONTROL!$C$42, 695, 695)*CHOOSE(CONTROL!$C$42, 0.5599, 0.5599)*CHOOSE(CONTROL!$C$42, 31, 31))/1000000</f>
        <v>12.063045499999998</v>
      </c>
      <c r="V356" s="57">
        <f>(1000*CHOOSE(CONTROL!$C$42, 500, 500)*CHOOSE(CONTROL!$C$42, 0.275, 0.275)*CHOOSE(CONTROL!$C$42, 31, 31))/1000000</f>
        <v>4.2625000000000002</v>
      </c>
      <c r="W356" s="57">
        <f>(1000*CHOOSE(CONTROL!$C$42, 0.1146, 0.1146)*CHOOSE(CONTROL!$C$42, 121.5, 121.5)*CHOOSE(CONTROL!$C$42, 31, 31))/1000000</f>
        <v>0.43164089999999994</v>
      </c>
      <c r="X356" s="57">
        <f>(31*0.1790888*245000/1000000)+(31*0.2374*100000/1000000)</f>
        <v>2.0961194359999999</v>
      </c>
      <c r="Y356" s="57"/>
      <c r="Z356" s="10"/>
      <c r="AA356" s="56"/>
      <c r="AB356" s="50">
        <f>(B356*194.205+C356*267.466+D356*133.845+E356*53.484+F356*40+G356*185+H356*0+I356*100+J356*300)/(194.205+267.466+133.845+53.484+0+40+185+100+300)</f>
        <v>13.650089144113034</v>
      </c>
      <c r="AC356" s="45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13.551796402877697</v>
      </c>
    </row>
    <row r="357" spans="1:29" ht="15.75" x14ac:dyDescent="0.25">
      <c r="A357" s="14">
        <v>51774</v>
      </c>
      <c r="B357" s="10">
        <f>CHOOSE(CONTROL!$C$42, 12.76, 12.76) * CHOOSE(CONTROL!$C$21, $C$9, 100%, $E$9)</f>
        <v>12.76</v>
      </c>
      <c r="C357" s="10">
        <f>CHOOSE(CONTROL!$C$42, 12.7679, 12.7679) * CHOOSE(CONTROL!$C$21, $C$9, 100%, $E$9)</f>
        <v>12.767899999999999</v>
      </c>
      <c r="D357" s="10">
        <f>CHOOSE(CONTROL!$C$42, 12.9707, 12.9707) * CHOOSE(CONTROL!$C$21, $C$9, 100%, $E$9)</f>
        <v>12.970700000000001</v>
      </c>
      <c r="E357" s="10">
        <f>CHOOSE(CONTROL!$C$42, 13.0018, 13.0018) * CHOOSE(CONTROL!$C$21, $C$9, 100%, $E$9)</f>
        <v>13.001799999999999</v>
      </c>
      <c r="F357" s="10">
        <f>CHOOSE(CONTROL!$C$42, 12.7368, 12.7368)*CHOOSE(CONTROL!$C$21, $C$9, 100%, $E$9)</f>
        <v>12.736800000000001</v>
      </c>
      <c r="G357" s="10">
        <f>CHOOSE(CONTROL!$C$42, 12.7521, 12.7521)*CHOOSE(CONTROL!$C$21, $C$9, 100%, $E$9)</f>
        <v>12.7521</v>
      </c>
      <c r="H357" s="10">
        <f>CHOOSE(CONTROL!$C$42, 12.9904, 12.9904) * CHOOSE(CONTROL!$C$21, $C$9, 100%, $E$9)</f>
        <v>12.990399999999999</v>
      </c>
      <c r="I357" s="10">
        <f>CHOOSE(CONTROL!$C$42, 12.7601, 12.7601)* CHOOSE(CONTROL!$C$21, $C$9, 100%, $E$9)</f>
        <v>12.7601</v>
      </c>
      <c r="J357" s="10">
        <f>CHOOSE(CONTROL!$C$42, 12.7298, 12.7298)* CHOOSE(CONTROL!$C$21, $C$9, 100%, $E$9)</f>
        <v>12.729799999999999</v>
      </c>
      <c r="K357" s="53">
        <f>CHOOSE(CONTROL!$C$42, 12.7562, 12.7562) * CHOOSE(CONTROL!$C$21, $C$9, 100%, $E$9)</f>
        <v>12.7562</v>
      </c>
      <c r="L357" s="10">
        <f>CHOOSE(CONTROL!$C$42, 13.5774, 13.5774) * CHOOSE(CONTROL!$C$21, $C$9, 100%, $E$9)</f>
        <v>13.577400000000001</v>
      </c>
      <c r="M357" s="10">
        <f>CHOOSE(CONTROL!$C$42, 12.6152, 12.6152) * CHOOSE(CONTROL!$C$21, $C$9, 100%, $E$9)</f>
        <v>12.6152</v>
      </c>
      <c r="N357" s="10">
        <f>CHOOSE(CONTROL!$C$42, 12.6303, 12.6303) * CHOOSE(CONTROL!$C$21, $C$9, 100%, $E$9)</f>
        <v>12.6303</v>
      </c>
      <c r="O357" s="10">
        <f>CHOOSE(CONTROL!$C$42, 12.8732, 12.8732) * CHOOSE(CONTROL!$C$21, $C$9, 100%, $E$9)</f>
        <v>12.873200000000001</v>
      </c>
      <c r="P357" s="10">
        <f>CHOOSE(CONTROL!$C$42, 12.6452, 12.6452) * CHOOSE(CONTROL!$C$21, $C$9, 100%, $E$9)</f>
        <v>12.645200000000001</v>
      </c>
      <c r="Q357" s="10">
        <f>CHOOSE(CONTROL!$C$42, 13.4685, 13.4685) * CHOOSE(CONTROL!$C$21, $C$9, 100%, $E$9)</f>
        <v>13.468500000000001</v>
      </c>
      <c r="R357" s="10">
        <f>CHOOSE(CONTROL!$C$42, 14.0891, 14.0891) * CHOOSE(CONTROL!$C$21, $C$9, 100%, $E$9)</f>
        <v>14.0891</v>
      </c>
      <c r="S357" s="10">
        <f>CHOOSE(CONTROL!$C$42, 12.387, 12.387) * CHOOSE(CONTROL!$C$21, $C$9, 100%, $E$9)</f>
        <v>12.387</v>
      </c>
      <c r="T3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57">
        <f>(1000*CHOOSE(CONTROL!$C$42, 695, 695)*CHOOSE(CONTROL!$C$42, 0.5599, 0.5599)*CHOOSE(CONTROL!$C$42, 30, 30))/1000000</f>
        <v>11.673914999999997</v>
      </c>
      <c r="V357" s="57">
        <f>(1000*CHOOSE(CONTROL!$C$42, 500, 500)*CHOOSE(CONTROL!$C$42, 0.275, 0.275)*CHOOSE(CONTROL!$C$42, 30, 30))/1000000</f>
        <v>4.125</v>
      </c>
      <c r="W357" s="57">
        <f>(1000*CHOOSE(CONTROL!$C$42, 0.1146, 0.1146)*CHOOSE(CONTROL!$C$42, 121.5, 121.5)*CHOOSE(CONTROL!$C$42, 30, 30))/1000000</f>
        <v>0.417717</v>
      </c>
      <c r="X357" s="57">
        <f>(30*0.1790888*245000/1000000)+(30*0.2374*100000/1000000)</f>
        <v>2.0285026799999999</v>
      </c>
      <c r="Y357" s="57"/>
      <c r="Z357" s="10"/>
      <c r="AA357" s="56"/>
      <c r="AB357" s="50">
        <f>(B357*194.205+C357*267.466+D357*133.845+E357*53.484+F357*40+G357*185+H357*0+I357*100+J357*300)/(194.205+267.466+133.845+53.484+0+40+185+100+300)</f>
        <v>12.784966290502354</v>
      </c>
      <c r="AC357" s="45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12.695381294964029</v>
      </c>
    </row>
    <row r="358" spans="1:29" ht="15.75" x14ac:dyDescent="0.25">
      <c r="A358" s="14">
        <v>51805</v>
      </c>
      <c r="B358" s="10">
        <f>CHOOSE(CONTROL!$C$42, 12.4993, 12.4993) * CHOOSE(CONTROL!$C$21, $C$9, 100%, $E$9)</f>
        <v>12.4993</v>
      </c>
      <c r="C358" s="10">
        <f>CHOOSE(CONTROL!$C$42, 12.5045, 12.5045) * CHOOSE(CONTROL!$C$21, $C$9, 100%, $E$9)</f>
        <v>12.5045</v>
      </c>
      <c r="D358" s="10">
        <f>CHOOSE(CONTROL!$C$42, 12.7122, 12.7122) * CHOOSE(CONTROL!$C$21, $C$9, 100%, $E$9)</f>
        <v>12.712199999999999</v>
      </c>
      <c r="E358" s="10">
        <f>CHOOSE(CONTROL!$C$42, 12.741, 12.741) * CHOOSE(CONTROL!$C$21, $C$9, 100%, $E$9)</f>
        <v>12.741</v>
      </c>
      <c r="F358" s="10">
        <f>CHOOSE(CONTROL!$C$42, 12.478, 12.478)*CHOOSE(CONTROL!$C$21, $C$9, 100%, $E$9)</f>
        <v>12.478</v>
      </c>
      <c r="G358" s="10">
        <f>CHOOSE(CONTROL!$C$42, 12.493, 12.493)*CHOOSE(CONTROL!$C$21, $C$9, 100%, $E$9)</f>
        <v>12.493</v>
      </c>
      <c r="H358" s="10">
        <f>CHOOSE(CONTROL!$C$42, 12.7315, 12.7315) * CHOOSE(CONTROL!$C$21, $C$9, 100%, $E$9)</f>
        <v>12.7315</v>
      </c>
      <c r="I358" s="10">
        <f>CHOOSE(CONTROL!$C$42, 12.5011, 12.5011)* CHOOSE(CONTROL!$C$21, $C$9, 100%, $E$9)</f>
        <v>12.501099999999999</v>
      </c>
      <c r="J358" s="10">
        <f>CHOOSE(CONTROL!$C$42, 12.471, 12.471)* CHOOSE(CONTROL!$C$21, $C$9, 100%, $E$9)</f>
        <v>12.471</v>
      </c>
      <c r="K358" s="53">
        <f>CHOOSE(CONTROL!$C$42, 12.4972, 12.4972) * CHOOSE(CONTROL!$C$21, $C$9, 100%, $E$9)</f>
        <v>12.497199999999999</v>
      </c>
      <c r="L358" s="10">
        <f>CHOOSE(CONTROL!$C$42, 13.3185, 13.3185) * CHOOSE(CONTROL!$C$21, $C$9, 100%, $E$9)</f>
        <v>13.3185</v>
      </c>
      <c r="M358" s="10">
        <f>CHOOSE(CONTROL!$C$42, 12.359, 12.359) * CHOOSE(CONTROL!$C$21, $C$9, 100%, $E$9)</f>
        <v>12.359</v>
      </c>
      <c r="N358" s="10">
        <f>CHOOSE(CONTROL!$C$42, 12.3738, 12.3738) * CHOOSE(CONTROL!$C$21, $C$9, 100%, $E$9)</f>
        <v>12.373799999999999</v>
      </c>
      <c r="O358" s="10">
        <f>CHOOSE(CONTROL!$C$42, 12.6168, 12.6168) * CHOOSE(CONTROL!$C$21, $C$9, 100%, $E$9)</f>
        <v>12.6168</v>
      </c>
      <c r="P358" s="10">
        <f>CHOOSE(CONTROL!$C$42, 12.3888, 12.3888) * CHOOSE(CONTROL!$C$21, $C$9, 100%, $E$9)</f>
        <v>12.3888</v>
      </c>
      <c r="Q358" s="10">
        <f>CHOOSE(CONTROL!$C$42, 13.2121, 13.2121) * CHOOSE(CONTROL!$C$21, $C$9, 100%, $E$9)</f>
        <v>13.2121</v>
      </c>
      <c r="R358" s="10">
        <f>CHOOSE(CONTROL!$C$42, 13.8321, 13.8321) * CHOOSE(CONTROL!$C$21, $C$9, 100%, $E$9)</f>
        <v>13.832100000000001</v>
      </c>
      <c r="S358" s="10">
        <f>CHOOSE(CONTROL!$C$42, 12.1355, 12.1355) * CHOOSE(CONTROL!$C$21, $C$9, 100%, $E$9)</f>
        <v>12.1355</v>
      </c>
      <c r="T3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57">
        <f>(1000*CHOOSE(CONTROL!$C$42, 695, 695)*CHOOSE(CONTROL!$C$42, 0.5599, 0.5599)*CHOOSE(CONTROL!$C$42, 31, 31))/1000000</f>
        <v>12.063045499999998</v>
      </c>
      <c r="V358" s="57">
        <f>(1000*CHOOSE(CONTROL!$C$42, 500, 500)*CHOOSE(CONTROL!$C$42, 0.275, 0.275)*CHOOSE(CONTROL!$C$42, 31, 31))/1000000</f>
        <v>4.2625000000000002</v>
      </c>
      <c r="W358" s="57">
        <f>(1000*CHOOSE(CONTROL!$C$42, 0.1146, 0.1146)*CHOOSE(CONTROL!$C$42, 121.5, 121.5)*CHOOSE(CONTROL!$C$42, 31, 31))/1000000</f>
        <v>0.43164089999999994</v>
      </c>
      <c r="X358" s="57">
        <f>(31*0.1790888*245000/1000000)+(31*0.2374*100000/1000000)</f>
        <v>2.0961194359999999</v>
      </c>
      <c r="Y358" s="57"/>
      <c r="Z358" s="10"/>
      <c r="AA358" s="56"/>
      <c r="AB358" s="50">
        <f>(B358*131.881+C358*277.167+D358*79.08+E358*125.872+F358*40+G358*185+H358*0+I358*100+J358*300)/(131.881+277.167+79.08+125.872+0+40+185+100+300)</f>
        <v>12.530271075706215</v>
      </c>
      <c r="AC358" s="45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12.439027338129495</v>
      </c>
    </row>
    <row r="359" spans="1:29" ht="15.75" x14ac:dyDescent="0.25">
      <c r="A359" s="14">
        <v>51835</v>
      </c>
      <c r="B359" s="10">
        <f>CHOOSE(CONTROL!$C$42, 12.8281, 12.8281) * CHOOSE(CONTROL!$C$21, $C$9, 100%, $E$9)</f>
        <v>12.828099999999999</v>
      </c>
      <c r="C359" s="10">
        <f>CHOOSE(CONTROL!$C$42, 12.833, 12.833) * CHOOSE(CONTROL!$C$21, $C$9, 100%, $E$9)</f>
        <v>12.833</v>
      </c>
      <c r="D359" s="10">
        <f>CHOOSE(CONTROL!$C$42, 12.8935, 12.8935) * CHOOSE(CONTROL!$C$21, $C$9, 100%, $E$9)</f>
        <v>12.8935</v>
      </c>
      <c r="E359" s="10">
        <f>CHOOSE(CONTROL!$C$42, 12.9273, 12.9273) * CHOOSE(CONTROL!$C$21, $C$9, 100%, $E$9)</f>
        <v>12.927300000000001</v>
      </c>
      <c r="F359" s="10">
        <f>CHOOSE(CONTROL!$C$42, 12.8237, 12.8237)*CHOOSE(CONTROL!$C$21, $C$9, 100%, $E$9)</f>
        <v>12.823700000000001</v>
      </c>
      <c r="G359" s="10">
        <f>CHOOSE(CONTROL!$C$42, 12.8389, 12.8389)*CHOOSE(CONTROL!$C$21, $C$9, 100%, $E$9)</f>
        <v>12.838900000000001</v>
      </c>
      <c r="H359" s="10">
        <f>CHOOSE(CONTROL!$C$42, 12.9165, 12.9165) * CHOOSE(CONTROL!$C$21, $C$9, 100%, $E$9)</f>
        <v>12.916499999999999</v>
      </c>
      <c r="I359" s="10">
        <f>CHOOSE(CONTROL!$C$42, 12.8406, 12.8406)* CHOOSE(CONTROL!$C$21, $C$9, 100%, $E$9)</f>
        <v>12.8406</v>
      </c>
      <c r="J359" s="10">
        <f>CHOOSE(CONTROL!$C$42, 12.8167, 12.8167)* CHOOSE(CONTROL!$C$21, $C$9, 100%, $E$9)</f>
        <v>12.816700000000001</v>
      </c>
      <c r="K359" s="53">
        <f>CHOOSE(CONTROL!$C$42, 12.8367, 12.8367) * CHOOSE(CONTROL!$C$21, $C$9, 100%, $E$9)</f>
        <v>12.8367</v>
      </c>
      <c r="L359" s="10">
        <f>CHOOSE(CONTROL!$C$42, 13.5035, 13.5035) * CHOOSE(CONTROL!$C$21, $C$9, 100%, $E$9)</f>
        <v>13.503500000000001</v>
      </c>
      <c r="M359" s="10">
        <f>CHOOSE(CONTROL!$C$42, 12.7012, 12.7012) * CHOOSE(CONTROL!$C$21, $C$9, 100%, $E$9)</f>
        <v>12.7012</v>
      </c>
      <c r="N359" s="10">
        <f>CHOOSE(CONTROL!$C$42, 12.7163, 12.7163) * CHOOSE(CONTROL!$C$21, $C$9, 100%, $E$9)</f>
        <v>12.7163</v>
      </c>
      <c r="O359" s="10">
        <f>CHOOSE(CONTROL!$C$42, 12.8, 12.8) * CHOOSE(CONTROL!$C$21, $C$9, 100%, $E$9)</f>
        <v>12.8</v>
      </c>
      <c r="P359" s="10">
        <f>CHOOSE(CONTROL!$C$42, 12.7249, 12.7249) * CHOOSE(CONTROL!$C$21, $C$9, 100%, $E$9)</f>
        <v>12.7249</v>
      </c>
      <c r="Q359" s="10">
        <f>CHOOSE(CONTROL!$C$42, 13.3953, 13.3953) * CHOOSE(CONTROL!$C$21, $C$9, 100%, $E$9)</f>
        <v>13.395300000000001</v>
      </c>
      <c r="R359" s="10">
        <f>CHOOSE(CONTROL!$C$42, 14.0158, 14.0158) * CHOOSE(CONTROL!$C$21, $C$9, 100%, $E$9)</f>
        <v>14.0158</v>
      </c>
      <c r="S359" s="10">
        <f>CHOOSE(CONTROL!$C$42, 12.4552, 12.4552) * CHOOSE(CONTROL!$C$21, $C$9, 100%, $E$9)</f>
        <v>12.4552</v>
      </c>
      <c r="T3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57">
        <f>(1000*CHOOSE(CONTROL!$C$42, 695, 695)*CHOOSE(CONTROL!$C$42, 0.5599, 0.5599)*CHOOSE(CONTROL!$C$42, 30, 30))/1000000</f>
        <v>11.673914999999997</v>
      </c>
      <c r="V359" s="57">
        <f>(1000*CHOOSE(CONTROL!$C$42, 500, 500)*CHOOSE(CONTROL!$C$42, 0.275, 0.275)*CHOOSE(CONTROL!$C$42, 30, 30))/1000000</f>
        <v>4.125</v>
      </c>
      <c r="W359" s="57">
        <f>(1000*CHOOSE(CONTROL!$C$42, 0.1146, 0.1146)*CHOOSE(CONTROL!$C$42, 121.5, 121.5)*CHOOSE(CONTROL!$C$42, 30, 30))/1000000</f>
        <v>0.417717</v>
      </c>
      <c r="X359" s="57">
        <f>(30*0.1790888*100000/1000000)+(30*0.2374*100000/1000000)</f>
        <v>1.2494664</v>
      </c>
      <c r="Y359" s="57"/>
      <c r="Z359" s="10"/>
      <c r="AA359" s="56"/>
      <c r="AB359" s="50">
        <f>(B359*122.58+C359*297.941+D359*89.177+E359*40.302+F359*40+G359*160+H359*0+I359*100+J359*300)/(122.58+297.941+89.177+40.302+0+40+160+100+300)</f>
        <v>12.837380039217392</v>
      </c>
      <c r="AC359" s="45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12.750258992805756</v>
      </c>
    </row>
    <row r="360" spans="1:29" ht="15.75" x14ac:dyDescent="0.25">
      <c r="A360" s="14">
        <v>51866</v>
      </c>
      <c r="B360" s="10">
        <f>CHOOSE(CONTROL!$C$42, 13.7025, 13.7025) * CHOOSE(CONTROL!$C$21, $C$9, 100%, $E$9)</f>
        <v>13.702500000000001</v>
      </c>
      <c r="C360" s="10">
        <f>CHOOSE(CONTROL!$C$42, 13.7074, 13.7074) * CHOOSE(CONTROL!$C$21, $C$9, 100%, $E$9)</f>
        <v>13.7074</v>
      </c>
      <c r="D360" s="10">
        <f>CHOOSE(CONTROL!$C$42, 13.7679, 13.7679) * CHOOSE(CONTROL!$C$21, $C$9, 100%, $E$9)</f>
        <v>13.767899999999999</v>
      </c>
      <c r="E360" s="10">
        <f>CHOOSE(CONTROL!$C$42, 13.8017, 13.8017) * CHOOSE(CONTROL!$C$21, $C$9, 100%, $E$9)</f>
        <v>13.8017</v>
      </c>
      <c r="F360" s="10">
        <f>CHOOSE(CONTROL!$C$42, 13.6999, 13.6999)*CHOOSE(CONTROL!$C$21, $C$9, 100%, $E$9)</f>
        <v>13.6999</v>
      </c>
      <c r="G360" s="10">
        <f>CHOOSE(CONTROL!$C$42, 13.7156, 13.7156)*CHOOSE(CONTROL!$C$21, $C$9, 100%, $E$9)</f>
        <v>13.7156</v>
      </c>
      <c r="H360" s="10">
        <f>CHOOSE(CONTROL!$C$42, 13.7909, 13.7909) * CHOOSE(CONTROL!$C$21, $C$9, 100%, $E$9)</f>
        <v>13.790900000000001</v>
      </c>
      <c r="I360" s="10">
        <f>CHOOSE(CONTROL!$C$42, 13.715, 13.715)* CHOOSE(CONTROL!$C$21, $C$9, 100%, $E$9)</f>
        <v>13.715</v>
      </c>
      <c r="J360" s="10">
        <f>CHOOSE(CONTROL!$C$42, 13.6929, 13.6929)* CHOOSE(CONTROL!$C$21, $C$9, 100%, $E$9)</f>
        <v>13.6929</v>
      </c>
      <c r="K360" s="53">
        <f>CHOOSE(CONTROL!$C$42, 13.7111, 13.7111) * CHOOSE(CONTROL!$C$21, $C$9, 100%, $E$9)</f>
        <v>13.7111</v>
      </c>
      <c r="L360" s="10">
        <f>CHOOSE(CONTROL!$C$42, 14.3779, 14.3779) * CHOOSE(CONTROL!$C$21, $C$9, 100%, $E$9)</f>
        <v>14.3779</v>
      </c>
      <c r="M360" s="10">
        <f>CHOOSE(CONTROL!$C$42, 13.5686, 13.5686) * CHOOSE(CONTROL!$C$21, $C$9, 100%, $E$9)</f>
        <v>13.5686</v>
      </c>
      <c r="N360" s="10">
        <f>CHOOSE(CONTROL!$C$42, 13.5841, 13.5841) * CHOOSE(CONTROL!$C$21, $C$9, 100%, $E$9)</f>
        <v>13.584099999999999</v>
      </c>
      <c r="O360" s="10">
        <f>CHOOSE(CONTROL!$C$42, 13.6656, 13.6656) * CHOOSE(CONTROL!$C$21, $C$9, 100%, $E$9)</f>
        <v>13.6656</v>
      </c>
      <c r="P360" s="10">
        <f>CHOOSE(CONTROL!$C$42, 13.5905, 13.5905) * CHOOSE(CONTROL!$C$21, $C$9, 100%, $E$9)</f>
        <v>13.5905</v>
      </c>
      <c r="Q360" s="10">
        <f>CHOOSE(CONTROL!$C$42, 14.2609, 14.2609) * CHOOSE(CONTROL!$C$21, $C$9, 100%, $E$9)</f>
        <v>14.260899999999999</v>
      </c>
      <c r="R360" s="10">
        <f>CHOOSE(CONTROL!$C$42, 14.8835, 14.8835) * CHOOSE(CONTROL!$C$21, $C$9, 100%, $E$9)</f>
        <v>14.8835</v>
      </c>
      <c r="S360" s="10">
        <f>CHOOSE(CONTROL!$C$42, 13.3043, 13.3043) * CHOOSE(CONTROL!$C$21, $C$9, 100%, $E$9)</f>
        <v>13.3043</v>
      </c>
      <c r="T3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57">
        <f>(1000*CHOOSE(CONTROL!$C$42, 695, 695)*CHOOSE(CONTROL!$C$42, 0.5599, 0.5599)*CHOOSE(CONTROL!$C$42, 31, 31))/1000000</f>
        <v>12.063045499999998</v>
      </c>
      <c r="V360" s="57">
        <f>(1000*CHOOSE(CONTROL!$C$42, 500, 500)*CHOOSE(CONTROL!$C$42, 0.275, 0.275)*CHOOSE(CONTROL!$C$42, 31, 31))/1000000</f>
        <v>4.2625000000000002</v>
      </c>
      <c r="W360" s="57">
        <f>(1000*CHOOSE(CONTROL!$C$42, 0.1146, 0.1146)*CHOOSE(CONTROL!$C$42, 121.5, 121.5)*CHOOSE(CONTROL!$C$42, 31, 31))/1000000</f>
        <v>0.43164089999999994</v>
      </c>
      <c r="X360" s="57">
        <f>(31*0.1790888*100000/1000000)+(31*0.2374*100000/1000000)</f>
        <v>1.2911152800000001</v>
      </c>
      <c r="Y360" s="57"/>
      <c r="Z360" s="10"/>
      <c r="AA360" s="56"/>
      <c r="AB360" s="50">
        <f>(B360*122.58+C360*297.941+D360*89.177+E360*40.302+F360*40+G360*160+H360*0+I360*100+J360*300)/(122.58+297.941+89.177+40.302+0+40+160+100+300)</f>
        <v>13.712632213130435</v>
      </c>
      <c r="AC360" s="45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13.616607194244603</v>
      </c>
    </row>
    <row r="361" spans="1:29" ht="15.75" x14ac:dyDescent="0.25">
      <c r="A361" s="14">
        <v>51897</v>
      </c>
      <c r="B361" s="10">
        <f>CHOOSE(CONTROL!$C$42, 14.825, 14.825) * CHOOSE(CONTROL!$C$21, $C$9, 100%, $E$9)</f>
        <v>14.824999999999999</v>
      </c>
      <c r="C361" s="10">
        <f>CHOOSE(CONTROL!$C$42, 14.8299, 14.8299) * CHOOSE(CONTROL!$C$21, $C$9, 100%, $E$9)</f>
        <v>14.8299</v>
      </c>
      <c r="D361" s="10">
        <f>CHOOSE(CONTROL!$C$42, 14.887, 14.887) * CHOOSE(CONTROL!$C$21, $C$9, 100%, $E$9)</f>
        <v>14.887</v>
      </c>
      <c r="E361" s="10">
        <f>CHOOSE(CONTROL!$C$42, 14.9208, 14.9208) * CHOOSE(CONTROL!$C$21, $C$9, 100%, $E$9)</f>
        <v>14.9208</v>
      </c>
      <c r="F361" s="10">
        <f>CHOOSE(CONTROL!$C$42, 14.8228, 14.8228)*CHOOSE(CONTROL!$C$21, $C$9, 100%, $E$9)</f>
        <v>14.822800000000001</v>
      </c>
      <c r="G361" s="10">
        <f>CHOOSE(CONTROL!$C$42, 14.8374, 14.8374)*CHOOSE(CONTROL!$C$21, $C$9, 100%, $E$9)</f>
        <v>14.837400000000001</v>
      </c>
      <c r="H361" s="10">
        <f>CHOOSE(CONTROL!$C$42, 14.91, 14.91) * CHOOSE(CONTROL!$C$21, $C$9, 100%, $E$9)</f>
        <v>14.91</v>
      </c>
      <c r="I361" s="10">
        <f>CHOOSE(CONTROL!$C$42, 14.8358, 14.8358)* CHOOSE(CONTROL!$C$21, $C$9, 100%, $E$9)</f>
        <v>14.835800000000001</v>
      </c>
      <c r="J361" s="10">
        <f>CHOOSE(CONTROL!$C$42, 14.8158, 14.8158)* CHOOSE(CONTROL!$C$21, $C$9, 100%, $E$9)</f>
        <v>14.815799999999999</v>
      </c>
      <c r="K361" s="53">
        <f>CHOOSE(CONTROL!$C$42, 14.8319, 14.8319) * CHOOSE(CONTROL!$C$21, $C$9, 100%, $E$9)</f>
        <v>14.831899999999999</v>
      </c>
      <c r="L361" s="10">
        <f>CHOOSE(CONTROL!$C$42, 15.497, 15.497) * CHOOSE(CONTROL!$C$21, $C$9, 100%, $E$9)</f>
        <v>15.497</v>
      </c>
      <c r="M361" s="10">
        <f>CHOOSE(CONTROL!$C$42, 14.6801, 14.6801) * CHOOSE(CONTROL!$C$21, $C$9, 100%, $E$9)</f>
        <v>14.680099999999999</v>
      </c>
      <c r="N361" s="10">
        <f>CHOOSE(CONTROL!$C$42, 14.6946, 14.6946) * CHOOSE(CONTROL!$C$21, $C$9, 100%, $E$9)</f>
        <v>14.694599999999999</v>
      </c>
      <c r="O361" s="10">
        <f>CHOOSE(CONTROL!$C$42, 14.7733, 14.7733) * CHOOSE(CONTROL!$C$21, $C$9, 100%, $E$9)</f>
        <v>14.773300000000001</v>
      </c>
      <c r="P361" s="10">
        <f>CHOOSE(CONTROL!$C$42, 14.6999, 14.6999) * CHOOSE(CONTROL!$C$21, $C$9, 100%, $E$9)</f>
        <v>14.6999</v>
      </c>
      <c r="Q361" s="10">
        <f>CHOOSE(CONTROL!$C$42, 15.3686, 15.3686) * CHOOSE(CONTROL!$C$21, $C$9, 100%, $E$9)</f>
        <v>15.368600000000001</v>
      </c>
      <c r="R361" s="10">
        <f>CHOOSE(CONTROL!$C$42, 15.9941, 15.9941) * CHOOSE(CONTROL!$C$21, $C$9, 100%, $E$9)</f>
        <v>15.9941</v>
      </c>
      <c r="S361" s="10">
        <f>CHOOSE(CONTROL!$C$42, 14.3944, 14.3944) * CHOOSE(CONTROL!$C$21, $C$9, 100%, $E$9)</f>
        <v>14.394399999999999</v>
      </c>
      <c r="T3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57">
        <f>(1000*CHOOSE(CONTROL!$C$42, 695, 695)*CHOOSE(CONTROL!$C$42, 0.5599, 0.5599)*CHOOSE(CONTROL!$C$42, 31, 31))/1000000</f>
        <v>12.063045499999998</v>
      </c>
      <c r="V361" s="57">
        <f>(1000*CHOOSE(CONTROL!$C$42, 500, 500)*CHOOSE(CONTROL!$C$42, 0.275, 0.275)*CHOOSE(CONTROL!$C$42, 31, 31))/1000000</f>
        <v>4.2625000000000002</v>
      </c>
      <c r="W361" s="57">
        <f>(1000*CHOOSE(CONTROL!$C$42, 0.1146, 0.1146)*CHOOSE(CONTROL!$C$42, 121.5, 121.5)*CHOOSE(CONTROL!$C$42, 31, 31))/1000000</f>
        <v>0.43164089999999994</v>
      </c>
      <c r="X361" s="57">
        <f>(31*0.1790888*100000/1000000)+(31*0.2374*100000/1000000)</f>
        <v>1.2911152800000001</v>
      </c>
      <c r="Y361" s="57"/>
      <c r="Z361" s="10"/>
      <c r="AA361" s="56"/>
      <c r="AB361" s="50">
        <f>(B361*122.58+C361*297.941+D361*89.177+E361*40.302+F361*40+G361*160+H361*0+I361*100+J361*300)/(122.58+297.941+89.177+40.302+0+40+160+100+300)</f>
        <v>14.834622449130434</v>
      </c>
      <c r="AC361" s="45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14.726025179856114</v>
      </c>
    </row>
    <row r="362" spans="1:29" ht="15.75" x14ac:dyDescent="0.25">
      <c r="A362" s="14">
        <v>51925</v>
      </c>
      <c r="B362" s="10">
        <f>CHOOSE(CONTROL!$C$42, 15.0888, 15.0888) * CHOOSE(CONTROL!$C$21, $C$9, 100%, $E$9)</f>
        <v>15.088800000000001</v>
      </c>
      <c r="C362" s="10">
        <f>CHOOSE(CONTROL!$C$42, 15.0938, 15.0938) * CHOOSE(CONTROL!$C$21, $C$9, 100%, $E$9)</f>
        <v>15.0938</v>
      </c>
      <c r="D362" s="10">
        <f>CHOOSE(CONTROL!$C$42, 15.1508, 15.1508) * CHOOSE(CONTROL!$C$21, $C$9, 100%, $E$9)</f>
        <v>15.1508</v>
      </c>
      <c r="E362" s="10">
        <f>CHOOSE(CONTROL!$C$42, 15.1846, 15.1846) * CHOOSE(CONTROL!$C$21, $C$9, 100%, $E$9)</f>
        <v>15.1846</v>
      </c>
      <c r="F362" s="10">
        <f>CHOOSE(CONTROL!$C$42, 15.0868, 15.0868)*CHOOSE(CONTROL!$C$21, $C$9, 100%, $E$9)</f>
        <v>15.0868</v>
      </c>
      <c r="G362" s="10">
        <f>CHOOSE(CONTROL!$C$42, 15.1014, 15.1014)*CHOOSE(CONTROL!$C$21, $C$9, 100%, $E$9)</f>
        <v>15.1014</v>
      </c>
      <c r="H362" s="10">
        <f>CHOOSE(CONTROL!$C$42, 15.1738, 15.1738) * CHOOSE(CONTROL!$C$21, $C$9, 100%, $E$9)</f>
        <v>15.1738</v>
      </c>
      <c r="I362" s="10">
        <f>CHOOSE(CONTROL!$C$42, 15.0996, 15.0996)* CHOOSE(CONTROL!$C$21, $C$9, 100%, $E$9)</f>
        <v>15.099600000000001</v>
      </c>
      <c r="J362" s="10">
        <f>CHOOSE(CONTROL!$C$42, 15.0798, 15.0798)* CHOOSE(CONTROL!$C$21, $C$9, 100%, $E$9)</f>
        <v>15.079800000000001</v>
      </c>
      <c r="K362" s="53">
        <f>CHOOSE(CONTROL!$C$42, 15.0957, 15.0957) * CHOOSE(CONTROL!$C$21, $C$9, 100%, $E$9)</f>
        <v>15.095700000000001</v>
      </c>
      <c r="L362" s="10">
        <f>CHOOSE(CONTROL!$C$42, 15.7608, 15.7608) * CHOOSE(CONTROL!$C$21, $C$9, 100%, $E$9)</f>
        <v>15.7608</v>
      </c>
      <c r="M362" s="10">
        <f>CHOOSE(CONTROL!$C$42, 14.9414, 14.9414) * CHOOSE(CONTROL!$C$21, $C$9, 100%, $E$9)</f>
        <v>14.9414</v>
      </c>
      <c r="N362" s="10">
        <f>CHOOSE(CONTROL!$C$42, 14.9559, 14.9559) * CHOOSE(CONTROL!$C$21, $C$9, 100%, $E$9)</f>
        <v>14.9559</v>
      </c>
      <c r="O362" s="10">
        <f>CHOOSE(CONTROL!$C$42, 15.0345, 15.0345) * CHOOSE(CONTROL!$C$21, $C$9, 100%, $E$9)</f>
        <v>15.0345</v>
      </c>
      <c r="P362" s="10">
        <f>CHOOSE(CONTROL!$C$42, 14.9611, 14.9611) * CHOOSE(CONTROL!$C$21, $C$9, 100%, $E$9)</f>
        <v>14.9611</v>
      </c>
      <c r="Q362" s="10">
        <f>CHOOSE(CONTROL!$C$42, 15.6298, 15.6298) * CHOOSE(CONTROL!$C$21, $C$9, 100%, $E$9)</f>
        <v>15.629799999999999</v>
      </c>
      <c r="R362" s="10">
        <f>CHOOSE(CONTROL!$C$42, 16.2559, 16.2559) * CHOOSE(CONTROL!$C$21, $C$9, 100%, $E$9)</f>
        <v>16.2559</v>
      </c>
      <c r="S362" s="10">
        <f>CHOOSE(CONTROL!$C$42, 14.6506, 14.6506) * CHOOSE(CONTROL!$C$21, $C$9, 100%, $E$9)</f>
        <v>14.650600000000001</v>
      </c>
      <c r="T3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57">
        <f>(1000*CHOOSE(CONTROL!$C$42, 695, 695)*CHOOSE(CONTROL!$C$42, 0.5599, 0.5599)*CHOOSE(CONTROL!$C$42, 28, 28))/1000000</f>
        <v>10.895653999999999</v>
      </c>
      <c r="V362" s="57">
        <f>(1000*CHOOSE(CONTROL!$C$42, 500, 500)*CHOOSE(CONTROL!$C$42, 0.275, 0.275)*CHOOSE(CONTROL!$C$42, 28, 28))/1000000</f>
        <v>3.85</v>
      </c>
      <c r="W362" s="57">
        <f>(1000*CHOOSE(CONTROL!$C$42, 0.1146, 0.1146)*CHOOSE(CONTROL!$C$42, 121.5, 121.5)*CHOOSE(CONTROL!$C$42, 28, 28))/1000000</f>
        <v>0.38986920000000003</v>
      </c>
      <c r="X362" s="57">
        <f>(28*0.1790888*100000/1000000)+(28*0.2374*100000/1000000)</f>
        <v>1.16616864</v>
      </c>
      <c r="Y362" s="57"/>
      <c r="Z362" s="10"/>
      <c r="AA362" s="56"/>
      <c r="AB362" s="50">
        <f>(B362*122.58+C362*297.941+D362*89.177+E362*40.302+F362*40+G362*160+H362*0+I362*100+J362*300)/(122.58+297.941+89.177+40.302+0+40+160+100+300)</f>
        <v>15.09853531356522</v>
      </c>
      <c r="AC362" s="45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14.987265467625901</v>
      </c>
    </row>
    <row r="363" spans="1:29" ht="15.75" x14ac:dyDescent="0.25">
      <c r="A363" s="14">
        <v>51956</v>
      </c>
      <c r="B363" s="10">
        <f>CHOOSE(CONTROL!$C$42, 14.6605, 14.6605) * CHOOSE(CONTROL!$C$21, $C$9, 100%, $E$9)</f>
        <v>14.660500000000001</v>
      </c>
      <c r="C363" s="10">
        <f>CHOOSE(CONTROL!$C$42, 14.6655, 14.6655) * CHOOSE(CONTROL!$C$21, $C$9, 100%, $E$9)</f>
        <v>14.6655</v>
      </c>
      <c r="D363" s="10">
        <f>CHOOSE(CONTROL!$C$42, 14.7226, 14.7226) * CHOOSE(CONTROL!$C$21, $C$9, 100%, $E$9)</f>
        <v>14.7226</v>
      </c>
      <c r="E363" s="10">
        <f>CHOOSE(CONTROL!$C$42, 14.7563, 14.7563) * CHOOSE(CONTROL!$C$21, $C$9, 100%, $E$9)</f>
        <v>14.7563</v>
      </c>
      <c r="F363" s="10">
        <f>CHOOSE(CONTROL!$C$42, 14.6583, 14.6583)*CHOOSE(CONTROL!$C$21, $C$9, 100%, $E$9)</f>
        <v>14.658300000000001</v>
      </c>
      <c r="G363" s="10">
        <f>CHOOSE(CONTROL!$C$42, 14.6729, 14.6729)*CHOOSE(CONTROL!$C$21, $C$9, 100%, $E$9)</f>
        <v>14.6729</v>
      </c>
      <c r="H363" s="10">
        <f>CHOOSE(CONTROL!$C$42, 14.7455, 14.7455) * CHOOSE(CONTROL!$C$21, $C$9, 100%, $E$9)</f>
        <v>14.7455</v>
      </c>
      <c r="I363" s="10">
        <f>CHOOSE(CONTROL!$C$42, 14.6713, 14.6713)* CHOOSE(CONTROL!$C$21, $C$9, 100%, $E$9)</f>
        <v>14.6713</v>
      </c>
      <c r="J363" s="10">
        <f>CHOOSE(CONTROL!$C$42, 14.6513, 14.6513)* CHOOSE(CONTROL!$C$21, $C$9, 100%, $E$9)</f>
        <v>14.651300000000001</v>
      </c>
      <c r="K363" s="53">
        <f>CHOOSE(CONTROL!$C$42, 14.6674, 14.6674) * CHOOSE(CONTROL!$C$21, $C$9, 100%, $E$9)</f>
        <v>14.667400000000001</v>
      </c>
      <c r="L363" s="10">
        <f>CHOOSE(CONTROL!$C$42, 15.3325, 15.3325) * CHOOSE(CONTROL!$C$21, $C$9, 100%, $E$9)</f>
        <v>15.3325</v>
      </c>
      <c r="M363" s="10">
        <f>CHOOSE(CONTROL!$C$42, 14.5173, 14.5173) * CHOOSE(CONTROL!$C$21, $C$9, 100%, $E$9)</f>
        <v>14.517300000000001</v>
      </c>
      <c r="N363" s="10">
        <f>CHOOSE(CONTROL!$C$42, 14.5318, 14.5318) * CHOOSE(CONTROL!$C$21, $C$9, 100%, $E$9)</f>
        <v>14.5318</v>
      </c>
      <c r="O363" s="10">
        <f>CHOOSE(CONTROL!$C$42, 14.6105, 14.6105) * CHOOSE(CONTROL!$C$21, $C$9, 100%, $E$9)</f>
        <v>14.6105</v>
      </c>
      <c r="P363" s="10">
        <f>CHOOSE(CONTROL!$C$42, 14.5371, 14.5371) * CHOOSE(CONTROL!$C$21, $C$9, 100%, $E$9)</f>
        <v>14.537100000000001</v>
      </c>
      <c r="Q363" s="10">
        <f>CHOOSE(CONTROL!$C$42, 15.2058, 15.2058) * CHOOSE(CONTROL!$C$21, $C$9, 100%, $E$9)</f>
        <v>15.2058</v>
      </c>
      <c r="R363" s="10">
        <f>CHOOSE(CONTROL!$C$42, 15.8309, 15.8309) * CHOOSE(CONTROL!$C$21, $C$9, 100%, $E$9)</f>
        <v>15.8309</v>
      </c>
      <c r="S363" s="10">
        <f>CHOOSE(CONTROL!$C$42, 14.2347, 14.2347) * CHOOSE(CONTROL!$C$21, $C$9, 100%, $E$9)</f>
        <v>14.2347</v>
      </c>
      <c r="T3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57">
        <f>(1000*CHOOSE(CONTROL!$C$42, 695, 695)*CHOOSE(CONTROL!$C$42, 0.5599, 0.5599)*CHOOSE(CONTROL!$C$42, 31, 31))/1000000</f>
        <v>12.063045499999998</v>
      </c>
      <c r="V363" s="57">
        <f>(1000*CHOOSE(CONTROL!$C$42, 500, 500)*CHOOSE(CONTROL!$C$42, 0.275, 0.275)*CHOOSE(CONTROL!$C$42, 31, 31))/1000000</f>
        <v>4.2625000000000002</v>
      </c>
      <c r="W363" s="57">
        <f>(1000*CHOOSE(CONTROL!$C$42, 0.1146, 0.1146)*CHOOSE(CONTROL!$C$42, 121.5, 121.5)*CHOOSE(CONTROL!$C$42, 31, 31))/1000000</f>
        <v>0.43164089999999994</v>
      </c>
      <c r="X363" s="57">
        <f>(31*0.1790888*100000/1000000)+(31*0.2374*100000/1000000)</f>
        <v>1.2911152800000001</v>
      </c>
      <c r="Y363" s="57"/>
      <c r="Z363" s="10"/>
      <c r="AA363" s="56"/>
      <c r="AB363" s="50">
        <f>(B363*122.58+C363*297.941+D363*89.177+E363*40.302+F363*40+G363*160+H363*0+I363*100+J363*300)/(122.58+297.941+89.177+40.302+0+40+160+100+300)</f>
        <v>14.670156111565216</v>
      </c>
      <c r="AC363" s="45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14.563225179856117</v>
      </c>
    </row>
    <row r="364" spans="1:29" ht="15.75" x14ac:dyDescent="0.25">
      <c r="A364" s="14">
        <v>51986</v>
      </c>
      <c r="B364" s="10">
        <f>CHOOSE(CONTROL!$C$42, 14.6178, 14.6178) * CHOOSE(CONTROL!$C$21, $C$9, 100%, $E$9)</f>
        <v>14.617800000000001</v>
      </c>
      <c r="C364" s="10">
        <f>CHOOSE(CONTROL!$C$42, 14.6222, 14.6222) * CHOOSE(CONTROL!$C$21, $C$9, 100%, $E$9)</f>
        <v>14.622199999999999</v>
      </c>
      <c r="D364" s="10">
        <f>CHOOSE(CONTROL!$C$42, 14.8281, 14.8281) * CHOOSE(CONTROL!$C$21, $C$9, 100%, $E$9)</f>
        <v>14.828099999999999</v>
      </c>
      <c r="E364" s="10">
        <f>CHOOSE(CONTROL!$C$42, 14.8598, 14.8598) * CHOOSE(CONTROL!$C$21, $C$9, 100%, $E$9)</f>
        <v>14.8598</v>
      </c>
      <c r="F364" s="10">
        <f>CHOOSE(CONTROL!$C$42, 14.5946, 14.5946)*CHOOSE(CONTROL!$C$21, $C$9, 100%, $E$9)</f>
        <v>14.5946</v>
      </c>
      <c r="G364" s="10">
        <f>CHOOSE(CONTROL!$C$42, 14.6091, 14.6091)*CHOOSE(CONTROL!$C$21, $C$9, 100%, $E$9)</f>
        <v>14.6091</v>
      </c>
      <c r="H364" s="10">
        <f>CHOOSE(CONTROL!$C$42, 14.8496, 14.8496) * CHOOSE(CONTROL!$C$21, $C$9, 100%, $E$9)</f>
        <v>14.849600000000001</v>
      </c>
      <c r="I364" s="10">
        <f>CHOOSE(CONTROL!$C$42, 14.6192, 14.6192)* CHOOSE(CONTROL!$C$21, $C$9, 100%, $E$9)</f>
        <v>14.619199999999999</v>
      </c>
      <c r="J364" s="10">
        <f>CHOOSE(CONTROL!$C$42, 14.5876, 14.5876)* CHOOSE(CONTROL!$C$21, $C$9, 100%, $E$9)</f>
        <v>14.5876</v>
      </c>
      <c r="K364" s="53">
        <f>CHOOSE(CONTROL!$C$42, 14.6154, 14.6154) * CHOOSE(CONTROL!$C$21, $C$9, 100%, $E$9)</f>
        <v>14.615399999999999</v>
      </c>
      <c r="L364" s="10">
        <f>CHOOSE(CONTROL!$C$42, 15.4366, 15.4366) * CHOOSE(CONTROL!$C$21, $C$9, 100%, $E$9)</f>
        <v>15.4366</v>
      </c>
      <c r="M364" s="10">
        <f>CHOOSE(CONTROL!$C$42, 14.4542, 14.4542) * CHOOSE(CONTROL!$C$21, $C$9, 100%, $E$9)</f>
        <v>14.4542</v>
      </c>
      <c r="N364" s="10">
        <f>CHOOSE(CONTROL!$C$42, 14.4686, 14.4686) * CHOOSE(CONTROL!$C$21, $C$9, 100%, $E$9)</f>
        <v>14.4686</v>
      </c>
      <c r="O364" s="10">
        <f>CHOOSE(CONTROL!$C$42, 14.7136, 14.7136) * CHOOSE(CONTROL!$C$21, $C$9, 100%, $E$9)</f>
        <v>14.7136</v>
      </c>
      <c r="P364" s="10">
        <f>CHOOSE(CONTROL!$C$42, 14.4856, 14.4856) * CHOOSE(CONTROL!$C$21, $C$9, 100%, $E$9)</f>
        <v>14.4856</v>
      </c>
      <c r="Q364" s="10">
        <f>CHOOSE(CONTROL!$C$42, 15.3089, 15.3089) * CHOOSE(CONTROL!$C$21, $C$9, 100%, $E$9)</f>
        <v>15.3089</v>
      </c>
      <c r="R364" s="10">
        <f>CHOOSE(CONTROL!$C$42, 15.9342, 15.9342) * CHOOSE(CONTROL!$C$21, $C$9, 100%, $E$9)</f>
        <v>15.934200000000001</v>
      </c>
      <c r="S364" s="10">
        <f>CHOOSE(CONTROL!$C$42, 14.1925, 14.1925) * CHOOSE(CONTROL!$C$21, $C$9, 100%, $E$9)</f>
        <v>14.192500000000001</v>
      </c>
      <c r="T3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57">
        <f>(1000*CHOOSE(CONTROL!$C$42, 695, 695)*CHOOSE(CONTROL!$C$42, 0.5599, 0.5599)*CHOOSE(CONTROL!$C$42, 30, 30))/1000000</f>
        <v>11.673914999999997</v>
      </c>
      <c r="V364" s="57">
        <f>(1000*CHOOSE(CONTROL!$C$42, 500, 500)*CHOOSE(CONTROL!$C$42, 0.275, 0.275)*CHOOSE(CONTROL!$C$42, 30, 30))/1000000</f>
        <v>4.125</v>
      </c>
      <c r="W364" s="57">
        <f>(1000*CHOOSE(CONTROL!$C$42, 0.1146, 0.1146)*CHOOSE(CONTROL!$C$42, 121.5, 121.5)*CHOOSE(CONTROL!$C$42, 30, 30))/1000000</f>
        <v>0.417717</v>
      </c>
      <c r="X364" s="57">
        <f>(30*0.1790888*245000/1000000)+(30*0.2374*100000/1000000)</f>
        <v>2.0285026799999999</v>
      </c>
      <c r="Y364" s="57"/>
      <c r="Z364" s="10"/>
      <c r="AA364" s="56"/>
      <c r="AB364" s="50">
        <f>(B364*141.293+C364*267.993+D364*115.016+E364*89.698+F364*40+G364*185+H364*0+I364*100+J364*300)/(141.293+267.993+115.016+89.698+0+40+185+100+300)</f>
        <v>14.646546125907989</v>
      </c>
      <c r="AC364" s="45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14.534814388489208</v>
      </c>
    </row>
    <row r="365" spans="1:29" ht="15.75" x14ac:dyDescent="0.25">
      <c r="A365" s="14">
        <v>52017</v>
      </c>
      <c r="B365" s="10">
        <f>CHOOSE(CONTROL!$C$42, 14.7482, 14.7482) * CHOOSE(CONTROL!$C$21, $C$9, 100%, $E$9)</f>
        <v>14.748200000000001</v>
      </c>
      <c r="C365" s="10">
        <f>CHOOSE(CONTROL!$C$42, 14.7561, 14.7561) * CHOOSE(CONTROL!$C$21, $C$9, 100%, $E$9)</f>
        <v>14.7561</v>
      </c>
      <c r="D365" s="10">
        <f>CHOOSE(CONTROL!$C$42, 14.9588, 14.9588) * CHOOSE(CONTROL!$C$21, $C$9, 100%, $E$9)</f>
        <v>14.9588</v>
      </c>
      <c r="E365" s="10">
        <f>CHOOSE(CONTROL!$C$42, 14.99, 14.99) * CHOOSE(CONTROL!$C$21, $C$9, 100%, $E$9)</f>
        <v>14.99</v>
      </c>
      <c r="F365" s="10">
        <f>CHOOSE(CONTROL!$C$42, 14.7239, 14.7239)*CHOOSE(CONTROL!$C$21, $C$9, 100%, $E$9)</f>
        <v>14.7239</v>
      </c>
      <c r="G365" s="10">
        <f>CHOOSE(CONTROL!$C$42, 14.7389, 14.7389)*CHOOSE(CONTROL!$C$21, $C$9, 100%, $E$9)</f>
        <v>14.738899999999999</v>
      </c>
      <c r="H365" s="10">
        <f>CHOOSE(CONTROL!$C$42, 14.9786, 14.9786) * CHOOSE(CONTROL!$C$21, $C$9, 100%, $E$9)</f>
        <v>14.9786</v>
      </c>
      <c r="I365" s="10">
        <f>CHOOSE(CONTROL!$C$42, 14.7482, 14.7482)* CHOOSE(CONTROL!$C$21, $C$9, 100%, $E$9)</f>
        <v>14.748200000000001</v>
      </c>
      <c r="J365" s="10">
        <f>CHOOSE(CONTROL!$C$42, 14.7169, 14.7169)* CHOOSE(CONTROL!$C$21, $C$9, 100%, $E$9)</f>
        <v>14.716900000000001</v>
      </c>
      <c r="K365" s="53">
        <f>CHOOSE(CONTROL!$C$42, 14.7443, 14.7443) * CHOOSE(CONTROL!$C$21, $C$9, 100%, $E$9)</f>
        <v>14.744300000000001</v>
      </c>
      <c r="L365" s="10">
        <f>CHOOSE(CONTROL!$C$42, 15.5656, 15.5656) * CHOOSE(CONTROL!$C$21, $C$9, 100%, $E$9)</f>
        <v>15.5656</v>
      </c>
      <c r="M365" s="10">
        <f>CHOOSE(CONTROL!$C$42, 14.5822, 14.5822) * CHOOSE(CONTROL!$C$21, $C$9, 100%, $E$9)</f>
        <v>14.5822</v>
      </c>
      <c r="N365" s="10">
        <f>CHOOSE(CONTROL!$C$42, 14.5971, 14.5971) * CHOOSE(CONTROL!$C$21, $C$9, 100%, $E$9)</f>
        <v>14.597099999999999</v>
      </c>
      <c r="O365" s="10">
        <f>CHOOSE(CONTROL!$C$42, 14.8413, 14.8413) * CHOOSE(CONTROL!$C$21, $C$9, 100%, $E$9)</f>
        <v>14.8413</v>
      </c>
      <c r="P365" s="10">
        <f>CHOOSE(CONTROL!$C$42, 14.6133, 14.6133) * CHOOSE(CONTROL!$C$21, $C$9, 100%, $E$9)</f>
        <v>14.613300000000001</v>
      </c>
      <c r="Q365" s="10">
        <f>CHOOSE(CONTROL!$C$42, 15.4366, 15.4366) * CHOOSE(CONTROL!$C$21, $C$9, 100%, $E$9)</f>
        <v>15.4366</v>
      </c>
      <c r="R365" s="10">
        <f>CHOOSE(CONTROL!$C$42, 16.0622, 16.0622) * CHOOSE(CONTROL!$C$21, $C$9, 100%, $E$9)</f>
        <v>16.062200000000001</v>
      </c>
      <c r="S365" s="10">
        <f>CHOOSE(CONTROL!$C$42, 14.3177, 14.3177) * CHOOSE(CONTROL!$C$21, $C$9, 100%, $E$9)</f>
        <v>14.3177</v>
      </c>
      <c r="T3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57">
        <f>(1000*CHOOSE(CONTROL!$C$42, 695, 695)*CHOOSE(CONTROL!$C$42, 0.5599, 0.5599)*CHOOSE(CONTROL!$C$42, 31, 31))/1000000</f>
        <v>12.063045499999998</v>
      </c>
      <c r="V365" s="57">
        <f>(1000*CHOOSE(CONTROL!$C$42, 500, 500)*CHOOSE(CONTROL!$C$42, 0.275, 0.275)*CHOOSE(CONTROL!$C$42, 31, 31))/1000000</f>
        <v>4.2625000000000002</v>
      </c>
      <c r="W365" s="57">
        <f>(1000*CHOOSE(CONTROL!$C$42, 0.1146, 0.1146)*CHOOSE(CONTROL!$C$42, 121.5, 121.5)*CHOOSE(CONTROL!$C$42, 31, 31))/1000000</f>
        <v>0.43164089999999994</v>
      </c>
      <c r="X365" s="57">
        <f>(31*0.1790888*245000/1000000)+(31*0.2374*100000/1000000)</f>
        <v>2.0961194359999999</v>
      </c>
      <c r="Y365" s="57"/>
      <c r="Z365" s="10"/>
      <c r="AA365" s="56"/>
      <c r="AB365" s="50">
        <f>(B365*194.205+C365*267.466+D365*133.845+E365*53.484+F365*40+G365*185+H365*0+I365*100+J365*300)/(194.205+267.466+133.845+53.484+0+40+185+100+300)</f>
        <v>14.772651075039246</v>
      </c>
      <c r="AC365" s="45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14.662802158273383</v>
      </c>
    </row>
    <row r="366" spans="1:29" ht="15.75" x14ac:dyDescent="0.25">
      <c r="A366" s="14">
        <v>52047</v>
      </c>
      <c r="B366" s="10">
        <f>CHOOSE(CONTROL!$C$42, 15.1664, 15.1664) * CHOOSE(CONTROL!$C$21, $C$9, 100%, $E$9)</f>
        <v>15.166399999999999</v>
      </c>
      <c r="C366" s="10">
        <f>CHOOSE(CONTROL!$C$42, 15.1743, 15.1743) * CHOOSE(CONTROL!$C$21, $C$9, 100%, $E$9)</f>
        <v>15.174300000000001</v>
      </c>
      <c r="D366" s="10">
        <f>CHOOSE(CONTROL!$C$42, 15.377, 15.377) * CHOOSE(CONTROL!$C$21, $C$9, 100%, $E$9)</f>
        <v>15.377000000000001</v>
      </c>
      <c r="E366" s="10">
        <f>CHOOSE(CONTROL!$C$42, 15.4082, 15.4082) * CHOOSE(CONTROL!$C$21, $C$9, 100%, $E$9)</f>
        <v>15.408200000000001</v>
      </c>
      <c r="F366" s="10">
        <f>CHOOSE(CONTROL!$C$42, 15.1426, 15.1426)*CHOOSE(CONTROL!$C$21, $C$9, 100%, $E$9)</f>
        <v>15.1426</v>
      </c>
      <c r="G366" s="10">
        <f>CHOOSE(CONTROL!$C$42, 15.1578, 15.1578)*CHOOSE(CONTROL!$C$21, $C$9, 100%, $E$9)</f>
        <v>15.1578</v>
      </c>
      <c r="H366" s="10">
        <f>CHOOSE(CONTROL!$C$42, 15.3968, 15.3968) * CHOOSE(CONTROL!$C$21, $C$9, 100%, $E$9)</f>
        <v>15.396800000000001</v>
      </c>
      <c r="I366" s="10">
        <f>CHOOSE(CONTROL!$C$42, 15.1664, 15.1664)* CHOOSE(CONTROL!$C$21, $C$9, 100%, $E$9)</f>
        <v>15.166399999999999</v>
      </c>
      <c r="J366" s="10">
        <f>CHOOSE(CONTROL!$C$42, 15.1356, 15.1356)* CHOOSE(CONTROL!$C$21, $C$9, 100%, $E$9)</f>
        <v>15.1356</v>
      </c>
      <c r="K366" s="53">
        <f>CHOOSE(CONTROL!$C$42, 15.1625, 15.1625) * CHOOSE(CONTROL!$C$21, $C$9, 100%, $E$9)</f>
        <v>15.1625</v>
      </c>
      <c r="L366" s="10">
        <f>CHOOSE(CONTROL!$C$42, 15.9838, 15.9838) * CHOOSE(CONTROL!$C$21, $C$9, 100%, $E$9)</f>
        <v>15.9838</v>
      </c>
      <c r="M366" s="10">
        <f>CHOOSE(CONTROL!$C$42, 14.9967, 14.9967) * CHOOSE(CONTROL!$C$21, $C$9, 100%, $E$9)</f>
        <v>14.996700000000001</v>
      </c>
      <c r="N366" s="10">
        <f>CHOOSE(CONTROL!$C$42, 15.0117, 15.0117) * CHOOSE(CONTROL!$C$21, $C$9, 100%, $E$9)</f>
        <v>15.011699999999999</v>
      </c>
      <c r="O366" s="10">
        <f>CHOOSE(CONTROL!$C$42, 15.2553, 15.2553) * CHOOSE(CONTROL!$C$21, $C$9, 100%, $E$9)</f>
        <v>15.2553</v>
      </c>
      <c r="P366" s="10">
        <f>CHOOSE(CONTROL!$C$42, 15.0272, 15.0272) * CHOOSE(CONTROL!$C$21, $C$9, 100%, $E$9)</f>
        <v>15.027200000000001</v>
      </c>
      <c r="Q366" s="10">
        <f>CHOOSE(CONTROL!$C$42, 15.8506, 15.8506) * CHOOSE(CONTROL!$C$21, $C$9, 100%, $E$9)</f>
        <v>15.8506</v>
      </c>
      <c r="R366" s="10">
        <f>CHOOSE(CONTROL!$C$42, 16.4772, 16.4772) * CHOOSE(CONTROL!$C$21, $C$9, 100%, $E$9)</f>
        <v>16.4772</v>
      </c>
      <c r="S366" s="10">
        <f>CHOOSE(CONTROL!$C$42, 14.7238, 14.7238) * CHOOSE(CONTROL!$C$21, $C$9, 100%, $E$9)</f>
        <v>14.723800000000001</v>
      </c>
      <c r="T3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57">
        <f>(1000*CHOOSE(CONTROL!$C$42, 695, 695)*CHOOSE(CONTROL!$C$42, 0.5599, 0.5599)*CHOOSE(CONTROL!$C$42, 30, 30))/1000000</f>
        <v>11.673914999999997</v>
      </c>
      <c r="V366" s="57">
        <f>(1000*CHOOSE(CONTROL!$C$42, 500, 500)*CHOOSE(CONTROL!$C$42, 0.275, 0.275)*CHOOSE(CONTROL!$C$42, 30, 30))/1000000</f>
        <v>4.125</v>
      </c>
      <c r="W366" s="57">
        <f>(1000*CHOOSE(CONTROL!$C$42, 0.1146, 0.1146)*CHOOSE(CONTROL!$C$42, 121.5, 121.5)*CHOOSE(CONTROL!$C$42, 30, 30))/1000000</f>
        <v>0.417717</v>
      </c>
      <c r="X366" s="57">
        <f>(30*0.1790888*245000/1000000)+(30*0.2374*100000/1000000)</f>
        <v>2.0285026799999999</v>
      </c>
      <c r="Y366" s="57"/>
      <c r="Z366" s="10"/>
      <c r="AA366" s="56"/>
      <c r="AB366" s="50">
        <f>(B366*194.205+C366*267.466+D366*133.845+E366*53.484+F366*40+G366*185+H366*0+I366*100+J366*300)/(194.205+267.466+133.845+53.484+0+40+185+100+300)</f>
        <v>15.191086161381474</v>
      </c>
      <c r="AC366" s="45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15.077098561151077</v>
      </c>
    </row>
    <row r="367" spans="1:29" ht="15.75" x14ac:dyDescent="0.25">
      <c r="A367" s="14">
        <v>52078</v>
      </c>
      <c r="B367" s="10">
        <f>CHOOSE(CONTROL!$C$42, 14.8755, 14.8755) * CHOOSE(CONTROL!$C$21, $C$9, 100%, $E$9)</f>
        <v>14.875500000000001</v>
      </c>
      <c r="C367" s="10">
        <f>CHOOSE(CONTROL!$C$42, 14.8834, 14.8834) * CHOOSE(CONTROL!$C$21, $C$9, 100%, $E$9)</f>
        <v>14.8834</v>
      </c>
      <c r="D367" s="10">
        <f>CHOOSE(CONTROL!$C$42, 15.0862, 15.0862) * CHOOSE(CONTROL!$C$21, $C$9, 100%, $E$9)</f>
        <v>15.0862</v>
      </c>
      <c r="E367" s="10">
        <f>CHOOSE(CONTROL!$C$42, 15.1173, 15.1173) * CHOOSE(CONTROL!$C$21, $C$9, 100%, $E$9)</f>
        <v>15.1173</v>
      </c>
      <c r="F367" s="10">
        <f>CHOOSE(CONTROL!$C$42, 14.8523, 14.8523)*CHOOSE(CONTROL!$C$21, $C$9, 100%, $E$9)</f>
        <v>14.8523</v>
      </c>
      <c r="G367" s="10">
        <f>CHOOSE(CONTROL!$C$42, 14.8676, 14.8676)*CHOOSE(CONTROL!$C$21, $C$9, 100%, $E$9)</f>
        <v>14.867599999999999</v>
      </c>
      <c r="H367" s="10">
        <f>CHOOSE(CONTROL!$C$42, 15.1059, 15.1059) * CHOOSE(CONTROL!$C$21, $C$9, 100%, $E$9)</f>
        <v>15.1059</v>
      </c>
      <c r="I367" s="10">
        <f>CHOOSE(CONTROL!$C$42, 14.8756, 14.8756)* CHOOSE(CONTROL!$C$21, $C$9, 100%, $E$9)</f>
        <v>14.8756</v>
      </c>
      <c r="J367" s="10">
        <f>CHOOSE(CONTROL!$C$42, 14.8453, 14.8453)* CHOOSE(CONTROL!$C$21, $C$9, 100%, $E$9)</f>
        <v>14.8453</v>
      </c>
      <c r="K367" s="53">
        <f>CHOOSE(CONTROL!$C$42, 14.8717, 14.8717) * CHOOSE(CONTROL!$C$21, $C$9, 100%, $E$9)</f>
        <v>14.871700000000001</v>
      </c>
      <c r="L367" s="10">
        <f>CHOOSE(CONTROL!$C$42, 15.6929, 15.6929) * CHOOSE(CONTROL!$C$21, $C$9, 100%, $E$9)</f>
        <v>15.6929</v>
      </c>
      <c r="M367" s="10">
        <f>CHOOSE(CONTROL!$C$42, 14.7093, 14.7093) * CHOOSE(CONTROL!$C$21, $C$9, 100%, $E$9)</f>
        <v>14.709300000000001</v>
      </c>
      <c r="N367" s="10">
        <f>CHOOSE(CONTROL!$C$42, 14.7244, 14.7244) * CHOOSE(CONTROL!$C$21, $C$9, 100%, $E$9)</f>
        <v>14.724399999999999</v>
      </c>
      <c r="O367" s="10">
        <f>CHOOSE(CONTROL!$C$42, 14.9673, 14.9673) * CHOOSE(CONTROL!$C$21, $C$9, 100%, $E$9)</f>
        <v>14.9673</v>
      </c>
      <c r="P367" s="10">
        <f>CHOOSE(CONTROL!$C$42, 14.7393, 14.7393) * CHOOSE(CONTROL!$C$21, $C$9, 100%, $E$9)</f>
        <v>14.7393</v>
      </c>
      <c r="Q367" s="10">
        <f>CHOOSE(CONTROL!$C$42, 15.5626, 15.5626) * CHOOSE(CONTROL!$C$21, $C$9, 100%, $E$9)</f>
        <v>15.5626</v>
      </c>
      <c r="R367" s="10">
        <f>CHOOSE(CONTROL!$C$42, 16.1885, 16.1885) * CHOOSE(CONTROL!$C$21, $C$9, 100%, $E$9)</f>
        <v>16.188500000000001</v>
      </c>
      <c r="S367" s="10">
        <f>CHOOSE(CONTROL!$C$42, 14.4414, 14.4414) * CHOOSE(CONTROL!$C$21, $C$9, 100%, $E$9)</f>
        <v>14.4414</v>
      </c>
      <c r="T3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57">
        <f>(1000*CHOOSE(CONTROL!$C$42, 695, 695)*CHOOSE(CONTROL!$C$42, 0.5599, 0.5599)*CHOOSE(CONTROL!$C$42, 31, 31))/1000000</f>
        <v>12.063045499999998</v>
      </c>
      <c r="V367" s="57">
        <f>(1000*CHOOSE(CONTROL!$C$42, 500, 500)*CHOOSE(CONTROL!$C$42, 0.275, 0.275)*CHOOSE(CONTROL!$C$42, 31, 31))/1000000</f>
        <v>4.2625000000000002</v>
      </c>
      <c r="W367" s="57">
        <f>(1000*CHOOSE(CONTROL!$C$42, 0.1146, 0.1146)*CHOOSE(CONTROL!$C$42, 121.5, 121.5)*CHOOSE(CONTROL!$C$42, 31, 31))/1000000</f>
        <v>0.43164089999999994</v>
      </c>
      <c r="X367" s="57">
        <f>(31*0.1790888*245000/1000000)+(31*0.2374*100000/1000000)</f>
        <v>2.0961194359999999</v>
      </c>
      <c r="Y367" s="57"/>
      <c r="Z367" s="10"/>
      <c r="AA367" s="56"/>
      <c r="AB367" s="50">
        <f>(B367*194.205+C367*267.466+D367*133.845+E367*53.484+F367*40+G367*185+H367*0+I367*100+J367*300)/(194.205+267.466+133.845+53.484+0+40+185+100+300)</f>
        <v>14.900466290502354</v>
      </c>
      <c r="AC367" s="45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14.789481294964029</v>
      </c>
    </row>
    <row r="368" spans="1:29" ht="15.75" x14ac:dyDescent="0.25">
      <c r="A368" s="14">
        <v>52109</v>
      </c>
      <c r="B368" s="10">
        <f>CHOOSE(CONTROL!$C$42, 14.141, 14.141) * CHOOSE(CONTROL!$C$21, $C$9, 100%, $E$9)</f>
        <v>14.141</v>
      </c>
      <c r="C368" s="10">
        <f>CHOOSE(CONTROL!$C$42, 14.1489, 14.1489) * CHOOSE(CONTROL!$C$21, $C$9, 100%, $E$9)</f>
        <v>14.148899999999999</v>
      </c>
      <c r="D368" s="10">
        <f>CHOOSE(CONTROL!$C$42, 14.3517, 14.3517) * CHOOSE(CONTROL!$C$21, $C$9, 100%, $E$9)</f>
        <v>14.351699999999999</v>
      </c>
      <c r="E368" s="10">
        <f>CHOOSE(CONTROL!$C$42, 14.3828, 14.3828) * CHOOSE(CONTROL!$C$21, $C$9, 100%, $E$9)</f>
        <v>14.3828</v>
      </c>
      <c r="F368" s="10">
        <f>CHOOSE(CONTROL!$C$42, 14.118, 14.118)*CHOOSE(CONTROL!$C$21, $C$9, 100%, $E$9)</f>
        <v>14.118</v>
      </c>
      <c r="G368" s="10">
        <f>CHOOSE(CONTROL!$C$42, 14.1333, 14.1333)*CHOOSE(CONTROL!$C$21, $C$9, 100%, $E$9)</f>
        <v>14.1333</v>
      </c>
      <c r="H368" s="10">
        <f>CHOOSE(CONTROL!$C$42, 14.3714, 14.3714) * CHOOSE(CONTROL!$C$21, $C$9, 100%, $E$9)</f>
        <v>14.3714</v>
      </c>
      <c r="I368" s="10">
        <f>CHOOSE(CONTROL!$C$42, 14.1411, 14.1411)* CHOOSE(CONTROL!$C$21, $C$9, 100%, $E$9)</f>
        <v>14.1411</v>
      </c>
      <c r="J368" s="10">
        <f>CHOOSE(CONTROL!$C$42, 14.111, 14.111)* CHOOSE(CONTROL!$C$21, $C$9, 100%, $E$9)</f>
        <v>14.111000000000001</v>
      </c>
      <c r="K368" s="53">
        <f>CHOOSE(CONTROL!$C$42, 14.1372, 14.1372) * CHOOSE(CONTROL!$C$21, $C$9, 100%, $E$9)</f>
        <v>14.1372</v>
      </c>
      <c r="L368" s="10">
        <f>CHOOSE(CONTROL!$C$42, 14.9584, 14.9584) * CHOOSE(CONTROL!$C$21, $C$9, 100%, $E$9)</f>
        <v>14.958399999999999</v>
      </c>
      <c r="M368" s="10">
        <f>CHOOSE(CONTROL!$C$42, 13.9824, 13.9824) * CHOOSE(CONTROL!$C$21, $C$9, 100%, $E$9)</f>
        <v>13.9824</v>
      </c>
      <c r="N368" s="10">
        <f>CHOOSE(CONTROL!$C$42, 13.9976, 13.9976) * CHOOSE(CONTROL!$C$21, $C$9, 100%, $E$9)</f>
        <v>13.9976</v>
      </c>
      <c r="O368" s="10">
        <f>CHOOSE(CONTROL!$C$42, 14.2402, 14.2402) * CHOOSE(CONTROL!$C$21, $C$9, 100%, $E$9)</f>
        <v>14.2402</v>
      </c>
      <c r="P368" s="10">
        <f>CHOOSE(CONTROL!$C$42, 14.0122, 14.0122) * CHOOSE(CONTROL!$C$21, $C$9, 100%, $E$9)</f>
        <v>14.0122</v>
      </c>
      <c r="Q368" s="10">
        <f>CHOOSE(CONTROL!$C$42, 14.8355, 14.8355) * CHOOSE(CONTROL!$C$21, $C$9, 100%, $E$9)</f>
        <v>14.8355</v>
      </c>
      <c r="R368" s="10">
        <f>CHOOSE(CONTROL!$C$42, 15.4596, 15.4596) * CHOOSE(CONTROL!$C$21, $C$9, 100%, $E$9)</f>
        <v>15.4596</v>
      </c>
      <c r="S368" s="10">
        <f>CHOOSE(CONTROL!$C$42, 13.7281, 13.7281) * CHOOSE(CONTROL!$C$21, $C$9, 100%, $E$9)</f>
        <v>13.7281</v>
      </c>
      <c r="T3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57">
        <f>(1000*CHOOSE(CONTROL!$C$42, 695, 695)*CHOOSE(CONTROL!$C$42, 0.5599, 0.5599)*CHOOSE(CONTROL!$C$42, 31, 31))/1000000</f>
        <v>12.063045499999998</v>
      </c>
      <c r="V368" s="57">
        <f>(1000*CHOOSE(CONTROL!$C$42, 500, 500)*CHOOSE(CONTROL!$C$42, 0.275, 0.275)*CHOOSE(CONTROL!$C$42, 31, 31))/1000000</f>
        <v>4.2625000000000002</v>
      </c>
      <c r="W368" s="57">
        <f>(1000*CHOOSE(CONTROL!$C$42, 0.1146, 0.1146)*CHOOSE(CONTROL!$C$42, 121.5, 121.5)*CHOOSE(CONTROL!$C$42, 31, 31))/1000000</f>
        <v>0.43164089999999994</v>
      </c>
      <c r="X368" s="57">
        <f>(31*0.1790888*245000/1000000)+(31*0.2374*100000/1000000)</f>
        <v>2.0961194359999999</v>
      </c>
      <c r="Y368" s="57"/>
      <c r="Z368" s="10"/>
      <c r="AA368" s="56"/>
      <c r="AB368" s="50">
        <f>(B368*194.205+C368*267.466+D368*133.845+E368*53.484+F368*40+G368*185+H368*0+I368*100+J368*300)/(194.205+267.466+133.845+53.484+0+40+185+100+300)</f>
        <v>14.166048708084771</v>
      </c>
      <c r="AC368" s="45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14.062519424460431</v>
      </c>
    </row>
    <row r="369" spans="1:29" ht="15.75" x14ac:dyDescent="0.25">
      <c r="A369" s="14">
        <v>52139</v>
      </c>
      <c r="B369" s="10">
        <f>CHOOSE(CONTROL!$C$42, 13.2432, 13.2432) * CHOOSE(CONTROL!$C$21, $C$9, 100%, $E$9)</f>
        <v>13.2432</v>
      </c>
      <c r="C369" s="10">
        <f>CHOOSE(CONTROL!$C$42, 13.2511, 13.2511) * CHOOSE(CONTROL!$C$21, $C$9, 100%, $E$9)</f>
        <v>13.251099999999999</v>
      </c>
      <c r="D369" s="10">
        <f>CHOOSE(CONTROL!$C$42, 13.4539, 13.4539) * CHOOSE(CONTROL!$C$21, $C$9, 100%, $E$9)</f>
        <v>13.453900000000001</v>
      </c>
      <c r="E369" s="10">
        <f>CHOOSE(CONTROL!$C$42, 13.485, 13.485) * CHOOSE(CONTROL!$C$21, $C$9, 100%, $E$9)</f>
        <v>13.484999999999999</v>
      </c>
      <c r="F369" s="10">
        <f>CHOOSE(CONTROL!$C$42, 13.22, 13.22)*CHOOSE(CONTROL!$C$21, $C$9, 100%, $E$9)</f>
        <v>13.22</v>
      </c>
      <c r="G369" s="10">
        <f>CHOOSE(CONTROL!$C$42, 13.2353, 13.2353)*CHOOSE(CONTROL!$C$21, $C$9, 100%, $E$9)</f>
        <v>13.235300000000001</v>
      </c>
      <c r="H369" s="10">
        <f>CHOOSE(CONTROL!$C$42, 13.4736, 13.4736) * CHOOSE(CONTROL!$C$21, $C$9, 100%, $E$9)</f>
        <v>13.473599999999999</v>
      </c>
      <c r="I369" s="10">
        <f>CHOOSE(CONTROL!$C$42, 13.2432, 13.2432)* CHOOSE(CONTROL!$C$21, $C$9, 100%, $E$9)</f>
        <v>13.2432</v>
      </c>
      <c r="J369" s="10">
        <f>CHOOSE(CONTROL!$C$42, 13.213, 13.213)* CHOOSE(CONTROL!$C$21, $C$9, 100%, $E$9)</f>
        <v>13.212999999999999</v>
      </c>
      <c r="K369" s="53">
        <f>CHOOSE(CONTROL!$C$42, 13.2393, 13.2393) * CHOOSE(CONTROL!$C$21, $C$9, 100%, $E$9)</f>
        <v>13.2393</v>
      </c>
      <c r="L369" s="10">
        <f>CHOOSE(CONTROL!$C$42, 14.0606, 14.0606) * CHOOSE(CONTROL!$C$21, $C$9, 100%, $E$9)</f>
        <v>14.060600000000001</v>
      </c>
      <c r="M369" s="10">
        <f>CHOOSE(CONTROL!$C$42, 13.0935, 13.0935) * CHOOSE(CONTROL!$C$21, $C$9, 100%, $E$9)</f>
        <v>13.093500000000001</v>
      </c>
      <c r="N369" s="10">
        <f>CHOOSE(CONTROL!$C$42, 13.1086, 13.1086) * CHOOSE(CONTROL!$C$21, $C$9, 100%, $E$9)</f>
        <v>13.108599999999999</v>
      </c>
      <c r="O369" s="10">
        <f>CHOOSE(CONTROL!$C$42, 13.3515, 13.3515) * CHOOSE(CONTROL!$C$21, $C$9, 100%, $E$9)</f>
        <v>13.3515</v>
      </c>
      <c r="P369" s="10">
        <f>CHOOSE(CONTROL!$C$42, 13.1235, 13.1235) * CHOOSE(CONTROL!$C$21, $C$9, 100%, $E$9)</f>
        <v>13.1235</v>
      </c>
      <c r="Q369" s="10">
        <f>CHOOSE(CONTROL!$C$42, 13.9468, 13.9468) * CHOOSE(CONTROL!$C$21, $C$9, 100%, $E$9)</f>
        <v>13.9468</v>
      </c>
      <c r="R369" s="10">
        <f>CHOOSE(CONTROL!$C$42, 14.5686, 14.5686) * CHOOSE(CONTROL!$C$21, $C$9, 100%, $E$9)</f>
        <v>14.5686</v>
      </c>
      <c r="S369" s="10">
        <f>CHOOSE(CONTROL!$C$42, 12.8562, 12.8562) * CHOOSE(CONTROL!$C$21, $C$9, 100%, $E$9)</f>
        <v>12.856199999999999</v>
      </c>
      <c r="T3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57">
        <f>(1000*CHOOSE(CONTROL!$C$42, 695, 695)*CHOOSE(CONTROL!$C$42, 0.5599, 0.5599)*CHOOSE(CONTROL!$C$42, 30, 30))/1000000</f>
        <v>11.673914999999997</v>
      </c>
      <c r="V369" s="57">
        <f>(1000*CHOOSE(CONTROL!$C$42, 500, 500)*CHOOSE(CONTROL!$C$42, 0.275, 0.275)*CHOOSE(CONTROL!$C$42, 30, 30))/1000000</f>
        <v>4.125</v>
      </c>
      <c r="W369" s="57">
        <f>(1000*CHOOSE(CONTROL!$C$42, 0.1146, 0.1146)*CHOOSE(CONTROL!$C$42, 121.5, 121.5)*CHOOSE(CONTROL!$C$42, 30, 30))/1000000</f>
        <v>0.417717</v>
      </c>
      <c r="X369" s="57">
        <f>(30*0.1790888*245000/1000000)+(30*0.2374*100000/1000000)</f>
        <v>2.0285026799999999</v>
      </c>
      <c r="Y369" s="57"/>
      <c r="Z369" s="10"/>
      <c r="AA369" s="56"/>
      <c r="AB369" s="50">
        <f>(B369*194.205+C369*267.466+D369*133.845+E369*53.484+F369*40+G369*185+H369*0+I369*100+J369*300)/(194.205+267.466+133.845+53.484+0+40+185+100+300)</f>
        <v>13.268158441208792</v>
      </c>
      <c r="AC369" s="45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13.17368129496403</v>
      </c>
    </row>
    <row r="370" spans="1:29" ht="15.75" x14ac:dyDescent="0.25">
      <c r="A370" s="14">
        <v>52170</v>
      </c>
      <c r="B370" s="10">
        <f>CHOOSE(CONTROL!$C$42, 12.9727, 12.9727) * CHOOSE(CONTROL!$C$21, $C$9, 100%, $E$9)</f>
        <v>12.9727</v>
      </c>
      <c r="C370" s="10">
        <f>CHOOSE(CONTROL!$C$42, 12.9779, 12.9779) * CHOOSE(CONTROL!$C$21, $C$9, 100%, $E$9)</f>
        <v>12.9779</v>
      </c>
      <c r="D370" s="10">
        <f>CHOOSE(CONTROL!$C$42, 13.1856, 13.1856) * CHOOSE(CONTROL!$C$21, $C$9, 100%, $E$9)</f>
        <v>13.185600000000001</v>
      </c>
      <c r="E370" s="10">
        <f>CHOOSE(CONTROL!$C$42, 13.2144, 13.2144) * CHOOSE(CONTROL!$C$21, $C$9, 100%, $E$9)</f>
        <v>13.214399999999999</v>
      </c>
      <c r="F370" s="10">
        <f>CHOOSE(CONTROL!$C$42, 12.9514, 12.9514)*CHOOSE(CONTROL!$C$21, $C$9, 100%, $E$9)</f>
        <v>12.9514</v>
      </c>
      <c r="G370" s="10">
        <f>CHOOSE(CONTROL!$C$42, 12.9663, 12.9663)*CHOOSE(CONTROL!$C$21, $C$9, 100%, $E$9)</f>
        <v>12.9663</v>
      </c>
      <c r="H370" s="10">
        <f>CHOOSE(CONTROL!$C$42, 13.2048, 13.2048) * CHOOSE(CONTROL!$C$21, $C$9, 100%, $E$9)</f>
        <v>13.204800000000001</v>
      </c>
      <c r="I370" s="10">
        <f>CHOOSE(CONTROL!$C$42, 12.9745, 12.9745)* CHOOSE(CONTROL!$C$21, $C$9, 100%, $E$9)</f>
        <v>12.974500000000001</v>
      </c>
      <c r="J370" s="10">
        <f>CHOOSE(CONTROL!$C$42, 12.9444, 12.9444)* CHOOSE(CONTROL!$C$21, $C$9, 100%, $E$9)</f>
        <v>12.9444</v>
      </c>
      <c r="K370" s="53">
        <f>CHOOSE(CONTROL!$C$42, 12.9706, 12.9706) * CHOOSE(CONTROL!$C$21, $C$9, 100%, $E$9)</f>
        <v>12.970599999999999</v>
      </c>
      <c r="L370" s="10">
        <f>CHOOSE(CONTROL!$C$42, 13.7918, 13.7918) * CHOOSE(CONTROL!$C$21, $C$9, 100%, $E$9)</f>
        <v>13.7918</v>
      </c>
      <c r="M370" s="10">
        <f>CHOOSE(CONTROL!$C$42, 12.8276, 12.8276) * CHOOSE(CONTROL!$C$21, $C$9, 100%, $E$9)</f>
        <v>12.8276</v>
      </c>
      <c r="N370" s="10">
        <f>CHOOSE(CONTROL!$C$42, 12.8424, 12.8424) * CHOOSE(CONTROL!$C$21, $C$9, 100%, $E$9)</f>
        <v>12.8424</v>
      </c>
      <c r="O370" s="10">
        <f>CHOOSE(CONTROL!$C$42, 13.0854, 13.0854) * CHOOSE(CONTROL!$C$21, $C$9, 100%, $E$9)</f>
        <v>13.0854</v>
      </c>
      <c r="P370" s="10">
        <f>CHOOSE(CONTROL!$C$42, 12.8574, 12.8574) * CHOOSE(CONTROL!$C$21, $C$9, 100%, $E$9)</f>
        <v>12.8574</v>
      </c>
      <c r="Q370" s="10">
        <f>CHOOSE(CONTROL!$C$42, 13.6807, 13.6807) * CHOOSE(CONTROL!$C$21, $C$9, 100%, $E$9)</f>
        <v>13.6807</v>
      </c>
      <c r="R370" s="10">
        <f>CHOOSE(CONTROL!$C$42, 14.3019, 14.3019) * CHOOSE(CONTROL!$C$21, $C$9, 100%, $E$9)</f>
        <v>14.3019</v>
      </c>
      <c r="S370" s="10">
        <f>CHOOSE(CONTROL!$C$42, 12.5952, 12.5952) * CHOOSE(CONTROL!$C$21, $C$9, 100%, $E$9)</f>
        <v>12.5952</v>
      </c>
      <c r="T3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57">
        <f>(1000*CHOOSE(CONTROL!$C$42, 695, 695)*CHOOSE(CONTROL!$C$42, 0.5599, 0.5599)*CHOOSE(CONTROL!$C$42, 31, 31))/1000000</f>
        <v>12.063045499999998</v>
      </c>
      <c r="V370" s="57">
        <f>(1000*CHOOSE(CONTROL!$C$42, 500, 500)*CHOOSE(CONTROL!$C$42, 0.275, 0.275)*CHOOSE(CONTROL!$C$42, 31, 31))/1000000</f>
        <v>4.2625000000000002</v>
      </c>
      <c r="W370" s="57">
        <f>(1000*CHOOSE(CONTROL!$C$42, 0.1146, 0.1146)*CHOOSE(CONTROL!$C$42, 121.5, 121.5)*CHOOSE(CONTROL!$C$42, 31, 31))/1000000</f>
        <v>0.43164089999999994</v>
      </c>
      <c r="X370" s="57">
        <f>(31*0.1790888*245000/1000000)+(31*0.2374*100000/1000000)</f>
        <v>2.0961194359999999</v>
      </c>
      <c r="Y370" s="57"/>
      <c r="Z370" s="10"/>
      <c r="AA370" s="56"/>
      <c r="AB370" s="50">
        <f>(B370*131.881+C370*277.167+D370*79.08+E370*125.872+F370*40+G370*185+H370*0+I370*100+J370*300)/(131.881+277.167+79.08+125.872+0+40+185+100+300)</f>
        <v>13.003656144309927</v>
      </c>
      <c r="AC370" s="45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12.907627338129496</v>
      </c>
    </row>
    <row r="371" spans="1:29" ht="15.75" x14ac:dyDescent="0.25">
      <c r="A371" s="14">
        <v>52200</v>
      </c>
      <c r="B371" s="10">
        <f>CHOOSE(CONTROL!$C$42, 13.3139, 13.3139) * CHOOSE(CONTROL!$C$21, $C$9, 100%, $E$9)</f>
        <v>13.3139</v>
      </c>
      <c r="C371" s="10">
        <f>CHOOSE(CONTROL!$C$42, 13.3189, 13.3189) * CHOOSE(CONTROL!$C$21, $C$9, 100%, $E$9)</f>
        <v>13.318899999999999</v>
      </c>
      <c r="D371" s="10">
        <f>CHOOSE(CONTROL!$C$42, 13.3794, 13.3794) * CHOOSE(CONTROL!$C$21, $C$9, 100%, $E$9)</f>
        <v>13.3794</v>
      </c>
      <c r="E371" s="10">
        <f>CHOOSE(CONTROL!$C$42, 13.4131, 13.4131) * CHOOSE(CONTROL!$C$21, $C$9, 100%, $E$9)</f>
        <v>13.4131</v>
      </c>
      <c r="F371" s="10">
        <f>CHOOSE(CONTROL!$C$42, 13.3095, 13.3095)*CHOOSE(CONTROL!$C$21, $C$9, 100%, $E$9)</f>
        <v>13.3095</v>
      </c>
      <c r="G371" s="10">
        <f>CHOOSE(CONTROL!$C$42, 13.3248, 13.3248)*CHOOSE(CONTROL!$C$21, $C$9, 100%, $E$9)</f>
        <v>13.3248</v>
      </c>
      <c r="H371" s="10">
        <f>CHOOSE(CONTROL!$C$42, 13.4023, 13.4023) * CHOOSE(CONTROL!$C$21, $C$9, 100%, $E$9)</f>
        <v>13.4023</v>
      </c>
      <c r="I371" s="10">
        <f>CHOOSE(CONTROL!$C$42, 13.3264, 13.3264)* CHOOSE(CONTROL!$C$21, $C$9, 100%, $E$9)</f>
        <v>13.3264</v>
      </c>
      <c r="J371" s="10">
        <f>CHOOSE(CONTROL!$C$42, 13.3025, 13.3025)* CHOOSE(CONTROL!$C$21, $C$9, 100%, $E$9)</f>
        <v>13.3025</v>
      </c>
      <c r="K371" s="53">
        <f>CHOOSE(CONTROL!$C$42, 13.3225, 13.3225) * CHOOSE(CONTROL!$C$21, $C$9, 100%, $E$9)</f>
        <v>13.3225</v>
      </c>
      <c r="L371" s="10">
        <f>CHOOSE(CONTROL!$C$42, 13.9893, 13.9893) * CHOOSE(CONTROL!$C$21, $C$9, 100%, $E$9)</f>
        <v>13.9893</v>
      </c>
      <c r="M371" s="10">
        <f>CHOOSE(CONTROL!$C$42, 13.1821, 13.1821) * CHOOSE(CONTROL!$C$21, $C$9, 100%, $E$9)</f>
        <v>13.1821</v>
      </c>
      <c r="N371" s="10">
        <f>CHOOSE(CONTROL!$C$42, 13.1972, 13.1972) * CHOOSE(CONTROL!$C$21, $C$9, 100%, $E$9)</f>
        <v>13.1972</v>
      </c>
      <c r="O371" s="10">
        <f>CHOOSE(CONTROL!$C$42, 13.2809, 13.2809) * CHOOSE(CONTROL!$C$21, $C$9, 100%, $E$9)</f>
        <v>13.280900000000001</v>
      </c>
      <c r="P371" s="10">
        <f>CHOOSE(CONTROL!$C$42, 13.2058, 13.2058) * CHOOSE(CONTROL!$C$21, $C$9, 100%, $E$9)</f>
        <v>13.2058</v>
      </c>
      <c r="Q371" s="10">
        <f>CHOOSE(CONTROL!$C$42, 13.8762, 13.8762) * CHOOSE(CONTROL!$C$21, $C$9, 100%, $E$9)</f>
        <v>13.876200000000001</v>
      </c>
      <c r="R371" s="10">
        <f>CHOOSE(CONTROL!$C$42, 14.4979, 14.4979) * CHOOSE(CONTROL!$C$21, $C$9, 100%, $E$9)</f>
        <v>14.4979</v>
      </c>
      <c r="S371" s="10">
        <f>CHOOSE(CONTROL!$C$42, 12.927, 12.927) * CHOOSE(CONTROL!$C$21, $C$9, 100%, $E$9)</f>
        <v>12.927</v>
      </c>
      <c r="T3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57">
        <f>(1000*CHOOSE(CONTROL!$C$42, 695, 695)*CHOOSE(CONTROL!$C$42, 0.5599, 0.5599)*CHOOSE(CONTROL!$C$42, 30, 30))/1000000</f>
        <v>11.673914999999997</v>
      </c>
      <c r="V371" s="57">
        <f>(1000*CHOOSE(CONTROL!$C$42, 500, 500)*CHOOSE(CONTROL!$C$42, 0.275, 0.275)*CHOOSE(CONTROL!$C$42, 30, 30))/1000000</f>
        <v>4.125</v>
      </c>
      <c r="W371" s="57">
        <f>(1000*CHOOSE(CONTROL!$C$42, 0.1146, 0.1146)*CHOOSE(CONTROL!$C$42, 121.5, 121.5)*CHOOSE(CONTROL!$C$42, 30, 30))/1000000</f>
        <v>0.417717</v>
      </c>
      <c r="X371" s="57">
        <f>(30*0.1790888*100000/1000000)+(30*0.2374*100000/1000000)</f>
        <v>1.2494664</v>
      </c>
      <c r="Y371" s="57"/>
      <c r="Z371" s="10"/>
      <c r="AA371" s="56"/>
      <c r="AB371" s="50">
        <f>(B371*122.58+C371*297.941+D371*89.177+E371*40.302+F371*40+G371*160+H371*0+I371*100+J371*300)/(122.58+297.941+89.177+40.302+0+40+160+100+300)</f>
        <v>13.32322761469565</v>
      </c>
      <c r="AC371" s="45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13.231158992805756</v>
      </c>
    </row>
    <row r="372" spans="1:29" ht="15.75" x14ac:dyDescent="0.25">
      <c r="A372" s="14">
        <v>52231</v>
      </c>
      <c r="B372" s="10">
        <f>CHOOSE(CONTROL!$C$42, 14.2214, 14.2214) * CHOOSE(CONTROL!$C$21, $C$9, 100%, $E$9)</f>
        <v>14.221399999999999</v>
      </c>
      <c r="C372" s="10">
        <f>CHOOSE(CONTROL!$C$42, 14.2264, 14.2264) * CHOOSE(CONTROL!$C$21, $C$9, 100%, $E$9)</f>
        <v>14.2264</v>
      </c>
      <c r="D372" s="10">
        <f>CHOOSE(CONTROL!$C$42, 14.2869, 14.2869) * CHOOSE(CONTROL!$C$21, $C$9, 100%, $E$9)</f>
        <v>14.286899999999999</v>
      </c>
      <c r="E372" s="10">
        <f>CHOOSE(CONTROL!$C$42, 14.3207, 14.3207) * CHOOSE(CONTROL!$C$21, $C$9, 100%, $E$9)</f>
        <v>14.3207</v>
      </c>
      <c r="F372" s="10">
        <f>CHOOSE(CONTROL!$C$42, 14.2189, 14.2189)*CHOOSE(CONTROL!$C$21, $C$9, 100%, $E$9)</f>
        <v>14.2189</v>
      </c>
      <c r="G372" s="10">
        <f>CHOOSE(CONTROL!$C$42, 14.2346, 14.2346)*CHOOSE(CONTROL!$C$21, $C$9, 100%, $E$9)</f>
        <v>14.2346</v>
      </c>
      <c r="H372" s="10">
        <f>CHOOSE(CONTROL!$C$42, 14.3099, 14.3099) * CHOOSE(CONTROL!$C$21, $C$9, 100%, $E$9)</f>
        <v>14.309900000000001</v>
      </c>
      <c r="I372" s="10">
        <f>CHOOSE(CONTROL!$C$42, 14.234, 14.234)* CHOOSE(CONTROL!$C$21, $C$9, 100%, $E$9)</f>
        <v>14.234</v>
      </c>
      <c r="J372" s="10">
        <f>CHOOSE(CONTROL!$C$42, 14.2119, 14.2119)* CHOOSE(CONTROL!$C$21, $C$9, 100%, $E$9)</f>
        <v>14.2119</v>
      </c>
      <c r="K372" s="53">
        <f>CHOOSE(CONTROL!$C$42, 14.2301, 14.2301) * CHOOSE(CONTROL!$C$21, $C$9, 100%, $E$9)</f>
        <v>14.2301</v>
      </c>
      <c r="L372" s="10">
        <f>CHOOSE(CONTROL!$C$42, 14.8969, 14.8969) * CHOOSE(CONTROL!$C$21, $C$9, 100%, $E$9)</f>
        <v>14.8969</v>
      </c>
      <c r="M372" s="10">
        <f>CHOOSE(CONTROL!$C$42, 14.0823, 14.0823) * CHOOSE(CONTROL!$C$21, $C$9, 100%, $E$9)</f>
        <v>14.0823</v>
      </c>
      <c r="N372" s="10">
        <f>CHOOSE(CONTROL!$C$42, 14.0978, 14.0978) * CHOOSE(CONTROL!$C$21, $C$9, 100%, $E$9)</f>
        <v>14.097799999999999</v>
      </c>
      <c r="O372" s="10">
        <f>CHOOSE(CONTROL!$C$42, 14.1793, 14.1793) * CHOOSE(CONTROL!$C$21, $C$9, 100%, $E$9)</f>
        <v>14.1793</v>
      </c>
      <c r="P372" s="10">
        <f>CHOOSE(CONTROL!$C$42, 14.1042, 14.1042) * CHOOSE(CONTROL!$C$21, $C$9, 100%, $E$9)</f>
        <v>14.104200000000001</v>
      </c>
      <c r="Q372" s="10">
        <f>CHOOSE(CONTROL!$C$42, 14.7746, 14.7746) * CHOOSE(CONTROL!$C$21, $C$9, 100%, $E$9)</f>
        <v>14.7746</v>
      </c>
      <c r="R372" s="10">
        <f>CHOOSE(CONTROL!$C$42, 15.3985, 15.3985) * CHOOSE(CONTROL!$C$21, $C$9, 100%, $E$9)</f>
        <v>15.3985</v>
      </c>
      <c r="S372" s="10">
        <f>CHOOSE(CONTROL!$C$42, 13.8083, 13.8083) * CHOOSE(CONTROL!$C$21, $C$9, 100%, $E$9)</f>
        <v>13.808299999999999</v>
      </c>
      <c r="T3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57">
        <f>(1000*CHOOSE(CONTROL!$C$42, 695, 695)*CHOOSE(CONTROL!$C$42, 0.5599, 0.5599)*CHOOSE(CONTROL!$C$42, 31, 31))/1000000</f>
        <v>12.063045499999998</v>
      </c>
      <c r="V372" s="57">
        <f>(1000*CHOOSE(CONTROL!$C$42, 500, 500)*CHOOSE(CONTROL!$C$42, 0.275, 0.275)*CHOOSE(CONTROL!$C$42, 31, 31))/1000000</f>
        <v>4.2625000000000002</v>
      </c>
      <c r="W372" s="57">
        <f>(1000*CHOOSE(CONTROL!$C$42, 0.1146, 0.1146)*CHOOSE(CONTROL!$C$42, 121.5, 121.5)*CHOOSE(CONTROL!$C$42, 31, 31))/1000000</f>
        <v>0.43164089999999994</v>
      </c>
      <c r="X372" s="57">
        <f>(31*0.1790888*100000/1000000)+(31*0.2374*100000/1000000)</f>
        <v>1.2911152800000001</v>
      </c>
      <c r="Y372" s="57"/>
      <c r="Z372" s="10"/>
      <c r="AA372" s="56"/>
      <c r="AB372" s="50">
        <f>(B372*122.58+C372*297.941+D372*89.177+E372*40.302+F372*40+G372*160+H372*0+I372*100+J372*300)/(122.58+297.941+89.177+40.302+0+40+160+100+300)</f>
        <v>14.231621554</v>
      </c>
      <c r="AC372" s="45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14.130307194244603</v>
      </c>
    </row>
    <row r="373" spans="1:29" ht="15.75" x14ac:dyDescent="0.25">
      <c r="A373" s="14">
        <v>52262</v>
      </c>
      <c r="B373" s="10">
        <f>CHOOSE(CONTROL!$C$42, 15.3865, 15.3865) * CHOOSE(CONTROL!$C$21, $C$9, 100%, $E$9)</f>
        <v>15.3865</v>
      </c>
      <c r="C373" s="10">
        <f>CHOOSE(CONTROL!$C$42, 15.3914, 15.3914) * CHOOSE(CONTROL!$C$21, $C$9, 100%, $E$9)</f>
        <v>15.391400000000001</v>
      </c>
      <c r="D373" s="10">
        <f>CHOOSE(CONTROL!$C$42, 15.4485, 15.4485) * CHOOSE(CONTROL!$C$21, $C$9, 100%, $E$9)</f>
        <v>15.448499999999999</v>
      </c>
      <c r="E373" s="10">
        <f>CHOOSE(CONTROL!$C$42, 15.4823, 15.4823) * CHOOSE(CONTROL!$C$21, $C$9, 100%, $E$9)</f>
        <v>15.4823</v>
      </c>
      <c r="F373" s="10">
        <f>CHOOSE(CONTROL!$C$42, 15.3843, 15.3843)*CHOOSE(CONTROL!$C$21, $C$9, 100%, $E$9)</f>
        <v>15.3843</v>
      </c>
      <c r="G373" s="10">
        <f>CHOOSE(CONTROL!$C$42, 15.3989, 15.3989)*CHOOSE(CONTROL!$C$21, $C$9, 100%, $E$9)</f>
        <v>15.398899999999999</v>
      </c>
      <c r="H373" s="10">
        <f>CHOOSE(CONTROL!$C$42, 15.4715, 15.4715) * CHOOSE(CONTROL!$C$21, $C$9, 100%, $E$9)</f>
        <v>15.471500000000001</v>
      </c>
      <c r="I373" s="10">
        <f>CHOOSE(CONTROL!$C$42, 15.3973, 15.3973)* CHOOSE(CONTROL!$C$21, $C$9, 100%, $E$9)</f>
        <v>15.3973</v>
      </c>
      <c r="J373" s="10">
        <f>CHOOSE(CONTROL!$C$42, 15.3773, 15.3773)* CHOOSE(CONTROL!$C$21, $C$9, 100%, $E$9)</f>
        <v>15.3773</v>
      </c>
      <c r="K373" s="53">
        <f>CHOOSE(CONTROL!$C$42, 15.3934, 15.3934) * CHOOSE(CONTROL!$C$21, $C$9, 100%, $E$9)</f>
        <v>15.3934</v>
      </c>
      <c r="L373" s="10">
        <f>CHOOSE(CONTROL!$C$42, 16.0585, 16.0585) * CHOOSE(CONTROL!$C$21, $C$9, 100%, $E$9)</f>
        <v>16.058499999999999</v>
      </c>
      <c r="M373" s="10">
        <f>CHOOSE(CONTROL!$C$42, 15.2359, 15.2359) * CHOOSE(CONTROL!$C$21, $C$9, 100%, $E$9)</f>
        <v>15.235900000000001</v>
      </c>
      <c r="N373" s="10">
        <f>CHOOSE(CONTROL!$C$42, 15.2504, 15.2504) * CHOOSE(CONTROL!$C$21, $C$9, 100%, $E$9)</f>
        <v>15.250400000000001</v>
      </c>
      <c r="O373" s="10">
        <f>CHOOSE(CONTROL!$C$42, 15.3291, 15.3291) * CHOOSE(CONTROL!$C$21, $C$9, 100%, $E$9)</f>
        <v>15.3291</v>
      </c>
      <c r="P373" s="10">
        <f>CHOOSE(CONTROL!$C$42, 15.2557, 15.2557) * CHOOSE(CONTROL!$C$21, $C$9, 100%, $E$9)</f>
        <v>15.255699999999999</v>
      </c>
      <c r="Q373" s="10">
        <f>CHOOSE(CONTROL!$C$42, 15.9244, 15.9244) * CHOOSE(CONTROL!$C$21, $C$9, 100%, $E$9)</f>
        <v>15.9244</v>
      </c>
      <c r="R373" s="10">
        <f>CHOOSE(CONTROL!$C$42, 16.5513, 16.5513) * CHOOSE(CONTROL!$C$21, $C$9, 100%, $E$9)</f>
        <v>16.551300000000001</v>
      </c>
      <c r="S373" s="10">
        <f>CHOOSE(CONTROL!$C$42, 14.9397, 14.9397) * CHOOSE(CONTROL!$C$21, $C$9, 100%, $E$9)</f>
        <v>14.9397</v>
      </c>
      <c r="T3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57">
        <f>(1000*CHOOSE(CONTROL!$C$42, 695, 695)*CHOOSE(CONTROL!$C$42, 0.5599, 0.5599)*CHOOSE(CONTROL!$C$42, 31, 31))/1000000</f>
        <v>12.063045499999998</v>
      </c>
      <c r="V373" s="57">
        <f>(1000*CHOOSE(CONTROL!$C$42, 500, 500)*CHOOSE(CONTROL!$C$42, 0.275, 0.275)*CHOOSE(CONTROL!$C$42, 31, 31))/1000000</f>
        <v>4.2625000000000002</v>
      </c>
      <c r="W373" s="57">
        <f>(1000*CHOOSE(CONTROL!$C$42, 0.1146, 0.1146)*CHOOSE(CONTROL!$C$42, 121.5, 121.5)*CHOOSE(CONTROL!$C$42, 31, 31))/1000000</f>
        <v>0.43164089999999994</v>
      </c>
      <c r="X373" s="57">
        <f>(31*0.1790888*100000/1000000)+(31*0.2374*100000/1000000)</f>
        <v>1.2911152800000001</v>
      </c>
      <c r="Y373" s="57"/>
      <c r="Z373" s="10"/>
      <c r="AA373" s="56"/>
      <c r="AB373" s="50">
        <f>(B373*122.58+C373*297.941+D373*89.177+E373*40.302+F373*40+G373*160+H373*0+I373*100+J373*300)/(122.58+297.941+89.177+40.302+0+40+160+100+300)</f>
        <v>15.396122449130432</v>
      </c>
      <c r="AC373" s="45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15.281825179856115</v>
      </c>
    </row>
    <row r="374" spans="1:29" ht="15.75" x14ac:dyDescent="0.25">
      <c r="A374" s="14">
        <v>52290</v>
      </c>
      <c r="B374" s="10">
        <f>CHOOSE(CONTROL!$C$42, 15.6603, 15.6603) * CHOOSE(CONTROL!$C$21, $C$9, 100%, $E$9)</f>
        <v>15.660299999999999</v>
      </c>
      <c r="C374" s="10">
        <f>CHOOSE(CONTROL!$C$42, 15.6653, 15.6653) * CHOOSE(CONTROL!$C$21, $C$9, 100%, $E$9)</f>
        <v>15.6653</v>
      </c>
      <c r="D374" s="10">
        <f>CHOOSE(CONTROL!$C$42, 15.7223, 15.7223) * CHOOSE(CONTROL!$C$21, $C$9, 100%, $E$9)</f>
        <v>15.722300000000001</v>
      </c>
      <c r="E374" s="10">
        <f>CHOOSE(CONTROL!$C$42, 15.7561, 15.7561) * CHOOSE(CONTROL!$C$21, $C$9, 100%, $E$9)</f>
        <v>15.7561</v>
      </c>
      <c r="F374" s="10">
        <f>CHOOSE(CONTROL!$C$42, 15.6582, 15.6582)*CHOOSE(CONTROL!$C$21, $C$9, 100%, $E$9)</f>
        <v>15.658200000000001</v>
      </c>
      <c r="G374" s="10">
        <f>CHOOSE(CONTROL!$C$42, 15.6729, 15.6729)*CHOOSE(CONTROL!$C$21, $C$9, 100%, $E$9)</f>
        <v>15.6729</v>
      </c>
      <c r="H374" s="10">
        <f>CHOOSE(CONTROL!$C$42, 15.7453, 15.7453) * CHOOSE(CONTROL!$C$21, $C$9, 100%, $E$9)</f>
        <v>15.7453</v>
      </c>
      <c r="I374" s="10">
        <f>CHOOSE(CONTROL!$C$42, 15.6711, 15.6711)* CHOOSE(CONTROL!$C$21, $C$9, 100%, $E$9)</f>
        <v>15.671099999999999</v>
      </c>
      <c r="J374" s="10">
        <f>CHOOSE(CONTROL!$C$42, 15.6512, 15.6512)* CHOOSE(CONTROL!$C$21, $C$9, 100%, $E$9)</f>
        <v>15.651199999999999</v>
      </c>
      <c r="K374" s="53">
        <f>CHOOSE(CONTROL!$C$42, 15.6672, 15.6672) * CHOOSE(CONTROL!$C$21, $C$9, 100%, $E$9)</f>
        <v>15.667199999999999</v>
      </c>
      <c r="L374" s="10">
        <f>CHOOSE(CONTROL!$C$42, 16.3323, 16.3323) * CHOOSE(CONTROL!$C$21, $C$9, 100%, $E$9)</f>
        <v>16.3323</v>
      </c>
      <c r="M374" s="10">
        <f>CHOOSE(CONTROL!$C$42, 15.5071, 15.5071) * CHOOSE(CONTROL!$C$21, $C$9, 100%, $E$9)</f>
        <v>15.507099999999999</v>
      </c>
      <c r="N374" s="10">
        <f>CHOOSE(CONTROL!$C$42, 15.5216, 15.5216) * CHOOSE(CONTROL!$C$21, $C$9, 100%, $E$9)</f>
        <v>15.521599999999999</v>
      </c>
      <c r="O374" s="10">
        <f>CHOOSE(CONTROL!$C$42, 15.6002, 15.6002) * CHOOSE(CONTROL!$C$21, $C$9, 100%, $E$9)</f>
        <v>15.600199999999999</v>
      </c>
      <c r="P374" s="10">
        <f>CHOOSE(CONTROL!$C$42, 15.5268, 15.5268) * CHOOSE(CONTROL!$C$21, $C$9, 100%, $E$9)</f>
        <v>15.5268</v>
      </c>
      <c r="Q374" s="10">
        <f>CHOOSE(CONTROL!$C$42, 16.1955, 16.1955) * CHOOSE(CONTROL!$C$21, $C$9, 100%, $E$9)</f>
        <v>16.195499999999999</v>
      </c>
      <c r="R374" s="10">
        <f>CHOOSE(CONTROL!$C$42, 16.823, 16.823) * CHOOSE(CONTROL!$C$21, $C$9, 100%, $E$9)</f>
        <v>16.823</v>
      </c>
      <c r="S374" s="10">
        <f>CHOOSE(CONTROL!$C$42, 15.2056, 15.2056) * CHOOSE(CONTROL!$C$21, $C$9, 100%, $E$9)</f>
        <v>15.2056</v>
      </c>
      <c r="T3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74" s="57">
        <f>(1000*CHOOSE(CONTROL!$C$42, 695, 695)*CHOOSE(CONTROL!$C$42, 0.5599, 0.5599)*CHOOSE(CONTROL!$C$42, 28, 28))/1000000</f>
        <v>10.895653999999999</v>
      </c>
      <c r="V374" s="57">
        <f>(1000*CHOOSE(CONTROL!$C$42, 500, 500)*CHOOSE(CONTROL!$C$42, 0.275, 0.275)*CHOOSE(CONTROL!$C$42, 28, 28))/1000000</f>
        <v>3.85</v>
      </c>
      <c r="W374" s="57">
        <f>(1000*CHOOSE(CONTROL!$C$42, 0.1146, 0.1146)*CHOOSE(CONTROL!$C$42, 121.5, 121.5)*CHOOSE(CONTROL!$C$42, 28, 28))/1000000</f>
        <v>0.38986920000000003</v>
      </c>
      <c r="X374" s="57">
        <f>(28*0.1790888*100000/1000000)+(28*0.2374*100000/1000000)</f>
        <v>1.16616864</v>
      </c>
      <c r="Y374" s="57"/>
      <c r="Z374" s="10"/>
      <c r="AA374" s="56"/>
      <c r="AB374" s="50">
        <f>(B374*122.58+C374*297.941+D374*89.177+E374*40.302+F374*40+G374*160+H374*0+I374*100+J374*300)/(122.58+297.941+89.177+40.302+0+40+160+100+300)</f>
        <v>15.670005748347828</v>
      </c>
      <c r="AC374" s="45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15.552965467625899</v>
      </c>
    </row>
    <row r="375" spans="1:29" ht="15.75" x14ac:dyDescent="0.25">
      <c r="A375" s="14">
        <v>52321</v>
      </c>
      <c r="B375" s="10">
        <f>CHOOSE(CONTROL!$C$42, 15.2158, 15.2158) * CHOOSE(CONTROL!$C$21, $C$9, 100%, $E$9)</f>
        <v>15.2158</v>
      </c>
      <c r="C375" s="10">
        <f>CHOOSE(CONTROL!$C$42, 15.2207, 15.2207) * CHOOSE(CONTROL!$C$21, $C$9, 100%, $E$9)</f>
        <v>15.220700000000001</v>
      </c>
      <c r="D375" s="10">
        <f>CHOOSE(CONTROL!$C$42, 15.2778, 15.2778) * CHOOSE(CONTROL!$C$21, $C$9, 100%, $E$9)</f>
        <v>15.277799999999999</v>
      </c>
      <c r="E375" s="10">
        <f>CHOOSE(CONTROL!$C$42, 15.3116, 15.3116) * CHOOSE(CONTROL!$C$21, $C$9, 100%, $E$9)</f>
        <v>15.3116</v>
      </c>
      <c r="F375" s="10">
        <f>CHOOSE(CONTROL!$C$42, 15.2136, 15.2136)*CHOOSE(CONTROL!$C$21, $C$9, 100%, $E$9)</f>
        <v>15.2136</v>
      </c>
      <c r="G375" s="10">
        <f>CHOOSE(CONTROL!$C$42, 15.2282, 15.2282)*CHOOSE(CONTROL!$C$21, $C$9, 100%, $E$9)</f>
        <v>15.228199999999999</v>
      </c>
      <c r="H375" s="10">
        <f>CHOOSE(CONTROL!$C$42, 15.3008, 15.3008) * CHOOSE(CONTROL!$C$21, $C$9, 100%, $E$9)</f>
        <v>15.300800000000001</v>
      </c>
      <c r="I375" s="10">
        <f>CHOOSE(CONTROL!$C$42, 15.2266, 15.2266)* CHOOSE(CONTROL!$C$21, $C$9, 100%, $E$9)</f>
        <v>15.226599999999999</v>
      </c>
      <c r="J375" s="10">
        <f>CHOOSE(CONTROL!$C$42, 15.2066, 15.2066)* CHOOSE(CONTROL!$C$21, $C$9, 100%, $E$9)</f>
        <v>15.2066</v>
      </c>
      <c r="K375" s="53">
        <f>CHOOSE(CONTROL!$C$42, 15.2227, 15.2227) * CHOOSE(CONTROL!$C$21, $C$9, 100%, $E$9)</f>
        <v>15.2227</v>
      </c>
      <c r="L375" s="10">
        <f>CHOOSE(CONTROL!$C$42, 15.8878, 15.8878) * CHOOSE(CONTROL!$C$21, $C$9, 100%, $E$9)</f>
        <v>15.8878</v>
      </c>
      <c r="M375" s="10">
        <f>CHOOSE(CONTROL!$C$42, 15.067, 15.067) * CHOOSE(CONTROL!$C$21, $C$9, 100%, $E$9)</f>
        <v>15.067</v>
      </c>
      <c r="N375" s="10">
        <f>CHOOSE(CONTROL!$C$42, 15.0814, 15.0814) * CHOOSE(CONTROL!$C$21, $C$9, 100%, $E$9)</f>
        <v>15.0814</v>
      </c>
      <c r="O375" s="10">
        <f>CHOOSE(CONTROL!$C$42, 15.1602, 15.1602) * CHOOSE(CONTROL!$C$21, $C$9, 100%, $E$9)</f>
        <v>15.1602</v>
      </c>
      <c r="P375" s="10">
        <f>CHOOSE(CONTROL!$C$42, 15.0868, 15.0868) * CHOOSE(CONTROL!$C$21, $C$9, 100%, $E$9)</f>
        <v>15.0868</v>
      </c>
      <c r="Q375" s="10">
        <f>CHOOSE(CONTROL!$C$42, 15.7555, 15.7555) * CHOOSE(CONTROL!$C$21, $C$9, 100%, $E$9)</f>
        <v>15.7555</v>
      </c>
      <c r="R375" s="10">
        <f>CHOOSE(CONTROL!$C$42, 16.3819, 16.3819) * CHOOSE(CONTROL!$C$21, $C$9, 100%, $E$9)</f>
        <v>16.381900000000002</v>
      </c>
      <c r="S375" s="10">
        <f>CHOOSE(CONTROL!$C$42, 14.7739, 14.7739) * CHOOSE(CONTROL!$C$21, $C$9, 100%, $E$9)</f>
        <v>14.773899999999999</v>
      </c>
      <c r="T3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57">
        <f>(1000*CHOOSE(CONTROL!$C$42, 695, 695)*CHOOSE(CONTROL!$C$42, 0.5599, 0.5599)*CHOOSE(CONTROL!$C$42, 31, 31))/1000000</f>
        <v>12.063045499999998</v>
      </c>
      <c r="V375" s="57">
        <f>(1000*CHOOSE(CONTROL!$C$42, 500, 500)*CHOOSE(CONTROL!$C$42, 0.275, 0.275)*CHOOSE(CONTROL!$C$42, 31, 31))/1000000</f>
        <v>4.2625000000000002</v>
      </c>
      <c r="W375" s="57">
        <f>(1000*CHOOSE(CONTROL!$C$42, 0.1146, 0.1146)*CHOOSE(CONTROL!$C$42, 121.5, 121.5)*CHOOSE(CONTROL!$C$42, 31, 31))/1000000</f>
        <v>0.43164089999999994</v>
      </c>
      <c r="X375" s="57">
        <f>(31*0.1790888*100000/1000000)+(31*0.2374*100000/1000000)</f>
        <v>1.2911152800000001</v>
      </c>
      <c r="Y375" s="57"/>
      <c r="Z375" s="10"/>
      <c r="AA375" s="56"/>
      <c r="AB375" s="50">
        <f>(B375*122.58+C375*297.941+D375*89.177+E375*40.302+F375*40+G375*160+H375*0+I375*100+J375*300)/(122.58+297.941+89.177+40.302+0+40+160+100+300)</f>
        <v>15.225422449130436</v>
      </c>
      <c r="AC375" s="45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15.112919424460431</v>
      </c>
    </row>
    <row r="376" spans="1:29" ht="15.75" x14ac:dyDescent="0.25">
      <c r="A376" s="14">
        <v>52351</v>
      </c>
      <c r="B376" s="10">
        <f>CHOOSE(CONTROL!$C$42, 15.1714, 15.1714) * CHOOSE(CONTROL!$C$21, $C$9, 100%, $E$9)</f>
        <v>15.1714</v>
      </c>
      <c r="C376" s="10">
        <f>CHOOSE(CONTROL!$C$42, 15.1758, 15.1758) * CHOOSE(CONTROL!$C$21, $C$9, 100%, $E$9)</f>
        <v>15.175800000000001</v>
      </c>
      <c r="D376" s="10">
        <f>CHOOSE(CONTROL!$C$42, 15.3817, 15.3817) * CHOOSE(CONTROL!$C$21, $C$9, 100%, $E$9)</f>
        <v>15.3817</v>
      </c>
      <c r="E376" s="10">
        <f>CHOOSE(CONTROL!$C$42, 15.4134, 15.4134) * CHOOSE(CONTROL!$C$21, $C$9, 100%, $E$9)</f>
        <v>15.413399999999999</v>
      </c>
      <c r="F376" s="10">
        <f>CHOOSE(CONTROL!$C$42, 15.1482, 15.1482)*CHOOSE(CONTROL!$C$21, $C$9, 100%, $E$9)</f>
        <v>15.148199999999999</v>
      </c>
      <c r="G376" s="10">
        <f>CHOOSE(CONTROL!$C$42, 15.1627, 15.1627)*CHOOSE(CONTROL!$C$21, $C$9, 100%, $E$9)</f>
        <v>15.162699999999999</v>
      </c>
      <c r="H376" s="10">
        <f>CHOOSE(CONTROL!$C$42, 15.4032, 15.4032) * CHOOSE(CONTROL!$C$21, $C$9, 100%, $E$9)</f>
        <v>15.4032</v>
      </c>
      <c r="I376" s="10">
        <f>CHOOSE(CONTROL!$C$42, 15.1728, 15.1728)* CHOOSE(CONTROL!$C$21, $C$9, 100%, $E$9)</f>
        <v>15.172800000000001</v>
      </c>
      <c r="J376" s="10">
        <f>CHOOSE(CONTROL!$C$42, 15.1412, 15.1412)* CHOOSE(CONTROL!$C$21, $C$9, 100%, $E$9)</f>
        <v>15.1412</v>
      </c>
      <c r="K376" s="53">
        <f>CHOOSE(CONTROL!$C$42, 15.169, 15.169) * CHOOSE(CONTROL!$C$21, $C$9, 100%, $E$9)</f>
        <v>15.169</v>
      </c>
      <c r="L376" s="10">
        <f>CHOOSE(CONTROL!$C$42, 15.9902, 15.9902) * CHOOSE(CONTROL!$C$21, $C$9, 100%, $E$9)</f>
        <v>15.9902</v>
      </c>
      <c r="M376" s="10">
        <f>CHOOSE(CONTROL!$C$42, 15.0022, 15.0022) * CHOOSE(CONTROL!$C$21, $C$9, 100%, $E$9)</f>
        <v>15.0022</v>
      </c>
      <c r="N376" s="10">
        <f>CHOOSE(CONTROL!$C$42, 15.0166, 15.0166) * CHOOSE(CONTROL!$C$21, $C$9, 100%, $E$9)</f>
        <v>15.0166</v>
      </c>
      <c r="O376" s="10">
        <f>CHOOSE(CONTROL!$C$42, 15.2616, 15.2616) * CHOOSE(CONTROL!$C$21, $C$9, 100%, $E$9)</f>
        <v>15.2616</v>
      </c>
      <c r="P376" s="10">
        <f>CHOOSE(CONTROL!$C$42, 15.0336, 15.0336) * CHOOSE(CONTROL!$C$21, $C$9, 100%, $E$9)</f>
        <v>15.0336</v>
      </c>
      <c r="Q376" s="10">
        <f>CHOOSE(CONTROL!$C$42, 15.8569, 15.8569) * CHOOSE(CONTROL!$C$21, $C$9, 100%, $E$9)</f>
        <v>15.8569</v>
      </c>
      <c r="R376" s="10">
        <f>CHOOSE(CONTROL!$C$42, 16.4835, 16.4835) * CHOOSE(CONTROL!$C$21, $C$9, 100%, $E$9)</f>
        <v>16.483499999999999</v>
      </c>
      <c r="S376" s="10">
        <f>CHOOSE(CONTROL!$C$42, 14.7301, 14.7301) * CHOOSE(CONTROL!$C$21, $C$9, 100%, $E$9)</f>
        <v>14.7301</v>
      </c>
      <c r="T3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57">
        <f>(1000*CHOOSE(CONTROL!$C$42, 695, 695)*CHOOSE(CONTROL!$C$42, 0.5599, 0.5599)*CHOOSE(CONTROL!$C$42, 30, 30))/1000000</f>
        <v>11.673914999999997</v>
      </c>
      <c r="V376" s="57">
        <f>(1000*CHOOSE(CONTROL!$C$42, 500, 500)*CHOOSE(CONTROL!$C$42, 0.275, 0.275)*CHOOSE(CONTROL!$C$42, 30, 30))/1000000</f>
        <v>4.125</v>
      </c>
      <c r="W376" s="57">
        <f>(1000*CHOOSE(CONTROL!$C$42, 0.1146, 0.1146)*CHOOSE(CONTROL!$C$42, 121.5, 121.5)*CHOOSE(CONTROL!$C$42, 30, 30))/1000000</f>
        <v>0.417717</v>
      </c>
      <c r="X376" s="57">
        <f>(30*0.1790888*245000/1000000)+(30*0.2374*100000/1000000)</f>
        <v>2.0285026799999999</v>
      </c>
      <c r="Y376" s="57"/>
      <c r="Z376" s="10"/>
      <c r="AA376" s="56"/>
      <c r="AB376" s="50">
        <f>(B376*141.293+C376*267.993+D376*115.016+E376*89.698+F376*40+G376*185+H376*0+I376*100+J376*300)/(141.293+267.993+115.016+89.698+0+40+185+100+300)</f>
        <v>15.20014612590799</v>
      </c>
      <c r="AC376" s="45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15.08281438848921</v>
      </c>
    </row>
    <row r="377" spans="1:29" ht="15.75" x14ac:dyDescent="0.25">
      <c r="A377" s="14">
        <v>52382</v>
      </c>
      <c r="B377" s="10">
        <f>CHOOSE(CONTROL!$C$42, 15.3067, 15.3067) * CHOOSE(CONTROL!$C$21, $C$9, 100%, $E$9)</f>
        <v>15.306699999999999</v>
      </c>
      <c r="C377" s="10">
        <f>CHOOSE(CONTROL!$C$42, 15.3146, 15.3146) * CHOOSE(CONTROL!$C$21, $C$9, 100%, $E$9)</f>
        <v>15.3146</v>
      </c>
      <c r="D377" s="10">
        <f>CHOOSE(CONTROL!$C$42, 15.5173, 15.5173) * CHOOSE(CONTROL!$C$21, $C$9, 100%, $E$9)</f>
        <v>15.517300000000001</v>
      </c>
      <c r="E377" s="10">
        <f>CHOOSE(CONTROL!$C$42, 15.5485, 15.5485) * CHOOSE(CONTROL!$C$21, $C$9, 100%, $E$9)</f>
        <v>15.548500000000001</v>
      </c>
      <c r="F377" s="10">
        <f>CHOOSE(CONTROL!$C$42, 15.2824, 15.2824)*CHOOSE(CONTROL!$C$21, $C$9, 100%, $E$9)</f>
        <v>15.282400000000001</v>
      </c>
      <c r="G377" s="10">
        <f>CHOOSE(CONTROL!$C$42, 15.2974, 15.2974)*CHOOSE(CONTROL!$C$21, $C$9, 100%, $E$9)</f>
        <v>15.2974</v>
      </c>
      <c r="H377" s="10">
        <f>CHOOSE(CONTROL!$C$42, 15.5371, 15.5371) * CHOOSE(CONTROL!$C$21, $C$9, 100%, $E$9)</f>
        <v>15.537100000000001</v>
      </c>
      <c r="I377" s="10">
        <f>CHOOSE(CONTROL!$C$42, 15.3067, 15.3067)* CHOOSE(CONTROL!$C$21, $C$9, 100%, $E$9)</f>
        <v>15.306699999999999</v>
      </c>
      <c r="J377" s="10">
        <f>CHOOSE(CONTROL!$C$42, 15.2754, 15.2754)* CHOOSE(CONTROL!$C$21, $C$9, 100%, $E$9)</f>
        <v>15.275399999999999</v>
      </c>
      <c r="K377" s="53">
        <f>CHOOSE(CONTROL!$C$42, 15.3028, 15.3028) * CHOOSE(CONTROL!$C$21, $C$9, 100%, $E$9)</f>
        <v>15.3028</v>
      </c>
      <c r="L377" s="10">
        <f>CHOOSE(CONTROL!$C$42, 16.1241, 16.1241) * CHOOSE(CONTROL!$C$21, $C$9, 100%, $E$9)</f>
        <v>16.124099999999999</v>
      </c>
      <c r="M377" s="10">
        <f>CHOOSE(CONTROL!$C$42, 15.1351, 15.1351) * CHOOSE(CONTROL!$C$21, $C$9, 100%, $E$9)</f>
        <v>15.1351</v>
      </c>
      <c r="N377" s="10">
        <f>CHOOSE(CONTROL!$C$42, 15.1499, 15.1499) * CHOOSE(CONTROL!$C$21, $C$9, 100%, $E$9)</f>
        <v>15.149900000000001</v>
      </c>
      <c r="O377" s="10">
        <f>CHOOSE(CONTROL!$C$42, 15.3941, 15.3941) * CHOOSE(CONTROL!$C$21, $C$9, 100%, $E$9)</f>
        <v>15.3941</v>
      </c>
      <c r="P377" s="10">
        <f>CHOOSE(CONTROL!$C$42, 15.1661, 15.1661) * CHOOSE(CONTROL!$C$21, $C$9, 100%, $E$9)</f>
        <v>15.1661</v>
      </c>
      <c r="Q377" s="10">
        <f>CHOOSE(CONTROL!$C$42, 15.9894, 15.9894) * CHOOSE(CONTROL!$C$21, $C$9, 100%, $E$9)</f>
        <v>15.9894</v>
      </c>
      <c r="R377" s="10">
        <f>CHOOSE(CONTROL!$C$42, 16.6164, 16.6164) * CHOOSE(CONTROL!$C$21, $C$9, 100%, $E$9)</f>
        <v>16.616399999999999</v>
      </c>
      <c r="S377" s="10">
        <f>CHOOSE(CONTROL!$C$42, 14.8601, 14.8601) * CHOOSE(CONTROL!$C$21, $C$9, 100%, $E$9)</f>
        <v>14.860099999999999</v>
      </c>
      <c r="T3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57">
        <f>(1000*CHOOSE(CONTROL!$C$42, 695, 695)*CHOOSE(CONTROL!$C$42, 0.5599, 0.5599)*CHOOSE(CONTROL!$C$42, 31, 31))/1000000</f>
        <v>12.063045499999998</v>
      </c>
      <c r="V377" s="57">
        <f>(1000*CHOOSE(CONTROL!$C$42, 500, 500)*CHOOSE(CONTROL!$C$42, 0.275, 0.275)*CHOOSE(CONTROL!$C$42, 31, 31))/1000000</f>
        <v>4.2625000000000002</v>
      </c>
      <c r="W377" s="57">
        <f>(1000*CHOOSE(CONTROL!$C$42, 0.1146, 0.1146)*CHOOSE(CONTROL!$C$42, 121.5, 121.5)*CHOOSE(CONTROL!$C$42, 31, 31))/1000000</f>
        <v>0.43164089999999994</v>
      </c>
      <c r="X377" s="57">
        <f>(31*0.1790888*245000/1000000)+(31*0.2374*100000/1000000)</f>
        <v>2.0961194359999999</v>
      </c>
      <c r="Y377" s="57"/>
      <c r="Z377" s="10"/>
      <c r="AA377" s="56"/>
      <c r="AB377" s="50">
        <f>(B377*194.205+C377*267.466+D377*133.845+E377*53.484+F377*40+G377*185+H377*0+I377*100+J377*300)/(194.205+267.466+133.845+53.484+0+40+185+100+300)</f>
        <v>15.331151075039244</v>
      </c>
      <c r="AC377" s="45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15.215636690647482</v>
      </c>
    </row>
    <row r="378" spans="1:29" ht="15.75" x14ac:dyDescent="0.25">
      <c r="A378" s="14">
        <v>52412</v>
      </c>
      <c r="B378" s="10">
        <f>CHOOSE(CONTROL!$C$42, 15.7407, 15.7407) * CHOOSE(CONTROL!$C$21, $C$9, 100%, $E$9)</f>
        <v>15.7407</v>
      </c>
      <c r="C378" s="10">
        <f>CHOOSE(CONTROL!$C$42, 15.7486, 15.7486) * CHOOSE(CONTROL!$C$21, $C$9, 100%, $E$9)</f>
        <v>15.7486</v>
      </c>
      <c r="D378" s="10">
        <f>CHOOSE(CONTROL!$C$42, 15.9514, 15.9514) * CHOOSE(CONTROL!$C$21, $C$9, 100%, $E$9)</f>
        <v>15.9514</v>
      </c>
      <c r="E378" s="10">
        <f>CHOOSE(CONTROL!$C$42, 15.9825, 15.9825) * CHOOSE(CONTROL!$C$21, $C$9, 100%, $E$9)</f>
        <v>15.9825</v>
      </c>
      <c r="F378" s="10">
        <f>CHOOSE(CONTROL!$C$42, 15.7169, 15.7169)*CHOOSE(CONTROL!$C$21, $C$9, 100%, $E$9)</f>
        <v>15.716900000000001</v>
      </c>
      <c r="G378" s="10">
        <f>CHOOSE(CONTROL!$C$42, 15.7321, 15.7321)*CHOOSE(CONTROL!$C$21, $C$9, 100%, $E$9)</f>
        <v>15.732100000000001</v>
      </c>
      <c r="H378" s="10">
        <f>CHOOSE(CONTROL!$C$42, 15.9711, 15.9711) * CHOOSE(CONTROL!$C$21, $C$9, 100%, $E$9)</f>
        <v>15.9711</v>
      </c>
      <c r="I378" s="10">
        <f>CHOOSE(CONTROL!$C$42, 15.7407, 15.7407)* CHOOSE(CONTROL!$C$21, $C$9, 100%, $E$9)</f>
        <v>15.7407</v>
      </c>
      <c r="J378" s="10">
        <f>CHOOSE(CONTROL!$C$42, 15.7099, 15.7099)* CHOOSE(CONTROL!$C$21, $C$9, 100%, $E$9)</f>
        <v>15.709899999999999</v>
      </c>
      <c r="K378" s="53">
        <f>CHOOSE(CONTROL!$C$42, 15.7369, 15.7369) * CHOOSE(CONTROL!$C$21, $C$9, 100%, $E$9)</f>
        <v>15.7369</v>
      </c>
      <c r="L378" s="10">
        <f>CHOOSE(CONTROL!$C$42, 16.5581, 16.5581) * CHOOSE(CONTROL!$C$21, $C$9, 100%, $E$9)</f>
        <v>16.5581</v>
      </c>
      <c r="M378" s="10">
        <f>CHOOSE(CONTROL!$C$42, 15.5652, 15.5652) * CHOOSE(CONTROL!$C$21, $C$9, 100%, $E$9)</f>
        <v>15.565200000000001</v>
      </c>
      <c r="N378" s="10">
        <f>CHOOSE(CONTROL!$C$42, 15.5802, 15.5802) * CHOOSE(CONTROL!$C$21, $C$9, 100%, $E$9)</f>
        <v>15.5802</v>
      </c>
      <c r="O378" s="10">
        <f>CHOOSE(CONTROL!$C$42, 15.8238, 15.8238) * CHOOSE(CONTROL!$C$21, $C$9, 100%, $E$9)</f>
        <v>15.8238</v>
      </c>
      <c r="P378" s="10">
        <f>CHOOSE(CONTROL!$C$42, 15.5958, 15.5958) * CHOOSE(CONTROL!$C$21, $C$9, 100%, $E$9)</f>
        <v>15.595800000000001</v>
      </c>
      <c r="Q378" s="10">
        <f>CHOOSE(CONTROL!$C$42, 16.4191, 16.4191) * CHOOSE(CONTROL!$C$21, $C$9, 100%, $E$9)</f>
        <v>16.4191</v>
      </c>
      <c r="R378" s="10">
        <f>CHOOSE(CONTROL!$C$42, 17.0471, 17.0471) * CHOOSE(CONTROL!$C$21, $C$9, 100%, $E$9)</f>
        <v>17.0471</v>
      </c>
      <c r="S378" s="10">
        <f>CHOOSE(CONTROL!$C$42, 15.2816, 15.2816) * CHOOSE(CONTROL!$C$21, $C$9, 100%, $E$9)</f>
        <v>15.281599999999999</v>
      </c>
      <c r="T3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57">
        <f>(1000*CHOOSE(CONTROL!$C$42, 695, 695)*CHOOSE(CONTROL!$C$42, 0.5599, 0.5599)*CHOOSE(CONTROL!$C$42, 30, 30))/1000000</f>
        <v>11.673914999999997</v>
      </c>
      <c r="V378" s="57">
        <f>(1000*CHOOSE(CONTROL!$C$42, 500, 500)*CHOOSE(CONTROL!$C$42, 0.275, 0.275)*CHOOSE(CONTROL!$C$42, 30, 30))/1000000</f>
        <v>4.125</v>
      </c>
      <c r="W378" s="57">
        <f>(1000*CHOOSE(CONTROL!$C$42, 0.1146, 0.1146)*CHOOSE(CONTROL!$C$42, 121.5, 121.5)*CHOOSE(CONTROL!$C$42, 30, 30))/1000000</f>
        <v>0.417717</v>
      </c>
      <c r="X378" s="57">
        <f>(30*0.1790888*245000/1000000)+(30*0.2374*100000/1000000)</f>
        <v>2.0285026799999999</v>
      </c>
      <c r="Y378" s="57"/>
      <c r="Z378" s="10"/>
      <c r="AA378" s="56"/>
      <c r="AB378" s="50">
        <f>(B378*194.205+C378*267.466+D378*133.845+E378*53.484+F378*40+G378*185+H378*0+I378*100+J378*300)/(194.205+267.466+133.845+53.484+0+40+185+100+300)</f>
        <v>15.765396667268444</v>
      </c>
      <c r="AC378" s="45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15.645612949640286</v>
      </c>
    </row>
    <row r="379" spans="1:29" ht="15.75" x14ac:dyDescent="0.25">
      <c r="A379" s="14">
        <v>52443</v>
      </c>
      <c r="B379" s="10">
        <f>CHOOSE(CONTROL!$C$42, 15.4388, 15.4388) * CHOOSE(CONTROL!$C$21, $C$9, 100%, $E$9)</f>
        <v>15.438800000000001</v>
      </c>
      <c r="C379" s="10">
        <f>CHOOSE(CONTROL!$C$42, 15.4468, 15.4468) * CHOOSE(CONTROL!$C$21, $C$9, 100%, $E$9)</f>
        <v>15.4468</v>
      </c>
      <c r="D379" s="10">
        <f>CHOOSE(CONTROL!$C$42, 15.6495, 15.6495) * CHOOSE(CONTROL!$C$21, $C$9, 100%, $E$9)</f>
        <v>15.6495</v>
      </c>
      <c r="E379" s="10">
        <f>CHOOSE(CONTROL!$C$42, 15.6806, 15.6806) * CHOOSE(CONTROL!$C$21, $C$9, 100%, $E$9)</f>
        <v>15.6806</v>
      </c>
      <c r="F379" s="10">
        <f>CHOOSE(CONTROL!$C$42, 15.4156, 15.4156)*CHOOSE(CONTROL!$C$21, $C$9, 100%, $E$9)</f>
        <v>15.4156</v>
      </c>
      <c r="G379" s="10">
        <f>CHOOSE(CONTROL!$C$42, 15.4309, 15.4309)*CHOOSE(CONTROL!$C$21, $C$9, 100%, $E$9)</f>
        <v>15.430899999999999</v>
      </c>
      <c r="H379" s="10">
        <f>CHOOSE(CONTROL!$C$42, 15.6693, 15.6693) * CHOOSE(CONTROL!$C$21, $C$9, 100%, $E$9)</f>
        <v>15.6693</v>
      </c>
      <c r="I379" s="10">
        <f>CHOOSE(CONTROL!$C$42, 15.4389, 15.4389)* CHOOSE(CONTROL!$C$21, $C$9, 100%, $E$9)</f>
        <v>15.4389</v>
      </c>
      <c r="J379" s="10">
        <f>CHOOSE(CONTROL!$C$42, 15.4086, 15.4086)* CHOOSE(CONTROL!$C$21, $C$9, 100%, $E$9)</f>
        <v>15.4086</v>
      </c>
      <c r="K379" s="53">
        <f>CHOOSE(CONTROL!$C$42, 15.435, 15.435) * CHOOSE(CONTROL!$C$21, $C$9, 100%, $E$9)</f>
        <v>15.435</v>
      </c>
      <c r="L379" s="10">
        <f>CHOOSE(CONTROL!$C$42, 16.2563, 16.2563) * CHOOSE(CONTROL!$C$21, $C$9, 100%, $E$9)</f>
        <v>16.2563</v>
      </c>
      <c r="M379" s="10">
        <f>CHOOSE(CONTROL!$C$42, 15.2669, 15.2669) * CHOOSE(CONTROL!$C$21, $C$9, 100%, $E$9)</f>
        <v>15.2669</v>
      </c>
      <c r="N379" s="10">
        <f>CHOOSE(CONTROL!$C$42, 15.282, 15.282) * CHOOSE(CONTROL!$C$21, $C$9, 100%, $E$9)</f>
        <v>15.282</v>
      </c>
      <c r="O379" s="10">
        <f>CHOOSE(CONTROL!$C$42, 15.5249, 15.5249) * CHOOSE(CONTROL!$C$21, $C$9, 100%, $E$9)</f>
        <v>15.524900000000001</v>
      </c>
      <c r="P379" s="10">
        <f>CHOOSE(CONTROL!$C$42, 15.2969, 15.2969) * CHOOSE(CONTROL!$C$21, $C$9, 100%, $E$9)</f>
        <v>15.296900000000001</v>
      </c>
      <c r="Q379" s="10">
        <f>CHOOSE(CONTROL!$C$42, 16.1202, 16.1202) * CHOOSE(CONTROL!$C$21, $C$9, 100%, $E$9)</f>
        <v>16.120200000000001</v>
      </c>
      <c r="R379" s="10">
        <f>CHOOSE(CONTROL!$C$42, 16.7475, 16.7475) * CHOOSE(CONTROL!$C$21, $C$9, 100%, $E$9)</f>
        <v>16.747499999999999</v>
      </c>
      <c r="S379" s="10">
        <f>CHOOSE(CONTROL!$C$42, 14.9884, 14.9884) * CHOOSE(CONTROL!$C$21, $C$9, 100%, $E$9)</f>
        <v>14.9884</v>
      </c>
      <c r="T3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57">
        <f>(1000*CHOOSE(CONTROL!$C$42, 695, 695)*CHOOSE(CONTROL!$C$42, 0.5599, 0.5599)*CHOOSE(CONTROL!$C$42, 31, 31))/1000000</f>
        <v>12.063045499999998</v>
      </c>
      <c r="V379" s="57">
        <f>(1000*CHOOSE(CONTROL!$C$42, 500, 500)*CHOOSE(CONTROL!$C$42, 0.275, 0.275)*CHOOSE(CONTROL!$C$42, 31, 31))/1000000</f>
        <v>4.2625000000000002</v>
      </c>
      <c r="W379" s="57">
        <f>(1000*CHOOSE(CONTROL!$C$42, 0.1146, 0.1146)*CHOOSE(CONTROL!$C$42, 121.5, 121.5)*CHOOSE(CONTROL!$C$42, 31, 31))/1000000</f>
        <v>0.43164089999999994</v>
      </c>
      <c r="X379" s="57">
        <f>(31*0.1790888*245000/1000000)+(31*0.2374*100000/1000000)</f>
        <v>2.0961194359999999</v>
      </c>
      <c r="Y379" s="57"/>
      <c r="Z379" s="10"/>
      <c r="AA379" s="56"/>
      <c r="AB379" s="50">
        <f>(B379*194.205+C379*267.466+D379*133.845+E379*53.484+F379*40+G379*185+H379*0+I379*100+J379*300)/(194.205+267.466+133.845+53.484+0+40+185+100+300)</f>
        <v>15.463787284693877</v>
      </c>
      <c r="AC379" s="45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15.347081294964028</v>
      </c>
    </row>
    <row r="380" spans="1:29" ht="15.75" x14ac:dyDescent="0.25">
      <c r="A380" s="14">
        <v>52474</v>
      </c>
      <c r="B380" s="10">
        <f>CHOOSE(CONTROL!$C$42, 14.6765, 14.6765) * CHOOSE(CONTROL!$C$21, $C$9, 100%, $E$9)</f>
        <v>14.676500000000001</v>
      </c>
      <c r="C380" s="10">
        <f>CHOOSE(CONTROL!$C$42, 14.6844, 14.6844) * CHOOSE(CONTROL!$C$21, $C$9, 100%, $E$9)</f>
        <v>14.6844</v>
      </c>
      <c r="D380" s="10">
        <f>CHOOSE(CONTROL!$C$42, 14.8872, 14.8872) * CHOOSE(CONTROL!$C$21, $C$9, 100%, $E$9)</f>
        <v>14.8872</v>
      </c>
      <c r="E380" s="10">
        <f>CHOOSE(CONTROL!$C$42, 14.9183, 14.9183) * CHOOSE(CONTROL!$C$21, $C$9, 100%, $E$9)</f>
        <v>14.9183</v>
      </c>
      <c r="F380" s="10">
        <f>CHOOSE(CONTROL!$C$42, 14.6534, 14.6534)*CHOOSE(CONTROL!$C$21, $C$9, 100%, $E$9)</f>
        <v>14.6534</v>
      </c>
      <c r="G380" s="10">
        <f>CHOOSE(CONTROL!$C$42, 14.6688, 14.6688)*CHOOSE(CONTROL!$C$21, $C$9, 100%, $E$9)</f>
        <v>14.668799999999999</v>
      </c>
      <c r="H380" s="10">
        <f>CHOOSE(CONTROL!$C$42, 14.9069, 14.9069) * CHOOSE(CONTROL!$C$21, $C$9, 100%, $E$9)</f>
        <v>14.9069</v>
      </c>
      <c r="I380" s="10">
        <f>CHOOSE(CONTROL!$C$42, 14.6765, 14.6765)* CHOOSE(CONTROL!$C$21, $C$9, 100%, $E$9)</f>
        <v>14.676500000000001</v>
      </c>
      <c r="J380" s="10">
        <f>CHOOSE(CONTROL!$C$42, 14.6464, 14.6464)* CHOOSE(CONTROL!$C$21, $C$9, 100%, $E$9)</f>
        <v>14.6464</v>
      </c>
      <c r="K380" s="53">
        <f>CHOOSE(CONTROL!$C$42, 14.6726, 14.6726) * CHOOSE(CONTROL!$C$21, $C$9, 100%, $E$9)</f>
        <v>14.672599999999999</v>
      </c>
      <c r="L380" s="10">
        <f>CHOOSE(CONTROL!$C$42, 15.4939, 15.4939) * CHOOSE(CONTROL!$C$21, $C$9, 100%, $E$9)</f>
        <v>15.4939</v>
      </c>
      <c r="M380" s="10">
        <f>CHOOSE(CONTROL!$C$42, 14.5125, 14.5125) * CHOOSE(CONTROL!$C$21, $C$9, 100%, $E$9)</f>
        <v>14.512499999999999</v>
      </c>
      <c r="N380" s="10">
        <f>CHOOSE(CONTROL!$C$42, 14.5276, 14.5276) * CHOOSE(CONTROL!$C$21, $C$9, 100%, $E$9)</f>
        <v>14.5276</v>
      </c>
      <c r="O380" s="10">
        <f>CHOOSE(CONTROL!$C$42, 14.7703, 14.7703) * CHOOSE(CONTROL!$C$21, $C$9, 100%, $E$9)</f>
        <v>14.770300000000001</v>
      </c>
      <c r="P380" s="10">
        <f>CHOOSE(CONTROL!$C$42, 14.5423, 14.5423) * CHOOSE(CONTROL!$C$21, $C$9, 100%, $E$9)</f>
        <v>14.542299999999999</v>
      </c>
      <c r="Q380" s="10">
        <f>CHOOSE(CONTROL!$C$42, 15.3656, 15.3656) * CHOOSE(CONTROL!$C$21, $C$9, 100%, $E$9)</f>
        <v>15.365600000000001</v>
      </c>
      <c r="R380" s="10">
        <f>CHOOSE(CONTROL!$C$42, 15.991, 15.991) * CHOOSE(CONTROL!$C$21, $C$9, 100%, $E$9)</f>
        <v>15.991</v>
      </c>
      <c r="S380" s="10">
        <f>CHOOSE(CONTROL!$C$42, 14.2481, 14.2481) * CHOOSE(CONTROL!$C$21, $C$9, 100%, $E$9)</f>
        <v>14.248100000000001</v>
      </c>
      <c r="T3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57">
        <f>(1000*CHOOSE(CONTROL!$C$42, 695, 695)*CHOOSE(CONTROL!$C$42, 0.5599, 0.5599)*CHOOSE(CONTROL!$C$42, 31, 31))/1000000</f>
        <v>12.063045499999998</v>
      </c>
      <c r="V380" s="57">
        <f>(1000*CHOOSE(CONTROL!$C$42, 500, 500)*CHOOSE(CONTROL!$C$42, 0.275, 0.275)*CHOOSE(CONTROL!$C$42, 31, 31))/1000000</f>
        <v>4.2625000000000002</v>
      </c>
      <c r="W380" s="57">
        <f>(1000*CHOOSE(CONTROL!$C$42, 0.1146, 0.1146)*CHOOSE(CONTROL!$C$42, 121.5, 121.5)*CHOOSE(CONTROL!$C$42, 31, 31))/1000000</f>
        <v>0.43164089999999994</v>
      </c>
      <c r="X380" s="57">
        <f>(31*0.1790888*245000/1000000)+(31*0.2374*100000/1000000)</f>
        <v>2.0961194359999999</v>
      </c>
      <c r="Y380" s="57"/>
      <c r="Z380" s="10"/>
      <c r="AA380" s="56"/>
      <c r="AB380" s="50">
        <f>(B380*194.205+C380*267.466+D380*133.845+E380*53.484+F380*40+G380*185+H380*0+I380*100+J380*300)/(194.205+267.466+133.845+53.484+0+40+185+100+300)</f>
        <v>14.701514171193093</v>
      </c>
      <c r="AC380" s="45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14.592596402877698</v>
      </c>
    </row>
    <row r="381" spans="1:29" ht="15.75" x14ac:dyDescent="0.25">
      <c r="A381" s="14">
        <v>52504</v>
      </c>
      <c r="B381" s="10">
        <f>CHOOSE(CONTROL!$C$42, 13.7447, 13.7447) * CHOOSE(CONTROL!$C$21, $C$9, 100%, $E$9)</f>
        <v>13.7447</v>
      </c>
      <c r="C381" s="10">
        <f>CHOOSE(CONTROL!$C$42, 13.7526, 13.7526) * CHOOSE(CONTROL!$C$21, $C$9, 100%, $E$9)</f>
        <v>13.752599999999999</v>
      </c>
      <c r="D381" s="10">
        <f>CHOOSE(CONTROL!$C$42, 13.9553, 13.9553) * CHOOSE(CONTROL!$C$21, $C$9, 100%, $E$9)</f>
        <v>13.955299999999999</v>
      </c>
      <c r="E381" s="10">
        <f>CHOOSE(CONTROL!$C$42, 13.9865, 13.9865) * CHOOSE(CONTROL!$C$21, $C$9, 100%, $E$9)</f>
        <v>13.986499999999999</v>
      </c>
      <c r="F381" s="10">
        <f>CHOOSE(CONTROL!$C$42, 13.7215, 13.7215)*CHOOSE(CONTROL!$C$21, $C$9, 100%, $E$9)</f>
        <v>13.721500000000001</v>
      </c>
      <c r="G381" s="10">
        <f>CHOOSE(CONTROL!$C$42, 13.7368, 13.7368)*CHOOSE(CONTROL!$C$21, $C$9, 100%, $E$9)</f>
        <v>13.736800000000001</v>
      </c>
      <c r="H381" s="10">
        <f>CHOOSE(CONTROL!$C$42, 13.9751, 13.9751) * CHOOSE(CONTROL!$C$21, $C$9, 100%, $E$9)</f>
        <v>13.975099999999999</v>
      </c>
      <c r="I381" s="10">
        <f>CHOOSE(CONTROL!$C$42, 13.7447, 13.7447)* CHOOSE(CONTROL!$C$21, $C$9, 100%, $E$9)</f>
        <v>13.7447</v>
      </c>
      <c r="J381" s="10">
        <f>CHOOSE(CONTROL!$C$42, 13.7145, 13.7145)* CHOOSE(CONTROL!$C$21, $C$9, 100%, $E$9)</f>
        <v>13.714499999999999</v>
      </c>
      <c r="K381" s="53">
        <f>CHOOSE(CONTROL!$C$42, 13.7408, 13.7408) * CHOOSE(CONTROL!$C$21, $C$9, 100%, $E$9)</f>
        <v>13.7408</v>
      </c>
      <c r="L381" s="10">
        <f>CHOOSE(CONTROL!$C$42, 14.5621, 14.5621) * CHOOSE(CONTROL!$C$21, $C$9, 100%, $E$9)</f>
        <v>14.562099999999999</v>
      </c>
      <c r="M381" s="10">
        <f>CHOOSE(CONTROL!$C$42, 13.5899, 13.5899) * CHOOSE(CONTROL!$C$21, $C$9, 100%, $E$9)</f>
        <v>13.5899</v>
      </c>
      <c r="N381" s="10">
        <f>CHOOSE(CONTROL!$C$42, 13.605, 13.605) * CHOOSE(CONTROL!$C$21, $C$9, 100%, $E$9)</f>
        <v>13.605</v>
      </c>
      <c r="O381" s="10">
        <f>CHOOSE(CONTROL!$C$42, 13.8479, 13.8479) * CHOOSE(CONTROL!$C$21, $C$9, 100%, $E$9)</f>
        <v>13.847899999999999</v>
      </c>
      <c r="P381" s="10">
        <f>CHOOSE(CONTROL!$C$42, 13.6199, 13.6199) * CHOOSE(CONTROL!$C$21, $C$9, 100%, $E$9)</f>
        <v>13.619899999999999</v>
      </c>
      <c r="Q381" s="10">
        <f>CHOOSE(CONTROL!$C$42, 14.4432, 14.4432) * CHOOSE(CONTROL!$C$21, $C$9, 100%, $E$9)</f>
        <v>14.443199999999999</v>
      </c>
      <c r="R381" s="10">
        <f>CHOOSE(CONTROL!$C$42, 15.0663, 15.0663) * CHOOSE(CONTROL!$C$21, $C$9, 100%, $E$9)</f>
        <v>15.0663</v>
      </c>
      <c r="S381" s="10">
        <f>CHOOSE(CONTROL!$C$42, 13.3432, 13.3432) * CHOOSE(CONTROL!$C$21, $C$9, 100%, $E$9)</f>
        <v>13.3432</v>
      </c>
      <c r="T3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57">
        <f>(1000*CHOOSE(CONTROL!$C$42, 695, 695)*CHOOSE(CONTROL!$C$42, 0.5599, 0.5599)*CHOOSE(CONTROL!$C$42, 30, 30))/1000000</f>
        <v>11.673914999999997</v>
      </c>
      <c r="V381" s="57">
        <f>(1000*CHOOSE(CONTROL!$C$42, 500, 500)*CHOOSE(CONTROL!$C$42, 0.275, 0.275)*CHOOSE(CONTROL!$C$42, 30, 30))/1000000</f>
        <v>4.125</v>
      </c>
      <c r="W381" s="57">
        <f>(1000*CHOOSE(CONTROL!$C$42, 0.1146, 0.1146)*CHOOSE(CONTROL!$C$42, 121.5, 121.5)*CHOOSE(CONTROL!$C$42, 30, 30))/1000000</f>
        <v>0.417717</v>
      </c>
      <c r="X381" s="57">
        <f>(30*0.1790888*245000/1000000)+(30*0.2374*100000/1000000)</f>
        <v>2.0285026799999999</v>
      </c>
      <c r="Y381" s="57"/>
      <c r="Z381" s="10"/>
      <c r="AA381" s="56"/>
      <c r="AB381" s="50">
        <f>(B381*194.205+C381*267.466+D381*133.845+E381*53.484+F381*40+G381*185+H381*0+I381*100+J381*300)/(194.205+267.466+133.845+53.484+0+40+185+100+300)</f>
        <v>13.769647935321821</v>
      </c>
      <c r="AC381" s="45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13.67008129496403</v>
      </c>
    </row>
    <row r="382" spans="1:29" ht="15.75" x14ac:dyDescent="0.25">
      <c r="A382" s="14">
        <v>52535</v>
      </c>
      <c r="B382" s="10">
        <f>CHOOSE(CONTROL!$C$42, 13.464, 13.464) * CHOOSE(CONTROL!$C$21, $C$9, 100%, $E$9)</f>
        <v>13.464</v>
      </c>
      <c r="C382" s="10">
        <f>CHOOSE(CONTROL!$C$42, 13.4692, 13.4692) * CHOOSE(CONTROL!$C$21, $C$9, 100%, $E$9)</f>
        <v>13.469200000000001</v>
      </c>
      <c r="D382" s="10">
        <f>CHOOSE(CONTROL!$C$42, 13.6769, 13.6769) * CHOOSE(CONTROL!$C$21, $C$9, 100%, $E$9)</f>
        <v>13.6769</v>
      </c>
      <c r="E382" s="10">
        <f>CHOOSE(CONTROL!$C$42, 13.7057, 13.7057) * CHOOSE(CONTROL!$C$21, $C$9, 100%, $E$9)</f>
        <v>13.7057</v>
      </c>
      <c r="F382" s="10">
        <f>CHOOSE(CONTROL!$C$42, 13.4427, 13.4427)*CHOOSE(CONTROL!$C$21, $C$9, 100%, $E$9)</f>
        <v>13.4427</v>
      </c>
      <c r="G382" s="10">
        <f>CHOOSE(CONTROL!$C$42, 13.4576, 13.4576)*CHOOSE(CONTROL!$C$21, $C$9, 100%, $E$9)</f>
        <v>13.457599999999999</v>
      </c>
      <c r="H382" s="10">
        <f>CHOOSE(CONTROL!$C$42, 13.6961, 13.6961) * CHOOSE(CONTROL!$C$21, $C$9, 100%, $E$9)</f>
        <v>13.696099999999999</v>
      </c>
      <c r="I382" s="10">
        <f>CHOOSE(CONTROL!$C$42, 13.4658, 13.4658)* CHOOSE(CONTROL!$C$21, $C$9, 100%, $E$9)</f>
        <v>13.4658</v>
      </c>
      <c r="J382" s="10">
        <f>CHOOSE(CONTROL!$C$42, 13.4357, 13.4357)* CHOOSE(CONTROL!$C$21, $C$9, 100%, $E$9)</f>
        <v>13.435700000000001</v>
      </c>
      <c r="K382" s="53">
        <f>CHOOSE(CONTROL!$C$42, 13.4619, 13.4619) * CHOOSE(CONTROL!$C$21, $C$9, 100%, $E$9)</f>
        <v>13.4619</v>
      </c>
      <c r="L382" s="10">
        <f>CHOOSE(CONTROL!$C$42, 14.2831, 14.2831) * CHOOSE(CONTROL!$C$21, $C$9, 100%, $E$9)</f>
        <v>14.283099999999999</v>
      </c>
      <c r="M382" s="10">
        <f>CHOOSE(CONTROL!$C$42, 13.3139, 13.3139) * CHOOSE(CONTROL!$C$21, $C$9, 100%, $E$9)</f>
        <v>13.3139</v>
      </c>
      <c r="N382" s="10">
        <f>CHOOSE(CONTROL!$C$42, 13.3287, 13.3287) * CHOOSE(CONTROL!$C$21, $C$9, 100%, $E$9)</f>
        <v>13.3287</v>
      </c>
      <c r="O382" s="10">
        <f>CHOOSE(CONTROL!$C$42, 13.5717, 13.5717) * CHOOSE(CONTROL!$C$21, $C$9, 100%, $E$9)</f>
        <v>13.5717</v>
      </c>
      <c r="P382" s="10">
        <f>CHOOSE(CONTROL!$C$42, 13.3437, 13.3437) * CHOOSE(CONTROL!$C$21, $C$9, 100%, $E$9)</f>
        <v>13.3437</v>
      </c>
      <c r="Q382" s="10">
        <f>CHOOSE(CONTROL!$C$42, 14.167, 14.167) * CHOOSE(CONTROL!$C$21, $C$9, 100%, $E$9)</f>
        <v>14.167</v>
      </c>
      <c r="R382" s="10">
        <f>CHOOSE(CONTROL!$C$42, 14.7895, 14.7895) * CHOOSE(CONTROL!$C$21, $C$9, 100%, $E$9)</f>
        <v>14.7895</v>
      </c>
      <c r="S382" s="10">
        <f>CHOOSE(CONTROL!$C$42, 13.0723, 13.0723) * CHOOSE(CONTROL!$C$21, $C$9, 100%, $E$9)</f>
        <v>13.0723</v>
      </c>
      <c r="T3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57">
        <f>(1000*CHOOSE(CONTROL!$C$42, 695, 695)*CHOOSE(CONTROL!$C$42, 0.5599, 0.5599)*CHOOSE(CONTROL!$C$42, 31, 31))/1000000</f>
        <v>12.063045499999998</v>
      </c>
      <c r="V382" s="57">
        <f>(1000*CHOOSE(CONTROL!$C$42, 500, 500)*CHOOSE(CONTROL!$C$42, 0.275, 0.275)*CHOOSE(CONTROL!$C$42, 31, 31))/1000000</f>
        <v>4.2625000000000002</v>
      </c>
      <c r="W382" s="57">
        <f>(1000*CHOOSE(CONTROL!$C$42, 0.1146, 0.1146)*CHOOSE(CONTROL!$C$42, 121.5, 121.5)*CHOOSE(CONTROL!$C$42, 31, 31))/1000000</f>
        <v>0.43164089999999994</v>
      </c>
      <c r="X382" s="57">
        <f>(31*0.1790888*245000/1000000)+(31*0.2374*100000/1000000)</f>
        <v>2.0961194359999999</v>
      </c>
      <c r="Y382" s="57"/>
      <c r="Z382" s="10"/>
      <c r="AA382" s="56"/>
      <c r="AB382" s="50">
        <f>(B382*131.881+C382*277.167+D382*79.08+E382*125.872+F382*40+G382*185+H382*0+I382*100+J382*300)/(131.881+277.167+79.08+125.872+0+40+185+100+300)</f>
        <v>13.494956144309928</v>
      </c>
      <c r="AC382" s="45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13.393927338129497</v>
      </c>
    </row>
    <row r="383" spans="1:29" ht="15.75" x14ac:dyDescent="0.25">
      <c r="A383" s="14">
        <v>52565</v>
      </c>
      <c r="B383" s="10">
        <f>CHOOSE(CONTROL!$C$42, 13.8182, 13.8182) * CHOOSE(CONTROL!$C$21, $C$9, 100%, $E$9)</f>
        <v>13.818199999999999</v>
      </c>
      <c r="C383" s="10">
        <f>CHOOSE(CONTROL!$C$42, 13.8231, 13.8231) * CHOOSE(CONTROL!$C$21, $C$9, 100%, $E$9)</f>
        <v>13.8231</v>
      </c>
      <c r="D383" s="10">
        <f>CHOOSE(CONTROL!$C$42, 13.8836, 13.8836) * CHOOSE(CONTROL!$C$21, $C$9, 100%, $E$9)</f>
        <v>13.883599999999999</v>
      </c>
      <c r="E383" s="10">
        <f>CHOOSE(CONTROL!$C$42, 13.9174, 13.9174) * CHOOSE(CONTROL!$C$21, $C$9, 100%, $E$9)</f>
        <v>13.917400000000001</v>
      </c>
      <c r="F383" s="10">
        <f>CHOOSE(CONTROL!$C$42, 13.8138, 13.8138)*CHOOSE(CONTROL!$C$21, $C$9, 100%, $E$9)</f>
        <v>13.813800000000001</v>
      </c>
      <c r="G383" s="10">
        <f>CHOOSE(CONTROL!$C$42, 13.829, 13.829)*CHOOSE(CONTROL!$C$21, $C$9, 100%, $E$9)</f>
        <v>13.829000000000001</v>
      </c>
      <c r="H383" s="10">
        <f>CHOOSE(CONTROL!$C$42, 13.9066, 13.9066) * CHOOSE(CONTROL!$C$21, $C$9, 100%, $E$9)</f>
        <v>13.906599999999999</v>
      </c>
      <c r="I383" s="10">
        <f>CHOOSE(CONTROL!$C$42, 13.8307, 13.8307)* CHOOSE(CONTROL!$C$21, $C$9, 100%, $E$9)</f>
        <v>13.8307</v>
      </c>
      <c r="J383" s="10">
        <f>CHOOSE(CONTROL!$C$42, 13.8068, 13.8068)* CHOOSE(CONTROL!$C$21, $C$9, 100%, $E$9)</f>
        <v>13.806800000000001</v>
      </c>
      <c r="K383" s="53">
        <f>CHOOSE(CONTROL!$C$42, 13.8268, 13.8268) * CHOOSE(CONTROL!$C$21, $C$9, 100%, $E$9)</f>
        <v>13.8268</v>
      </c>
      <c r="L383" s="10">
        <f>CHOOSE(CONTROL!$C$42, 14.4936, 14.4936) * CHOOSE(CONTROL!$C$21, $C$9, 100%, $E$9)</f>
        <v>14.493600000000001</v>
      </c>
      <c r="M383" s="10">
        <f>CHOOSE(CONTROL!$C$42, 13.6813, 13.6813) * CHOOSE(CONTROL!$C$21, $C$9, 100%, $E$9)</f>
        <v>13.6813</v>
      </c>
      <c r="N383" s="10">
        <f>CHOOSE(CONTROL!$C$42, 13.6963, 13.6963) * CHOOSE(CONTROL!$C$21, $C$9, 100%, $E$9)</f>
        <v>13.696300000000001</v>
      </c>
      <c r="O383" s="10">
        <f>CHOOSE(CONTROL!$C$42, 13.7801, 13.7801) * CHOOSE(CONTROL!$C$21, $C$9, 100%, $E$9)</f>
        <v>13.780099999999999</v>
      </c>
      <c r="P383" s="10">
        <f>CHOOSE(CONTROL!$C$42, 13.705, 13.705) * CHOOSE(CONTROL!$C$21, $C$9, 100%, $E$9)</f>
        <v>13.705</v>
      </c>
      <c r="Q383" s="10">
        <f>CHOOSE(CONTROL!$C$42, 14.3754, 14.3754) * CHOOSE(CONTROL!$C$21, $C$9, 100%, $E$9)</f>
        <v>14.375400000000001</v>
      </c>
      <c r="R383" s="10">
        <f>CHOOSE(CONTROL!$C$42, 14.9983, 14.9983) * CHOOSE(CONTROL!$C$21, $C$9, 100%, $E$9)</f>
        <v>14.9983</v>
      </c>
      <c r="S383" s="10">
        <f>CHOOSE(CONTROL!$C$42, 13.4167, 13.4167) * CHOOSE(CONTROL!$C$21, $C$9, 100%, $E$9)</f>
        <v>13.416700000000001</v>
      </c>
      <c r="T3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57">
        <f>(1000*CHOOSE(CONTROL!$C$42, 695, 695)*CHOOSE(CONTROL!$C$42, 0.5599, 0.5599)*CHOOSE(CONTROL!$C$42, 30, 30))/1000000</f>
        <v>11.673914999999997</v>
      </c>
      <c r="V383" s="57">
        <f>(1000*CHOOSE(CONTROL!$C$42, 500, 500)*CHOOSE(CONTROL!$C$42, 0.275, 0.275)*CHOOSE(CONTROL!$C$42, 30, 30))/1000000</f>
        <v>4.125</v>
      </c>
      <c r="W383" s="57">
        <f>(1000*CHOOSE(CONTROL!$C$42, 0.1146, 0.1146)*CHOOSE(CONTROL!$C$42, 121.5, 121.5)*CHOOSE(CONTROL!$C$42, 30, 30))/1000000</f>
        <v>0.417717</v>
      </c>
      <c r="X383" s="57">
        <f>(30*0.1790888*100000/1000000)+(30*0.2374*100000/1000000)</f>
        <v>1.2494664</v>
      </c>
      <c r="Y383" s="57"/>
      <c r="Z383" s="10"/>
      <c r="AA383" s="56"/>
      <c r="AB383" s="50">
        <f>(B383*122.58+C383*297.941+D383*89.177+E383*40.302+F383*40+G383*160+H383*0+I383*100+J383*300)/(122.58+297.941+89.177+40.302+0+40+160+100+300)</f>
        <v>13.827480039217392</v>
      </c>
      <c r="AC383" s="45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13.730353237410071</v>
      </c>
    </row>
    <row r="384" spans="1:29" ht="15.75" x14ac:dyDescent="0.25">
      <c r="A384" s="14">
        <v>52596</v>
      </c>
      <c r="B384" s="10">
        <f>CHOOSE(CONTROL!$C$42, 14.7601, 14.7601) * CHOOSE(CONTROL!$C$21, $C$9, 100%, $E$9)</f>
        <v>14.7601</v>
      </c>
      <c r="C384" s="10">
        <f>CHOOSE(CONTROL!$C$42, 14.765, 14.765) * CHOOSE(CONTROL!$C$21, $C$9, 100%, $E$9)</f>
        <v>14.765000000000001</v>
      </c>
      <c r="D384" s="10">
        <f>CHOOSE(CONTROL!$C$42, 14.8255, 14.8255) * CHOOSE(CONTROL!$C$21, $C$9, 100%, $E$9)</f>
        <v>14.8255</v>
      </c>
      <c r="E384" s="10">
        <f>CHOOSE(CONTROL!$C$42, 14.8593, 14.8593) * CHOOSE(CONTROL!$C$21, $C$9, 100%, $E$9)</f>
        <v>14.859299999999999</v>
      </c>
      <c r="F384" s="10">
        <f>CHOOSE(CONTROL!$C$42, 14.7575, 14.7575)*CHOOSE(CONTROL!$C$21, $C$9, 100%, $E$9)</f>
        <v>14.7575</v>
      </c>
      <c r="G384" s="10">
        <f>CHOOSE(CONTROL!$C$42, 14.7732, 14.7732)*CHOOSE(CONTROL!$C$21, $C$9, 100%, $E$9)</f>
        <v>14.773199999999999</v>
      </c>
      <c r="H384" s="10">
        <f>CHOOSE(CONTROL!$C$42, 14.8485, 14.8485) * CHOOSE(CONTROL!$C$21, $C$9, 100%, $E$9)</f>
        <v>14.8485</v>
      </c>
      <c r="I384" s="10">
        <f>CHOOSE(CONTROL!$C$42, 14.7726, 14.7726)* CHOOSE(CONTROL!$C$21, $C$9, 100%, $E$9)</f>
        <v>14.772600000000001</v>
      </c>
      <c r="J384" s="10">
        <f>CHOOSE(CONTROL!$C$42, 14.7505, 14.7505)* CHOOSE(CONTROL!$C$21, $C$9, 100%, $E$9)</f>
        <v>14.750500000000001</v>
      </c>
      <c r="K384" s="53">
        <f>CHOOSE(CONTROL!$C$42, 14.7687, 14.7687) * CHOOSE(CONTROL!$C$21, $C$9, 100%, $E$9)</f>
        <v>14.768700000000001</v>
      </c>
      <c r="L384" s="10">
        <f>CHOOSE(CONTROL!$C$42, 15.4355, 15.4355) * CHOOSE(CONTROL!$C$21, $C$9, 100%, $E$9)</f>
        <v>15.435499999999999</v>
      </c>
      <c r="M384" s="10">
        <f>CHOOSE(CONTROL!$C$42, 14.6155, 14.6155) * CHOOSE(CONTROL!$C$21, $C$9, 100%, $E$9)</f>
        <v>14.615500000000001</v>
      </c>
      <c r="N384" s="10">
        <f>CHOOSE(CONTROL!$C$42, 14.631, 14.631) * CHOOSE(CONTROL!$C$21, $C$9, 100%, $E$9)</f>
        <v>14.631</v>
      </c>
      <c r="O384" s="10">
        <f>CHOOSE(CONTROL!$C$42, 14.7125, 14.7125) * CHOOSE(CONTROL!$C$21, $C$9, 100%, $E$9)</f>
        <v>14.7125</v>
      </c>
      <c r="P384" s="10">
        <f>CHOOSE(CONTROL!$C$42, 14.6374, 14.6374) * CHOOSE(CONTROL!$C$21, $C$9, 100%, $E$9)</f>
        <v>14.6374</v>
      </c>
      <c r="Q384" s="10">
        <f>CHOOSE(CONTROL!$C$42, 15.3078, 15.3078) * CHOOSE(CONTROL!$C$21, $C$9, 100%, $E$9)</f>
        <v>15.3078</v>
      </c>
      <c r="R384" s="10">
        <f>CHOOSE(CONTROL!$C$42, 15.933, 15.933) * CHOOSE(CONTROL!$C$21, $C$9, 100%, $E$9)</f>
        <v>15.933</v>
      </c>
      <c r="S384" s="10">
        <f>CHOOSE(CONTROL!$C$42, 14.3314, 14.3314) * CHOOSE(CONTROL!$C$21, $C$9, 100%, $E$9)</f>
        <v>14.3314</v>
      </c>
      <c r="T3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57">
        <f>(1000*CHOOSE(CONTROL!$C$42, 695, 695)*CHOOSE(CONTROL!$C$42, 0.5599, 0.5599)*CHOOSE(CONTROL!$C$42, 31, 31))/1000000</f>
        <v>12.063045499999998</v>
      </c>
      <c r="V384" s="57">
        <f>(1000*CHOOSE(CONTROL!$C$42, 500, 500)*CHOOSE(CONTROL!$C$42, 0.275, 0.275)*CHOOSE(CONTROL!$C$42, 31, 31))/1000000</f>
        <v>4.2625000000000002</v>
      </c>
      <c r="W384" s="57">
        <f>(1000*CHOOSE(CONTROL!$C$42, 0.1146, 0.1146)*CHOOSE(CONTROL!$C$42, 121.5, 121.5)*CHOOSE(CONTROL!$C$42, 31, 31))/1000000</f>
        <v>0.43164089999999994</v>
      </c>
      <c r="X384" s="57">
        <f>(31*0.1790888*100000/1000000)+(31*0.2374*100000/1000000)</f>
        <v>1.2911152800000001</v>
      </c>
      <c r="Y384" s="57"/>
      <c r="Z384" s="10"/>
      <c r="AA384" s="56"/>
      <c r="AB384" s="50">
        <f>(B384*122.58+C384*297.941+D384*89.177+E384*40.302+F384*40+G384*160+H384*0+I384*100+J384*300)/(122.58+297.941+89.177+40.302+0+40+160+100+300)</f>
        <v>14.770232213130436</v>
      </c>
      <c r="AC384" s="45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14.663507194244604</v>
      </c>
    </row>
    <row r="385" spans="1:29" ht="15.75" x14ac:dyDescent="0.25">
      <c r="A385" s="14">
        <v>52627</v>
      </c>
      <c r="B385" s="10">
        <f>CHOOSE(CONTROL!$C$42, 15.9692, 15.9692) * CHOOSE(CONTROL!$C$21, $C$9, 100%, $E$9)</f>
        <v>15.969200000000001</v>
      </c>
      <c r="C385" s="10">
        <f>CHOOSE(CONTROL!$C$42, 15.9742, 15.9742) * CHOOSE(CONTROL!$C$21, $C$9, 100%, $E$9)</f>
        <v>15.9742</v>
      </c>
      <c r="D385" s="10">
        <f>CHOOSE(CONTROL!$C$42, 16.0312, 16.0312) * CHOOSE(CONTROL!$C$21, $C$9, 100%, $E$9)</f>
        <v>16.031199999999998</v>
      </c>
      <c r="E385" s="10">
        <f>CHOOSE(CONTROL!$C$42, 16.065, 16.065) * CHOOSE(CONTROL!$C$21, $C$9, 100%, $E$9)</f>
        <v>16.065000000000001</v>
      </c>
      <c r="F385" s="10">
        <f>CHOOSE(CONTROL!$C$42, 15.967, 15.967)*CHOOSE(CONTROL!$C$21, $C$9, 100%, $E$9)</f>
        <v>15.967000000000001</v>
      </c>
      <c r="G385" s="10">
        <f>CHOOSE(CONTROL!$C$42, 15.9816, 15.9816)*CHOOSE(CONTROL!$C$21, $C$9, 100%, $E$9)</f>
        <v>15.9816</v>
      </c>
      <c r="H385" s="10">
        <f>CHOOSE(CONTROL!$C$42, 16.0542, 16.0542) * CHOOSE(CONTROL!$C$21, $C$9, 100%, $E$9)</f>
        <v>16.054200000000002</v>
      </c>
      <c r="I385" s="10">
        <f>CHOOSE(CONTROL!$C$42, 15.98, 15.98)* CHOOSE(CONTROL!$C$21, $C$9, 100%, $E$9)</f>
        <v>15.98</v>
      </c>
      <c r="J385" s="10">
        <f>CHOOSE(CONTROL!$C$42, 15.96, 15.96)* CHOOSE(CONTROL!$C$21, $C$9, 100%, $E$9)</f>
        <v>15.96</v>
      </c>
      <c r="K385" s="53">
        <f>CHOOSE(CONTROL!$C$42, 15.9761, 15.9761) * CHOOSE(CONTROL!$C$21, $C$9, 100%, $E$9)</f>
        <v>15.976100000000001</v>
      </c>
      <c r="L385" s="10">
        <f>CHOOSE(CONTROL!$C$42, 16.6412, 16.6412) * CHOOSE(CONTROL!$C$21, $C$9, 100%, $E$9)</f>
        <v>16.641200000000001</v>
      </c>
      <c r="M385" s="10">
        <f>CHOOSE(CONTROL!$C$42, 15.8128, 15.8128) * CHOOSE(CONTROL!$C$21, $C$9, 100%, $E$9)</f>
        <v>15.812799999999999</v>
      </c>
      <c r="N385" s="10">
        <f>CHOOSE(CONTROL!$C$42, 15.8273, 15.8273) * CHOOSE(CONTROL!$C$21, $C$9, 100%, $E$9)</f>
        <v>15.827299999999999</v>
      </c>
      <c r="O385" s="10">
        <f>CHOOSE(CONTROL!$C$42, 15.906, 15.906) * CHOOSE(CONTROL!$C$21, $C$9, 100%, $E$9)</f>
        <v>15.906000000000001</v>
      </c>
      <c r="P385" s="10">
        <f>CHOOSE(CONTROL!$C$42, 15.8326, 15.8326) * CHOOSE(CONTROL!$C$21, $C$9, 100%, $E$9)</f>
        <v>15.832599999999999</v>
      </c>
      <c r="Q385" s="10">
        <f>CHOOSE(CONTROL!$C$42, 16.5013, 16.5013) * CHOOSE(CONTROL!$C$21, $C$9, 100%, $E$9)</f>
        <v>16.501300000000001</v>
      </c>
      <c r="R385" s="10">
        <f>CHOOSE(CONTROL!$C$42, 17.1296, 17.1296) * CHOOSE(CONTROL!$C$21, $C$9, 100%, $E$9)</f>
        <v>17.1296</v>
      </c>
      <c r="S385" s="10">
        <f>CHOOSE(CONTROL!$C$42, 15.5056, 15.5056) * CHOOSE(CONTROL!$C$21, $C$9, 100%, $E$9)</f>
        <v>15.505599999999999</v>
      </c>
      <c r="T3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57">
        <f>(1000*CHOOSE(CONTROL!$C$42, 695, 695)*CHOOSE(CONTROL!$C$42, 0.5599, 0.5599)*CHOOSE(CONTROL!$C$42, 31, 31))/1000000</f>
        <v>12.063045499999998</v>
      </c>
      <c r="V385" s="57">
        <f>(1000*CHOOSE(CONTROL!$C$42, 500, 500)*CHOOSE(CONTROL!$C$42, 0.275, 0.275)*CHOOSE(CONTROL!$C$42, 31, 31))/1000000</f>
        <v>4.2625000000000002</v>
      </c>
      <c r="W385" s="57">
        <f>(1000*CHOOSE(CONTROL!$C$42, 0.1146, 0.1146)*CHOOSE(CONTROL!$C$42, 121.5, 121.5)*CHOOSE(CONTROL!$C$42, 31, 31))/1000000</f>
        <v>0.43164089999999994</v>
      </c>
      <c r="X385" s="57">
        <f>(31*0.1790888*100000/1000000)+(31*0.2374*100000/1000000)</f>
        <v>1.2911152800000001</v>
      </c>
      <c r="Y385" s="57"/>
      <c r="Z385" s="10"/>
      <c r="AA385" s="56"/>
      <c r="AB385" s="50">
        <f>(B385*122.58+C385*297.941+D385*89.177+E385*40.302+F385*40+G385*160+H385*0+I385*100+J385*300)/(122.58+297.941+89.177+40.302+0+40+160+100+300)</f>
        <v>15.97884835704348</v>
      </c>
      <c r="AC385" s="45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15.858725179856116</v>
      </c>
    </row>
    <row r="386" spans="1:29" ht="15.75" x14ac:dyDescent="0.25">
      <c r="A386" s="14">
        <v>52655</v>
      </c>
      <c r="B386" s="10">
        <f>CHOOSE(CONTROL!$C$42, 16.2534, 16.2534) * CHOOSE(CONTROL!$C$21, $C$9, 100%, $E$9)</f>
        <v>16.253399999999999</v>
      </c>
      <c r="C386" s="10">
        <f>CHOOSE(CONTROL!$C$42, 16.2584, 16.2584) * CHOOSE(CONTROL!$C$21, $C$9, 100%, $E$9)</f>
        <v>16.258400000000002</v>
      </c>
      <c r="D386" s="10">
        <f>CHOOSE(CONTROL!$C$42, 16.3155, 16.3155) * CHOOSE(CONTROL!$C$21, $C$9, 100%, $E$9)</f>
        <v>16.3155</v>
      </c>
      <c r="E386" s="10">
        <f>CHOOSE(CONTROL!$C$42, 16.3492, 16.3492) * CHOOSE(CONTROL!$C$21, $C$9, 100%, $E$9)</f>
        <v>16.3492</v>
      </c>
      <c r="F386" s="10">
        <f>CHOOSE(CONTROL!$C$42, 16.2514, 16.2514)*CHOOSE(CONTROL!$C$21, $C$9, 100%, $E$9)</f>
        <v>16.2514</v>
      </c>
      <c r="G386" s="10">
        <f>CHOOSE(CONTROL!$C$42, 16.266, 16.266)*CHOOSE(CONTROL!$C$21, $C$9, 100%, $E$9)</f>
        <v>16.265999999999998</v>
      </c>
      <c r="H386" s="10">
        <f>CHOOSE(CONTROL!$C$42, 16.3384, 16.3384) * CHOOSE(CONTROL!$C$21, $C$9, 100%, $E$9)</f>
        <v>16.3384</v>
      </c>
      <c r="I386" s="10">
        <f>CHOOSE(CONTROL!$C$42, 16.2642, 16.2642)* CHOOSE(CONTROL!$C$21, $C$9, 100%, $E$9)</f>
        <v>16.264199999999999</v>
      </c>
      <c r="J386" s="10">
        <f>CHOOSE(CONTROL!$C$42, 16.2444, 16.2444)* CHOOSE(CONTROL!$C$21, $C$9, 100%, $E$9)</f>
        <v>16.244399999999999</v>
      </c>
      <c r="K386" s="53">
        <f>CHOOSE(CONTROL!$C$42, 16.2603, 16.2603) * CHOOSE(CONTROL!$C$21, $C$9, 100%, $E$9)</f>
        <v>16.260300000000001</v>
      </c>
      <c r="L386" s="10">
        <f>CHOOSE(CONTROL!$C$42, 16.9254, 16.9254) * CHOOSE(CONTROL!$C$21, $C$9, 100%, $E$9)</f>
        <v>16.9254</v>
      </c>
      <c r="M386" s="10">
        <f>CHOOSE(CONTROL!$C$42, 16.0943, 16.0943) * CHOOSE(CONTROL!$C$21, $C$9, 100%, $E$9)</f>
        <v>16.0943</v>
      </c>
      <c r="N386" s="10">
        <f>CHOOSE(CONTROL!$C$42, 16.1088, 16.1088) * CHOOSE(CONTROL!$C$21, $C$9, 100%, $E$9)</f>
        <v>16.108799999999999</v>
      </c>
      <c r="O386" s="10">
        <f>CHOOSE(CONTROL!$C$42, 16.1874, 16.1874) * CHOOSE(CONTROL!$C$21, $C$9, 100%, $E$9)</f>
        <v>16.1874</v>
      </c>
      <c r="P386" s="10">
        <f>CHOOSE(CONTROL!$C$42, 16.114, 16.114) * CHOOSE(CONTROL!$C$21, $C$9, 100%, $E$9)</f>
        <v>16.114000000000001</v>
      </c>
      <c r="Q386" s="10">
        <f>CHOOSE(CONTROL!$C$42, 16.7827, 16.7827) * CHOOSE(CONTROL!$C$21, $C$9, 100%, $E$9)</f>
        <v>16.782699999999998</v>
      </c>
      <c r="R386" s="10">
        <f>CHOOSE(CONTROL!$C$42, 17.4116, 17.4116) * CHOOSE(CONTROL!$C$21, $C$9, 100%, $E$9)</f>
        <v>17.4116</v>
      </c>
      <c r="S386" s="10">
        <f>CHOOSE(CONTROL!$C$42, 15.7816, 15.7816) * CHOOSE(CONTROL!$C$21, $C$9, 100%, $E$9)</f>
        <v>15.781599999999999</v>
      </c>
      <c r="T38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6" s="57">
        <f>(1000*CHOOSE(CONTROL!$C$42, 695, 695)*CHOOSE(CONTROL!$C$42, 0.5599, 0.5599)*CHOOSE(CONTROL!$C$42, 29, 29))/1000000</f>
        <v>11.284784499999999</v>
      </c>
      <c r="V386" s="57">
        <f>(1000*CHOOSE(CONTROL!$C$42, 500, 500)*CHOOSE(CONTROL!$C$42, 0.275, 0.275)*CHOOSE(CONTROL!$C$42, 29, 29))/1000000</f>
        <v>3.9874999999999998</v>
      </c>
      <c r="W386" s="57">
        <f>(1000*CHOOSE(CONTROL!$C$42, 0.1146, 0.1146)*CHOOSE(CONTROL!$C$42, 121.5, 121.5)*CHOOSE(CONTROL!$C$42, 29, 29))/1000000</f>
        <v>0.40379309999999996</v>
      </c>
      <c r="X386" s="57">
        <f>(29*0.1790888*100000/1000000)+(29*0.2374*100000/1000000)</f>
        <v>1.2078175199999999</v>
      </c>
      <c r="Y386" s="57"/>
      <c r="Z386" s="10"/>
      <c r="AA386" s="56"/>
      <c r="AB386" s="50">
        <f>(B386*122.58+C386*297.941+D386*89.177+E386*40.302+F386*40+G386*160+H386*0+I386*100+J386*300)/(122.58+297.941+89.177+40.302+0+40+160+100+300)</f>
        <v>16.263143068086958</v>
      </c>
      <c r="AC386" s="45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16.140165467625899</v>
      </c>
    </row>
    <row r="387" spans="1:29" ht="15.75" x14ac:dyDescent="0.25">
      <c r="A387" s="14">
        <v>52687</v>
      </c>
      <c r="B387" s="10">
        <f>CHOOSE(CONTROL!$C$42, 15.7921, 15.7921) * CHOOSE(CONTROL!$C$21, $C$9, 100%, $E$9)</f>
        <v>15.7921</v>
      </c>
      <c r="C387" s="10">
        <f>CHOOSE(CONTROL!$C$42, 15.797, 15.797) * CHOOSE(CONTROL!$C$21, $C$9, 100%, $E$9)</f>
        <v>15.797000000000001</v>
      </c>
      <c r="D387" s="10">
        <f>CHOOSE(CONTROL!$C$42, 15.8541, 15.8541) * CHOOSE(CONTROL!$C$21, $C$9, 100%, $E$9)</f>
        <v>15.854100000000001</v>
      </c>
      <c r="E387" s="10">
        <f>CHOOSE(CONTROL!$C$42, 15.8879, 15.8879) * CHOOSE(CONTROL!$C$21, $C$9, 100%, $E$9)</f>
        <v>15.8879</v>
      </c>
      <c r="F387" s="10">
        <f>CHOOSE(CONTROL!$C$42, 15.7899, 15.7899)*CHOOSE(CONTROL!$C$21, $C$9, 100%, $E$9)</f>
        <v>15.789899999999999</v>
      </c>
      <c r="G387" s="10">
        <f>CHOOSE(CONTROL!$C$42, 15.8045, 15.8045)*CHOOSE(CONTROL!$C$21, $C$9, 100%, $E$9)</f>
        <v>15.804500000000001</v>
      </c>
      <c r="H387" s="10">
        <f>CHOOSE(CONTROL!$C$42, 15.8771, 15.8771) * CHOOSE(CONTROL!$C$21, $C$9, 100%, $E$9)</f>
        <v>15.8771</v>
      </c>
      <c r="I387" s="10">
        <f>CHOOSE(CONTROL!$C$42, 15.8029, 15.8029)* CHOOSE(CONTROL!$C$21, $C$9, 100%, $E$9)</f>
        <v>15.802899999999999</v>
      </c>
      <c r="J387" s="10">
        <f>CHOOSE(CONTROL!$C$42, 15.7829, 15.7829)* CHOOSE(CONTROL!$C$21, $C$9, 100%, $E$9)</f>
        <v>15.7829</v>
      </c>
      <c r="K387" s="53">
        <f>CHOOSE(CONTROL!$C$42, 15.799, 15.799) * CHOOSE(CONTROL!$C$21, $C$9, 100%, $E$9)</f>
        <v>15.798999999999999</v>
      </c>
      <c r="L387" s="10">
        <f>CHOOSE(CONTROL!$C$42, 16.4641, 16.4641) * CHOOSE(CONTROL!$C$21, $C$9, 100%, $E$9)</f>
        <v>16.464099999999998</v>
      </c>
      <c r="M387" s="10">
        <f>CHOOSE(CONTROL!$C$42, 15.6374, 15.6374) * CHOOSE(CONTROL!$C$21, $C$9, 100%, $E$9)</f>
        <v>15.6374</v>
      </c>
      <c r="N387" s="10">
        <f>CHOOSE(CONTROL!$C$42, 15.6519, 15.6519) * CHOOSE(CONTROL!$C$21, $C$9, 100%, $E$9)</f>
        <v>15.651899999999999</v>
      </c>
      <c r="O387" s="10">
        <f>CHOOSE(CONTROL!$C$42, 15.7307, 15.7307) * CHOOSE(CONTROL!$C$21, $C$9, 100%, $E$9)</f>
        <v>15.730700000000001</v>
      </c>
      <c r="P387" s="10">
        <f>CHOOSE(CONTROL!$C$42, 15.6573, 15.6573) * CHOOSE(CONTROL!$C$21, $C$9, 100%, $E$9)</f>
        <v>15.657299999999999</v>
      </c>
      <c r="Q387" s="10">
        <f>CHOOSE(CONTROL!$C$42, 16.326, 16.326) * CHOOSE(CONTROL!$C$21, $C$9, 100%, $E$9)</f>
        <v>16.326000000000001</v>
      </c>
      <c r="R387" s="10">
        <f>CHOOSE(CONTROL!$C$42, 16.9538, 16.9538) * CHOOSE(CONTROL!$C$21, $C$9, 100%, $E$9)</f>
        <v>16.953800000000001</v>
      </c>
      <c r="S387" s="10">
        <f>CHOOSE(CONTROL!$C$42, 15.3335, 15.3335) * CHOOSE(CONTROL!$C$21, $C$9, 100%, $E$9)</f>
        <v>15.333500000000001</v>
      </c>
      <c r="T3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57">
        <f>(1000*CHOOSE(CONTROL!$C$42, 695, 695)*CHOOSE(CONTROL!$C$42, 0.5599, 0.5599)*CHOOSE(CONTROL!$C$42, 31, 31))/1000000</f>
        <v>12.063045499999998</v>
      </c>
      <c r="V387" s="57">
        <f>(1000*CHOOSE(CONTROL!$C$42, 500, 500)*CHOOSE(CONTROL!$C$42, 0.275, 0.275)*CHOOSE(CONTROL!$C$42, 31, 31))/1000000</f>
        <v>4.2625000000000002</v>
      </c>
      <c r="W387" s="57">
        <f>(1000*CHOOSE(CONTROL!$C$42, 0.1146, 0.1146)*CHOOSE(CONTROL!$C$42, 121.5, 121.5)*CHOOSE(CONTROL!$C$42, 31, 31))/1000000</f>
        <v>0.43164089999999994</v>
      </c>
      <c r="X387" s="57">
        <f>(31*0.1790888*100000/1000000)+(31*0.2374*100000/1000000)</f>
        <v>1.2911152800000001</v>
      </c>
      <c r="Y387" s="57"/>
      <c r="Z387" s="10"/>
      <c r="AA387" s="56"/>
      <c r="AB387" s="50">
        <f>(B387*122.58+C387*297.941+D387*89.177+E387*40.302+F387*40+G387*160+H387*0+I387*100+J387*300)/(122.58+297.941+89.177+40.302+0+40+160+100+300)</f>
        <v>15.801722449130434</v>
      </c>
      <c r="AC387" s="45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15.68338489208633</v>
      </c>
    </row>
    <row r="388" spans="1:29" ht="15.75" x14ac:dyDescent="0.25">
      <c r="A388" s="14">
        <v>52717</v>
      </c>
      <c r="B388" s="10">
        <f>CHOOSE(CONTROL!$C$42, 15.746, 15.746) * CHOOSE(CONTROL!$C$21, $C$9, 100%, $E$9)</f>
        <v>15.746</v>
      </c>
      <c r="C388" s="10">
        <f>CHOOSE(CONTROL!$C$42, 15.7503, 15.7503) * CHOOSE(CONTROL!$C$21, $C$9, 100%, $E$9)</f>
        <v>15.750299999999999</v>
      </c>
      <c r="D388" s="10">
        <f>CHOOSE(CONTROL!$C$42, 15.9562, 15.9562) * CHOOSE(CONTROL!$C$21, $C$9, 100%, $E$9)</f>
        <v>15.956200000000001</v>
      </c>
      <c r="E388" s="10">
        <f>CHOOSE(CONTROL!$C$42, 15.988, 15.988) * CHOOSE(CONTROL!$C$21, $C$9, 100%, $E$9)</f>
        <v>15.988</v>
      </c>
      <c r="F388" s="10">
        <f>CHOOSE(CONTROL!$C$42, 15.7227, 15.7227)*CHOOSE(CONTROL!$C$21, $C$9, 100%, $E$9)</f>
        <v>15.7227</v>
      </c>
      <c r="G388" s="10">
        <f>CHOOSE(CONTROL!$C$42, 15.7373, 15.7373)*CHOOSE(CONTROL!$C$21, $C$9, 100%, $E$9)</f>
        <v>15.737299999999999</v>
      </c>
      <c r="H388" s="10">
        <f>CHOOSE(CONTROL!$C$42, 15.9778, 15.9778) * CHOOSE(CONTROL!$C$21, $C$9, 100%, $E$9)</f>
        <v>15.9778</v>
      </c>
      <c r="I388" s="10">
        <f>CHOOSE(CONTROL!$C$42, 15.7474, 15.7474)* CHOOSE(CONTROL!$C$21, $C$9, 100%, $E$9)</f>
        <v>15.747400000000001</v>
      </c>
      <c r="J388" s="10">
        <f>CHOOSE(CONTROL!$C$42, 15.7157, 15.7157)* CHOOSE(CONTROL!$C$21, $C$9, 100%, $E$9)</f>
        <v>15.7157</v>
      </c>
      <c r="K388" s="53">
        <f>CHOOSE(CONTROL!$C$42, 15.7435, 15.7435) * CHOOSE(CONTROL!$C$21, $C$9, 100%, $E$9)</f>
        <v>15.743499999999999</v>
      </c>
      <c r="L388" s="10">
        <f>CHOOSE(CONTROL!$C$42, 16.5648, 16.5648) * CHOOSE(CONTROL!$C$21, $C$9, 100%, $E$9)</f>
        <v>16.564800000000002</v>
      </c>
      <c r="M388" s="10">
        <f>CHOOSE(CONTROL!$C$42, 15.571, 15.571) * CHOOSE(CONTROL!$C$21, $C$9, 100%, $E$9)</f>
        <v>15.571</v>
      </c>
      <c r="N388" s="10">
        <f>CHOOSE(CONTROL!$C$42, 15.5853, 15.5853) * CHOOSE(CONTROL!$C$21, $C$9, 100%, $E$9)</f>
        <v>15.5853</v>
      </c>
      <c r="O388" s="10">
        <f>CHOOSE(CONTROL!$C$42, 15.8304, 15.8304) * CHOOSE(CONTROL!$C$21, $C$9, 100%, $E$9)</f>
        <v>15.830399999999999</v>
      </c>
      <c r="P388" s="10">
        <f>CHOOSE(CONTROL!$C$42, 15.6024, 15.6024) * CHOOSE(CONTROL!$C$21, $C$9, 100%, $E$9)</f>
        <v>15.602399999999999</v>
      </c>
      <c r="Q388" s="10">
        <f>CHOOSE(CONTROL!$C$42, 16.4257, 16.4257) * CHOOSE(CONTROL!$C$21, $C$9, 100%, $E$9)</f>
        <v>16.425699999999999</v>
      </c>
      <c r="R388" s="10">
        <f>CHOOSE(CONTROL!$C$42, 17.0537, 17.0537) * CHOOSE(CONTROL!$C$21, $C$9, 100%, $E$9)</f>
        <v>17.053699999999999</v>
      </c>
      <c r="S388" s="10">
        <f>CHOOSE(CONTROL!$C$42, 15.288, 15.288) * CHOOSE(CONTROL!$C$21, $C$9, 100%, $E$9)</f>
        <v>15.288</v>
      </c>
      <c r="T3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57">
        <f>(1000*CHOOSE(CONTROL!$C$42, 695, 695)*CHOOSE(CONTROL!$C$42, 0.5599, 0.5599)*CHOOSE(CONTROL!$C$42, 30, 30))/1000000</f>
        <v>11.673914999999997</v>
      </c>
      <c r="V388" s="57">
        <f>(1000*CHOOSE(CONTROL!$C$42, 500, 500)*CHOOSE(CONTROL!$C$42, 0.275, 0.275)*CHOOSE(CONTROL!$C$42, 30, 30))/1000000</f>
        <v>4.125</v>
      </c>
      <c r="W388" s="57">
        <f>(1000*CHOOSE(CONTROL!$C$42, 0.1146, 0.1146)*CHOOSE(CONTROL!$C$42, 121.5, 121.5)*CHOOSE(CONTROL!$C$42, 30, 30))/1000000</f>
        <v>0.417717</v>
      </c>
      <c r="X388" s="57">
        <f>(30*0.1790888*245000/1000000)+(30*0.2374*100000/1000000)</f>
        <v>2.0285026799999999</v>
      </c>
      <c r="Y388" s="57"/>
      <c r="Z388" s="10"/>
      <c r="AA388" s="56"/>
      <c r="AB388" s="50">
        <f>(B388*141.293+C388*267.993+D388*115.016+E388*89.698+F388*40+G388*185+H388*0+I388*100+J388*300)/(141.293+267.993+115.016+89.698+0+40+185+100+300)</f>
        <v>15.774687771670703</v>
      </c>
      <c r="AC388" s="45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15.651591366906475</v>
      </c>
    </row>
    <row r="389" spans="1:29" ht="15.75" x14ac:dyDescent="0.25">
      <c r="A389" s="14">
        <v>52748</v>
      </c>
      <c r="B389" s="10">
        <f>CHOOSE(CONTROL!$C$42, 15.8863, 15.8863) * CHOOSE(CONTROL!$C$21, $C$9, 100%, $E$9)</f>
        <v>15.8863</v>
      </c>
      <c r="C389" s="10">
        <f>CHOOSE(CONTROL!$C$42, 15.8942, 15.8942) * CHOOSE(CONTROL!$C$21, $C$9, 100%, $E$9)</f>
        <v>15.8942</v>
      </c>
      <c r="D389" s="10">
        <f>CHOOSE(CONTROL!$C$42, 16.097, 16.097) * CHOOSE(CONTROL!$C$21, $C$9, 100%, $E$9)</f>
        <v>16.097000000000001</v>
      </c>
      <c r="E389" s="10">
        <f>CHOOSE(CONTROL!$C$42, 16.1281, 16.1281) * CHOOSE(CONTROL!$C$21, $C$9, 100%, $E$9)</f>
        <v>16.1281</v>
      </c>
      <c r="F389" s="10">
        <f>CHOOSE(CONTROL!$C$42, 15.862, 15.862)*CHOOSE(CONTROL!$C$21, $C$9, 100%, $E$9)</f>
        <v>15.862</v>
      </c>
      <c r="G389" s="10">
        <f>CHOOSE(CONTROL!$C$42, 15.877, 15.877)*CHOOSE(CONTROL!$C$21, $C$9, 100%, $E$9)</f>
        <v>15.877000000000001</v>
      </c>
      <c r="H389" s="10">
        <f>CHOOSE(CONTROL!$C$42, 16.1167, 16.1167) * CHOOSE(CONTROL!$C$21, $C$9, 100%, $E$9)</f>
        <v>16.116700000000002</v>
      </c>
      <c r="I389" s="10">
        <f>CHOOSE(CONTROL!$C$42, 15.8863, 15.8863)* CHOOSE(CONTROL!$C$21, $C$9, 100%, $E$9)</f>
        <v>15.8863</v>
      </c>
      <c r="J389" s="10">
        <f>CHOOSE(CONTROL!$C$42, 15.855, 15.855)* CHOOSE(CONTROL!$C$21, $C$9, 100%, $E$9)</f>
        <v>15.855</v>
      </c>
      <c r="K389" s="53">
        <f>CHOOSE(CONTROL!$C$42, 15.8825, 15.8825) * CHOOSE(CONTROL!$C$21, $C$9, 100%, $E$9)</f>
        <v>15.8825</v>
      </c>
      <c r="L389" s="10">
        <f>CHOOSE(CONTROL!$C$42, 16.7037, 16.7037) * CHOOSE(CONTROL!$C$21, $C$9, 100%, $E$9)</f>
        <v>16.703700000000001</v>
      </c>
      <c r="M389" s="10">
        <f>CHOOSE(CONTROL!$C$42, 15.7088, 15.7088) * CHOOSE(CONTROL!$C$21, $C$9, 100%, $E$9)</f>
        <v>15.7088</v>
      </c>
      <c r="N389" s="10">
        <f>CHOOSE(CONTROL!$C$42, 15.7237, 15.7237) * CHOOSE(CONTROL!$C$21, $C$9, 100%, $E$9)</f>
        <v>15.723699999999999</v>
      </c>
      <c r="O389" s="10">
        <f>CHOOSE(CONTROL!$C$42, 15.9679, 15.9679) * CHOOSE(CONTROL!$C$21, $C$9, 100%, $E$9)</f>
        <v>15.9679</v>
      </c>
      <c r="P389" s="10">
        <f>CHOOSE(CONTROL!$C$42, 15.7399, 15.7399) * CHOOSE(CONTROL!$C$21, $C$9, 100%, $E$9)</f>
        <v>15.7399</v>
      </c>
      <c r="Q389" s="10">
        <f>CHOOSE(CONTROL!$C$42, 16.5632, 16.5632) * CHOOSE(CONTROL!$C$21, $C$9, 100%, $E$9)</f>
        <v>16.563199999999998</v>
      </c>
      <c r="R389" s="10">
        <f>CHOOSE(CONTROL!$C$42, 17.1916, 17.1916) * CHOOSE(CONTROL!$C$21, $C$9, 100%, $E$9)</f>
        <v>17.191600000000001</v>
      </c>
      <c r="S389" s="10">
        <f>CHOOSE(CONTROL!$C$42, 15.4229, 15.4229) * CHOOSE(CONTROL!$C$21, $C$9, 100%, $E$9)</f>
        <v>15.4229</v>
      </c>
      <c r="T3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57">
        <f>(1000*CHOOSE(CONTROL!$C$42, 695, 695)*CHOOSE(CONTROL!$C$42, 0.5599, 0.5599)*CHOOSE(CONTROL!$C$42, 31, 31))/1000000</f>
        <v>12.063045499999998</v>
      </c>
      <c r="V389" s="57">
        <f>(1000*CHOOSE(CONTROL!$C$42, 500, 500)*CHOOSE(CONTROL!$C$42, 0.275, 0.275)*CHOOSE(CONTROL!$C$42, 31, 31))/1000000</f>
        <v>4.2625000000000002</v>
      </c>
      <c r="W389" s="57">
        <f>(1000*CHOOSE(CONTROL!$C$42, 0.1146, 0.1146)*CHOOSE(CONTROL!$C$42, 121.5, 121.5)*CHOOSE(CONTROL!$C$42, 31, 31))/1000000</f>
        <v>0.43164089999999994</v>
      </c>
      <c r="X389" s="57">
        <f>(31*0.1790888*245000/1000000)+(31*0.2374*100000/1000000)</f>
        <v>2.0961194359999999</v>
      </c>
      <c r="Y389" s="57"/>
      <c r="Z389" s="10"/>
      <c r="AA389" s="56"/>
      <c r="AB389" s="50">
        <f>(B389*194.205+C389*267.466+D389*133.845+E389*53.484+F389*40+G389*185+H389*0+I389*100+J389*300)/(194.205+267.466+133.845+53.484+0+40+185+100+300)</f>
        <v>15.910761580926216</v>
      </c>
      <c r="AC389" s="45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15.789402158273381</v>
      </c>
    </row>
    <row r="390" spans="1:29" ht="15.75" x14ac:dyDescent="0.25">
      <c r="A390" s="14">
        <v>52778</v>
      </c>
      <c r="B390" s="10">
        <f>CHOOSE(CONTROL!$C$42, 16.3368, 16.3368) * CHOOSE(CONTROL!$C$21, $C$9, 100%, $E$9)</f>
        <v>16.3368</v>
      </c>
      <c r="C390" s="10">
        <f>CHOOSE(CONTROL!$C$42, 16.3447, 16.3447) * CHOOSE(CONTROL!$C$21, $C$9, 100%, $E$9)</f>
        <v>16.3447</v>
      </c>
      <c r="D390" s="10">
        <f>CHOOSE(CONTROL!$C$42, 16.5474, 16.5474) * CHOOSE(CONTROL!$C$21, $C$9, 100%, $E$9)</f>
        <v>16.5474</v>
      </c>
      <c r="E390" s="10">
        <f>CHOOSE(CONTROL!$C$42, 16.5786, 16.5786) * CHOOSE(CONTROL!$C$21, $C$9, 100%, $E$9)</f>
        <v>16.578600000000002</v>
      </c>
      <c r="F390" s="10">
        <f>CHOOSE(CONTROL!$C$42, 16.313, 16.313)*CHOOSE(CONTROL!$C$21, $C$9, 100%, $E$9)</f>
        <v>16.312999999999999</v>
      </c>
      <c r="G390" s="10">
        <f>CHOOSE(CONTROL!$C$42, 16.3282, 16.3282)*CHOOSE(CONTROL!$C$21, $C$9, 100%, $E$9)</f>
        <v>16.328199999999999</v>
      </c>
      <c r="H390" s="10">
        <f>CHOOSE(CONTROL!$C$42, 16.5672, 16.5672) * CHOOSE(CONTROL!$C$21, $C$9, 100%, $E$9)</f>
        <v>16.5672</v>
      </c>
      <c r="I390" s="10">
        <f>CHOOSE(CONTROL!$C$42, 16.3368, 16.3368)* CHOOSE(CONTROL!$C$21, $C$9, 100%, $E$9)</f>
        <v>16.3368</v>
      </c>
      <c r="J390" s="10">
        <f>CHOOSE(CONTROL!$C$42, 16.306, 16.306)* CHOOSE(CONTROL!$C$21, $C$9, 100%, $E$9)</f>
        <v>16.306000000000001</v>
      </c>
      <c r="K390" s="53">
        <f>CHOOSE(CONTROL!$C$42, 16.3329, 16.3329) * CHOOSE(CONTROL!$C$21, $C$9, 100%, $E$9)</f>
        <v>16.332899999999999</v>
      </c>
      <c r="L390" s="10">
        <f>CHOOSE(CONTROL!$C$42, 17.1542, 17.1542) * CHOOSE(CONTROL!$C$21, $C$9, 100%, $E$9)</f>
        <v>17.154199999999999</v>
      </c>
      <c r="M390" s="10">
        <f>CHOOSE(CONTROL!$C$42, 16.1553, 16.1553) * CHOOSE(CONTROL!$C$21, $C$9, 100%, $E$9)</f>
        <v>16.1553</v>
      </c>
      <c r="N390" s="10">
        <f>CHOOSE(CONTROL!$C$42, 16.1703, 16.1703) * CHOOSE(CONTROL!$C$21, $C$9, 100%, $E$9)</f>
        <v>16.170300000000001</v>
      </c>
      <c r="O390" s="10">
        <f>CHOOSE(CONTROL!$C$42, 16.4138, 16.4138) * CHOOSE(CONTROL!$C$21, $C$9, 100%, $E$9)</f>
        <v>16.413799999999998</v>
      </c>
      <c r="P390" s="10">
        <f>CHOOSE(CONTROL!$C$42, 16.1858, 16.1858) * CHOOSE(CONTROL!$C$21, $C$9, 100%, $E$9)</f>
        <v>16.1858</v>
      </c>
      <c r="Q390" s="10">
        <f>CHOOSE(CONTROL!$C$42, 17.0091, 17.0091) * CHOOSE(CONTROL!$C$21, $C$9, 100%, $E$9)</f>
        <v>17.0091</v>
      </c>
      <c r="R390" s="10">
        <f>CHOOSE(CONTROL!$C$42, 17.6387, 17.6387) * CHOOSE(CONTROL!$C$21, $C$9, 100%, $E$9)</f>
        <v>17.6387</v>
      </c>
      <c r="S390" s="10">
        <f>CHOOSE(CONTROL!$C$42, 15.8604, 15.8604) * CHOOSE(CONTROL!$C$21, $C$9, 100%, $E$9)</f>
        <v>15.8604</v>
      </c>
      <c r="T3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57">
        <f>(1000*CHOOSE(CONTROL!$C$42, 695, 695)*CHOOSE(CONTROL!$C$42, 0.5599, 0.5599)*CHOOSE(CONTROL!$C$42, 30, 30))/1000000</f>
        <v>11.673914999999997</v>
      </c>
      <c r="V390" s="57">
        <f>(1000*CHOOSE(CONTROL!$C$42, 500, 500)*CHOOSE(CONTROL!$C$42, 0.275, 0.275)*CHOOSE(CONTROL!$C$42, 30, 30))/1000000</f>
        <v>4.125</v>
      </c>
      <c r="W390" s="57">
        <f>(1000*CHOOSE(CONTROL!$C$42, 0.1146, 0.1146)*CHOOSE(CONTROL!$C$42, 121.5, 121.5)*CHOOSE(CONTROL!$C$42, 30, 30))/1000000</f>
        <v>0.417717</v>
      </c>
      <c r="X390" s="57">
        <f>(30*0.1790888*245000/1000000)+(30*0.2374*100000/1000000)</f>
        <v>2.0285026799999999</v>
      </c>
      <c r="Y390" s="57"/>
      <c r="Z390" s="10"/>
      <c r="AA390" s="56"/>
      <c r="AB390" s="50">
        <f>(B390*194.205+C390*267.466+D390*133.845+E390*53.484+F390*40+G390*185+H390*0+I390*100+J390*300)/(194.205+267.466+133.845+53.484+0+40+185+100+300)</f>
        <v>16.361486161381478</v>
      </c>
      <c r="AC390" s="45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16.23567050359712</v>
      </c>
    </row>
    <row r="391" spans="1:29" ht="15.75" x14ac:dyDescent="0.25">
      <c r="A391" s="14">
        <v>52809</v>
      </c>
      <c r="B391" s="10">
        <f>CHOOSE(CONTROL!$C$42, 16.0235, 16.0235) * CHOOSE(CONTROL!$C$21, $C$9, 100%, $E$9)</f>
        <v>16.023499999999999</v>
      </c>
      <c r="C391" s="10">
        <f>CHOOSE(CONTROL!$C$42, 16.0314, 16.0314) * CHOOSE(CONTROL!$C$21, $C$9, 100%, $E$9)</f>
        <v>16.031400000000001</v>
      </c>
      <c r="D391" s="10">
        <f>CHOOSE(CONTROL!$C$42, 16.2341, 16.2341) * CHOOSE(CONTROL!$C$21, $C$9, 100%, $E$9)</f>
        <v>16.234100000000002</v>
      </c>
      <c r="E391" s="10">
        <f>CHOOSE(CONTROL!$C$42, 16.2653, 16.2653) * CHOOSE(CONTROL!$C$21, $C$9, 100%, $E$9)</f>
        <v>16.2653</v>
      </c>
      <c r="F391" s="10">
        <f>CHOOSE(CONTROL!$C$42, 16.0002, 16.0002)*CHOOSE(CONTROL!$C$21, $C$9, 100%, $E$9)</f>
        <v>16.0002</v>
      </c>
      <c r="G391" s="10">
        <f>CHOOSE(CONTROL!$C$42, 16.0155, 16.0155)*CHOOSE(CONTROL!$C$21, $C$9, 100%, $E$9)</f>
        <v>16.015499999999999</v>
      </c>
      <c r="H391" s="10">
        <f>CHOOSE(CONTROL!$C$42, 16.2539, 16.2539) * CHOOSE(CONTROL!$C$21, $C$9, 100%, $E$9)</f>
        <v>16.253900000000002</v>
      </c>
      <c r="I391" s="10">
        <f>CHOOSE(CONTROL!$C$42, 16.0235, 16.0235)* CHOOSE(CONTROL!$C$21, $C$9, 100%, $E$9)</f>
        <v>16.023499999999999</v>
      </c>
      <c r="J391" s="10">
        <f>CHOOSE(CONTROL!$C$42, 15.9932, 15.9932)* CHOOSE(CONTROL!$C$21, $C$9, 100%, $E$9)</f>
        <v>15.9932</v>
      </c>
      <c r="K391" s="53">
        <f>CHOOSE(CONTROL!$C$42, 16.0196, 16.0196) * CHOOSE(CONTROL!$C$21, $C$9, 100%, $E$9)</f>
        <v>16.019600000000001</v>
      </c>
      <c r="L391" s="10">
        <f>CHOOSE(CONTROL!$C$42, 16.8409, 16.8409) * CHOOSE(CONTROL!$C$21, $C$9, 100%, $E$9)</f>
        <v>16.840900000000001</v>
      </c>
      <c r="M391" s="10">
        <f>CHOOSE(CONTROL!$C$42, 15.8457, 15.8457) * CHOOSE(CONTROL!$C$21, $C$9, 100%, $E$9)</f>
        <v>15.845700000000001</v>
      </c>
      <c r="N391" s="10">
        <f>CHOOSE(CONTROL!$C$42, 15.8608, 15.8608) * CHOOSE(CONTROL!$C$21, $C$9, 100%, $E$9)</f>
        <v>15.860799999999999</v>
      </c>
      <c r="O391" s="10">
        <f>CHOOSE(CONTROL!$C$42, 16.1037, 16.1037) * CHOOSE(CONTROL!$C$21, $C$9, 100%, $E$9)</f>
        <v>16.1037</v>
      </c>
      <c r="P391" s="10">
        <f>CHOOSE(CONTROL!$C$42, 15.8757, 15.8757) * CHOOSE(CONTROL!$C$21, $C$9, 100%, $E$9)</f>
        <v>15.8757</v>
      </c>
      <c r="Q391" s="10">
        <f>CHOOSE(CONTROL!$C$42, 16.699, 16.699) * CHOOSE(CONTROL!$C$21, $C$9, 100%, $E$9)</f>
        <v>16.699000000000002</v>
      </c>
      <c r="R391" s="10">
        <f>CHOOSE(CONTROL!$C$42, 17.3277, 17.3277) * CHOOSE(CONTROL!$C$21, $C$9, 100%, $E$9)</f>
        <v>17.3277</v>
      </c>
      <c r="S391" s="10">
        <f>CHOOSE(CONTROL!$C$42, 15.5561, 15.5561) * CHOOSE(CONTROL!$C$21, $C$9, 100%, $E$9)</f>
        <v>15.556100000000001</v>
      </c>
      <c r="T3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57">
        <f>(1000*CHOOSE(CONTROL!$C$42, 695, 695)*CHOOSE(CONTROL!$C$42, 0.5599, 0.5599)*CHOOSE(CONTROL!$C$42, 31, 31))/1000000</f>
        <v>12.063045499999998</v>
      </c>
      <c r="V391" s="57">
        <f>(1000*CHOOSE(CONTROL!$C$42, 500, 500)*CHOOSE(CONTROL!$C$42, 0.275, 0.275)*CHOOSE(CONTROL!$C$42, 31, 31))/1000000</f>
        <v>4.2625000000000002</v>
      </c>
      <c r="W391" s="57">
        <f>(1000*CHOOSE(CONTROL!$C$42, 0.1146, 0.1146)*CHOOSE(CONTROL!$C$42, 121.5, 121.5)*CHOOSE(CONTROL!$C$42, 31, 31))/1000000</f>
        <v>0.43164089999999994</v>
      </c>
      <c r="X391" s="57">
        <f>(31*0.1790888*245000/1000000)+(31*0.2374*100000/1000000)</f>
        <v>2.0961194359999999</v>
      </c>
      <c r="Y391" s="57"/>
      <c r="Z391" s="10"/>
      <c r="AA391" s="56"/>
      <c r="AB391" s="50">
        <f>(B391*194.205+C391*267.466+D391*133.845+E391*53.484+F391*40+G391*185+H391*0+I391*100+J391*300)/(194.205+267.466+133.845+53.484+0+40+185+100+300)</f>
        <v>16.048406726530615</v>
      </c>
      <c r="AC391" s="45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15.925881294964027</v>
      </c>
    </row>
    <row r="392" spans="1:29" ht="15.75" x14ac:dyDescent="0.25">
      <c r="A392" s="14">
        <v>52840</v>
      </c>
      <c r="B392" s="10">
        <f>CHOOSE(CONTROL!$C$42, 15.2323, 15.2323) * CHOOSE(CONTROL!$C$21, $C$9, 100%, $E$9)</f>
        <v>15.2323</v>
      </c>
      <c r="C392" s="10">
        <f>CHOOSE(CONTROL!$C$42, 15.2402, 15.2402) * CHOOSE(CONTROL!$C$21, $C$9, 100%, $E$9)</f>
        <v>15.2402</v>
      </c>
      <c r="D392" s="10">
        <f>CHOOSE(CONTROL!$C$42, 15.4429, 15.4429) * CHOOSE(CONTROL!$C$21, $C$9, 100%, $E$9)</f>
        <v>15.4429</v>
      </c>
      <c r="E392" s="10">
        <f>CHOOSE(CONTROL!$C$42, 15.4741, 15.4741) * CHOOSE(CONTROL!$C$21, $C$9, 100%, $E$9)</f>
        <v>15.4741</v>
      </c>
      <c r="F392" s="10">
        <f>CHOOSE(CONTROL!$C$42, 15.2092, 15.2092)*CHOOSE(CONTROL!$C$21, $C$9, 100%, $E$9)</f>
        <v>15.209199999999999</v>
      </c>
      <c r="G392" s="10">
        <f>CHOOSE(CONTROL!$C$42, 15.2245, 15.2245)*CHOOSE(CONTROL!$C$21, $C$9, 100%, $E$9)</f>
        <v>15.224500000000001</v>
      </c>
      <c r="H392" s="10">
        <f>CHOOSE(CONTROL!$C$42, 15.4627, 15.4627) * CHOOSE(CONTROL!$C$21, $C$9, 100%, $E$9)</f>
        <v>15.4627</v>
      </c>
      <c r="I392" s="10">
        <f>CHOOSE(CONTROL!$C$42, 15.2323, 15.2323)* CHOOSE(CONTROL!$C$21, $C$9, 100%, $E$9)</f>
        <v>15.2323</v>
      </c>
      <c r="J392" s="10">
        <f>CHOOSE(CONTROL!$C$42, 15.2022, 15.2022)* CHOOSE(CONTROL!$C$21, $C$9, 100%, $E$9)</f>
        <v>15.202199999999999</v>
      </c>
      <c r="K392" s="53">
        <f>CHOOSE(CONTROL!$C$42, 15.2284, 15.2284) * CHOOSE(CONTROL!$C$21, $C$9, 100%, $E$9)</f>
        <v>15.228400000000001</v>
      </c>
      <c r="L392" s="10">
        <f>CHOOSE(CONTROL!$C$42, 16.0497, 16.0497) * CHOOSE(CONTROL!$C$21, $C$9, 100%, $E$9)</f>
        <v>16.049700000000001</v>
      </c>
      <c r="M392" s="10">
        <f>CHOOSE(CONTROL!$C$42, 15.0626, 15.0626) * CHOOSE(CONTROL!$C$21, $C$9, 100%, $E$9)</f>
        <v>15.0626</v>
      </c>
      <c r="N392" s="10">
        <f>CHOOSE(CONTROL!$C$42, 15.0778, 15.0778) * CHOOSE(CONTROL!$C$21, $C$9, 100%, $E$9)</f>
        <v>15.0778</v>
      </c>
      <c r="O392" s="10">
        <f>CHOOSE(CONTROL!$C$42, 15.3205, 15.3205) * CHOOSE(CONTROL!$C$21, $C$9, 100%, $E$9)</f>
        <v>15.320499999999999</v>
      </c>
      <c r="P392" s="10">
        <f>CHOOSE(CONTROL!$C$42, 15.0924, 15.0924) * CHOOSE(CONTROL!$C$21, $C$9, 100%, $E$9)</f>
        <v>15.0924</v>
      </c>
      <c r="Q392" s="10">
        <f>CHOOSE(CONTROL!$C$42, 15.9158, 15.9158) * CHOOSE(CONTROL!$C$21, $C$9, 100%, $E$9)</f>
        <v>15.915800000000001</v>
      </c>
      <c r="R392" s="10">
        <f>CHOOSE(CONTROL!$C$42, 16.5426, 16.5426) * CHOOSE(CONTROL!$C$21, $C$9, 100%, $E$9)</f>
        <v>16.5426</v>
      </c>
      <c r="S392" s="10">
        <f>CHOOSE(CONTROL!$C$42, 14.7878, 14.7878) * CHOOSE(CONTROL!$C$21, $C$9, 100%, $E$9)</f>
        <v>14.787800000000001</v>
      </c>
      <c r="T3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57">
        <f>(1000*CHOOSE(CONTROL!$C$42, 695, 695)*CHOOSE(CONTROL!$C$42, 0.5599, 0.5599)*CHOOSE(CONTROL!$C$42, 31, 31))/1000000</f>
        <v>12.063045499999998</v>
      </c>
      <c r="V392" s="57">
        <f>(1000*CHOOSE(CONTROL!$C$42, 500, 500)*CHOOSE(CONTROL!$C$42, 0.275, 0.275)*CHOOSE(CONTROL!$C$42, 31, 31))/1000000</f>
        <v>4.2625000000000002</v>
      </c>
      <c r="W392" s="57">
        <f>(1000*CHOOSE(CONTROL!$C$42, 0.1146, 0.1146)*CHOOSE(CONTROL!$C$42, 121.5, 121.5)*CHOOSE(CONTROL!$C$42, 31, 31))/1000000</f>
        <v>0.43164089999999994</v>
      </c>
      <c r="X392" s="57">
        <f>(31*0.1790888*245000/1000000)+(31*0.2374*100000/1000000)</f>
        <v>2.0961194359999999</v>
      </c>
      <c r="Y392" s="57"/>
      <c r="Z392" s="10"/>
      <c r="AA392" s="56"/>
      <c r="AB392" s="50">
        <f>(B392*194.205+C392*267.466+D392*133.845+E392*53.484+F392*40+G392*185+H392*0+I392*100+J392*300)/(194.205+267.466+133.845+53.484+0+40+185+100+300)</f>
        <v>15.257289144113029</v>
      </c>
      <c r="AC392" s="45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15.142747482014387</v>
      </c>
    </row>
    <row r="393" spans="1:29" ht="15.75" x14ac:dyDescent="0.25">
      <c r="A393" s="14">
        <v>52870</v>
      </c>
      <c r="B393" s="10">
        <f>CHOOSE(CONTROL!$C$42, 14.2652, 14.2652) * CHOOSE(CONTROL!$C$21, $C$9, 100%, $E$9)</f>
        <v>14.2652</v>
      </c>
      <c r="C393" s="10">
        <f>CHOOSE(CONTROL!$C$42, 14.2731, 14.2731) * CHOOSE(CONTROL!$C$21, $C$9, 100%, $E$9)</f>
        <v>14.273099999999999</v>
      </c>
      <c r="D393" s="10">
        <f>CHOOSE(CONTROL!$C$42, 14.4758, 14.4758) * CHOOSE(CONTROL!$C$21, $C$9, 100%, $E$9)</f>
        <v>14.4758</v>
      </c>
      <c r="E393" s="10">
        <f>CHOOSE(CONTROL!$C$42, 14.5069, 14.5069) * CHOOSE(CONTROL!$C$21, $C$9, 100%, $E$9)</f>
        <v>14.5069</v>
      </c>
      <c r="F393" s="10">
        <f>CHOOSE(CONTROL!$C$42, 14.242, 14.242)*CHOOSE(CONTROL!$C$21, $C$9, 100%, $E$9)</f>
        <v>14.242000000000001</v>
      </c>
      <c r="G393" s="10">
        <f>CHOOSE(CONTROL!$C$42, 14.2573, 14.2573)*CHOOSE(CONTROL!$C$21, $C$9, 100%, $E$9)</f>
        <v>14.257300000000001</v>
      </c>
      <c r="H393" s="10">
        <f>CHOOSE(CONTROL!$C$42, 14.4956, 14.4956) * CHOOSE(CONTROL!$C$21, $C$9, 100%, $E$9)</f>
        <v>14.4956</v>
      </c>
      <c r="I393" s="10">
        <f>CHOOSE(CONTROL!$C$42, 14.2652, 14.2652)* CHOOSE(CONTROL!$C$21, $C$9, 100%, $E$9)</f>
        <v>14.2652</v>
      </c>
      <c r="J393" s="10">
        <f>CHOOSE(CONTROL!$C$42, 14.235, 14.235)* CHOOSE(CONTROL!$C$21, $C$9, 100%, $E$9)</f>
        <v>14.234999999999999</v>
      </c>
      <c r="K393" s="53">
        <f>CHOOSE(CONTROL!$C$42, 14.2613, 14.2613) * CHOOSE(CONTROL!$C$21, $C$9, 100%, $E$9)</f>
        <v>14.2613</v>
      </c>
      <c r="L393" s="10">
        <f>CHOOSE(CONTROL!$C$42, 15.0826, 15.0826) * CHOOSE(CONTROL!$C$21, $C$9, 100%, $E$9)</f>
        <v>15.082599999999999</v>
      </c>
      <c r="M393" s="10">
        <f>CHOOSE(CONTROL!$C$42, 14.1051, 14.1051) * CHOOSE(CONTROL!$C$21, $C$9, 100%, $E$9)</f>
        <v>14.1051</v>
      </c>
      <c r="N393" s="10">
        <f>CHOOSE(CONTROL!$C$42, 14.1203, 14.1203) * CHOOSE(CONTROL!$C$21, $C$9, 100%, $E$9)</f>
        <v>14.1203</v>
      </c>
      <c r="O393" s="10">
        <f>CHOOSE(CONTROL!$C$42, 14.3631, 14.3631) * CHOOSE(CONTROL!$C$21, $C$9, 100%, $E$9)</f>
        <v>14.363099999999999</v>
      </c>
      <c r="P393" s="10">
        <f>CHOOSE(CONTROL!$C$42, 14.1351, 14.1351) * CHOOSE(CONTROL!$C$21, $C$9, 100%, $E$9)</f>
        <v>14.1351</v>
      </c>
      <c r="Q393" s="10">
        <f>CHOOSE(CONTROL!$C$42, 14.9584, 14.9584) * CHOOSE(CONTROL!$C$21, $C$9, 100%, $E$9)</f>
        <v>14.958399999999999</v>
      </c>
      <c r="R393" s="10">
        <f>CHOOSE(CONTROL!$C$42, 15.5828, 15.5828) * CHOOSE(CONTROL!$C$21, $C$9, 100%, $E$9)</f>
        <v>15.582800000000001</v>
      </c>
      <c r="S393" s="10">
        <f>CHOOSE(CONTROL!$C$42, 13.8487, 13.8487) * CHOOSE(CONTROL!$C$21, $C$9, 100%, $E$9)</f>
        <v>13.848699999999999</v>
      </c>
      <c r="T3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57">
        <f>(1000*CHOOSE(CONTROL!$C$42, 695, 695)*CHOOSE(CONTROL!$C$42, 0.5599, 0.5599)*CHOOSE(CONTROL!$C$42, 30, 30))/1000000</f>
        <v>11.673914999999997</v>
      </c>
      <c r="V393" s="57">
        <f>(1000*CHOOSE(CONTROL!$C$42, 500, 500)*CHOOSE(CONTROL!$C$42, 0.275, 0.275)*CHOOSE(CONTROL!$C$42, 30, 30))/1000000</f>
        <v>4.125</v>
      </c>
      <c r="W393" s="57">
        <f>(1000*CHOOSE(CONTROL!$C$42, 0.1146, 0.1146)*CHOOSE(CONTROL!$C$42, 121.5, 121.5)*CHOOSE(CONTROL!$C$42, 30, 30))/1000000</f>
        <v>0.417717</v>
      </c>
      <c r="X393" s="57">
        <f>(30*0.1790888*245000/1000000)+(30*0.2374*100000/1000000)</f>
        <v>2.0285026799999999</v>
      </c>
      <c r="Y393" s="57"/>
      <c r="Z393" s="10"/>
      <c r="AA393" s="56"/>
      <c r="AB393" s="50">
        <f>(B393*194.205+C393*267.466+D393*133.845+E393*53.484+F393*40+G393*185+H393*0+I393*100+J393*300)/(194.205+267.466+133.845+53.484+0+40+185+100+300)</f>
        <v>14.290143737205653</v>
      </c>
      <c r="AC393" s="45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14.185304316546762</v>
      </c>
    </row>
    <row r="394" spans="1:29" ht="15.75" x14ac:dyDescent="0.25">
      <c r="A394" s="14">
        <v>52901</v>
      </c>
      <c r="B394" s="10">
        <f>CHOOSE(CONTROL!$C$42, 13.9739, 13.9739) * CHOOSE(CONTROL!$C$21, $C$9, 100%, $E$9)</f>
        <v>13.9739</v>
      </c>
      <c r="C394" s="10">
        <f>CHOOSE(CONTROL!$C$42, 13.9791, 13.9791) * CHOOSE(CONTROL!$C$21, $C$9, 100%, $E$9)</f>
        <v>13.979100000000001</v>
      </c>
      <c r="D394" s="10">
        <f>CHOOSE(CONTROL!$C$42, 14.1868, 14.1868) * CHOOSE(CONTROL!$C$21, $C$9, 100%, $E$9)</f>
        <v>14.1868</v>
      </c>
      <c r="E394" s="10">
        <f>CHOOSE(CONTROL!$C$42, 14.2156, 14.2156) * CHOOSE(CONTROL!$C$21, $C$9, 100%, $E$9)</f>
        <v>14.2156</v>
      </c>
      <c r="F394" s="10">
        <f>CHOOSE(CONTROL!$C$42, 13.9526, 13.9526)*CHOOSE(CONTROL!$C$21, $C$9, 100%, $E$9)</f>
        <v>13.9526</v>
      </c>
      <c r="G394" s="10">
        <f>CHOOSE(CONTROL!$C$42, 13.9675, 13.9675)*CHOOSE(CONTROL!$C$21, $C$9, 100%, $E$9)</f>
        <v>13.967499999999999</v>
      </c>
      <c r="H394" s="10">
        <f>CHOOSE(CONTROL!$C$42, 14.206, 14.206) * CHOOSE(CONTROL!$C$21, $C$9, 100%, $E$9)</f>
        <v>14.206</v>
      </c>
      <c r="I394" s="10">
        <f>CHOOSE(CONTROL!$C$42, 13.9757, 13.9757)* CHOOSE(CONTROL!$C$21, $C$9, 100%, $E$9)</f>
        <v>13.9757</v>
      </c>
      <c r="J394" s="10">
        <f>CHOOSE(CONTROL!$C$42, 13.9456, 13.9456)* CHOOSE(CONTROL!$C$21, $C$9, 100%, $E$9)</f>
        <v>13.945600000000001</v>
      </c>
      <c r="K394" s="53">
        <f>CHOOSE(CONTROL!$C$42, 13.9718, 13.9718) * CHOOSE(CONTROL!$C$21, $C$9, 100%, $E$9)</f>
        <v>13.9718</v>
      </c>
      <c r="L394" s="10">
        <f>CHOOSE(CONTROL!$C$42, 14.793, 14.793) * CHOOSE(CONTROL!$C$21, $C$9, 100%, $E$9)</f>
        <v>14.792999999999999</v>
      </c>
      <c r="M394" s="10">
        <f>CHOOSE(CONTROL!$C$42, 13.8187, 13.8187) * CHOOSE(CONTROL!$C$21, $C$9, 100%, $E$9)</f>
        <v>13.8187</v>
      </c>
      <c r="N394" s="10">
        <f>CHOOSE(CONTROL!$C$42, 13.8335, 13.8335) * CHOOSE(CONTROL!$C$21, $C$9, 100%, $E$9)</f>
        <v>13.833500000000001</v>
      </c>
      <c r="O394" s="10">
        <f>CHOOSE(CONTROL!$C$42, 14.0765, 14.0765) * CHOOSE(CONTROL!$C$21, $C$9, 100%, $E$9)</f>
        <v>14.076499999999999</v>
      </c>
      <c r="P394" s="10">
        <f>CHOOSE(CONTROL!$C$42, 13.8485, 13.8485) * CHOOSE(CONTROL!$C$21, $C$9, 100%, $E$9)</f>
        <v>13.8485</v>
      </c>
      <c r="Q394" s="10">
        <f>CHOOSE(CONTROL!$C$42, 14.6718, 14.6718) * CHOOSE(CONTROL!$C$21, $C$9, 100%, $E$9)</f>
        <v>14.671799999999999</v>
      </c>
      <c r="R394" s="10">
        <f>CHOOSE(CONTROL!$C$42, 15.2955, 15.2955) * CHOOSE(CONTROL!$C$21, $C$9, 100%, $E$9)</f>
        <v>15.295500000000001</v>
      </c>
      <c r="S394" s="10">
        <f>CHOOSE(CONTROL!$C$42, 13.5675, 13.5675) * CHOOSE(CONTROL!$C$21, $C$9, 100%, $E$9)</f>
        <v>13.567500000000001</v>
      </c>
      <c r="T3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57">
        <f>(1000*CHOOSE(CONTROL!$C$42, 695, 695)*CHOOSE(CONTROL!$C$42, 0.5599, 0.5599)*CHOOSE(CONTROL!$C$42, 31, 31))/1000000</f>
        <v>12.063045499999998</v>
      </c>
      <c r="V394" s="57">
        <f>(1000*CHOOSE(CONTROL!$C$42, 500, 500)*CHOOSE(CONTROL!$C$42, 0.275, 0.275)*CHOOSE(CONTROL!$C$42, 31, 31))/1000000</f>
        <v>4.2625000000000002</v>
      </c>
      <c r="W394" s="57">
        <f>(1000*CHOOSE(CONTROL!$C$42, 0.1146, 0.1146)*CHOOSE(CONTROL!$C$42, 121.5, 121.5)*CHOOSE(CONTROL!$C$42, 31, 31))/1000000</f>
        <v>0.43164089999999994</v>
      </c>
      <c r="X394" s="57">
        <f>(31*0.1790888*245000/1000000)+(31*0.2374*100000/1000000)</f>
        <v>2.0961194359999999</v>
      </c>
      <c r="Y394" s="57"/>
      <c r="Z394" s="10"/>
      <c r="AA394" s="56"/>
      <c r="AB394" s="50">
        <f>(B394*131.881+C394*277.167+D394*79.08+E394*125.872+F394*40+G394*185+H394*0+I394*100+J394*300)/(131.881+277.167+79.08+125.872+0+40+185+100+300)</f>
        <v>14.004856144309926</v>
      </c>
      <c r="AC394" s="45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13.898727338129497</v>
      </c>
    </row>
    <row r="395" spans="1:29" ht="15.75" x14ac:dyDescent="0.25">
      <c r="A395" s="14">
        <v>52931</v>
      </c>
      <c r="B395" s="10">
        <f>CHOOSE(CONTROL!$C$42, 14.3415, 14.3415) * CHOOSE(CONTROL!$C$21, $C$9, 100%, $E$9)</f>
        <v>14.3415</v>
      </c>
      <c r="C395" s="10">
        <f>CHOOSE(CONTROL!$C$42, 14.3465, 14.3465) * CHOOSE(CONTROL!$C$21, $C$9, 100%, $E$9)</f>
        <v>14.346500000000001</v>
      </c>
      <c r="D395" s="10">
        <f>CHOOSE(CONTROL!$C$42, 14.407, 14.407) * CHOOSE(CONTROL!$C$21, $C$9, 100%, $E$9)</f>
        <v>14.407</v>
      </c>
      <c r="E395" s="10">
        <f>CHOOSE(CONTROL!$C$42, 14.4407, 14.4407) * CHOOSE(CONTROL!$C$21, $C$9, 100%, $E$9)</f>
        <v>14.4407</v>
      </c>
      <c r="F395" s="10">
        <f>CHOOSE(CONTROL!$C$42, 14.3371, 14.3371)*CHOOSE(CONTROL!$C$21, $C$9, 100%, $E$9)</f>
        <v>14.3371</v>
      </c>
      <c r="G395" s="10">
        <f>CHOOSE(CONTROL!$C$42, 14.3523, 14.3523)*CHOOSE(CONTROL!$C$21, $C$9, 100%, $E$9)</f>
        <v>14.3523</v>
      </c>
      <c r="H395" s="10">
        <f>CHOOSE(CONTROL!$C$42, 14.4299, 14.4299) * CHOOSE(CONTROL!$C$21, $C$9, 100%, $E$9)</f>
        <v>14.4299</v>
      </c>
      <c r="I395" s="10">
        <f>CHOOSE(CONTROL!$C$42, 14.354, 14.354)* CHOOSE(CONTROL!$C$21, $C$9, 100%, $E$9)</f>
        <v>14.353999999999999</v>
      </c>
      <c r="J395" s="10">
        <f>CHOOSE(CONTROL!$C$42, 14.3301, 14.3301)* CHOOSE(CONTROL!$C$21, $C$9, 100%, $E$9)</f>
        <v>14.3301</v>
      </c>
      <c r="K395" s="53">
        <f>CHOOSE(CONTROL!$C$42, 14.3501, 14.3501) * CHOOSE(CONTROL!$C$21, $C$9, 100%, $E$9)</f>
        <v>14.350099999999999</v>
      </c>
      <c r="L395" s="10">
        <f>CHOOSE(CONTROL!$C$42, 15.0169, 15.0169) * CHOOSE(CONTROL!$C$21, $C$9, 100%, $E$9)</f>
        <v>15.0169</v>
      </c>
      <c r="M395" s="10">
        <f>CHOOSE(CONTROL!$C$42, 14.1993, 14.1993) * CHOOSE(CONTROL!$C$21, $C$9, 100%, $E$9)</f>
        <v>14.199299999999999</v>
      </c>
      <c r="N395" s="10">
        <f>CHOOSE(CONTROL!$C$42, 14.2144, 14.2144) * CHOOSE(CONTROL!$C$21, $C$9, 100%, $E$9)</f>
        <v>14.214399999999999</v>
      </c>
      <c r="O395" s="10">
        <f>CHOOSE(CONTROL!$C$42, 14.2981, 14.2981) * CHOOSE(CONTROL!$C$21, $C$9, 100%, $E$9)</f>
        <v>14.2981</v>
      </c>
      <c r="P395" s="10">
        <f>CHOOSE(CONTROL!$C$42, 14.223, 14.223) * CHOOSE(CONTROL!$C$21, $C$9, 100%, $E$9)</f>
        <v>14.223000000000001</v>
      </c>
      <c r="Q395" s="10">
        <f>CHOOSE(CONTROL!$C$42, 14.8934, 14.8934) * CHOOSE(CONTROL!$C$21, $C$9, 100%, $E$9)</f>
        <v>14.8934</v>
      </c>
      <c r="R395" s="10">
        <f>CHOOSE(CONTROL!$C$42, 15.5177, 15.5177) * CHOOSE(CONTROL!$C$21, $C$9, 100%, $E$9)</f>
        <v>15.5177</v>
      </c>
      <c r="S395" s="10">
        <f>CHOOSE(CONTROL!$C$42, 13.9249, 13.9249) * CHOOSE(CONTROL!$C$21, $C$9, 100%, $E$9)</f>
        <v>13.924899999999999</v>
      </c>
      <c r="T3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57">
        <f>(1000*CHOOSE(CONTROL!$C$42, 695, 695)*CHOOSE(CONTROL!$C$42, 0.5599, 0.5599)*CHOOSE(CONTROL!$C$42, 30, 30))/1000000</f>
        <v>11.673914999999997</v>
      </c>
      <c r="V395" s="57">
        <f>(1000*CHOOSE(CONTROL!$C$42, 500, 500)*CHOOSE(CONTROL!$C$42, 0.275, 0.275)*CHOOSE(CONTROL!$C$42, 30, 30))/1000000</f>
        <v>4.125</v>
      </c>
      <c r="W395" s="57">
        <f>(1000*CHOOSE(CONTROL!$C$42, 0.1146, 0.1146)*CHOOSE(CONTROL!$C$42, 121.5, 121.5)*CHOOSE(CONTROL!$C$42, 30, 30))/1000000</f>
        <v>0.417717</v>
      </c>
      <c r="X395" s="57">
        <f>(30*0.1790888*100000/1000000)+(30*0.2374*100000/1000000)</f>
        <v>1.2494664</v>
      </c>
      <c r="Y395" s="57"/>
      <c r="Z395" s="10"/>
      <c r="AA395" s="56"/>
      <c r="AB395" s="50">
        <f>(B395*122.58+C395*297.941+D395*89.177+E395*40.302+F395*40+G395*160+H395*0+I395*100+J395*300)/(122.58+297.941+89.177+40.302+0+40+160+100+300)</f>
        <v>14.350813701652173</v>
      </c>
      <c r="AC395" s="45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14.248358992805754</v>
      </c>
    </row>
    <row r="396" spans="1:29" ht="15.75" x14ac:dyDescent="0.25">
      <c r="A396" s="14">
        <v>52962</v>
      </c>
      <c r="B396" s="10">
        <f>CHOOSE(CONTROL!$C$42, 15.3191, 15.3191) * CHOOSE(CONTROL!$C$21, $C$9, 100%, $E$9)</f>
        <v>15.319100000000001</v>
      </c>
      <c r="C396" s="10">
        <f>CHOOSE(CONTROL!$C$42, 15.324, 15.324) * CHOOSE(CONTROL!$C$21, $C$9, 100%, $E$9)</f>
        <v>15.324</v>
      </c>
      <c r="D396" s="10">
        <f>CHOOSE(CONTROL!$C$42, 15.3845, 15.3845) * CHOOSE(CONTROL!$C$21, $C$9, 100%, $E$9)</f>
        <v>15.384499999999999</v>
      </c>
      <c r="E396" s="10">
        <f>CHOOSE(CONTROL!$C$42, 15.4183, 15.4183) * CHOOSE(CONTROL!$C$21, $C$9, 100%, $E$9)</f>
        <v>15.4183</v>
      </c>
      <c r="F396" s="10">
        <f>CHOOSE(CONTROL!$C$42, 15.3166, 15.3166)*CHOOSE(CONTROL!$C$21, $C$9, 100%, $E$9)</f>
        <v>15.316599999999999</v>
      </c>
      <c r="G396" s="10">
        <f>CHOOSE(CONTROL!$C$42, 15.3322, 15.3322)*CHOOSE(CONTROL!$C$21, $C$9, 100%, $E$9)</f>
        <v>15.3322</v>
      </c>
      <c r="H396" s="10">
        <f>CHOOSE(CONTROL!$C$42, 15.4075, 15.4075) * CHOOSE(CONTROL!$C$21, $C$9, 100%, $E$9)</f>
        <v>15.407500000000001</v>
      </c>
      <c r="I396" s="10">
        <f>CHOOSE(CONTROL!$C$42, 15.3316, 15.3316)* CHOOSE(CONTROL!$C$21, $C$9, 100%, $E$9)</f>
        <v>15.3316</v>
      </c>
      <c r="J396" s="10">
        <f>CHOOSE(CONTROL!$C$42, 15.3096, 15.3096)* CHOOSE(CONTROL!$C$21, $C$9, 100%, $E$9)</f>
        <v>15.3096</v>
      </c>
      <c r="K396" s="53">
        <f>CHOOSE(CONTROL!$C$42, 15.3277, 15.3277) * CHOOSE(CONTROL!$C$21, $C$9, 100%, $E$9)</f>
        <v>15.3277</v>
      </c>
      <c r="L396" s="10">
        <f>CHOOSE(CONTROL!$C$42, 15.9945, 15.9945) * CHOOSE(CONTROL!$C$21, $C$9, 100%, $E$9)</f>
        <v>15.9945</v>
      </c>
      <c r="M396" s="10">
        <f>CHOOSE(CONTROL!$C$42, 15.1689, 15.1689) * CHOOSE(CONTROL!$C$21, $C$9, 100%, $E$9)</f>
        <v>15.168900000000001</v>
      </c>
      <c r="N396" s="10">
        <f>CHOOSE(CONTROL!$C$42, 15.1844, 15.1844) * CHOOSE(CONTROL!$C$21, $C$9, 100%, $E$9)</f>
        <v>15.1844</v>
      </c>
      <c r="O396" s="10">
        <f>CHOOSE(CONTROL!$C$42, 15.2659, 15.2659) * CHOOSE(CONTROL!$C$21, $C$9, 100%, $E$9)</f>
        <v>15.2659</v>
      </c>
      <c r="P396" s="10">
        <f>CHOOSE(CONTROL!$C$42, 15.1907, 15.1907) * CHOOSE(CONTROL!$C$21, $C$9, 100%, $E$9)</f>
        <v>15.1907</v>
      </c>
      <c r="Q396" s="10">
        <f>CHOOSE(CONTROL!$C$42, 15.8612, 15.8612) * CHOOSE(CONTROL!$C$21, $C$9, 100%, $E$9)</f>
        <v>15.8612</v>
      </c>
      <c r="R396" s="10">
        <f>CHOOSE(CONTROL!$C$42, 16.4878, 16.4878) * CHOOSE(CONTROL!$C$21, $C$9, 100%, $E$9)</f>
        <v>16.4878</v>
      </c>
      <c r="S396" s="10">
        <f>CHOOSE(CONTROL!$C$42, 14.8742, 14.8742) * CHOOSE(CONTROL!$C$21, $C$9, 100%, $E$9)</f>
        <v>14.8742</v>
      </c>
      <c r="T3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57">
        <f>(1000*CHOOSE(CONTROL!$C$42, 695, 695)*CHOOSE(CONTROL!$C$42, 0.5599, 0.5599)*CHOOSE(CONTROL!$C$42, 31, 31))/1000000</f>
        <v>12.063045499999998</v>
      </c>
      <c r="V396" s="57">
        <f>(1000*CHOOSE(CONTROL!$C$42, 500, 500)*CHOOSE(CONTROL!$C$42, 0.275, 0.275)*CHOOSE(CONTROL!$C$42, 31, 31))/1000000</f>
        <v>4.2625000000000002</v>
      </c>
      <c r="W396" s="57">
        <f>(1000*CHOOSE(CONTROL!$C$42, 0.1146, 0.1146)*CHOOSE(CONTROL!$C$42, 121.5, 121.5)*CHOOSE(CONTROL!$C$42, 31, 31))/1000000</f>
        <v>0.43164089999999994</v>
      </c>
      <c r="X396" s="57">
        <f>(31*0.1790888*100000/1000000)+(31*0.2374*100000/1000000)</f>
        <v>1.2911152800000001</v>
      </c>
      <c r="Y396" s="57"/>
      <c r="Z396" s="10"/>
      <c r="AA396" s="56"/>
      <c r="AB396" s="50">
        <f>(B396*122.58+C396*297.941+D396*89.177+E396*40.302+F396*40+G396*160+H396*0+I396*100+J396*300)/(122.58+297.941+89.177+40.302+0+40+160+100+300)</f>
        <v>15.329261778347826</v>
      </c>
      <c r="AC396" s="45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15.216892805755396</v>
      </c>
    </row>
    <row r="397" spans="1:29" ht="15.75" x14ac:dyDescent="0.25">
      <c r="A397" s="14">
        <v>52993</v>
      </c>
      <c r="B397" s="10">
        <f>CHOOSE(CONTROL!$C$42, 16.574, 16.574) * CHOOSE(CONTROL!$C$21, $C$9, 100%, $E$9)</f>
        <v>16.574000000000002</v>
      </c>
      <c r="C397" s="10">
        <f>CHOOSE(CONTROL!$C$42, 16.579, 16.579) * CHOOSE(CONTROL!$C$21, $C$9, 100%, $E$9)</f>
        <v>16.579000000000001</v>
      </c>
      <c r="D397" s="10">
        <f>CHOOSE(CONTROL!$C$42, 16.6361, 16.6361) * CHOOSE(CONTROL!$C$21, $C$9, 100%, $E$9)</f>
        <v>16.636099999999999</v>
      </c>
      <c r="E397" s="10">
        <f>CHOOSE(CONTROL!$C$42, 16.6698, 16.6698) * CHOOSE(CONTROL!$C$21, $C$9, 100%, $E$9)</f>
        <v>16.669799999999999</v>
      </c>
      <c r="F397" s="10">
        <f>CHOOSE(CONTROL!$C$42, 16.5719, 16.5719)*CHOOSE(CONTROL!$C$21, $C$9, 100%, $E$9)</f>
        <v>16.571899999999999</v>
      </c>
      <c r="G397" s="10">
        <f>CHOOSE(CONTROL!$C$42, 16.5865, 16.5865)*CHOOSE(CONTROL!$C$21, $C$9, 100%, $E$9)</f>
        <v>16.586500000000001</v>
      </c>
      <c r="H397" s="10">
        <f>CHOOSE(CONTROL!$C$42, 16.659, 16.659) * CHOOSE(CONTROL!$C$21, $C$9, 100%, $E$9)</f>
        <v>16.658999999999999</v>
      </c>
      <c r="I397" s="10">
        <f>CHOOSE(CONTROL!$C$42, 16.5848, 16.5848)* CHOOSE(CONTROL!$C$21, $C$9, 100%, $E$9)</f>
        <v>16.584800000000001</v>
      </c>
      <c r="J397" s="10">
        <f>CHOOSE(CONTROL!$C$42, 16.5649, 16.5649)* CHOOSE(CONTROL!$C$21, $C$9, 100%, $E$9)</f>
        <v>16.564900000000002</v>
      </c>
      <c r="K397" s="53">
        <f>CHOOSE(CONTROL!$C$42, 16.581, 16.581) * CHOOSE(CONTROL!$C$21, $C$9, 100%, $E$9)</f>
        <v>16.581</v>
      </c>
      <c r="L397" s="10">
        <f>CHOOSE(CONTROL!$C$42, 17.246, 17.246) * CHOOSE(CONTROL!$C$21, $C$9, 100%, $E$9)</f>
        <v>17.245999999999999</v>
      </c>
      <c r="M397" s="10">
        <f>CHOOSE(CONTROL!$C$42, 16.4115, 16.4115) * CHOOSE(CONTROL!$C$21, $C$9, 100%, $E$9)</f>
        <v>16.4115</v>
      </c>
      <c r="N397" s="10">
        <f>CHOOSE(CONTROL!$C$42, 16.426, 16.426) * CHOOSE(CONTROL!$C$21, $C$9, 100%, $E$9)</f>
        <v>16.425999999999998</v>
      </c>
      <c r="O397" s="10">
        <f>CHOOSE(CONTROL!$C$42, 16.5047, 16.5047) * CHOOSE(CONTROL!$C$21, $C$9, 100%, $E$9)</f>
        <v>16.5047</v>
      </c>
      <c r="P397" s="10">
        <f>CHOOSE(CONTROL!$C$42, 16.4313, 16.4313) * CHOOSE(CONTROL!$C$21, $C$9, 100%, $E$9)</f>
        <v>16.4313</v>
      </c>
      <c r="Q397" s="10">
        <f>CHOOSE(CONTROL!$C$42, 17.1, 17.1) * CHOOSE(CONTROL!$C$21, $C$9, 100%, $E$9)</f>
        <v>17.100000000000001</v>
      </c>
      <c r="R397" s="10">
        <f>CHOOSE(CONTROL!$C$42, 17.7298, 17.7298) * CHOOSE(CONTROL!$C$21, $C$9, 100%, $E$9)</f>
        <v>17.729800000000001</v>
      </c>
      <c r="S397" s="10">
        <f>CHOOSE(CONTROL!$C$42, 16.0929, 16.0929) * CHOOSE(CONTROL!$C$21, $C$9, 100%, $E$9)</f>
        <v>16.0929</v>
      </c>
      <c r="T3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57">
        <f>(1000*CHOOSE(CONTROL!$C$42, 695, 695)*CHOOSE(CONTROL!$C$42, 0.5599, 0.5599)*CHOOSE(CONTROL!$C$42, 31, 31))/1000000</f>
        <v>12.063045499999998</v>
      </c>
      <c r="V397" s="57">
        <f>(1000*CHOOSE(CONTROL!$C$42, 500, 500)*CHOOSE(CONTROL!$C$42, 0.275, 0.275)*CHOOSE(CONTROL!$C$42, 31, 31))/1000000</f>
        <v>4.2625000000000002</v>
      </c>
      <c r="W397" s="57">
        <f>(1000*CHOOSE(CONTROL!$C$42, 0.1146, 0.1146)*CHOOSE(CONTROL!$C$42, 121.5, 121.5)*CHOOSE(CONTROL!$C$42, 31, 31))/1000000</f>
        <v>0.43164089999999994</v>
      </c>
      <c r="X397" s="57">
        <f>(31*0.1790888*100000/1000000)+(31*0.2374*100000/1000000)</f>
        <v>1.2911152800000001</v>
      </c>
      <c r="Y397" s="57"/>
      <c r="Z397" s="10"/>
      <c r="AA397" s="56"/>
      <c r="AB397" s="50">
        <f>(B397*122.58+C397*297.941+D397*89.177+E397*40.302+F397*40+G397*160+H397*0+I397*100+J397*300)/(122.58+297.941+89.177+40.302+0+40+160+100+300)</f>
        <v>16.583699589826086</v>
      </c>
      <c r="AC397" s="45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16.457425179856116</v>
      </c>
    </row>
    <row r="398" spans="1:29" ht="15.75" x14ac:dyDescent="0.25">
      <c r="A398" s="14">
        <v>53021</v>
      </c>
      <c r="B398" s="10">
        <f>CHOOSE(CONTROL!$C$42, 16.869, 16.869) * CHOOSE(CONTROL!$C$21, $C$9, 100%, $E$9)</f>
        <v>16.869</v>
      </c>
      <c r="C398" s="10">
        <f>CHOOSE(CONTROL!$C$42, 16.874, 16.874) * CHOOSE(CONTROL!$C$21, $C$9, 100%, $E$9)</f>
        <v>16.873999999999999</v>
      </c>
      <c r="D398" s="10">
        <f>CHOOSE(CONTROL!$C$42, 16.9311, 16.9311) * CHOOSE(CONTROL!$C$21, $C$9, 100%, $E$9)</f>
        <v>16.931100000000001</v>
      </c>
      <c r="E398" s="10">
        <f>CHOOSE(CONTROL!$C$42, 16.9648, 16.9648) * CHOOSE(CONTROL!$C$21, $C$9, 100%, $E$9)</f>
        <v>16.9648</v>
      </c>
      <c r="F398" s="10">
        <f>CHOOSE(CONTROL!$C$42, 16.867, 16.867)*CHOOSE(CONTROL!$C$21, $C$9, 100%, $E$9)</f>
        <v>16.867000000000001</v>
      </c>
      <c r="G398" s="10">
        <f>CHOOSE(CONTROL!$C$42, 16.8816, 16.8816)*CHOOSE(CONTROL!$C$21, $C$9, 100%, $E$9)</f>
        <v>16.881599999999999</v>
      </c>
      <c r="H398" s="10">
        <f>CHOOSE(CONTROL!$C$42, 16.954, 16.954) * CHOOSE(CONTROL!$C$21, $C$9, 100%, $E$9)</f>
        <v>16.954000000000001</v>
      </c>
      <c r="I398" s="10">
        <f>CHOOSE(CONTROL!$C$42, 16.8798, 16.8798)* CHOOSE(CONTROL!$C$21, $C$9, 100%, $E$9)</f>
        <v>16.879799999999999</v>
      </c>
      <c r="J398" s="10">
        <f>CHOOSE(CONTROL!$C$42, 16.86, 16.86)* CHOOSE(CONTROL!$C$21, $C$9, 100%, $E$9)</f>
        <v>16.86</v>
      </c>
      <c r="K398" s="53">
        <f>CHOOSE(CONTROL!$C$42, 16.8759, 16.8759) * CHOOSE(CONTROL!$C$21, $C$9, 100%, $E$9)</f>
        <v>16.875900000000001</v>
      </c>
      <c r="L398" s="10">
        <f>CHOOSE(CONTROL!$C$42, 17.541, 17.541) * CHOOSE(CONTROL!$C$21, $C$9, 100%, $E$9)</f>
        <v>17.541</v>
      </c>
      <c r="M398" s="10">
        <f>CHOOSE(CONTROL!$C$42, 16.7037, 16.7037) * CHOOSE(CONTROL!$C$21, $C$9, 100%, $E$9)</f>
        <v>16.703700000000001</v>
      </c>
      <c r="N398" s="10">
        <f>CHOOSE(CONTROL!$C$42, 16.7182, 16.7182) * CHOOSE(CONTROL!$C$21, $C$9, 100%, $E$9)</f>
        <v>16.7182</v>
      </c>
      <c r="O398" s="10">
        <f>CHOOSE(CONTROL!$C$42, 16.7968, 16.7968) * CHOOSE(CONTROL!$C$21, $C$9, 100%, $E$9)</f>
        <v>16.796800000000001</v>
      </c>
      <c r="P398" s="10">
        <f>CHOOSE(CONTROL!$C$42, 16.7233, 16.7233) * CHOOSE(CONTROL!$C$21, $C$9, 100%, $E$9)</f>
        <v>16.723299999999998</v>
      </c>
      <c r="Q398" s="10">
        <f>CHOOSE(CONTROL!$C$42, 17.3921, 17.3921) * CHOOSE(CONTROL!$C$21, $C$9, 100%, $E$9)</f>
        <v>17.392099999999999</v>
      </c>
      <c r="R398" s="10">
        <f>CHOOSE(CONTROL!$C$42, 18.0225, 18.0225) * CHOOSE(CONTROL!$C$21, $C$9, 100%, $E$9)</f>
        <v>18.022500000000001</v>
      </c>
      <c r="S398" s="10">
        <f>CHOOSE(CONTROL!$C$42, 16.3794, 16.3794) * CHOOSE(CONTROL!$C$21, $C$9, 100%, $E$9)</f>
        <v>16.3794</v>
      </c>
      <c r="T3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57">
        <f>(1000*CHOOSE(CONTROL!$C$42, 695, 695)*CHOOSE(CONTROL!$C$42, 0.5599, 0.5599)*CHOOSE(CONTROL!$C$42, 28, 28))/1000000</f>
        <v>10.895653999999999</v>
      </c>
      <c r="V398" s="57">
        <f>(1000*CHOOSE(CONTROL!$C$42, 500, 500)*CHOOSE(CONTROL!$C$42, 0.275, 0.275)*CHOOSE(CONTROL!$C$42, 28, 28))/1000000</f>
        <v>3.85</v>
      </c>
      <c r="W398" s="57">
        <f>(1000*CHOOSE(CONTROL!$C$42, 0.1146, 0.1146)*CHOOSE(CONTROL!$C$42, 121.5, 121.5)*CHOOSE(CONTROL!$C$42, 28, 28))/1000000</f>
        <v>0.38986920000000003</v>
      </c>
      <c r="X398" s="57">
        <f>(28*0.1790888*100000/1000000)+(28*0.2374*100000/1000000)</f>
        <v>1.16616864</v>
      </c>
      <c r="Y398" s="57"/>
      <c r="Z398" s="10"/>
      <c r="AA398" s="56"/>
      <c r="AB398" s="50">
        <f>(B398*122.58+C398*297.941+D398*89.177+E398*40.302+F398*40+G398*160+H398*0+I398*100+J398*300)/(122.58+297.941+89.177+40.302+0+40+160+100+300)</f>
        <v>16.878743068086955</v>
      </c>
      <c r="AC398" s="45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16.74955107913669</v>
      </c>
    </row>
    <row r="399" spans="1:29" ht="15.75" x14ac:dyDescent="0.25">
      <c r="A399" s="14">
        <v>53052</v>
      </c>
      <c r="B399" s="10">
        <f>CHOOSE(CONTROL!$C$42, 16.3902, 16.3902) * CHOOSE(CONTROL!$C$21, $C$9, 100%, $E$9)</f>
        <v>16.3902</v>
      </c>
      <c r="C399" s="10">
        <f>CHOOSE(CONTROL!$C$42, 16.3951, 16.3951) * CHOOSE(CONTROL!$C$21, $C$9, 100%, $E$9)</f>
        <v>16.395099999999999</v>
      </c>
      <c r="D399" s="10">
        <f>CHOOSE(CONTROL!$C$42, 16.4522, 16.4522) * CHOOSE(CONTROL!$C$21, $C$9, 100%, $E$9)</f>
        <v>16.452200000000001</v>
      </c>
      <c r="E399" s="10">
        <f>CHOOSE(CONTROL!$C$42, 16.486, 16.486) * CHOOSE(CONTROL!$C$21, $C$9, 100%, $E$9)</f>
        <v>16.486000000000001</v>
      </c>
      <c r="F399" s="10">
        <f>CHOOSE(CONTROL!$C$42, 16.388, 16.388)*CHOOSE(CONTROL!$C$21, $C$9, 100%, $E$9)</f>
        <v>16.388000000000002</v>
      </c>
      <c r="G399" s="10">
        <f>CHOOSE(CONTROL!$C$42, 16.4026, 16.4026)*CHOOSE(CONTROL!$C$21, $C$9, 100%, $E$9)</f>
        <v>16.4026</v>
      </c>
      <c r="H399" s="10">
        <f>CHOOSE(CONTROL!$C$42, 16.4752, 16.4752) * CHOOSE(CONTROL!$C$21, $C$9, 100%, $E$9)</f>
        <v>16.475200000000001</v>
      </c>
      <c r="I399" s="10">
        <f>CHOOSE(CONTROL!$C$42, 16.401, 16.401)* CHOOSE(CONTROL!$C$21, $C$9, 100%, $E$9)</f>
        <v>16.401</v>
      </c>
      <c r="J399" s="10">
        <f>CHOOSE(CONTROL!$C$42, 16.381, 16.381)* CHOOSE(CONTROL!$C$21, $C$9, 100%, $E$9)</f>
        <v>16.381</v>
      </c>
      <c r="K399" s="53">
        <f>CHOOSE(CONTROL!$C$42, 16.3971, 16.3971) * CHOOSE(CONTROL!$C$21, $C$9, 100%, $E$9)</f>
        <v>16.397099999999998</v>
      </c>
      <c r="L399" s="10">
        <f>CHOOSE(CONTROL!$C$42, 17.0622, 17.0622) * CHOOSE(CONTROL!$C$21, $C$9, 100%, $E$9)</f>
        <v>17.062200000000001</v>
      </c>
      <c r="M399" s="10">
        <f>CHOOSE(CONTROL!$C$42, 16.2295, 16.2295) * CHOOSE(CONTROL!$C$21, $C$9, 100%, $E$9)</f>
        <v>16.229500000000002</v>
      </c>
      <c r="N399" s="10">
        <f>CHOOSE(CONTROL!$C$42, 16.244, 16.244) * CHOOSE(CONTROL!$C$21, $C$9, 100%, $E$9)</f>
        <v>16.244</v>
      </c>
      <c r="O399" s="10">
        <f>CHOOSE(CONTROL!$C$42, 16.3228, 16.3228) * CHOOSE(CONTROL!$C$21, $C$9, 100%, $E$9)</f>
        <v>16.322800000000001</v>
      </c>
      <c r="P399" s="10">
        <f>CHOOSE(CONTROL!$C$42, 16.2493, 16.2493) * CHOOSE(CONTROL!$C$21, $C$9, 100%, $E$9)</f>
        <v>16.249300000000002</v>
      </c>
      <c r="Q399" s="10">
        <f>CHOOSE(CONTROL!$C$42, 16.9181, 16.9181) * CHOOSE(CONTROL!$C$21, $C$9, 100%, $E$9)</f>
        <v>16.918099999999999</v>
      </c>
      <c r="R399" s="10">
        <f>CHOOSE(CONTROL!$C$42, 17.5473, 17.5473) * CHOOSE(CONTROL!$C$21, $C$9, 100%, $E$9)</f>
        <v>17.5473</v>
      </c>
      <c r="S399" s="10">
        <f>CHOOSE(CONTROL!$C$42, 15.9144, 15.9144) * CHOOSE(CONTROL!$C$21, $C$9, 100%, $E$9)</f>
        <v>15.914400000000001</v>
      </c>
      <c r="T3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57">
        <f>(1000*CHOOSE(CONTROL!$C$42, 695, 695)*CHOOSE(CONTROL!$C$42, 0.5599, 0.5599)*CHOOSE(CONTROL!$C$42, 31, 31))/1000000</f>
        <v>12.063045499999998</v>
      </c>
      <c r="V399" s="57">
        <f>(1000*CHOOSE(CONTROL!$C$42, 500, 500)*CHOOSE(CONTROL!$C$42, 0.275, 0.275)*CHOOSE(CONTROL!$C$42, 31, 31))/1000000</f>
        <v>4.2625000000000002</v>
      </c>
      <c r="W399" s="57">
        <f>(1000*CHOOSE(CONTROL!$C$42, 0.1146, 0.1146)*CHOOSE(CONTROL!$C$42, 121.5, 121.5)*CHOOSE(CONTROL!$C$42, 31, 31))/1000000</f>
        <v>0.43164089999999994</v>
      </c>
      <c r="X399" s="57">
        <f>(31*0.1790888*100000/1000000)+(31*0.2374*100000/1000000)</f>
        <v>1.2911152800000001</v>
      </c>
      <c r="Y399" s="57"/>
      <c r="Z399" s="10"/>
      <c r="AA399" s="56"/>
      <c r="AB399" s="50">
        <f>(B399*122.58+C399*297.941+D399*89.177+E399*40.302+F399*40+G399*160+H399*0+I399*100+J399*300)/(122.58+297.941+89.177+40.302+0+40+160+100+300)</f>
        <v>16.399822449130436</v>
      </c>
      <c r="AC399" s="45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16.275470503597123</v>
      </c>
    </row>
    <row r="400" spans="1:29" ht="15.75" x14ac:dyDescent="0.25">
      <c r="A400" s="14">
        <v>53082</v>
      </c>
      <c r="B400" s="10">
        <f>CHOOSE(CONTROL!$C$42, 16.3423, 16.3423) * CHOOSE(CONTROL!$C$21, $C$9, 100%, $E$9)</f>
        <v>16.342300000000002</v>
      </c>
      <c r="C400" s="10">
        <f>CHOOSE(CONTROL!$C$42, 16.3467, 16.3467) * CHOOSE(CONTROL!$C$21, $C$9, 100%, $E$9)</f>
        <v>16.346699999999998</v>
      </c>
      <c r="D400" s="10">
        <f>CHOOSE(CONTROL!$C$42, 16.5526, 16.5526) * CHOOSE(CONTROL!$C$21, $C$9, 100%, $E$9)</f>
        <v>16.552600000000002</v>
      </c>
      <c r="E400" s="10">
        <f>CHOOSE(CONTROL!$C$42, 16.5843, 16.5843) * CHOOSE(CONTROL!$C$21, $C$9, 100%, $E$9)</f>
        <v>16.584299999999999</v>
      </c>
      <c r="F400" s="10">
        <f>CHOOSE(CONTROL!$C$42, 16.3191, 16.3191)*CHOOSE(CONTROL!$C$21, $C$9, 100%, $E$9)</f>
        <v>16.319099999999999</v>
      </c>
      <c r="G400" s="10">
        <f>CHOOSE(CONTROL!$C$42, 16.3336, 16.3336)*CHOOSE(CONTROL!$C$21, $C$9, 100%, $E$9)</f>
        <v>16.333600000000001</v>
      </c>
      <c r="H400" s="10">
        <f>CHOOSE(CONTROL!$C$42, 16.5741, 16.5741) * CHOOSE(CONTROL!$C$21, $C$9, 100%, $E$9)</f>
        <v>16.574100000000001</v>
      </c>
      <c r="I400" s="10">
        <f>CHOOSE(CONTROL!$C$42, 16.3437, 16.3437)* CHOOSE(CONTROL!$C$21, $C$9, 100%, $E$9)</f>
        <v>16.343699999999998</v>
      </c>
      <c r="J400" s="10">
        <f>CHOOSE(CONTROL!$C$42, 16.3121, 16.3121)* CHOOSE(CONTROL!$C$21, $C$9, 100%, $E$9)</f>
        <v>16.312100000000001</v>
      </c>
      <c r="K400" s="53">
        <f>CHOOSE(CONTROL!$C$42, 16.3398, 16.3398) * CHOOSE(CONTROL!$C$21, $C$9, 100%, $E$9)</f>
        <v>16.3398</v>
      </c>
      <c r="L400" s="10">
        <f>CHOOSE(CONTROL!$C$42, 17.1611, 17.1611) * CHOOSE(CONTROL!$C$21, $C$9, 100%, $E$9)</f>
        <v>17.161100000000001</v>
      </c>
      <c r="M400" s="10">
        <f>CHOOSE(CONTROL!$C$42, 16.1613, 16.1613) * CHOOSE(CONTROL!$C$21, $C$9, 100%, $E$9)</f>
        <v>16.161300000000001</v>
      </c>
      <c r="N400" s="10">
        <f>CHOOSE(CONTROL!$C$42, 16.1757, 16.1757) * CHOOSE(CONTROL!$C$21, $C$9, 100%, $E$9)</f>
        <v>16.175699999999999</v>
      </c>
      <c r="O400" s="10">
        <f>CHOOSE(CONTROL!$C$42, 16.4207, 16.4207) * CHOOSE(CONTROL!$C$21, $C$9, 100%, $E$9)</f>
        <v>16.4207</v>
      </c>
      <c r="P400" s="10">
        <f>CHOOSE(CONTROL!$C$42, 16.1927, 16.1927) * CHOOSE(CONTROL!$C$21, $C$9, 100%, $E$9)</f>
        <v>16.192699999999999</v>
      </c>
      <c r="Q400" s="10">
        <f>CHOOSE(CONTROL!$C$42, 17.016, 17.016) * CHOOSE(CONTROL!$C$21, $C$9, 100%, $E$9)</f>
        <v>17.015999999999998</v>
      </c>
      <c r="R400" s="10">
        <f>CHOOSE(CONTROL!$C$42, 17.6455, 17.6455) * CHOOSE(CONTROL!$C$21, $C$9, 100%, $E$9)</f>
        <v>17.645499999999998</v>
      </c>
      <c r="S400" s="10">
        <f>CHOOSE(CONTROL!$C$42, 15.8671, 15.8671) * CHOOSE(CONTROL!$C$21, $C$9, 100%, $E$9)</f>
        <v>15.867100000000001</v>
      </c>
      <c r="T4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57">
        <f>(1000*CHOOSE(CONTROL!$C$42, 695, 695)*CHOOSE(CONTROL!$C$42, 0.5599, 0.5599)*CHOOSE(CONTROL!$C$42, 30, 30))/1000000</f>
        <v>11.673914999999997</v>
      </c>
      <c r="V400" s="57">
        <f>(1000*CHOOSE(CONTROL!$C$42, 500, 500)*CHOOSE(CONTROL!$C$42, 0.275, 0.275)*CHOOSE(CONTROL!$C$42, 30, 30))/1000000</f>
        <v>4.125</v>
      </c>
      <c r="W400" s="57">
        <f>(1000*CHOOSE(CONTROL!$C$42, 0.1146, 0.1146)*CHOOSE(CONTROL!$C$42, 121.5, 121.5)*CHOOSE(CONTROL!$C$42, 30, 30))/1000000</f>
        <v>0.417717</v>
      </c>
      <c r="X400" s="57">
        <f>(30*0.1790888*245000/1000000)+(30*0.2374*100000/1000000)</f>
        <v>2.0285026799999999</v>
      </c>
      <c r="Y400" s="57"/>
      <c r="Z400" s="10"/>
      <c r="AA400" s="56"/>
      <c r="AB400" s="50">
        <f>(B400*141.293+C400*267.993+D400*115.016+E400*89.698+F400*40+G400*185+H400*0+I400*100+J400*300)/(141.293+267.993+115.016+89.698+0+40+185+100+300)</f>
        <v>16.371046125907991</v>
      </c>
      <c r="AC400" s="45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16.24191438848921</v>
      </c>
    </row>
    <row r="401" spans="1:29" ht="15.75" x14ac:dyDescent="0.25">
      <c r="A401" s="14">
        <v>53113</v>
      </c>
      <c r="B401" s="10">
        <f>CHOOSE(CONTROL!$C$42, 16.4879, 16.4879) * CHOOSE(CONTROL!$C$21, $C$9, 100%, $E$9)</f>
        <v>16.4879</v>
      </c>
      <c r="C401" s="10">
        <f>CHOOSE(CONTROL!$C$42, 16.4958, 16.4958) * CHOOSE(CONTROL!$C$21, $C$9, 100%, $E$9)</f>
        <v>16.495799999999999</v>
      </c>
      <c r="D401" s="10">
        <f>CHOOSE(CONTROL!$C$42, 16.6985, 16.6985) * CHOOSE(CONTROL!$C$21, $C$9, 100%, $E$9)</f>
        <v>16.698499999999999</v>
      </c>
      <c r="E401" s="10">
        <f>CHOOSE(CONTROL!$C$42, 16.7297, 16.7297) * CHOOSE(CONTROL!$C$21, $C$9, 100%, $E$9)</f>
        <v>16.729700000000001</v>
      </c>
      <c r="F401" s="10">
        <f>CHOOSE(CONTROL!$C$42, 16.4636, 16.4636)*CHOOSE(CONTROL!$C$21, $C$9, 100%, $E$9)</f>
        <v>16.4636</v>
      </c>
      <c r="G401" s="10">
        <f>CHOOSE(CONTROL!$C$42, 16.4786, 16.4786)*CHOOSE(CONTROL!$C$21, $C$9, 100%, $E$9)</f>
        <v>16.4786</v>
      </c>
      <c r="H401" s="10">
        <f>CHOOSE(CONTROL!$C$42, 16.7183, 16.7183) * CHOOSE(CONTROL!$C$21, $C$9, 100%, $E$9)</f>
        <v>16.718299999999999</v>
      </c>
      <c r="I401" s="10">
        <f>CHOOSE(CONTROL!$C$42, 16.4879, 16.4879)* CHOOSE(CONTROL!$C$21, $C$9, 100%, $E$9)</f>
        <v>16.4879</v>
      </c>
      <c r="J401" s="10">
        <f>CHOOSE(CONTROL!$C$42, 16.4566, 16.4566)* CHOOSE(CONTROL!$C$21, $C$9, 100%, $E$9)</f>
        <v>16.456600000000002</v>
      </c>
      <c r="K401" s="53">
        <f>CHOOSE(CONTROL!$C$42, 16.484, 16.484) * CHOOSE(CONTROL!$C$21, $C$9, 100%, $E$9)</f>
        <v>16.484000000000002</v>
      </c>
      <c r="L401" s="10">
        <f>CHOOSE(CONTROL!$C$42, 17.3053, 17.3053) * CHOOSE(CONTROL!$C$21, $C$9, 100%, $E$9)</f>
        <v>17.305299999999999</v>
      </c>
      <c r="M401" s="10">
        <f>CHOOSE(CONTROL!$C$42, 16.3044, 16.3044) * CHOOSE(CONTROL!$C$21, $C$9, 100%, $E$9)</f>
        <v>16.304400000000001</v>
      </c>
      <c r="N401" s="10">
        <f>CHOOSE(CONTROL!$C$42, 16.3192, 16.3192) * CHOOSE(CONTROL!$C$21, $C$9, 100%, $E$9)</f>
        <v>16.319199999999999</v>
      </c>
      <c r="O401" s="10">
        <f>CHOOSE(CONTROL!$C$42, 16.5634, 16.5634) * CHOOSE(CONTROL!$C$21, $C$9, 100%, $E$9)</f>
        <v>16.563400000000001</v>
      </c>
      <c r="P401" s="10">
        <f>CHOOSE(CONTROL!$C$42, 16.3354, 16.3354) * CHOOSE(CONTROL!$C$21, $C$9, 100%, $E$9)</f>
        <v>16.3354</v>
      </c>
      <c r="Q401" s="10">
        <f>CHOOSE(CONTROL!$C$42, 17.1587, 17.1587) * CHOOSE(CONTROL!$C$21, $C$9, 100%, $E$9)</f>
        <v>17.1587</v>
      </c>
      <c r="R401" s="10">
        <f>CHOOSE(CONTROL!$C$42, 17.7886, 17.7886) * CHOOSE(CONTROL!$C$21, $C$9, 100%, $E$9)</f>
        <v>17.788599999999999</v>
      </c>
      <c r="S401" s="10">
        <f>CHOOSE(CONTROL!$C$42, 16.0071, 16.0071) * CHOOSE(CONTROL!$C$21, $C$9, 100%, $E$9)</f>
        <v>16.007100000000001</v>
      </c>
      <c r="T4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57">
        <f>(1000*CHOOSE(CONTROL!$C$42, 695, 695)*CHOOSE(CONTROL!$C$42, 0.5599, 0.5599)*CHOOSE(CONTROL!$C$42, 31, 31))/1000000</f>
        <v>12.063045499999998</v>
      </c>
      <c r="V401" s="57">
        <f>(1000*CHOOSE(CONTROL!$C$42, 500, 500)*CHOOSE(CONTROL!$C$42, 0.275, 0.275)*CHOOSE(CONTROL!$C$42, 31, 31))/1000000</f>
        <v>4.2625000000000002</v>
      </c>
      <c r="W401" s="57">
        <f>(1000*CHOOSE(CONTROL!$C$42, 0.1146, 0.1146)*CHOOSE(CONTROL!$C$42, 121.5, 121.5)*CHOOSE(CONTROL!$C$42, 31, 31))/1000000</f>
        <v>0.43164089999999994</v>
      </c>
      <c r="X401" s="57">
        <f>(31*0.1790888*245000/1000000)+(31*0.2374*100000/1000000)</f>
        <v>2.0961194359999999</v>
      </c>
      <c r="Y401" s="57"/>
      <c r="Z401" s="10"/>
      <c r="AA401" s="56"/>
      <c r="AB401" s="50">
        <f>(B401*194.205+C401*267.466+D401*133.845+E401*53.484+F401*40+G401*185+H401*0+I401*100+J401*300)/(194.205+267.466+133.845+53.484+0+40+185+100+300)</f>
        <v>16.512351075039248</v>
      </c>
      <c r="AC401" s="45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16.384936690647486</v>
      </c>
    </row>
    <row r="402" spans="1:29" ht="15.75" x14ac:dyDescent="0.25">
      <c r="A402" s="14">
        <v>53143</v>
      </c>
      <c r="B402" s="10">
        <f>CHOOSE(CONTROL!$C$42, 16.9554, 16.9554) * CHOOSE(CONTROL!$C$21, $C$9, 100%, $E$9)</f>
        <v>16.955400000000001</v>
      </c>
      <c r="C402" s="10">
        <f>CHOOSE(CONTROL!$C$42, 16.9634, 16.9634) * CHOOSE(CONTROL!$C$21, $C$9, 100%, $E$9)</f>
        <v>16.9634</v>
      </c>
      <c r="D402" s="10">
        <f>CHOOSE(CONTROL!$C$42, 17.1661, 17.1661) * CHOOSE(CONTROL!$C$21, $C$9, 100%, $E$9)</f>
        <v>17.1661</v>
      </c>
      <c r="E402" s="10">
        <f>CHOOSE(CONTROL!$C$42, 17.1972, 17.1972) * CHOOSE(CONTROL!$C$21, $C$9, 100%, $E$9)</f>
        <v>17.197199999999999</v>
      </c>
      <c r="F402" s="10">
        <f>CHOOSE(CONTROL!$C$42, 16.9317, 16.9317)*CHOOSE(CONTROL!$C$21, $C$9, 100%, $E$9)</f>
        <v>16.931699999999999</v>
      </c>
      <c r="G402" s="10">
        <f>CHOOSE(CONTROL!$C$42, 16.9468, 16.9468)*CHOOSE(CONTROL!$C$21, $C$9, 100%, $E$9)</f>
        <v>16.9468</v>
      </c>
      <c r="H402" s="10">
        <f>CHOOSE(CONTROL!$C$42, 17.1859, 17.1859) * CHOOSE(CONTROL!$C$21, $C$9, 100%, $E$9)</f>
        <v>17.1859</v>
      </c>
      <c r="I402" s="10">
        <f>CHOOSE(CONTROL!$C$42, 16.9555, 16.9555)* CHOOSE(CONTROL!$C$21, $C$9, 100%, $E$9)</f>
        <v>16.955500000000001</v>
      </c>
      <c r="J402" s="10">
        <f>CHOOSE(CONTROL!$C$42, 16.9247, 16.9247)* CHOOSE(CONTROL!$C$21, $C$9, 100%, $E$9)</f>
        <v>16.924700000000001</v>
      </c>
      <c r="K402" s="53">
        <f>CHOOSE(CONTROL!$C$42, 16.9516, 16.9516) * CHOOSE(CONTROL!$C$21, $C$9, 100%, $E$9)</f>
        <v>16.951599999999999</v>
      </c>
      <c r="L402" s="10">
        <f>CHOOSE(CONTROL!$C$42, 17.7729, 17.7729) * CHOOSE(CONTROL!$C$21, $C$9, 100%, $E$9)</f>
        <v>17.7729</v>
      </c>
      <c r="M402" s="10">
        <f>CHOOSE(CONTROL!$C$42, 16.7677, 16.7677) * CHOOSE(CONTROL!$C$21, $C$9, 100%, $E$9)</f>
        <v>16.767700000000001</v>
      </c>
      <c r="N402" s="10">
        <f>CHOOSE(CONTROL!$C$42, 16.7827, 16.7827) * CHOOSE(CONTROL!$C$21, $C$9, 100%, $E$9)</f>
        <v>16.782699999999998</v>
      </c>
      <c r="O402" s="10">
        <f>CHOOSE(CONTROL!$C$42, 17.0263, 17.0263) * CHOOSE(CONTROL!$C$21, $C$9, 100%, $E$9)</f>
        <v>17.026299999999999</v>
      </c>
      <c r="P402" s="10">
        <f>CHOOSE(CONTROL!$C$42, 16.7982, 16.7982) * CHOOSE(CONTROL!$C$21, $C$9, 100%, $E$9)</f>
        <v>16.798200000000001</v>
      </c>
      <c r="Q402" s="10">
        <f>CHOOSE(CONTROL!$C$42, 17.6216, 17.6216) * CHOOSE(CONTROL!$C$21, $C$9, 100%, $E$9)</f>
        <v>17.621600000000001</v>
      </c>
      <c r="R402" s="10">
        <f>CHOOSE(CONTROL!$C$42, 18.2526, 18.2526) * CHOOSE(CONTROL!$C$21, $C$9, 100%, $E$9)</f>
        <v>18.252600000000001</v>
      </c>
      <c r="S402" s="10">
        <f>CHOOSE(CONTROL!$C$42, 16.4612, 16.4612) * CHOOSE(CONTROL!$C$21, $C$9, 100%, $E$9)</f>
        <v>16.461200000000002</v>
      </c>
      <c r="T4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57">
        <f>(1000*CHOOSE(CONTROL!$C$42, 695, 695)*CHOOSE(CONTROL!$C$42, 0.5599, 0.5599)*CHOOSE(CONTROL!$C$42, 30, 30))/1000000</f>
        <v>11.673914999999997</v>
      </c>
      <c r="V402" s="57">
        <f>(1000*CHOOSE(CONTROL!$C$42, 500, 500)*CHOOSE(CONTROL!$C$42, 0.275, 0.275)*CHOOSE(CONTROL!$C$42, 30, 30))/1000000</f>
        <v>4.125</v>
      </c>
      <c r="W402" s="57">
        <f>(1000*CHOOSE(CONTROL!$C$42, 0.1146, 0.1146)*CHOOSE(CONTROL!$C$42, 121.5, 121.5)*CHOOSE(CONTROL!$C$42, 30, 30))/1000000</f>
        <v>0.417717</v>
      </c>
      <c r="X402" s="57">
        <f>(30*0.1790888*245000/1000000)+(30*0.2374*100000/1000000)</f>
        <v>2.0285026799999999</v>
      </c>
      <c r="Y402" s="57"/>
      <c r="Z402" s="10"/>
      <c r="AA402" s="56"/>
      <c r="AB402" s="50">
        <f>(B402*194.205+C402*267.466+D402*133.845+E402*53.484+F402*40+G402*185+H402*0+I402*100+J402*300)/(194.205+267.466+133.845+53.484+0+40+185+100+300)</f>
        <v>16.98015219835165</v>
      </c>
      <c r="AC402" s="45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16.84809856115108</v>
      </c>
    </row>
    <row r="403" spans="1:29" ht="15.75" x14ac:dyDescent="0.25">
      <c r="A403" s="14">
        <v>53174</v>
      </c>
      <c r="B403" s="10">
        <f>CHOOSE(CONTROL!$C$42, 16.6303, 16.6303) * CHOOSE(CONTROL!$C$21, $C$9, 100%, $E$9)</f>
        <v>16.630299999999998</v>
      </c>
      <c r="C403" s="10">
        <f>CHOOSE(CONTROL!$C$42, 16.6382, 16.6382) * CHOOSE(CONTROL!$C$21, $C$9, 100%, $E$9)</f>
        <v>16.638200000000001</v>
      </c>
      <c r="D403" s="10">
        <f>CHOOSE(CONTROL!$C$42, 16.8409, 16.8409) * CHOOSE(CONTROL!$C$21, $C$9, 100%, $E$9)</f>
        <v>16.840900000000001</v>
      </c>
      <c r="E403" s="10">
        <f>CHOOSE(CONTROL!$C$42, 16.872, 16.872) * CHOOSE(CONTROL!$C$21, $C$9, 100%, $E$9)</f>
        <v>16.872</v>
      </c>
      <c r="F403" s="10">
        <f>CHOOSE(CONTROL!$C$42, 16.607, 16.607)*CHOOSE(CONTROL!$C$21, $C$9, 100%, $E$9)</f>
        <v>16.606999999999999</v>
      </c>
      <c r="G403" s="10">
        <f>CHOOSE(CONTROL!$C$42, 16.6223, 16.6223)*CHOOSE(CONTROL!$C$21, $C$9, 100%, $E$9)</f>
        <v>16.622299999999999</v>
      </c>
      <c r="H403" s="10">
        <f>CHOOSE(CONTROL!$C$42, 16.8607, 16.8607) * CHOOSE(CONTROL!$C$21, $C$9, 100%, $E$9)</f>
        <v>16.860700000000001</v>
      </c>
      <c r="I403" s="10">
        <f>CHOOSE(CONTROL!$C$42, 16.6303, 16.6303)* CHOOSE(CONTROL!$C$21, $C$9, 100%, $E$9)</f>
        <v>16.630299999999998</v>
      </c>
      <c r="J403" s="10">
        <f>CHOOSE(CONTROL!$C$42, 16.6, 16.6)* CHOOSE(CONTROL!$C$21, $C$9, 100%, $E$9)</f>
        <v>16.600000000000001</v>
      </c>
      <c r="K403" s="53">
        <f>CHOOSE(CONTROL!$C$42, 16.6264, 16.6264) * CHOOSE(CONTROL!$C$21, $C$9, 100%, $E$9)</f>
        <v>16.6264</v>
      </c>
      <c r="L403" s="10">
        <f>CHOOSE(CONTROL!$C$42, 17.4477, 17.4477) * CHOOSE(CONTROL!$C$21, $C$9, 100%, $E$9)</f>
        <v>17.447700000000001</v>
      </c>
      <c r="M403" s="10">
        <f>CHOOSE(CONTROL!$C$42, 16.4463, 16.4463) * CHOOSE(CONTROL!$C$21, $C$9, 100%, $E$9)</f>
        <v>16.446300000000001</v>
      </c>
      <c r="N403" s="10">
        <f>CHOOSE(CONTROL!$C$42, 16.4614, 16.4614) * CHOOSE(CONTROL!$C$21, $C$9, 100%, $E$9)</f>
        <v>16.461400000000001</v>
      </c>
      <c r="O403" s="10">
        <f>CHOOSE(CONTROL!$C$42, 16.7044, 16.7044) * CHOOSE(CONTROL!$C$21, $C$9, 100%, $E$9)</f>
        <v>16.7044</v>
      </c>
      <c r="P403" s="10">
        <f>CHOOSE(CONTROL!$C$42, 16.4763, 16.4763) * CHOOSE(CONTROL!$C$21, $C$9, 100%, $E$9)</f>
        <v>16.476299999999998</v>
      </c>
      <c r="Q403" s="10">
        <f>CHOOSE(CONTROL!$C$42, 17.2997, 17.2997) * CHOOSE(CONTROL!$C$21, $C$9, 100%, $E$9)</f>
        <v>17.299700000000001</v>
      </c>
      <c r="R403" s="10">
        <f>CHOOSE(CONTROL!$C$42, 17.9299, 17.9299) * CHOOSE(CONTROL!$C$21, $C$9, 100%, $E$9)</f>
        <v>17.9299</v>
      </c>
      <c r="S403" s="10">
        <f>CHOOSE(CONTROL!$C$42, 16.1454, 16.1454) * CHOOSE(CONTROL!$C$21, $C$9, 100%, $E$9)</f>
        <v>16.145399999999999</v>
      </c>
      <c r="T4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57">
        <f>(1000*CHOOSE(CONTROL!$C$42, 695, 695)*CHOOSE(CONTROL!$C$42, 0.5599, 0.5599)*CHOOSE(CONTROL!$C$42, 31, 31))/1000000</f>
        <v>12.063045499999998</v>
      </c>
      <c r="V403" s="57">
        <f>(1000*CHOOSE(CONTROL!$C$42, 500, 500)*CHOOSE(CONTROL!$C$42, 0.275, 0.275)*CHOOSE(CONTROL!$C$42, 31, 31))/1000000</f>
        <v>4.2625000000000002</v>
      </c>
      <c r="W403" s="57">
        <f>(1000*CHOOSE(CONTROL!$C$42, 0.1146, 0.1146)*CHOOSE(CONTROL!$C$42, 121.5, 121.5)*CHOOSE(CONTROL!$C$42, 31, 31))/1000000</f>
        <v>0.43164089999999994</v>
      </c>
      <c r="X403" s="57">
        <f>(31*0.1790888*245000/1000000)+(31*0.2374*100000/1000000)</f>
        <v>2.0961194359999999</v>
      </c>
      <c r="Y403" s="57"/>
      <c r="Z403" s="10"/>
      <c r="AA403" s="56"/>
      <c r="AB403" s="50">
        <f>(B403*194.205+C403*267.466+D403*133.845+E403*53.484+F403*40+G403*185+H403*0+I403*100+J403*300)/(194.205+267.466+133.845+53.484+0+40+185+100+300)</f>
        <v>16.655202528414442</v>
      </c>
      <c r="AC403" s="45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16.526509352517984</v>
      </c>
    </row>
    <row r="404" spans="1:29" ht="15.75" x14ac:dyDescent="0.25">
      <c r="A404" s="14">
        <v>53205</v>
      </c>
      <c r="B404" s="10">
        <f>CHOOSE(CONTROL!$C$42, 15.8091, 15.8091) * CHOOSE(CONTROL!$C$21, $C$9, 100%, $E$9)</f>
        <v>15.809100000000001</v>
      </c>
      <c r="C404" s="10">
        <f>CHOOSE(CONTROL!$C$42, 15.817, 15.817) * CHOOSE(CONTROL!$C$21, $C$9, 100%, $E$9)</f>
        <v>15.817</v>
      </c>
      <c r="D404" s="10">
        <f>CHOOSE(CONTROL!$C$42, 16.0197, 16.0197) * CHOOSE(CONTROL!$C$21, $C$9, 100%, $E$9)</f>
        <v>16.0197</v>
      </c>
      <c r="E404" s="10">
        <f>CHOOSE(CONTROL!$C$42, 16.0509, 16.0509) * CHOOSE(CONTROL!$C$21, $C$9, 100%, $E$9)</f>
        <v>16.050899999999999</v>
      </c>
      <c r="F404" s="10">
        <f>CHOOSE(CONTROL!$C$42, 15.786, 15.786)*CHOOSE(CONTROL!$C$21, $C$9, 100%, $E$9)</f>
        <v>15.786</v>
      </c>
      <c r="G404" s="10">
        <f>CHOOSE(CONTROL!$C$42, 15.8013, 15.8013)*CHOOSE(CONTROL!$C$21, $C$9, 100%, $E$9)</f>
        <v>15.801299999999999</v>
      </c>
      <c r="H404" s="10">
        <f>CHOOSE(CONTROL!$C$42, 16.0395, 16.0395) * CHOOSE(CONTROL!$C$21, $C$9, 100%, $E$9)</f>
        <v>16.0395</v>
      </c>
      <c r="I404" s="10">
        <f>CHOOSE(CONTROL!$C$42, 15.8091, 15.8091)* CHOOSE(CONTROL!$C$21, $C$9, 100%, $E$9)</f>
        <v>15.809100000000001</v>
      </c>
      <c r="J404" s="10">
        <f>CHOOSE(CONTROL!$C$42, 15.779, 15.779)* CHOOSE(CONTROL!$C$21, $C$9, 100%, $E$9)</f>
        <v>15.779</v>
      </c>
      <c r="K404" s="53">
        <f>CHOOSE(CONTROL!$C$42, 15.8052, 15.8052) * CHOOSE(CONTROL!$C$21, $C$9, 100%, $E$9)</f>
        <v>15.805199999999999</v>
      </c>
      <c r="L404" s="10">
        <f>CHOOSE(CONTROL!$C$42, 16.6265, 16.6265) * CHOOSE(CONTROL!$C$21, $C$9, 100%, $E$9)</f>
        <v>16.6265</v>
      </c>
      <c r="M404" s="10">
        <f>CHOOSE(CONTROL!$C$42, 15.6336, 15.6336) * CHOOSE(CONTROL!$C$21, $C$9, 100%, $E$9)</f>
        <v>15.633599999999999</v>
      </c>
      <c r="N404" s="10">
        <f>CHOOSE(CONTROL!$C$42, 15.6488, 15.6488) * CHOOSE(CONTROL!$C$21, $C$9, 100%, $E$9)</f>
        <v>15.6488</v>
      </c>
      <c r="O404" s="10">
        <f>CHOOSE(CONTROL!$C$42, 15.8915, 15.8915) * CHOOSE(CONTROL!$C$21, $C$9, 100%, $E$9)</f>
        <v>15.891500000000001</v>
      </c>
      <c r="P404" s="10">
        <f>CHOOSE(CONTROL!$C$42, 15.6634, 15.6634) * CHOOSE(CONTROL!$C$21, $C$9, 100%, $E$9)</f>
        <v>15.663399999999999</v>
      </c>
      <c r="Q404" s="10">
        <f>CHOOSE(CONTROL!$C$42, 16.4868, 16.4868) * CHOOSE(CONTROL!$C$21, $C$9, 100%, $E$9)</f>
        <v>16.486799999999999</v>
      </c>
      <c r="R404" s="10">
        <f>CHOOSE(CONTROL!$C$42, 17.115, 17.115) * CHOOSE(CONTROL!$C$21, $C$9, 100%, $E$9)</f>
        <v>17.114999999999998</v>
      </c>
      <c r="S404" s="10">
        <f>CHOOSE(CONTROL!$C$42, 15.3479, 15.3479) * CHOOSE(CONTROL!$C$21, $C$9, 100%, $E$9)</f>
        <v>15.347899999999999</v>
      </c>
      <c r="T4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57">
        <f>(1000*CHOOSE(CONTROL!$C$42, 695, 695)*CHOOSE(CONTROL!$C$42, 0.5599, 0.5599)*CHOOSE(CONTROL!$C$42, 31, 31))/1000000</f>
        <v>12.063045499999998</v>
      </c>
      <c r="V404" s="57">
        <f>(1000*CHOOSE(CONTROL!$C$42, 500, 500)*CHOOSE(CONTROL!$C$42, 0.275, 0.275)*CHOOSE(CONTROL!$C$42, 31, 31))/1000000</f>
        <v>4.2625000000000002</v>
      </c>
      <c r="W404" s="57">
        <f>(1000*CHOOSE(CONTROL!$C$42, 0.1146, 0.1146)*CHOOSE(CONTROL!$C$42, 121.5, 121.5)*CHOOSE(CONTROL!$C$42, 31, 31))/1000000</f>
        <v>0.43164089999999994</v>
      </c>
      <c r="X404" s="57">
        <f>(31*0.1790888*245000/1000000)+(31*0.2374*100000/1000000)</f>
        <v>2.0961194359999999</v>
      </c>
      <c r="Y404" s="57"/>
      <c r="Z404" s="10"/>
      <c r="AA404" s="56"/>
      <c r="AB404" s="50">
        <f>(B404*194.205+C404*267.466+D404*133.845+E404*53.484+F404*40+G404*185+H404*0+I404*100+J404*300)/(194.205+267.466+133.845+53.484+0+40+185+100+300)</f>
        <v>15.834089144113031</v>
      </c>
      <c r="AC404" s="45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15.713747482014389</v>
      </c>
    </row>
    <row r="405" spans="1:29" ht="15.75" x14ac:dyDescent="0.25">
      <c r="A405" s="14">
        <v>53235</v>
      </c>
      <c r="B405" s="10">
        <f>CHOOSE(CONTROL!$C$42, 14.8054, 14.8054) * CHOOSE(CONTROL!$C$21, $C$9, 100%, $E$9)</f>
        <v>14.805400000000001</v>
      </c>
      <c r="C405" s="10">
        <f>CHOOSE(CONTROL!$C$42, 14.8133, 14.8133) * CHOOSE(CONTROL!$C$21, $C$9, 100%, $E$9)</f>
        <v>14.8133</v>
      </c>
      <c r="D405" s="10">
        <f>CHOOSE(CONTROL!$C$42, 15.016, 15.016) * CHOOSE(CONTROL!$C$21, $C$9, 100%, $E$9)</f>
        <v>15.016</v>
      </c>
      <c r="E405" s="10">
        <f>CHOOSE(CONTROL!$C$42, 15.0471, 15.0471) * CHOOSE(CONTROL!$C$21, $C$9, 100%, $E$9)</f>
        <v>15.0471</v>
      </c>
      <c r="F405" s="10">
        <f>CHOOSE(CONTROL!$C$42, 14.7822, 14.7822)*CHOOSE(CONTROL!$C$21, $C$9, 100%, $E$9)</f>
        <v>14.7822</v>
      </c>
      <c r="G405" s="10">
        <f>CHOOSE(CONTROL!$C$42, 14.7974, 14.7974)*CHOOSE(CONTROL!$C$21, $C$9, 100%, $E$9)</f>
        <v>14.7974</v>
      </c>
      <c r="H405" s="10">
        <f>CHOOSE(CONTROL!$C$42, 15.0358, 15.0358) * CHOOSE(CONTROL!$C$21, $C$9, 100%, $E$9)</f>
        <v>15.0358</v>
      </c>
      <c r="I405" s="10">
        <f>CHOOSE(CONTROL!$C$42, 14.8054, 14.8054)* CHOOSE(CONTROL!$C$21, $C$9, 100%, $E$9)</f>
        <v>14.805400000000001</v>
      </c>
      <c r="J405" s="10">
        <f>CHOOSE(CONTROL!$C$42, 14.7752, 14.7752)* CHOOSE(CONTROL!$C$21, $C$9, 100%, $E$9)</f>
        <v>14.7752</v>
      </c>
      <c r="K405" s="53">
        <f>CHOOSE(CONTROL!$C$42, 14.8015, 14.8015) * CHOOSE(CONTROL!$C$21, $C$9, 100%, $E$9)</f>
        <v>14.801500000000001</v>
      </c>
      <c r="L405" s="10">
        <f>CHOOSE(CONTROL!$C$42, 15.6228, 15.6228) * CHOOSE(CONTROL!$C$21, $C$9, 100%, $E$9)</f>
        <v>15.6228</v>
      </c>
      <c r="M405" s="10">
        <f>CHOOSE(CONTROL!$C$42, 14.6399, 14.6399) * CHOOSE(CONTROL!$C$21, $C$9, 100%, $E$9)</f>
        <v>14.639900000000001</v>
      </c>
      <c r="N405" s="10">
        <f>CHOOSE(CONTROL!$C$42, 14.655, 14.655) * CHOOSE(CONTROL!$C$21, $C$9, 100%, $E$9)</f>
        <v>14.654999999999999</v>
      </c>
      <c r="O405" s="10">
        <f>CHOOSE(CONTROL!$C$42, 14.8979, 14.8979) * CHOOSE(CONTROL!$C$21, $C$9, 100%, $E$9)</f>
        <v>14.8979</v>
      </c>
      <c r="P405" s="10">
        <f>CHOOSE(CONTROL!$C$42, 14.6698, 14.6698) * CHOOSE(CONTROL!$C$21, $C$9, 100%, $E$9)</f>
        <v>14.6698</v>
      </c>
      <c r="Q405" s="10">
        <f>CHOOSE(CONTROL!$C$42, 15.4932, 15.4932) * CHOOSE(CONTROL!$C$21, $C$9, 100%, $E$9)</f>
        <v>15.4932</v>
      </c>
      <c r="R405" s="10">
        <f>CHOOSE(CONTROL!$C$42, 16.1189, 16.1189) * CHOOSE(CONTROL!$C$21, $C$9, 100%, $E$9)</f>
        <v>16.1189</v>
      </c>
      <c r="S405" s="10">
        <f>CHOOSE(CONTROL!$C$42, 14.3732, 14.3732) * CHOOSE(CONTROL!$C$21, $C$9, 100%, $E$9)</f>
        <v>14.373200000000001</v>
      </c>
      <c r="T4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57">
        <f>(1000*CHOOSE(CONTROL!$C$42, 695, 695)*CHOOSE(CONTROL!$C$42, 0.5599, 0.5599)*CHOOSE(CONTROL!$C$42, 30, 30))/1000000</f>
        <v>11.673914999999997</v>
      </c>
      <c r="V405" s="57">
        <f>(1000*CHOOSE(CONTROL!$C$42, 500, 500)*CHOOSE(CONTROL!$C$42, 0.275, 0.275)*CHOOSE(CONTROL!$C$42, 30, 30))/1000000</f>
        <v>4.125</v>
      </c>
      <c r="W405" s="57">
        <f>(1000*CHOOSE(CONTROL!$C$42, 0.1146, 0.1146)*CHOOSE(CONTROL!$C$42, 121.5, 121.5)*CHOOSE(CONTROL!$C$42, 30, 30))/1000000</f>
        <v>0.417717</v>
      </c>
      <c r="X405" s="57">
        <f>(30*0.1790888*245000/1000000)+(30*0.2374*100000/1000000)</f>
        <v>2.0285026799999999</v>
      </c>
      <c r="Y405" s="57"/>
      <c r="Z405" s="10"/>
      <c r="AA405" s="56"/>
      <c r="AB405" s="50">
        <f>(B405*194.205+C405*267.466+D405*133.845+E405*53.484+F405*40+G405*185+H405*0+I405*100+J405*300)/(194.205+267.466+133.845+53.484+0+40+185+100+300)</f>
        <v>14.83032921601256</v>
      </c>
      <c r="AC405" s="45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14.72006690647482</v>
      </c>
    </row>
    <row r="406" spans="1:29" ht="15.75" x14ac:dyDescent="0.25">
      <c r="A406" s="14">
        <v>53266</v>
      </c>
      <c r="B406" s="10">
        <f>CHOOSE(CONTROL!$C$42, 14.5031, 14.5031) * CHOOSE(CONTROL!$C$21, $C$9, 100%, $E$9)</f>
        <v>14.5031</v>
      </c>
      <c r="C406" s="10">
        <f>CHOOSE(CONTROL!$C$42, 14.5083, 14.5083) * CHOOSE(CONTROL!$C$21, $C$9, 100%, $E$9)</f>
        <v>14.5083</v>
      </c>
      <c r="D406" s="10">
        <f>CHOOSE(CONTROL!$C$42, 14.716, 14.716) * CHOOSE(CONTROL!$C$21, $C$9, 100%, $E$9)</f>
        <v>14.715999999999999</v>
      </c>
      <c r="E406" s="10">
        <f>CHOOSE(CONTROL!$C$42, 14.7448, 14.7448) * CHOOSE(CONTROL!$C$21, $C$9, 100%, $E$9)</f>
        <v>14.7448</v>
      </c>
      <c r="F406" s="10">
        <f>CHOOSE(CONTROL!$C$42, 14.4818, 14.4818)*CHOOSE(CONTROL!$C$21, $C$9, 100%, $E$9)</f>
        <v>14.4818</v>
      </c>
      <c r="G406" s="10">
        <f>CHOOSE(CONTROL!$C$42, 14.4968, 14.4968)*CHOOSE(CONTROL!$C$21, $C$9, 100%, $E$9)</f>
        <v>14.4968</v>
      </c>
      <c r="H406" s="10">
        <f>CHOOSE(CONTROL!$C$42, 14.7353, 14.7353) * CHOOSE(CONTROL!$C$21, $C$9, 100%, $E$9)</f>
        <v>14.735300000000001</v>
      </c>
      <c r="I406" s="10">
        <f>CHOOSE(CONTROL!$C$42, 14.5049, 14.5049)* CHOOSE(CONTROL!$C$21, $C$9, 100%, $E$9)</f>
        <v>14.504899999999999</v>
      </c>
      <c r="J406" s="10">
        <f>CHOOSE(CONTROL!$C$42, 14.4748, 14.4748)* CHOOSE(CONTROL!$C$21, $C$9, 100%, $E$9)</f>
        <v>14.4748</v>
      </c>
      <c r="K406" s="53">
        <f>CHOOSE(CONTROL!$C$42, 14.501, 14.501) * CHOOSE(CONTROL!$C$21, $C$9, 100%, $E$9)</f>
        <v>14.500999999999999</v>
      </c>
      <c r="L406" s="10">
        <f>CHOOSE(CONTROL!$C$42, 15.3223, 15.3223) * CHOOSE(CONTROL!$C$21, $C$9, 100%, $E$9)</f>
        <v>15.3223</v>
      </c>
      <c r="M406" s="10">
        <f>CHOOSE(CONTROL!$C$42, 14.3426, 14.3426) * CHOOSE(CONTROL!$C$21, $C$9, 100%, $E$9)</f>
        <v>14.342599999999999</v>
      </c>
      <c r="N406" s="10">
        <f>CHOOSE(CONTROL!$C$42, 14.3574, 14.3574) * CHOOSE(CONTROL!$C$21, $C$9, 100%, $E$9)</f>
        <v>14.3574</v>
      </c>
      <c r="O406" s="10">
        <f>CHOOSE(CONTROL!$C$42, 14.6004, 14.6004) * CHOOSE(CONTROL!$C$21, $C$9, 100%, $E$9)</f>
        <v>14.6004</v>
      </c>
      <c r="P406" s="10">
        <f>CHOOSE(CONTROL!$C$42, 14.3724, 14.3724) * CHOOSE(CONTROL!$C$21, $C$9, 100%, $E$9)</f>
        <v>14.372400000000001</v>
      </c>
      <c r="Q406" s="10">
        <f>CHOOSE(CONTROL!$C$42, 15.1957, 15.1957) * CHOOSE(CONTROL!$C$21, $C$9, 100%, $E$9)</f>
        <v>15.1957</v>
      </c>
      <c r="R406" s="10">
        <f>CHOOSE(CONTROL!$C$42, 15.8207, 15.8207) * CHOOSE(CONTROL!$C$21, $C$9, 100%, $E$9)</f>
        <v>15.8207</v>
      </c>
      <c r="S406" s="10">
        <f>CHOOSE(CONTROL!$C$42, 14.0814, 14.0814) * CHOOSE(CONTROL!$C$21, $C$9, 100%, $E$9)</f>
        <v>14.0814</v>
      </c>
      <c r="T4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57">
        <f>(1000*CHOOSE(CONTROL!$C$42, 695, 695)*CHOOSE(CONTROL!$C$42, 0.5599, 0.5599)*CHOOSE(CONTROL!$C$42, 31, 31))/1000000</f>
        <v>12.063045499999998</v>
      </c>
      <c r="V406" s="57">
        <f>(1000*CHOOSE(CONTROL!$C$42, 500, 500)*CHOOSE(CONTROL!$C$42, 0.275, 0.275)*CHOOSE(CONTROL!$C$42, 31, 31))/1000000</f>
        <v>4.2625000000000002</v>
      </c>
      <c r="W406" s="57">
        <f>(1000*CHOOSE(CONTROL!$C$42, 0.1146, 0.1146)*CHOOSE(CONTROL!$C$42, 121.5, 121.5)*CHOOSE(CONTROL!$C$42, 31, 31))/1000000</f>
        <v>0.43164089999999994</v>
      </c>
      <c r="X406" s="57">
        <f>(31*0.1790888*245000/1000000)+(31*0.2374*100000/1000000)</f>
        <v>2.0961194359999999</v>
      </c>
      <c r="Y406" s="57"/>
      <c r="Z406" s="10"/>
      <c r="AA406" s="56"/>
      <c r="AB406" s="50">
        <f>(B406*131.881+C406*277.167+D406*79.08+E406*125.872+F406*40+G406*185+H406*0+I406*100+J406*300)/(131.881+277.167+79.08+125.872+0+40+185+100+300)</f>
        <v>14.534071075706215</v>
      </c>
      <c r="AC406" s="45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14.422627338129494</v>
      </c>
    </row>
    <row r="407" spans="1:29" ht="15.75" x14ac:dyDescent="0.25">
      <c r="A407" s="14">
        <v>53296</v>
      </c>
      <c r="B407" s="10">
        <f>CHOOSE(CONTROL!$C$42, 14.8847, 14.8847) * CHOOSE(CONTROL!$C$21, $C$9, 100%, $E$9)</f>
        <v>14.8847</v>
      </c>
      <c r="C407" s="10">
        <f>CHOOSE(CONTROL!$C$42, 14.8896, 14.8896) * CHOOSE(CONTROL!$C$21, $C$9, 100%, $E$9)</f>
        <v>14.8896</v>
      </c>
      <c r="D407" s="10">
        <f>CHOOSE(CONTROL!$C$42, 14.9501, 14.9501) * CHOOSE(CONTROL!$C$21, $C$9, 100%, $E$9)</f>
        <v>14.950100000000001</v>
      </c>
      <c r="E407" s="10">
        <f>CHOOSE(CONTROL!$C$42, 14.9839, 14.9839) * CHOOSE(CONTROL!$C$21, $C$9, 100%, $E$9)</f>
        <v>14.9839</v>
      </c>
      <c r="F407" s="10">
        <f>CHOOSE(CONTROL!$C$42, 14.8803, 14.8803)*CHOOSE(CONTROL!$C$21, $C$9, 100%, $E$9)</f>
        <v>14.8803</v>
      </c>
      <c r="G407" s="10">
        <f>CHOOSE(CONTROL!$C$42, 14.8955, 14.8955)*CHOOSE(CONTROL!$C$21, $C$9, 100%, $E$9)</f>
        <v>14.8955</v>
      </c>
      <c r="H407" s="10">
        <f>CHOOSE(CONTROL!$C$42, 14.9731, 14.9731) * CHOOSE(CONTROL!$C$21, $C$9, 100%, $E$9)</f>
        <v>14.973100000000001</v>
      </c>
      <c r="I407" s="10">
        <f>CHOOSE(CONTROL!$C$42, 14.8972, 14.8972)* CHOOSE(CONTROL!$C$21, $C$9, 100%, $E$9)</f>
        <v>14.8972</v>
      </c>
      <c r="J407" s="10">
        <f>CHOOSE(CONTROL!$C$42, 14.8733, 14.8733)* CHOOSE(CONTROL!$C$21, $C$9, 100%, $E$9)</f>
        <v>14.8733</v>
      </c>
      <c r="K407" s="53">
        <f>CHOOSE(CONTROL!$C$42, 14.8933, 14.8933) * CHOOSE(CONTROL!$C$21, $C$9, 100%, $E$9)</f>
        <v>14.8933</v>
      </c>
      <c r="L407" s="10">
        <f>CHOOSE(CONTROL!$C$42, 15.5601, 15.5601) * CHOOSE(CONTROL!$C$21, $C$9, 100%, $E$9)</f>
        <v>15.5601</v>
      </c>
      <c r="M407" s="10">
        <f>CHOOSE(CONTROL!$C$42, 14.737, 14.737) * CHOOSE(CONTROL!$C$21, $C$9, 100%, $E$9)</f>
        <v>14.737</v>
      </c>
      <c r="N407" s="10">
        <f>CHOOSE(CONTROL!$C$42, 14.7521, 14.7521) * CHOOSE(CONTROL!$C$21, $C$9, 100%, $E$9)</f>
        <v>14.7521</v>
      </c>
      <c r="O407" s="10">
        <f>CHOOSE(CONTROL!$C$42, 14.8358, 14.8358) * CHOOSE(CONTROL!$C$21, $C$9, 100%, $E$9)</f>
        <v>14.835800000000001</v>
      </c>
      <c r="P407" s="10">
        <f>CHOOSE(CONTROL!$C$42, 14.7607, 14.7607) * CHOOSE(CONTROL!$C$21, $C$9, 100%, $E$9)</f>
        <v>14.7607</v>
      </c>
      <c r="Q407" s="10">
        <f>CHOOSE(CONTROL!$C$42, 15.4311, 15.4311) * CHOOSE(CONTROL!$C$21, $C$9, 100%, $E$9)</f>
        <v>15.431100000000001</v>
      </c>
      <c r="R407" s="10">
        <f>CHOOSE(CONTROL!$C$42, 16.0567, 16.0567) * CHOOSE(CONTROL!$C$21, $C$9, 100%, $E$9)</f>
        <v>16.056699999999999</v>
      </c>
      <c r="S407" s="10">
        <f>CHOOSE(CONTROL!$C$42, 14.4524, 14.4524) * CHOOSE(CONTROL!$C$21, $C$9, 100%, $E$9)</f>
        <v>14.452400000000001</v>
      </c>
      <c r="T4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57">
        <f>(1000*CHOOSE(CONTROL!$C$42, 695, 695)*CHOOSE(CONTROL!$C$42, 0.5599, 0.5599)*CHOOSE(CONTROL!$C$42, 30, 30))/1000000</f>
        <v>11.673914999999997</v>
      </c>
      <c r="V407" s="57">
        <f>(1000*CHOOSE(CONTROL!$C$42, 500, 500)*CHOOSE(CONTROL!$C$42, 0.275, 0.275)*CHOOSE(CONTROL!$C$42, 30, 30))/1000000</f>
        <v>4.125</v>
      </c>
      <c r="W407" s="57">
        <f>(1000*CHOOSE(CONTROL!$C$42, 0.1146, 0.1146)*CHOOSE(CONTROL!$C$42, 121.5, 121.5)*CHOOSE(CONTROL!$C$42, 30, 30))/1000000</f>
        <v>0.417717</v>
      </c>
      <c r="X407" s="57">
        <f>(30*0.1790888*100000/1000000)+(30*0.2374*100000/1000000)</f>
        <v>1.2494664</v>
      </c>
      <c r="Y407" s="57"/>
      <c r="Z407" s="10"/>
      <c r="AA407" s="56"/>
      <c r="AB407" s="50">
        <f>(B407*122.58+C407*297.941+D407*89.177+E407*40.302+F407*40+G407*160+H407*0+I407*100+J407*300)/(122.58+297.941+89.177+40.302+0+40+160+100+300)</f>
        <v>14.893980039217391</v>
      </c>
      <c r="AC407" s="45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14.786058992805755</v>
      </c>
    </row>
    <row r="408" spans="1:29" ht="15.75" x14ac:dyDescent="0.25">
      <c r="A408" s="14">
        <v>53327</v>
      </c>
      <c r="B408" s="10">
        <f>CHOOSE(CONTROL!$C$42, 15.8993, 15.8993) * CHOOSE(CONTROL!$C$21, $C$9, 100%, $E$9)</f>
        <v>15.8993</v>
      </c>
      <c r="C408" s="10">
        <f>CHOOSE(CONTROL!$C$42, 15.9042, 15.9042) * CHOOSE(CONTROL!$C$21, $C$9, 100%, $E$9)</f>
        <v>15.904199999999999</v>
      </c>
      <c r="D408" s="10">
        <f>CHOOSE(CONTROL!$C$42, 15.9647, 15.9647) * CHOOSE(CONTROL!$C$21, $C$9, 100%, $E$9)</f>
        <v>15.964700000000001</v>
      </c>
      <c r="E408" s="10">
        <f>CHOOSE(CONTROL!$C$42, 15.9985, 15.9985) * CHOOSE(CONTROL!$C$21, $C$9, 100%, $E$9)</f>
        <v>15.9985</v>
      </c>
      <c r="F408" s="10">
        <f>CHOOSE(CONTROL!$C$42, 15.8968, 15.8968)*CHOOSE(CONTROL!$C$21, $C$9, 100%, $E$9)</f>
        <v>15.896800000000001</v>
      </c>
      <c r="G408" s="10">
        <f>CHOOSE(CONTROL!$C$42, 15.9125, 15.9125)*CHOOSE(CONTROL!$C$21, $C$9, 100%, $E$9)</f>
        <v>15.9125</v>
      </c>
      <c r="H408" s="10">
        <f>CHOOSE(CONTROL!$C$42, 15.9877, 15.9877) * CHOOSE(CONTROL!$C$21, $C$9, 100%, $E$9)</f>
        <v>15.9877</v>
      </c>
      <c r="I408" s="10">
        <f>CHOOSE(CONTROL!$C$42, 15.9118, 15.9118)* CHOOSE(CONTROL!$C$21, $C$9, 100%, $E$9)</f>
        <v>15.911799999999999</v>
      </c>
      <c r="J408" s="10">
        <f>CHOOSE(CONTROL!$C$42, 15.8898, 15.8898)* CHOOSE(CONTROL!$C$21, $C$9, 100%, $E$9)</f>
        <v>15.889799999999999</v>
      </c>
      <c r="K408" s="53">
        <f>CHOOSE(CONTROL!$C$42, 15.9079, 15.9079) * CHOOSE(CONTROL!$C$21, $C$9, 100%, $E$9)</f>
        <v>15.9079</v>
      </c>
      <c r="L408" s="10">
        <f>CHOOSE(CONTROL!$C$42, 16.5747, 16.5747) * CHOOSE(CONTROL!$C$21, $C$9, 100%, $E$9)</f>
        <v>16.5747</v>
      </c>
      <c r="M408" s="10">
        <f>CHOOSE(CONTROL!$C$42, 15.7432, 15.7432) * CHOOSE(CONTROL!$C$21, $C$9, 100%, $E$9)</f>
        <v>15.7432</v>
      </c>
      <c r="N408" s="10">
        <f>CHOOSE(CONTROL!$C$42, 15.7588, 15.7588) * CHOOSE(CONTROL!$C$21, $C$9, 100%, $E$9)</f>
        <v>15.758800000000001</v>
      </c>
      <c r="O408" s="10">
        <f>CHOOSE(CONTROL!$C$42, 15.8402, 15.8402) * CHOOSE(CONTROL!$C$21, $C$9, 100%, $E$9)</f>
        <v>15.840199999999999</v>
      </c>
      <c r="P408" s="10">
        <f>CHOOSE(CONTROL!$C$42, 15.7651, 15.7651) * CHOOSE(CONTROL!$C$21, $C$9, 100%, $E$9)</f>
        <v>15.7651</v>
      </c>
      <c r="Q408" s="10">
        <f>CHOOSE(CONTROL!$C$42, 16.4355, 16.4355) * CHOOSE(CONTROL!$C$21, $C$9, 100%, $E$9)</f>
        <v>16.435500000000001</v>
      </c>
      <c r="R408" s="10">
        <f>CHOOSE(CONTROL!$C$42, 17.0636, 17.0636) * CHOOSE(CONTROL!$C$21, $C$9, 100%, $E$9)</f>
        <v>17.063600000000001</v>
      </c>
      <c r="S408" s="10">
        <f>CHOOSE(CONTROL!$C$42, 15.4377, 15.4377) * CHOOSE(CONTROL!$C$21, $C$9, 100%, $E$9)</f>
        <v>15.4377</v>
      </c>
      <c r="T4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57">
        <f>(1000*CHOOSE(CONTROL!$C$42, 695, 695)*CHOOSE(CONTROL!$C$42, 0.5599, 0.5599)*CHOOSE(CONTROL!$C$42, 31, 31))/1000000</f>
        <v>12.063045499999998</v>
      </c>
      <c r="V408" s="57">
        <f>(1000*CHOOSE(CONTROL!$C$42, 500, 500)*CHOOSE(CONTROL!$C$42, 0.275, 0.275)*CHOOSE(CONTROL!$C$42, 31, 31))/1000000</f>
        <v>4.2625000000000002</v>
      </c>
      <c r="W408" s="57">
        <f>(1000*CHOOSE(CONTROL!$C$42, 0.1146, 0.1146)*CHOOSE(CONTROL!$C$42, 121.5, 121.5)*CHOOSE(CONTROL!$C$42, 31, 31))/1000000</f>
        <v>0.43164089999999994</v>
      </c>
      <c r="X408" s="57">
        <f>(31*0.1790888*100000/1000000)+(31*0.2374*100000/1000000)</f>
        <v>1.2911152800000001</v>
      </c>
      <c r="Y408" s="57"/>
      <c r="Z408" s="10"/>
      <c r="AA408" s="56"/>
      <c r="AB408" s="50">
        <f>(B408*122.58+C408*297.941+D408*89.177+E408*40.302+F408*40+G408*160+H408*0+I408*100+J408*300)/(122.58+297.941+89.177+40.302+0+40+160+100+300)</f>
        <v>15.909475691391304</v>
      </c>
      <c r="AC408" s="45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15.791212949640288</v>
      </c>
    </row>
    <row r="409" spans="1:29" ht="15.75" x14ac:dyDescent="0.25">
      <c r="A409" s="14">
        <v>53358</v>
      </c>
      <c r="B409" s="10">
        <f>CHOOSE(CONTROL!$C$42, 17.2018, 17.2018) * CHOOSE(CONTROL!$C$21, $C$9, 100%, $E$9)</f>
        <v>17.201799999999999</v>
      </c>
      <c r="C409" s="10">
        <f>CHOOSE(CONTROL!$C$42, 17.2067, 17.2067) * CHOOSE(CONTROL!$C$21, $C$9, 100%, $E$9)</f>
        <v>17.206700000000001</v>
      </c>
      <c r="D409" s="10">
        <f>CHOOSE(CONTROL!$C$42, 17.2638, 17.2638) * CHOOSE(CONTROL!$C$21, $C$9, 100%, $E$9)</f>
        <v>17.2638</v>
      </c>
      <c r="E409" s="10">
        <f>CHOOSE(CONTROL!$C$42, 17.2976, 17.2976) * CHOOSE(CONTROL!$C$21, $C$9, 100%, $E$9)</f>
        <v>17.297599999999999</v>
      </c>
      <c r="F409" s="10">
        <f>CHOOSE(CONTROL!$C$42, 17.1996, 17.1996)*CHOOSE(CONTROL!$C$21, $C$9, 100%, $E$9)</f>
        <v>17.1996</v>
      </c>
      <c r="G409" s="10">
        <f>CHOOSE(CONTROL!$C$42, 17.2142, 17.2142)*CHOOSE(CONTROL!$C$21, $C$9, 100%, $E$9)</f>
        <v>17.214200000000002</v>
      </c>
      <c r="H409" s="10">
        <f>CHOOSE(CONTROL!$C$42, 17.2868, 17.2868) * CHOOSE(CONTROL!$C$21, $C$9, 100%, $E$9)</f>
        <v>17.286799999999999</v>
      </c>
      <c r="I409" s="10">
        <f>CHOOSE(CONTROL!$C$42, 17.2126, 17.2126)* CHOOSE(CONTROL!$C$21, $C$9, 100%, $E$9)</f>
        <v>17.212599999999998</v>
      </c>
      <c r="J409" s="10">
        <f>CHOOSE(CONTROL!$C$42, 17.1926, 17.1926)* CHOOSE(CONTROL!$C$21, $C$9, 100%, $E$9)</f>
        <v>17.192599999999999</v>
      </c>
      <c r="K409" s="53">
        <f>CHOOSE(CONTROL!$C$42, 17.2087, 17.2087) * CHOOSE(CONTROL!$C$21, $C$9, 100%, $E$9)</f>
        <v>17.2087</v>
      </c>
      <c r="L409" s="10">
        <f>CHOOSE(CONTROL!$C$42, 17.8738, 17.8738) * CHOOSE(CONTROL!$C$21, $C$9, 100%, $E$9)</f>
        <v>17.873799999999999</v>
      </c>
      <c r="M409" s="10">
        <f>CHOOSE(CONTROL!$C$42, 17.0329, 17.0329) * CHOOSE(CONTROL!$C$21, $C$9, 100%, $E$9)</f>
        <v>17.032900000000001</v>
      </c>
      <c r="N409" s="10">
        <f>CHOOSE(CONTROL!$C$42, 17.0474, 17.0474) * CHOOSE(CONTROL!$C$21, $C$9, 100%, $E$9)</f>
        <v>17.0474</v>
      </c>
      <c r="O409" s="10">
        <f>CHOOSE(CONTROL!$C$42, 17.1262, 17.1262) * CHOOSE(CONTROL!$C$21, $C$9, 100%, $E$9)</f>
        <v>17.126200000000001</v>
      </c>
      <c r="P409" s="10">
        <f>CHOOSE(CONTROL!$C$42, 17.0527, 17.0527) * CHOOSE(CONTROL!$C$21, $C$9, 100%, $E$9)</f>
        <v>17.052700000000002</v>
      </c>
      <c r="Q409" s="10">
        <f>CHOOSE(CONTROL!$C$42, 17.7215, 17.7215) * CHOOSE(CONTROL!$C$21, $C$9, 100%, $E$9)</f>
        <v>17.721499999999999</v>
      </c>
      <c r="R409" s="10">
        <f>CHOOSE(CONTROL!$C$42, 18.3528, 18.3528) * CHOOSE(CONTROL!$C$21, $C$9, 100%, $E$9)</f>
        <v>18.352799999999998</v>
      </c>
      <c r="S409" s="10">
        <f>CHOOSE(CONTROL!$C$42, 16.7025, 16.7025) * CHOOSE(CONTROL!$C$21, $C$9, 100%, $E$9)</f>
        <v>16.702500000000001</v>
      </c>
      <c r="T4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57">
        <f>(1000*CHOOSE(CONTROL!$C$42, 695, 695)*CHOOSE(CONTROL!$C$42, 0.5599, 0.5599)*CHOOSE(CONTROL!$C$42, 31, 31))/1000000</f>
        <v>12.063045499999998</v>
      </c>
      <c r="V409" s="57">
        <f>(1000*CHOOSE(CONTROL!$C$42, 500, 500)*CHOOSE(CONTROL!$C$42, 0.275, 0.275)*CHOOSE(CONTROL!$C$42, 31, 31))/1000000</f>
        <v>4.2625000000000002</v>
      </c>
      <c r="W409" s="57">
        <f>(1000*CHOOSE(CONTROL!$C$42, 0.1146, 0.1146)*CHOOSE(CONTROL!$C$42, 121.5, 121.5)*CHOOSE(CONTROL!$C$42, 31, 31))/1000000</f>
        <v>0.43164089999999994</v>
      </c>
      <c r="X409" s="57">
        <f>(31*0.1790888*100000/1000000)+(31*0.2374*100000/1000000)</f>
        <v>1.2911152800000001</v>
      </c>
      <c r="Y409" s="57"/>
      <c r="Z409" s="10"/>
      <c r="AA409" s="56"/>
      <c r="AB409" s="50">
        <f>(B409*122.58+C409*297.941+D409*89.177+E409*40.302+F409*40+G409*160+H409*0+I409*100+J409*300)/(122.58+297.941+89.177+40.302+0+40+160+100+300)</f>
        <v>17.211422449130435</v>
      </c>
      <c r="AC409" s="45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17.078870503597127</v>
      </c>
    </row>
    <row r="410" spans="1:29" ht="15.75" x14ac:dyDescent="0.25">
      <c r="A410" s="14">
        <v>53386</v>
      </c>
      <c r="B410" s="10">
        <f>CHOOSE(CONTROL!$C$42, 17.508, 17.508) * CHOOSE(CONTROL!$C$21, $C$9, 100%, $E$9)</f>
        <v>17.507999999999999</v>
      </c>
      <c r="C410" s="10">
        <f>CHOOSE(CONTROL!$C$42, 17.5129, 17.5129) * CHOOSE(CONTROL!$C$21, $C$9, 100%, $E$9)</f>
        <v>17.512899999999998</v>
      </c>
      <c r="D410" s="10">
        <f>CHOOSE(CONTROL!$C$42, 17.57, 17.57) * CHOOSE(CONTROL!$C$21, $C$9, 100%, $E$9)</f>
        <v>17.57</v>
      </c>
      <c r="E410" s="10">
        <f>CHOOSE(CONTROL!$C$42, 17.6038, 17.6038) * CHOOSE(CONTROL!$C$21, $C$9, 100%, $E$9)</f>
        <v>17.6038</v>
      </c>
      <c r="F410" s="10">
        <f>CHOOSE(CONTROL!$C$42, 17.5059, 17.5059)*CHOOSE(CONTROL!$C$21, $C$9, 100%, $E$9)</f>
        <v>17.5059</v>
      </c>
      <c r="G410" s="10">
        <f>CHOOSE(CONTROL!$C$42, 17.5205, 17.5205)*CHOOSE(CONTROL!$C$21, $C$9, 100%, $E$9)</f>
        <v>17.520499999999998</v>
      </c>
      <c r="H410" s="10">
        <f>CHOOSE(CONTROL!$C$42, 17.5929, 17.5929) * CHOOSE(CONTROL!$C$21, $C$9, 100%, $E$9)</f>
        <v>17.5929</v>
      </c>
      <c r="I410" s="10">
        <f>CHOOSE(CONTROL!$C$42, 17.5187, 17.5187)* CHOOSE(CONTROL!$C$21, $C$9, 100%, $E$9)</f>
        <v>17.518699999999999</v>
      </c>
      <c r="J410" s="10">
        <f>CHOOSE(CONTROL!$C$42, 17.4989, 17.4989)* CHOOSE(CONTROL!$C$21, $C$9, 100%, $E$9)</f>
        <v>17.498899999999999</v>
      </c>
      <c r="K410" s="53">
        <f>CHOOSE(CONTROL!$C$42, 17.5149, 17.5149) * CHOOSE(CONTROL!$C$21, $C$9, 100%, $E$9)</f>
        <v>17.514900000000001</v>
      </c>
      <c r="L410" s="10">
        <f>CHOOSE(CONTROL!$C$42, 18.1799, 18.1799) * CHOOSE(CONTROL!$C$21, $C$9, 100%, $E$9)</f>
        <v>18.1799</v>
      </c>
      <c r="M410" s="10">
        <f>CHOOSE(CONTROL!$C$42, 17.3361, 17.3361) * CHOOSE(CONTROL!$C$21, $C$9, 100%, $E$9)</f>
        <v>17.336099999999998</v>
      </c>
      <c r="N410" s="10">
        <f>CHOOSE(CONTROL!$C$42, 17.3506, 17.3506) * CHOOSE(CONTROL!$C$21, $C$9, 100%, $E$9)</f>
        <v>17.3506</v>
      </c>
      <c r="O410" s="10">
        <f>CHOOSE(CONTROL!$C$42, 17.4292, 17.4292) * CHOOSE(CONTROL!$C$21, $C$9, 100%, $E$9)</f>
        <v>17.429200000000002</v>
      </c>
      <c r="P410" s="10">
        <f>CHOOSE(CONTROL!$C$42, 17.3558, 17.3558) * CHOOSE(CONTROL!$C$21, $C$9, 100%, $E$9)</f>
        <v>17.355799999999999</v>
      </c>
      <c r="Q410" s="10">
        <f>CHOOSE(CONTROL!$C$42, 18.0245, 18.0245) * CHOOSE(CONTROL!$C$21, $C$9, 100%, $E$9)</f>
        <v>18.0245</v>
      </c>
      <c r="R410" s="10">
        <f>CHOOSE(CONTROL!$C$42, 18.6566, 18.6566) * CHOOSE(CONTROL!$C$21, $C$9, 100%, $E$9)</f>
        <v>18.656600000000001</v>
      </c>
      <c r="S410" s="10">
        <f>CHOOSE(CONTROL!$C$42, 16.9998, 16.9998) * CHOOSE(CONTROL!$C$21, $C$9, 100%, $E$9)</f>
        <v>16.9998</v>
      </c>
      <c r="T4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57">
        <f>(1000*CHOOSE(CONTROL!$C$42, 695, 695)*CHOOSE(CONTROL!$C$42, 0.5599, 0.5599)*CHOOSE(CONTROL!$C$42, 28, 28))/1000000</f>
        <v>10.895653999999999</v>
      </c>
      <c r="V410" s="57">
        <f>(1000*CHOOSE(CONTROL!$C$42, 500, 500)*CHOOSE(CONTROL!$C$42, 0.275, 0.275)*CHOOSE(CONTROL!$C$42, 28, 28))/1000000</f>
        <v>3.85</v>
      </c>
      <c r="W410" s="57">
        <f>(1000*CHOOSE(CONTROL!$C$42, 0.1146, 0.1146)*CHOOSE(CONTROL!$C$42, 121.5, 121.5)*CHOOSE(CONTROL!$C$42, 28, 28))/1000000</f>
        <v>0.38986920000000003</v>
      </c>
      <c r="X410" s="57">
        <f>(28*0.1790888*100000/1000000)+(28*0.2374*100000/1000000)</f>
        <v>1.16616864</v>
      </c>
      <c r="Y410" s="57"/>
      <c r="Z410" s="10"/>
      <c r="AA410" s="56"/>
      <c r="AB410" s="50">
        <f>(B410*122.58+C410*297.941+D410*89.177+E410*40.302+F410*40+G410*160+H410*0+I410*100+J410*300)/(122.58+297.941+89.177+40.302+0+40+160+100+300)</f>
        <v>17.517657231739129</v>
      </c>
      <c r="AC410" s="45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17.3819654676259</v>
      </c>
    </row>
    <row r="411" spans="1:29" ht="15.75" x14ac:dyDescent="0.25">
      <c r="A411" s="14">
        <v>53417</v>
      </c>
      <c r="B411" s="10">
        <f>CHOOSE(CONTROL!$C$42, 17.011, 17.011) * CHOOSE(CONTROL!$C$21, $C$9, 100%, $E$9)</f>
        <v>17.010999999999999</v>
      </c>
      <c r="C411" s="10">
        <f>CHOOSE(CONTROL!$C$42, 17.0159, 17.0159) * CHOOSE(CONTROL!$C$21, $C$9, 100%, $E$9)</f>
        <v>17.015899999999998</v>
      </c>
      <c r="D411" s="10">
        <f>CHOOSE(CONTROL!$C$42, 17.073, 17.073) * CHOOSE(CONTROL!$C$21, $C$9, 100%, $E$9)</f>
        <v>17.073</v>
      </c>
      <c r="E411" s="10">
        <f>CHOOSE(CONTROL!$C$42, 17.1068, 17.1068) * CHOOSE(CONTROL!$C$21, $C$9, 100%, $E$9)</f>
        <v>17.1068</v>
      </c>
      <c r="F411" s="10">
        <f>CHOOSE(CONTROL!$C$42, 17.0088, 17.0088)*CHOOSE(CONTROL!$C$21, $C$9, 100%, $E$9)</f>
        <v>17.008800000000001</v>
      </c>
      <c r="G411" s="10">
        <f>CHOOSE(CONTROL!$C$42, 17.0234, 17.0234)*CHOOSE(CONTROL!$C$21, $C$9, 100%, $E$9)</f>
        <v>17.023399999999999</v>
      </c>
      <c r="H411" s="10">
        <f>CHOOSE(CONTROL!$C$42, 17.096, 17.096) * CHOOSE(CONTROL!$C$21, $C$9, 100%, $E$9)</f>
        <v>17.096</v>
      </c>
      <c r="I411" s="10">
        <f>CHOOSE(CONTROL!$C$42, 17.0218, 17.0218)* CHOOSE(CONTROL!$C$21, $C$9, 100%, $E$9)</f>
        <v>17.021799999999999</v>
      </c>
      <c r="J411" s="10">
        <f>CHOOSE(CONTROL!$C$42, 17.0018, 17.0018)* CHOOSE(CONTROL!$C$21, $C$9, 100%, $E$9)</f>
        <v>17.001799999999999</v>
      </c>
      <c r="K411" s="53">
        <f>CHOOSE(CONTROL!$C$42, 17.0179, 17.0179) * CHOOSE(CONTROL!$C$21, $C$9, 100%, $E$9)</f>
        <v>17.017900000000001</v>
      </c>
      <c r="L411" s="10">
        <f>CHOOSE(CONTROL!$C$42, 17.683, 17.683) * CHOOSE(CONTROL!$C$21, $C$9, 100%, $E$9)</f>
        <v>17.683</v>
      </c>
      <c r="M411" s="10">
        <f>CHOOSE(CONTROL!$C$42, 16.844, 16.844) * CHOOSE(CONTROL!$C$21, $C$9, 100%, $E$9)</f>
        <v>16.844000000000001</v>
      </c>
      <c r="N411" s="10">
        <f>CHOOSE(CONTROL!$C$42, 16.8585, 16.8585) * CHOOSE(CONTROL!$C$21, $C$9, 100%, $E$9)</f>
        <v>16.858499999999999</v>
      </c>
      <c r="O411" s="10">
        <f>CHOOSE(CONTROL!$C$42, 16.9373, 16.9373) * CHOOSE(CONTROL!$C$21, $C$9, 100%, $E$9)</f>
        <v>16.9373</v>
      </c>
      <c r="P411" s="10">
        <f>CHOOSE(CONTROL!$C$42, 16.8639, 16.8639) * CHOOSE(CONTROL!$C$21, $C$9, 100%, $E$9)</f>
        <v>16.863900000000001</v>
      </c>
      <c r="Q411" s="10">
        <f>CHOOSE(CONTROL!$C$42, 17.5326, 17.5326) * CHOOSE(CONTROL!$C$21, $C$9, 100%, $E$9)</f>
        <v>17.532599999999999</v>
      </c>
      <c r="R411" s="10">
        <f>CHOOSE(CONTROL!$C$42, 18.1634, 18.1634) * CHOOSE(CONTROL!$C$21, $C$9, 100%, $E$9)</f>
        <v>18.163399999999999</v>
      </c>
      <c r="S411" s="10">
        <f>CHOOSE(CONTROL!$C$42, 16.5172, 16.5172) * CHOOSE(CONTROL!$C$21, $C$9, 100%, $E$9)</f>
        <v>16.517199999999999</v>
      </c>
      <c r="T4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57">
        <f>(1000*CHOOSE(CONTROL!$C$42, 695, 695)*CHOOSE(CONTROL!$C$42, 0.5599, 0.5599)*CHOOSE(CONTROL!$C$42, 31, 31))/1000000</f>
        <v>12.063045499999998</v>
      </c>
      <c r="V411" s="57">
        <f>(1000*CHOOSE(CONTROL!$C$42, 500, 500)*CHOOSE(CONTROL!$C$42, 0.275, 0.275)*CHOOSE(CONTROL!$C$42, 31, 31))/1000000</f>
        <v>4.2625000000000002</v>
      </c>
      <c r="W411" s="57">
        <f>(1000*CHOOSE(CONTROL!$C$42, 0.1146, 0.1146)*CHOOSE(CONTROL!$C$42, 121.5, 121.5)*CHOOSE(CONTROL!$C$42, 31, 31))/1000000</f>
        <v>0.43164089999999994</v>
      </c>
      <c r="X411" s="57">
        <f>(31*0.1790888*100000/1000000)+(31*0.2374*100000/1000000)</f>
        <v>1.2911152800000001</v>
      </c>
      <c r="Y411" s="57"/>
      <c r="Z411" s="10"/>
      <c r="AA411" s="56"/>
      <c r="AB411" s="50">
        <f>(B411*122.58+C411*297.941+D411*89.177+E411*40.302+F411*40+G411*160+H411*0+I411*100+J411*300)/(122.58+297.941+89.177+40.302+0+40+160+100+300)</f>
        <v>17.020622449130435</v>
      </c>
      <c r="AC411" s="45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16.889984892086328</v>
      </c>
    </row>
    <row r="412" spans="1:29" ht="15.75" x14ac:dyDescent="0.25">
      <c r="A412" s="14">
        <v>53447</v>
      </c>
      <c r="B412" s="10">
        <f>CHOOSE(CONTROL!$C$42, 16.9612, 16.9612) * CHOOSE(CONTROL!$C$21, $C$9, 100%, $E$9)</f>
        <v>16.961200000000002</v>
      </c>
      <c r="C412" s="10">
        <f>CHOOSE(CONTROL!$C$42, 16.9656, 16.9656) * CHOOSE(CONTROL!$C$21, $C$9, 100%, $E$9)</f>
        <v>16.965599999999998</v>
      </c>
      <c r="D412" s="10">
        <f>CHOOSE(CONTROL!$C$42, 17.1715, 17.1715) * CHOOSE(CONTROL!$C$21, $C$9, 100%, $E$9)</f>
        <v>17.171500000000002</v>
      </c>
      <c r="E412" s="10">
        <f>CHOOSE(CONTROL!$C$42, 17.2032, 17.2032) * CHOOSE(CONTROL!$C$21, $C$9, 100%, $E$9)</f>
        <v>17.203199999999999</v>
      </c>
      <c r="F412" s="10">
        <f>CHOOSE(CONTROL!$C$42, 16.938, 16.938)*CHOOSE(CONTROL!$C$21, $C$9, 100%, $E$9)</f>
        <v>16.937999999999999</v>
      </c>
      <c r="G412" s="10">
        <f>CHOOSE(CONTROL!$C$42, 16.9525, 16.9525)*CHOOSE(CONTROL!$C$21, $C$9, 100%, $E$9)</f>
        <v>16.952500000000001</v>
      </c>
      <c r="H412" s="10">
        <f>CHOOSE(CONTROL!$C$42, 17.193, 17.193) * CHOOSE(CONTROL!$C$21, $C$9, 100%, $E$9)</f>
        <v>17.193000000000001</v>
      </c>
      <c r="I412" s="10">
        <f>CHOOSE(CONTROL!$C$42, 16.9627, 16.9627)* CHOOSE(CONTROL!$C$21, $C$9, 100%, $E$9)</f>
        <v>16.962700000000002</v>
      </c>
      <c r="J412" s="10">
        <f>CHOOSE(CONTROL!$C$42, 16.931, 16.931)* CHOOSE(CONTROL!$C$21, $C$9, 100%, $E$9)</f>
        <v>16.931000000000001</v>
      </c>
      <c r="K412" s="53">
        <f>CHOOSE(CONTROL!$C$42, 16.9588, 16.9588) * CHOOSE(CONTROL!$C$21, $C$9, 100%, $E$9)</f>
        <v>16.9588</v>
      </c>
      <c r="L412" s="10">
        <f>CHOOSE(CONTROL!$C$42, 17.78, 17.78) * CHOOSE(CONTROL!$C$21, $C$9, 100%, $E$9)</f>
        <v>17.78</v>
      </c>
      <c r="M412" s="10">
        <f>CHOOSE(CONTROL!$C$42, 16.774, 16.774) * CHOOSE(CONTROL!$C$21, $C$9, 100%, $E$9)</f>
        <v>16.774000000000001</v>
      </c>
      <c r="N412" s="10">
        <f>CHOOSE(CONTROL!$C$42, 16.7883, 16.7883) * CHOOSE(CONTROL!$C$21, $C$9, 100%, $E$9)</f>
        <v>16.7883</v>
      </c>
      <c r="O412" s="10">
        <f>CHOOSE(CONTROL!$C$42, 17.0334, 17.0334) * CHOOSE(CONTROL!$C$21, $C$9, 100%, $E$9)</f>
        <v>17.0334</v>
      </c>
      <c r="P412" s="10">
        <f>CHOOSE(CONTROL!$C$42, 16.8053, 16.8053) * CHOOSE(CONTROL!$C$21, $C$9, 100%, $E$9)</f>
        <v>16.805299999999999</v>
      </c>
      <c r="Q412" s="10">
        <f>CHOOSE(CONTROL!$C$42, 17.6287, 17.6287) * CHOOSE(CONTROL!$C$21, $C$9, 100%, $E$9)</f>
        <v>17.628699999999998</v>
      </c>
      <c r="R412" s="10">
        <f>CHOOSE(CONTROL!$C$42, 18.2597, 18.2597) * CHOOSE(CONTROL!$C$21, $C$9, 100%, $E$9)</f>
        <v>18.259699999999999</v>
      </c>
      <c r="S412" s="10">
        <f>CHOOSE(CONTROL!$C$42, 16.4681, 16.4681) * CHOOSE(CONTROL!$C$21, $C$9, 100%, $E$9)</f>
        <v>16.4681</v>
      </c>
      <c r="T4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57">
        <f>(1000*CHOOSE(CONTROL!$C$42, 695, 695)*CHOOSE(CONTROL!$C$42, 0.5599, 0.5599)*CHOOSE(CONTROL!$C$42, 30, 30))/1000000</f>
        <v>11.673914999999997</v>
      </c>
      <c r="V412" s="57">
        <f>(1000*CHOOSE(CONTROL!$C$42, 500, 500)*CHOOSE(CONTROL!$C$42, 0.275, 0.275)*CHOOSE(CONTROL!$C$42, 30, 30))/1000000</f>
        <v>4.125</v>
      </c>
      <c r="W412" s="57">
        <f>(1000*CHOOSE(CONTROL!$C$42, 0.1146, 0.1146)*CHOOSE(CONTROL!$C$42, 121.5, 121.5)*CHOOSE(CONTROL!$C$42, 30, 30))/1000000</f>
        <v>0.417717</v>
      </c>
      <c r="X412" s="57">
        <f>(30*0.1790888*245000/1000000)+(30*0.2374*100000/1000000)</f>
        <v>2.0285026799999999</v>
      </c>
      <c r="Y412" s="57"/>
      <c r="Z412" s="10"/>
      <c r="AA412" s="56"/>
      <c r="AB412" s="50">
        <f>(B412*141.293+C412*267.993+D412*115.016+E412*89.698+F412*40+G412*185+H412*0+I412*100+J412*300)/(141.293+267.993+115.016+89.698+0+40+185+100+300)</f>
        <v>16.989954196933009</v>
      </c>
      <c r="AC412" s="45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16.854576978417267</v>
      </c>
    </row>
    <row r="413" spans="1:29" ht="15.75" x14ac:dyDescent="0.25">
      <c r="A413" s="14">
        <v>53478</v>
      </c>
      <c r="B413" s="10">
        <f>CHOOSE(CONTROL!$C$42, 17.1123, 17.1123) * CHOOSE(CONTROL!$C$21, $C$9, 100%, $E$9)</f>
        <v>17.112300000000001</v>
      </c>
      <c r="C413" s="10">
        <f>CHOOSE(CONTROL!$C$42, 17.1202, 17.1202) * CHOOSE(CONTROL!$C$21, $C$9, 100%, $E$9)</f>
        <v>17.120200000000001</v>
      </c>
      <c r="D413" s="10">
        <f>CHOOSE(CONTROL!$C$42, 17.3229, 17.3229) * CHOOSE(CONTROL!$C$21, $C$9, 100%, $E$9)</f>
        <v>17.322900000000001</v>
      </c>
      <c r="E413" s="10">
        <f>CHOOSE(CONTROL!$C$42, 17.3541, 17.3541) * CHOOSE(CONTROL!$C$21, $C$9, 100%, $E$9)</f>
        <v>17.354099999999999</v>
      </c>
      <c r="F413" s="10">
        <f>CHOOSE(CONTROL!$C$42, 17.088, 17.088)*CHOOSE(CONTROL!$C$21, $C$9, 100%, $E$9)</f>
        <v>17.088000000000001</v>
      </c>
      <c r="G413" s="10">
        <f>CHOOSE(CONTROL!$C$42, 17.103, 17.103)*CHOOSE(CONTROL!$C$21, $C$9, 100%, $E$9)</f>
        <v>17.103000000000002</v>
      </c>
      <c r="H413" s="10">
        <f>CHOOSE(CONTROL!$C$42, 17.3427, 17.3427) * CHOOSE(CONTROL!$C$21, $C$9, 100%, $E$9)</f>
        <v>17.342700000000001</v>
      </c>
      <c r="I413" s="10">
        <f>CHOOSE(CONTROL!$C$42, 17.1123, 17.1123)* CHOOSE(CONTROL!$C$21, $C$9, 100%, $E$9)</f>
        <v>17.112300000000001</v>
      </c>
      <c r="J413" s="10">
        <f>CHOOSE(CONTROL!$C$42, 17.081, 17.081)* CHOOSE(CONTROL!$C$21, $C$9, 100%, $E$9)</f>
        <v>17.081</v>
      </c>
      <c r="K413" s="53">
        <f>CHOOSE(CONTROL!$C$42, 17.1084, 17.1084) * CHOOSE(CONTROL!$C$21, $C$9, 100%, $E$9)</f>
        <v>17.1084</v>
      </c>
      <c r="L413" s="10">
        <f>CHOOSE(CONTROL!$C$42, 17.9297, 17.9297) * CHOOSE(CONTROL!$C$21, $C$9, 100%, $E$9)</f>
        <v>17.9297</v>
      </c>
      <c r="M413" s="10">
        <f>CHOOSE(CONTROL!$C$42, 16.9224, 16.9224) * CHOOSE(CONTROL!$C$21, $C$9, 100%, $E$9)</f>
        <v>16.9224</v>
      </c>
      <c r="N413" s="10">
        <f>CHOOSE(CONTROL!$C$42, 16.9373, 16.9373) * CHOOSE(CONTROL!$C$21, $C$9, 100%, $E$9)</f>
        <v>16.9373</v>
      </c>
      <c r="O413" s="10">
        <f>CHOOSE(CONTROL!$C$42, 17.1815, 17.1815) * CHOOSE(CONTROL!$C$21, $C$9, 100%, $E$9)</f>
        <v>17.1815</v>
      </c>
      <c r="P413" s="10">
        <f>CHOOSE(CONTROL!$C$42, 16.9535, 16.9535) * CHOOSE(CONTROL!$C$21, $C$9, 100%, $E$9)</f>
        <v>16.953499999999998</v>
      </c>
      <c r="Q413" s="10">
        <f>CHOOSE(CONTROL!$C$42, 17.7768, 17.7768) * CHOOSE(CONTROL!$C$21, $C$9, 100%, $E$9)</f>
        <v>17.776800000000001</v>
      </c>
      <c r="R413" s="10">
        <f>CHOOSE(CONTROL!$C$42, 18.4083, 18.4083) * CHOOSE(CONTROL!$C$21, $C$9, 100%, $E$9)</f>
        <v>18.408300000000001</v>
      </c>
      <c r="S413" s="10">
        <f>CHOOSE(CONTROL!$C$42, 16.6135, 16.6135) * CHOOSE(CONTROL!$C$21, $C$9, 100%, $E$9)</f>
        <v>16.613499999999998</v>
      </c>
      <c r="T4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57">
        <f>(1000*CHOOSE(CONTROL!$C$42, 695, 695)*CHOOSE(CONTROL!$C$42, 0.5599, 0.5599)*CHOOSE(CONTROL!$C$42, 31, 31))/1000000</f>
        <v>12.063045499999998</v>
      </c>
      <c r="V413" s="57">
        <f>(1000*CHOOSE(CONTROL!$C$42, 500, 500)*CHOOSE(CONTROL!$C$42, 0.275, 0.275)*CHOOSE(CONTROL!$C$42, 31, 31))/1000000</f>
        <v>4.2625000000000002</v>
      </c>
      <c r="W413" s="57">
        <f>(1000*CHOOSE(CONTROL!$C$42, 0.1146, 0.1146)*CHOOSE(CONTROL!$C$42, 121.5, 121.5)*CHOOSE(CONTROL!$C$42, 31, 31))/1000000</f>
        <v>0.43164089999999994</v>
      </c>
      <c r="X413" s="57">
        <f>(31*0.1790888*245000/1000000)+(31*0.2374*100000/1000000)</f>
        <v>2.0961194359999999</v>
      </c>
      <c r="Y413" s="57"/>
      <c r="Z413" s="10"/>
      <c r="AA413" s="56"/>
      <c r="AB413" s="50">
        <f>(B413*194.205+C413*267.466+D413*133.845+E413*53.484+F413*40+G413*185+H413*0+I413*100+J413*300)/(194.205+267.466+133.845+53.484+0+40+185+100+300)</f>
        <v>17.136751075039246</v>
      </c>
      <c r="AC413" s="45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17.003002158273379</v>
      </c>
    </row>
    <row r="414" spans="1:29" ht="15.75" x14ac:dyDescent="0.25">
      <c r="A414" s="14">
        <v>53508</v>
      </c>
      <c r="B414" s="10">
        <f>CHOOSE(CONTROL!$C$42, 17.5975, 17.5975) * CHOOSE(CONTROL!$C$21, $C$9, 100%, $E$9)</f>
        <v>17.5975</v>
      </c>
      <c r="C414" s="10">
        <f>CHOOSE(CONTROL!$C$42, 17.6055, 17.6055) * CHOOSE(CONTROL!$C$21, $C$9, 100%, $E$9)</f>
        <v>17.605499999999999</v>
      </c>
      <c r="D414" s="10">
        <f>CHOOSE(CONTROL!$C$42, 17.8082, 17.8082) * CHOOSE(CONTROL!$C$21, $C$9, 100%, $E$9)</f>
        <v>17.808199999999999</v>
      </c>
      <c r="E414" s="10">
        <f>CHOOSE(CONTROL!$C$42, 17.8393, 17.8393) * CHOOSE(CONTROL!$C$21, $C$9, 100%, $E$9)</f>
        <v>17.839300000000001</v>
      </c>
      <c r="F414" s="10">
        <f>CHOOSE(CONTROL!$C$42, 17.5738, 17.5738)*CHOOSE(CONTROL!$C$21, $C$9, 100%, $E$9)</f>
        <v>17.573799999999999</v>
      </c>
      <c r="G414" s="10">
        <f>CHOOSE(CONTROL!$C$42, 17.5889, 17.5889)*CHOOSE(CONTROL!$C$21, $C$9, 100%, $E$9)</f>
        <v>17.588899999999999</v>
      </c>
      <c r="H414" s="10">
        <f>CHOOSE(CONTROL!$C$42, 17.828, 17.828) * CHOOSE(CONTROL!$C$21, $C$9, 100%, $E$9)</f>
        <v>17.827999999999999</v>
      </c>
      <c r="I414" s="10">
        <f>CHOOSE(CONTROL!$C$42, 17.5976, 17.5976)* CHOOSE(CONTROL!$C$21, $C$9, 100%, $E$9)</f>
        <v>17.5976</v>
      </c>
      <c r="J414" s="10">
        <f>CHOOSE(CONTROL!$C$42, 17.5668, 17.5668)* CHOOSE(CONTROL!$C$21, $C$9, 100%, $E$9)</f>
        <v>17.566800000000001</v>
      </c>
      <c r="K414" s="53">
        <f>CHOOSE(CONTROL!$C$42, 17.5937, 17.5937) * CHOOSE(CONTROL!$C$21, $C$9, 100%, $E$9)</f>
        <v>17.593699999999998</v>
      </c>
      <c r="L414" s="10">
        <f>CHOOSE(CONTROL!$C$42, 18.415, 18.415) * CHOOSE(CONTROL!$C$21, $C$9, 100%, $E$9)</f>
        <v>18.414999999999999</v>
      </c>
      <c r="M414" s="10">
        <f>CHOOSE(CONTROL!$C$42, 17.4033, 17.4033) * CHOOSE(CONTROL!$C$21, $C$9, 100%, $E$9)</f>
        <v>17.403300000000002</v>
      </c>
      <c r="N414" s="10">
        <f>CHOOSE(CONTROL!$C$42, 17.4183, 17.4183) * CHOOSE(CONTROL!$C$21, $C$9, 100%, $E$9)</f>
        <v>17.418299999999999</v>
      </c>
      <c r="O414" s="10">
        <f>CHOOSE(CONTROL!$C$42, 17.6619, 17.6619) * CHOOSE(CONTROL!$C$21, $C$9, 100%, $E$9)</f>
        <v>17.661899999999999</v>
      </c>
      <c r="P414" s="10">
        <f>CHOOSE(CONTROL!$C$42, 17.4339, 17.4339) * CHOOSE(CONTROL!$C$21, $C$9, 100%, $E$9)</f>
        <v>17.433900000000001</v>
      </c>
      <c r="Q414" s="10">
        <f>CHOOSE(CONTROL!$C$42, 18.2572, 18.2572) * CHOOSE(CONTROL!$C$21, $C$9, 100%, $E$9)</f>
        <v>18.257200000000001</v>
      </c>
      <c r="R414" s="10">
        <f>CHOOSE(CONTROL!$C$42, 18.8898, 18.8898) * CHOOSE(CONTROL!$C$21, $C$9, 100%, $E$9)</f>
        <v>18.889800000000001</v>
      </c>
      <c r="S414" s="10">
        <f>CHOOSE(CONTROL!$C$42, 17.0847, 17.0847) * CHOOSE(CONTROL!$C$21, $C$9, 100%, $E$9)</f>
        <v>17.084700000000002</v>
      </c>
      <c r="T4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57">
        <f>(1000*CHOOSE(CONTROL!$C$42, 695, 695)*CHOOSE(CONTROL!$C$42, 0.5599, 0.5599)*CHOOSE(CONTROL!$C$42, 30, 30))/1000000</f>
        <v>11.673914999999997</v>
      </c>
      <c r="V414" s="57">
        <f>(1000*CHOOSE(CONTROL!$C$42, 500, 500)*CHOOSE(CONTROL!$C$42, 0.275, 0.275)*CHOOSE(CONTROL!$C$42, 30, 30))/1000000</f>
        <v>4.125</v>
      </c>
      <c r="W414" s="57">
        <f>(1000*CHOOSE(CONTROL!$C$42, 0.1146, 0.1146)*CHOOSE(CONTROL!$C$42, 121.5, 121.5)*CHOOSE(CONTROL!$C$42, 30, 30))/1000000</f>
        <v>0.417717</v>
      </c>
      <c r="X414" s="57">
        <f>(30*0.1790888*245000/1000000)+(30*0.2374*100000/1000000)</f>
        <v>2.0285026799999999</v>
      </c>
      <c r="Y414" s="57"/>
      <c r="Z414" s="10"/>
      <c r="AA414" s="56"/>
      <c r="AB414" s="50">
        <f>(B414*194.205+C414*267.466+D414*133.845+E414*53.484+F414*40+G414*185+H414*0+I414*100+J414*300)/(194.205+267.466+133.845+53.484+0+40+185+100+300)</f>
        <v>17.622252198351649</v>
      </c>
      <c r="AC414" s="45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17.483712949640285</v>
      </c>
    </row>
    <row r="415" spans="1:29" ht="15.75" x14ac:dyDescent="0.25">
      <c r="A415" s="14">
        <v>53539</v>
      </c>
      <c r="B415" s="10">
        <f>CHOOSE(CONTROL!$C$42, 17.26, 17.26) * CHOOSE(CONTROL!$C$21, $C$9, 100%, $E$9)</f>
        <v>17.260000000000002</v>
      </c>
      <c r="C415" s="10">
        <f>CHOOSE(CONTROL!$C$42, 17.268, 17.268) * CHOOSE(CONTROL!$C$21, $C$9, 100%, $E$9)</f>
        <v>17.268000000000001</v>
      </c>
      <c r="D415" s="10">
        <f>CHOOSE(CONTROL!$C$42, 17.4707, 17.4707) * CHOOSE(CONTROL!$C$21, $C$9, 100%, $E$9)</f>
        <v>17.470700000000001</v>
      </c>
      <c r="E415" s="10">
        <f>CHOOSE(CONTROL!$C$42, 17.5018, 17.5018) * CHOOSE(CONTROL!$C$21, $C$9, 100%, $E$9)</f>
        <v>17.501799999999999</v>
      </c>
      <c r="F415" s="10">
        <f>CHOOSE(CONTROL!$C$42, 17.2368, 17.2368)*CHOOSE(CONTROL!$C$21, $C$9, 100%, $E$9)</f>
        <v>17.236799999999999</v>
      </c>
      <c r="G415" s="10">
        <f>CHOOSE(CONTROL!$C$42, 17.2521, 17.2521)*CHOOSE(CONTROL!$C$21, $C$9, 100%, $E$9)</f>
        <v>17.252099999999999</v>
      </c>
      <c r="H415" s="10">
        <f>CHOOSE(CONTROL!$C$42, 17.4905, 17.4905) * CHOOSE(CONTROL!$C$21, $C$9, 100%, $E$9)</f>
        <v>17.490500000000001</v>
      </c>
      <c r="I415" s="10">
        <f>CHOOSE(CONTROL!$C$42, 17.2601, 17.2601)* CHOOSE(CONTROL!$C$21, $C$9, 100%, $E$9)</f>
        <v>17.260100000000001</v>
      </c>
      <c r="J415" s="10">
        <f>CHOOSE(CONTROL!$C$42, 17.2298, 17.2298)* CHOOSE(CONTROL!$C$21, $C$9, 100%, $E$9)</f>
        <v>17.229800000000001</v>
      </c>
      <c r="K415" s="53">
        <f>CHOOSE(CONTROL!$C$42, 17.2562, 17.2562) * CHOOSE(CONTROL!$C$21, $C$9, 100%, $E$9)</f>
        <v>17.2562</v>
      </c>
      <c r="L415" s="10">
        <f>CHOOSE(CONTROL!$C$42, 18.0775, 18.0775) * CHOOSE(CONTROL!$C$21, $C$9, 100%, $E$9)</f>
        <v>18.077500000000001</v>
      </c>
      <c r="M415" s="10">
        <f>CHOOSE(CONTROL!$C$42, 17.0697, 17.0697) * CHOOSE(CONTROL!$C$21, $C$9, 100%, $E$9)</f>
        <v>17.069700000000001</v>
      </c>
      <c r="N415" s="10">
        <f>CHOOSE(CONTROL!$C$42, 17.0849, 17.0849) * CHOOSE(CONTROL!$C$21, $C$9, 100%, $E$9)</f>
        <v>17.084900000000001</v>
      </c>
      <c r="O415" s="10">
        <f>CHOOSE(CONTROL!$C$42, 17.3278, 17.3278) * CHOOSE(CONTROL!$C$21, $C$9, 100%, $E$9)</f>
        <v>17.3278</v>
      </c>
      <c r="P415" s="10">
        <f>CHOOSE(CONTROL!$C$42, 17.0998, 17.0998) * CHOOSE(CONTROL!$C$21, $C$9, 100%, $E$9)</f>
        <v>17.099799999999998</v>
      </c>
      <c r="Q415" s="10">
        <f>CHOOSE(CONTROL!$C$42, 17.9231, 17.9231) * CHOOSE(CONTROL!$C$21, $C$9, 100%, $E$9)</f>
        <v>17.923100000000002</v>
      </c>
      <c r="R415" s="10">
        <f>CHOOSE(CONTROL!$C$42, 18.5549, 18.5549) * CHOOSE(CONTROL!$C$21, $C$9, 100%, $E$9)</f>
        <v>18.5549</v>
      </c>
      <c r="S415" s="10">
        <f>CHOOSE(CONTROL!$C$42, 16.757, 16.757) * CHOOSE(CONTROL!$C$21, $C$9, 100%, $E$9)</f>
        <v>16.757000000000001</v>
      </c>
      <c r="T4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57">
        <f>(1000*CHOOSE(CONTROL!$C$42, 695, 695)*CHOOSE(CONTROL!$C$42, 0.5599, 0.5599)*CHOOSE(CONTROL!$C$42, 31, 31))/1000000</f>
        <v>12.063045499999998</v>
      </c>
      <c r="V415" s="57">
        <f>(1000*CHOOSE(CONTROL!$C$42, 500, 500)*CHOOSE(CONTROL!$C$42, 0.275, 0.275)*CHOOSE(CONTROL!$C$42, 31, 31))/1000000</f>
        <v>4.2625000000000002</v>
      </c>
      <c r="W415" s="57">
        <f>(1000*CHOOSE(CONTROL!$C$42, 0.1146, 0.1146)*CHOOSE(CONTROL!$C$42, 121.5, 121.5)*CHOOSE(CONTROL!$C$42, 31, 31))/1000000</f>
        <v>0.43164089999999994</v>
      </c>
      <c r="X415" s="57">
        <f>(31*0.1790888*245000/1000000)+(31*0.2374*100000/1000000)</f>
        <v>2.0961194359999999</v>
      </c>
      <c r="Y415" s="57"/>
      <c r="Z415" s="10"/>
      <c r="AA415" s="56"/>
      <c r="AB415" s="50">
        <f>(B415*194.205+C415*267.466+D415*133.845+E415*53.484+F415*40+G415*185+H415*0+I415*100+J415*300)/(194.205+267.466+133.845+53.484+0+40+185+100+300)</f>
        <v>17.28498728469388</v>
      </c>
      <c r="AC415" s="45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17.149946762589927</v>
      </c>
    </row>
    <row r="416" spans="1:29" ht="15.75" x14ac:dyDescent="0.25">
      <c r="A416" s="14">
        <v>53570</v>
      </c>
      <c r="B416" s="10">
        <f>CHOOSE(CONTROL!$C$42, 16.4077, 16.4077) * CHOOSE(CONTROL!$C$21, $C$9, 100%, $E$9)</f>
        <v>16.407699999999998</v>
      </c>
      <c r="C416" s="10">
        <f>CHOOSE(CONTROL!$C$42, 16.4157, 16.4157) * CHOOSE(CONTROL!$C$21, $C$9, 100%, $E$9)</f>
        <v>16.415700000000001</v>
      </c>
      <c r="D416" s="10">
        <f>CHOOSE(CONTROL!$C$42, 16.6184, 16.6184) * CHOOSE(CONTROL!$C$21, $C$9, 100%, $E$9)</f>
        <v>16.618400000000001</v>
      </c>
      <c r="E416" s="10">
        <f>CHOOSE(CONTROL!$C$42, 16.6495, 16.6495) * CHOOSE(CONTROL!$C$21, $C$9, 100%, $E$9)</f>
        <v>16.6495</v>
      </c>
      <c r="F416" s="10">
        <f>CHOOSE(CONTROL!$C$42, 16.3847, 16.3847)*CHOOSE(CONTROL!$C$21, $C$9, 100%, $E$9)</f>
        <v>16.384699999999999</v>
      </c>
      <c r="G416" s="10">
        <f>CHOOSE(CONTROL!$C$42, 16.4, 16.4)*CHOOSE(CONTROL!$C$21, $C$9, 100%, $E$9)</f>
        <v>16.399999999999999</v>
      </c>
      <c r="H416" s="10">
        <f>CHOOSE(CONTROL!$C$42, 16.6382, 16.6382) * CHOOSE(CONTROL!$C$21, $C$9, 100%, $E$9)</f>
        <v>16.638200000000001</v>
      </c>
      <c r="I416" s="10">
        <f>CHOOSE(CONTROL!$C$42, 16.4078, 16.4078)* CHOOSE(CONTROL!$C$21, $C$9, 100%, $E$9)</f>
        <v>16.407800000000002</v>
      </c>
      <c r="J416" s="10">
        <f>CHOOSE(CONTROL!$C$42, 16.3777, 16.3777)* CHOOSE(CONTROL!$C$21, $C$9, 100%, $E$9)</f>
        <v>16.377700000000001</v>
      </c>
      <c r="K416" s="53">
        <f>CHOOSE(CONTROL!$C$42, 16.4039, 16.4039) * CHOOSE(CONTROL!$C$21, $C$9, 100%, $E$9)</f>
        <v>16.4039</v>
      </c>
      <c r="L416" s="10">
        <f>CHOOSE(CONTROL!$C$42, 17.2252, 17.2252) * CHOOSE(CONTROL!$C$21, $C$9, 100%, $E$9)</f>
        <v>17.225200000000001</v>
      </c>
      <c r="M416" s="10">
        <f>CHOOSE(CONTROL!$C$42, 16.2262, 16.2262) * CHOOSE(CONTROL!$C$21, $C$9, 100%, $E$9)</f>
        <v>16.226199999999999</v>
      </c>
      <c r="N416" s="10">
        <f>CHOOSE(CONTROL!$C$42, 16.2414, 16.2414) * CHOOSE(CONTROL!$C$21, $C$9, 100%, $E$9)</f>
        <v>16.241399999999999</v>
      </c>
      <c r="O416" s="10">
        <f>CHOOSE(CONTROL!$C$42, 16.4841, 16.4841) * CHOOSE(CONTROL!$C$21, $C$9, 100%, $E$9)</f>
        <v>16.484100000000002</v>
      </c>
      <c r="P416" s="10">
        <f>CHOOSE(CONTROL!$C$42, 16.2561, 16.2561) * CHOOSE(CONTROL!$C$21, $C$9, 100%, $E$9)</f>
        <v>16.2561</v>
      </c>
      <c r="Q416" s="10">
        <f>CHOOSE(CONTROL!$C$42, 17.0794, 17.0794) * CHOOSE(CONTROL!$C$21, $C$9, 100%, $E$9)</f>
        <v>17.0794</v>
      </c>
      <c r="R416" s="10">
        <f>CHOOSE(CONTROL!$C$42, 17.7091, 17.7091) * CHOOSE(CONTROL!$C$21, $C$9, 100%, $E$9)</f>
        <v>17.709099999999999</v>
      </c>
      <c r="S416" s="10">
        <f>CHOOSE(CONTROL!$C$42, 15.9293, 15.9293) * CHOOSE(CONTROL!$C$21, $C$9, 100%, $E$9)</f>
        <v>15.9293</v>
      </c>
      <c r="T4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57">
        <f>(1000*CHOOSE(CONTROL!$C$42, 695, 695)*CHOOSE(CONTROL!$C$42, 0.5599, 0.5599)*CHOOSE(CONTROL!$C$42, 31, 31))/1000000</f>
        <v>12.063045499999998</v>
      </c>
      <c r="V416" s="57">
        <f>(1000*CHOOSE(CONTROL!$C$42, 500, 500)*CHOOSE(CONTROL!$C$42, 0.275, 0.275)*CHOOSE(CONTROL!$C$42, 31, 31))/1000000</f>
        <v>4.2625000000000002</v>
      </c>
      <c r="W416" s="57">
        <f>(1000*CHOOSE(CONTROL!$C$42, 0.1146, 0.1146)*CHOOSE(CONTROL!$C$42, 121.5, 121.5)*CHOOSE(CONTROL!$C$42, 31, 31))/1000000</f>
        <v>0.43164089999999994</v>
      </c>
      <c r="X416" s="57">
        <f>(31*0.1790888*245000/1000000)+(31*0.2374*100000/1000000)</f>
        <v>2.0961194359999999</v>
      </c>
      <c r="Y416" s="57"/>
      <c r="Z416" s="10"/>
      <c r="AA416" s="56"/>
      <c r="AB416" s="50">
        <f>(B416*194.205+C416*267.466+D416*133.845+E416*53.484+F416*40+G416*185+H416*0+I416*100+J416*300)/(194.205+267.466+133.845+53.484+0+40+185+100+300)</f>
        <v>16.432769702276296</v>
      </c>
      <c r="AC416" s="45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16.306361870503597</v>
      </c>
    </row>
    <row r="417" spans="1:29" ht="15.75" x14ac:dyDescent="0.25">
      <c r="A417" s="14">
        <v>53600</v>
      </c>
      <c r="B417" s="10">
        <f>CHOOSE(CONTROL!$C$42, 15.366, 15.366) * CHOOSE(CONTROL!$C$21, $C$9, 100%, $E$9)</f>
        <v>15.366</v>
      </c>
      <c r="C417" s="10">
        <f>CHOOSE(CONTROL!$C$42, 15.3739, 15.3739) * CHOOSE(CONTROL!$C$21, $C$9, 100%, $E$9)</f>
        <v>15.373900000000001</v>
      </c>
      <c r="D417" s="10">
        <f>CHOOSE(CONTROL!$C$42, 15.5767, 15.5767) * CHOOSE(CONTROL!$C$21, $C$9, 100%, $E$9)</f>
        <v>15.576700000000001</v>
      </c>
      <c r="E417" s="10">
        <f>CHOOSE(CONTROL!$C$42, 15.6078, 15.6078) * CHOOSE(CONTROL!$C$21, $C$9, 100%, $E$9)</f>
        <v>15.607799999999999</v>
      </c>
      <c r="F417" s="10">
        <f>CHOOSE(CONTROL!$C$42, 15.3428, 15.3428)*CHOOSE(CONTROL!$C$21, $C$9, 100%, $E$9)</f>
        <v>15.3428</v>
      </c>
      <c r="G417" s="10">
        <f>CHOOSE(CONTROL!$C$42, 15.3581, 15.3581)*CHOOSE(CONTROL!$C$21, $C$9, 100%, $E$9)</f>
        <v>15.3581</v>
      </c>
      <c r="H417" s="10">
        <f>CHOOSE(CONTROL!$C$42, 15.5964, 15.5964) * CHOOSE(CONTROL!$C$21, $C$9, 100%, $E$9)</f>
        <v>15.596399999999999</v>
      </c>
      <c r="I417" s="10">
        <f>CHOOSE(CONTROL!$C$42, 15.3661, 15.3661)* CHOOSE(CONTROL!$C$21, $C$9, 100%, $E$9)</f>
        <v>15.366099999999999</v>
      </c>
      <c r="J417" s="10">
        <f>CHOOSE(CONTROL!$C$42, 15.3358, 15.3358)* CHOOSE(CONTROL!$C$21, $C$9, 100%, $E$9)</f>
        <v>15.335800000000001</v>
      </c>
      <c r="K417" s="53">
        <f>CHOOSE(CONTROL!$C$42, 15.3622, 15.3622) * CHOOSE(CONTROL!$C$21, $C$9, 100%, $E$9)</f>
        <v>15.3622</v>
      </c>
      <c r="L417" s="10">
        <f>CHOOSE(CONTROL!$C$42, 16.1834, 16.1834) * CHOOSE(CONTROL!$C$21, $C$9, 100%, $E$9)</f>
        <v>16.183399999999999</v>
      </c>
      <c r="M417" s="10">
        <f>CHOOSE(CONTROL!$C$42, 15.1949, 15.1949) * CHOOSE(CONTROL!$C$21, $C$9, 100%, $E$9)</f>
        <v>15.194900000000001</v>
      </c>
      <c r="N417" s="10">
        <f>CHOOSE(CONTROL!$C$42, 15.21, 15.21) * CHOOSE(CONTROL!$C$21, $C$9, 100%, $E$9)</f>
        <v>15.21</v>
      </c>
      <c r="O417" s="10">
        <f>CHOOSE(CONTROL!$C$42, 15.4529, 15.4529) * CHOOSE(CONTROL!$C$21, $C$9, 100%, $E$9)</f>
        <v>15.4529</v>
      </c>
      <c r="P417" s="10">
        <f>CHOOSE(CONTROL!$C$42, 15.2249, 15.2249) * CHOOSE(CONTROL!$C$21, $C$9, 100%, $E$9)</f>
        <v>15.2249</v>
      </c>
      <c r="Q417" s="10">
        <f>CHOOSE(CONTROL!$C$42, 16.0482, 16.0482) * CHOOSE(CONTROL!$C$21, $C$9, 100%, $E$9)</f>
        <v>16.048200000000001</v>
      </c>
      <c r="R417" s="10">
        <f>CHOOSE(CONTROL!$C$42, 16.6753, 16.6753) * CHOOSE(CONTROL!$C$21, $C$9, 100%, $E$9)</f>
        <v>16.6753</v>
      </c>
      <c r="S417" s="10">
        <f>CHOOSE(CONTROL!$C$42, 14.9177, 14.9177) * CHOOSE(CONTROL!$C$21, $C$9, 100%, $E$9)</f>
        <v>14.9177</v>
      </c>
      <c r="T4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57">
        <f>(1000*CHOOSE(CONTROL!$C$42, 695, 695)*CHOOSE(CONTROL!$C$42, 0.5599, 0.5599)*CHOOSE(CONTROL!$C$42, 30, 30))/1000000</f>
        <v>11.673914999999997</v>
      </c>
      <c r="V417" s="57">
        <f>(1000*CHOOSE(CONTROL!$C$42, 500, 500)*CHOOSE(CONTROL!$C$42, 0.275, 0.275)*CHOOSE(CONTROL!$C$42, 30, 30))/1000000</f>
        <v>4.125</v>
      </c>
      <c r="W417" s="57">
        <f>(1000*CHOOSE(CONTROL!$C$42, 0.1146, 0.1146)*CHOOSE(CONTROL!$C$42, 121.5, 121.5)*CHOOSE(CONTROL!$C$42, 30, 30))/1000000</f>
        <v>0.417717</v>
      </c>
      <c r="X417" s="57">
        <f>(30*0.1790888*245000/1000000)+(30*0.2374*100000/1000000)</f>
        <v>2.0285026799999999</v>
      </c>
      <c r="Y417" s="57"/>
      <c r="Z417" s="10"/>
      <c r="AA417" s="56"/>
      <c r="AB417" s="50">
        <f>(B417*194.205+C417*267.466+D417*133.845+E417*53.484+F417*40+G417*185+H417*0+I417*100+J417*300)/(194.205+267.466+133.845+53.484+0+40+185+100+300)</f>
        <v>15.390966290502353</v>
      </c>
      <c r="AC417" s="45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15.27508129496403</v>
      </c>
    </row>
    <row r="418" spans="1:29" ht="15.75" x14ac:dyDescent="0.25">
      <c r="A418" s="14">
        <v>53631</v>
      </c>
      <c r="B418" s="10">
        <f>CHOOSE(CONTROL!$C$42, 15.0524, 15.0524) * CHOOSE(CONTROL!$C$21, $C$9, 100%, $E$9)</f>
        <v>15.0524</v>
      </c>
      <c r="C418" s="10">
        <f>CHOOSE(CONTROL!$C$42, 15.0576, 15.0576) * CHOOSE(CONTROL!$C$21, $C$9, 100%, $E$9)</f>
        <v>15.057600000000001</v>
      </c>
      <c r="D418" s="10">
        <f>CHOOSE(CONTROL!$C$42, 15.2653, 15.2653) * CHOOSE(CONTROL!$C$21, $C$9, 100%, $E$9)</f>
        <v>15.2653</v>
      </c>
      <c r="E418" s="10">
        <f>CHOOSE(CONTROL!$C$42, 15.2941, 15.2941) * CHOOSE(CONTROL!$C$21, $C$9, 100%, $E$9)</f>
        <v>15.2941</v>
      </c>
      <c r="F418" s="10">
        <f>CHOOSE(CONTROL!$C$42, 15.0311, 15.0311)*CHOOSE(CONTROL!$C$21, $C$9, 100%, $E$9)</f>
        <v>15.0311</v>
      </c>
      <c r="G418" s="10">
        <f>CHOOSE(CONTROL!$C$42, 15.046, 15.046)*CHOOSE(CONTROL!$C$21, $C$9, 100%, $E$9)</f>
        <v>15.045999999999999</v>
      </c>
      <c r="H418" s="10">
        <f>CHOOSE(CONTROL!$C$42, 15.2845, 15.2845) * CHOOSE(CONTROL!$C$21, $C$9, 100%, $E$9)</f>
        <v>15.2845</v>
      </c>
      <c r="I418" s="10">
        <f>CHOOSE(CONTROL!$C$42, 15.0542, 15.0542)* CHOOSE(CONTROL!$C$21, $C$9, 100%, $E$9)</f>
        <v>15.0542</v>
      </c>
      <c r="J418" s="10">
        <f>CHOOSE(CONTROL!$C$42, 15.0241, 15.0241)* CHOOSE(CONTROL!$C$21, $C$9, 100%, $E$9)</f>
        <v>15.024100000000001</v>
      </c>
      <c r="K418" s="53">
        <f>CHOOSE(CONTROL!$C$42, 15.0503, 15.0503) * CHOOSE(CONTROL!$C$21, $C$9, 100%, $E$9)</f>
        <v>15.0503</v>
      </c>
      <c r="L418" s="10">
        <f>CHOOSE(CONTROL!$C$42, 15.8715, 15.8715) * CHOOSE(CONTROL!$C$21, $C$9, 100%, $E$9)</f>
        <v>15.871499999999999</v>
      </c>
      <c r="M418" s="10">
        <f>CHOOSE(CONTROL!$C$42, 14.8863, 14.8863) * CHOOSE(CONTROL!$C$21, $C$9, 100%, $E$9)</f>
        <v>14.8863</v>
      </c>
      <c r="N418" s="10">
        <f>CHOOSE(CONTROL!$C$42, 14.9011, 14.9011) * CHOOSE(CONTROL!$C$21, $C$9, 100%, $E$9)</f>
        <v>14.9011</v>
      </c>
      <c r="O418" s="10">
        <f>CHOOSE(CONTROL!$C$42, 15.1441, 15.1441) * CHOOSE(CONTROL!$C$21, $C$9, 100%, $E$9)</f>
        <v>15.1441</v>
      </c>
      <c r="P418" s="10">
        <f>CHOOSE(CONTROL!$C$42, 14.9161, 14.9161) * CHOOSE(CONTROL!$C$21, $C$9, 100%, $E$9)</f>
        <v>14.9161</v>
      </c>
      <c r="Q418" s="10">
        <f>CHOOSE(CONTROL!$C$42, 15.7394, 15.7394) * CHOOSE(CONTROL!$C$21, $C$9, 100%, $E$9)</f>
        <v>15.7394</v>
      </c>
      <c r="R418" s="10">
        <f>CHOOSE(CONTROL!$C$42, 16.3658, 16.3658) * CHOOSE(CONTROL!$C$21, $C$9, 100%, $E$9)</f>
        <v>16.3658</v>
      </c>
      <c r="S418" s="10">
        <f>CHOOSE(CONTROL!$C$42, 14.6148, 14.6148) * CHOOSE(CONTROL!$C$21, $C$9, 100%, $E$9)</f>
        <v>14.614800000000001</v>
      </c>
      <c r="T4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57">
        <f>(1000*CHOOSE(CONTROL!$C$42, 695, 695)*CHOOSE(CONTROL!$C$42, 0.5599, 0.5599)*CHOOSE(CONTROL!$C$42, 31, 31))/1000000</f>
        <v>12.063045499999998</v>
      </c>
      <c r="V418" s="57">
        <f>(1000*CHOOSE(CONTROL!$C$42, 500, 500)*CHOOSE(CONTROL!$C$42, 0.275, 0.275)*CHOOSE(CONTROL!$C$42, 31, 31))/1000000</f>
        <v>4.2625000000000002</v>
      </c>
      <c r="W418" s="57">
        <f>(1000*CHOOSE(CONTROL!$C$42, 0.1146, 0.1146)*CHOOSE(CONTROL!$C$42, 121.5, 121.5)*CHOOSE(CONTROL!$C$42, 31, 31))/1000000</f>
        <v>0.43164089999999994</v>
      </c>
      <c r="X418" s="57">
        <f>(31*0.1790888*245000/1000000)+(31*0.2374*100000/1000000)</f>
        <v>2.0961194359999999</v>
      </c>
      <c r="Y418" s="57"/>
      <c r="Z418" s="10"/>
      <c r="AA418" s="56"/>
      <c r="AB418" s="50">
        <f>(B418*131.881+C418*277.167+D418*79.08+E418*125.872+F418*40+G418*185+H418*0+I418*100+J418*300)/(131.881+277.167+79.08+125.872+0+40+185+100+300)</f>
        <v>15.08335614430993</v>
      </c>
      <c r="AC418" s="45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14.966327338129496</v>
      </c>
    </row>
    <row r="419" spans="1:29" ht="15.75" x14ac:dyDescent="0.25">
      <c r="A419" s="14">
        <v>53661</v>
      </c>
      <c r="B419" s="10">
        <f>CHOOSE(CONTROL!$C$42, 15.4484, 15.4484) * CHOOSE(CONTROL!$C$21, $C$9, 100%, $E$9)</f>
        <v>15.448399999999999</v>
      </c>
      <c r="C419" s="10">
        <f>CHOOSE(CONTROL!$C$42, 15.4534, 15.4534) * CHOOSE(CONTROL!$C$21, $C$9, 100%, $E$9)</f>
        <v>15.4534</v>
      </c>
      <c r="D419" s="10">
        <f>CHOOSE(CONTROL!$C$42, 15.5139, 15.5139) * CHOOSE(CONTROL!$C$21, $C$9, 100%, $E$9)</f>
        <v>15.5139</v>
      </c>
      <c r="E419" s="10">
        <f>CHOOSE(CONTROL!$C$42, 15.5476, 15.5476) * CHOOSE(CONTROL!$C$21, $C$9, 100%, $E$9)</f>
        <v>15.547599999999999</v>
      </c>
      <c r="F419" s="10">
        <f>CHOOSE(CONTROL!$C$42, 15.444, 15.444)*CHOOSE(CONTROL!$C$21, $C$9, 100%, $E$9)</f>
        <v>15.444000000000001</v>
      </c>
      <c r="G419" s="10">
        <f>CHOOSE(CONTROL!$C$42, 15.4593, 15.4593)*CHOOSE(CONTROL!$C$21, $C$9, 100%, $E$9)</f>
        <v>15.459300000000001</v>
      </c>
      <c r="H419" s="10">
        <f>CHOOSE(CONTROL!$C$42, 15.5368, 15.5368) * CHOOSE(CONTROL!$C$21, $C$9, 100%, $E$9)</f>
        <v>15.536799999999999</v>
      </c>
      <c r="I419" s="10">
        <f>CHOOSE(CONTROL!$C$42, 15.4609, 15.4609)* CHOOSE(CONTROL!$C$21, $C$9, 100%, $E$9)</f>
        <v>15.460900000000001</v>
      </c>
      <c r="J419" s="10">
        <f>CHOOSE(CONTROL!$C$42, 15.437, 15.437)* CHOOSE(CONTROL!$C$21, $C$9, 100%, $E$9)</f>
        <v>15.436999999999999</v>
      </c>
      <c r="K419" s="53">
        <f>CHOOSE(CONTROL!$C$42, 15.457, 15.457) * CHOOSE(CONTROL!$C$21, $C$9, 100%, $E$9)</f>
        <v>15.457000000000001</v>
      </c>
      <c r="L419" s="10">
        <f>CHOOSE(CONTROL!$C$42, 16.1238, 16.1238) * CHOOSE(CONTROL!$C$21, $C$9, 100%, $E$9)</f>
        <v>16.123799999999999</v>
      </c>
      <c r="M419" s="10">
        <f>CHOOSE(CONTROL!$C$42, 15.2951, 15.2951) * CHOOSE(CONTROL!$C$21, $C$9, 100%, $E$9)</f>
        <v>15.2951</v>
      </c>
      <c r="N419" s="10">
        <f>CHOOSE(CONTROL!$C$42, 15.3101, 15.3101) * CHOOSE(CONTROL!$C$21, $C$9, 100%, $E$9)</f>
        <v>15.3101</v>
      </c>
      <c r="O419" s="10">
        <f>CHOOSE(CONTROL!$C$42, 15.3939, 15.3939) * CHOOSE(CONTROL!$C$21, $C$9, 100%, $E$9)</f>
        <v>15.3939</v>
      </c>
      <c r="P419" s="10">
        <f>CHOOSE(CONTROL!$C$42, 15.3188, 15.3188) * CHOOSE(CONTROL!$C$21, $C$9, 100%, $E$9)</f>
        <v>15.3188</v>
      </c>
      <c r="Q419" s="10">
        <f>CHOOSE(CONTROL!$C$42, 15.9892, 15.9892) * CHOOSE(CONTROL!$C$21, $C$9, 100%, $E$9)</f>
        <v>15.9892</v>
      </c>
      <c r="R419" s="10">
        <f>CHOOSE(CONTROL!$C$42, 16.6161, 16.6161) * CHOOSE(CONTROL!$C$21, $C$9, 100%, $E$9)</f>
        <v>16.616099999999999</v>
      </c>
      <c r="S419" s="10">
        <f>CHOOSE(CONTROL!$C$42, 14.9998, 14.9998) * CHOOSE(CONTROL!$C$21, $C$9, 100%, $E$9)</f>
        <v>14.9998</v>
      </c>
      <c r="T4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57">
        <f>(1000*CHOOSE(CONTROL!$C$42, 695, 695)*CHOOSE(CONTROL!$C$42, 0.5599, 0.5599)*CHOOSE(CONTROL!$C$42, 30, 30))/1000000</f>
        <v>11.673914999999997</v>
      </c>
      <c r="V419" s="57">
        <f>(1000*CHOOSE(CONTROL!$C$42, 500, 500)*CHOOSE(CONTROL!$C$42, 0.275, 0.275)*CHOOSE(CONTROL!$C$42, 30, 30))/1000000</f>
        <v>4.125</v>
      </c>
      <c r="W419" s="57">
        <f>(1000*CHOOSE(CONTROL!$C$42, 0.1146, 0.1146)*CHOOSE(CONTROL!$C$42, 121.5, 121.5)*CHOOSE(CONTROL!$C$42, 30, 30))/1000000</f>
        <v>0.417717</v>
      </c>
      <c r="X419" s="57">
        <f>(30*0.1790888*100000/1000000)+(30*0.2374*100000/1000000)</f>
        <v>1.2494664</v>
      </c>
      <c r="Y419" s="57"/>
      <c r="Z419" s="10"/>
      <c r="AA419" s="56"/>
      <c r="AB419" s="50">
        <f>(B419*122.58+C419*297.941+D419*89.177+E419*40.302+F419*40+G419*160+H419*0+I419*100+J419*300)/(122.58+297.941+89.177+40.302+0+40+160+100+300)</f>
        <v>15.457727614695651</v>
      </c>
      <c r="AC419" s="45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15.344153237410072</v>
      </c>
    </row>
    <row r="420" spans="1:29" ht="15.75" x14ac:dyDescent="0.25">
      <c r="A420" s="14">
        <v>53692</v>
      </c>
      <c r="B420" s="10">
        <f>CHOOSE(CONTROL!$C$42, 16.5015, 16.5015) * CHOOSE(CONTROL!$C$21, $C$9, 100%, $E$9)</f>
        <v>16.5015</v>
      </c>
      <c r="C420" s="10">
        <f>CHOOSE(CONTROL!$C$42, 16.5064, 16.5064) * CHOOSE(CONTROL!$C$21, $C$9, 100%, $E$9)</f>
        <v>16.506399999999999</v>
      </c>
      <c r="D420" s="10">
        <f>CHOOSE(CONTROL!$C$42, 16.5669, 16.5669) * CHOOSE(CONTROL!$C$21, $C$9, 100%, $E$9)</f>
        <v>16.5669</v>
      </c>
      <c r="E420" s="10">
        <f>CHOOSE(CONTROL!$C$42, 16.6007, 16.6007) * CHOOSE(CONTROL!$C$21, $C$9, 100%, $E$9)</f>
        <v>16.6007</v>
      </c>
      <c r="F420" s="10">
        <f>CHOOSE(CONTROL!$C$42, 16.4989, 16.4989)*CHOOSE(CONTROL!$C$21, $C$9, 100%, $E$9)</f>
        <v>16.498899999999999</v>
      </c>
      <c r="G420" s="10">
        <f>CHOOSE(CONTROL!$C$42, 16.5146, 16.5146)*CHOOSE(CONTROL!$C$21, $C$9, 100%, $E$9)</f>
        <v>16.514600000000002</v>
      </c>
      <c r="H420" s="10">
        <f>CHOOSE(CONTROL!$C$42, 16.5899, 16.5899) * CHOOSE(CONTROL!$C$21, $C$9, 100%, $E$9)</f>
        <v>16.5899</v>
      </c>
      <c r="I420" s="10">
        <f>CHOOSE(CONTROL!$C$42, 16.514, 16.514)* CHOOSE(CONTROL!$C$21, $C$9, 100%, $E$9)</f>
        <v>16.513999999999999</v>
      </c>
      <c r="J420" s="10">
        <f>CHOOSE(CONTROL!$C$42, 16.4919, 16.4919)* CHOOSE(CONTROL!$C$21, $C$9, 100%, $E$9)</f>
        <v>16.491900000000001</v>
      </c>
      <c r="K420" s="53">
        <f>CHOOSE(CONTROL!$C$42, 16.5101, 16.5101) * CHOOSE(CONTROL!$C$21, $C$9, 100%, $E$9)</f>
        <v>16.510100000000001</v>
      </c>
      <c r="L420" s="10">
        <f>CHOOSE(CONTROL!$C$42, 17.1769, 17.1769) * CHOOSE(CONTROL!$C$21, $C$9, 100%, $E$9)</f>
        <v>17.1769</v>
      </c>
      <c r="M420" s="10">
        <f>CHOOSE(CONTROL!$C$42, 16.3393, 16.3393) * CHOOSE(CONTROL!$C$21, $C$9, 100%, $E$9)</f>
        <v>16.339300000000001</v>
      </c>
      <c r="N420" s="10">
        <f>CHOOSE(CONTROL!$C$42, 16.3549, 16.3549) * CHOOSE(CONTROL!$C$21, $C$9, 100%, $E$9)</f>
        <v>16.354900000000001</v>
      </c>
      <c r="O420" s="10">
        <f>CHOOSE(CONTROL!$C$42, 16.4363, 16.4363) * CHOOSE(CONTROL!$C$21, $C$9, 100%, $E$9)</f>
        <v>16.436299999999999</v>
      </c>
      <c r="P420" s="10">
        <f>CHOOSE(CONTROL!$C$42, 16.3612, 16.3612) * CHOOSE(CONTROL!$C$21, $C$9, 100%, $E$9)</f>
        <v>16.3612</v>
      </c>
      <c r="Q420" s="10">
        <f>CHOOSE(CONTROL!$C$42, 17.0316, 17.0316) * CHOOSE(CONTROL!$C$21, $C$9, 100%, $E$9)</f>
        <v>17.031600000000001</v>
      </c>
      <c r="R420" s="10">
        <f>CHOOSE(CONTROL!$C$42, 17.6612, 17.6612) * CHOOSE(CONTROL!$C$21, $C$9, 100%, $E$9)</f>
        <v>17.661200000000001</v>
      </c>
      <c r="S420" s="10">
        <f>CHOOSE(CONTROL!$C$42, 16.0224, 16.0224) * CHOOSE(CONTROL!$C$21, $C$9, 100%, $E$9)</f>
        <v>16.022400000000001</v>
      </c>
      <c r="T4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57">
        <f>(1000*CHOOSE(CONTROL!$C$42, 695, 695)*CHOOSE(CONTROL!$C$42, 0.5599, 0.5599)*CHOOSE(CONTROL!$C$42, 31, 31))/1000000</f>
        <v>12.063045499999998</v>
      </c>
      <c r="V420" s="57">
        <f>(1000*CHOOSE(CONTROL!$C$42, 500, 500)*CHOOSE(CONTROL!$C$42, 0.275, 0.275)*CHOOSE(CONTROL!$C$42, 31, 31))/1000000</f>
        <v>4.2625000000000002</v>
      </c>
      <c r="W420" s="57">
        <f>(1000*CHOOSE(CONTROL!$C$42, 0.1146, 0.1146)*CHOOSE(CONTROL!$C$42, 121.5, 121.5)*CHOOSE(CONTROL!$C$42, 31, 31))/1000000</f>
        <v>0.43164089999999994</v>
      </c>
      <c r="X420" s="57">
        <f>(31*0.1790888*100000/1000000)+(31*0.2374*100000/1000000)</f>
        <v>1.2911152800000001</v>
      </c>
      <c r="Y420" s="57"/>
      <c r="Z420" s="10"/>
      <c r="AA420" s="56"/>
      <c r="AB420" s="50">
        <f>(B420*122.58+C420*297.941+D420*89.177+E420*40.302+F420*40+G420*160+H420*0+I420*100+J420*300)/(122.58+297.941+89.177+40.302+0+40+160+100+300)</f>
        <v>16.511632213130433</v>
      </c>
      <c r="AC420" s="45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16.38731294964029</v>
      </c>
    </row>
    <row r="421" spans="1:29" ht="15.75" x14ac:dyDescent="0.25">
      <c r="A421" s="14">
        <v>53723</v>
      </c>
      <c r="B421" s="10">
        <f>CHOOSE(CONTROL!$C$42, 17.8533, 17.8533) * CHOOSE(CONTROL!$C$21, $C$9, 100%, $E$9)</f>
        <v>17.853300000000001</v>
      </c>
      <c r="C421" s="10">
        <f>CHOOSE(CONTROL!$C$42, 17.8583, 17.8583) * CHOOSE(CONTROL!$C$21, $C$9, 100%, $E$9)</f>
        <v>17.8583</v>
      </c>
      <c r="D421" s="10">
        <f>CHOOSE(CONTROL!$C$42, 17.9153, 17.9153) * CHOOSE(CONTROL!$C$21, $C$9, 100%, $E$9)</f>
        <v>17.915299999999998</v>
      </c>
      <c r="E421" s="10">
        <f>CHOOSE(CONTROL!$C$42, 17.9491, 17.9491) * CHOOSE(CONTROL!$C$21, $C$9, 100%, $E$9)</f>
        <v>17.949100000000001</v>
      </c>
      <c r="F421" s="10">
        <f>CHOOSE(CONTROL!$C$42, 17.8511, 17.8511)*CHOOSE(CONTROL!$C$21, $C$9, 100%, $E$9)</f>
        <v>17.851099999999999</v>
      </c>
      <c r="G421" s="10">
        <f>CHOOSE(CONTROL!$C$42, 17.8657, 17.8657)*CHOOSE(CONTROL!$C$21, $C$9, 100%, $E$9)</f>
        <v>17.8657</v>
      </c>
      <c r="H421" s="10">
        <f>CHOOSE(CONTROL!$C$42, 17.9383, 17.9383) * CHOOSE(CONTROL!$C$21, $C$9, 100%, $E$9)</f>
        <v>17.938300000000002</v>
      </c>
      <c r="I421" s="10">
        <f>CHOOSE(CONTROL!$C$42, 17.8641, 17.8641)* CHOOSE(CONTROL!$C$21, $C$9, 100%, $E$9)</f>
        <v>17.864100000000001</v>
      </c>
      <c r="J421" s="10">
        <f>CHOOSE(CONTROL!$C$42, 17.8441, 17.8441)* CHOOSE(CONTROL!$C$21, $C$9, 100%, $E$9)</f>
        <v>17.844100000000001</v>
      </c>
      <c r="K421" s="53">
        <f>CHOOSE(CONTROL!$C$42, 17.8602, 17.8602) * CHOOSE(CONTROL!$C$21, $C$9, 100%, $E$9)</f>
        <v>17.860199999999999</v>
      </c>
      <c r="L421" s="10">
        <f>CHOOSE(CONTROL!$C$42, 18.5253, 18.5253) * CHOOSE(CONTROL!$C$21, $C$9, 100%, $E$9)</f>
        <v>18.525300000000001</v>
      </c>
      <c r="M421" s="10">
        <f>CHOOSE(CONTROL!$C$42, 17.6779, 17.6779) * CHOOSE(CONTROL!$C$21, $C$9, 100%, $E$9)</f>
        <v>17.677900000000001</v>
      </c>
      <c r="N421" s="10">
        <f>CHOOSE(CONTROL!$C$42, 17.6923, 17.6923) * CHOOSE(CONTROL!$C$21, $C$9, 100%, $E$9)</f>
        <v>17.692299999999999</v>
      </c>
      <c r="O421" s="10">
        <f>CHOOSE(CONTROL!$C$42, 17.7711, 17.7711) * CHOOSE(CONTROL!$C$21, $C$9, 100%, $E$9)</f>
        <v>17.771100000000001</v>
      </c>
      <c r="P421" s="10">
        <f>CHOOSE(CONTROL!$C$42, 17.6977, 17.6977) * CHOOSE(CONTROL!$C$21, $C$9, 100%, $E$9)</f>
        <v>17.697700000000001</v>
      </c>
      <c r="Q421" s="10">
        <f>CHOOSE(CONTROL!$C$42, 18.3664, 18.3664) * CHOOSE(CONTROL!$C$21, $C$9, 100%, $E$9)</f>
        <v>18.366399999999999</v>
      </c>
      <c r="R421" s="10">
        <f>CHOOSE(CONTROL!$C$42, 18.9993, 18.9993) * CHOOSE(CONTROL!$C$21, $C$9, 100%, $E$9)</f>
        <v>18.999300000000002</v>
      </c>
      <c r="S421" s="10">
        <f>CHOOSE(CONTROL!$C$42, 17.3352, 17.3352) * CHOOSE(CONTROL!$C$21, $C$9, 100%, $E$9)</f>
        <v>17.3352</v>
      </c>
      <c r="T4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57">
        <f>(1000*CHOOSE(CONTROL!$C$42, 695, 695)*CHOOSE(CONTROL!$C$42, 0.5599, 0.5599)*CHOOSE(CONTROL!$C$42, 31, 31))/1000000</f>
        <v>12.063045499999998</v>
      </c>
      <c r="V421" s="57">
        <f>(1000*CHOOSE(CONTROL!$C$42, 500, 500)*CHOOSE(CONTROL!$C$42, 0.275, 0.275)*CHOOSE(CONTROL!$C$42, 31, 31))/1000000</f>
        <v>4.2625000000000002</v>
      </c>
      <c r="W421" s="57">
        <f>(1000*CHOOSE(CONTROL!$C$42, 0.1146, 0.1146)*CHOOSE(CONTROL!$C$42, 121.5, 121.5)*CHOOSE(CONTROL!$C$42, 31, 31))/1000000</f>
        <v>0.43164089999999994</v>
      </c>
      <c r="X421" s="57">
        <f>(31*0.1790888*100000/1000000)+(31*0.2374*100000/1000000)</f>
        <v>1.2911152800000001</v>
      </c>
      <c r="Y421" s="57"/>
      <c r="Z421" s="10"/>
      <c r="AA421" s="56"/>
      <c r="AB421" s="50">
        <f>(B421*122.58+C421*297.941+D421*89.177+E421*40.302+F421*40+G421*160+H421*0+I421*100+J421*300)/(122.58+297.941+89.177+40.302+0+40+160+100+300)</f>
        <v>17.862948357043479</v>
      </c>
      <c r="AC421" s="45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17.723819424460434</v>
      </c>
    </row>
    <row r="422" spans="1:29" ht="15.75" x14ac:dyDescent="0.25">
      <c r="A422" s="14">
        <v>53751</v>
      </c>
      <c r="B422" s="10">
        <f>CHOOSE(CONTROL!$C$42, 18.1711, 18.1711) * CHOOSE(CONTROL!$C$21, $C$9, 100%, $E$9)</f>
        <v>18.171099999999999</v>
      </c>
      <c r="C422" s="10">
        <f>CHOOSE(CONTROL!$C$42, 18.176, 18.176) * CHOOSE(CONTROL!$C$21, $C$9, 100%, $E$9)</f>
        <v>18.175999999999998</v>
      </c>
      <c r="D422" s="10">
        <f>CHOOSE(CONTROL!$C$42, 18.2331, 18.2331) * CHOOSE(CONTROL!$C$21, $C$9, 100%, $E$9)</f>
        <v>18.2331</v>
      </c>
      <c r="E422" s="10">
        <f>CHOOSE(CONTROL!$C$42, 18.2669, 18.2669) * CHOOSE(CONTROL!$C$21, $C$9, 100%, $E$9)</f>
        <v>18.2669</v>
      </c>
      <c r="F422" s="10">
        <f>CHOOSE(CONTROL!$C$42, 18.169, 18.169)*CHOOSE(CONTROL!$C$21, $C$9, 100%, $E$9)</f>
        <v>18.169</v>
      </c>
      <c r="G422" s="10">
        <f>CHOOSE(CONTROL!$C$42, 18.1837, 18.1837)*CHOOSE(CONTROL!$C$21, $C$9, 100%, $E$9)</f>
        <v>18.183700000000002</v>
      </c>
      <c r="H422" s="10">
        <f>CHOOSE(CONTROL!$C$42, 18.2561, 18.2561) * CHOOSE(CONTROL!$C$21, $C$9, 100%, $E$9)</f>
        <v>18.2561</v>
      </c>
      <c r="I422" s="10">
        <f>CHOOSE(CONTROL!$C$42, 18.1819, 18.1819)* CHOOSE(CONTROL!$C$21, $C$9, 100%, $E$9)</f>
        <v>18.181899999999999</v>
      </c>
      <c r="J422" s="10">
        <f>CHOOSE(CONTROL!$C$42, 18.162, 18.162)* CHOOSE(CONTROL!$C$21, $C$9, 100%, $E$9)</f>
        <v>18.161999999999999</v>
      </c>
      <c r="K422" s="53">
        <f>CHOOSE(CONTROL!$C$42, 18.178, 18.178) * CHOOSE(CONTROL!$C$21, $C$9, 100%, $E$9)</f>
        <v>18.178000000000001</v>
      </c>
      <c r="L422" s="10">
        <f>CHOOSE(CONTROL!$C$42, 18.8431, 18.8431) * CHOOSE(CONTROL!$C$21, $C$9, 100%, $E$9)</f>
        <v>18.8431</v>
      </c>
      <c r="M422" s="10">
        <f>CHOOSE(CONTROL!$C$42, 17.9926, 17.9926) * CHOOSE(CONTROL!$C$21, $C$9, 100%, $E$9)</f>
        <v>17.992599999999999</v>
      </c>
      <c r="N422" s="10">
        <f>CHOOSE(CONTROL!$C$42, 18.0071, 18.0071) * CHOOSE(CONTROL!$C$21, $C$9, 100%, $E$9)</f>
        <v>18.007100000000001</v>
      </c>
      <c r="O422" s="10">
        <f>CHOOSE(CONTROL!$C$42, 18.0857, 18.0857) * CHOOSE(CONTROL!$C$21, $C$9, 100%, $E$9)</f>
        <v>18.085699999999999</v>
      </c>
      <c r="P422" s="10">
        <f>CHOOSE(CONTROL!$C$42, 18.0122, 18.0122) * CHOOSE(CONTROL!$C$21, $C$9, 100%, $E$9)</f>
        <v>18.0122</v>
      </c>
      <c r="Q422" s="10">
        <f>CHOOSE(CONTROL!$C$42, 18.681, 18.681) * CHOOSE(CONTROL!$C$21, $C$9, 100%, $E$9)</f>
        <v>18.681000000000001</v>
      </c>
      <c r="R422" s="10">
        <f>CHOOSE(CONTROL!$C$42, 19.3147, 19.3147) * CHOOSE(CONTROL!$C$21, $C$9, 100%, $E$9)</f>
        <v>19.314699999999998</v>
      </c>
      <c r="S422" s="10">
        <f>CHOOSE(CONTROL!$C$42, 17.6438, 17.6438) * CHOOSE(CONTROL!$C$21, $C$9, 100%, $E$9)</f>
        <v>17.643799999999999</v>
      </c>
      <c r="T4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22" s="57">
        <f>(1000*CHOOSE(CONTROL!$C$42, 695, 695)*CHOOSE(CONTROL!$C$42, 0.5599, 0.5599)*CHOOSE(CONTROL!$C$42, 28, 28))/1000000</f>
        <v>10.895653999999999</v>
      </c>
      <c r="V422" s="57">
        <f>(1000*CHOOSE(CONTROL!$C$42, 500, 500)*CHOOSE(CONTROL!$C$42, 0.275, 0.275)*CHOOSE(CONTROL!$C$42, 28, 28))/1000000</f>
        <v>3.85</v>
      </c>
      <c r="W422" s="57">
        <f>(1000*CHOOSE(CONTROL!$C$42, 0.1146, 0.1146)*CHOOSE(CONTROL!$C$42, 121.5, 121.5)*CHOOSE(CONTROL!$C$42, 28, 28))/1000000</f>
        <v>0.38986920000000003</v>
      </c>
      <c r="X422" s="57">
        <f>(28*0.1790888*100000/1000000)+(28*0.2374*100000/1000000)</f>
        <v>1.16616864</v>
      </c>
      <c r="Y422" s="57"/>
      <c r="Z422" s="10"/>
      <c r="AA422" s="56"/>
      <c r="AB422" s="50">
        <f>(B422*122.58+C422*297.941+D422*89.177+E422*40.302+F422*40+G422*160+H422*0+I422*100+J422*300)/(122.58+297.941+89.177+40.302+0+40+160+100+300)</f>
        <v>18.180779840434784</v>
      </c>
      <c r="AC422" s="45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18.038451079136689</v>
      </c>
    </row>
    <row r="423" spans="1:29" ht="15.75" x14ac:dyDescent="0.25">
      <c r="A423" s="14">
        <v>53782</v>
      </c>
      <c r="B423" s="10">
        <f>CHOOSE(CONTROL!$C$42, 17.6553, 17.6553) * CHOOSE(CONTROL!$C$21, $C$9, 100%, $E$9)</f>
        <v>17.6553</v>
      </c>
      <c r="C423" s="10">
        <f>CHOOSE(CONTROL!$C$42, 17.6602, 17.6602) * CHOOSE(CONTROL!$C$21, $C$9, 100%, $E$9)</f>
        <v>17.6602</v>
      </c>
      <c r="D423" s="10">
        <f>CHOOSE(CONTROL!$C$42, 17.7173, 17.7173) * CHOOSE(CONTROL!$C$21, $C$9, 100%, $E$9)</f>
        <v>17.717300000000002</v>
      </c>
      <c r="E423" s="10">
        <f>CHOOSE(CONTROL!$C$42, 17.7511, 17.7511) * CHOOSE(CONTROL!$C$21, $C$9, 100%, $E$9)</f>
        <v>17.751100000000001</v>
      </c>
      <c r="F423" s="10">
        <f>CHOOSE(CONTROL!$C$42, 17.6531, 17.6531)*CHOOSE(CONTROL!$C$21, $C$9, 100%, $E$9)</f>
        <v>17.653099999999998</v>
      </c>
      <c r="G423" s="10">
        <f>CHOOSE(CONTROL!$C$42, 17.6677, 17.6677)*CHOOSE(CONTROL!$C$21, $C$9, 100%, $E$9)</f>
        <v>17.6677</v>
      </c>
      <c r="H423" s="10">
        <f>CHOOSE(CONTROL!$C$42, 17.7403, 17.7403) * CHOOSE(CONTROL!$C$21, $C$9, 100%, $E$9)</f>
        <v>17.740300000000001</v>
      </c>
      <c r="I423" s="10">
        <f>CHOOSE(CONTROL!$C$42, 17.6661, 17.6661)* CHOOSE(CONTROL!$C$21, $C$9, 100%, $E$9)</f>
        <v>17.6661</v>
      </c>
      <c r="J423" s="10">
        <f>CHOOSE(CONTROL!$C$42, 17.6461, 17.6461)* CHOOSE(CONTROL!$C$21, $C$9, 100%, $E$9)</f>
        <v>17.646100000000001</v>
      </c>
      <c r="K423" s="53">
        <f>CHOOSE(CONTROL!$C$42, 17.6622, 17.6622) * CHOOSE(CONTROL!$C$21, $C$9, 100%, $E$9)</f>
        <v>17.662199999999999</v>
      </c>
      <c r="L423" s="10">
        <f>CHOOSE(CONTROL!$C$42, 18.3273, 18.3273) * CHOOSE(CONTROL!$C$21, $C$9, 100%, $E$9)</f>
        <v>18.327300000000001</v>
      </c>
      <c r="M423" s="10">
        <f>CHOOSE(CONTROL!$C$42, 17.4818, 17.4818) * CHOOSE(CONTROL!$C$21, $C$9, 100%, $E$9)</f>
        <v>17.4818</v>
      </c>
      <c r="N423" s="10">
        <f>CHOOSE(CONTROL!$C$42, 17.4963, 17.4963) * CHOOSE(CONTROL!$C$21, $C$9, 100%, $E$9)</f>
        <v>17.496300000000002</v>
      </c>
      <c r="O423" s="10">
        <f>CHOOSE(CONTROL!$C$42, 17.5751, 17.5751) * CHOOSE(CONTROL!$C$21, $C$9, 100%, $E$9)</f>
        <v>17.575099999999999</v>
      </c>
      <c r="P423" s="10">
        <f>CHOOSE(CONTROL!$C$42, 17.5016, 17.5016) * CHOOSE(CONTROL!$C$21, $C$9, 100%, $E$9)</f>
        <v>17.5016</v>
      </c>
      <c r="Q423" s="10">
        <f>CHOOSE(CONTROL!$C$42, 18.1704, 18.1704) * CHOOSE(CONTROL!$C$21, $C$9, 100%, $E$9)</f>
        <v>18.170400000000001</v>
      </c>
      <c r="R423" s="10">
        <f>CHOOSE(CONTROL!$C$42, 18.8028, 18.8028) * CHOOSE(CONTROL!$C$21, $C$9, 100%, $E$9)</f>
        <v>18.802800000000001</v>
      </c>
      <c r="S423" s="10">
        <f>CHOOSE(CONTROL!$C$42, 17.1429, 17.1429) * CHOOSE(CONTROL!$C$21, $C$9, 100%, $E$9)</f>
        <v>17.142900000000001</v>
      </c>
      <c r="T4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57">
        <f>(1000*CHOOSE(CONTROL!$C$42, 695, 695)*CHOOSE(CONTROL!$C$42, 0.5599, 0.5599)*CHOOSE(CONTROL!$C$42, 31, 31))/1000000</f>
        <v>12.063045499999998</v>
      </c>
      <c r="V423" s="57">
        <f>(1000*CHOOSE(CONTROL!$C$42, 500, 500)*CHOOSE(CONTROL!$C$42, 0.275, 0.275)*CHOOSE(CONTROL!$C$42, 31, 31))/1000000</f>
        <v>4.2625000000000002</v>
      </c>
      <c r="W423" s="57">
        <f>(1000*CHOOSE(CONTROL!$C$42, 0.1146, 0.1146)*CHOOSE(CONTROL!$C$42, 121.5, 121.5)*CHOOSE(CONTROL!$C$42, 31, 31))/1000000</f>
        <v>0.43164089999999994</v>
      </c>
      <c r="X423" s="57">
        <f>(31*0.1790888*100000/1000000)+(31*0.2374*100000/1000000)</f>
        <v>1.2911152800000001</v>
      </c>
      <c r="Y423" s="57"/>
      <c r="Z423" s="10"/>
      <c r="AA423" s="56"/>
      <c r="AB423" s="50">
        <f>(B423*122.58+C423*297.941+D423*89.177+E423*40.302+F423*40+G423*160+H423*0+I423*100+J423*300)/(122.58+297.941+89.177+40.302+0+40+160+100+300)</f>
        <v>17.664922449130433</v>
      </c>
      <c r="AC423" s="45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17.527770503597122</v>
      </c>
    </row>
    <row r="424" spans="1:29" ht="15.75" x14ac:dyDescent="0.25">
      <c r="A424" s="14">
        <v>53812</v>
      </c>
      <c r="B424" s="10">
        <f>CHOOSE(CONTROL!$C$42, 17.6036, 17.6036) * CHOOSE(CONTROL!$C$21, $C$9, 100%, $E$9)</f>
        <v>17.6036</v>
      </c>
      <c r="C424" s="10">
        <f>CHOOSE(CONTROL!$C$42, 17.608, 17.608) * CHOOSE(CONTROL!$C$21, $C$9, 100%, $E$9)</f>
        <v>17.608000000000001</v>
      </c>
      <c r="D424" s="10">
        <f>CHOOSE(CONTROL!$C$42, 17.8138, 17.8138) * CHOOSE(CONTROL!$C$21, $C$9, 100%, $E$9)</f>
        <v>17.813800000000001</v>
      </c>
      <c r="E424" s="10">
        <f>CHOOSE(CONTROL!$C$42, 17.8456, 17.8456) * CHOOSE(CONTROL!$C$21, $C$9, 100%, $E$9)</f>
        <v>17.845600000000001</v>
      </c>
      <c r="F424" s="10">
        <f>CHOOSE(CONTROL!$C$42, 17.5804, 17.5804)*CHOOSE(CONTROL!$C$21, $C$9, 100%, $E$9)</f>
        <v>17.580400000000001</v>
      </c>
      <c r="G424" s="10">
        <f>CHOOSE(CONTROL!$C$42, 17.5949, 17.5949)*CHOOSE(CONTROL!$C$21, $C$9, 100%, $E$9)</f>
        <v>17.594899999999999</v>
      </c>
      <c r="H424" s="10">
        <f>CHOOSE(CONTROL!$C$42, 17.8354, 17.8354) * CHOOSE(CONTROL!$C$21, $C$9, 100%, $E$9)</f>
        <v>17.8354</v>
      </c>
      <c r="I424" s="10">
        <f>CHOOSE(CONTROL!$C$42, 17.605, 17.605)* CHOOSE(CONTROL!$C$21, $C$9, 100%, $E$9)</f>
        <v>17.605</v>
      </c>
      <c r="J424" s="10">
        <f>CHOOSE(CONTROL!$C$42, 17.5734, 17.5734)* CHOOSE(CONTROL!$C$21, $C$9, 100%, $E$9)</f>
        <v>17.573399999999999</v>
      </c>
      <c r="K424" s="53">
        <f>CHOOSE(CONTROL!$C$42, 17.6011, 17.6011) * CHOOSE(CONTROL!$C$21, $C$9, 100%, $E$9)</f>
        <v>17.601099999999999</v>
      </c>
      <c r="L424" s="10">
        <f>CHOOSE(CONTROL!$C$42, 18.4224, 18.4224) * CHOOSE(CONTROL!$C$21, $C$9, 100%, $E$9)</f>
        <v>18.4224</v>
      </c>
      <c r="M424" s="10">
        <f>CHOOSE(CONTROL!$C$42, 17.4098, 17.4098) * CHOOSE(CONTROL!$C$21, $C$9, 100%, $E$9)</f>
        <v>17.409800000000001</v>
      </c>
      <c r="N424" s="10">
        <f>CHOOSE(CONTROL!$C$42, 17.4242, 17.4242) * CHOOSE(CONTROL!$C$21, $C$9, 100%, $E$9)</f>
        <v>17.424199999999999</v>
      </c>
      <c r="O424" s="10">
        <f>CHOOSE(CONTROL!$C$42, 17.6692, 17.6692) * CHOOSE(CONTROL!$C$21, $C$9, 100%, $E$9)</f>
        <v>17.6692</v>
      </c>
      <c r="P424" s="10">
        <f>CHOOSE(CONTROL!$C$42, 17.4412, 17.4412) * CHOOSE(CONTROL!$C$21, $C$9, 100%, $E$9)</f>
        <v>17.441199999999998</v>
      </c>
      <c r="Q424" s="10">
        <f>CHOOSE(CONTROL!$C$42, 18.2645, 18.2645) * CHOOSE(CONTROL!$C$21, $C$9, 100%, $E$9)</f>
        <v>18.264500000000002</v>
      </c>
      <c r="R424" s="10">
        <f>CHOOSE(CONTROL!$C$42, 18.8972, 18.8972) * CHOOSE(CONTROL!$C$21, $C$9, 100%, $E$9)</f>
        <v>18.897200000000002</v>
      </c>
      <c r="S424" s="10">
        <f>CHOOSE(CONTROL!$C$42, 17.0919, 17.0919) * CHOOSE(CONTROL!$C$21, $C$9, 100%, $E$9)</f>
        <v>17.091899999999999</v>
      </c>
      <c r="T4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57">
        <f>(1000*CHOOSE(CONTROL!$C$42, 695, 695)*CHOOSE(CONTROL!$C$42, 0.5599, 0.5599)*CHOOSE(CONTROL!$C$42, 30, 30))/1000000</f>
        <v>11.673914999999997</v>
      </c>
      <c r="V424" s="57">
        <f>(1000*CHOOSE(CONTROL!$C$42, 500, 500)*CHOOSE(CONTROL!$C$42, 0.275, 0.275)*CHOOSE(CONTROL!$C$42, 30, 30))/1000000</f>
        <v>4.125</v>
      </c>
      <c r="W424" s="57">
        <f>(1000*CHOOSE(CONTROL!$C$42, 0.1146, 0.1146)*CHOOSE(CONTROL!$C$42, 121.5, 121.5)*CHOOSE(CONTROL!$C$42, 30, 30))/1000000</f>
        <v>0.417717</v>
      </c>
      <c r="X424" s="57">
        <f>(30*0.1790888*245000/1000000)+(30*0.2374*100000/1000000)</f>
        <v>2.0285026799999999</v>
      </c>
      <c r="Y424" s="57"/>
      <c r="Z424" s="10"/>
      <c r="AA424" s="56"/>
      <c r="AB424" s="50">
        <f>(B424*141.293+C424*267.993+D424*115.016+E424*89.698+F424*40+G424*185+H424*0+I424*100+J424*300)/(141.293+267.993+115.016+89.698+0+40+185+100+300)</f>
        <v>17.632336842937853</v>
      </c>
      <c r="AC424" s="45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17.490414388489206</v>
      </c>
    </row>
    <row r="425" spans="1:29" ht="15.75" x14ac:dyDescent="0.25">
      <c r="A425" s="14">
        <v>53843</v>
      </c>
      <c r="B425" s="10">
        <f>CHOOSE(CONTROL!$C$42, 17.7603, 17.7603) * CHOOSE(CONTROL!$C$21, $C$9, 100%, $E$9)</f>
        <v>17.760300000000001</v>
      </c>
      <c r="C425" s="10">
        <f>CHOOSE(CONTROL!$C$42, 17.7682, 17.7682) * CHOOSE(CONTROL!$C$21, $C$9, 100%, $E$9)</f>
        <v>17.7682</v>
      </c>
      <c r="D425" s="10">
        <f>CHOOSE(CONTROL!$C$42, 17.971, 17.971) * CHOOSE(CONTROL!$C$21, $C$9, 100%, $E$9)</f>
        <v>17.971</v>
      </c>
      <c r="E425" s="10">
        <f>CHOOSE(CONTROL!$C$42, 18.0021, 18.0021) * CHOOSE(CONTROL!$C$21, $C$9, 100%, $E$9)</f>
        <v>18.002099999999999</v>
      </c>
      <c r="F425" s="10">
        <f>CHOOSE(CONTROL!$C$42, 17.736, 17.736)*CHOOSE(CONTROL!$C$21, $C$9, 100%, $E$9)</f>
        <v>17.736000000000001</v>
      </c>
      <c r="G425" s="10">
        <f>CHOOSE(CONTROL!$C$42, 17.751, 17.751)*CHOOSE(CONTROL!$C$21, $C$9, 100%, $E$9)</f>
        <v>17.751000000000001</v>
      </c>
      <c r="H425" s="10">
        <f>CHOOSE(CONTROL!$C$42, 17.9907, 17.9907) * CHOOSE(CONTROL!$C$21, $C$9, 100%, $E$9)</f>
        <v>17.9907</v>
      </c>
      <c r="I425" s="10">
        <f>CHOOSE(CONTROL!$C$42, 17.7604, 17.7604)* CHOOSE(CONTROL!$C$21, $C$9, 100%, $E$9)</f>
        <v>17.760400000000001</v>
      </c>
      <c r="J425" s="10">
        <f>CHOOSE(CONTROL!$C$42, 17.729, 17.729)* CHOOSE(CONTROL!$C$21, $C$9, 100%, $E$9)</f>
        <v>17.728999999999999</v>
      </c>
      <c r="K425" s="53">
        <f>CHOOSE(CONTROL!$C$42, 17.7565, 17.7565) * CHOOSE(CONTROL!$C$21, $C$9, 100%, $E$9)</f>
        <v>17.756499999999999</v>
      </c>
      <c r="L425" s="10">
        <f>CHOOSE(CONTROL!$C$42, 18.5777, 18.5777) * CHOOSE(CONTROL!$C$21, $C$9, 100%, $E$9)</f>
        <v>18.5777</v>
      </c>
      <c r="M425" s="10">
        <f>CHOOSE(CONTROL!$C$42, 17.5639, 17.5639) * CHOOSE(CONTROL!$C$21, $C$9, 100%, $E$9)</f>
        <v>17.5639</v>
      </c>
      <c r="N425" s="10">
        <f>CHOOSE(CONTROL!$C$42, 17.5788, 17.5788) * CHOOSE(CONTROL!$C$21, $C$9, 100%, $E$9)</f>
        <v>17.578800000000001</v>
      </c>
      <c r="O425" s="10">
        <f>CHOOSE(CONTROL!$C$42, 17.823, 17.823) * CHOOSE(CONTROL!$C$21, $C$9, 100%, $E$9)</f>
        <v>17.823</v>
      </c>
      <c r="P425" s="10">
        <f>CHOOSE(CONTROL!$C$42, 17.595, 17.595) * CHOOSE(CONTROL!$C$21, $C$9, 100%, $E$9)</f>
        <v>17.594999999999999</v>
      </c>
      <c r="Q425" s="10">
        <f>CHOOSE(CONTROL!$C$42, 18.4183, 18.4183) * CHOOSE(CONTROL!$C$21, $C$9, 100%, $E$9)</f>
        <v>18.418299999999999</v>
      </c>
      <c r="R425" s="10">
        <f>CHOOSE(CONTROL!$C$42, 19.0513, 19.0513) * CHOOSE(CONTROL!$C$21, $C$9, 100%, $E$9)</f>
        <v>19.051300000000001</v>
      </c>
      <c r="S425" s="10">
        <f>CHOOSE(CONTROL!$C$42, 17.2428, 17.2428) * CHOOSE(CONTROL!$C$21, $C$9, 100%, $E$9)</f>
        <v>17.242799999999999</v>
      </c>
      <c r="T4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57">
        <f>(1000*CHOOSE(CONTROL!$C$42, 695, 695)*CHOOSE(CONTROL!$C$42, 0.5599, 0.5599)*CHOOSE(CONTROL!$C$42, 31, 31))/1000000</f>
        <v>12.063045499999998</v>
      </c>
      <c r="V425" s="57">
        <f>(1000*CHOOSE(CONTROL!$C$42, 500, 500)*CHOOSE(CONTROL!$C$42, 0.275, 0.275)*CHOOSE(CONTROL!$C$42, 31, 31))/1000000</f>
        <v>4.2625000000000002</v>
      </c>
      <c r="W425" s="57">
        <f>(1000*CHOOSE(CONTROL!$C$42, 0.1146, 0.1146)*CHOOSE(CONTROL!$C$42, 121.5, 121.5)*CHOOSE(CONTROL!$C$42, 31, 31))/1000000</f>
        <v>0.43164089999999994</v>
      </c>
      <c r="X425" s="57">
        <f>(31*0.1790888*245000/1000000)+(31*0.2374*100000/1000000)</f>
        <v>2.0961194359999999</v>
      </c>
      <c r="Y425" s="57"/>
      <c r="Z425" s="10"/>
      <c r="AA425" s="56"/>
      <c r="AB425" s="50">
        <f>(B425*194.205+C425*267.466+D425*133.845+E425*53.484+F425*40+G425*185+H425*0+I425*100+J425*300)/(194.205+267.466+133.845+53.484+0+40+185+100+300)</f>
        <v>17.784769430219782</v>
      </c>
      <c r="AC425" s="45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17.644502158273383</v>
      </c>
    </row>
    <row r="426" spans="1:29" ht="15.75" x14ac:dyDescent="0.25">
      <c r="A426" s="14">
        <v>53873</v>
      </c>
      <c r="B426" s="10">
        <f>CHOOSE(CONTROL!$C$42, 18.264, 18.264) * CHOOSE(CONTROL!$C$21, $C$9, 100%, $E$9)</f>
        <v>18.263999999999999</v>
      </c>
      <c r="C426" s="10">
        <f>CHOOSE(CONTROL!$C$42, 18.2719, 18.2719) * CHOOSE(CONTROL!$C$21, $C$9, 100%, $E$9)</f>
        <v>18.271899999999999</v>
      </c>
      <c r="D426" s="10">
        <f>CHOOSE(CONTROL!$C$42, 18.4746, 18.4746) * CHOOSE(CONTROL!$C$21, $C$9, 100%, $E$9)</f>
        <v>18.474599999999999</v>
      </c>
      <c r="E426" s="10">
        <f>CHOOSE(CONTROL!$C$42, 18.5057, 18.5057) * CHOOSE(CONTROL!$C$21, $C$9, 100%, $E$9)</f>
        <v>18.505700000000001</v>
      </c>
      <c r="F426" s="10">
        <f>CHOOSE(CONTROL!$C$42, 18.2402, 18.2402)*CHOOSE(CONTROL!$C$21, $C$9, 100%, $E$9)</f>
        <v>18.240200000000002</v>
      </c>
      <c r="G426" s="10">
        <f>CHOOSE(CONTROL!$C$42, 18.2553, 18.2553)*CHOOSE(CONTROL!$C$21, $C$9, 100%, $E$9)</f>
        <v>18.255299999999998</v>
      </c>
      <c r="H426" s="10">
        <f>CHOOSE(CONTROL!$C$42, 18.4944, 18.4944) * CHOOSE(CONTROL!$C$21, $C$9, 100%, $E$9)</f>
        <v>18.494399999999999</v>
      </c>
      <c r="I426" s="10">
        <f>CHOOSE(CONTROL!$C$42, 18.264, 18.264)* CHOOSE(CONTROL!$C$21, $C$9, 100%, $E$9)</f>
        <v>18.263999999999999</v>
      </c>
      <c r="J426" s="10">
        <f>CHOOSE(CONTROL!$C$42, 18.2332, 18.2332)* CHOOSE(CONTROL!$C$21, $C$9, 100%, $E$9)</f>
        <v>18.2332</v>
      </c>
      <c r="K426" s="53">
        <f>CHOOSE(CONTROL!$C$42, 18.2601, 18.2601) * CHOOSE(CONTROL!$C$21, $C$9, 100%, $E$9)</f>
        <v>18.260100000000001</v>
      </c>
      <c r="L426" s="10">
        <f>CHOOSE(CONTROL!$C$42, 19.0814, 19.0814) * CHOOSE(CONTROL!$C$21, $C$9, 100%, $E$9)</f>
        <v>19.081399999999999</v>
      </c>
      <c r="M426" s="10">
        <f>CHOOSE(CONTROL!$C$42, 18.063, 18.063) * CHOOSE(CONTROL!$C$21, $C$9, 100%, $E$9)</f>
        <v>18.062999999999999</v>
      </c>
      <c r="N426" s="10">
        <f>CHOOSE(CONTROL!$C$42, 18.078, 18.078) * CHOOSE(CONTROL!$C$21, $C$9, 100%, $E$9)</f>
        <v>18.077999999999999</v>
      </c>
      <c r="O426" s="10">
        <f>CHOOSE(CONTROL!$C$42, 18.3216, 18.3216) * CHOOSE(CONTROL!$C$21, $C$9, 100%, $E$9)</f>
        <v>18.3216</v>
      </c>
      <c r="P426" s="10">
        <f>CHOOSE(CONTROL!$C$42, 18.0935, 18.0935) * CHOOSE(CONTROL!$C$21, $C$9, 100%, $E$9)</f>
        <v>18.093499999999999</v>
      </c>
      <c r="Q426" s="10">
        <f>CHOOSE(CONTROL!$C$42, 18.9169, 18.9169) * CHOOSE(CONTROL!$C$21, $C$9, 100%, $E$9)</f>
        <v>18.916899999999998</v>
      </c>
      <c r="R426" s="10">
        <f>CHOOSE(CONTROL!$C$42, 19.5512, 19.5512) * CHOOSE(CONTROL!$C$21, $C$9, 100%, $E$9)</f>
        <v>19.551200000000001</v>
      </c>
      <c r="S426" s="10">
        <f>CHOOSE(CONTROL!$C$42, 17.7319, 17.7319) * CHOOSE(CONTROL!$C$21, $C$9, 100%, $E$9)</f>
        <v>17.7319</v>
      </c>
      <c r="T4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57">
        <f>(1000*CHOOSE(CONTROL!$C$42, 695, 695)*CHOOSE(CONTROL!$C$42, 0.5599, 0.5599)*CHOOSE(CONTROL!$C$42, 30, 30))/1000000</f>
        <v>11.673914999999997</v>
      </c>
      <c r="V426" s="57">
        <f>(1000*CHOOSE(CONTROL!$C$42, 500, 500)*CHOOSE(CONTROL!$C$42, 0.275, 0.275)*CHOOSE(CONTROL!$C$42, 30, 30))/1000000</f>
        <v>4.125</v>
      </c>
      <c r="W426" s="57">
        <f>(1000*CHOOSE(CONTROL!$C$42, 0.1146, 0.1146)*CHOOSE(CONTROL!$C$42, 121.5, 121.5)*CHOOSE(CONTROL!$C$42, 30, 30))/1000000</f>
        <v>0.417717</v>
      </c>
      <c r="X426" s="57">
        <f>(30*0.1790888*245000/1000000)+(30*0.2374*100000/1000000)</f>
        <v>2.0285026799999999</v>
      </c>
      <c r="Y426" s="57"/>
      <c r="Z426" s="10"/>
      <c r="AA426" s="56"/>
      <c r="AB426" s="50">
        <f>(B426*194.205+C426*267.466+D426*133.845+E426*53.484+F426*40+G426*185+H426*0+I426*100+J426*300)/(194.205+267.466+133.845+53.484+0+40+185+100+300)</f>
        <v>18.288667442072214</v>
      </c>
      <c r="AC426" s="45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18.143398561151081</v>
      </c>
    </row>
    <row r="427" spans="1:29" ht="15.75" x14ac:dyDescent="0.25">
      <c r="A427" s="14">
        <v>53904</v>
      </c>
      <c r="B427" s="10">
        <f>CHOOSE(CONTROL!$C$42, 17.9137, 17.9137) * CHOOSE(CONTROL!$C$21, $C$9, 100%, $E$9)</f>
        <v>17.913699999999999</v>
      </c>
      <c r="C427" s="10">
        <f>CHOOSE(CONTROL!$C$42, 17.9216, 17.9216) * CHOOSE(CONTROL!$C$21, $C$9, 100%, $E$9)</f>
        <v>17.921600000000002</v>
      </c>
      <c r="D427" s="10">
        <f>CHOOSE(CONTROL!$C$42, 18.1243, 18.1243) * CHOOSE(CONTROL!$C$21, $C$9, 100%, $E$9)</f>
        <v>18.124300000000002</v>
      </c>
      <c r="E427" s="10">
        <f>CHOOSE(CONTROL!$C$42, 18.1555, 18.1555) * CHOOSE(CONTROL!$C$21, $C$9, 100%, $E$9)</f>
        <v>18.1555</v>
      </c>
      <c r="F427" s="10">
        <f>CHOOSE(CONTROL!$C$42, 17.8904, 17.8904)*CHOOSE(CONTROL!$C$21, $C$9, 100%, $E$9)</f>
        <v>17.8904</v>
      </c>
      <c r="G427" s="10">
        <f>CHOOSE(CONTROL!$C$42, 17.9057, 17.9057)*CHOOSE(CONTROL!$C$21, $C$9, 100%, $E$9)</f>
        <v>17.9057</v>
      </c>
      <c r="H427" s="10">
        <f>CHOOSE(CONTROL!$C$42, 18.1441, 18.1441) * CHOOSE(CONTROL!$C$21, $C$9, 100%, $E$9)</f>
        <v>18.144100000000002</v>
      </c>
      <c r="I427" s="10">
        <f>CHOOSE(CONTROL!$C$42, 17.9137, 17.9137)* CHOOSE(CONTROL!$C$21, $C$9, 100%, $E$9)</f>
        <v>17.913699999999999</v>
      </c>
      <c r="J427" s="10">
        <f>CHOOSE(CONTROL!$C$42, 17.8834, 17.8834)* CHOOSE(CONTROL!$C$21, $C$9, 100%, $E$9)</f>
        <v>17.883400000000002</v>
      </c>
      <c r="K427" s="53">
        <f>CHOOSE(CONTROL!$C$42, 17.9098, 17.9098) * CHOOSE(CONTROL!$C$21, $C$9, 100%, $E$9)</f>
        <v>17.909800000000001</v>
      </c>
      <c r="L427" s="10">
        <f>CHOOSE(CONTROL!$C$42, 18.7311, 18.7311) * CHOOSE(CONTROL!$C$21, $C$9, 100%, $E$9)</f>
        <v>18.731100000000001</v>
      </c>
      <c r="M427" s="10">
        <f>CHOOSE(CONTROL!$C$42, 17.7168, 17.7168) * CHOOSE(CONTROL!$C$21, $C$9, 100%, $E$9)</f>
        <v>17.716799999999999</v>
      </c>
      <c r="N427" s="10">
        <f>CHOOSE(CONTROL!$C$42, 17.7319, 17.7319) * CHOOSE(CONTROL!$C$21, $C$9, 100%, $E$9)</f>
        <v>17.7319</v>
      </c>
      <c r="O427" s="10">
        <f>CHOOSE(CONTROL!$C$42, 17.9748, 17.9748) * CHOOSE(CONTROL!$C$21, $C$9, 100%, $E$9)</f>
        <v>17.974799999999998</v>
      </c>
      <c r="P427" s="10">
        <f>CHOOSE(CONTROL!$C$42, 17.7468, 17.7468) * CHOOSE(CONTROL!$C$21, $C$9, 100%, $E$9)</f>
        <v>17.7468</v>
      </c>
      <c r="Q427" s="10">
        <f>CHOOSE(CONTROL!$C$42, 18.5701, 18.5701) * CHOOSE(CONTROL!$C$21, $C$9, 100%, $E$9)</f>
        <v>18.5701</v>
      </c>
      <c r="R427" s="10">
        <f>CHOOSE(CONTROL!$C$42, 19.2035, 19.2035) * CHOOSE(CONTROL!$C$21, $C$9, 100%, $E$9)</f>
        <v>19.203499999999998</v>
      </c>
      <c r="S427" s="10">
        <f>CHOOSE(CONTROL!$C$42, 17.3917, 17.3917) * CHOOSE(CONTROL!$C$21, $C$9, 100%, $E$9)</f>
        <v>17.3917</v>
      </c>
      <c r="T4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57">
        <f>(1000*CHOOSE(CONTROL!$C$42, 695, 695)*CHOOSE(CONTROL!$C$42, 0.5599, 0.5599)*CHOOSE(CONTROL!$C$42, 31, 31))/1000000</f>
        <v>12.063045499999998</v>
      </c>
      <c r="V427" s="57">
        <f>(1000*CHOOSE(CONTROL!$C$42, 500, 500)*CHOOSE(CONTROL!$C$42, 0.275, 0.275)*CHOOSE(CONTROL!$C$42, 31, 31))/1000000</f>
        <v>4.2625000000000002</v>
      </c>
      <c r="W427" s="57">
        <f>(1000*CHOOSE(CONTROL!$C$42, 0.1146, 0.1146)*CHOOSE(CONTROL!$C$42, 121.5, 121.5)*CHOOSE(CONTROL!$C$42, 31, 31))/1000000</f>
        <v>0.43164089999999994</v>
      </c>
      <c r="X427" s="57">
        <f>(31*0.1790888*245000/1000000)+(31*0.2374*100000/1000000)</f>
        <v>2.0961194359999999</v>
      </c>
      <c r="Y427" s="57"/>
      <c r="Z427" s="10"/>
      <c r="AA427" s="56"/>
      <c r="AB427" s="50">
        <f>(B427*194.205+C427*267.466+D427*133.845+E427*53.484+F427*40+G427*185+H427*0+I427*100+J427*300)/(194.205+267.466+133.845+53.484+0+40+185+100+300)</f>
        <v>17.938606726530612</v>
      </c>
      <c r="AC427" s="45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17.796981294964027</v>
      </c>
    </row>
    <row r="428" spans="1:29" ht="15.75" x14ac:dyDescent="0.25">
      <c r="A428" s="14">
        <v>53935</v>
      </c>
      <c r="B428" s="10">
        <f>CHOOSE(CONTROL!$C$42, 17.0291, 17.0291) * CHOOSE(CONTROL!$C$21, $C$9, 100%, $E$9)</f>
        <v>17.0291</v>
      </c>
      <c r="C428" s="10">
        <f>CHOOSE(CONTROL!$C$42, 17.037, 17.037) * CHOOSE(CONTROL!$C$21, $C$9, 100%, $E$9)</f>
        <v>17.036999999999999</v>
      </c>
      <c r="D428" s="10">
        <f>CHOOSE(CONTROL!$C$42, 17.2397, 17.2397) * CHOOSE(CONTROL!$C$21, $C$9, 100%, $E$9)</f>
        <v>17.239699999999999</v>
      </c>
      <c r="E428" s="10">
        <f>CHOOSE(CONTROL!$C$42, 17.2709, 17.2709) * CHOOSE(CONTROL!$C$21, $C$9, 100%, $E$9)</f>
        <v>17.270900000000001</v>
      </c>
      <c r="F428" s="10">
        <f>CHOOSE(CONTROL!$C$42, 17.006, 17.006)*CHOOSE(CONTROL!$C$21, $C$9, 100%, $E$9)</f>
        <v>17.006</v>
      </c>
      <c r="G428" s="10">
        <f>CHOOSE(CONTROL!$C$42, 17.0214, 17.0214)*CHOOSE(CONTROL!$C$21, $C$9, 100%, $E$9)</f>
        <v>17.0214</v>
      </c>
      <c r="H428" s="10">
        <f>CHOOSE(CONTROL!$C$42, 17.2595, 17.2595) * CHOOSE(CONTROL!$C$21, $C$9, 100%, $E$9)</f>
        <v>17.259499999999999</v>
      </c>
      <c r="I428" s="10">
        <f>CHOOSE(CONTROL!$C$42, 17.0291, 17.0291)* CHOOSE(CONTROL!$C$21, $C$9, 100%, $E$9)</f>
        <v>17.0291</v>
      </c>
      <c r="J428" s="10">
        <f>CHOOSE(CONTROL!$C$42, 16.999, 16.999)* CHOOSE(CONTROL!$C$21, $C$9, 100%, $E$9)</f>
        <v>16.998999999999999</v>
      </c>
      <c r="K428" s="53">
        <f>CHOOSE(CONTROL!$C$42, 17.0252, 17.0252) * CHOOSE(CONTROL!$C$21, $C$9, 100%, $E$9)</f>
        <v>17.025200000000002</v>
      </c>
      <c r="L428" s="10">
        <f>CHOOSE(CONTROL!$C$42, 17.8465, 17.8465) * CHOOSE(CONTROL!$C$21, $C$9, 100%, $E$9)</f>
        <v>17.846499999999999</v>
      </c>
      <c r="M428" s="10">
        <f>CHOOSE(CONTROL!$C$42, 16.8413, 16.8413) * CHOOSE(CONTROL!$C$21, $C$9, 100%, $E$9)</f>
        <v>16.8413</v>
      </c>
      <c r="N428" s="10">
        <f>CHOOSE(CONTROL!$C$42, 16.8565, 16.8565) * CHOOSE(CONTROL!$C$21, $C$9, 100%, $E$9)</f>
        <v>16.8565</v>
      </c>
      <c r="O428" s="10">
        <f>CHOOSE(CONTROL!$C$42, 17.0992, 17.0992) * CHOOSE(CONTROL!$C$21, $C$9, 100%, $E$9)</f>
        <v>17.0992</v>
      </c>
      <c r="P428" s="10">
        <f>CHOOSE(CONTROL!$C$42, 16.8711, 16.8711) * CHOOSE(CONTROL!$C$21, $C$9, 100%, $E$9)</f>
        <v>16.871099999999998</v>
      </c>
      <c r="Q428" s="10">
        <f>CHOOSE(CONTROL!$C$42, 17.6945, 17.6945) * CHOOSE(CONTROL!$C$21, $C$9, 100%, $E$9)</f>
        <v>17.694500000000001</v>
      </c>
      <c r="R428" s="10">
        <f>CHOOSE(CONTROL!$C$42, 18.3257, 18.3257) * CHOOSE(CONTROL!$C$21, $C$9, 100%, $E$9)</f>
        <v>18.325700000000001</v>
      </c>
      <c r="S428" s="10">
        <f>CHOOSE(CONTROL!$C$42, 16.5327, 16.5327) * CHOOSE(CONTROL!$C$21, $C$9, 100%, $E$9)</f>
        <v>16.532699999999998</v>
      </c>
      <c r="T4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57">
        <f>(1000*CHOOSE(CONTROL!$C$42, 695, 695)*CHOOSE(CONTROL!$C$42, 0.5599, 0.5599)*CHOOSE(CONTROL!$C$42, 31, 31))/1000000</f>
        <v>12.063045499999998</v>
      </c>
      <c r="V428" s="57">
        <f>(1000*CHOOSE(CONTROL!$C$42, 500, 500)*CHOOSE(CONTROL!$C$42, 0.275, 0.275)*CHOOSE(CONTROL!$C$42, 31, 31))/1000000</f>
        <v>4.2625000000000002</v>
      </c>
      <c r="W428" s="57">
        <f>(1000*CHOOSE(CONTROL!$C$42, 0.1146, 0.1146)*CHOOSE(CONTROL!$C$42, 121.5, 121.5)*CHOOSE(CONTROL!$C$42, 31, 31))/1000000</f>
        <v>0.43164089999999994</v>
      </c>
      <c r="X428" s="57">
        <f>(31*0.1790888*245000/1000000)+(31*0.2374*100000/1000000)</f>
        <v>2.0961194359999999</v>
      </c>
      <c r="Y428" s="57"/>
      <c r="Z428" s="10"/>
      <c r="AA428" s="56"/>
      <c r="AB428" s="50">
        <f>(B428*194.205+C428*267.466+D428*133.845+E428*53.484+F428*40+G428*185+H428*0+I428*100+J428*300)/(194.205+267.466+133.845+53.484+0+40+185+100+300)</f>
        <v>17.054103665306123</v>
      </c>
      <c r="AC428" s="45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16.92144748201439</v>
      </c>
    </row>
    <row r="429" spans="1:29" ht="15.75" x14ac:dyDescent="0.25">
      <c r="A429" s="14">
        <v>53965</v>
      </c>
      <c r="B429" s="10">
        <f>CHOOSE(CONTROL!$C$42, 15.9479, 15.9479) * CHOOSE(CONTROL!$C$21, $C$9, 100%, $E$9)</f>
        <v>15.947900000000001</v>
      </c>
      <c r="C429" s="10">
        <f>CHOOSE(CONTROL!$C$42, 15.9558, 15.9558) * CHOOSE(CONTROL!$C$21, $C$9, 100%, $E$9)</f>
        <v>15.9558</v>
      </c>
      <c r="D429" s="10">
        <f>CHOOSE(CONTROL!$C$42, 16.1586, 16.1586) * CHOOSE(CONTROL!$C$21, $C$9, 100%, $E$9)</f>
        <v>16.1586</v>
      </c>
      <c r="E429" s="10">
        <f>CHOOSE(CONTROL!$C$42, 16.1897, 16.1897) * CHOOSE(CONTROL!$C$21, $C$9, 100%, $E$9)</f>
        <v>16.189699999999998</v>
      </c>
      <c r="F429" s="10">
        <f>CHOOSE(CONTROL!$C$42, 15.9247, 15.9247)*CHOOSE(CONTROL!$C$21, $C$9, 100%, $E$9)</f>
        <v>15.9247</v>
      </c>
      <c r="G429" s="10">
        <f>CHOOSE(CONTROL!$C$42, 15.94, 15.94)*CHOOSE(CONTROL!$C$21, $C$9, 100%, $E$9)</f>
        <v>15.94</v>
      </c>
      <c r="H429" s="10">
        <f>CHOOSE(CONTROL!$C$42, 16.1783, 16.1783) * CHOOSE(CONTROL!$C$21, $C$9, 100%, $E$9)</f>
        <v>16.1783</v>
      </c>
      <c r="I429" s="10">
        <f>CHOOSE(CONTROL!$C$42, 15.948, 15.948)* CHOOSE(CONTROL!$C$21, $C$9, 100%, $E$9)</f>
        <v>15.948</v>
      </c>
      <c r="J429" s="10">
        <f>CHOOSE(CONTROL!$C$42, 15.9177, 15.9177)* CHOOSE(CONTROL!$C$21, $C$9, 100%, $E$9)</f>
        <v>15.9177</v>
      </c>
      <c r="K429" s="53">
        <f>CHOOSE(CONTROL!$C$42, 15.9441, 15.9441) * CHOOSE(CONTROL!$C$21, $C$9, 100%, $E$9)</f>
        <v>15.944100000000001</v>
      </c>
      <c r="L429" s="10">
        <f>CHOOSE(CONTROL!$C$42, 16.7653, 16.7653) * CHOOSE(CONTROL!$C$21, $C$9, 100%, $E$9)</f>
        <v>16.7653</v>
      </c>
      <c r="M429" s="10">
        <f>CHOOSE(CONTROL!$C$42, 15.7709, 15.7709) * CHOOSE(CONTROL!$C$21, $C$9, 100%, $E$9)</f>
        <v>15.770899999999999</v>
      </c>
      <c r="N429" s="10">
        <f>CHOOSE(CONTROL!$C$42, 15.786, 15.786) * CHOOSE(CONTROL!$C$21, $C$9, 100%, $E$9)</f>
        <v>15.786</v>
      </c>
      <c r="O429" s="10">
        <f>CHOOSE(CONTROL!$C$42, 16.0289, 16.0289) * CHOOSE(CONTROL!$C$21, $C$9, 100%, $E$9)</f>
        <v>16.0289</v>
      </c>
      <c r="P429" s="10">
        <f>CHOOSE(CONTROL!$C$42, 15.8009, 15.8009) * CHOOSE(CONTROL!$C$21, $C$9, 100%, $E$9)</f>
        <v>15.8009</v>
      </c>
      <c r="Q429" s="10">
        <f>CHOOSE(CONTROL!$C$42, 16.6242, 16.6242) * CHOOSE(CONTROL!$C$21, $C$9, 100%, $E$9)</f>
        <v>16.624199999999998</v>
      </c>
      <c r="R429" s="10">
        <f>CHOOSE(CONTROL!$C$42, 17.2528, 17.2528) * CHOOSE(CONTROL!$C$21, $C$9, 100%, $E$9)</f>
        <v>17.252800000000001</v>
      </c>
      <c r="S429" s="10">
        <f>CHOOSE(CONTROL!$C$42, 15.4828, 15.4828) * CHOOSE(CONTROL!$C$21, $C$9, 100%, $E$9)</f>
        <v>15.482799999999999</v>
      </c>
      <c r="T4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57">
        <f>(1000*CHOOSE(CONTROL!$C$42, 695, 695)*CHOOSE(CONTROL!$C$42, 0.5599, 0.5599)*CHOOSE(CONTROL!$C$42, 30, 30))/1000000</f>
        <v>11.673914999999997</v>
      </c>
      <c r="V429" s="57">
        <f>(1000*CHOOSE(CONTROL!$C$42, 500, 500)*CHOOSE(CONTROL!$C$42, 0.275, 0.275)*CHOOSE(CONTROL!$C$42, 30, 30))/1000000</f>
        <v>4.125</v>
      </c>
      <c r="W429" s="57">
        <f>(1000*CHOOSE(CONTROL!$C$42, 0.1146, 0.1146)*CHOOSE(CONTROL!$C$42, 121.5, 121.5)*CHOOSE(CONTROL!$C$42, 30, 30))/1000000</f>
        <v>0.417717</v>
      </c>
      <c r="X429" s="57">
        <f>(30*0.1790888*245000/1000000)+(30*0.2374*100000/1000000)</f>
        <v>2.0285026799999999</v>
      </c>
      <c r="Y429" s="57"/>
      <c r="Z429" s="10"/>
      <c r="AA429" s="56"/>
      <c r="AB429" s="50">
        <f>(B429*194.205+C429*267.466+D429*133.845+E429*53.484+F429*40+G429*185+H429*0+I429*100+J429*300)/(194.205+267.466+133.845+53.484+0+40+185+100+300)</f>
        <v>15.972866290502356</v>
      </c>
      <c r="AC429" s="45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15.851081294964029</v>
      </c>
    </row>
    <row r="430" spans="1:29" ht="15.75" x14ac:dyDescent="0.25">
      <c r="A430" s="14">
        <v>53996</v>
      </c>
      <c r="B430" s="10">
        <f>CHOOSE(CONTROL!$C$42, 15.6225, 15.6225) * CHOOSE(CONTROL!$C$21, $C$9, 100%, $E$9)</f>
        <v>15.6225</v>
      </c>
      <c r="C430" s="10">
        <f>CHOOSE(CONTROL!$C$42, 15.6277, 15.6277) * CHOOSE(CONTROL!$C$21, $C$9, 100%, $E$9)</f>
        <v>15.627700000000001</v>
      </c>
      <c r="D430" s="10">
        <f>CHOOSE(CONTROL!$C$42, 15.8354, 15.8354) * CHOOSE(CONTROL!$C$21, $C$9, 100%, $E$9)</f>
        <v>15.8354</v>
      </c>
      <c r="E430" s="10">
        <f>CHOOSE(CONTROL!$C$42, 15.8642, 15.8642) * CHOOSE(CONTROL!$C$21, $C$9, 100%, $E$9)</f>
        <v>15.8642</v>
      </c>
      <c r="F430" s="10">
        <f>CHOOSE(CONTROL!$C$42, 15.6012, 15.6012)*CHOOSE(CONTROL!$C$21, $C$9, 100%, $E$9)</f>
        <v>15.6012</v>
      </c>
      <c r="G430" s="10">
        <f>CHOOSE(CONTROL!$C$42, 15.6161, 15.6161)*CHOOSE(CONTROL!$C$21, $C$9, 100%, $E$9)</f>
        <v>15.616099999999999</v>
      </c>
      <c r="H430" s="10">
        <f>CHOOSE(CONTROL!$C$42, 15.8546, 15.8546) * CHOOSE(CONTROL!$C$21, $C$9, 100%, $E$9)</f>
        <v>15.8546</v>
      </c>
      <c r="I430" s="10">
        <f>CHOOSE(CONTROL!$C$42, 15.6243, 15.6243)* CHOOSE(CONTROL!$C$21, $C$9, 100%, $E$9)</f>
        <v>15.6243</v>
      </c>
      <c r="J430" s="10">
        <f>CHOOSE(CONTROL!$C$42, 15.5942, 15.5942)* CHOOSE(CONTROL!$C$21, $C$9, 100%, $E$9)</f>
        <v>15.594200000000001</v>
      </c>
      <c r="K430" s="53">
        <f>CHOOSE(CONTROL!$C$42, 15.6204, 15.6204) * CHOOSE(CONTROL!$C$21, $C$9, 100%, $E$9)</f>
        <v>15.6204</v>
      </c>
      <c r="L430" s="10">
        <f>CHOOSE(CONTROL!$C$42, 16.4416, 16.4416) * CHOOSE(CONTROL!$C$21, $C$9, 100%, $E$9)</f>
        <v>16.441600000000001</v>
      </c>
      <c r="M430" s="10">
        <f>CHOOSE(CONTROL!$C$42, 15.4506, 15.4506) * CHOOSE(CONTROL!$C$21, $C$9, 100%, $E$9)</f>
        <v>15.4506</v>
      </c>
      <c r="N430" s="10">
        <f>CHOOSE(CONTROL!$C$42, 15.4654, 15.4654) * CHOOSE(CONTROL!$C$21, $C$9, 100%, $E$9)</f>
        <v>15.465400000000001</v>
      </c>
      <c r="O430" s="10">
        <f>CHOOSE(CONTROL!$C$42, 15.7085, 15.7085) * CHOOSE(CONTROL!$C$21, $C$9, 100%, $E$9)</f>
        <v>15.708500000000001</v>
      </c>
      <c r="P430" s="10">
        <f>CHOOSE(CONTROL!$C$42, 15.4804, 15.4804) * CHOOSE(CONTROL!$C$21, $C$9, 100%, $E$9)</f>
        <v>15.480399999999999</v>
      </c>
      <c r="Q430" s="10">
        <f>CHOOSE(CONTROL!$C$42, 16.3038, 16.3038) * CHOOSE(CONTROL!$C$21, $C$9, 100%, $E$9)</f>
        <v>16.303799999999999</v>
      </c>
      <c r="R430" s="10">
        <f>CHOOSE(CONTROL!$C$42, 16.9315, 16.9315) * CHOOSE(CONTROL!$C$21, $C$9, 100%, $E$9)</f>
        <v>16.9315</v>
      </c>
      <c r="S430" s="10">
        <f>CHOOSE(CONTROL!$C$42, 15.1684, 15.1684) * CHOOSE(CONTROL!$C$21, $C$9, 100%, $E$9)</f>
        <v>15.1684</v>
      </c>
      <c r="T4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57">
        <f>(1000*CHOOSE(CONTROL!$C$42, 695, 695)*CHOOSE(CONTROL!$C$42, 0.5599, 0.5599)*CHOOSE(CONTROL!$C$42, 31, 31))/1000000</f>
        <v>12.063045499999998</v>
      </c>
      <c r="V430" s="57">
        <f>(1000*CHOOSE(CONTROL!$C$42, 500, 500)*CHOOSE(CONTROL!$C$42, 0.275, 0.275)*CHOOSE(CONTROL!$C$42, 31, 31))/1000000</f>
        <v>4.2625000000000002</v>
      </c>
      <c r="W430" s="57">
        <f>(1000*CHOOSE(CONTROL!$C$42, 0.1146, 0.1146)*CHOOSE(CONTROL!$C$42, 121.5, 121.5)*CHOOSE(CONTROL!$C$42, 31, 31))/1000000</f>
        <v>0.43164089999999994</v>
      </c>
      <c r="X430" s="57">
        <f>(31*0.1790888*245000/1000000)+(31*0.2374*100000/1000000)</f>
        <v>2.0961194359999999</v>
      </c>
      <c r="Y430" s="57"/>
      <c r="Z430" s="10"/>
      <c r="AA430" s="56"/>
      <c r="AB430" s="50">
        <f>(B430*131.881+C430*277.167+D430*79.08+E430*125.872+F430*40+G430*185+H430*0+I430*100+J430*300)/(131.881+277.167+79.08+125.872+0+40+185+100+300)</f>
        <v>15.653456144309928</v>
      </c>
      <c r="AC430" s="45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15.530655395683457</v>
      </c>
    </row>
    <row r="431" spans="1:29" ht="15.75" x14ac:dyDescent="0.25">
      <c r="A431" s="14">
        <v>54026</v>
      </c>
      <c r="B431" s="10">
        <f>CHOOSE(CONTROL!$C$42, 16.0335, 16.0335) * CHOOSE(CONTROL!$C$21, $C$9, 100%, $E$9)</f>
        <v>16.0335</v>
      </c>
      <c r="C431" s="10">
        <f>CHOOSE(CONTROL!$C$42, 16.0385, 16.0385) * CHOOSE(CONTROL!$C$21, $C$9, 100%, $E$9)</f>
        <v>16.038499999999999</v>
      </c>
      <c r="D431" s="10">
        <f>CHOOSE(CONTROL!$C$42, 16.099, 16.099) * CHOOSE(CONTROL!$C$21, $C$9, 100%, $E$9)</f>
        <v>16.099</v>
      </c>
      <c r="E431" s="10">
        <f>CHOOSE(CONTROL!$C$42, 16.1327, 16.1327) * CHOOSE(CONTROL!$C$21, $C$9, 100%, $E$9)</f>
        <v>16.1327</v>
      </c>
      <c r="F431" s="10">
        <f>CHOOSE(CONTROL!$C$42, 16.0291, 16.0291)*CHOOSE(CONTROL!$C$21, $C$9, 100%, $E$9)</f>
        <v>16.0291</v>
      </c>
      <c r="G431" s="10">
        <f>CHOOSE(CONTROL!$C$42, 16.0444, 16.0444)*CHOOSE(CONTROL!$C$21, $C$9, 100%, $E$9)</f>
        <v>16.0444</v>
      </c>
      <c r="H431" s="10">
        <f>CHOOSE(CONTROL!$C$42, 16.1219, 16.1219) * CHOOSE(CONTROL!$C$21, $C$9, 100%, $E$9)</f>
        <v>16.1219</v>
      </c>
      <c r="I431" s="10">
        <f>CHOOSE(CONTROL!$C$42, 16.046, 16.046)* CHOOSE(CONTROL!$C$21, $C$9, 100%, $E$9)</f>
        <v>16.045999999999999</v>
      </c>
      <c r="J431" s="10">
        <f>CHOOSE(CONTROL!$C$42, 16.0221, 16.0221)* CHOOSE(CONTROL!$C$21, $C$9, 100%, $E$9)</f>
        <v>16.022099999999998</v>
      </c>
      <c r="K431" s="53">
        <f>CHOOSE(CONTROL!$C$42, 16.0421, 16.0421) * CHOOSE(CONTROL!$C$21, $C$9, 100%, $E$9)</f>
        <v>16.042100000000001</v>
      </c>
      <c r="L431" s="10">
        <f>CHOOSE(CONTROL!$C$42, 16.7089, 16.7089) * CHOOSE(CONTROL!$C$21, $C$9, 100%, $E$9)</f>
        <v>16.7089</v>
      </c>
      <c r="M431" s="10">
        <f>CHOOSE(CONTROL!$C$42, 15.8743, 15.8743) * CHOOSE(CONTROL!$C$21, $C$9, 100%, $E$9)</f>
        <v>15.8743</v>
      </c>
      <c r="N431" s="10">
        <f>CHOOSE(CONTROL!$C$42, 15.8893, 15.8893) * CHOOSE(CONTROL!$C$21, $C$9, 100%, $E$9)</f>
        <v>15.8893</v>
      </c>
      <c r="O431" s="10">
        <f>CHOOSE(CONTROL!$C$42, 15.9731, 15.9731) * CHOOSE(CONTROL!$C$21, $C$9, 100%, $E$9)</f>
        <v>15.973100000000001</v>
      </c>
      <c r="P431" s="10">
        <f>CHOOSE(CONTROL!$C$42, 15.898, 15.898) * CHOOSE(CONTROL!$C$21, $C$9, 100%, $E$9)</f>
        <v>15.898</v>
      </c>
      <c r="Q431" s="10">
        <f>CHOOSE(CONTROL!$C$42, 16.5684, 16.5684) * CHOOSE(CONTROL!$C$21, $C$9, 100%, $E$9)</f>
        <v>16.5684</v>
      </c>
      <c r="R431" s="10">
        <f>CHOOSE(CONTROL!$C$42, 17.1968, 17.1968) * CHOOSE(CONTROL!$C$21, $C$9, 100%, $E$9)</f>
        <v>17.1968</v>
      </c>
      <c r="S431" s="10">
        <f>CHOOSE(CONTROL!$C$42, 15.568, 15.568) * CHOOSE(CONTROL!$C$21, $C$9, 100%, $E$9)</f>
        <v>15.568</v>
      </c>
      <c r="T4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57">
        <f>(1000*CHOOSE(CONTROL!$C$42, 695, 695)*CHOOSE(CONTROL!$C$42, 0.5599, 0.5599)*CHOOSE(CONTROL!$C$42, 30, 30))/1000000</f>
        <v>11.673914999999997</v>
      </c>
      <c r="V431" s="57">
        <f>(1000*CHOOSE(CONTROL!$C$42, 500, 500)*CHOOSE(CONTROL!$C$42, 0.275, 0.275)*CHOOSE(CONTROL!$C$42, 30, 30))/1000000</f>
        <v>4.125</v>
      </c>
      <c r="W431" s="57">
        <f>(1000*CHOOSE(CONTROL!$C$42, 0.1146, 0.1146)*CHOOSE(CONTROL!$C$42, 121.5, 121.5)*CHOOSE(CONTROL!$C$42, 30, 30))/1000000</f>
        <v>0.417717</v>
      </c>
      <c r="X431" s="57">
        <f>(30*0.1790888*100000/1000000)+(30*0.2374*100000/1000000)</f>
        <v>1.2494664</v>
      </c>
      <c r="Y431" s="57"/>
      <c r="Z431" s="10"/>
      <c r="AA431" s="56"/>
      <c r="AB431" s="50">
        <f>(B431*122.58+C431*297.941+D431*89.177+E431*40.302+F431*40+G431*160+H431*0+I431*100+J431*300)/(122.58+297.941+89.177+40.302+0+40+160+100+300)</f>
        <v>16.04282761469565</v>
      </c>
      <c r="AC431" s="45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15.923353237410069</v>
      </c>
    </row>
    <row r="432" spans="1:29" ht="15.75" x14ac:dyDescent="0.25">
      <c r="A432" s="14">
        <v>54057</v>
      </c>
      <c r="B432" s="10">
        <f>CHOOSE(CONTROL!$C$42, 17.1265, 17.1265) * CHOOSE(CONTROL!$C$21, $C$9, 100%, $E$9)</f>
        <v>17.1265</v>
      </c>
      <c r="C432" s="10">
        <f>CHOOSE(CONTROL!$C$42, 17.1314, 17.1314) * CHOOSE(CONTROL!$C$21, $C$9, 100%, $E$9)</f>
        <v>17.131399999999999</v>
      </c>
      <c r="D432" s="10">
        <f>CHOOSE(CONTROL!$C$42, 17.1919, 17.1919) * CHOOSE(CONTROL!$C$21, $C$9, 100%, $E$9)</f>
        <v>17.1919</v>
      </c>
      <c r="E432" s="10">
        <f>CHOOSE(CONTROL!$C$42, 17.2257, 17.2257) * CHOOSE(CONTROL!$C$21, $C$9, 100%, $E$9)</f>
        <v>17.2257</v>
      </c>
      <c r="F432" s="10">
        <f>CHOOSE(CONTROL!$C$42, 17.1239, 17.1239)*CHOOSE(CONTROL!$C$21, $C$9, 100%, $E$9)</f>
        <v>17.123899999999999</v>
      </c>
      <c r="G432" s="10">
        <f>CHOOSE(CONTROL!$C$42, 17.1396, 17.1396)*CHOOSE(CONTROL!$C$21, $C$9, 100%, $E$9)</f>
        <v>17.139600000000002</v>
      </c>
      <c r="H432" s="10">
        <f>CHOOSE(CONTROL!$C$42, 17.2149, 17.2149) * CHOOSE(CONTROL!$C$21, $C$9, 100%, $E$9)</f>
        <v>17.2149</v>
      </c>
      <c r="I432" s="10">
        <f>CHOOSE(CONTROL!$C$42, 17.139, 17.139)* CHOOSE(CONTROL!$C$21, $C$9, 100%, $E$9)</f>
        <v>17.138999999999999</v>
      </c>
      <c r="J432" s="10">
        <f>CHOOSE(CONTROL!$C$42, 17.1169, 17.1169)* CHOOSE(CONTROL!$C$21, $C$9, 100%, $E$9)</f>
        <v>17.116900000000001</v>
      </c>
      <c r="K432" s="53">
        <f>CHOOSE(CONTROL!$C$42, 17.1351, 17.1351) * CHOOSE(CONTROL!$C$21, $C$9, 100%, $E$9)</f>
        <v>17.135100000000001</v>
      </c>
      <c r="L432" s="10">
        <f>CHOOSE(CONTROL!$C$42, 17.8019, 17.8019) * CHOOSE(CONTROL!$C$21, $C$9, 100%, $E$9)</f>
        <v>17.8019</v>
      </c>
      <c r="M432" s="10">
        <f>CHOOSE(CONTROL!$C$42, 16.958, 16.958) * CHOOSE(CONTROL!$C$21, $C$9, 100%, $E$9)</f>
        <v>16.957999999999998</v>
      </c>
      <c r="N432" s="10">
        <f>CHOOSE(CONTROL!$C$42, 16.9736, 16.9736) * CHOOSE(CONTROL!$C$21, $C$9, 100%, $E$9)</f>
        <v>16.973600000000001</v>
      </c>
      <c r="O432" s="10">
        <f>CHOOSE(CONTROL!$C$42, 17.055, 17.055) * CHOOSE(CONTROL!$C$21, $C$9, 100%, $E$9)</f>
        <v>17.055</v>
      </c>
      <c r="P432" s="10">
        <f>CHOOSE(CONTROL!$C$42, 16.9799, 16.9799) * CHOOSE(CONTROL!$C$21, $C$9, 100%, $E$9)</f>
        <v>16.979900000000001</v>
      </c>
      <c r="Q432" s="10">
        <f>CHOOSE(CONTROL!$C$42, 17.6503, 17.6503) * CHOOSE(CONTROL!$C$21, $C$9, 100%, $E$9)</f>
        <v>17.650300000000001</v>
      </c>
      <c r="R432" s="10">
        <f>CHOOSE(CONTROL!$C$42, 18.2814, 18.2814) * CHOOSE(CONTROL!$C$21, $C$9, 100%, $E$9)</f>
        <v>18.281400000000001</v>
      </c>
      <c r="S432" s="10">
        <f>CHOOSE(CONTROL!$C$42, 16.6294, 16.6294) * CHOOSE(CONTROL!$C$21, $C$9, 100%, $E$9)</f>
        <v>16.6294</v>
      </c>
      <c r="T4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57">
        <f>(1000*CHOOSE(CONTROL!$C$42, 695, 695)*CHOOSE(CONTROL!$C$42, 0.5599, 0.5599)*CHOOSE(CONTROL!$C$42, 31, 31))/1000000</f>
        <v>12.063045499999998</v>
      </c>
      <c r="V432" s="57">
        <f>(1000*CHOOSE(CONTROL!$C$42, 500, 500)*CHOOSE(CONTROL!$C$42, 0.275, 0.275)*CHOOSE(CONTROL!$C$42, 31, 31))/1000000</f>
        <v>4.2625000000000002</v>
      </c>
      <c r="W432" s="57">
        <f>(1000*CHOOSE(CONTROL!$C$42, 0.1146, 0.1146)*CHOOSE(CONTROL!$C$42, 121.5, 121.5)*CHOOSE(CONTROL!$C$42, 31, 31))/1000000</f>
        <v>0.43164089999999994</v>
      </c>
      <c r="X432" s="57">
        <f>(31*0.1790888*100000/1000000)+(31*0.2374*100000/1000000)</f>
        <v>1.2911152800000001</v>
      </c>
      <c r="Y432" s="57"/>
      <c r="Z432" s="10"/>
      <c r="AA432" s="56"/>
      <c r="AB432" s="50">
        <f>(B432*122.58+C432*297.941+D432*89.177+E432*40.302+F432*40+G432*160+H432*0+I432*100+J432*300)/(122.58+297.941+89.177+40.302+0+40+160+100+300)</f>
        <v>17.136632213130436</v>
      </c>
      <c r="AC432" s="45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17.006012949640287</v>
      </c>
    </row>
    <row r="433" spans="1:29" ht="15.75" x14ac:dyDescent="0.25">
      <c r="A433" s="14">
        <v>54088</v>
      </c>
      <c r="B433" s="10">
        <f>CHOOSE(CONTROL!$C$42, 18.5295, 18.5295) * CHOOSE(CONTROL!$C$21, $C$9, 100%, $E$9)</f>
        <v>18.529499999999999</v>
      </c>
      <c r="C433" s="10">
        <f>CHOOSE(CONTROL!$C$42, 18.5345, 18.5345) * CHOOSE(CONTROL!$C$21, $C$9, 100%, $E$9)</f>
        <v>18.534500000000001</v>
      </c>
      <c r="D433" s="10">
        <f>CHOOSE(CONTROL!$C$42, 18.5915, 18.5915) * CHOOSE(CONTROL!$C$21, $C$9, 100%, $E$9)</f>
        <v>18.5915</v>
      </c>
      <c r="E433" s="10">
        <f>CHOOSE(CONTROL!$C$42, 18.6253, 18.6253) * CHOOSE(CONTROL!$C$21, $C$9, 100%, $E$9)</f>
        <v>18.625299999999999</v>
      </c>
      <c r="F433" s="10">
        <f>CHOOSE(CONTROL!$C$42, 18.5273, 18.5273)*CHOOSE(CONTROL!$C$21, $C$9, 100%, $E$9)</f>
        <v>18.5273</v>
      </c>
      <c r="G433" s="10">
        <f>CHOOSE(CONTROL!$C$42, 18.5419, 18.5419)*CHOOSE(CONTROL!$C$21, $C$9, 100%, $E$9)</f>
        <v>18.541899999999998</v>
      </c>
      <c r="H433" s="10">
        <f>CHOOSE(CONTROL!$C$42, 18.6145, 18.6145) * CHOOSE(CONTROL!$C$21, $C$9, 100%, $E$9)</f>
        <v>18.6145</v>
      </c>
      <c r="I433" s="10">
        <f>CHOOSE(CONTROL!$C$42, 18.5403, 18.5403)* CHOOSE(CONTROL!$C$21, $C$9, 100%, $E$9)</f>
        <v>18.540299999999998</v>
      </c>
      <c r="J433" s="10">
        <f>CHOOSE(CONTROL!$C$42, 18.5203, 18.5203)* CHOOSE(CONTROL!$C$21, $C$9, 100%, $E$9)</f>
        <v>18.520299999999999</v>
      </c>
      <c r="K433" s="53">
        <f>CHOOSE(CONTROL!$C$42, 18.5364, 18.5364) * CHOOSE(CONTROL!$C$21, $C$9, 100%, $E$9)</f>
        <v>18.5364</v>
      </c>
      <c r="L433" s="10">
        <f>CHOOSE(CONTROL!$C$42, 19.2015, 19.2015) * CHOOSE(CONTROL!$C$21, $C$9, 100%, $E$9)</f>
        <v>19.201499999999999</v>
      </c>
      <c r="M433" s="10">
        <f>CHOOSE(CONTROL!$C$42, 18.3473, 18.3473) * CHOOSE(CONTROL!$C$21, $C$9, 100%, $E$9)</f>
        <v>18.347300000000001</v>
      </c>
      <c r="N433" s="10">
        <f>CHOOSE(CONTROL!$C$42, 18.3617, 18.3617) * CHOOSE(CONTROL!$C$21, $C$9, 100%, $E$9)</f>
        <v>18.361699999999999</v>
      </c>
      <c r="O433" s="10">
        <f>CHOOSE(CONTROL!$C$42, 18.4405, 18.4405) * CHOOSE(CONTROL!$C$21, $C$9, 100%, $E$9)</f>
        <v>18.4405</v>
      </c>
      <c r="P433" s="10">
        <f>CHOOSE(CONTROL!$C$42, 18.3671, 18.3671) * CHOOSE(CONTROL!$C$21, $C$9, 100%, $E$9)</f>
        <v>18.367100000000001</v>
      </c>
      <c r="Q433" s="10">
        <f>CHOOSE(CONTROL!$C$42, 19.0358, 19.0358) * CHOOSE(CONTROL!$C$21, $C$9, 100%, $E$9)</f>
        <v>19.035799999999998</v>
      </c>
      <c r="R433" s="10">
        <f>CHOOSE(CONTROL!$C$42, 19.6704, 19.6704) * CHOOSE(CONTROL!$C$21, $C$9, 100%, $E$9)</f>
        <v>19.670400000000001</v>
      </c>
      <c r="S433" s="10">
        <f>CHOOSE(CONTROL!$C$42, 17.9919, 17.9919) * CHOOSE(CONTROL!$C$21, $C$9, 100%, $E$9)</f>
        <v>17.991900000000001</v>
      </c>
      <c r="T4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57">
        <f>(1000*CHOOSE(CONTROL!$C$42, 695, 695)*CHOOSE(CONTROL!$C$42, 0.5599, 0.5599)*CHOOSE(CONTROL!$C$42, 31, 31))/1000000</f>
        <v>12.063045499999998</v>
      </c>
      <c r="V433" s="57">
        <f>(1000*CHOOSE(CONTROL!$C$42, 500, 500)*CHOOSE(CONTROL!$C$42, 0.275, 0.275)*CHOOSE(CONTROL!$C$42, 31, 31))/1000000</f>
        <v>4.2625000000000002</v>
      </c>
      <c r="W433" s="57">
        <f>(1000*CHOOSE(CONTROL!$C$42, 0.1146, 0.1146)*CHOOSE(CONTROL!$C$42, 121.5, 121.5)*CHOOSE(CONTROL!$C$42, 31, 31))/1000000</f>
        <v>0.43164089999999994</v>
      </c>
      <c r="X433" s="57">
        <f>(31*0.1790888*100000/1000000)+(31*0.2374*100000/1000000)</f>
        <v>1.2911152800000001</v>
      </c>
      <c r="Y433" s="57"/>
      <c r="Z433" s="10"/>
      <c r="AA433" s="56"/>
      <c r="AB433" s="50">
        <f>(B433*122.58+C433*297.941+D433*89.177+E433*40.302+F433*40+G433*160+H433*0+I433*100+J433*300)/(122.58+297.941+89.177+40.302+0+40+160+100+300)</f>
        <v>18.53914835704348</v>
      </c>
      <c r="AC433" s="45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18.39321942446043</v>
      </c>
    </row>
    <row r="434" spans="1:29" ht="15.75" x14ac:dyDescent="0.25">
      <c r="A434" s="14">
        <v>54116</v>
      </c>
      <c r="B434" s="10">
        <f>CHOOSE(CONTROL!$C$42, 18.8593, 18.8593) * CHOOSE(CONTROL!$C$21, $C$9, 100%, $E$9)</f>
        <v>18.859300000000001</v>
      </c>
      <c r="C434" s="10">
        <f>CHOOSE(CONTROL!$C$42, 18.8643, 18.8643) * CHOOSE(CONTROL!$C$21, $C$9, 100%, $E$9)</f>
        <v>18.8643</v>
      </c>
      <c r="D434" s="10">
        <f>CHOOSE(CONTROL!$C$42, 18.9213, 18.9213) * CHOOSE(CONTROL!$C$21, $C$9, 100%, $E$9)</f>
        <v>18.921299999999999</v>
      </c>
      <c r="E434" s="10">
        <f>CHOOSE(CONTROL!$C$42, 18.9551, 18.9551) * CHOOSE(CONTROL!$C$21, $C$9, 100%, $E$9)</f>
        <v>18.955100000000002</v>
      </c>
      <c r="F434" s="10">
        <f>CHOOSE(CONTROL!$C$42, 18.8573, 18.8573)*CHOOSE(CONTROL!$C$21, $C$9, 100%, $E$9)</f>
        <v>18.857299999999999</v>
      </c>
      <c r="G434" s="10">
        <f>CHOOSE(CONTROL!$C$42, 18.8719, 18.8719)*CHOOSE(CONTROL!$C$21, $C$9, 100%, $E$9)</f>
        <v>18.8719</v>
      </c>
      <c r="H434" s="10">
        <f>CHOOSE(CONTROL!$C$42, 18.9443, 18.9443) * CHOOSE(CONTROL!$C$21, $C$9, 100%, $E$9)</f>
        <v>18.944299999999998</v>
      </c>
      <c r="I434" s="10">
        <f>CHOOSE(CONTROL!$C$42, 18.8701, 18.8701)* CHOOSE(CONTROL!$C$21, $C$9, 100%, $E$9)</f>
        <v>18.870100000000001</v>
      </c>
      <c r="J434" s="10">
        <f>CHOOSE(CONTROL!$C$42, 18.8503, 18.8503)* CHOOSE(CONTROL!$C$21, $C$9, 100%, $E$9)</f>
        <v>18.850300000000001</v>
      </c>
      <c r="K434" s="53">
        <f>CHOOSE(CONTROL!$C$42, 18.8662, 18.8662) * CHOOSE(CONTROL!$C$21, $C$9, 100%, $E$9)</f>
        <v>18.866199999999999</v>
      </c>
      <c r="L434" s="10">
        <f>CHOOSE(CONTROL!$C$42, 19.5313, 19.5313) * CHOOSE(CONTROL!$C$21, $C$9, 100%, $E$9)</f>
        <v>19.531300000000002</v>
      </c>
      <c r="M434" s="10">
        <f>CHOOSE(CONTROL!$C$42, 18.6738, 18.6738) * CHOOSE(CONTROL!$C$21, $C$9, 100%, $E$9)</f>
        <v>18.6738</v>
      </c>
      <c r="N434" s="10">
        <f>CHOOSE(CONTROL!$C$42, 18.6883, 18.6883) * CHOOSE(CONTROL!$C$21, $C$9, 100%, $E$9)</f>
        <v>18.688300000000002</v>
      </c>
      <c r="O434" s="10">
        <f>CHOOSE(CONTROL!$C$42, 18.767, 18.767) * CHOOSE(CONTROL!$C$21, $C$9, 100%, $E$9)</f>
        <v>18.766999999999999</v>
      </c>
      <c r="P434" s="10">
        <f>CHOOSE(CONTROL!$C$42, 18.6935, 18.6935) * CHOOSE(CONTROL!$C$21, $C$9, 100%, $E$9)</f>
        <v>18.6935</v>
      </c>
      <c r="Q434" s="10">
        <f>CHOOSE(CONTROL!$C$42, 19.3623, 19.3623) * CHOOSE(CONTROL!$C$21, $C$9, 100%, $E$9)</f>
        <v>19.362300000000001</v>
      </c>
      <c r="R434" s="10">
        <f>CHOOSE(CONTROL!$C$42, 19.9977, 19.9977) * CHOOSE(CONTROL!$C$21, $C$9, 100%, $E$9)</f>
        <v>19.997699999999998</v>
      </c>
      <c r="S434" s="10">
        <f>CHOOSE(CONTROL!$C$42, 18.3121, 18.3121) * CHOOSE(CONTROL!$C$21, $C$9, 100%, $E$9)</f>
        <v>18.312100000000001</v>
      </c>
      <c r="T43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34" s="57">
        <f>(1000*CHOOSE(CONTROL!$C$42, 695, 695)*CHOOSE(CONTROL!$C$42, 0.5599, 0.5599)*CHOOSE(CONTROL!$C$42, 29, 29))/1000000</f>
        <v>11.284784499999999</v>
      </c>
      <c r="V434" s="57">
        <f>(1000*CHOOSE(CONTROL!$C$42, 500, 500)*CHOOSE(CONTROL!$C$42, 0.275, 0.275)*CHOOSE(CONTROL!$C$42, 29, 29))/1000000</f>
        <v>3.9874999999999998</v>
      </c>
      <c r="W434" s="57">
        <f>(1000*CHOOSE(CONTROL!$C$42, 0.1146, 0.1146)*CHOOSE(CONTROL!$C$42, 121.5, 121.5)*CHOOSE(CONTROL!$C$42, 29, 29))/1000000</f>
        <v>0.40379309999999996</v>
      </c>
      <c r="X434" s="57">
        <f>(29*0.1790888*100000/1000000)+(29*0.2374*100000/1000000)</f>
        <v>1.2078175199999999</v>
      </c>
      <c r="Y434" s="57"/>
      <c r="Z434" s="10"/>
      <c r="AA434" s="56"/>
      <c r="AB434" s="50">
        <f>(B434*122.58+C434*297.941+D434*89.177+E434*40.302+F434*40+G434*160+H434*0+I434*100+J434*300)/(122.58+297.941+89.177+40.302+0+40+160+100+300)</f>
        <v>18.869035313565217</v>
      </c>
      <c r="AC434" s="45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18.719710791366904</v>
      </c>
    </row>
    <row r="435" spans="1:29" ht="15.75" x14ac:dyDescent="0.25">
      <c r="A435" s="14">
        <v>54148</v>
      </c>
      <c r="B435" s="10">
        <f>CHOOSE(CONTROL!$C$42, 18.324, 18.324) * CHOOSE(CONTROL!$C$21, $C$9, 100%, $E$9)</f>
        <v>18.324000000000002</v>
      </c>
      <c r="C435" s="10">
        <f>CHOOSE(CONTROL!$C$42, 18.3289, 18.3289) * CHOOSE(CONTROL!$C$21, $C$9, 100%, $E$9)</f>
        <v>18.328900000000001</v>
      </c>
      <c r="D435" s="10">
        <f>CHOOSE(CONTROL!$C$42, 18.386, 18.386) * CHOOSE(CONTROL!$C$21, $C$9, 100%, $E$9)</f>
        <v>18.385999999999999</v>
      </c>
      <c r="E435" s="10">
        <f>CHOOSE(CONTROL!$C$42, 18.4198, 18.4198) * CHOOSE(CONTROL!$C$21, $C$9, 100%, $E$9)</f>
        <v>18.419799999999999</v>
      </c>
      <c r="F435" s="10">
        <f>CHOOSE(CONTROL!$C$42, 18.3218, 18.3218)*CHOOSE(CONTROL!$C$21, $C$9, 100%, $E$9)</f>
        <v>18.3218</v>
      </c>
      <c r="G435" s="10">
        <f>CHOOSE(CONTROL!$C$42, 18.3364, 18.3364)*CHOOSE(CONTROL!$C$21, $C$9, 100%, $E$9)</f>
        <v>18.336400000000001</v>
      </c>
      <c r="H435" s="10">
        <f>CHOOSE(CONTROL!$C$42, 18.409, 18.409) * CHOOSE(CONTROL!$C$21, $C$9, 100%, $E$9)</f>
        <v>18.408999999999999</v>
      </c>
      <c r="I435" s="10">
        <f>CHOOSE(CONTROL!$C$42, 18.3348, 18.3348)* CHOOSE(CONTROL!$C$21, $C$9, 100%, $E$9)</f>
        <v>18.334800000000001</v>
      </c>
      <c r="J435" s="10">
        <f>CHOOSE(CONTROL!$C$42, 18.3148, 18.3148)* CHOOSE(CONTROL!$C$21, $C$9, 100%, $E$9)</f>
        <v>18.314800000000002</v>
      </c>
      <c r="K435" s="53">
        <f>CHOOSE(CONTROL!$C$42, 18.3309, 18.3309) * CHOOSE(CONTROL!$C$21, $C$9, 100%, $E$9)</f>
        <v>18.3309</v>
      </c>
      <c r="L435" s="10">
        <f>CHOOSE(CONTROL!$C$42, 18.996, 18.996) * CHOOSE(CONTROL!$C$21, $C$9, 100%, $E$9)</f>
        <v>18.995999999999999</v>
      </c>
      <c r="M435" s="10">
        <f>CHOOSE(CONTROL!$C$42, 18.1438, 18.1438) * CHOOSE(CONTROL!$C$21, $C$9, 100%, $E$9)</f>
        <v>18.143799999999999</v>
      </c>
      <c r="N435" s="10">
        <f>CHOOSE(CONTROL!$C$42, 18.1582, 18.1582) * CHOOSE(CONTROL!$C$21, $C$9, 100%, $E$9)</f>
        <v>18.158200000000001</v>
      </c>
      <c r="O435" s="10">
        <f>CHOOSE(CONTROL!$C$42, 18.237, 18.237) * CHOOSE(CONTROL!$C$21, $C$9, 100%, $E$9)</f>
        <v>18.236999999999998</v>
      </c>
      <c r="P435" s="10">
        <f>CHOOSE(CONTROL!$C$42, 18.1636, 18.1636) * CHOOSE(CONTROL!$C$21, $C$9, 100%, $E$9)</f>
        <v>18.163599999999999</v>
      </c>
      <c r="Q435" s="10">
        <f>CHOOSE(CONTROL!$C$42, 18.8323, 18.8323) * CHOOSE(CONTROL!$C$21, $C$9, 100%, $E$9)</f>
        <v>18.8323</v>
      </c>
      <c r="R435" s="10">
        <f>CHOOSE(CONTROL!$C$42, 19.4664, 19.4664) * CHOOSE(CONTROL!$C$21, $C$9, 100%, $E$9)</f>
        <v>19.4664</v>
      </c>
      <c r="S435" s="10">
        <f>CHOOSE(CONTROL!$C$42, 17.7923, 17.7923) * CHOOSE(CONTROL!$C$21, $C$9, 100%, $E$9)</f>
        <v>17.792300000000001</v>
      </c>
      <c r="T4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57">
        <f>(1000*CHOOSE(CONTROL!$C$42, 695, 695)*CHOOSE(CONTROL!$C$42, 0.5599, 0.5599)*CHOOSE(CONTROL!$C$42, 31, 31))/1000000</f>
        <v>12.063045499999998</v>
      </c>
      <c r="V435" s="57">
        <f>(1000*CHOOSE(CONTROL!$C$42, 500, 500)*CHOOSE(CONTROL!$C$42, 0.275, 0.275)*CHOOSE(CONTROL!$C$42, 31, 31))/1000000</f>
        <v>4.2625000000000002</v>
      </c>
      <c r="W435" s="57">
        <f>(1000*CHOOSE(CONTROL!$C$42, 0.1146, 0.1146)*CHOOSE(CONTROL!$C$42, 121.5, 121.5)*CHOOSE(CONTROL!$C$42, 31, 31))/1000000</f>
        <v>0.43164089999999994</v>
      </c>
      <c r="X435" s="57">
        <f>(31*0.1790888*100000/1000000)+(31*0.2374*100000/1000000)</f>
        <v>1.2911152800000001</v>
      </c>
      <c r="Y435" s="57"/>
      <c r="Z435" s="10"/>
      <c r="AA435" s="56"/>
      <c r="AB435" s="50">
        <f>(B435*122.58+C435*297.941+D435*89.177+E435*40.302+F435*40+G435*160+H435*0+I435*100+J435*300)/(122.58+297.941+89.177+40.302+0+40+160+100+300)</f>
        <v>18.333622449130434</v>
      </c>
      <c r="AC435" s="45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18.189719424460431</v>
      </c>
    </row>
    <row r="436" spans="1:29" ht="15.75" x14ac:dyDescent="0.25">
      <c r="A436" s="14">
        <v>54178</v>
      </c>
      <c r="B436" s="10">
        <f>CHOOSE(CONTROL!$C$42, 18.2703, 18.2703) * CHOOSE(CONTROL!$C$21, $C$9, 100%, $E$9)</f>
        <v>18.270299999999999</v>
      </c>
      <c r="C436" s="10">
        <f>CHOOSE(CONTROL!$C$42, 18.2747, 18.2747) * CHOOSE(CONTROL!$C$21, $C$9, 100%, $E$9)</f>
        <v>18.274699999999999</v>
      </c>
      <c r="D436" s="10">
        <f>CHOOSE(CONTROL!$C$42, 18.4805, 18.4805) * CHOOSE(CONTROL!$C$21, $C$9, 100%, $E$9)</f>
        <v>18.480499999999999</v>
      </c>
      <c r="E436" s="10">
        <f>CHOOSE(CONTROL!$C$42, 18.5123, 18.5123) * CHOOSE(CONTROL!$C$21, $C$9, 100%, $E$9)</f>
        <v>18.5123</v>
      </c>
      <c r="F436" s="10">
        <f>CHOOSE(CONTROL!$C$42, 18.2471, 18.2471)*CHOOSE(CONTROL!$C$21, $C$9, 100%, $E$9)</f>
        <v>18.2471</v>
      </c>
      <c r="G436" s="10">
        <f>CHOOSE(CONTROL!$C$42, 18.2616, 18.2616)*CHOOSE(CONTROL!$C$21, $C$9, 100%, $E$9)</f>
        <v>18.261600000000001</v>
      </c>
      <c r="H436" s="10">
        <f>CHOOSE(CONTROL!$C$42, 18.5021, 18.5021) * CHOOSE(CONTROL!$C$21, $C$9, 100%, $E$9)</f>
        <v>18.502099999999999</v>
      </c>
      <c r="I436" s="10">
        <f>CHOOSE(CONTROL!$C$42, 18.2717, 18.2717)* CHOOSE(CONTROL!$C$21, $C$9, 100%, $E$9)</f>
        <v>18.271699999999999</v>
      </c>
      <c r="J436" s="10">
        <f>CHOOSE(CONTROL!$C$42, 18.2401, 18.2401)* CHOOSE(CONTROL!$C$21, $C$9, 100%, $E$9)</f>
        <v>18.240100000000002</v>
      </c>
      <c r="K436" s="53">
        <f>CHOOSE(CONTROL!$C$42, 18.2678, 18.2678) * CHOOSE(CONTROL!$C$21, $C$9, 100%, $E$9)</f>
        <v>18.267800000000001</v>
      </c>
      <c r="L436" s="10">
        <f>CHOOSE(CONTROL!$C$42, 19.0891, 19.0891) * CHOOSE(CONTROL!$C$21, $C$9, 100%, $E$9)</f>
        <v>19.089099999999998</v>
      </c>
      <c r="M436" s="10">
        <f>CHOOSE(CONTROL!$C$42, 18.0698, 18.0698) * CHOOSE(CONTROL!$C$21, $C$9, 100%, $E$9)</f>
        <v>18.069800000000001</v>
      </c>
      <c r="N436" s="10">
        <f>CHOOSE(CONTROL!$C$42, 18.0842, 18.0842) * CHOOSE(CONTROL!$C$21, $C$9, 100%, $E$9)</f>
        <v>18.084199999999999</v>
      </c>
      <c r="O436" s="10">
        <f>CHOOSE(CONTROL!$C$42, 18.3292, 18.3292) * CHOOSE(CONTROL!$C$21, $C$9, 100%, $E$9)</f>
        <v>18.3292</v>
      </c>
      <c r="P436" s="10">
        <f>CHOOSE(CONTROL!$C$42, 18.1012, 18.1012) * CHOOSE(CONTROL!$C$21, $C$9, 100%, $E$9)</f>
        <v>18.101199999999999</v>
      </c>
      <c r="Q436" s="10">
        <f>CHOOSE(CONTROL!$C$42, 18.9245, 18.9245) * CHOOSE(CONTROL!$C$21, $C$9, 100%, $E$9)</f>
        <v>18.924499999999998</v>
      </c>
      <c r="R436" s="10">
        <f>CHOOSE(CONTROL!$C$42, 19.5588, 19.5588) * CHOOSE(CONTROL!$C$21, $C$9, 100%, $E$9)</f>
        <v>19.558800000000002</v>
      </c>
      <c r="S436" s="10">
        <f>CHOOSE(CONTROL!$C$42, 17.7394, 17.7394) * CHOOSE(CONTROL!$C$21, $C$9, 100%, $E$9)</f>
        <v>17.7394</v>
      </c>
      <c r="T4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57">
        <f>(1000*CHOOSE(CONTROL!$C$42, 695, 695)*CHOOSE(CONTROL!$C$42, 0.5599, 0.5599)*CHOOSE(CONTROL!$C$42, 30, 30))/1000000</f>
        <v>11.673914999999997</v>
      </c>
      <c r="V436" s="57">
        <f>(1000*CHOOSE(CONTROL!$C$42, 500, 500)*CHOOSE(CONTROL!$C$42, 0.275, 0.275)*CHOOSE(CONTROL!$C$42, 30, 30))/1000000</f>
        <v>4.125</v>
      </c>
      <c r="W436" s="57">
        <f>(1000*CHOOSE(CONTROL!$C$42, 0.1146, 0.1146)*CHOOSE(CONTROL!$C$42, 121.5, 121.5)*CHOOSE(CONTROL!$C$42, 30, 30))/1000000</f>
        <v>0.417717</v>
      </c>
      <c r="X436" s="57">
        <f>(30*0.1790888*245000/1000000)+(30*0.2374*100000/1000000)</f>
        <v>2.0285026799999999</v>
      </c>
      <c r="Y436" s="57"/>
      <c r="Z436" s="10"/>
      <c r="AA436" s="56"/>
      <c r="AB436" s="50">
        <f>(B436*141.293+C436*267.993+D436*115.016+E436*89.698+F436*40+G436*185+H436*0+I436*100+J436*300)/(141.293+267.993+115.016+89.698+0+40+185+100+300)</f>
        <v>18.299036842937852</v>
      </c>
      <c r="AC436" s="45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18.15041438848921</v>
      </c>
    </row>
    <row r="437" spans="1:29" ht="15.75" x14ac:dyDescent="0.25">
      <c r="A437" s="14">
        <v>54209</v>
      </c>
      <c r="B437" s="10">
        <f>CHOOSE(CONTROL!$C$42, 18.4329, 18.4329) * CHOOSE(CONTROL!$C$21, $C$9, 100%, $E$9)</f>
        <v>18.4329</v>
      </c>
      <c r="C437" s="10">
        <f>CHOOSE(CONTROL!$C$42, 18.4408, 18.4408) * CHOOSE(CONTROL!$C$21, $C$9, 100%, $E$9)</f>
        <v>18.440799999999999</v>
      </c>
      <c r="D437" s="10">
        <f>CHOOSE(CONTROL!$C$42, 18.6435, 18.6435) * CHOOSE(CONTROL!$C$21, $C$9, 100%, $E$9)</f>
        <v>18.6435</v>
      </c>
      <c r="E437" s="10">
        <f>CHOOSE(CONTROL!$C$42, 18.6747, 18.6747) * CHOOSE(CONTROL!$C$21, $C$9, 100%, $E$9)</f>
        <v>18.674700000000001</v>
      </c>
      <c r="F437" s="10">
        <f>CHOOSE(CONTROL!$C$42, 18.4086, 18.4086)*CHOOSE(CONTROL!$C$21, $C$9, 100%, $E$9)</f>
        <v>18.4086</v>
      </c>
      <c r="G437" s="10">
        <f>CHOOSE(CONTROL!$C$42, 18.4236, 18.4236)*CHOOSE(CONTROL!$C$21, $C$9, 100%, $E$9)</f>
        <v>18.4236</v>
      </c>
      <c r="H437" s="10">
        <f>CHOOSE(CONTROL!$C$42, 18.6633, 18.6633) * CHOOSE(CONTROL!$C$21, $C$9, 100%, $E$9)</f>
        <v>18.6633</v>
      </c>
      <c r="I437" s="10">
        <f>CHOOSE(CONTROL!$C$42, 18.4329, 18.4329)* CHOOSE(CONTROL!$C$21, $C$9, 100%, $E$9)</f>
        <v>18.4329</v>
      </c>
      <c r="J437" s="10">
        <f>CHOOSE(CONTROL!$C$42, 18.4016, 18.4016)* CHOOSE(CONTROL!$C$21, $C$9, 100%, $E$9)</f>
        <v>18.401599999999998</v>
      </c>
      <c r="K437" s="53">
        <f>CHOOSE(CONTROL!$C$42, 18.429, 18.429) * CHOOSE(CONTROL!$C$21, $C$9, 100%, $E$9)</f>
        <v>18.428999999999998</v>
      </c>
      <c r="L437" s="10">
        <f>CHOOSE(CONTROL!$C$42, 19.2503, 19.2503) * CHOOSE(CONTROL!$C$21, $C$9, 100%, $E$9)</f>
        <v>19.250299999999999</v>
      </c>
      <c r="M437" s="10">
        <f>CHOOSE(CONTROL!$C$42, 18.2297, 18.2297) * CHOOSE(CONTROL!$C$21, $C$9, 100%, $E$9)</f>
        <v>18.229700000000001</v>
      </c>
      <c r="N437" s="10">
        <f>CHOOSE(CONTROL!$C$42, 18.2446, 18.2446) * CHOOSE(CONTROL!$C$21, $C$9, 100%, $E$9)</f>
        <v>18.244599999999998</v>
      </c>
      <c r="O437" s="10">
        <f>CHOOSE(CONTROL!$C$42, 18.4888, 18.4888) * CHOOSE(CONTROL!$C$21, $C$9, 100%, $E$9)</f>
        <v>18.488800000000001</v>
      </c>
      <c r="P437" s="10">
        <f>CHOOSE(CONTROL!$C$42, 18.2608, 18.2608) * CHOOSE(CONTROL!$C$21, $C$9, 100%, $E$9)</f>
        <v>18.2608</v>
      </c>
      <c r="Q437" s="10">
        <f>CHOOSE(CONTROL!$C$42, 19.0841, 19.0841) * CHOOSE(CONTROL!$C$21, $C$9, 100%, $E$9)</f>
        <v>19.084099999999999</v>
      </c>
      <c r="R437" s="10">
        <f>CHOOSE(CONTROL!$C$42, 19.7188, 19.7188) * CHOOSE(CONTROL!$C$21, $C$9, 100%, $E$9)</f>
        <v>19.718800000000002</v>
      </c>
      <c r="S437" s="10">
        <f>CHOOSE(CONTROL!$C$42, 17.8959, 17.8959) * CHOOSE(CONTROL!$C$21, $C$9, 100%, $E$9)</f>
        <v>17.895900000000001</v>
      </c>
      <c r="T4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57">
        <f>(1000*CHOOSE(CONTROL!$C$42, 695, 695)*CHOOSE(CONTROL!$C$42, 0.5599, 0.5599)*CHOOSE(CONTROL!$C$42, 31, 31))/1000000</f>
        <v>12.063045499999998</v>
      </c>
      <c r="V437" s="57">
        <f>(1000*CHOOSE(CONTROL!$C$42, 500, 500)*CHOOSE(CONTROL!$C$42, 0.275, 0.275)*CHOOSE(CONTROL!$C$42, 31, 31))/1000000</f>
        <v>4.2625000000000002</v>
      </c>
      <c r="W437" s="57">
        <f>(1000*CHOOSE(CONTROL!$C$42, 0.1146, 0.1146)*CHOOSE(CONTROL!$C$42, 121.5, 121.5)*CHOOSE(CONTROL!$C$42, 31, 31))/1000000</f>
        <v>0.43164089999999994</v>
      </c>
      <c r="X437" s="57">
        <f>(31*0.1790888*245000/1000000)+(31*0.2374*100000/1000000)</f>
        <v>2.0961194359999999</v>
      </c>
      <c r="Y437" s="57"/>
      <c r="Z437" s="10"/>
      <c r="AA437" s="56"/>
      <c r="AB437" s="50">
        <f>(B437*194.205+C437*267.466+D437*133.845+E437*53.484+F437*40+G437*185+H437*0+I437*100+J437*300)/(194.205+267.466+133.845+53.484+0+40+185+100+300)</f>
        <v>18.457351075039245</v>
      </c>
      <c r="AC437" s="45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18.31030215827338</v>
      </c>
    </row>
    <row r="438" spans="1:29" ht="15.75" x14ac:dyDescent="0.25">
      <c r="A438" s="14">
        <v>54239</v>
      </c>
      <c r="B438" s="10">
        <f>CHOOSE(CONTROL!$C$42, 18.9556, 18.9556) * CHOOSE(CONTROL!$C$21, $C$9, 100%, $E$9)</f>
        <v>18.9556</v>
      </c>
      <c r="C438" s="10">
        <f>CHOOSE(CONTROL!$C$42, 18.9635, 18.9635) * CHOOSE(CONTROL!$C$21, $C$9, 100%, $E$9)</f>
        <v>18.9635</v>
      </c>
      <c r="D438" s="10">
        <f>CHOOSE(CONTROL!$C$42, 19.1663, 19.1663) * CHOOSE(CONTROL!$C$21, $C$9, 100%, $E$9)</f>
        <v>19.1663</v>
      </c>
      <c r="E438" s="10">
        <f>CHOOSE(CONTROL!$C$42, 19.1974, 19.1974) * CHOOSE(CONTROL!$C$21, $C$9, 100%, $E$9)</f>
        <v>19.197399999999998</v>
      </c>
      <c r="F438" s="10">
        <f>CHOOSE(CONTROL!$C$42, 18.9319, 18.9319)*CHOOSE(CONTROL!$C$21, $C$9, 100%, $E$9)</f>
        <v>18.931899999999999</v>
      </c>
      <c r="G438" s="10">
        <f>CHOOSE(CONTROL!$C$42, 18.947, 18.947)*CHOOSE(CONTROL!$C$21, $C$9, 100%, $E$9)</f>
        <v>18.946999999999999</v>
      </c>
      <c r="H438" s="10">
        <f>CHOOSE(CONTROL!$C$42, 19.186, 19.186) * CHOOSE(CONTROL!$C$21, $C$9, 100%, $E$9)</f>
        <v>19.186</v>
      </c>
      <c r="I438" s="10">
        <f>CHOOSE(CONTROL!$C$42, 18.9557, 18.9557)* CHOOSE(CONTROL!$C$21, $C$9, 100%, $E$9)</f>
        <v>18.9557</v>
      </c>
      <c r="J438" s="10">
        <f>CHOOSE(CONTROL!$C$42, 18.9249, 18.9249)* CHOOSE(CONTROL!$C$21, $C$9, 100%, $E$9)</f>
        <v>18.924900000000001</v>
      </c>
      <c r="K438" s="53">
        <f>CHOOSE(CONTROL!$C$42, 18.9518, 18.9518) * CHOOSE(CONTROL!$C$21, $C$9, 100%, $E$9)</f>
        <v>18.951799999999999</v>
      </c>
      <c r="L438" s="10">
        <f>CHOOSE(CONTROL!$C$42, 19.773, 19.773) * CHOOSE(CONTROL!$C$21, $C$9, 100%, $E$9)</f>
        <v>19.773</v>
      </c>
      <c r="M438" s="10">
        <f>CHOOSE(CONTROL!$C$42, 18.7477, 18.7477) * CHOOSE(CONTROL!$C$21, $C$9, 100%, $E$9)</f>
        <v>18.747699999999998</v>
      </c>
      <c r="N438" s="10">
        <f>CHOOSE(CONTROL!$C$42, 18.7627, 18.7627) * CHOOSE(CONTROL!$C$21, $C$9, 100%, $E$9)</f>
        <v>18.762699999999999</v>
      </c>
      <c r="O438" s="10">
        <f>CHOOSE(CONTROL!$C$42, 19.0062, 19.0062) * CHOOSE(CONTROL!$C$21, $C$9, 100%, $E$9)</f>
        <v>19.0062</v>
      </c>
      <c r="P438" s="10">
        <f>CHOOSE(CONTROL!$C$42, 18.7782, 18.7782) * CHOOSE(CONTROL!$C$21, $C$9, 100%, $E$9)</f>
        <v>18.778199999999998</v>
      </c>
      <c r="Q438" s="10">
        <f>CHOOSE(CONTROL!$C$42, 19.6015, 19.6015) * CHOOSE(CONTROL!$C$21, $C$9, 100%, $E$9)</f>
        <v>19.601500000000001</v>
      </c>
      <c r="R438" s="10">
        <f>CHOOSE(CONTROL!$C$42, 20.2375, 20.2375) * CHOOSE(CONTROL!$C$21, $C$9, 100%, $E$9)</f>
        <v>20.237500000000001</v>
      </c>
      <c r="S438" s="10">
        <f>CHOOSE(CONTROL!$C$42, 18.4036, 18.4036) * CHOOSE(CONTROL!$C$21, $C$9, 100%, $E$9)</f>
        <v>18.403600000000001</v>
      </c>
      <c r="T4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57">
        <f>(1000*CHOOSE(CONTROL!$C$42, 695, 695)*CHOOSE(CONTROL!$C$42, 0.5599, 0.5599)*CHOOSE(CONTROL!$C$42, 30, 30))/1000000</f>
        <v>11.673914999999997</v>
      </c>
      <c r="V438" s="57">
        <f>(1000*CHOOSE(CONTROL!$C$42, 500, 500)*CHOOSE(CONTROL!$C$42, 0.275, 0.275)*CHOOSE(CONTROL!$C$42, 30, 30))/1000000</f>
        <v>4.125</v>
      </c>
      <c r="W438" s="57">
        <f>(1000*CHOOSE(CONTROL!$C$42, 0.1146, 0.1146)*CHOOSE(CONTROL!$C$42, 121.5, 121.5)*CHOOSE(CONTROL!$C$42, 30, 30))/1000000</f>
        <v>0.417717</v>
      </c>
      <c r="X438" s="57">
        <f>(30*0.1790888*245000/1000000)+(30*0.2374*100000/1000000)</f>
        <v>2.0285026799999999</v>
      </c>
      <c r="Y438" s="57"/>
      <c r="Z438" s="10"/>
      <c r="AA438" s="56"/>
      <c r="AB438" s="50">
        <f>(B438*194.205+C438*267.466+D438*133.845+E438*53.484+F438*40+G438*185+H438*0+I438*100+J438*300)/(194.205+267.466+133.845+53.484+0+40+185+100+300)</f>
        <v>18.980331204160127</v>
      </c>
      <c r="AC438" s="45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18.828070503597118</v>
      </c>
    </row>
    <row r="439" spans="1:29" ht="15.75" x14ac:dyDescent="0.25">
      <c r="A439" s="14">
        <v>54270</v>
      </c>
      <c r="B439" s="10">
        <f>CHOOSE(CONTROL!$C$42, 18.5921, 18.5921) * CHOOSE(CONTROL!$C$21, $C$9, 100%, $E$9)</f>
        <v>18.592099999999999</v>
      </c>
      <c r="C439" s="10">
        <f>CHOOSE(CONTROL!$C$42, 18.6, 18.6) * CHOOSE(CONTROL!$C$21, $C$9, 100%, $E$9)</f>
        <v>18.600000000000001</v>
      </c>
      <c r="D439" s="10">
        <f>CHOOSE(CONTROL!$C$42, 18.8027, 18.8027) * CHOOSE(CONTROL!$C$21, $C$9, 100%, $E$9)</f>
        <v>18.802700000000002</v>
      </c>
      <c r="E439" s="10">
        <f>CHOOSE(CONTROL!$C$42, 18.8339, 18.8339) * CHOOSE(CONTROL!$C$21, $C$9, 100%, $E$9)</f>
        <v>18.8339</v>
      </c>
      <c r="F439" s="10">
        <f>CHOOSE(CONTROL!$C$42, 18.5688, 18.5688)*CHOOSE(CONTROL!$C$21, $C$9, 100%, $E$9)</f>
        <v>18.5688</v>
      </c>
      <c r="G439" s="10">
        <f>CHOOSE(CONTROL!$C$42, 18.5841, 18.5841)*CHOOSE(CONTROL!$C$21, $C$9, 100%, $E$9)</f>
        <v>18.584099999999999</v>
      </c>
      <c r="H439" s="10">
        <f>CHOOSE(CONTROL!$C$42, 18.8225, 18.8225) * CHOOSE(CONTROL!$C$21, $C$9, 100%, $E$9)</f>
        <v>18.822500000000002</v>
      </c>
      <c r="I439" s="10">
        <f>CHOOSE(CONTROL!$C$42, 18.5921, 18.5921)* CHOOSE(CONTROL!$C$21, $C$9, 100%, $E$9)</f>
        <v>18.592099999999999</v>
      </c>
      <c r="J439" s="10">
        <f>CHOOSE(CONTROL!$C$42, 18.5618, 18.5618)* CHOOSE(CONTROL!$C$21, $C$9, 100%, $E$9)</f>
        <v>18.561800000000002</v>
      </c>
      <c r="K439" s="53">
        <f>CHOOSE(CONTROL!$C$42, 18.5882, 18.5882) * CHOOSE(CONTROL!$C$21, $C$9, 100%, $E$9)</f>
        <v>18.588200000000001</v>
      </c>
      <c r="L439" s="10">
        <f>CHOOSE(CONTROL!$C$42, 19.4095, 19.4095) * CHOOSE(CONTROL!$C$21, $C$9, 100%, $E$9)</f>
        <v>19.409500000000001</v>
      </c>
      <c r="M439" s="10">
        <f>CHOOSE(CONTROL!$C$42, 18.3883, 18.3883) * CHOOSE(CONTROL!$C$21, $C$9, 100%, $E$9)</f>
        <v>18.388300000000001</v>
      </c>
      <c r="N439" s="10">
        <f>CHOOSE(CONTROL!$C$42, 18.4034, 18.4034) * CHOOSE(CONTROL!$C$21, $C$9, 100%, $E$9)</f>
        <v>18.403400000000001</v>
      </c>
      <c r="O439" s="10">
        <f>CHOOSE(CONTROL!$C$42, 18.6464, 18.6464) * CHOOSE(CONTROL!$C$21, $C$9, 100%, $E$9)</f>
        <v>18.6464</v>
      </c>
      <c r="P439" s="10">
        <f>CHOOSE(CONTROL!$C$42, 18.4183, 18.4183) * CHOOSE(CONTROL!$C$21, $C$9, 100%, $E$9)</f>
        <v>18.418299999999999</v>
      </c>
      <c r="Q439" s="10">
        <f>CHOOSE(CONTROL!$C$42, 19.2417, 19.2417) * CHOOSE(CONTROL!$C$21, $C$9, 100%, $E$9)</f>
        <v>19.241700000000002</v>
      </c>
      <c r="R439" s="10">
        <f>CHOOSE(CONTROL!$C$42, 19.8768, 19.8768) * CHOOSE(CONTROL!$C$21, $C$9, 100%, $E$9)</f>
        <v>19.876799999999999</v>
      </c>
      <c r="S439" s="10">
        <f>CHOOSE(CONTROL!$C$42, 18.0505, 18.0505) * CHOOSE(CONTROL!$C$21, $C$9, 100%, $E$9)</f>
        <v>18.0505</v>
      </c>
      <c r="T4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57">
        <f>(1000*CHOOSE(CONTROL!$C$42, 695, 695)*CHOOSE(CONTROL!$C$42, 0.5599, 0.5599)*CHOOSE(CONTROL!$C$42, 31, 31))/1000000</f>
        <v>12.063045499999998</v>
      </c>
      <c r="V439" s="57">
        <f>(1000*CHOOSE(CONTROL!$C$42, 500, 500)*CHOOSE(CONTROL!$C$42, 0.275, 0.275)*CHOOSE(CONTROL!$C$42, 31, 31))/1000000</f>
        <v>4.2625000000000002</v>
      </c>
      <c r="W439" s="57">
        <f>(1000*CHOOSE(CONTROL!$C$42, 0.1146, 0.1146)*CHOOSE(CONTROL!$C$42, 121.5, 121.5)*CHOOSE(CONTROL!$C$42, 31, 31))/1000000</f>
        <v>0.43164089999999994</v>
      </c>
      <c r="X439" s="57">
        <f>(31*0.1790888*245000/1000000)+(31*0.2374*100000/1000000)</f>
        <v>2.0961194359999999</v>
      </c>
      <c r="Y439" s="57"/>
      <c r="Z439" s="10"/>
      <c r="AA439" s="56"/>
      <c r="AB439" s="50">
        <f>(B439*194.205+C439*267.466+D439*133.845+E439*53.484+F439*40+G439*185+H439*0+I439*100+J439*300)/(194.205+267.466+133.845+53.484+0+40+185+100+300)</f>
        <v>18.617006726530612</v>
      </c>
      <c r="AC439" s="45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18.468509352517984</v>
      </c>
    </row>
    <row r="440" spans="1:29" ht="15.75" x14ac:dyDescent="0.25">
      <c r="A440" s="14">
        <v>54301</v>
      </c>
      <c r="B440" s="10">
        <f>CHOOSE(CONTROL!$C$42, 17.674, 17.674) * CHOOSE(CONTROL!$C$21, $C$9, 100%, $E$9)</f>
        <v>17.673999999999999</v>
      </c>
      <c r="C440" s="10">
        <f>CHOOSE(CONTROL!$C$42, 17.6819, 17.6819) * CHOOSE(CONTROL!$C$21, $C$9, 100%, $E$9)</f>
        <v>17.681899999999999</v>
      </c>
      <c r="D440" s="10">
        <f>CHOOSE(CONTROL!$C$42, 17.8846, 17.8846) * CHOOSE(CONTROL!$C$21, $C$9, 100%, $E$9)</f>
        <v>17.884599999999999</v>
      </c>
      <c r="E440" s="10">
        <f>CHOOSE(CONTROL!$C$42, 17.9158, 17.9158) * CHOOSE(CONTROL!$C$21, $C$9, 100%, $E$9)</f>
        <v>17.915800000000001</v>
      </c>
      <c r="F440" s="10">
        <f>CHOOSE(CONTROL!$C$42, 17.6509, 17.6509)*CHOOSE(CONTROL!$C$21, $C$9, 100%, $E$9)</f>
        <v>17.6509</v>
      </c>
      <c r="G440" s="10">
        <f>CHOOSE(CONTROL!$C$42, 17.6662, 17.6662)*CHOOSE(CONTROL!$C$21, $C$9, 100%, $E$9)</f>
        <v>17.6662</v>
      </c>
      <c r="H440" s="10">
        <f>CHOOSE(CONTROL!$C$42, 17.9044, 17.9044) * CHOOSE(CONTROL!$C$21, $C$9, 100%, $E$9)</f>
        <v>17.904399999999999</v>
      </c>
      <c r="I440" s="10">
        <f>CHOOSE(CONTROL!$C$42, 17.674, 17.674)* CHOOSE(CONTROL!$C$21, $C$9, 100%, $E$9)</f>
        <v>17.673999999999999</v>
      </c>
      <c r="J440" s="10">
        <f>CHOOSE(CONTROL!$C$42, 17.6439, 17.6439)* CHOOSE(CONTROL!$C$21, $C$9, 100%, $E$9)</f>
        <v>17.643899999999999</v>
      </c>
      <c r="K440" s="53">
        <f>CHOOSE(CONTROL!$C$42, 17.6701, 17.6701) * CHOOSE(CONTROL!$C$21, $C$9, 100%, $E$9)</f>
        <v>17.670100000000001</v>
      </c>
      <c r="L440" s="10">
        <f>CHOOSE(CONTROL!$C$42, 18.4914, 18.4914) * CHOOSE(CONTROL!$C$21, $C$9, 100%, $E$9)</f>
        <v>18.491399999999999</v>
      </c>
      <c r="M440" s="10">
        <f>CHOOSE(CONTROL!$C$42, 17.4797, 17.4797) * CHOOSE(CONTROL!$C$21, $C$9, 100%, $E$9)</f>
        <v>17.479700000000001</v>
      </c>
      <c r="N440" s="10">
        <f>CHOOSE(CONTROL!$C$42, 17.4949, 17.4949) * CHOOSE(CONTROL!$C$21, $C$9, 100%, $E$9)</f>
        <v>17.494900000000001</v>
      </c>
      <c r="O440" s="10">
        <f>CHOOSE(CONTROL!$C$42, 17.7375, 17.7375) * CHOOSE(CONTROL!$C$21, $C$9, 100%, $E$9)</f>
        <v>17.737500000000001</v>
      </c>
      <c r="P440" s="10">
        <f>CHOOSE(CONTROL!$C$42, 17.5095, 17.5095) * CHOOSE(CONTROL!$C$21, $C$9, 100%, $E$9)</f>
        <v>17.509499999999999</v>
      </c>
      <c r="Q440" s="10">
        <f>CHOOSE(CONTROL!$C$42, 18.3328, 18.3328) * CHOOSE(CONTROL!$C$21, $C$9, 100%, $E$9)</f>
        <v>18.332799999999999</v>
      </c>
      <c r="R440" s="10">
        <f>CHOOSE(CONTROL!$C$42, 18.9657, 18.9657) * CHOOSE(CONTROL!$C$21, $C$9, 100%, $E$9)</f>
        <v>18.965699999999998</v>
      </c>
      <c r="S440" s="10">
        <f>CHOOSE(CONTROL!$C$42, 17.159, 17.159) * CHOOSE(CONTROL!$C$21, $C$9, 100%, $E$9)</f>
        <v>17.158999999999999</v>
      </c>
      <c r="T4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57">
        <f>(1000*CHOOSE(CONTROL!$C$42, 695, 695)*CHOOSE(CONTROL!$C$42, 0.5599, 0.5599)*CHOOSE(CONTROL!$C$42, 31, 31))/1000000</f>
        <v>12.063045499999998</v>
      </c>
      <c r="V440" s="57">
        <f>(1000*CHOOSE(CONTROL!$C$42, 500, 500)*CHOOSE(CONTROL!$C$42, 0.275, 0.275)*CHOOSE(CONTROL!$C$42, 31, 31))/1000000</f>
        <v>4.2625000000000002</v>
      </c>
      <c r="W440" s="57">
        <f>(1000*CHOOSE(CONTROL!$C$42, 0.1146, 0.1146)*CHOOSE(CONTROL!$C$42, 121.5, 121.5)*CHOOSE(CONTROL!$C$42, 31, 31))/1000000</f>
        <v>0.43164089999999994</v>
      </c>
      <c r="X440" s="57">
        <f>(31*0.1790888*245000/1000000)+(31*0.2374*100000/1000000)</f>
        <v>2.0961194359999999</v>
      </c>
      <c r="Y440" s="57"/>
      <c r="Z440" s="10"/>
      <c r="AA440" s="56"/>
      <c r="AB440" s="50">
        <f>(B440*194.205+C440*267.466+D440*133.845+E440*53.484+F440*40+G440*185+H440*0+I440*100+J440*300)/(194.205+267.466+133.845+53.484+0+40+185+100+300)</f>
        <v>17.698989144113028</v>
      </c>
      <c r="AC440" s="45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17.559819424460436</v>
      </c>
    </row>
    <row r="441" spans="1:29" ht="15.75" x14ac:dyDescent="0.25">
      <c r="A441" s="14">
        <v>54331</v>
      </c>
      <c r="B441" s="10">
        <f>CHOOSE(CONTROL!$C$42, 16.5519, 16.5519) * CHOOSE(CONTROL!$C$21, $C$9, 100%, $E$9)</f>
        <v>16.5519</v>
      </c>
      <c r="C441" s="10">
        <f>CHOOSE(CONTROL!$C$42, 16.5598, 16.5598) * CHOOSE(CONTROL!$C$21, $C$9, 100%, $E$9)</f>
        <v>16.559799999999999</v>
      </c>
      <c r="D441" s="10">
        <f>CHOOSE(CONTROL!$C$42, 16.7625, 16.7625) * CHOOSE(CONTROL!$C$21, $C$9, 100%, $E$9)</f>
        <v>16.762499999999999</v>
      </c>
      <c r="E441" s="10">
        <f>CHOOSE(CONTROL!$C$42, 16.7936, 16.7936) * CHOOSE(CONTROL!$C$21, $C$9, 100%, $E$9)</f>
        <v>16.793600000000001</v>
      </c>
      <c r="F441" s="10">
        <f>CHOOSE(CONTROL!$C$42, 16.5287, 16.5287)*CHOOSE(CONTROL!$C$21, $C$9, 100%, $E$9)</f>
        <v>16.528700000000001</v>
      </c>
      <c r="G441" s="10">
        <f>CHOOSE(CONTROL!$C$42, 16.5439, 16.5439)*CHOOSE(CONTROL!$C$21, $C$9, 100%, $E$9)</f>
        <v>16.543900000000001</v>
      </c>
      <c r="H441" s="10">
        <f>CHOOSE(CONTROL!$C$42, 16.7823, 16.7823) * CHOOSE(CONTROL!$C$21, $C$9, 100%, $E$9)</f>
        <v>16.782299999999999</v>
      </c>
      <c r="I441" s="10">
        <f>CHOOSE(CONTROL!$C$42, 16.5519, 16.5519)* CHOOSE(CONTROL!$C$21, $C$9, 100%, $E$9)</f>
        <v>16.5519</v>
      </c>
      <c r="J441" s="10">
        <f>CHOOSE(CONTROL!$C$42, 16.5217, 16.5217)* CHOOSE(CONTROL!$C$21, $C$9, 100%, $E$9)</f>
        <v>16.521699999999999</v>
      </c>
      <c r="K441" s="53">
        <f>CHOOSE(CONTROL!$C$42, 16.548, 16.548) * CHOOSE(CONTROL!$C$21, $C$9, 100%, $E$9)</f>
        <v>16.547999999999998</v>
      </c>
      <c r="L441" s="10">
        <f>CHOOSE(CONTROL!$C$42, 17.3693, 17.3693) * CHOOSE(CONTROL!$C$21, $C$9, 100%, $E$9)</f>
        <v>17.369299999999999</v>
      </c>
      <c r="M441" s="10">
        <f>CHOOSE(CONTROL!$C$42, 16.3688, 16.3688) * CHOOSE(CONTROL!$C$21, $C$9, 100%, $E$9)</f>
        <v>16.3688</v>
      </c>
      <c r="N441" s="10">
        <f>CHOOSE(CONTROL!$C$42, 16.3839, 16.3839) * CHOOSE(CONTROL!$C$21, $C$9, 100%, $E$9)</f>
        <v>16.383900000000001</v>
      </c>
      <c r="O441" s="10">
        <f>CHOOSE(CONTROL!$C$42, 16.6267, 16.6267) * CHOOSE(CONTROL!$C$21, $C$9, 100%, $E$9)</f>
        <v>16.6267</v>
      </c>
      <c r="P441" s="10">
        <f>CHOOSE(CONTROL!$C$42, 16.3987, 16.3987) * CHOOSE(CONTROL!$C$21, $C$9, 100%, $E$9)</f>
        <v>16.398700000000002</v>
      </c>
      <c r="Q441" s="10">
        <f>CHOOSE(CONTROL!$C$42, 17.222, 17.222) * CHOOSE(CONTROL!$C$21, $C$9, 100%, $E$9)</f>
        <v>17.222000000000001</v>
      </c>
      <c r="R441" s="10">
        <f>CHOOSE(CONTROL!$C$42, 17.8521, 17.8521) * CHOOSE(CONTROL!$C$21, $C$9, 100%, $E$9)</f>
        <v>17.8521</v>
      </c>
      <c r="S441" s="10">
        <f>CHOOSE(CONTROL!$C$42, 16.0693, 16.0693) * CHOOSE(CONTROL!$C$21, $C$9, 100%, $E$9)</f>
        <v>16.069299999999998</v>
      </c>
      <c r="T4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57">
        <f>(1000*CHOOSE(CONTROL!$C$42, 695, 695)*CHOOSE(CONTROL!$C$42, 0.5599, 0.5599)*CHOOSE(CONTROL!$C$42, 30, 30))/1000000</f>
        <v>11.673914999999997</v>
      </c>
      <c r="V441" s="57">
        <f>(1000*CHOOSE(CONTROL!$C$42, 500, 500)*CHOOSE(CONTROL!$C$42, 0.275, 0.275)*CHOOSE(CONTROL!$C$42, 30, 30))/1000000</f>
        <v>4.125</v>
      </c>
      <c r="W441" s="57">
        <f>(1000*CHOOSE(CONTROL!$C$42, 0.1146, 0.1146)*CHOOSE(CONTROL!$C$42, 121.5, 121.5)*CHOOSE(CONTROL!$C$42, 30, 30))/1000000</f>
        <v>0.417717</v>
      </c>
      <c r="X441" s="57">
        <f>(30*0.1790888*245000/1000000)+(30*0.2374*100000/1000000)</f>
        <v>2.0285026799999999</v>
      </c>
      <c r="Y441" s="57"/>
      <c r="Z441" s="10"/>
      <c r="AA441" s="56"/>
      <c r="AB441" s="50">
        <f>(B441*194.205+C441*267.466+D441*133.845+E441*53.484+F441*40+G441*185+H441*0+I441*100+J441*300)/(194.205+267.466+133.845+53.484+0+40+185+100+300)</f>
        <v>16.576829216012559</v>
      </c>
      <c r="AC441" s="45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16.448938848920864</v>
      </c>
    </row>
    <row r="442" spans="1:29" ht="15.75" x14ac:dyDescent="0.25">
      <c r="A442" s="14">
        <v>54362</v>
      </c>
      <c r="B442" s="10">
        <f>CHOOSE(CONTROL!$C$42, 16.2141, 16.2141) * CHOOSE(CONTROL!$C$21, $C$9, 100%, $E$9)</f>
        <v>16.214099999999998</v>
      </c>
      <c r="C442" s="10">
        <f>CHOOSE(CONTROL!$C$42, 16.2193, 16.2193) * CHOOSE(CONTROL!$C$21, $C$9, 100%, $E$9)</f>
        <v>16.2193</v>
      </c>
      <c r="D442" s="10">
        <f>CHOOSE(CONTROL!$C$42, 16.427, 16.427) * CHOOSE(CONTROL!$C$21, $C$9, 100%, $E$9)</f>
        <v>16.427</v>
      </c>
      <c r="E442" s="10">
        <f>CHOOSE(CONTROL!$C$42, 16.4558, 16.4558) * CHOOSE(CONTROL!$C$21, $C$9, 100%, $E$9)</f>
        <v>16.4558</v>
      </c>
      <c r="F442" s="10">
        <f>CHOOSE(CONTROL!$C$42, 16.1929, 16.1929)*CHOOSE(CONTROL!$C$21, $C$9, 100%, $E$9)</f>
        <v>16.192900000000002</v>
      </c>
      <c r="G442" s="10">
        <f>CHOOSE(CONTROL!$C$42, 16.2078, 16.2078)*CHOOSE(CONTROL!$C$21, $C$9, 100%, $E$9)</f>
        <v>16.207799999999999</v>
      </c>
      <c r="H442" s="10">
        <f>CHOOSE(CONTROL!$C$42, 16.4463, 16.4463) * CHOOSE(CONTROL!$C$21, $C$9, 100%, $E$9)</f>
        <v>16.446300000000001</v>
      </c>
      <c r="I442" s="10">
        <f>CHOOSE(CONTROL!$C$42, 16.2159, 16.2159)* CHOOSE(CONTROL!$C$21, $C$9, 100%, $E$9)</f>
        <v>16.215900000000001</v>
      </c>
      <c r="J442" s="10">
        <f>CHOOSE(CONTROL!$C$42, 16.1859, 16.1859)* CHOOSE(CONTROL!$C$21, $C$9, 100%, $E$9)</f>
        <v>16.1859</v>
      </c>
      <c r="K442" s="53">
        <f>CHOOSE(CONTROL!$C$42, 16.212, 16.212) * CHOOSE(CONTROL!$C$21, $C$9, 100%, $E$9)</f>
        <v>16.212</v>
      </c>
      <c r="L442" s="10">
        <f>CHOOSE(CONTROL!$C$42, 17.0333, 17.0333) * CHOOSE(CONTROL!$C$21, $C$9, 100%, $E$9)</f>
        <v>17.033300000000001</v>
      </c>
      <c r="M442" s="10">
        <f>CHOOSE(CONTROL!$C$42, 16.0363, 16.0363) * CHOOSE(CONTROL!$C$21, $C$9, 100%, $E$9)</f>
        <v>16.036300000000001</v>
      </c>
      <c r="N442" s="10">
        <f>CHOOSE(CONTROL!$C$42, 16.0511, 16.0511) * CHOOSE(CONTROL!$C$21, $C$9, 100%, $E$9)</f>
        <v>16.051100000000002</v>
      </c>
      <c r="O442" s="10">
        <f>CHOOSE(CONTROL!$C$42, 16.2942, 16.2942) * CHOOSE(CONTROL!$C$21, $C$9, 100%, $E$9)</f>
        <v>16.2942</v>
      </c>
      <c r="P442" s="10">
        <f>CHOOSE(CONTROL!$C$42, 16.0661, 16.0661) * CHOOSE(CONTROL!$C$21, $C$9, 100%, $E$9)</f>
        <v>16.066099999999999</v>
      </c>
      <c r="Q442" s="10">
        <f>CHOOSE(CONTROL!$C$42, 16.8895, 16.8895) * CHOOSE(CONTROL!$C$21, $C$9, 100%, $E$9)</f>
        <v>16.889500000000002</v>
      </c>
      <c r="R442" s="10">
        <f>CHOOSE(CONTROL!$C$42, 17.5187, 17.5187) * CHOOSE(CONTROL!$C$21, $C$9, 100%, $E$9)</f>
        <v>17.518699999999999</v>
      </c>
      <c r="S442" s="10">
        <f>CHOOSE(CONTROL!$C$42, 15.743, 15.743) * CHOOSE(CONTROL!$C$21, $C$9, 100%, $E$9)</f>
        <v>15.743</v>
      </c>
      <c r="T4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57">
        <f>(1000*CHOOSE(CONTROL!$C$42, 695, 695)*CHOOSE(CONTROL!$C$42, 0.5599, 0.5599)*CHOOSE(CONTROL!$C$42, 31, 31))/1000000</f>
        <v>12.063045499999998</v>
      </c>
      <c r="V442" s="57">
        <f>(1000*CHOOSE(CONTROL!$C$42, 500, 500)*CHOOSE(CONTROL!$C$42, 0.275, 0.275)*CHOOSE(CONTROL!$C$42, 31, 31))/1000000</f>
        <v>4.2625000000000002</v>
      </c>
      <c r="W442" s="57">
        <f>(1000*CHOOSE(CONTROL!$C$42, 0.1146, 0.1146)*CHOOSE(CONTROL!$C$42, 121.5, 121.5)*CHOOSE(CONTROL!$C$42, 31, 31))/1000000</f>
        <v>0.43164089999999994</v>
      </c>
      <c r="X442" s="57">
        <f>(31*0.1790888*245000/1000000)+(31*0.2374*100000/1000000)</f>
        <v>2.0961194359999999</v>
      </c>
      <c r="Y442" s="57"/>
      <c r="Z442" s="10"/>
      <c r="AA442" s="56"/>
      <c r="AB442" s="50">
        <f>(B442*131.881+C442*277.167+D442*79.08+E442*125.872+F442*40+G442*185+H442*0+I442*100+J442*300)/(131.881+277.167+79.08+125.872+0+40+185+100+300)</f>
        <v>16.245098517191284</v>
      </c>
      <c r="AC442" s="45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16.116355395683456</v>
      </c>
    </row>
    <row r="443" spans="1:29" ht="15.75" x14ac:dyDescent="0.25">
      <c r="A443" s="14">
        <v>54392</v>
      </c>
      <c r="B443" s="10">
        <f>CHOOSE(CONTROL!$C$42, 16.6408, 16.6408) * CHOOSE(CONTROL!$C$21, $C$9, 100%, $E$9)</f>
        <v>16.640799999999999</v>
      </c>
      <c r="C443" s="10">
        <f>CHOOSE(CONTROL!$C$42, 16.6457, 16.6457) * CHOOSE(CONTROL!$C$21, $C$9, 100%, $E$9)</f>
        <v>16.645700000000001</v>
      </c>
      <c r="D443" s="10">
        <f>CHOOSE(CONTROL!$C$42, 16.7062, 16.7062) * CHOOSE(CONTROL!$C$21, $C$9, 100%, $E$9)</f>
        <v>16.706199999999999</v>
      </c>
      <c r="E443" s="10">
        <f>CHOOSE(CONTROL!$C$42, 16.74, 16.74) * CHOOSE(CONTROL!$C$21, $C$9, 100%, $E$9)</f>
        <v>16.739999999999998</v>
      </c>
      <c r="F443" s="10">
        <f>CHOOSE(CONTROL!$C$42, 16.6364, 16.6364)*CHOOSE(CONTROL!$C$21, $C$9, 100%, $E$9)</f>
        <v>16.636399999999998</v>
      </c>
      <c r="G443" s="10">
        <f>CHOOSE(CONTROL!$C$42, 16.6516, 16.6516)*CHOOSE(CONTROL!$C$21, $C$9, 100%, $E$9)</f>
        <v>16.651599999999998</v>
      </c>
      <c r="H443" s="10">
        <f>CHOOSE(CONTROL!$C$42, 16.7292, 16.7292) * CHOOSE(CONTROL!$C$21, $C$9, 100%, $E$9)</f>
        <v>16.729199999999999</v>
      </c>
      <c r="I443" s="10">
        <f>CHOOSE(CONTROL!$C$42, 16.6533, 16.6533)* CHOOSE(CONTROL!$C$21, $C$9, 100%, $E$9)</f>
        <v>16.653300000000002</v>
      </c>
      <c r="J443" s="10">
        <f>CHOOSE(CONTROL!$C$42, 16.6294, 16.6294)* CHOOSE(CONTROL!$C$21, $C$9, 100%, $E$9)</f>
        <v>16.6294</v>
      </c>
      <c r="K443" s="53">
        <f>CHOOSE(CONTROL!$C$42, 16.6494, 16.6494) * CHOOSE(CONTROL!$C$21, $C$9, 100%, $E$9)</f>
        <v>16.6494</v>
      </c>
      <c r="L443" s="10">
        <f>CHOOSE(CONTROL!$C$42, 17.3162, 17.3162) * CHOOSE(CONTROL!$C$21, $C$9, 100%, $E$9)</f>
        <v>17.316199999999998</v>
      </c>
      <c r="M443" s="10">
        <f>CHOOSE(CONTROL!$C$42, 16.4754, 16.4754) * CHOOSE(CONTROL!$C$21, $C$9, 100%, $E$9)</f>
        <v>16.4754</v>
      </c>
      <c r="N443" s="10">
        <f>CHOOSE(CONTROL!$C$42, 16.4905, 16.4905) * CHOOSE(CONTROL!$C$21, $C$9, 100%, $E$9)</f>
        <v>16.490500000000001</v>
      </c>
      <c r="O443" s="10">
        <f>CHOOSE(CONTROL!$C$42, 16.5742, 16.5742) * CHOOSE(CONTROL!$C$21, $C$9, 100%, $E$9)</f>
        <v>16.574200000000001</v>
      </c>
      <c r="P443" s="10">
        <f>CHOOSE(CONTROL!$C$42, 16.4991, 16.4991) * CHOOSE(CONTROL!$C$21, $C$9, 100%, $E$9)</f>
        <v>16.499099999999999</v>
      </c>
      <c r="Q443" s="10">
        <f>CHOOSE(CONTROL!$C$42, 17.1695, 17.1695) * CHOOSE(CONTROL!$C$21, $C$9, 100%, $E$9)</f>
        <v>17.169499999999999</v>
      </c>
      <c r="R443" s="10">
        <f>CHOOSE(CONTROL!$C$42, 17.7994, 17.7994) * CHOOSE(CONTROL!$C$21, $C$9, 100%, $E$9)</f>
        <v>17.799399999999999</v>
      </c>
      <c r="S443" s="10">
        <f>CHOOSE(CONTROL!$C$42, 16.1577, 16.1577) * CHOOSE(CONTROL!$C$21, $C$9, 100%, $E$9)</f>
        <v>16.157699999999998</v>
      </c>
      <c r="T4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57">
        <f>(1000*CHOOSE(CONTROL!$C$42, 695, 695)*CHOOSE(CONTROL!$C$42, 0.5599, 0.5599)*CHOOSE(CONTROL!$C$42, 30, 30))/1000000</f>
        <v>11.673914999999997</v>
      </c>
      <c r="V443" s="57">
        <f>(1000*CHOOSE(CONTROL!$C$42, 500, 500)*CHOOSE(CONTROL!$C$42, 0.275, 0.275)*CHOOSE(CONTROL!$C$42, 30, 30))/1000000</f>
        <v>4.125</v>
      </c>
      <c r="W443" s="57">
        <f>(1000*CHOOSE(CONTROL!$C$42, 0.1146, 0.1146)*CHOOSE(CONTROL!$C$42, 121.5, 121.5)*CHOOSE(CONTROL!$C$42, 30, 30))/1000000</f>
        <v>0.417717</v>
      </c>
      <c r="X443" s="57">
        <f>(30*0.1790888*100000/1000000)+(30*0.2374*100000/1000000)</f>
        <v>1.2494664</v>
      </c>
      <c r="Y443" s="57"/>
      <c r="Z443" s="10"/>
      <c r="AA443" s="56"/>
      <c r="AB443" s="50">
        <f>(B443*122.58+C443*297.941+D443*89.177+E443*40.302+F443*40+G443*160+H443*0+I443*100+J443*300)/(122.58+297.941+89.177+40.302+0+40+160+100+300)</f>
        <v>16.650080039217389</v>
      </c>
      <c r="AC443" s="45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16.524458992805755</v>
      </c>
    </row>
    <row r="444" spans="1:29" ht="15.75" x14ac:dyDescent="0.25">
      <c r="A444" s="14">
        <v>54423</v>
      </c>
      <c r="B444" s="10">
        <f>CHOOSE(CONTROL!$C$42, 17.7751, 17.7751) * CHOOSE(CONTROL!$C$21, $C$9, 100%, $E$9)</f>
        <v>17.775099999999998</v>
      </c>
      <c r="C444" s="10">
        <f>CHOOSE(CONTROL!$C$42, 17.7801, 17.7801) * CHOOSE(CONTROL!$C$21, $C$9, 100%, $E$9)</f>
        <v>17.780100000000001</v>
      </c>
      <c r="D444" s="10">
        <f>CHOOSE(CONTROL!$C$42, 17.8406, 17.8406) * CHOOSE(CONTROL!$C$21, $C$9, 100%, $E$9)</f>
        <v>17.840599999999998</v>
      </c>
      <c r="E444" s="10">
        <f>CHOOSE(CONTROL!$C$42, 17.8744, 17.8744) * CHOOSE(CONTROL!$C$21, $C$9, 100%, $E$9)</f>
        <v>17.874400000000001</v>
      </c>
      <c r="F444" s="10">
        <f>CHOOSE(CONTROL!$C$42, 17.7726, 17.7726)*CHOOSE(CONTROL!$C$21, $C$9, 100%, $E$9)</f>
        <v>17.772600000000001</v>
      </c>
      <c r="G444" s="10">
        <f>CHOOSE(CONTROL!$C$42, 17.7883, 17.7883)*CHOOSE(CONTROL!$C$21, $C$9, 100%, $E$9)</f>
        <v>17.7883</v>
      </c>
      <c r="H444" s="10">
        <f>CHOOSE(CONTROL!$C$42, 17.8636, 17.8636) * CHOOSE(CONTROL!$C$21, $C$9, 100%, $E$9)</f>
        <v>17.863600000000002</v>
      </c>
      <c r="I444" s="10">
        <f>CHOOSE(CONTROL!$C$42, 17.7877, 17.7877)* CHOOSE(CONTROL!$C$21, $C$9, 100%, $E$9)</f>
        <v>17.787700000000001</v>
      </c>
      <c r="J444" s="10">
        <f>CHOOSE(CONTROL!$C$42, 17.7656, 17.7656)* CHOOSE(CONTROL!$C$21, $C$9, 100%, $E$9)</f>
        <v>17.765599999999999</v>
      </c>
      <c r="K444" s="53">
        <f>CHOOSE(CONTROL!$C$42, 17.7838, 17.7838) * CHOOSE(CONTROL!$C$21, $C$9, 100%, $E$9)</f>
        <v>17.783799999999999</v>
      </c>
      <c r="L444" s="10">
        <f>CHOOSE(CONTROL!$C$42, 18.4506, 18.4506) * CHOOSE(CONTROL!$C$21, $C$9, 100%, $E$9)</f>
        <v>18.450600000000001</v>
      </c>
      <c r="M444" s="10">
        <f>CHOOSE(CONTROL!$C$42, 17.6001, 17.6001) * CHOOSE(CONTROL!$C$21, $C$9, 100%, $E$9)</f>
        <v>17.600100000000001</v>
      </c>
      <c r="N444" s="10">
        <f>CHOOSE(CONTROL!$C$42, 17.6157, 17.6157) * CHOOSE(CONTROL!$C$21, $C$9, 100%, $E$9)</f>
        <v>17.6157</v>
      </c>
      <c r="O444" s="10">
        <f>CHOOSE(CONTROL!$C$42, 17.6971, 17.6971) * CHOOSE(CONTROL!$C$21, $C$9, 100%, $E$9)</f>
        <v>17.697099999999999</v>
      </c>
      <c r="P444" s="10">
        <f>CHOOSE(CONTROL!$C$42, 17.622, 17.622) * CHOOSE(CONTROL!$C$21, $C$9, 100%, $E$9)</f>
        <v>17.622</v>
      </c>
      <c r="Q444" s="10">
        <f>CHOOSE(CONTROL!$C$42, 18.2924, 18.2924) * CHOOSE(CONTROL!$C$21, $C$9, 100%, $E$9)</f>
        <v>18.292400000000001</v>
      </c>
      <c r="R444" s="10">
        <f>CHOOSE(CONTROL!$C$42, 18.9252, 18.9252) * CHOOSE(CONTROL!$C$21, $C$9, 100%, $E$9)</f>
        <v>18.9252</v>
      </c>
      <c r="S444" s="10">
        <f>CHOOSE(CONTROL!$C$42, 17.2593, 17.2593) * CHOOSE(CONTROL!$C$21, $C$9, 100%, $E$9)</f>
        <v>17.2593</v>
      </c>
      <c r="T4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57">
        <f>(1000*CHOOSE(CONTROL!$C$42, 695, 695)*CHOOSE(CONTROL!$C$42, 0.5599, 0.5599)*CHOOSE(CONTROL!$C$42, 31, 31))/1000000</f>
        <v>12.063045499999998</v>
      </c>
      <c r="V444" s="57">
        <f>(1000*CHOOSE(CONTROL!$C$42, 500, 500)*CHOOSE(CONTROL!$C$42, 0.275, 0.275)*CHOOSE(CONTROL!$C$42, 31, 31))/1000000</f>
        <v>4.2625000000000002</v>
      </c>
      <c r="W444" s="57">
        <f>(1000*CHOOSE(CONTROL!$C$42, 0.1146, 0.1146)*CHOOSE(CONTROL!$C$42, 121.5, 121.5)*CHOOSE(CONTROL!$C$42, 31, 31))/1000000</f>
        <v>0.43164089999999994</v>
      </c>
      <c r="X444" s="57">
        <f>(31*0.1790888*100000/1000000)+(31*0.2374*100000/1000000)</f>
        <v>1.2911152800000001</v>
      </c>
      <c r="Y444" s="57"/>
      <c r="Z444" s="10"/>
      <c r="AA444" s="56"/>
      <c r="AB444" s="50">
        <f>(B444*122.58+C444*297.941+D444*89.177+E444*40.302+F444*40+G444*160+H444*0+I444*100+J444*300)/(122.58+297.941+89.177+40.302+0+40+160+100+300)</f>
        <v>17.785321553999999</v>
      </c>
      <c r="AC444" s="45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17.648112949640289</v>
      </c>
    </row>
    <row r="445" spans="1:29" ht="15.75" x14ac:dyDescent="0.25">
      <c r="A445" s="14">
        <v>54454</v>
      </c>
      <c r="B445" s="10">
        <f>CHOOSE(CONTROL!$C$42, 19.2313, 19.2313) * CHOOSE(CONTROL!$C$21, $C$9, 100%, $E$9)</f>
        <v>19.231300000000001</v>
      </c>
      <c r="C445" s="10">
        <f>CHOOSE(CONTROL!$C$42, 19.2363, 19.2363) * CHOOSE(CONTROL!$C$21, $C$9, 100%, $E$9)</f>
        <v>19.2363</v>
      </c>
      <c r="D445" s="10">
        <f>CHOOSE(CONTROL!$C$42, 19.2934, 19.2934) * CHOOSE(CONTROL!$C$21, $C$9, 100%, $E$9)</f>
        <v>19.293399999999998</v>
      </c>
      <c r="E445" s="10">
        <f>CHOOSE(CONTROL!$C$42, 19.3271, 19.3271) * CHOOSE(CONTROL!$C$21, $C$9, 100%, $E$9)</f>
        <v>19.327100000000002</v>
      </c>
      <c r="F445" s="10">
        <f>CHOOSE(CONTROL!$C$42, 19.2292, 19.2292)*CHOOSE(CONTROL!$C$21, $C$9, 100%, $E$9)</f>
        <v>19.229199999999999</v>
      </c>
      <c r="G445" s="10">
        <f>CHOOSE(CONTROL!$C$42, 19.2438, 19.2438)*CHOOSE(CONTROL!$C$21, $C$9, 100%, $E$9)</f>
        <v>19.2438</v>
      </c>
      <c r="H445" s="10">
        <f>CHOOSE(CONTROL!$C$42, 19.3163, 19.3163) * CHOOSE(CONTROL!$C$21, $C$9, 100%, $E$9)</f>
        <v>19.316299999999998</v>
      </c>
      <c r="I445" s="10">
        <f>CHOOSE(CONTROL!$C$42, 19.2421, 19.2421)* CHOOSE(CONTROL!$C$21, $C$9, 100%, $E$9)</f>
        <v>19.242100000000001</v>
      </c>
      <c r="J445" s="10">
        <f>CHOOSE(CONTROL!$C$42, 19.2222, 19.2222)* CHOOSE(CONTROL!$C$21, $C$9, 100%, $E$9)</f>
        <v>19.222200000000001</v>
      </c>
      <c r="K445" s="53">
        <f>CHOOSE(CONTROL!$C$42, 19.2382, 19.2382) * CHOOSE(CONTROL!$C$21, $C$9, 100%, $E$9)</f>
        <v>19.238199999999999</v>
      </c>
      <c r="L445" s="10">
        <f>CHOOSE(CONTROL!$C$42, 19.9033, 19.9033) * CHOOSE(CONTROL!$C$21, $C$9, 100%, $E$9)</f>
        <v>19.903300000000002</v>
      </c>
      <c r="M445" s="10">
        <f>CHOOSE(CONTROL!$C$42, 19.042, 19.042) * CHOOSE(CONTROL!$C$21, $C$9, 100%, $E$9)</f>
        <v>19.042000000000002</v>
      </c>
      <c r="N445" s="10">
        <f>CHOOSE(CONTROL!$C$42, 19.0565, 19.0565) * CHOOSE(CONTROL!$C$21, $C$9, 100%, $E$9)</f>
        <v>19.0565</v>
      </c>
      <c r="O445" s="10">
        <f>CHOOSE(CONTROL!$C$42, 19.1352, 19.1352) * CHOOSE(CONTROL!$C$21, $C$9, 100%, $E$9)</f>
        <v>19.135200000000001</v>
      </c>
      <c r="P445" s="10">
        <f>CHOOSE(CONTROL!$C$42, 19.0618, 19.0618) * CHOOSE(CONTROL!$C$21, $C$9, 100%, $E$9)</f>
        <v>19.061800000000002</v>
      </c>
      <c r="Q445" s="10">
        <f>CHOOSE(CONTROL!$C$42, 19.7305, 19.7305) * CHOOSE(CONTROL!$C$21, $C$9, 100%, $E$9)</f>
        <v>19.730499999999999</v>
      </c>
      <c r="R445" s="10">
        <f>CHOOSE(CONTROL!$C$42, 20.3668, 20.3668) * CHOOSE(CONTROL!$C$21, $C$9, 100%, $E$9)</f>
        <v>20.366800000000001</v>
      </c>
      <c r="S445" s="10">
        <f>CHOOSE(CONTROL!$C$42, 18.6734, 18.6734) * CHOOSE(CONTROL!$C$21, $C$9, 100%, $E$9)</f>
        <v>18.673400000000001</v>
      </c>
      <c r="T4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57">
        <f>(1000*CHOOSE(CONTROL!$C$42, 695, 695)*CHOOSE(CONTROL!$C$42, 0.5599, 0.5599)*CHOOSE(CONTROL!$C$42, 31, 31))/1000000</f>
        <v>12.063045499999998</v>
      </c>
      <c r="V445" s="57">
        <f>(1000*CHOOSE(CONTROL!$C$42, 500, 500)*CHOOSE(CONTROL!$C$42, 0.275, 0.275)*CHOOSE(CONTROL!$C$42, 31, 31))/1000000</f>
        <v>4.2625000000000002</v>
      </c>
      <c r="W445" s="57">
        <f>(1000*CHOOSE(CONTROL!$C$42, 0.1146, 0.1146)*CHOOSE(CONTROL!$C$42, 121.5, 121.5)*CHOOSE(CONTROL!$C$42, 31, 31))/1000000</f>
        <v>0.43164089999999994</v>
      </c>
      <c r="X445" s="57">
        <f>(31*0.1790888*100000/1000000)+(31*0.2374*100000/1000000)</f>
        <v>1.2911152800000001</v>
      </c>
      <c r="Y445" s="57"/>
      <c r="Z445" s="10"/>
      <c r="AA445" s="56"/>
      <c r="AB445" s="50">
        <f>(B445*122.58+C445*297.941+D445*89.177+E445*40.302+F445*40+G445*160+H445*0+I445*100+J445*300)/(122.58+297.941+89.177+40.302+0+40+160+100+300)</f>
        <v>19.240999589826085</v>
      </c>
      <c r="AC445" s="45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19.087925179856114</v>
      </c>
    </row>
    <row r="446" spans="1:29" ht="15.75" x14ac:dyDescent="0.25">
      <c r="A446" s="14">
        <v>54482</v>
      </c>
      <c r="B446" s="10">
        <f>CHOOSE(CONTROL!$C$42, 19.5736, 19.5736) * CHOOSE(CONTROL!$C$21, $C$9, 100%, $E$9)</f>
        <v>19.573599999999999</v>
      </c>
      <c r="C446" s="10">
        <f>CHOOSE(CONTROL!$C$42, 19.5786, 19.5786) * CHOOSE(CONTROL!$C$21, $C$9, 100%, $E$9)</f>
        <v>19.578600000000002</v>
      </c>
      <c r="D446" s="10">
        <f>CHOOSE(CONTROL!$C$42, 19.6356, 19.6356) * CHOOSE(CONTROL!$C$21, $C$9, 100%, $E$9)</f>
        <v>19.6356</v>
      </c>
      <c r="E446" s="10">
        <f>CHOOSE(CONTROL!$C$42, 19.6694, 19.6694) * CHOOSE(CONTROL!$C$21, $C$9, 100%, $E$9)</f>
        <v>19.6694</v>
      </c>
      <c r="F446" s="10">
        <f>CHOOSE(CONTROL!$C$42, 19.5716, 19.5716)*CHOOSE(CONTROL!$C$21, $C$9, 100%, $E$9)</f>
        <v>19.5716</v>
      </c>
      <c r="G446" s="10">
        <f>CHOOSE(CONTROL!$C$42, 19.5862, 19.5862)*CHOOSE(CONTROL!$C$21, $C$9, 100%, $E$9)</f>
        <v>19.586200000000002</v>
      </c>
      <c r="H446" s="10">
        <f>CHOOSE(CONTROL!$C$42, 19.6586, 19.6586) * CHOOSE(CONTROL!$C$21, $C$9, 100%, $E$9)</f>
        <v>19.6586</v>
      </c>
      <c r="I446" s="10">
        <f>CHOOSE(CONTROL!$C$42, 19.5844, 19.5844)* CHOOSE(CONTROL!$C$21, $C$9, 100%, $E$9)</f>
        <v>19.584399999999999</v>
      </c>
      <c r="J446" s="10">
        <f>CHOOSE(CONTROL!$C$42, 19.5646, 19.5646)* CHOOSE(CONTROL!$C$21, $C$9, 100%, $E$9)</f>
        <v>19.564599999999999</v>
      </c>
      <c r="K446" s="53">
        <f>CHOOSE(CONTROL!$C$42, 19.5805, 19.5805) * CHOOSE(CONTROL!$C$21, $C$9, 100%, $E$9)</f>
        <v>19.580500000000001</v>
      </c>
      <c r="L446" s="10">
        <f>CHOOSE(CONTROL!$C$42, 20.2456, 20.2456) * CHOOSE(CONTROL!$C$21, $C$9, 100%, $E$9)</f>
        <v>20.2456</v>
      </c>
      <c r="M446" s="10">
        <f>CHOOSE(CONTROL!$C$42, 19.381, 19.381) * CHOOSE(CONTROL!$C$21, $C$9, 100%, $E$9)</f>
        <v>19.381</v>
      </c>
      <c r="N446" s="10">
        <f>CHOOSE(CONTROL!$C$42, 19.3955, 19.3955) * CHOOSE(CONTROL!$C$21, $C$9, 100%, $E$9)</f>
        <v>19.395499999999998</v>
      </c>
      <c r="O446" s="10">
        <f>CHOOSE(CONTROL!$C$42, 19.4741, 19.4741) * CHOOSE(CONTROL!$C$21, $C$9, 100%, $E$9)</f>
        <v>19.4741</v>
      </c>
      <c r="P446" s="10">
        <f>CHOOSE(CONTROL!$C$42, 19.4006, 19.4006) * CHOOSE(CONTROL!$C$21, $C$9, 100%, $E$9)</f>
        <v>19.400600000000001</v>
      </c>
      <c r="Q446" s="10">
        <f>CHOOSE(CONTROL!$C$42, 20.0694, 20.0694) * CHOOSE(CONTROL!$C$21, $C$9, 100%, $E$9)</f>
        <v>20.069400000000002</v>
      </c>
      <c r="R446" s="10">
        <f>CHOOSE(CONTROL!$C$42, 20.7065, 20.7065) * CHOOSE(CONTROL!$C$21, $C$9, 100%, $E$9)</f>
        <v>20.706499999999998</v>
      </c>
      <c r="S446" s="10">
        <f>CHOOSE(CONTROL!$C$42, 19.0058, 19.0058) * CHOOSE(CONTROL!$C$21, $C$9, 100%, $E$9)</f>
        <v>19.005800000000001</v>
      </c>
      <c r="T4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57">
        <f>(1000*CHOOSE(CONTROL!$C$42, 695, 695)*CHOOSE(CONTROL!$C$42, 0.5599, 0.5599)*CHOOSE(CONTROL!$C$42, 28, 28))/1000000</f>
        <v>10.895653999999999</v>
      </c>
      <c r="V446" s="57">
        <f>(1000*CHOOSE(CONTROL!$C$42, 500, 500)*CHOOSE(CONTROL!$C$42, 0.275, 0.275)*CHOOSE(CONTROL!$C$42, 28, 28))/1000000</f>
        <v>3.85</v>
      </c>
      <c r="W446" s="57">
        <f>(1000*CHOOSE(CONTROL!$C$42, 0.1146, 0.1146)*CHOOSE(CONTROL!$C$42, 121.5, 121.5)*CHOOSE(CONTROL!$C$42, 28, 28))/1000000</f>
        <v>0.38986920000000003</v>
      </c>
      <c r="X446" s="57">
        <f>(28*0.1790888*100000/1000000)+(28*0.2374*100000/1000000)</f>
        <v>1.16616864</v>
      </c>
      <c r="Y446" s="57"/>
      <c r="Z446" s="10"/>
      <c r="AA446" s="56"/>
      <c r="AB446" s="50">
        <f>(B446*122.58+C446*297.941+D446*89.177+E446*40.302+F446*40+G446*160+H446*0+I446*100+J446*300)/(122.58+297.941+89.177+40.302+0+40+160+100+300)</f>
        <v>19.583335313565218</v>
      </c>
      <c r="AC446" s="45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19.426851079136689</v>
      </c>
    </row>
    <row r="447" spans="1:29" ht="15.75" x14ac:dyDescent="0.25">
      <c r="A447" s="14">
        <v>54513</v>
      </c>
      <c r="B447" s="10">
        <f>CHOOSE(CONTROL!$C$42, 19.018, 19.018) * CHOOSE(CONTROL!$C$21, $C$9, 100%, $E$9)</f>
        <v>19.018000000000001</v>
      </c>
      <c r="C447" s="10">
        <f>CHOOSE(CONTROL!$C$42, 19.023, 19.023) * CHOOSE(CONTROL!$C$21, $C$9, 100%, $E$9)</f>
        <v>19.023</v>
      </c>
      <c r="D447" s="10">
        <f>CHOOSE(CONTROL!$C$42, 19.08, 19.08) * CHOOSE(CONTROL!$C$21, $C$9, 100%, $E$9)</f>
        <v>19.079999999999998</v>
      </c>
      <c r="E447" s="10">
        <f>CHOOSE(CONTROL!$C$42, 19.1138, 19.1138) * CHOOSE(CONTROL!$C$21, $C$9, 100%, $E$9)</f>
        <v>19.113800000000001</v>
      </c>
      <c r="F447" s="10">
        <f>CHOOSE(CONTROL!$C$42, 19.0158, 19.0158)*CHOOSE(CONTROL!$C$21, $C$9, 100%, $E$9)</f>
        <v>19.015799999999999</v>
      </c>
      <c r="G447" s="10">
        <f>CHOOSE(CONTROL!$C$42, 19.0304, 19.0304)*CHOOSE(CONTROL!$C$21, $C$9, 100%, $E$9)</f>
        <v>19.0304</v>
      </c>
      <c r="H447" s="10">
        <f>CHOOSE(CONTROL!$C$42, 19.103, 19.103) * CHOOSE(CONTROL!$C$21, $C$9, 100%, $E$9)</f>
        <v>19.103000000000002</v>
      </c>
      <c r="I447" s="10">
        <f>CHOOSE(CONTROL!$C$42, 19.0288, 19.0288)* CHOOSE(CONTROL!$C$21, $C$9, 100%, $E$9)</f>
        <v>19.0288</v>
      </c>
      <c r="J447" s="10">
        <f>CHOOSE(CONTROL!$C$42, 19.0088, 19.0088)* CHOOSE(CONTROL!$C$21, $C$9, 100%, $E$9)</f>
        <v>19.008800000000001</v>
      </c>
      <c r="K447" s="53">
        <f>CHOOSE(CONTROL!$C$42, 19.0249, 19.0249) * CHOOSE(CONTROL!$C$21, $C$9, 100%, $E$9)</f>
        <v>19.024899999999999</v>
      </c>
      <c r="L447" s="10">
        <f>CHOOSE(CONTROL!$C$42, 19.69, 19.69) * CHOOSE(CONTROL!$C$21, $C$9, 100%, $E$9)</f>
        <v>19.690000000000001</v>
      </c>
      <c r="M447" s="10">
        <f>CHOOSE(CONTROL!$C$42, 18.8308, 18.8308) * CHOOSE(CONTROL!$C$21, $C$9, 100%, $E$9)</f>
        <v>18.8308</v>
      </c>
      <c r="N447" s="10">
        <f>CHOOSE(CONTROL!$C$42, 18.8453, 18.8453) * CHOOSE(CONTROL!$C$21, $C$9, 100%, $E$9)</f>
        <v>18.845300000000002</v>
      </c>
      <c r="O447" s="10">
        <f>CHOOSE(CONTROL!$C$42, 18.924, 18.924) * CHOOSE(CONTROL!$C$21, $C$9, 100%, $E$9)</f>
        <v>18.923999999999999</v>
      </c>
      <c r="P447" s="10">
        <f>CHOOSE(CONTROL!$C$42, 18.8506, 18.8506) * CHOOSE(CONTROL!$C$21, $C$9, 100%, $E$9)</f>
        <v>18.8506</v>
      </c>
      <c r="Q447" s="10">
        <f>CHOOSE(CONTROL!$C$42, 19.5193, 19.5193) * CHOOSE(CONTROL!$C$21, $C$9, 100%, $E$9)</f>
        <v>19.519300000000001</v>
      </c>
      <c r="R447" s="10">
        <f>CHOOSE(CONTROL!$C$42, 20.1551, 20.1551) * CHOOSE(CONTROL!$C$21, $C$9, 100%, $E$9)</f>
        <v>20.155100000000001</v>
      </c>
      <c r="S447" s="10">
        <f>CHOOSE(CONTROL!$C$42, 18.4662, 18.4662) * CHOOSE(CONTROL!$C$21, $C$9, 100%, $E$9)</f>
        <v>18.466200000000001</v>
      </c>
      <c r="T4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57">
        <f>(1000*CHOOSE(CONTROL!$C$42, 695, 695)*CHOOSE(CONTROL!$C$42, 0.5599, 0.5599)*CHOOSE(CONTROL!$C$42, 31, 31))/1000000</f>
        <v>12.063045499999998</v>
      </c>
      <c r="V447" s="57">
        <f>(1000*CHOOSE(CONTROL!$C$42, 500, 500)*CHOOSE(CONTROL!$C$42, 0.275, 0.275)*CHOOSE(CONTROL!$C$42, 31, 31))/1000000</f>
        <v>4.2625000000000002</v>
      </c>
      <c r="W447" s="57">
        <f>(1000*CHOOSE(CONTROL!$C$42, 0.1146, 0.1146)*CHOOSE(CONTROL!$C$42, 121.5, 121.5)*CHOOSE(CONTROL!$C$42, 31, 31))/1000000</f>
        <v>0.43164089999999994</v>
      </c>
      <c r="X447" s="57">
        <f>(31*0.1790888*100000/1000000)+(31*0.2374*100000/1000000)</f>
        <v>1.2911152800000001</v>
      </c>
      <c r="Y447" s="57"/>
      <c r="Z447" s="10"/>
      <c r="AA447" s="56"/>
      <c r="AB447" s="50">
        <f>(B447*122.58+C447*297.941+D447*89.177+E447*40.302+F447*40+G447*160+H447*0+I447*100+J447*300)/(122.58+297.941+89.177+40.302+0+40+160+100+300)</f>
        <v>19.027648357043478</v>
      </c>
      <c r="AC447" s="45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18.876725179856113</v>
      </c>
    </row>
    <row r="448" spans="1:29" ht="15.75" x14ac:dyDescent="0.25">
      <c r="A448" s="14">
        <v>54543</v>
      </c>
      <c r="B448" s="10">
        <f>CHOOSE(CONTROL!$C$42, 18.9622, 18.9622) * CHOOSE(CONTROL!$C$21, $C$9, 100%, $E$9)</f>
        <v>18.962199999999999</v>
      </c>
      <c r="C448" s="10">
        <f>CHOOSE(CONTROL!$C$42, 18.9666, 18.9666) * CHOOSE(CONTROL!$C$21, $C$9, 100%, $E$9)</f>
        <v>18.9666</v>
      </c>
      <c r="D448" s="10">
        <f>CHOOSE(CONTROL!$C$42, 19.1725, 19.1725) * CHOOSE(CONTROL!$C$21, $C$9, 100%, $E$9)</f>
        <v>19.172499999999999</v>
      </c>
      <c r="E448" s="10">
        <f>CHOOSE(CONTROL!$C$42, 19.2043, 19.2043) * CHOOSE(CONTROL!$C$21, $C$9, 100%, $E$9)</f>
        <v>19.2043</v>
      </c>
      <c r="F448" s="10">
        <f>CHOOSE(CONTROL!$C$42, 18.939, 18.939)*CHOOSE(CONTROL!$C$21, $C$9, 100%, $E$9)</f>
        <v>18.939</v>
      </c>
      <c r="G448" s="10">
        <f>CHOOSE(CONTROL!$C$42, 18.9535, 18.9535)*CHOOSE(CONTROL!$C$21, $C$9, 100%, $E$9)</f>
        <v>18.953499999999998</v>
      </c>
      <c r="H448" s="10">
        <f>CHOOSE(CONTROL!$C$42, 19.1941, 19.1941) * CHOOSE(CONTROL!$C$21, $C$9, 100%, $E$9)</f>
        <v>19.194099999999999</v>
      </c>
      <c r="I448" s="10">
        <f>CHOOSE(CONTROL!$C$42, 18.9637, 18.9637)* CHOOSE(CONTROL!$C$21, $C$9, 100%, $E$9)</f>
        <v>18.963699999999999</v>
      </c>
      <c r="J448" s="10">
        <f>CHOOSE(CONTROL!$C$42, 18.932, 18.932)* CHOOSE(CONTROL!$C$21, $C$9, 100%, $E$9)</f>
        <v>18.931999999999999</v>
      </c>
      <c r="K448" s="53">
        <f>CHOOSE(CONTROL!$C$42, 18.9598, 18.9598) * CHOOSE(CONTROL!$C$21, $C$9, 100%, $E$9)</f>
        <v>18.959800000000001</v>
      </c>
      <c r="L448" s="10">
        <f>CHOOSE(CONTROL!$C$42, 19.7811, 19.7811) * CHOOSE(CONTROL!$C$21, $C$9, 100%, $E$9)</f>
        <v>19.781099999999999</v>
      </c>
      <c r="M448" s="10">
        <f>CHOOSE(CONTROL!$C$42, 18.7548, 18.7548) * CHOOSE(CONTROL!$C$21, $C$9, 100%, $E$9)</f>
        <v>18.754799999999999</v>
      </c>
      <c r="N448" s="10">
        <f>CHOOSE(CONTROL!$C$42, 18.7692, 18.7692) * CHOOSE(CONTROL!$C$21, $C$9, 100%, $E$9)</f>
        <v>18.769200000000001</v>
      </c>
      <c r="O448" s="10">
        <f>CHOOSE(CONTROL!$C$42, 19.0142, 19.0142) * CHOOSE(CONTROL!$C$21, $C$9, 100%, $E$9)</f>
        <v>19.014199999999999</v>
      </c>
      <c r="P448" s="10">
        <f>CHOOSE(CONTROL!$C$42, 18.7862, 18.7862) * CHOOSE(CONTROL!$C$21, $C$9, 100%, $E$9)</f>
        <v>18.786200000000001</v>
      </c>
      <c r="Q448" s="10">
        <f>CHOOSE(CONTROL!$C$42, 19.6095, 19.6095) * CHOOSE(CONTROL!$C$21, $C$9, 100%, $E$9)</f>
        <v>19.609500000000001</v>
      </c>
      <c r="R448" s="10">
        <f>CHOOSE(CONTROL!$C$42, 20.2455, 20.2455) * CHOOSE(CONTROL!$C$21, $C$9, 100%, $E$9)</f>
        <v>20.2455</v>
      </c>
      <c r="S448" s="10">
        <f>CHOOSE(CONTROL!$C$42, 18.4113, 18.4113) * CHOOSE(CONTROL!$C$21, $C$9, 100%, $E$9)</f>
        <v>18.411300000000001</v>
      </c>
      <c r="T4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57">
        <f>(1000*CHOOSE(CONTROL!$C$42, 695, 695)*CHOOSE(CONTROL!$C$42, 0.5599, 0.5599)*CHOOSE(CONTROL!$C$42, 30, 30))/1000000</f>
        <v>11.673914999999997</v>
      </c>
      <c r="V448" s="57">
        <f>(1000*CHOOSE(CONTROL!$C$42, 500, 500)*CHOOSE(CONTROL!$C$42, 0.275, 0.275)*CHOOSE(CONTROL!$C$42, 30, 30))/1000000</f>
        <v>4.125</v>
      </c>
      <c r="W448" s="57">
        <f>(1000*CHOOSE(CONTROL!$C$42, 0.1146, 0.1146)*CHOOSE(CONTROL!$C$42, 121.5, 121.5)*CHOOSE(CONTROL!$C$42, 30, 30))/1000000</f>
        <v>0.417717</v>
      </c>
      <c r="X448" s="57">
        <f>(30*0.1790888*245000/1000000)+(30*0.2374*100000/1000000)</f>
        <v>2.0285026799999999</v>
      </c>
      <c r="Y448" s="57"/>
      <c r="Z448" s="10"/>
      <c r="AA448" s="56"/>
      <c r="AB448" s="50">
        <f>(B448*141.293+C448*267.993+D448*115.016+E448*89.698+F448*40+G448*185+H448*0+I448*100+J448*300)/(141.293+267.993+115.016+89.698+0+40+185+100+300)</f>
        <v>18.99096143648103</v>
      </c>
      <c r="AC448" s="45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18.835414388489209</v>
      </c>
    </row>
    <row r="449" spans="1:29" ht="15.75" x14ac:dyDescent="0.25">
      <c r="A449" s="14">
        <v>54574</v>
      </c>
      <c r="B449" s="10">
        <f>CHOOSE(CONTROL!$C$42, 19.131, 19.131) * CHOOSE(CONTROL!$C$21, $C$9, 100%, $E$9)</f>
        <v>19.131</v>
      </c>
      <c r="C449" s="10">
        <f>CHOOSE(CONTROL!$C$42, 19.1389, 19.1389) * CHOOSE(CONTROL!$C$21, $C$9, 100%, $E$9)</f>
        <v>19.1389</v>
      </c>
      <c r="D449" s="10">
        <f>CHOOSE(CONTROL!$C$42, 19.3416, 19.3416) * CHOOSE(CONTROL!$C$21, $C$9, 100%, $E$9)</f>
        <v>19.3416</v>
      </c>
      <c r="E449" s="10">
        <f>CHOOSE(CONTROL!$C$42, 19.3727, 19.3727) * CHOOSE(CONTROL!$C$21, $C$9, 100%, $E$9)</f>
        <v>19.372699999999998</v>
      </c>
      <c r="F449" s="10">
        <f>CHOOSE(CONTROL!$C$42, 19.1067, 19.1067)*CHOOSE(CONTROL!$C$21, $C$9, 100%, $E$9)</f>
        <v>19.1067</v>
      </c>
      <c r="G449" s="10">
        <f>CHOOSE(CONTROL!$C$42, 19.1217, 19.1217)*CHOOSE(CONTROL!$C$21, $C$9, 100%, $E$9)</f>
        <v>19.121700000000001</v>
      </c>
      <c r="H449" s="10">
        <f>CHOOSE(CONTROL!$C$42, 19.3614, 19.3614) * CHOOSE(CONTROL!$C$21, $C$9, 100%, $E$9)</f>
        <v>19.3614</v>
      </c>
      <c r="I449" s="10">
        <f>CHOOSE(CONTROL!$C$42, 19.131, 19.131)* CHOOSE(CONTROL!$C$21, $C$9, 100%, $E$9)</f>
        <v>19.131</v>
      </c>
      <c r="J449" s="10">
        <f>CHOOSE(CONTROL!$C$42, 19.0997, 19.0997)* CHOOSE(CONTROL!$C$21, $C$9, 100%, $E$9)</f>
        <v>19.099699999999999</v>
      </c>
      <c r="K449" s="53">
        <f>CHOOSE(CONTROL!$C$42, 19.1271, 19.1271) * CHOOSE(CONTROL!$C$21, $C$9, 100%, $E$9)</f>
        <v>19.127099999999999</v>
      </c>
      <c r="L449" s="10">
        <f>CHOOSE(CONTROL!$C$42, 19.9484, 19.9484) * CHOOSE(CONTROL!$C$21, $C$9, 100%, $E$9)</f>
        <v>19.948399999999999</v>
      </c>
      <c r="M449" s="10">
        <f>CHOOSE(CONTROL!$C$42, 18.9208, 18.9208) * CHOOSE(CONTROL!$C$21, $C$9, 100%, $E$9)</f>
        <v>18.9208</v>
      </c>
      <c r="N449" s="10">
        <f>CHOOSE(CONTROL!$C$42, 18.9356, 18.9356) * CHOOSE(CONTROL!$C$21, $C$9, 100%, $E$9)</f>
        <v>18.935600000000001</v>
      </c>
      <c r="O449" s="10">
        <f>CHOOSE(CONTROL!$C$42, 19.1798, 19.1798) * CHOOSE(CONTROL!$C$21, $C$9, 100%, $E$9)</f>
        <v>19.1798</v>
      </c>
      <c r="P449" s="10">
        <f>CHOOSE(CONTROL!$C$42, 18.9518, 18.9518) * CHOOSE(CONTROL!$C$21, $C$9, 100%, $E$9)</f>
        <v>18.951799999999999</v>
      </c>
      <c r="Q449" s="10">
        <f>CHOOSE(CONTROL!$C$42, 19.7751, 19.7751) * CHOOSE(CONTROL!$C$21, $C$9, 100%, $E$9)</f>
        <v>19.775099999999998</v>
      </c>
      <c r="R449" s="10">
        <f>CHOOSE(CONTROL!$C$42, 20.4116, 20.4116) * CHOOSE(CONTROL!$C$21, $C$9, 100%, $E$9)</f>
        <v>20.4116</v>
      </c>
      <c r="S449" s="10">
        <f>CHOOSE(CONTROL!$C$42, 18.5738, 18.5738) * CHOOSE(CONTROL!$C$21, $C$9, 100%, $E$9)</f>
        <v>18.573799999999999</v>
      </c>
      <c r="T4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57">
        <f>(1000*CHOOSE(CONTROL!$C$42, 695, 695)*CHOOSE(CONTROL!$C$42, 0.5599, 0.5599)*CHOOSE(CONTROL!$C$42, 31, 31))/1000000</f>
        <v>12.063045499999998</v>
      </c>
      <c r="V449" s="57">
        <f>(1000*CHOOSE(CONTROL!$C$42, 500, 500)*CHOOSE(CONTROL!$C$42, 0.275, 0.275)*CHOOSE(CONTROL!$C$42, 31, 31))/1000000</f>
        <v>4.2625000000000002</v>
      </c>
      <c r="W449" s="57">
        <f>(1000*CHOOSE(CONTROL!$C$42, 0.1146, 0.1146)*CHOOSE(CONTROL!$C$42, 121.5, 121.5)*CHOOSE(CONTROL!$C$42, 31, 31))/1000000</f>
        <v>0.43164089999999994</v>
      </c>
      <c r="X449" s="57">
        <f>(31*0.1790888*245000/1000000)+(31*0.2374*100000/1000000)</f>
        <v>2.0961194359999999</v>
      </c>
      <c r="Y449" s="57"/>
      <c r="Z449" s="10"/>
      <c r="AA449" s="56"/>
      <c r="AB449" s="50">
        <f>(B449*194.205+C449*267.466+D449*133.845+E449*53.484+F449*40+G449*185+H449*0+I449*100+J449*300)/(194.205+267.466+133.845+53.484+0+40+185+100+300)</f>
        <v>19.155446876923076</v>
      </c>
      <c r="AC449" s="45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19.001336690647481</v>
      </c>
    </row>
    <row r="450" spans="1:29" ht="15.75" x14ac:dyDescent="0.25">
      <c r="A450" s="14">
        <v>54604</v>
      </c>
      <c r="B450" s="10">
        <f>CHOOSE(CONTROL!$C$42, 19.6735, 19.6735) * CHOOSE(CONTROL!$C$21, $C$9, 100%, $E$9)</f>
        <v>19.673500000000001</v>
      </c>
      <c r="C450" s="10">
        <f>CHOOSE(CONTROL!$C$42, 19.6814, 19.6814) * CHOOSE(CONTROL!$C$21, $C$9, 100%, $E$9)</f>
        <v>19.6814</v>
      </c>
      <c r="D450" s="10">
        <f>CHOOSE(CONTROL!$C$42, 19.8841, 19.8841) * CHOOSE(CONTROL!$C$21, $C$9, 100%, $E$9)</f>
        <v>19.8841</v>
      </c>
      <c r="E450" s="10">
        <f>CHOOSE(CONTROL!$C$42, 19.9153, 19.9153) * CHOOSE(CONTROL!$C$21, $C$9, 100%, $E$9)</f>
        <v>19.915299999999998</v>
      </c>
      <c r="F450" s="10">
        <f>CHOOSE(CONTROL!$C$42, 19.6497, 19.6497)*CHOOSE(CONTROL!$C$21, $C$9, 100%, $E$9)</f>
        <v>19.649699999999999</v>
      </c>
      <c r="G450" s="10">
        <f>CHOOSE(CONTROL!$C$42, 19.6649, 19.6649)*CHOOSE(CONTROL!$C$21, $C$9, 100%, $E$9)</f>
        <v>19.664899999999999</v>
      </c>
      <c r="H450" s="10">
        <f>CHOOSE(CONTROL!$C$42, 19.9039, 19.9039) * CHOOSE(CONTROL!$C$21, $C$9, 100%, $E$9)</f>
        <v>19.9039</v>
      </c>
      <c r="I450" s="10">
        <f>CHOOSE(CONTROL!$C$42, 19.6735, 19.6735)* CHOOSE(CONTROL!$C$21, $C$9, 100%, $E$9)</f>
        <v>19.673500000000001</v>
      </c>
      <c r="J450" s="10">
        <f>CHOOSE(CONTROL!$C$42, 19.6427, 19.6427)* CHOOSE(CONTROL!$C$21, $C$9, 100%, $E$9)</f>
        <v>19.642700000000001</v>
      </c>
      <c r="K450" s="53">
        <f>CHOOSE(CONTROL!$C$42, 19.6696, 19.6696) * CHOOSE(CONTROL!$C$21, $C$9, 100%, $E$9)</f>
        <v>19.669599999999999</v>
      </c>
      <c r="L450" s="10">
        <f>CHOOSE(CONTROL!$C$42, 20.4909, 20.4909) * CHOOSE(CONTROL!$C$21, $C$9, 100%, $E$9)</f>
        <v>20.4909</v>
      </c>
      <c r="M450" s="10">
        <f>CHOOSE(CONTROL!$C$42, 19.4583, 19.4583) * CHOOSE(CONTROL!$C$21, $C$9, 100%, $E$9)</f>
        <v>19.458300000000001</v>
      </c>
      <c r="N450" s="10">
        <f>CHOOSE(CONTROL!$C$42, 19.4733, 19.4733) * CHOOSE(CONTROL!$C$21, $C$9, 100%, $E$9)</f>
        <v>19.473299999999998</v>
      </c>
      <c r="O450" s="10">
        <f>CHOOSE(CONTROL!$C$42, 19.7169, 19.7169) * CHOOSE(CONTROL!$C$21, $C$9, 100%, $E$9)</f>
        <v>19.716899999999999</v>
      </c>
      <c r="P450" s="10">
        <f>CHOOSE(CONTROL!$C$42, 19.4888, 19.4888) * CHOOSE(CONTROL!$C$21, $C$9, 100%, $E$9)</f>
        <v>19.488800000000001</v>
      </c>
      <c r="Q450" s="10">
        <f>CHOOSE(CONTROL!$C$42, 20.3122, 20.3122) * CHOOSE(CONTROL!$C$21, $C$9, 100%, $E$9)</f>
        <v>20.312200000000001</v>
      </c>
      <c r="R450" s="10">
        <f>CHOOSE(CONTROL!$C$42, 20.9499, 20.9499) * CHOOSE(CONTROL!$C$21, $C$9, 100%, $E$9)</f>
        <v>20.9499</v>
      </c>
      <c r="S450" s="10">
        <f>CHOOSE(CONTROL!$C$42, 19.1007, 19.1007) * CHOOSE(CONTROL!$C$21, $C$9, 100%, $E$9)</f>
        <v>19.1007</v>
      </c>
      <c r="T4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57">
        <f>(1000*CHOOSE(CONTROL!$C$42, 695, 695)*CHOOSE(CONTROL!$C$42, 0.5599, 0.5599)*CHOOSE(CONTROL!$C$42, 30, 30))/1000000</f>
        <v>11.673914999999997</v>
      </c>
      <c r="V450" s="57">
        <f>(1000*CHOOSE(CONTROL!$C$42, 500, 500)*CHOOSE(CONTROL!$C$42, 0.275, 0.275)*CHOOSE(CONTROL!$C$42, 30, 30))/1000000</f>
        <v>4.125</v>
      </c>
      <c r="W450" s="57">
        <f>(1000*CHOOSE(CONTROL!$C$42, 0.1146, 0.1146)*CHOOSE(CONTROL!$C$42, 121.5, 121.5)*CHOOSE(CONTROL!$C$42, 30, 30))/1000000</f>
        <v>0.417717</v>
      </c>
      <c r="X450" s="57">
        <f>(30*0.1790888*245000/1000000)+(30*0.2374*100000/1000000)</f>
        <v>2.0285026799999999</v>
      </c>
      <c r="Y450" s="57"/>
      <c r="Z450" s="10"/>
      <c r="AA450" s="56"/>
      <c r="AB450" s="50">
        <f>(B450*194.205+C450*267.466+D450*133.845+E450*53.484+F450*40+G450*185+H450*0+I450*100+J450*300)/(194.205+267.466+133.845+53.484+0+40+185+100+300)</f>
        <v>19.698186161381475</v>
      </c>
      <c r="AC450" s="45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19.538698561151076</v>
      </c>
    </row>
    <row r="451" spans="1:29" ht="15.75" x14ac:dyDescent="0.25">
      <c r="A451" s="14">
        <v>54635</v>
      </c>
      <c r="B451" s="10">
        <f>CHOOSE(CONTROL!$C$42, 19.2962, 19.2962) * CHOOSE(CONTROL!$C$21, $C$9, 100%, $E$9)</f>
        <v>19.296199999999999</v>
      </c>
      <c r="C451" s="10">
        <f>CHOOSE(CONTROL!$C$42, 19.3041, 19.3041) * CHOOSE(CONTROL!$C$21, $C$9, 100%, $E$9)</f>
        <v>19.304099999999998</v>
      </c>
      <c r="D451" s="10">
        <f>CHOOSE(CONTROL!$C$42, 19.5068, 19.5068) * CHOOSE(CONTROL!$C$21, $C$9, 100%, $E$9)</f>
        <v>19.506799999999998</v>
      </c>
      <c r="E451" s="10">
        <f>CHOOSE(CONTROL!$C$42, 19.5379, 19.5379) * CHOOSE(CONTROL!$C$21, $C$9, 100%, $E$9)</f>
        <v>19.5379</v>
      </c>
      <c r="F451" s="10">
        <f>CHOOSE(CONTROL!$C$42, 19.2729, 19.2729)*CHOOSE(CONTROL!$C$21, $C$9, 100%, $E$9)</f>
        <v>19.2729</v>
      </c>
      <c r="G451" s="10">
        <f>CHOOSE(CONTROL!$C$42, 19.2882, 19.2882)*CHOOSE(CONTROL!$C$21, $C$9, 100%, $E$9)</f>
        <v>19.2882</v>
      </c>
      <c r="H451" s="10">
        <f>CHOOSE(CONTROL!$C$42, 19.5266, 19.5266) * CHOOSE(CONTROL!$C$21, $C$9, 100%, $E$9)</f>
        <v>19.526599999999998</v>
      </c>
      <c r="I451" s="10">
        <f>CHOOSE(CONTROL!$C$42, 19.2962, 19.2962)* CHOOSE(CONTROL!$C$21, $C$9, 100%, $E$9)</f>
        <v>19.296199999999999</v>
      </c>
      <c r="J451" s="10">
        <f>CHOOSE(CONTROL!$C$42, 19.2659, 19.2659)* CHOOSE(CONTROL!$C$21, $C$9, 100%, $E$9)</f>
        <v>19.265899999999998</v>
      </c>
      <c r="K451" s="53">
        <f>CHOOSE(CONTROL!$C$42, 19.2923, 19.2923) * CHOOSE(CONTROL!$C$21, $C$9, 100%, $E$9)</f>
        <v>19.292300000000001</v>
      </c>
      <c r="L451" s="10">
        <f>CHOOSE(CONTROL!$C$42, 20.1136, 20.1136) * CHOOSE(CONTROL!$C$21, $C$9, 100%, $E$9)</f>
        <v>20.113600000000002</v>
      </c>
      <c r="M451" s="10">
        <f>CHOOSE(CONTROL!$C$42, 19.0853, 19.0853) * CHOOSE(CONTROL!$C$21, $C$9, 100%, $E$9)</f>
        <v>19.0853</v>
      </c>
      <c r="N451" s="10">
        <f>CHOOSE(CONTROL!$C$42, 19.1004, 19.1004) * CHOOSE(CONTROL!$C$21, $C$9, 100%, $E$9)</f>
        <v>19.1004</v>
      </c>
      <c r="O451" s="10">
        <f>CHOOSE(CONTROL!$C$42, 19.3433, 19.3433) * CHOOSE(CONTROL!$C$21, $C$9, 100%, $E$9)</f>
        <v>19.343299999999999</v>
      </c>
      <c r="P451" s="10">
        <f>CHOOSE(CONTROL!$C$42, 19.1153, 19.1153) * CHOOSE(CONTROL!$C$21, $C$9, 100%, $E$9)</f>
        <v>19.115300000000001</v>
      </c>
      <c r="Q451" s="10">
        <f>CHOOSE(CONTROL!$C$42, 19.9386, 19.9386) * CHOOSE(CONTROL!$C$21, $C$9, 100%, $E$9)</f>
        <v>19.938600000000001</v>
      </c>
      <c r="R451" s="10">
        <f>CHOOSE(CONTROL!$C$42, 20.5755, 20.5755) * CHOOSE(CONTROL!$C$21, $C$9, 100%, $E$9)</f>
        <v>20.575500000000002</v>
      </c>
      <c r="S451" s="10">
        <f>CHOOSE(CONTROL!$C$42, 18.7342, 18.7342) * CHOOSE(CONTROL!$C$21, $C$9, 100%, $E$9)</f>
        <v>18.734200000000001</v>
      </c>
      <c r="T4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57">
        <f>(1000*CHOOSE(CONTROL!$C$42, 695, 695)*CHOOSE(CONTROL!$C$42, 0.5599, 0.5599)*CHOOSE(CONTROL!$C$42, 31, 31))/1000000</f>
        <v>12.063045499999998</v>
      </c>
      <c r="V451" s="57">
        <f>(1000*CHOOSE(CONTROL!$C$42, 500, 500)*CHOOSE(CONTROL!$C$42, 0.275, 0.275)*CHOOSE(CONTROL!$C$42, 31, 31))/1000000</f>
        <v>4.2625000000000002</v>
      </c>
      <c r="W451" s="57">
        <f>(1000*CHOOSE(CONTROL!$C$42, 0.1146, 0.1146)*CHOOSE(CONTROL!$C$42, 121.5, 121.5)*CHOOSE(CONTROL!$C$42, 31, 31))/1000000</f>
        <v>0.43164089999999994</v>
      </c>
      <c r="X451" s="57">
        <f>(31*0.1790888*245000/1000000)+(31*0.2374*100000/1000000)</f>
        <v>2.0961194359999999</v>
      </c>
      <c r="Y451" s="57"/>
      <c r="Z451" s="10"/>
      <c r="AA451" s="56"/>
      <c r="AB451" s="50">
        <f>(B451*194.205+C451*267.466+D451*133.845+E451*53.484+F451*40+G451*185+H451*0+I451*100+J451*300)/(194.205+267.466+133.845+53.484+0+40+185+100+300)</f>
        <v>19.321102528414443</v>
      </c>
      <c r="AC451" s="45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19.165481294964028</v>
      </c>
    </row>
    <row r="452" spans="1:29" ht="15.75" x14ac:dyDescent="0.25">
      <c r="A452" s="14">
        <v>54666</v>
      </c>
      <c r="B452" s="10">
        <f>CHOOSE(CONTROL!$C$42, 18.3433, 18.3433) * CHOOSE(CONTROL!$C$21, $C$9, 100%, $E$9)</f>
        <v>18.343299999999999</v>
      </c>
      <c r="C452" s="10">
        <f>CHOOSE(CONTROL!$C$42, 18.3512, 18.3512) * CHOOSE(CONTROL!$C$21, $C$9, 100%, $E$9)</f>
        <v>18.351199999999999</v>
      </c>
      <c r="D452" s="10">
        <f>CHOOSE(CONTROL!$C$42, 18.5539, 18.5539) * CHOOSE(CONTROL!$C$21, $C$9, 100%, $E$9)</f>
        <v>18.553899999999999</v>
      </c>
      <c r="E452" s="10">
        <f>CHOOSE(CONTROL!$C$42, 18.5851, 18.5851) * CHOOSE(CONTROL!$C$21, $C$9, 100%, $E$9)</f>
        <v>18.585100000000001</v>
      </c>
      <c r="F452" s="10">
        <f>CHOOSE(CONTROL!$C$42, 18.3202, 18.3202)*CHOOSE(CONTROL!$C$21, $C$9, 100%, $E$9)</f>
        <v>18.3202</v>
      </c>
      <c r="G452" s="10">
        <f>CHOOSE(CONTROL!$C$42, 18.3356, 18.3356)*CHOOSE(CONTROL!$C$21, $C$9, 100%, $E$9)</f>
        <v>18.335599999999999</v>
      </c>
      <c r="H452" s="10">
        <f>CHOOSE(CONTROL!$C$42, 18.5737, 18.5737) * CHOOSE(CONTROL!$C$21, $C$9, 100%, $E$9)</f>
        <v>18.573699999999999</v>
      </c>
      <c r="I452" s="10">
        <f>CHOOSE(CONTROL!$C$42, 18.3433, 18.3433)* CHOOSE(CONTROL!$C$21, $C$9, 100%, $E$9)</f>
        <v>18.343299999999999</v>
      </c>
      <c r="J452" s="10">
        <f>CHOOSE(CONTROL!$C$42, 18.3132, 18.3132)* CHOOSE(CONTROL!$C$21, $C$9, 100%, $E$9)</f>
        <v>18.313199999999998</v>
      </c>
      <c r="K452" s="53">
        <f>CHOOSE(CONTROL!$C$42, 18.3394, 18.3394) * CHOOSE(CONTROL!$C$21, $C$9, 100%, $E$9)</f>
        <v>18.339400000000001</v>
      </c>
      <c r="L452" s="10">
        <f>CHOOSE(CONTROL!$C$42, 19.1607, 19.1607) * CHOOSE(CONTROL!$C$21, $C$9, 100%, $E$9)</f>
        <v>19.160699999999999</v>
      </c>
      <c r="M452" s="10">
        <f>CHOOSE(CONTROL!$C$42, 18.1422, 18.1422) * CHOOSE(CONTROL!$C$21, $C$9, 100%, $E$9)</f>
        <v>18.142199999999999</v>
      </c>
      <c r="N452" s="10">
        <f>CHOOSE(CONTROL!$C$42, 18.1574, 18.1574) * CHOOSE(CONTROL!$C$21, $C$9, 100%, $E$9)</f>
        <v>18.157399999999999</v>
      </c>
      <c r="O452" s="10">
        <f>CHOOSE(CONTROL!$C$42, 18.4001, 18.4001) * CHOOSE(CONTROL!$C$21, $C$9, 100%, $E$9)</f>
        <v>18.400099999999998</v>
      </c>
      <c r="P452" s="10">
        <f>CHOOSE(CONTROL!$C$42, 18.1721, 18.1721) * CHOOSE(CONTROL!$C$21, $C$9, 100%, $E$9)</f>
        <v>18.1721</v>
      </c>
      <c r="Q452" s="10">
        <f>CHOOSE(CONTROL!$C$42, 18.9954, 18.9954) * CHOOSE(CONTROL!$C$21, $C$9, 100%, $E$9)</f>
        <v>18.9954</v>
      </c>
      <c r="R452" s="10">
        <f>CHOOSE(CONTROL!$C$42, 19.6299, 19.6299) * CHOOSE(CONTROL!$C$21, $C$9, 100%, $E$9)</f>
        <v>19.629899999999999</v>
      </c>
      <c r="S452" s="10">
        <f>CHOOSE(CONTROL!$C$42, 17.8089, 17.8089) * CHOOSE(CONTROL!$C$21, $C$9, 100%, $E$9)</f>
        <v>17.808900000000001</v>
      </c>
      <c r="T4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57">
        <f>(1000*CHOOSE(CONTROL!$C$42, 695, 695)*CHOOSE(CONTROL!$C$42, 0.5599, 0.5599)*CHOOSE(CONTROL!$C$42, 31, 31))/1000000</f>
        <v>12.063045499999998</v>
      </c>
      <c r="V452" s="57">
        <f>(1000*CHOOSE(CONTROL!$C$42, 500, 500)*CHOOSE(CONTROL!$C$42, 0.275, 0.275)*CHOOSE(CONTROL!$C$42, 31, 31))/1000000</f>
        <v>4.2625000000000002</v>
      </c>
      <c r="W452" s="57">
        <f>(1000*CHOOSE(CONTROL!$C$42, 0.1146, 0.1146)*CHOOSE(CONTROL!$C$42, 121.5, 121.5)*CHOOSE(CONTROL!$C$42, 31, 31))/1000000</f>
        <v>0.43164089999999994</v>
      </c>
      <c r="X452" s="57">
        <f>(31*0.1790888*245000/1000000)+(31*0.2374*100000/1000000)</f>
        <v>2.0961194359999999</v>
      </c>
      <c r="Y452" s="57"/>
      <c r="Z452" s="10"/>
      <c r="AA452" s="56"/>
      <c r="AB452" s="50">
        <f>(B452*194.205+C452*267.466+D452*133.845+E452*53.484+F452*40+G452*185+H452*0+I452*100+J452*300)/(194.205+267.466+133.845+53.484+0+40+185+100+300)</f>
        <v>18.368303665306119</v>
      </c>
      <c r="AC452" s="45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18.222361870503597</v>
      </c>
    </row>
    <row r="453" spans="1:29" ht="15.75" x14ac:dyDescent="0.25">
      <c r="A453" s="14">
        <v>54696</v>
      </c>
      <c r="B453" s="10">
        <f>CHOOSE(CONTROL!$C$42, 17.1787, 17.1787) * CHOOSE(CONTROL!$C$21, $C$9, 100%, $E$9)</f>
        <v>17.178699999999999</v>
      </c>
      <c r="C453" s="10">
        <f>CHOOSE(CONTROL!$C$42, 17.1866, 17.1866) * CHOOSE(CONTROL!$C$21, $C$9, 100%, $E$9)</f>
        <v>17.186599999999999</v>
      </c>
      <c r="D453" s="10">
        <f>CHOOSE(CONTROL!$C$42, 17.3893, 17.3893) * CHOOSE(CONTROL!$C$21, $C$9, 100%, $E$9)</f>
        <v>17.389299999999999</v>
      </c>
      <c r="E453" s="10">
        <f>CHOOSE(CONTROL!$C$42, 17.4205, 17.4205) * CHOOSE(CONTROL!$C$21, $C$9, 100%, $E$9)</f>
        <v>17.420500000000001</v>
      </c>
      <c r="F453" s="10">
        <f>CHOOSE(CONTROL!$C$42, 17.1555, 17.1555)*CHOOSE(CONTROL!$C$21, $C$9, 100%, $E$9)</f>
        <v>17.1555</v>
      </c>
      <c r="G453" s="10">
        <f>CHOOSE(CONTROL!$C$42, 17.1708, 17.1708)*CHOOSE(CONTROL!$C$21, $C$9, 100%, $E$9)</f>
        <v>17.1708</v>
      </c>
      <c r="H453" s="10">
        <f>CHOOSE(CONTROL!$C$42, 17.4091, 17.4091) * CHOOSE(CONTROL!$C$21, $C$9, 100%, $E$9)</f>
        <v>17.409099999999999</v>
      </c>
      <c r="I453" s="10">
        <f>CHOOSE(CONTROL!$C$42, 17.1787, 17.1787)* CHOOSE(CONTROL!$C$21, $C$9, 100%, $E$9)</f>
        <v>17.178699999999999</v>
      </c>
      <c r="J453" s="10">
        <f>CHOOSE(CONTROL!$C$42, 17.1485, 17.1485)* CHOOSE(CONTROL!$C$21, $C$9, 100%, $E$9)</f>
        <v>17.148499999999999</v>
      </c>
      <c r="K453" s="53">
        <f>CHOOSE(CONTROL!$C$42, 17.1748, 17.1748) * CHOOSE(CONTROL!$C$21, $C$9, 100%, $E$9)</f>
        <v>17.174800000000001</v>
      </c>
      <c r="L453" s="10">
        <f>CHOOSE(CONTROL!$C$42, 17.9961, 17.9961) * CHOOSE(CONTROL!$C$21, $C$9, 100%, $E$9)</f>
        <v>17.996099999999998</v>
      </c>
      <c r="M453" s="10">
        <f>CHOOSE(CONTROL!$C$42, 16.9892, 16.9892) * CHOOSE(CONTROL!$C$21, $C$9, 100%, $E$9)</f>
        <v>16.9892</v>
      </c>
      <c r="N453" s="10">
        <f>CHOOSE(CONTROL!$C$42, 17.0044, 17.0044) * CHOOSE(CONTROL!$C$21, $C$9, 100%, $E$9)</f>
        <v>17.0044</v>
      </c>
      <c r="O453" s="10">
        <f>CHOOSE(CONTROL!$C$42, 17.2472, 17.2472) * CHOOSE(CONTROL!$C$21, $C$9, 100%, $E$9)</f>
        <v>17.247199999999999</v>
      </c>
      <c r="P453" s="10">
        <f>CHOOSE(CONTROL!$C$42, 17.0192, 17.0192) * CHOOSE(CONTROL!$C$21, $C$9, 100%, $E$9)</f>
        <v>17.019200000000001</v>
      </c>
      <c r="Q453" s="10">
        <f>CHOOSE(CONTROL!$C$42, 17.8425, 17.8425) * CHOOSE(CONTROL!$C$21, $C$9, 100%, $E$9)</f>
        <v>17.842500000000001</v>
      </c>
      <c r="R453" s="10">
        <f>CHOOSE(CONTROL!$C$42, 18.4741, 18.4741) * CHOOSE(CONTROL!$C$21, $C$9, 100%, $E$9)</f>
        <v>18.4741</v>
      </c>
      <c r="S453" s="10">
        <f>CHOOSE(CONTROL!$C$42, 16.678, 16.678) * CHOOSE(CONTROL!$C$21, $C$9, 100%, $E$9)</f>
        <v>16.678000000000001</v>
      </c>
      <c r="T4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57">
        <f>(1000*CHOOSE(CONTROL!$C$42, 695, 695)*CHOOSE(CONTROL!$C$42, 0.5599, 0.5599)*CHOOSE(CONTROL!$C$42, 30, 30))/1000000</f>
        <v>11.673914999999997</v>
      </c>
      <c r="V453" s="57">
        <f>(1000*CHOOSE(CONTROL!$C$42, 500, 500)*CHOOSE(CONTROL!$C$42, 0.275, 0.275)*CHOOSE(CONTROL!$C$42, 30, 30))/1000000</f>
        <v>4.125</v>
      </c>
      <c r="W453" s="57">
        <f>(1000*CHOOSE(CONTROL!$C$42, 0.1146, 0.1146)*CHOOSE(CONTROL!$C$42, 121.5, 121.5)*CHOOSE(CONTROL!$C$42, 30, 30))/1000000</f>
        <v>0.417717</v>
      </c>
      <c r="X453" s="57">
        <f>(30*0.1790888*245000/1000000)+(30*0.2374*100000/1000000)</f>
        <v>2.0285026799999999</v>
      </c>
      <c r="Y453" s="57"/>
      <c r="Z453" s="10"/>
      <c r="AA453" s="56"/>
      <c r="AB453" s="50">
        <f>(B453*194.205+C453*267.466+D453*133.845+E453*53.484+F453*40+G453*185+H453*0+I453*100+J453*300)/(194.205+267.466+133.845+53.484+0+40+185+100+300)</f>
        <v>17.203647935321822</v>
      </c>
      <c r="AC453" s="45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17.069404316546763</v>
      </c>
    </row>
    <row r="454" spans="1:29" ht="15.75" x14ac:dyDescent="0.25">
      <c r="A454" s="14">
        <v>54727</v>
      </c>
      <c r="B454" s="10">
        <f>CHOOSE(CONTROL!$C$42, 16.8282, 16.8282) * CHOOSE(CONTROL!$C$21, $C$9, 100%, $E$9)</f>
        <v>16.828199999999999</v>
      </c>
      <c r="C454" s="10">
        <f>CHOOSE(CONTROL!$C$42, 16.8334, 16.8334) * CHOOSE(CONTROL!$C$21, $C$9, 100%, $E$9)</f>
        <v>16.833400000000001</v>
      </c>
      <c r="D454" s="10">
        <f>CHOOSE(CONTROL!$C$42, 17.0411, 17.0411) * CHOOSE(CONTROL!$C$21, $C$9, 100%, $E$9)</f>
        <v>17.0411</v>
      </c>
      <c r="E454" s="10">
        <f>CHOOSE(CONTROL!$C$42, 17.0699, 17.0699) * CHOOSE(CONTROL!$C$21, $C$9, 100%, $E$9)</f>
        <v>17.069900000000001</v>
      </c>
      <c r="F454" s="10">
        <f>CHOOSE(CONTROL!$C$42, 16.8069, 16.8069)*CHOOSE(CONTROL!$C$21, $C$9, 100%, $E$9)</f>
        <v>16.806899999999999</v>
      </c>
      <c r="G454" s="10">
        <f>CHOOSE(CONTROL!$C$42, 16.8219, 16.8219)*CHOOSE(CONTROL!$C$21, $C$9, 100%, $E$9)</f>
        <v>16.821899999999999</v>
      </c>
      <c r="H454" s="10">
        <f>CHOOSE(CONTROL!$C$42, 17.0604, 17.0604) * CHOOSE(CONTROL!$C$21, $C$9, 100%, $E$9)</f>
        <v>17.060400000000001</v>
      </c>
      <c r="I454" s="10">
        <f>CHOOSE(CONTROL!$C$42, 16.83, 16.83)* CHOOSE(CONTROL!$C$21, $C$9, 100%, $E$9)</f>
        <v>16.829999999999998</v>
      </c>
      <c r="J454" s="10">
        <f>CHOOSE(CONTROL!$C$42, 16.7999, 16.7999)* CHOOSE(CONTROL!$C$21, $C$9, 100%, $E$9)</f>
        <v>16.799900000000001</v>
      </c>
      <c r="K454" s="53">
        <f>CHOOSE(CONTROL!$C$42, 16.8261, 16.8261) * CHOOSE(CONTROL!$C$21, $C$9, 100%, $E$9)</f>
        <v>16.8261</v>
      </c>
      <c r="L454" s="10">
        <f>CHOOSE(CONTROL!$C$42, 17.6474, 17.6474) * CHOOSE(CONTROL!$C$21, $C$9, 100%, $E$9)</f>
        <v>17.647400000000001</v>
      </c>
      <c r="M454" s="10">
        <f>CHOOSE(CONTROL!$C$42, 16.6442, 16.6442) * CHOOSE(CONTROL!$C$21, $C$9, 100%, $E$9)</f>
        <v>16.644200000000001</v>
      </c>
      <c r="N454" s="10">
        <f>CHOOSE(CONTROL!$C$42, 16.659, 16.659) * CHOOSE(CONTROL!$C$21, $C$9, 100%, $E$9)</f>
        <v>16.658999999999999</v>
      </c>
      <c r="O454" s="10">
        <f>CHOOSE(CONTROL!$C$42, 16.9021, 16.9021) * CHOOSE(CONTROL!$C$21, $C$9, 100%, $E$9)</f>
        <v>16.902100000000001</v>
      </c>
      <c r="P454" s="10">
        <f>CHOOSE(CONTROL!$C$42, 16.674, 16.674) * CHOOSE(CONTROL!$C$21, $C$9, 100%, $E$9)</f>
        <v>16.673999999999999</v>
      </c>
      <c r="Q454" s="10">
        <f>CHOOSE(CONTROL!$C$42, 17.4974, 17.4974) * CHOOSE(CONTROL!$C$21, $C$9, 100%, $E$9)</f>
        <v>17.497399999999999</v>
      </c>
      <c r="R454" s="10">
        <f>CHOOSE(CONTROL!$C$42, 18.1281, 18.1281) * CHOOSE(CONTROL!$C$21, $C$9, 100%, $E$9)</f>
        <v>18.1281</v>
      </c>
      <c r="S454" s="10">
        <f>CHOOSE(CONTROL!$C$42, 16.3393, 16.3393) * CHOOSE(CONTROL!$C$21, $C$9, 100%, $E$9)</f>
        <v>16.339300000000001</v>
      </c>
      <c r="T4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57">
        <f>(1000*CHOOSE(CONTROL!$C$42, 695, 695)*CHOOSE(CONTROL!$C$42, 0.5599, 0.5599)*CHOOSE(CONTROL!$C$42, 31, 31))/1000000</f>
        <v>12.063045499999998</v>
      </c>
      <c r="V454" s="57">
        <f>(1000*CHOOSE(CONTROL!$C$42, 500, 500)*CHOOSE(CONTROL!$C$42, 0.275, 0.275)*CHOOSE(CONTROL!$C$42, 31, 31))/1000000</f>
        <v>4.2625000000000002</v>
      </c>
      <c r="W454" s="57">
        <f>(1000*CHOOSE(CONTROL!$C$42, 0.1146, 0.1146)*CHOOSE(CONTROL!$C$42, 121.5, 121.5)*CHOOSE(CONTROL!$C$42, 31, 31))/1000000</f>
        <v>0.43164089999999994</v>
      </c>
      <c r="X454" s="57">
        <f>(31*0.1790888*245000/1000000)+(31*0.2374*100000/1000000)</f>
        <v>2.0961194359999999</v>
      </c>
      <c r="Y454" s="57"/>
      <c r="Z454" s="10"/>
      <c r="AA454" s="56"/>
      <c r="AB454" s="50">
        <f>(B454*131.881+C454*277.167+D454*79.08+E454*125.872+F454*40+G454*185+H454*0+I454*100+J454*300)/(131.881+277.167+79.08+125.872+0+40+185+100+300)</f>
        <v>16.859171075706215</v>
      </c>
      <c r="AC454" s="45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16.724255395683453</v>
      </c>
    </row>
    <row r="455" spans="1:29" ht="15.75" x14ac:dyDescent="0.25">
      <c r="A455" s="14">
        <v>54757</v>
      </c>
      <c r="B455" s="10">
        <f>CHOOSE(CONTROL!$C$42, 17.2711, 17.2711) * CHOOSE(CONTROL!$C$21, $C$9, 100%, $E$9)</f>
        <v>17.271100000000001</v>
      </c>
      <c r="C455" s="10">
        <f>CHOOSE(CONTROL!$C$42, 17.276, 17.276) * CHOOSE(CONTROL!$C$21, $C$9, 100%, $E$9)</f>
        <v>17.276</v>
      </c>
      <c r="D455" s="10">
        <f>CHOOSE(CONTROL!$C$42, 17.3365, 17.3365) * CHOOSE(CONTROL!$C$21, $C$9, 100%, $E$9)</f>
        <v>17.336500000000001</v>
      </c>
      <c r="E455" s="10">
        <f>CHOOSE(CONTROL!$C$42, 17.3703, 17.3703) * CHOOSE(CONTROL!$C$21, $C$9, 100%, $E$9)</f>
        <v>17.3703</v>
      </c>
      <c r="F455" s="10">
        <f>CHOOSE(CONTROL!$C$42, 17.2667, 17.2667)*CHOOSE(CONTROL!$C$21, $C$9, 100%, $E$9)</f>
        <v>17.2667</v>
      </c>
      <c r="G455" s="10">
        <f>CHOOSE(CONTROL!$C$42, 17.2819, 17.2819)*CHOOSE(CONTROL!$C$21, $C$9, 100%, $E$9)</f>
        <v>17.2819</v>
      </c>
      <c r="H455" s="10">
        <f>CHOOSE(CONTROL!$C$42, 17.3595, 17.3595) * CHOOSE(CONTROL!$C$21, $C$9, 100%, $E$9)</f>
        <v>17.359500000000001</v>
      </c>
      <c r="I455" s="10">
        <f>CHOOSE(CONTROL!$C$42, 17.2836, 17.2836)* CHOOSE(CONTROL!$C$21, $C$9, 100%, $E$9)</f>
        <v>17.2836</v>
      </c>
      <c r="J455" s="10">
        <f>CHOOSE(CONTROL!$C$42, 17.2597, 17.2597)* CHOOSE(CONTROL!$C$21, $C$9, 100%, $E$9)</f>
        <v>17.259699999999999</v>
      </c>
      <c r="K455" s="53">
        <f>CHOOSE(CONTROL!$C$42, 17.2797, 17.2797) * CHOOSE(CONTROL!$C$21, $C$9, 100%, $E$9)</f>
        <v>17.279699999999998</v>
      </c>
      <c r="L455" s="10">
        <f>CHOOSE(CONTROL!$C$42, 17.9465, 17.9465) * CHOOSE(CONTROL!$C$21, $C$9, 100%, $E$9)</f>
        <v>17.9465</v>
      </c>
      <c r="M455" s="10">
        <f>CHOOSE(CONTROL!$C$42, 17.0993, 17.0993) * CHOOSE(CONTROL!$C$21, $C$9, 100%, $E$9)</f>
        <v>17.099299999999999</v>
      </c>
      <c r="N455" s="10">
        <f>CHOOSE(CONTROL!$C$42, 17.1144, 17.1144) * CHOOSE(CONTROL!$C$21, $C$9, 100%, $E$9)</f>
        <v>17.1144</v>
      </c>
      <c r="O455" s="10">
        <f>CHOOSE(CONTROL!$C$42, 17.1981, 17.1981) * CHOOSE(CONTROL!$C$21, $C$9, 100%, $E$9)</f>
        <v>17.1981</v>
      </c>
      <c r="P455" s="10">
        <f>CHOOSE(CONTROL!$C$42, 17.123, 17.123) * CHOOSE(CONTROL!$C$21, $C$9, 100%, $E$9)</f>
        <v>17.123000000000001</v>
      </c>
      <c r="Q455" s="10">
        <f>CHOOSE(CONTROL!$C$42, 17.7934, 17.7934) * CHOOSE(CONTROL!$C$21, $C$9, 100%, $E$9)</f>
        <v>17.793399999999998</v>
      </c>
      <c r="R455" s="10">
        <f>CHOOSE(CONTROL!$C$42, 18.4249, 18.4249) * CHOOSE(CONTROL!$C$21, $C$9, 100%, $E$9)</f>
        <v>18.424900000000001</v>
      </c>
      <c r="S455" s="10">
        <f>CHOOSE(CONTROL!$C$42, 16.7698, 16.7698) * CHOOSE(CONTROL!$C$21, $C$9, 100%, $E$9)</f>
        <v>16.7698</v>
      </c>
      <c r="T4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57">
        <f>(1000*CHOOSE(CONTROL!$C$42, 695, 695)*CHOOSE(CONTROL!$C$42, 0.5599, 0.5599)*CHOOSE(CONTROL!$C$42, 30, 30))/1000000</f>
        <v>11.673914999999997</v>
      </c>
      <c r="V455" s="57">
        <f>(1000*CHOOSE(CONTROL!$C$42, 500, 500)*CHOOSE(CONTROL!$C$42, 0.275, 0.275)*CHOOSE(CONTROL!$C$42, 30, 30))/1000000</f>
        <v>4.125</v>
      </c>
      <c r="W455" s="57">
        <f>(1000*CHOOSE(CONTROL!$C$42, 0.1146, 0.1146)*CHOOSE(CONTROL!$C$42, 121.5, 121.5)*CHOOSE(CONTROL!$C$42, 30, 30))/1000000</f>
        <v>0.417717</v>
      </c>
      <c r="X455" s="57">
        <f>(30*0.1790888*100000/1000000)+(30*0.2374*100000/1000000)</f>
        <v>1.2494664</v>
      </c>
      <c r="Y455" s="57"/>
      <c r="Z455" s="10"/>
      <c r="AA455" s="56"/>
      <c r="AB455" s="50">
        <f>(B455*122.58+C455*297.941+D455*89.177+E455*40.302+F455*40+G455*160+H455*0+I455*100+J455*300)/(122.58+297.941+89.177+40.302+0+40+160+100+300)</f>
        <v>17.280380039217391</v>
      </c>
      <c r="AC455" s="45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17.148358992805754</v>
      </c>
    </row>
    <row r="456" spans="1:29" ht="15.75" x14ac:dyDescent="0.25">
      <c r="A456" s="14">
        <v>54788</v>
      </c>
      <c r="B456" s="10">
        <f>CHOOSE(CONTROL!$C$42, 18.4484, 18.4484) * CHOOSE(CONTROL!$C$21, $C$9, 100%, $E$9)</f>
        <v>18.448399999999999</v>
      </c>
      <c r="C456" s="10">
        <f>CHOOSE(CONTROL!$C$42, 18.4533, 18.4533) * CHOOSE(CONTROL!$C$21, $C$9, 100%, $E$9)</f>
        <v>18.453299999999999</v>
      </c>
      <c r="D456" s="10">
        <f>CHOOSE(CONTROL!$C$42, 18.5138, 18.5138) * CHOOSE(CONTROL!$C$21, $C$9, 100%, $E$9)</f>
        <v>18.5138</v>
      </c>
      <c r="E456" s="10">
        <f>CHOOSE(CONTROL!$C$42, 18.5476, 18.5476) * CHOOSE(CONTROL!$C$21, $C$9, 100%, $E$9)</f>
        <v>18.547599999999999</v>
      </c>
      <c r="F456" s="10">
        <f>CHOOSE(CONTROL!$C$42, 18.4458, 18.4458)*CHOOSE(CONTROL!$C$21, $C$9, 100%, $E$9)</f>
        <v>18.445799999999998</v>
      </c>
      <c r="G456" s="10">
        <f>CHOOSE(CONTROL!$C$42, 18.4615, 18.4615)*CHOOSE(CONTROL!$C$21, $C$9, 100%, $E$9)</f>
        <v>18.461500000000001</v>
      </c>
      <c r="H456" s="10">
        <f>CHOOSE(CONTROL!$C$42, 18.5368, 18.5368) * CHOOSE(CONTROL!$C$21, $C$9, 100%, $E$9)</f>
        <v>18.536799999999999</v>
      </c>
      <c r="I456" s="10">
        <f>CHOOSE(CONTROL!$C$42, 18.4609, 18.4609)* CHOOSE(CONTROL!$C$21, $C$9, 100%, $E$9)</f>
        <v>18.460899999999999</v>
      </c>
      <c r="J456" s="10">
        <f>CHOOSE(CONTROL!$C$42, 18.4388, 18.4388)* CHOOSE(CONTROL!$C$21, $C$9, 100%, $E$9)</f>
        <v>18.438800000000001</v>
      </c>
      <c r="K456" s="53">
        <f>CHOOSE(CONTROL!$C$42, 18.457, 18.457) * CHOOSE(CONTROL!$C$21, $C$9, 100%, $E$9)</f>
        <v>18.457000000000001</v>
      </c>
      <c r="L456" s="10">
        <f>CHOOSE(CONTROL!$C$42, 19.1238, 19.1238) * CHOOSE(CONTROL!$C$21, $C$9, 100%, $E$9)</f>
        <v>19.123799999999999</v>
      </c>
      <c r="M456" s="10">
        <f>CHOOSE(CONTROL!$C$42, 18.2666, 18.2666) * CHOOSE(CONTROL!$C$21, $C$9, 100%, $E$9)</f>
        <v>18.2666</v>
      </c>
      <c r="N456" s="10">
        <f>CHOOSE(CONTROL!$C$42, 18.2821, 18.2821) * CHOOSE(CONTROL!$C$21, $C$9, 100%, $E$9)</f>
        <v>18.2821</v>
      </c>
      <c r="O456" s="10">
        <f>CHOOSE(CONTROL!$C$42, 18.3636, 18.3636) * CHOOSE(CONTROL!$C$21, $C$9, 100%, $E$9)</f>
        <v>18.363600000000002</v>
      </c>
      <c r="P456" s="10">
        <f>CHOOSE(CONTROL!$C$42, 18.2885, 18.2885) * CHOOSE(CONTROL!$C$21, $C$9, 100%, $E$9)</f>
        <v>18.288499999999999</v>
      </c>
      <c r="Q456" s="10">
        <f>CHOOSE(CONTROL!$C$42, 18.9589, 18.9589) * CHOOSE(CONTROL!$C$21, $C$9, 100%, $E$9)</f>
        <v>18.9589</v>
      </c>
      <c r="R456" s="10">
        <f>CHOOSE(CONTROL!$C$42, 19.5933, 19.5933) * CHOOSE(CONTROL!$C$21, $C$9, 100%, $E$9)</f>
        <v>19.593299999999999</v>
      </c>
      <c r="S456" s="10">
        <f>CHOOSE(CONTROL!$C$42, 17.9131, 17.9131) * CHOOSE(CONTROL!$C$21, $C$9, 100%, $E$9)</f>
        <v>17.9131</v>
      </c>
      <c r="T4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57">
        <f>(1000*CHOOSE(CONTROL!$C$42, 695, 695)*CHOOSE(CONTROL!$C$42, 0.5599, 0.5599)*CHOOSE(CONTROL!$C$42, 31, 31))/1000000</f>
        <v>12.063045499999998</v>
      </c>
      <c r="V456" s="57">
        <f>(1000*CHOOSE(CONTROL!$C$42, 500, 500)*CHOOSE(CONTROL!$C$42, 0.275, 0.275)*CHOOSE(CONTROL!$C$42, 31, 31))/1000000</f>
        <v>4.2625000000000002</v>
      </c>
      <c r="W456" s="57">
        <f>(1000*CHOOSE(CONTROL!$C$42, 0.1146, 0.1146)*CHOOSE(CONTROL!$C$42, 121.5, 121.5)*CHOOSE(CONTROL!$C$42, 31, 31))/1000000</f>
        <v>0.43164089999999994</v>
      </c>
      <c r="X456" s="57">
        <f>(31*0.1790888*100000/1000000)+(31*0.2374*100000/1000000)</f>
        <v>1.2911152800000001</v>
      </c>
      <c r="Y456" s="57"/>
      <c r="Z456" s="10"/>
      <c r="AA456" s="56"/>
      <c r="AB456" s="50">
        <f>(B456*122.58+C456*297.941+D456*89.177+E456*40.302+F456*40+G456*160+H456*0+I456*100+J456*300)/(122.58+297.941+89.177+40.302+0+40+160+100+300)</f>
        <v>18.458532213130436</v>
      </c>
      <c r="AC456" s="45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18.314607194244605</v>
      </c>
    </row>
    <row r="457" spans="1:29" ht="15.75" x14ac:dyDescent="0.25">
      <c r="A457" s="14">
        <v>54819</v>
      </c>
      <c r="B457" s="10">
        <f>CHOOSE(CONTROL!$C$42, 19.9597, 19.9597) * CHOOSE(CONTROL!$C$21, $C$9, 100%, $E$9)</f>
        <v>19.959700000000002</v>
      </c>
      <c r="C457" s="10">
        <f>CHOOSE(CONTROL!$C$42, 19.9647, 19.9647) * CHOOSE(CONTROL!$C$21, $C$9, 100%, $E$9)</f>
        <v>19.964700000000001</v>
      </c>
      <c r="D457" s="10">
        <f>CHOOSE(CONTROL!$C$42, 20.0218, 20.0218) * CHOOSE(CONTROL!$C$21, $C$9, 100%, $E$9)</f>
        <v>20.021799999999999</v>
      </c>
      <c r="E457" s="10">
        <f>CHOOSE(CONTROL!$C$42, 20.0555, 20.0555) * CHOOSE(CONTROL!$C$21, $C$9, 100%, $E$9)</f>
        <v>20.055499999999999</v>
      </c>
      <c r="F457" s="10">
        <f>CHOOSE(CONTROL!$C$42, 19.9576, 19.9576)*CHOOSE(CONTROL!$C$21, $C$9, 100%, $E$9)</f>
        <v>19.957599999999999</v>
      </c>
      <c r="G457" s="10">
        <f>CHOOSE(CONTROL!$C$42, 19.9722, 19.9722)*CHOOSE(CONTROL!$C$21, $C$9, 100%, $E$9)</f>
        <v>19.972200000000001</v>
      </c>
      <c r="H457" s="10">
        <f>CHOOSE(CONTROL!$C$42, 20.0447, 20.0447) * CHOOSE(CONTROL!$C$21, $C$9, 100%, $E$9)</f>
        <v>20.044699999999999</v>
      </c>
      <c r="I457" s="10">
        <f>CHOOSE(CONTROL!$C$42, 19.9705, 19.9705)* CHOOSE(CONTROL!$C$21, $C$9, 100%, $E$9)</f>
        <v>19.970500000000001</v>
      </c>
      <c r="J457" s="10">
        <f>CHOOSE(CONTROL!$C$42, 19.9506, 19.9506)* CHOOSE(CONTROL!$C$21, $C$9, 100%, $E$9)</f>
        <v>19.950600000000001</v>
      </c>
      <c r="K457" s="53">
        <f>CHOOSE(CONTROL!$C$42, 19.9666, 19.9666) * CHOOSE(CONTROL!$C$21, $C$9, 100%, $E$9)</f>
        <v>19.9666</v>
      </c>
      <c r="L457" s="10">
        <f>CHOOSE(CONTROL!$C$42, 20.6317, 20.6317) * CHOOSE(CONTROL!$C$21, $C$9, 100%, $E$9)</f>
        <v>20.631699999999999</v>
      </c>
      <c r="M457" s="10">
        <f>CHOOSE(CONTROL!$C$42, 19.7631, 19.7631) * CHOOSE(CONTROL!$C$21, $C$9, 100%, $E$9)</f>
        <v>19.763100000000001</v>
      </c>
      <c r="N457" s="10">
        <f>CHOOSE(CONTROL!$C$42, 19.7775, 19.7775) * CHOOSE(CONTROL!$C$21, $C$9, 100%, $E$9)</f>
        <v>19.7775</v>
      </c>
      <c r="O457" s="10">
        <f>CHOOSE(CONTROL!$C$42, 19.8563, 19.8563) * CHOOSE(CONTROL!$C$21, $C$9, 100%, $E$9)</f>
        <v>19.856300000000001</v>
      </c>
      <c r="P457" s="10">
        <f>CHOOSE(CONTROL!$C$42, 19.7829, 19.7829) * CHOOSE(CONTROL!$C$21, $C$9, 100%, $E$9)</f>
        <v>19.782900000000001</v>
      </c>
      <c r="Q457" s="10">
        <f>CHOOSE(CONTROL!$C$42, 20.4516, 20.4516) * CHOOSE(CONTROL!$C$21, $C$9, 100%, $E$9)</f>
        <v>20.451599999999999</v>
      </c>
      <c r="R457" s="10">
        <f>CHOOSE(CONTROL!$C$42, 21.0897, 21.0897) * CHOOSE(CONTROL!$C$21, $C$9, 100%, $E$9)</f>
        <v>21.089700000000001</v>
      </c>
      <c r="S457" s="10">
        <f>CHOOSE(CONTROL!$C$42, 19.3808, 19.3808) * CHOOSE(CONTROL!$C$21, $C$9, 100%, $E$9)</f>
        <v>19.380800000000001</v>
      </c>
      <c r="T4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57">
        <f>(1000*CHOOSE(CONTROL!$C$42, 695, 695)*CHOOSE(CONTROL!$C$42, 0.5599, 0.5599)*CHOOSE(CONTROL!$C$42, 31, 31))/1000000</f>
        <v>12.063045499999998</v>
      </c>
      <c r="V457" s="57">
        <f>(1000*CHOOSE(CONTROL!$C$42, 500, 500)*CHOOSE(CONTROL!$C$42, 0.275, 0.275)*CHOOSE(CONTROL!$C$42, 31, 31))/1000000</f>
        <v>4.2625000000000002</v>
      </c>
      <c r="W457" s="57">
        <f>(1000*CHOOSE(CONTROL!$C$42, 0.1146, 0.1146)*CHOOSE(CONTROL!$C$42, 121.5, 121.5)*CHOOSE(CONTROL!$C$42, 31, 31))/1000000</f>
        <v>0.43164089999999994</v>
      </c>
      <c r="X457" s="57">
        <f>(31*0.1790888*100000/1000000)+(31*0.2374*100000/1000000)</f>
        <v>1.2911152800000001</v>
      </c>
      <c r="Y457" s="57"/>
      <c r="Z457" s="10"/>
      <c r="AA457" s="56"/>
      <c r="AB457" s="50">
        <f>(B457*122.58+C457*297.941+D457*89.177+E457*40.302+F457*40+G457*160+H457*0+I457*100+J457*300)/(122.58+297.941+89.177+40.302+0+40+160+100+300)</f>
        <v>19.969399589826086</v>
      </c>
      <c r="AC457" s="45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19.809019424460434</v>
      </c>
    </row>
    <row r="458" spans="1:29" ht="15.75" x14ac:dyDescent="0.25">
      <c r="A458" s="14">
        <v>54847</v>
      </c>
      <c r="B458" s="10">
        <f>CHOOSE(CONTROL!$C$42, 20.315, 20.315) * CHOOSE(CONTROL!$C$21, $C$9, 100%, $E$9)</f>
        <v>20.315000000000001</v>
      </c>
      <c r="C458" s="10">
        <f>CHOOSE(CONTROL!$C$42, 20.32, 20.32) * CHOOSE(CONTROL!$C$21, $C$9, 100%, $E$9)</f>
        <v>20.32</v>
      </c>
      <c r="D458" s="10">
        <f>CHOOSE(CONTROL!$C$42, 20.377, 20.377) * CHOOSE(CONTROL!$C$21, $C$9, 100%, $E$9)</f>
        <v>20.376999999999999</v>
      </c>
      <c r="E458" s="10">
        <f>CHOOSE(CONTROL!$C$42, 20.4108, 20.4108) * CHOOSE(CONTROL!$C$21, $C$9, 100%, $E$9)</f>
        <v>20.410799999999998</v>
      </c>
      <c r="F458" s="10">
        <f>CHOOSE(CONTROL!$C$42, 20.3129, 20.3129)*CHOOSE(CONTROL!$C$21, $C$9, 100%, $E$9)</f>
        <v>20.312899999999999</v>
      </c>
      <c r="G458" s="10">
        <f>CHOOSE(CONTROL!$C$42, 20.3276, 20.3276)*CHOOSE(CONTROL!$C$21, $C$9, 100%, $E$9)</f>
        <v>20.3276</v>
      </c>
      <c r="H458" s="10">
        <f>CHOOSE(CONTROL!$C$42, 20.4, 20.4) * CHOOSE(CONTROL!$C$21, $C$9, 100%, $E$9)</f>
        <v>20.399999999999999</v>
      </c>
      <c r="I458" s="10">
        <f>CHOOSE(CONTROL!$C$42, 20.3258, 20.3258)* CHOOSE(CONTROL!$C$21, $C$9, 100%, $E$9)</f>
        <v>20.325800000000001</v>
      </c>
      <c r="J458" s="10">
        <f>CHOOSE(CONTROL!$C$42, 20.3059, 20.3059)* CHOOSE(CONTROL!$C$21, $C$9, 100%, $E$9)</f>
        <v>20.305900000000001</v>
      </c>
      <c r="K458" s="53">
        <f>CHOOSE(CONTROL!$C$42, 20.3219, 20.3219) * CHOOSE(CONTROL!$C$21, $C$9, 100%, $E$9)</f>
        <v>20.321899999999999</v>
      </c>
      <c r="L458" s="10">
        <f>CHOOSE(CONTROL!$C$42, 20.987, 20.987) * CHOOSE(CONTROL!$C$21, $C$9, 100%, $E$9)</f>
        <v>20.986999999999998</v>
      </c>
      <c r="M458" s="10">
        <f>CHOOSE(CONTROL!$C$42, 20.1148, 20.1148) * CHOOSE(CONTROL!$C$21, $C$9, 100%, $E$9)</f>
        <v>20.114799999999999</v>
      </c>
      <c r="N458" s="10">
        <f>CHOOSE(CONTROL!$C$42, 20.1293, 20.1293) * CHOOSE(CONTROL!$C$21, $C$9, 100%, $E$9)</f>
        <v>20.129300000000001</v>
      </c>
      <c r="O458" s="10">
        <f>CHOOSE(CONTROL!$C$42, 20.208, 20.208) * CHOOSE(CONTROL!$C$21, $C$9, 100%, $E$9)</f>
        <v>20.207999999999998</v>
      </c>
      <c r="P458" s="10">
        <f>CHOOSE(CONTROL!$C$42, 20.1345, 20.1345) * CHOOSE(CONTROL!$C$21, $C$9, 100%, $E$9)</f>
        <v>20.134499999999999</v>
      </c>
      <c r="Q458" s="10">
        <f>CHOOSE(CONTROL!$C$42, 20.8033, 20.8033) * CHOOSE(CONTROL!$C$21, $C$9, 100%, $E$9)</f>
        <v>20.8033</v>
      </c>
      <c r="R458" s="10">
        <f>CHOOSE(CONTROL!$C$42, 21.4423, 21.4423) * CHOOSE(CONTROL!$C$21, $C$9, 100%, $E$9)</f>
        <v>21.442299999999999</v>
      </c>
      <c r="S458" s="10">
        <f>CHOOSE(CONTROL!$C$42, 19.7258, 19.7258) * CHOOSE(CONTROL!$C$21, $C$9, 100%, $E$9)</f>
        <v>19.7258</v>
      </c>
      <c r="T4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57">
        <f>(1000*CHOOSE(CONTROL!$C$42, 695, 695)*CHOOSE(CONTROL!$C$42, 0.5599, 0.5599)*CHOOSE(CONTROL!$C$42, 28, 28))/1000000</f>
        <v>10.895653999999999</v>
      </c>
      <c r="V458" s="57">
        <f>(1000*CHOOSE(CONTROL!$C$42, 500, 500)*CHOOSE(CONTROL!$C$42, 0.275, 0.275)*CHOOSE(CONTROL!$C$42, 28, 28))/1000000</f>
        <v>3.85</v>
      </c>
      <c r="W458" s="57">
        <f>(1000*CHOOSE(CONTROL!$C$42, 0.1146, 0.1146)*CHOOSE(CONTROL!$C$42, 121.5, 121.5)*CHOOSE(CONTROL!$C$42, 28, 28))/1000000</f>
        <v>0.38986920000000003</v>
      </c>
      <c r="X458" s="57">
        <f>(28*0.1790888*100000/1000000)+(28*0.2374*100000/1000000)</f>
        <v>1.16616864</v>
      </c>
      <c r="Y458" s="57"/>
      <c r="Z458" s="10"/>
      <c r="AA458" s="56"/>
      <c r="AB458" s="50">
        <f>(B458*122.58+C458*297.941+D458*89.177+E458*40.302+F458*40+G458*160+H458*0+I458*100+J458*300)/(122.58+297.941+89.177+40.302+0+40+160+100+300)</f>
        <v>20.324705748347828</v>
      </c>
      <c r="AC458" s="45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20.160710791366906</v>
      </c>
    </row>
    <row r="459" spans="1:29" ht="15.75" x14ac:dyDescent="0.25">
      <c r="A459" s="14">
        <v>54878</v>
      </c>
      <c r="B459" s="10">
        <f>CHOOSE(CONTROL!$C$42, 19.7383, 19.7383) * CHOOSE(CONTROL!$C$21, $C$9, 100%, $E$9)</f>
        <v>19.738299999999999</v>
      </c>
      <c r="C459" s="10">
        <f>CHOOSE(CONTROL!$C$42, 19.7433, 19.7433) * CHOOSE(CONTROL!$C$21, $C$9, 100%, $E$9)</f>
        <v>19.743300000000001</v>
      </c>
      <c r="D459" s="10">
        <f>CHOOSE(CONTROL!$C$42, 19.8004, 19.8004) * CHOOSE(CONTROL!$C$21, $C$9, 100%, $E$9)</f>
        <v>19.8004</v>
      </c>
      <c r="E459" s="10">
        <f>CHOOSE(CONTROL!$C$42, 19.8341, 19.8341) * CHOOSE(CONTROL!$C$21, $C$9, 100%, $E$9)</f>
        <v>19.834099999999999</v>
      </c>
      <c r="F459" s="10">
        <f>CHOOSE(CONTROL!$C$42, 19.7361, 19.7361)*CHOOSE(CONTROL!$C$21, $C$9, 100%, $E$9)</f>
        <v>19.7361</v>
      </c>
      <c r="G459" s="10">
        <f>CHOOSE(CONTROL!$C$42, 19.7507, 19.7507)*CHOOSE(CONTROL!$C$21, $C$9, 100%, $E$9)</f>
        <v>19.750699999999998</v>
      </c>
      <c r="H459" s="10">
        <f>CHOOSE(CONTROL!$C$42, 19.8233, 19.8233) * CHOOSE(CONTROL!$C$21, $C$9, 100%, $E$9)</f>
        <v>19.8233</v>
      </c>
      <c r="I459" s="10">
        <f>CHOOSE(CONTROL!$C$42, 19.7491, 19.7491)* CHOOSE(CONTROL!$C$21, $C$9, 100%, $E$9)</f>
        <v>19.749099999999999</v>
      </c>
      <c r="J459" s="10">
        <f>CHOOSE(CONTROL!$C$42, 19.7291, 19.7291)* CHOOSE(CONTROL!$C$21, $C$9, 100%, $E$9)</f>
        <v>19.729099999999999</v>
      </c>
      <c r="K459" s="53">
        <f>CHOOSE(CONTROL!$C$42, 19.7452, 19.7452) * CHOOSE(CONTROL!$C$21, $C$9, 100%, $E$9)</f>
        <v>19.745200000000001</v>
      </c>
      <c r="L459" s="10">
        <f>CHOOSE(CONTROL!$C$42, 20.4103, 20.4103) * CHOOSE(CONTROL!$C$21, $C$9, 100%, $E$9)</f>
        <v>20.410299999999999</v>
      </c>
      <c r="M459" s="10">
        <f>CHOOSE(CONTROL!$C$42, 19.5439, 19.5439) * CHOOSE(CONTROL!$C$21, $C$9, 100%, $E$9)</f>
        <v>19.543900000000001</v>
      </c>
      <c r="N459" s="10">
        <f>CHOOSE(CONTROL!$C$42, 19.5583, 19.5583) * CHOOSE(CONTROL!$C$21, $C$9, 100%, $E$9)</f>
        <v>19.558299999999999</v>
      </c>
      <c r="O459" s="10">
        <f>CHOOSE(CONTROL!$C$42, 19.6371, 19.6371) * CHOOSE(CONTROL!$C$21, $C$9, 100%, $E$9)</f>
        <v>19.6371</v>
      </c>
      <c r="P459" s="10">
        <f>CHOOSE(CONTROL!$C$42, 19.5637, 19.5637) * CHOOSE(CONTROL!$C$21, $C$9, 100%, $E$9)</f>
        <v>19.563700000000001</v>
      </c>
      <c r="Q459" s="10">
        <f>CHOOSE(CONTROL!$C$42, 20.2324, 20.2324) * CHOOSE(CONTROL!$C$21, $C$9, 100%, $E$9)</f>
        <v>20.232399999999998</v>
      </c>
      <c r="R459" s="10">
        <f>CHOOSE(CONTROL!$C$42, 20.87, 20.87) * CHOOSE(CONTROL!$C$21, $C$9, 100%, $E$9)</f>
        <v>20.87</v>
      </c>
      <c r="S459" s="10">
        <f>CHOOSE(CONTROL!$C$42, 19.1658, 19.1658) * CHOOSE(CONTROL!$C$21, $C$9, 100%, $E$9)</f>
        <v>19.165800000000001</v>
      </c>
      <c r="T4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57">
        <f>(1000*CHOOSE(CONTROL!$C$42, 695, 695)*CHOOSE(CONTROL!$C$42, 0.5599, 0.5599)*CHOOSE(CONTROL!$C$42, 31, 31))/1000000</f>
        <v>12.063045499999998</v>
      </c>
      <c r="V459" s="57">
        <f>(1000*CHOOSE(CONTROL!$C$42, 500, 500)*CHOOSE(CONTROL!$C$42, 0.275, 0.275)*CHOOSE(CONTROL!$C$42, 31, 31))/1000000</f>
        <v>4.2625000000000002</v>
      </c>
      <c r="W459" s="57">
        <f>(1000*CHOOSE(CONTROL!$C$42, 0.1146, 0.1146)*CHOOSE(CONTROL!$C$42, 121.5, 121.5)*CHOOSE(CONTROL!$C$42, 31, 31))/1000000</f>
        <v>0.43164089999999994</v>
      </c>
      <c r="X459" s="57">
        <f>(31*0.1790888*100000/1000000)+(31*0.2374*100000/1000000)</f>
        <v>1.2911152800000001</v>
      </c>
      <c r="Y459" s="57"/>
      <c r="Z459" s="10"/>
      <c r="AA459" s="56"/>
      <c r="AB459" s="50">
        <f>(B459*122.58+C459*297.941+D459*89.177+E459*40.302+F459*40+G459*160+H459*0+I459*100+J459*300)/(122.58+297.941+89.177+40.302+0+40+160+100+300)</f>
        <v>19.747956111565216</v>
      </c>
      <c r="AC459" s="45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19.589819424460433</v>
      </c>
    </row>
    <row r="460" spans="1:29" ht="15.75" x14ac:dyDescent="0.25">
      <c r="A460" s="14">
        <v>54908</v>
      </c>
      <c r="B460" s="10">
        <f>CHOOSE(CONTROL!$C$42, 19.6804, 19.6804) * CHOOSE(CONTROL!$C$21, $C$9, 100%, $E$9)</f>
        <v>19.680399999999999</v>
      </c>
      <c r="C460" s="10">
        <f>CHOOSE(CONTROL!$C$42, 19.6848, 19.6848) * CHOOSE(CONTROL!$C$21, $C$9, 100%, $E$9)</f>
        <v>19.684799999999999</v>
      </c>
      <c r="D460" s="10">
        <f>CHOOSE(CONTROL!$C$42, 19.8907, 19.8907) * CHOOSE(CONTROL!$C$21, $C$9, 100%, $E$9)</f>
        <v>19.890699999999999</v>
      </c>
      <c r="E460" s="10">
        <f>CHOOSE(CONTROL!$C$42, 19.9224, 19.9224) * CHOOSE(CONTROL!$C$21, $C$9, 100%, $E$9)</f>
        <v>19.9224</v>
      </c>
      <c r="F460" s="10">
        <f>CHOOSE(CONTROL!$C$42, 19.6572, 19.6572)*CHOOSE(CONTROL!$C$21, $C$9, 100%, $E$9)</f>
        <v>19.6572</v>
      </c>
      <c r="G460" s="10">
        <f>CHOOSE(CONTROL!$C$42, 19.6717, 19.6717)*CHOOSE(CONTROL!$C$21, $C$9, 100%, $E$9)</f>
        <v>19.671700000000001</v>
      </c>
      <c r="H460" s="10">
        <f>CHOOSE(CONTROL!$C$42, 19.9122, 19.9122) * CHOOSE(CONTROL!$C$21, $C$9, 100%, $E$9)</f>
        <v>19.912199999999999</v>
      </c>
      <c r="I460" s="10">
        <f>CHOOSE(CONTROL!$C$42, 19.6818, 19.6818)* CHOOSE(CONTROL!$C$21, $C$9, 100%, $E$9)</f>
        <v>19.681799999999999</v>
      </c>
      <c r="J460" s="10">
        <f>CHOOSE(CONTROL!$C$42, 19.6502, 19.6502)* CHOOSE(CONTROL!$C$21, $C$9, 100%, $E$9)</f>
        <v>19.650200000000002</v>
      </c>
      <c r="K460" s="53">
        <f>CHOOSE(CONTROL!$C$42, 19.678, 19.678) * CHOOSE(CONTROL!$C$21, $C$9, 100%, $E$9)</f>
        <v>19.678000000000001</v>
      </c>
      <c r="L460" s="10">
        <f>CHOOSE(CONTROL!$C$42, 20.4992, 20.4992) * CHOOSE(CONTROL!$C$21, $C$9, 100%, $E$9)</f>
        <v>20.499199999999998</v>
      </c>
      <c r="M460" s="10">
        <f>CHOOSE(CONTROL!$C$42, 19.4657, 19.4657) * CHOOSE(CONTROL!$C$21, $C$9, 100%, $E$9)</f>
        <v>19.465699999999998</v>
      </c>
      <c r="N460" s="10">
        <f>CHOOSE(CONTROL!$C$42, 19.4801, 19.4801) * CHOOSE(CONTROL!$C$21, $C$9, 100%, $E$9)</f>
        <v>19.4801</v>
      </c>
      <c r="O460" s="10">
        <f>CHOOSE(CONTROL!$C$42, 19.7251, 19.7251) * CHOOSE(CONTROL!$C$21, $C$9, 100%, $E$9)</f>
        <v>19.725100000000001</v>
      </c>
      <c r="P460" s="10">
        <f>CHOOSE(CONTROL!$C$42, 19.4971, 19.4971) * CHOOSE(CONTROL!$C$21, $C$9, 100%, $E$9)</f>
        <v>19.4971</v>
      </c>
      <c r="Q460" s="10">
        <f>CHOOSE(CONTROL!$C$42, 20.3204, 20.3204) * CHOOSE(CONTROL!$C$21, $C$9, 100%, $E$9)</f>
        <v>20.320399999999999</v>
      </c>
      <c r="R460" s="10">
        <f>CHOOSE(CONTROL!$C$42, 20.9582, 20.9582) * CHOOSE(CONTROL!$C$21, $C$9, 100%, $E$9)</f>
        <v>20.958200000000001</v>
      </c>
      <c r="S460" s="10">
        <f>CHOOSE(CONTROL!$C$42, 19.1088, 19.1088) * CHOOSE(CONTROL!$C$21, $C$9, 100%, $E$9)</f>
        <v>19.108799999999999</v>
      </c>
      <c r="T4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57">
        <f>(1000*CHOOSE(CONTROL!$C$42, 695, 695)*CHOOSE(CONTROL!$C$42, 0.5599, 0.5599)*CHOOSE(CONTROL!$C$42, 30, 30))/1000000</f>
        <v>11.673914999999997</v>
      </c>
      <c r="V460" s="57">
        <f>(1000*CHOOSE(CONTROL!$C$42, 500, 500)*CHOOSE(CONTROL!$C$42, 0.275, 0.275)*CHOOSE(CONTROL!$C$42, 30, 30))/1000000</f>
        <v>4.125</v>
      </c>
      <c r="W460" s="57">
        <f>(1000*CHOOSE(CONTROL!$C$42, 0.1146, 0.1146)*CHOOSE(CONTROL!$C$42, 121.5, 121.5)*CHOOSE(CONTROL!$C$42, 30, 30))/1000000</f>
        <v>0.417717</v>
      </c>
      <c r="X460" s="57">
        <f>(30*0.1790888*245000/1000000)+(30*0.2374*100000/1000000)</f>
        <v>2.0285026799999999</v>
      </c>
      <c r="Y460" s="57"/>
      <c r="Z460" s="10"/>
      <c r="AA460" s="56"/>
      <c r="AB460" s="50">
        <f>(B460*141.293+C460*267.993+D460*115.016+E460*89.698+F460*40+G460*185+H460*0+I460*100+J460*300)/(141.293+267.993+115.016+89.698+0+40+185+100+300)</f>
        <v>19.709146125907992</v>
      </c>
      <c r="AC460" s="45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19.546314388489208</v>
      </c>
    </row>
    <row r="461" spans="1:29" ht="15.75" x14ac:dyDescent="0.25">
      <c r="A461" s="14">
        <v>54939</v>
      </c>
      <c r="B461" s="10">
        <f>CHOOSE(CONTROL!$C$42, 19.8555, 19.8555) * CHOOSE(CONTROL!$C$21, $C$9, 100%, $E$9)</f>
        <v>19.855499999999999</v>
      </c>
      <c r="C461" s="10">
        <f>CHOOSE(CONTROL!$C$42, 19.8634, 19.8634) * CHOOSE(CONTROL!$C$21, $C$9, 100%, $E$9)</f>
        <v>19.863399999999999</v>
      </c>
      <c r="D461" s="10">
        <f>CHOOSE(CONTROL!$C$42, 20.0661, 20.0661) * CHOOSE(CONTROL!$C$21, $C$9, 100%, $E$9)</f>
        <v>20.066099999999999</v>
      </c>
      <c r="E461" s="10">
        <f>CHOOSE(CONTROL!$C$42, 20.0973, 20.0973) * CHOOSE(CONTROL!$C$21, $C$9, 100%, $E$9)</f>
        <v>20.097300000000001</v>
      </c>
      <c r="F461" s="10">
        <f>CHOOSE(CONTROL!$C$42, 19.8312, 19.8312)*CHOOSE(CONTROL!$C$21, $C$9, 100%, $E$9)</f>
        <v>19.831199999999999</v>
      </c>
      <c r="G461" s="10">
        <f>CHOOSE(CONTROL!$C$42, 19.8462, 19.8462)*CHOOSE(CONTROL!$C$21, $C$9, 100%, $E$9)</f>
        <v>19.8462</v>
      </c>
      <c r="H461" s="10">
        <f>CHOOSE(CONTROL!$C$42, 20.0859, 20.0859) * CHOOSE(CONTROL!$C$21, $C$9, 100%, $E$9)</f>
        <v>20.085899999999999</v>
      </c>
      <c r="I461" s="10">
        <f>CHOOSE(CONTROL!$C$42, 19.8555, 19.8555)* CHOOSE(CONTROL!$C$21, $C$9, 100%, $E$9)</f>
        <v>19.855499999999999</v>
      </c>
      <c r="J461" s="10">
        <f>CHOOSE(CONTROL!$C$42, 19.8242, 19.8242)* CHOOSE(CONTROL!$C$21, $C$9, 100%, $E$9)</f>
        <v>19.824200000000001</v>
      </c>
      <c r="K461" s="53">
        <f>CHOOSE(CONTROL!$C$42, 19.8516, 19.8516) * CHOOSE(CONTROL!$C$21, $C$9, 100%, $E$9)</f>
        <v>19.851600000000001</v>
      </c>
      <c r="L461" s="10">
        <f>CHOOSE(CONTROL!$C$42, 20.6729, 20.6729) * CHOOSE(CONTROL!$C$21, $C$9, 100%, $E$9)</f>
        <v>20.672899999999998</v>
      </c>
      <c r="M461" s="10">
        <f>CHOOSE(CONTROL!$C$42, 19.638, 19.638) * CHOOSE(CONTROL!$C$21, $C$9, 100%, $E$9)</f>
        <v>19.638000000000002</v>
      </c>
      <c r="N461" s="10">
        <f>CHOOSE(CONTROL!$C$42, 19.6528, 19.6528) * CHOOSE(CONTROL!$C$21, $C$9, 100%, $E$9)</f>
        <v>19.652799999999999</v>
      </c>
      <c r="O461" s="10">
        <f>CHOOSE(CONTROL!$C$42, 19.897, 19.897) * CHOOSE(CONTROL!$C$21, $C$9, 100%, $E$9)</f>
        <v>19.896999999999998</v>
      </c>
      <c r="P461" s="10">
        <f>CHOOSE(CONTROL!$C$42, 19.669, 19.669) * CHOOSE(CONTROL!$C$21, $C$9, 100%, $E$9)</f>
        <v>19.669</v>
      </c>
      <c r="Q461" s="10">
        <f>CHOOSE(CONTROL!$C$42, 20.4923, 20.4923) * CHOOSE(CONTROL!$C$21, $C$9, 100%, $E$9)</f>
        <v>20.4923</v>
      </c>
      <c r="R461" s="10">
        <f>CHOOSE(CONTROL!$C$42, 21.1305, 21.1305) * CHOOSE(CONTROL!$C$21, $C$9, 100%, $E$9)</f>
        <v>21.130500000000001</v>
      </c>
      <c r="S461" s="10">
        <f>CHOOSE(CONTROL!$C$42, 19.2774, 19.2774) * CHOOSE(CONTROL!$C$21, $C$9, 100%, $E$9)</f>
        <v>19.2774</v>
      </c>
      <c r="T4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57">
        <f>(1000*CHOOSE(CONTROL!$C$42, 695, 695)*CHOOSE(CONTROL!$C$42, 0.5599, 0.5599)*CHOOSE(CONTROL!$C$42, 31, 31))/1000000</f>
        <v>12.063045499999998</v>
      </c>
      <c r="V461" s="57">
        <f>(1000*CHOOSE(CONTROL!$C$42, 500, 500)*CHOOSE(CONTROL!$C$42, 0.275, 0.275)*CHOOSE(CONTROL!$C$42, 31, 31))/1000000</f>
        <v>4.2625000000000002</v>
      </c>
      <c r="W461" s="57">
        <f>(1000*CHOOSE(CONTROL!$C$42, 0.1146, 0.1146)*CHOOSE(CONTROL!$C$42, 121.5, 121.5)*CHOOSE(CONTROL!$C$42, 31, 31))/1000000</f>
        <v>0.43164089999999994</v>
      </c>
      <c r="X461" s="57">
        <f>(31*0.1790888*245000/1000000)+(31*0.2374*100000/1000000)</f>
        <v>2.0961194359999999</v>
      </c>
      <c r="Y461" s="57"/>
      <c r="Z461" s="10"/>
      <c r="AA461" s="56"/>
      <c r="AB461" s="50">
        <f>(B461*194.205+C461*267.466+D461*133.845+E461*53.484+F461*40+G461*185+H461*0+I461*100+J461*300)/(194.205+267.466+133.845+53.484+0+40+185+100+300)</f>
        <v>19.879951075039244</v>
      </c>
      <c r="AC461" s="45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19.718536690647483</v>
      </c>
    </row>
    <row r="462" spans="1:29" ht="15.75" x14ac:dyDescent="0.25">
      <c r="A462" s="14">
        <v>54969</v>
      </c>
      <c r="B462" s="10">
        <f>CHOOSE(CONTROL!$C$42, 20.4185, 20.4185) * CHOOSE(CONTROL!$C$21, $C$9, 100%, $E$9)</f>
        <v>20.418500000000002</v>
      </c>
      <c r="C462" s="10">
        <f>CHOOSE(CONTROL!$C$42, 20.4265, 20.4265) * CHOOSE(CONTROL!$C$21, $C$9, 100%, $E$9)</f>
        <v>20.426500000000001</v>
      </c>
      <c r="D462" s="10">
        <f>CHOOSE(CONTROL!$C$42, 20.6292, 20.6292) * CHOOSE(CONTROL!$C$21, $C$9, 100%, $E$9)</f>
        <v>20.629200000000001</v>
      </c>
      <c r="E462" s="10">
        <f>CHOOSE(CONTROL!$C$42, 20.6603, 20.6603) * CHOOSE(CONTROL!$C$21, $C$9, 100%, $E$9)</f>
        <v>20.660299999999999</v>
      </c>
      <c r="F462" s="10">
        <f>CHOOSE(CONTROL!$C$42, 20.3948, 20.3948)*CHOOSE(CONTROL!$C$21, $C$9, 100%, $E$9)</f>
        <v>20.3948</v>
      </c>
      <c r="G462" s="10">
        <f>CHOOSE(CONTROL!$C$42, 20.4099, 20.4099)*CHOOSE(CONTROL!$C$21, $C$9, 100%, $E$9)</f>
        <v>20.4099</v>
      </c>
      <c r="H462" s="10">
        <f>CHOOSE(CONTROL!$C$42, 20.649, 20.649) * CHOOSE(CONTROL!$C$21, $C$9, 100%, $E$9)</f>
        <v>20.649000000000001</v>
      </c>
      <c r="I462" s="10">
        <f>CHOOSE(CONTROL!$C$42, 20.4186, 20.4186)* CHOOSE(CONTROL!$C$21, $C$9, 100%, $E$9)</f>
        <v>20.418600000000001</v>
      </c>
      <c r="J462" s="10">
        <f>CHOOSE(CONTROL!$C$42, 20.3878, 20.3878)* CHOOSE(CONTROL!$C$21, $C$9, 100%, $E$9)</f>
        <v>20.387799999999999</v>
      </c>
      <c r="K462" s="53">
        <f>CHOOSE(CONTROL!$C$42, 20.4147, 20.4147) * CHOOSE(CONTROL!$C$21, $C$9, 100%, $E$9)</f>
        <v>20.4147</v>
      </c>
      <c r="L462" s="10">
        <f>CHOOSE(CONTROL!$C$42, 21.236, 21.236) * CHOOSE(CONTROL!$C$21, $C$9, 100%, $E$9)</f>
        <v>21.236000000000001</v>
      </c>
      <c r="M462" s="10">
        <f>CHOOSE(CONTROL!$C$42, 20.1959, 20.1959) * CHOOSE(CONTROL!$C$21, $C$9, 100%, $E$9)</f>
        <v>20.195900000000002</v>
      </c>
      <c r="N462" s="10">
        <f>CHOOSE(CONTROL!$C$42, 20.2108, 20.2108) * CHOOSE(CONTROL!$C$21, $C$9, 100%, $E$9)</f>
        <v>20.210799999999999</v>
      </c>
      <c r="O462" s="10">
        <f>CHOOSE(CONTROL!$C$42, 20.4544, 20.4544) * CHOOSE(CONTROL!$C$21, $C$9, 100%, $E$9)</f>
        <v>20.4544</v>
      </c>
      <c r="P462" s="10">
        <f>CHOOSE(CONTROL!$C$42, 20.2264, 20.2264) * CHOOSE(CONTROL!$C$21, $C$9, 100%, $E$9)</f>
        <v>20.226400000000002</v>
      </c>
      <c r="Q462" s="10">
        <f>CHOOSE(CONTROL!$C$42, 21.0497, 21.0497) * CHOOSE(CONTROL!$C$21, $C$9, 100%, $E$9)</f>
        <v>21.049700000000001</v>
      </c>
      <c r="R462" s="10">
        <f>CHOOSE(CONTROL!$C$42, 21.6893, 21.6893) * CHOOSE(CONTROL!$C$21, $C$9, 100%, $E$9)</f>
        <v>21.689299999999999</v>
      </c>
      <c r="S462" s="10">
        <f>CHOOSE(CONTROL!$C$42, 19.8242, 19.8242) * CHOOSE(CONTROL!$C$21, $C$9, 100%, $E$9)</f>
        <v>19.824200000000001</v>
      </c>
      <c r="T4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57">
        <f>(1000*CHOOSE(CONTROL!$C$42, 695, 695)*CHOOSE(CONTROL!$C$42, 0.5599, 0.5599)*CHOOSE(CONTROL!$C$42, 30, 30))/1000000</f>
        <v>11.673914999999997</v>
      </c>
      <c r="V462" s="57">
        <f>(1000*CHOOSE(CONTROL!$C$42, 500, 500)*CHOOSE(CONTROL!$C$42, 0.275, 0.275)*CHOOSE(CONTROL!$C$42, 30, 30))/1000000</f>
        <v>4.125</v>
      </c>
      <c r="W462" s="57">
        <f>(1000*CHOOSE(CONTROL!$C$42, 0.1146, 0.1146)*CHOOSE(CONTROL!$C$42, 121.5, 121.5)*CHOOSE(CONTROL!$C$42, 30, 30))/1000000</f>
        <v>0.417717</v>
      </c>
      <c r="X462" s="57">
        <f>(30*0.1790888*245000/1000000)+(30*0.2374*100000/1000000)</f>
        <v>2.0285026799999999</v>
      </c>
      <c r="Y462" s="57"/>
      <c r="Z462" s="10"/>
      <c r="AA462" s="56"/>
      <c r="AB462" s="50">
        <f>(B462*194.205+C462*267.466+D462*133.845+E462*53.484+F462*40+G462*185+H462*0+I462*100+J462*300)/(194.205+267.466+133.845+53.484+0+40+185+100+300)</f>
        <v>20.443252198351651</v>
      </c>
      <c r="AC462" s="45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20.276247482014387</v>
      </c>
    </row>
    <row r="463" spans="1:29" ht="15.75" x14ac:dyDescent="0.25">
      <c r="A463" s="14">
        <v>55000</v>
      </c>
      <c r="B463" s="10">
        <f>CHOOSE(CONTROL!$C$42, 20.0269, 20.0269) * CHOOSE(CONTROL!$C$21, $C$9, 100%, $E$9)</f>
        <v>20.026900000000001</v>
      </c>
      <c r="C463" s="10">
        <f>CHOOSE(CONTROL!$C$42, 20.0348, 20.0348) * CHOOSE(CONTROL!$C$21, $C$9, 100%, $E$9)</f>
        <v>20.034800000000001</v>
      </c>
      <c r="D463" s="10">
        <f>CHOOSE(CONTROL!$C$42, 20.2376, 20.2376) * CHOOSE(CONTROL!$C$21, $C$9, 100%, $E$9)</f>
        <v>20.2376</v>
      </c>
      <c r="E463" s="10">
        <f>CHOOSE(CONTROL!$C$42, 20.2687, 20.2687) * CHOOSE(CONTROL!$C$21, $C$9, 100%, $E$9)</f>
        <v>20.268699999999999</v>
      </c>
      <c r="F463" s="10">
        <f>CHOOSE(CONTROL!$C$42, 20.0037, 20.0037)*CHOOSE(CONTROL!$C$21, $C$9, 100%, $E$9)</f>
        <v>20.003699999999998</v>
      </c>
      <c r="G463" s="10">
        <f>CHOOSE(CONTROL!$C$42, 20.0189, 20.0189)*CHOOSE(CONTROL!$C$21, $C$9, 100%, $E$9)</f>
        <v>20.018899999999999</v>
      </c>
      <c r="H463" s="10">
        <f>CHOOSE(CONTROL!$C$42, 20.2573, 20.2573) * CHOOSE(CONTROL!$C$21, $C$9, 100%, $E$9)</f>
        <v>20.257300000000001</v>
      </c>
      <c r="I463" s="10">
        <f>CHOOSE(CONTROL!$C$42, 20.027, 20.027)* CHOOSE(CONTROL!$C$21, $C$9, 100%, $E$9)</f>
        <v>20.027000000000001</v>
      </c>
      <c r="J463" s="10">
        <f>CHOOSE(CONTROL!$C$42, 19.9967, 19.9967)* CHOOSE(CONTROL!$C$21, $C$9, 100%, $E$9)</f>
        <v>19.996700000000001</v>
      </c>
      <c r="K463" s="53">
        <f>CHOOSE(CONTROL!$C$42, 20.0231, 20.0231) * CHOOSE(CONTROL!$C$21, $C$9, 100%, $E$9)</f>
        <v>20.023099999999999</v>
      </c>
      <c r="L463" s="10">
        <f>CHOOSE(CONTROL!$C$42, 20.8443, 20.8443) * CHOOSE(CONTROL!$C$21, $C$9, 100%, $E$9)</f>
        <v>20.8443</v>
      </c>
      <c r="M463" s="10">
        <f>CHOOSE(CONTROL!$C$42, 19.8087, 19.8087) * CHOOSE(CONTROL!$C$21, $C$9, 100%, $E$9)</f>
        <v>19.808700000000002</v>
      </c>
      <c r="N463" s="10">
        <f>CHOOSE(CONTROL!$C$42, 19.8238, 19.8238) * CHOOSE(CONTROL!$C$21, $C$9, 100%, $E$9)</f>
        <v>19.823799999999999</v>
      </c>
      <c r="O463" s="10">
        <f>CHOOSE(CONTROL!$C$42, 20.0667, 20.0667) * CHOOSE(CONTROL!$C$21, $C$9, 100%, $E$9)</f>
        <v>20.066700000000001</v>
      </c>
      <c r="P463" s="10">
        <f>CHOOSE(CONTROL!$C$42, 19.8387, 19.8387) * CHOOSE(CONTROL!$C$21, $C$9, 100%, $E$9)</f>
        <v>19.838699999999999</v>
      </c>
      <c r="Q463" s="10">
        <f>CHOOSE(CONTROL!$C$42, 20.662, 20.662) * CHOOSE(CONTROL!$C$21, $C$9, 100%, $E$9)</f>
        <v>20.661999999999999</v>
      </c>
      <c r="R463" s="10">
        <f>CHOOSE(CONTROL!$C$42, 21.3007, 21.3007) * CHOOSE(CONTROL!$C$21, $C$9, 100%, $E$9)</f>
        <v>21.300699999999999</v>
      </c>
      <c r="S463" s="10">
        <f>CHOOSE(CONTROL!$C$42, 19.4439, 19.4439) * CHOOSE(CONTROL!$C$21, $C$9, 100%, $E$9)</f>
        <v>19.443899999999999</v>
      </c>
      <c r="T4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57">
        <f>(1000*CHOOSE(CONTROL!$C$42, 695, 695)*CHOOSE(CONTROL!$C$42, 0.5599, 0.5599)*CHOOSE(CONTROL!$C$42, 31, 31))/1000000</f>
        <v>12.063045499999998</v>
      </c>
      <c r="V463" s="57">
        <f>(1000*CHOOSE(CONTROL!$C$42, 500, 500)*CHOOSE(CONTROL!$C$42, 0.275, 0.275)*CHOOSE(CONTROL!$C$42, 31, 31))/1000000</f>
        <v>4.2625000000000002</v>
      </c>
      <c r="W463" s="57">
        <f>(1000*CHOOSE(CONTROL!$C$42, 0.1146, 0.1146)*CHOOSE(CONTROL!$C$42, 121.5, 121.5)*CHOOSE(CONTROL!$C$42, 31, 31))/1000000</f>
        <v>0.43164089999999994</v>
      </c>
      <c r="X463" s="57">
        <f>(31*0.1790888*245000/1000000)+(31*0.2374*100000/1000000)</f>
        <v>2.0961194359999999</v>
      </c>
      <c r="Y463" s="57"/>
      <c r="Z463" s="10"/>
      <c r="AA463" s="56"/>
      <c r="AB463" s="50">
        <f>(B463*194.205+C463*267.466+D463*133.845+E463*53.484+F463*40+G463*185+H463*0+I463*100+J463*300)/(194.205+267.466+133.845+53.484+0+40+185+100+300)</f>
        <v>20.051851769309266</v>
      </c>
      <c r="AC463" s="45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19.888881294964026</v>
      </c>
    </row>
    <row r="464" spans="1:29" ht="15.75" x14ac:dyDescent="0.25">
      <c r="A464" s="14">
        <v>55031</v>
      </c>
      <c r="B464" s="10">
        <f>CHOOSE(CONTROL!$C$42, 19.038, 19.038) * CHOOSE(CONTROL!$C$21, $C$9, 100%, $E$9)</f>
        <v>19.038</v>
      </c>
      <c r="C464" s="10">
        <f>CHOOSE(CONTROL!$C$42, 19.0459, 19.0459) * CHOOSE(CONTROL!$C$21, $C$9, 100%, $E$9)</f>
        <v>19.0459</v>
      </c>
      <c r="D464" s="10">
        <f>CHOOSE(CONTROL!$C$42, 19.2486, 19.2486) * CHOOSE(CONTROL!$C$21, $C$9, 100%, $E$9)</f>
        <v>19.2486</v>
      </c>
      <c r="E464" s="10">
        <f>CHOOSE(CONTROL!$C$42, 19.2797, 19.2797) * CHOOSE(CONTROL!$C$21, $C$9, 100%, $E$9)</f>
        <v>19.279699999999998</v>
      </c>
      <c r="F464" s="10">
        <f>CHOOSE(CONTROL!$C$42, 19.0149, 19.0149)*CHOOSE(CONTROL!$C$21, $C$9, 100%, $E$9)</f>
        <v>19.014900000000001</v>
      </c>
      <c r="G464" s="10">
        <f>CHOOSE(CONTROL!$C$42, 19.0302, 19.0302)*CHOOSE(CONTROL!$C$21, $C$9, 100%, $E$9)</f>
        <v>19.030200000000001</v>
      </c>
      <c r="H464" s="10">
        <f>CHOOSE(CONTROL!$C$42, 19.2684, 19.2684) * CHOOSE(CONTROL!$C$21, $C$9, 100%, $E$9)</f>
        <v>19.2684</v>
      </c>
      <c r="I464" s="10">
        <f>CHOOSE(CONTROL!$C$42, 19.038, 19.038)* CHOOSE(CONTROL!$C$21, $C$9, 100%, $E$9)</f>
        <v>19.038</v>
      </c>
      <c r="J464" s="10">
        <f>CHOOSE(CONTROL!$C$42, 19.0079, 19.0079)* CHOOSE(CONTROL!$C$21, $C$9, 100%, $E$9)</f>
        <v>19.007899999999999</v>
      </c>
      <c r="K464" s="53">
        <f>CHOOSE(CONTROL!$C$42, 19.0341, 19.0341) * CHOOSE(CONTROL!$C$21, $C$9, 100%, $E$9)</f>
        <v>19.034099999999999</v>
      </c>
      <c r="L464" s="10">
        <f>CHOOSE(CONTROL!$C$42, 19.8554, 19.8554) * CHOOSE(CONTROL!$C$21, $C$9, 100%, $E$9)</f>
        <v>19.855399999999999</v>
      </c>
      <c r="M464" s="10">
        <f>CHOOSE(CONTROL!$C$42, 18.8299, 18.8299) * CHOOSE(CONTROL!$C$21, $C$9, 100%, $E$9)</f>
        <v>18.829899999999999</v>
      </c>
      <c r="N464" s="10">
        <f>CHOOSE(CONTROL!$C$42, 18.8451, 18.8451) * CHOOSE(CONTROL!$C$21, $C$9, 100%, $E$9)</f>
        <v>18.845099999999999</v>
      </c>
      <c r="O464" s="10">
        <f>CHOOSE(CONTROL!$C$42, 19.0878, 19.0878) * CHOOSE(CONTROL!$C$21, $C$9, 100%, $E$9)</f>
        <v>19.087800000000001</v>
      </c>
      <c r="P464" s="10">
        <f>CHOOSE(CONTROL!$C$42, 18.8597, 18.8597) * CHOOSE(CONTROL!$C$21, $C$9, 100%, $E$9)</f>
        <v>18.8597</v>
      </c>
      <c r="Q464" s="10">
        <f>CHOOSE(CONTROL!$C$42, 19.6831, 19.6831) * CHOOSE(CONTROL!$C$21, $C$9, 100%, $E$9)</f>
        <v>19.6831</v>
      </c>
      <c r="R464" s="10">
        <f>CHOOSE(CONTROL!$C$42, 20.3193, 20.3193) * CHOOSE(CONTROL!$C$21, $C$9, 100%, $E$9)</f>
        <v>20.319299999999998</v>
      </c>
      <c r="S464" s="10">
        <f>CHOOSE(CONTROL!$C$42, 18.4835, 18.4835) * CHOOSE(CONTROL!$C$21, $C$9, 100%, $E$9)</f>
        <v>18.483499999999999</v>
      </c>
      <c r="T4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57">
        <f>(1000*CHOOSE(CONTROL!$C$42, 695, 695)*CHOOSE(CONTROL!$C$42, 0.5599, 0.5599)*CHOOSE(CONTROL!$C$42, 31, 31))/1000000</f>
        <v>12.063045499999998</v>
      </c>
      <c r="V464" s="57">
        <f>(1000*CHOOSE(CONTROL!$C$42, 500, 500)*CHOOSE(CONTROL!$C$42, 0.275, 0.275)*CHOOSE(CONTROL!$C$42, 31, 31))/1000000</f>
        <v>4.2625000000000002</v>
      </c>
      <c r="W464" s="57">
        <f>(1000*CHOOSE(CONTROL!$C$42, 0.1146, 0.1146)*CHOOSE(CONTROL!$C$42, 121.5, 121.5)*CHOOSE(CONTROL!$C$42, 31, 31))/1000000</f>
        <v>0.43164089999999994</v>
      </c>
      <c r="X464" s="57">
        <f>(31*0.1790888*245000/1000000)+(31*0.2374*100000/1000000)</f>
        <v>2.0961194359999999</v>
      </c>
      <c r="Y464" s="57"/>
      <c r="Z464" s="10"/>
      <c r="AA464" s="56"/>
      <c r="AB464" s="50">
        <f>(B464*194.205+C464*267.466+D464*133.845+E464*53.484+F464*40+G464*185+H464*0+I464*100+J464*300)/(194.205+267.466+133.845+53.484+0+40+185+100+300)</f>
        <v>19.06298494599686</v>
      </c>
      <c r="AC464" s="45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18.910047482014384</v>
      </c>
    </row>
    <row r="465" spans="1:29" ht="15.75" x14ac:dyDescent="0.25">
      <c r="A465" s="14">
        <v>55061</v>
      </c>
      <c r="B465" s="10">
        <f>CHOOSE(CONTROL!$C$42, 17.8292, 17.8292) * CHOOSE(CONTROL!$C$21, $C$9, 100%, $E$9)</f>
        <v>17.8292</v>
      </c>
      <c r="C465" s="10">
        <f>CHOOSE(CONTROL!$C$42, 17.8372, 17.8372) * CHOOSE(CONTROL!$C$21, $C$9, 100%, $E$9)</f>
        <v>17.837199999999999</v>
      </c>
      <c r="D465" s="10">
        <f>CHOOSE(CONTROL!$C$42, 18.0399, 18.0399) * CHOOSE(CONTROL!$C$21, $C$9, 100%, $E$9)</f>
        <v>18.039899999999999</v>
      </c>
      <c r="E465" s="10">
        <f>CHOOSE(CONTROL!$C$42, 18.071, 18.071) * CHOOSE(CONTROL!$C$21, $C$9, 100%, $E$9)</f>
        <v>18.071000000000002</v>
      </c>
      <c r="F465" s="10">
        <f>CHOOSE(CONTROL!$C$42, 17.806, 17.806)*CHOOSE(CONTROL!$C$21, $C$9, 100%, $E$9)</f>
        <v>17.806000000000001</v>
      </c>
      <c r="G465" s="10">
        <f>CHOOSE(CONTROL!$C$42, 17.8213, 17.8213)*CHOOSE(CONTROL!$C$21, $C$9, 100%, $E$9)</f>
        <v>17.821300000000001</v>
      </c>
      <c r="H465" s="10">
        <f>CHOOSE(CONTROL!$C$42, 18.0597, 18.0597) * CHOOSE(CONTROL!$C$21, $C$9, 100%, $E$9)</f>
        <v>18.059699999999999</v>
      </c>
      <c r="I465" s="10">
        <f>CHOOSE(CONTROL!$C$42, 17.8293, 17.8293)* CHOOSE(CONTROL!$C$21, $C$9, 100%, $E$9)</f>
        <v>17.8293</v>
      </c>
      <c r="J465" s="10">
        <f>CHOOSE(CONTROL!$C$42, 17.799, 17.799)* CHOOSE(CONTROL!$C$21, $C$9, 100%, $E$9)</f>
        <v>17.798999999999999</v>
      </c>
      <c r="K465" s="53">
        <f>CHOOSE(CONTROL!$C$42, 17.8254, 17.8254) * CHOOSE(CONTROL!$C$21, $C$9, 100%, $E$9)</f>
        <v>17.825399999999998</v>
      </c>
      <c r="L465" s="10">
        <f>CHOOSE(CONTROL!$C$42, 18.6467, 18.6467) * CHOOSE(CONTROL!$C$21, $C$9, 100%, $E$9)</f>
        <v>18.646699999999999</v>
      </c>
      <c r="M465" s="10">
        <f>CHOOSE(CONTROL!$C$42, 17.6332, 17.6332) * CHOOSE(CONTROL!$C$21, $C$9, 100%, $E$9)</f>
        <v>17.633199999999999</v>
      </c>
      <c r="N465" s="10">
        <f>CHOOSE(CONTROL!$C$42, 17.6484, 17.6484) * CHOOSE(CONTROL!$C$21, $C$9, 100%, $E$9)</f>
        <v>17.648399999999999</v>
      </c>
      <c r="O465" s="10">
        <f>CHOOSE(CONTROL!$C$42, 17.8912, 17.8912) * CHOOSE(CONTROL!$C$21, $C$9, 100%, $E$9)</f>
        <v>17.891200000000001</v>
      </c>
      <c r="P465" s="10">
        <f>CHOOSE(CONTROL!$C$42, 17.6632, 17.6632) * CHOOSE(CONTROL!$C$21, $C$9, 100%, $E$9)</f>
        <v>17.6632</v>
      </c>
      <c r="Q465" s="10">
        <f>CHOOSE(CONTROL!$C$42, 18.4865, 18.4865) * CHOOSE(CONTROL!$C$21, $C$9, 100%, $E$9)</f>
        <v>18.486499999999999</v>
      </c>
      <c r="R465" s="10">
        <f>CHOOSE(CONTROL!$C$42, 19.1197, 19.1197) * CHOOSE(CONTROL!$C$21, $C$9, 100%, $E$9)</f>
        <v>19.119700000000002</v>
      </c>
      <c r="S465" s="10">
        <f>CHOOSE(CONTROL!$C$42, 17.3097, 17.3097) * CHOOSE(CONTROL!$C$21, $C$9, 100%, $E$9)</f>
        <v>17.309699999999999</v>
      </c>
      <c r="T4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57">
        <f>(1000*CHOOSE(CONTROL!$C$42, 695, 695)*CHOOSE(CONTROL!$C$42, 0.5599, 0.5599)*CHOOSE(CONTROL!$C$42, 30, 30))/1000000</f>
        <v>11.673914999999997</v>
      </c>
      <c r="V465" s="57">
        <f>(1000*CHOOSE(CONTROL!$C$42, 500, 500)*CHOOSE(CONTROL!$C$42, 0.275, 0.275)*CHOOSE(CONTROL!$C$42, 30, 30))/1000000</f>
        <v>4.125</v>
      </c>
      <c r="W465" s="57">
        <f>(1000*CHOOSE(CONTROL!$C$42, 0.1146, 0.1146)*CHOOSE(CONTROL!$C$42, 121.5, 121.5)*CHOOSE(CONTROL!$C$42, 30, 30))/1000000</f>
        <v>0.417717</v>
      </c>
      <c r="X465" s="57">
        <f>(30*0.1790888*245000/1000000)+(30*0.2374*100000/1000000)</f>
        <v>2.0285026799999999</v>
      </c>
      <c r="Y465" s="57"/>
      <c r="Z465" s="10"/>
      <c r="AA465" s="56"/>
      <c r="AB465" s="50">
        <f>(B465*194.205+C465*267.466+D465*133.845+E465*53.484+F465*40+G465*185+H465*0+I465*100+J465*300)/(194.205+267.466+133.845+53.484+0+40+185+100+300)</f>
        <v>17.854187284693879</v>
      </c>
      <c r="AC465" s="45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17.713404316546761</v>
      </c>
    </row>
    <row r="466" spans="1:29" ht="15.75" x14ac:dyDescent="0.25">
      <c r="A466" s="14">
        <v>55092</v>
      </c>
      <c r="B466" s="10">
        <f>CHOOSE(CONTROL!$C$42, 17.4656, 17.4656) * CHOOSE(CONTROL!$C$21, $C$9, 100%, $E$9)</f>
        <v>17.465599999999998</v>
      </c>
      <c r="C466" s="10">
        <f>CHOOSE(CONTROL!$C$42, 17.4708, 17.4708) * CHOOSE(CONTROL!$C$21, $C$9, 100%, $E$9)</f>
        <v>17.470800000000001</v>
      </c>
      <c r="D466" s="10">
        <f>CHOOSE(CONTROL!$C$42, 17.6785, 17.6785) * CHOOSE(CONTROL!$C$21, $C$9, 100%, $E$9)</f>
        <v>17.6785</v>
      </c>
      <c r="E466" s="10">
        <f>CHOOSE(CONTROL!$C$42, 17.7073, 17.7073) * CHOOSE(CONTROL!$C$21, $C$9, 100%, $E$9)</f>
        <v>17.7073</v>
      </c>
      <c r="F466" s="10">
        <f>CHOOSE(CONTROL!$C$42, 17.4443, 17.4443)*CHOOSE(CONTROL!$C$21, $C$9, 100%, $E$9)</f>
        <v>17.444299999999998</v>
      </c>
      <c r="G466" s="10">
        <f>CHOOSE(CONTROL!$C$42, 17.4592, 17.4592)*CHOOSE(CONTROL!$C$21, $C$9, 100%, $E$9)</f>
        <v>17.459199999999999</v>
      </c>
      <c r="H466" s="10">
        <f>CHOOSE(CONTROL!$C$42, 17.6978, 17.6978) * CHOOSE(CONTROL!$C$21, $C$9, 100%, $E$9)</f>
        <v>17.697800000000001</v>
      </c>
      <c r="I466" s="10">
        <f>CHOOSE(CONTROL!$C$42, 17.4674, 17.4674)* CHOOSE(CONTROL!$C$21, $C$9, 100%, $E$9)</f>
        <v>17.467400000000001</v>
      </c>
      <c r="J466" s="10">
        <f>CHOOSE(CONTROL!$C$42, 17.4373, 17.4373)* CHOOSE(CONTROL!$C$21, $C$9, 100%, $E$9)</f>
        <v>17.4373</v>
      </c>
      <c r="K466" s="53">
        <f>CHOOSE(CONTROL!$C$42, 17.4635, 17.4635) * CHOOSE(CONTROL!$C$21, $C$9, 100%, $E$9)</f>
        <v>17.4635</v>
      </c>
      <c r="L466" s="10">
        <f>CHOOSE(CONTROL!$C$42, 18.2848, 18.2848) * CHOOSE(CONTROL!$C$21, $C$9, 100%, $E$9)</f>
        <v>18.284800000000001</v>
      </c>
      <c r="M466" s="10">
        <f>CHOOSE(CONTROL!$C$42, 17.2752, 17.2752) * CHOOSE(CONTROL!$C$21, $C$9, 100%, $E$9)</f>
        <v>17.275200000000002</v>
      </c>
      <c r="N466" s="10">
        <f>CHOOSE(CONTROL!$C$42, 17.2899, 17.2899) * CHOOSE(CONTROL!$C$21, $C$9, 100%, $E$9)</f>
        <v>17.289899999999999</v>
      </c>
      <c r="O466" s="10">
        <f>CHOOSE(CONTROL!$C$42, 17.533, 17.533) * CHOOSE(CONTROL!$C$21, $C$9, 100%, $E$9)</f>
        <v>17.533000000000001</v>
      </c>
      <c r="P466" s="10">
        <f>CHOOSE(CONTROL!$C$42, 17.305, 17.305) * CHOOSE(CONTROL!$C$21, $C$9, 100%, $E$9)</f>
        <v>17.305</v>
      </c>
      <c r="Q466" s="10">
        <f>CHOOSE(CONTROL!$C$42, 18.1283, 18.1283) * CHOOSE(CONTROL!$C$21, $C$9, 100%, $E$9)</f>
        <v>18.128299999999999</v>
      </c>
      <c r="R466" s="10">
        <f>CHOOSE(CONTROL!$C$42, 18.7606, 18.7606) * CHOOSE(CONTROL!$C$21, $C$9, 100%, $E$9)</f>
        <v>18.7606</v>
      </c>
      <c r="S466" s="10">
        <f>CHOOSE(CONTROL!$C$42, 16.9583, 16.9583) * CHOOSE(CONTROL!$C$21, $C$9, 100%, $E$9)</f>
        <v>16.958300000000001</v>
      </c>
      <c r="T4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57">
        <f>(1000*CHOOSE(CONTROL!$C$42, 695, 695)*CHOOSE(CONTROL!$C$42, 0.5599, 0.5599)*CHOOSE(CONTROL!$C$42, 31, 31))/1000000</f>
        <v>12.063045499999998</v>
      </c>
      <c r="V466" s="57">
        <f>(1000*CHOOSE(CONTROL!$C$42, 500, 500)*CHOOSE(CONTROL!$C$42, 0.275, 0.275)*CHOOSE(CONTROL!$C$42, 31, 31))/1000000</f>
        <v>4.2625000000000002</v>
      </c>
      <c r="W466" s="57">
        <f>(1000*CHOOSE(CONTROL!$C$42, 0.1146, 0.1146)*CHOOSE(CONTROL!$C$42, 121.5, 121.5)*CHOOSE(CONTROL!$C$42, 31, 31))/1000000</f>
        <v>0.43164089999999994</v>
      </c>
      <c r="X466" s="57">
        <f>(31*0.1790888*245000/1000000)+(31*0.2374*100000/1000000)</f>
        <v>2.0961194359999999</v>
      </c>
      <c r="Y466" s="57"/>
      <c r="Z466" s="10"/>
      <c r="AA466" s="56"/>
      <c r="AB466" s="50">
        <f>(B466*131.881+C466*277.167+D466*79.08+E466*125.872+F466*40+G466*185+H466*0+I466*100+J466*300)/(131.881+277.167+79.08+125.872+0+40+185+100+300)</f>
        <v>17.496556144309928</v>
      </c>
      <c r="AC466" s="45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17.355204316546764</v>
      </c>
    </row>
    <row r="467" spans="1:29" ht="15.75" x14ac:dyDescent="0.25">
      <c r="A467" s="14">
        <v>55122</v>
      </c>
      <c r="B467" s="10">
        <f>CHOOSE(CONTROL!$C$42, 17.9252, 17.9252) * CHOOSE(CONTROL!$C$21, $C$9, 100%, $E$9)</f>
        <v>17.9252</v>
      </c>
      <c r="C467" s="10">
        <f>CHOOSE(CONTROL!$C$42, 17.9302, 17.9302) * CHOOSE(CONTROL!$C$21, $C$9, 100%, $E$9)</f>
        <v>17.930199999999999</v>
      </c>
      <c r="D467" s="10">
        <f>CHOOSE(CONTROL!$C$42, 17.9907, 17.9907) * CHOOSE(CONTROL!$C$21, $C$9, 100%, $E$9)</f>
        <v>17.9907</v>
      </c>
      <c r="E467" s="10">
        <f>CHOOSE(CONTROL!$C$42, 18.0244, 18.0244) * CHOOSE(CONTROL!$C$21, $C$9, 100%, $E$9)</f>
        <v>18.0244</v>
      </c>
      <c r="F467" s="10">
        <f>CHOOSE(CONTROL!$C$42, 17.9208, 17.9208)*CHOOSE(CONTROL!$C$21, $C$9, 100%, $E$9)</f>
        <v>17.9208</v>
      </c>
      <c r="G467" s="10">
        <f>CHOOSE(CONTROL!$C$42, 17.936, 17.936)*CHOOSE(CONTROL!$C$21, $C$9, 100%, $E$9)</f>
        <v>17.936</v>
      </c>
      <c r="H467" s="10">
        <f>CHOOSE(CONTROL!$C$42, 18.0136, 18.0136) * CHOOSE(CONTROL!$C$21, $C$9, 100%, $E$9)</f>
        <v>18.0136</v>
      </c>
      <c r="I467" s="10">
        <f>CHOOSE(CONTROL!$C$42, 17.9377, 17.9377)* CHOOSE(CONTROL!$C$21, $C$9, 100%, $E$9)</f>
        <v>17.9377</v>
      </c>
      <c r="J467" s="10">
        <f>CHOOSE(CONTROL!$C$42, 17.9138, 17.9138)* CHOOSE(CONTROL!$C$21, $C$9, 100%, $E$9)</f>
        <v>17.913799999999998</v>
      </c>
      <c r="K467" s="53">
        <f>CHOOSE(CONTROL!$C$42, 17.9338, 17.9338) * CHOOSE(CONTROL!$C$21, $C$9, 100%, $E$9)</f>
        <v>17.933800000000002</v>
      </c>
      <c r="L467" s="10">
        <f>CHOOSE(CONTROL!$C$42, 18.6006, 18.6006) * CHOOSE(CONTROL!$C$21, $C$9, 100%, $E$9)</f>
        <v>18.6006</v>
      </c>
      <c r="M467" s="10">
        <f>CHOOSE(CONTROL!$C$42, 17.7469, 17.7469) * CHOOSE(CONTROL!$C$21, $C$9, 100%, $E$9)</f>
        <v>17.7469</v>
      </c>
      <c r="N467" s="10">
        <f>CHOOSE(CONTROL!$C$42, 17.7619, 17.7619) * CHOOSE(CONTROL!$C$21, $C$9, 100%, $E$9)</f>
        <v>17.761900000000001</v>
      </c>
      <c r="O467" s="10">
        <f>CHOOSE(CONTROL!$C$42, 17.8457, 17.8457) * CHOOSE(CONTROL!$C$21, $C$9, 100%, $E$9)</f>
        <v>17.845700000000001</v>
      </c>
      <c r="P467" s="10">
        <f>CHOOSE(CONTROL!$C$42, 17.7706, 17.7706) * CHOOSE(CONTROL!$C$21, $C$9, 100%, $E$9)</f>
        <v>17.770600000000002</v>
      </c>
      <c r="Q467" s="10">
        <f>CHOOSE(CONTROL!$C$42, 18.441, 18.441) * CHOOSE(CONTROL!$C$21, $C$9, 100%, $E$9)</f>
        <v>18.440999999999999</v>
      </c>
      <c r="R467" s="10">
        <f>CHOOSE(CONTROL!$C$42, 19.0741, 19.0741) * CHOOSE(CONTROL!$C$21, $C$9, 100%, $E$9)</f>
        <v>19.074100000000001</v>
      </c>
      <c r="S467" s="10">
        <f>CHOOSE(CONTROL!$C$42, 17.405, 17.405) * CHOOSE(CONTROL!$C$21, $C$9, 100%, $E$9)</f>
        <v>17.405000000000001</v>
      </c>
      <c r="T4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57">
        <f>(1000*CHOOSE(CONTROL!$C$42, 695, 695)*CHOOSE(CONTROL!$C$42, 0.5599, 0.5599)*CHOOSE(CONTROL!$C$42, 30, 30))/1000000</f>
        <v>11.673914999999997</v>
      </c>
      <c r="V467" s="57">
        <f>(1000*CHOOSE(CONTROL!$C$42, 500, 500)*CHOOSE(CONTROL!$C$42, 0.275, 0.275)*CHOOSE(CONTROL!$C$42, 30, 30))/1000000</f>
        <v>4.125</v>
      </c>
      <c r="W467" s="57">
        <f>(1000*CHOOSE(CONTROL!$C$42, 0.1146, 0.1146)*CHOOSE(CONTROL!$C$42, 121.5, 121.5)*CHOOSE(CONTROL!$C$42, 30, 30))/1000000</f>
        <v>0.417717</v>
      </c>
      <c r="X467" s="57">
        <f>(30*0.1790888*100000/1000000)+(30*0.2374*100000/1000000)</f>
        <v>1.2494664</v>
      </c>
      <c r="Y467" s="57"/>
      <c r="Z467" s="10"/>
      <c r="AA467" s="56"/>
      <c r="AB467" s="50">
        <f>(B467*122.58+C467*297.941+D467*89.177+E467*40.302+F467*40+G467*160+H467*0+I467*100+J467*300)/(122.58+297.941+89.177+40.302+0+40+160+100+300)</f>
        <v>17.934513701652172</v>
      </c>
      <c r="AC467" s="45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17.795953237410071</v>
      </c>
    </row>
    <row r="468" spans="1:29" ht="15.75" x14ac:dyDescent="0.25">
      <c r="A468" s="14">
        <v>55153</v>
      </c>
      <c r="B468" s="10">
        <f>CHOOSE(CONTROL!$C$42, 19.1471, 19.1471) * CHOOSE(CONTROL!$C$21, $C$9, 100%, $E$9)</f>
        <v>19.147099999999998</v>
      </c>
      <c r="C468" s="10">
        <f>CHOOSE(CONTROL!$C$42, 19.1521, 19.1521) * CHOOSE(CONTROL!$C$21, $C$9, 100%, $E$9)</f>
        <v>19.152100000000001</v>
      </c>
      <c r="D468" s="10">
        <f>CHOOSE(CONTROL!$C$42, 19.2126, 19.2126) * CHOOSE(CONTROL!$C$21, $C$9, 100%, $E$9)</f>
        <v>19.212599999999998</v>
      </c>
      <c r="E468" s="10">
        <f>CHOOSE(CONTROL!$C$42, 19.2464, 19.2464) * CHOOSE(CONTROL!$C$21, $C$9, 100%, $E$9)</f>
        <v>19.246400000000001</v>
      </c>
      <c r="F468" s="10">
        <f>CHOOSE(CONTROL!$C$42, 19.1446, 19.1446)*CHOOSE(CONTROL!$C$21, $C$9, 100%, $E$9)</f>
        <v>19.144600000000001</v>
      </c>
      <c r="G468" s="10">
        <f>CHOOSE(CONTROL!$C$42, 19.1603, 19.1603)*CHOOSE(CONTROL!$C$21, $C$9, 100%, $E$9)</f>
        <v>19.160299999999999</v>
      </c>
      <c r="H468" s="10">
        <f>CHOOSE(CONTROL!$C$42, 19.2356, 19.2356) * CHOOSE(CONTROL!$C$21, $C$9, 100%, $E$9)</f>
        <v>19.235600000000002</v>
      </c>
      <c r="I468" s="10">
        <f>CHOOSE(CONTROL!$C$42, 19.1596, 19.1596)* CHOOSE(CONTROL!$C$21, $C$9, 100%, $E$9)</f>
        <v>19.159600000000001</v>
      </c>
      <c r="J468" s="10">
        <f>CHOOSE(CONTROL!$C$42, 19.1376, 19.1376)* CHOOSE(CONTROL!$C$21, $C$9, 100%, $E$9)</f>
        <v>19.137599999999999</v>
      </c>
      <c r="K468" s="53">
        <f>CHOOSE(CONTROL!$C$42, 19.1558, 19.1558) * CHOOSE(CONTROL!$C$21, $C$9, 100%, $E$9)</f>
        <v>19.155799999999999</v>
      </c>
      <c r="L468" s="10">
        <f>CHOOSE(CONTROL!$C$42, 19.8226, 19.8226) * CHOOSE(CONTROL!$C$21, $C$9, 100%, $E$9)</f>
        <v>19.822600000000001</v>
      </c>
      <c r="M468" s="10">
        <f>CHOOSE(CONTROL!$C$42, 18.9583, 18.9583) * CHOOSE(CONTROL!$C$21, $C$9, 100%, $E$9)</f>
        <v>18.958300000000001</v>
      </c>
      <c r="N468" s="10">
        <f>CHOOSE(CONTROL!$C$42, 18.9738, 18.9738) * CHOOSE(CONTROL!$C$21, $C$9, 100%, $E$9)</f>
        <v>18.973800000000001</v>
      </c>
      <c r="O468" s="10">
        <f>CHOOSE(CONTROL!$C$42, 19.0553, 19.0553) * CHOOSE(CONTROL!$C$21, $C$9, 100%, $E$9)</f>
        <v>19.055299999999999</v>
      </c>
      <c r="P468" s="10">
        <f>CHOOSE(CONTROL!$C$42, 18.9802, 18.9802) * CHOOSE(CONTROL!$C$21, $C$9, 100%, $E$9)</f>
        <v>18.9802</v>
      </c>
      <c r="Q468" s="10">
        <f>CHOOSE(CONTROL!$C$42, 19.6506, 19.6506) * CHOOSE(CONTROL!$C$21, $C$9, 100%, $E$9)</f>
        <v>19.650600000000001</v>
      </c>
      <c r="R468" s="10">
        <f>CHOOSE(CONTROL!$C$42, 20.2867, 20.2867) * CHOOSE(CONTROL!$C$21, $C$9, 100%, $E$9)</f>
        <v>20.2867</v>
      </c>
      <c r="S468" s="10">
        <f>CHOOSE(CONTROL!$C$42, 18.5916, 18.5916) * CHOOSE(CONTROL!$C$21, $C$9, 100%, $E$9)</f>
        <v>18.5916</v>
      </c>
      <c r="T4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57">
        <f>(1000*CHOOSE(CONTROL!$C$42, 695, 695)*CHOOSE(CONTROL!$C$42, 0.5599, 0.5599)*CHOOSE(CONTROL!$C$42, 31, 31))/1000000</f>
        <v>12.063045499999998</v>
      </c>
      <c r="V468" s="57">
        <f>(1000*CHOOSE(CONTROL!$C$42, 500, 500)*CHOOSE(CONTROL!$C$42, 0.275, 0.275)*CHOOSE(CONTROL!$C$42, 31, 31))/1000000</f>
        <v>4.2625000000000002</v>
      </c>
      <c r="W468" s="57">
        <f>(1000*CHOOSE(CONTROL!$C$42, 0.1146, 0.1146)*CHOOSE(CONTROL!$C$42, 121.5, 121.5)*CHOOSE(CONTROL!$C$42, 31, 31))/1000000</f>
        <v>0.43164089999999994</v>
      </c>
      <c r="X468" s="57">
        <f>(31*0.1790888*100000/1000000)+(31*0.2374*100000/1000000)</f>
        <v>1.2911152800000001</v>
      </c>
      <c r="Y468" s="57"/>
      <c r="Z468" s="10"/>
      <c r="AA468" s="56"/>
      <c r="AB468" s="50">
        <f>(B468*122.58+C468*297.941+D468*89.177+E468*40.302+F468*40+G468*160+H468*0+I468*100+J468*300)/(122.58+297.941+89.177+40.302+0+40+160+100+300)</f>
        <v>19.157312858347822</v>
      </c>
      <c r="AC468" s="45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19.006307194244606</v>
      </c>
    </row>
    <row r="469" spans="1:29" ht="15.75" x14ac:dyDescent="0.25">
      <c r="A469" s="14">
        <v>55184</v>
      </c>
      <c r="B469" s="10">
        <f>CHOOSE(CONTROL!$C$42, 20.7157, 20.7157) * CHOOSE(CONTROL!$C$21, $C$9, 100%, $E$9)</f>
        <v>20.715699999999998</v>
      </c>
      <c r="C469" s="10">
        <f>CHOOSE(CONTROL!$C$42, 20.7207, 20.7207) * CHOOSE(CONTROL!$C$21, $C$9, 100%, $E$9)</f>
        <v>20.720700000000001</v>
      </c>
      <c r="D469" s="10">
        <f>CHOOSE(CONTROL!$C$42, 20.7778, 20.7778) * CHOOSE(CONTROL!$C$21, $C$9, 100%, $E$9)</f>
        <v>20.777799999999999</v>
      </c>
      <c r="E469" s="10">
        <f>CHOOSE(CONTROL!$C$42, 20.8115, 20.8115) * CHOOSE(CONTROL!$C$21, $C$9, 100%, $E$9)</f>
        <v>20.811499999999999</v>
      </c>
      <c r="F469" s="10">
        <f>CHOOSE(CONTROL!$C$42, 20.7136, 20.7136)*CHOOSE(CONTROL!$C$21, $C$9, 100%, $E$9)</f>
        <v>20.7136</v>
      </c>
      <c r="G469" s="10">
        <f>CHOOSE(CONTROL!$C$42, 20.7282, 20.7282)*CHOOSE(CONTROL!$C$21, $C$9, 100%, $E$9)</f>
        <v>20.728200000000001</v>
      </c>
      <c r="H469" s="10">
        <f>CHOOSE(CONTROL!$C$42, 20.8007, 20.8007) * CHOOSE(CONTROL!$C$21, $C$9, 100%, $E$9)</f>
        <v>20.800699999999999</v>
      </c>
      <c r="I469" s="10">
        <f>CHOOSE(CONTROL!$C$42, 20.7265, 20.7265)* CHOOSE(CONTROL!$C$21, $C$9, 100%, $E$9)</f>
        <v>20.726500000000001</v>
      </c>
      <c r="J469" s="10">
        <f>CHOOSE(CONTROL!$C$42, 20.7066, 20.7066)* CHOOSE(CONTROL!$C$21, $C$9, 100%, $E$9)</f>
        <v>20.706600000000002</v>
      </c>
      <c r="K469" s="53">
        <f>CHOOSE(CONTROL!$C$42, 20.7226, 20.7226) * CHOOSE(CONTROL!$C$21, $C$9, 100%, $E$9)</f>
        <v>20.7226</v>
      </c>
      <c r="L469" s="10">
        <f>CHOOSE(CONTROL!$C$42, 21.3877, 21.3877) * CHOOSE(CONTROL!$C$21, $C$9, 100%, $E$9)</f>
        <v>21.387699999999999</v>
      </c>
      <c r="M469" s="10">
        <f>CHOOSE(CONTROL!$C$42, 20.5114, 20.5114) * CHOOSE(CONTROL!$C$21, $C$9, 100%, $E$9)</f>
        <v>20.511399999999998</v>
      </c>
      <c r="N469" s="10">
        <f>CHOOSE(CONTROL!$C$42, 20.5259, 20.5259) * CHOOSE(CONTROL!$C$21, $C$9, 100%, $E$9)</f>
        <v>20.5259</v>
      </c>
      <c r="O469" s="10">
        <f>CHOOSE(CONTROL!$C$42, 20.6046, 20.6046) * CHOOSE(CONTROL!$C$21, $C$9, 100%, $E$9)</f>
        <v>20.604600000000001</v>
      </c>
      <c r="P469" s="10">
        <f>CHOOSE(CONTROL!$C$42, 20.5312, 20.5312) * CHOOSE(CONTROL!$C$21, $C$9, 100%, $E$9)</f>
        <v>20.531199999999998</v>
      </c>
      <c r="Q469" s="10">
        <f>CHOOSE(CONTROL!$C$42, 21.1999, 21.1999) * CHOOSE(CONTROL!$C$21, $C$9, 100%, $E$9)</f>
        <v>21.1999</v>
      </c>
      <c r="R469" s="10">
        <f>CHOOSE(CONTROL!$C$42, 21.8399, 21.8399) * CHOOSE(CONTROL!$C$21, $C$9, 100%, $E$9)</f>
        <v>21.8399</v>
      </c>
      <c r="S469" s="10">
        <f>CHOOSE(CONTROL!$C$42, 20.1149, 20.1149) * CHOOSE(CONTROL!$C$21, $C$9, 100%, $E$9)</f>
        <v>20.114899999999999</v>
      </c>
      <c r="T4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57">
        <f>(1000*CHOOSE(CONTROL!$C$42, 695, 695)*CHOOSE(CONTROL!$C$42, 0.5599, 0.5599)*CHOOSE(CONTROL!$C$42, 31, 31))/1000000</f>
        <v>12.063045499999998</v>
      </c>
      <c r="V469" s="57">
        <f>(1000*CHOOSE(CONTROL!$C$42, 500, 500)*CHOOSE(CONTROL!$C$42, 0.275, 0.275)*CHOOSE(CONTROL!$C$42, 31, 31))/1000000</f>
        <v>4.2625000000000002</v>
      </c>
      <c r="W469" s="57">
        <f>(1000*CHOOSE(CONTROL!$C$42, 0.1146, 0.1146)*CHOOSE(CONTROL!$C$42, 121.5, 121.5)*CHOOSE(CONTROL!$C$42, 31, 31))/1000000</f>
        <v>0.43164089999999994</v>
      </c>
      <c r="X469" s="57">
        <f>(31*0.1790888*100000/1000000)+(31*0.2374*100000/1000000)</f>
        <v>1.2911152800000001</v>
      </c>
      <c r="Y469" s="57"/>
      <c r="Z469" s="10"/>
      <c r="AA469" s="56"/>
      <c r="AB469" s="50">
        <f>(B469*122.58+C469*297.941+D469*89.177+E469*40.302+F469*40+G469*160+H469*0+I469*100+J469*300)/(122.58+297.941+89.177+40.302+0+40+160+100+300)</f>
        <v>20.72539958982609</v>
      </c>
      <c r="AC469" s="45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20.557325179856115</v>
      </c>
    </row>
    <row r="470" spans="1:29" ht="15.75" x14ac:dyDescent="0.25">
      <c r="A470" s="14">
        <v>55212</v>
      </c>
      <c r="B470" s="10">
        <f>CHOOSE(CONTROL!$C$42, 21.0845, 21.0845) * CHOOSE(CONTROL!$C$21, $C$9, 100%, $E$9)</f>
        <v>21.084499999999998</v>
      </c>
      <c r="C470" s="10">
        <f>CHOOSE(CONTROL!$C$42, 21.0894, 21.0894) * CHOOSE(CONTROL!$C$21, $C$9, 100%, $E$9)</f>
        <v>21.089400000000001</v>
      </c>
      <c r="D470" s="10">
        <f>CHOOSE(CONTROL!$C$42, 21.1465, 21.1465) * CHOOSE(CONTROL!$C$21, $C$9, 100%, $E$9)</f>
        <v>21.1465</v>
      </c>
      <c r="E470" s="10">
        <f>CHOOSE(CONTROL!$C$42, 21.1803, 21.1803) * CHOOSE(CONTROL!$C$21, $C$9, 100%, $E$9)</f>
        <v>21.180299999999999</v>
      </c>
      <c r="F470" s="10">
        <f>CHOOSE(CONTROL!$C$42, 21.0824, 21.0824)*CHOOSE(CONTROL!$C$21, $C$9, 100%, $E$9)</f>
        <v>21.0824</v>
      </c>
      <c r="G470" s="10">
        <f>CHOOSE(CONTROL!$C$42, 21.097, 21.097)*CHOOSE(CONTROL!$C$21, $C$9, 100%, $E$9)</f>
        <v>21.097000000000001</v>
      </c>
      <c r="H470" s="10">
        <f>CHOOSE(CONTROL!$C$42, 21.1695, 21.1695) * CHOOSE(CONTROL!$C$21, $C$9, 100%, $E$9)</f>
        <v>21.169499999999999</v>
      </c>
      <c r="I470" s="10">
        <f>CHOOSE(CONTROL!$C$42, 21.0953, 21.0953)* CHOOSE(CONTROL!$C$21, $C$9, 100%, $E$9)</f>
        <v>21.095300000000002</v>
      </c>
      <c r="J470" s="10">
        <f>CHOOSE(CONTROL!$C$42, 21.0754, 21.0754)* CHOOSE(CONTROL!$C$21, $C$9, 100%, $E$9)</f>
        <v>21.075399999999998</v>
      </c>
      <c r="K470" s="53">
        <f>CHOOSE(CONTROL!$C$42, 21.0914, 21.0914) * CHOOSE(CONTROL!$C$21, $C$9, 100%, $E$9)</f>
        <v>21.0914</v>
      </c>
      <c r="L470" s="10">
        <f>CHOOSE(CONTROL!$C$42, 21.7565, 21.7565) * CHOOSE(CONTROL!$C$21, $C$9, 100%, $E$9)</f>
        <v>21.756499999999999</v>
      </c>
      <c r="M470" s="10">
        <f>CHOOSE(CONTROL!$C$42, 20.8765, 20.8765) * CHOOSE(CONTROL!$C$21, $C$9, 100%, $E$9)</f>
        <v>20.8765</v>
      </c>
      <c r="N470" s="10">
        <f>CHOOSE(CONTROL!$C$42, 20.891, 20.891) * CHOOSE(CONTROL!$C$21, $C$9, 100%, $E$9)</f>
        <v>20.890999999999998</v>
      </c>
      <c r="O470" s="10">
        <f>CHOOSE(CONTROL!$C$42, 20.9696, 20.9696) * CHOOSE(CONTROL!$C$21, $C$9, 100%, $E$9)</f>
        <v>20.9696</v>
      </c>
      <c r="P470" s="10">
        <f>CHOOSE(CONTROL!$C$42, 20.8962, 20.8962) * CHOOSE(CONTROL!$C$21, $C$9, 100%, $E$9)</f>
        <v>20.8962</v>
      </c>
      <c r="Q470" s="10">
        <f>CHOOSE(CONTROL!$C$42, 21.5649, 21.5649) * CHOOSE(CONTROL!$C$21, $C$9, 100%, $E$9)</f>
        <v>21.564900000000002</v>
      </c>
      <c r="R470" s="10">
        <f>CHOOSE(CONTROL!$C$42, 22.2059, 22.2059) * CHOOSE(CONTROL!$C$21, $C$9, 100%, $E$9)</f>
        <v>22.2059</v>
      </c>
      <c r="S470" s="10">
        <f>CHOOSE(CONTROL!$C$42, 20.473, 20.473) * CHOOSE(CONTROL!$C$21, $C$9, 100%, $E$9)</f>
        <v>20.472999999999999</v>
      </c>
      <c r="T4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70" s="57">
        <f>(1000*CHOOSE(CONTROL!$C$42, 695, 695)*CHOOSE(CONTROL!$C$42, 0.5599, 0.5599)*CHOOSE(CONTROL!$C$42, 28, 28))/1000000</f>
        <v>10.895653999999999</v>
      </c>
      <c r="V470" s="57">
        <f>(1000*CHOOSE(CONTROL!$C$42, 500, 500)*CHOOSE(CONTROL!$C$42, 0.275, 0.275)*CHOOSE(CONTROL!$C$42, 28, 28))/1000000</f>
        <v>3.85</v>
      </c>
      <c r="W470" s="57">
        <f>(1000*CHOOSE(CONTROL!$C$42, 0.1146, 0.1146)*CHOOSE(CONTROL!$C$42, 121.5, 121.5)*CHOOSE(CONTROL!$C$42, 28, 28))/1000000</f>
        <v>0.38986920000000003</v>
      </c>
      <c r="X470" s="57">
        <f>(28*0.1790888*100000/1000000)+(28*0.2374*100000/1000000)</f>
        <v>1.16616864</v>
      </c>
      <c r="Y470" s="57"/>
      <c r="Z470" s="10"/>
      <c r="AA470" s="56"/>
      <c r="AB470" s="50">
        <f>(B470*122.58+C470*297.941+D470*89.177+E470*40.302+F470*40+G470*160+H470*0+I470*100+J470*300)/(122.58+297.941+89.177+40.302+0+40+160+100+300)</f>
        <v>21.094165927391305</v>
      </c>
      <c r="AC470" s="45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20.922365467625898</v>
      </c>
    </row>
    <row r="471" spans="1:29" ht="15.75" x14ac:dyDescent="0.25">
      <c r="A471" s="14">
        <v>55243</v>
      </c>
      <c r="B471" s="10">
        <f>CHOOSE(CONTROL!$C$42, 20.4859, 20.4859) * CHOOSE(CONTROL!$C$21, $C$9, 100%, $E$9)</f>
        <v>20.485900000000001</v>
      </c>
      <c r="C471" s="10">
        <f>CHOOSE(CONTROL!$C$42, 20.4909, 20.4909) * CHOOSE(CONTROL!$C$21, $C$9, 100%, $E$9)</f>
        <v>20.4909</v>
      </c>
      <c r="D471" s="10">
        <f>CHOOSE(CONTROL!$C$42, 20.548, 20.548) * CHOOSE(CONTROL!$C$21, $C$9, 100%, $E$9)</f>
        <v>20.547999999999998</v>
      </c>
      <c r="E471" s="10">
        <f>CHOOSE(CONTROL!$C$42, 20.5817, 20.5817) * CHOOSE(CONTROL!$C$21, $C$9, 100%, $E$9)</f>
        <v>20.581700000000001</v>
      </c>
      <c r="F471" s="10">
        <f>CHOOSE(CONTROL!$C$42, 20.4837, 20.4837)*CHOOSE(CONTROL!$C$21, $C$9, 100%, $E$9)</f>
        <v>20.483699999999999</v>
      </c>
      <c r="G471" s="10">
        <f>CHOOSE(CONTROL!$C$42, 20.4984, 20.4984)*CHOOSE(CONTROL!$C$21, $C$9, 100%, $E$9)</f>
        <v>20.4984</v>
      </c>
      <c r="H471" s="10">
        <f>CHOOSE(CONTROL!$C$42, 20.5709, 20.5709) * CHOOSE(CONTROL!$C$21, $C$9, 100%, $E$9)</f>
        <v>20.570900000000002</v>
      </c>
      <c r="I471" s="10">
        <f>CHOOSE(CONTROL!$C$42, 20.4967, 20.4967)* CHOOSE(CONTROL!$C$21, $C$9, 100%, $E$9)</f>
        <v>20.496700000000001</v>
      </c>
      <c r="J471" s="10">
        <f>CHOOSE(CONTROL!$C$42, 20.4767, 20.4767)* CHOOSE(CONTROL!$C$21, $C$9, 100%, $E$9)</f>
        <v>20.476700000000001</v>
      </c>
      <c r="K471" s="53">
        <f>CHOOSE(CONTROL!$C$42, 20.4928, 20.4928) * CHOOSE(CONTROL!$C$21, $C$9, 100%, $E$9)</f>
        <v>20.492799999999999</v>
      </c>
      <c r="L471" s="10">
        <f>CHOOSE(CONTROL!$C$42, 21.1579, 21.1579) * CHOOSE(CONTROL!$C$21, $C$9, 100%, $E$9)</f>
        <v>21.157900000000001</v>
      </c>
      <c r="M471" s="10">
        <f>CHOOSE(CONTROL!$C$42, 20.2839, 20.2839) * CHOOSE(CONTROL!$C$21, $C$9, 100%, $E$9)</f>
        <v>20.283899999999999</v>
      </c>
      <c r="N471" s="10">
        <f>CHOOSE(CONTROL!$C$42, 20.2984, 20.2984) * CHOOSE(CONTROL!$C$21, $C$9, 100%, $E$9)</f>
        <v>20.298400000000001</v>
      </c>
      <c r="O471" s="10">
        <f>CHOOSE(CONTROL!$C$42, 20.3772, 20.3772) * CHOOSE(CONTROL!$C$21, $C$9, 100%, $E$9)</f>
        <v>20.377199999999998</v>
      </c>
      <c r="P471" s="10">
        <f>CHOOSE(CONTROL!$C$42, 20.3038, 20.3038) * CHOOSE(CONTROL!$C$21, $C$9, 100%, $E$9)</f>
        <v>20.303799999999999</v>
      </c>
      <c r="Q471" s="10">
        <f>CHOOSE(CONTROL!$C$42, 20.9725, 20.9725) * CHOOSE(CONTROL!$C$21, $C$9, 100%, $E$9)</f>
        <v>20.9725</v>
      </c>
      <c r="R471" s="10">
        <f>CHOOSE(CONTROL!$C$42, 21.6119, 21.6119) * CHOOSE(CONTROL!$C$21, $C$9, 100%, $E$9)</f>
        <v>21.611899999999999</v>
      </c>
      <c r="S471" s="10">
        <f>CHOOSE(CONTROL!$C$42, 19.8918, 19.8918) * CHOOSE(CONTROL!$C$21, $C$9, 100%, $E$9)</f>
        <v>19.8918</v>
      </c>
      <c r="T4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57">
        <f>(1000*CHOOSE(CONTROL!$C$42, 695, 695)*CHOOSE(CONTROL!$C$42, 0.5599, 0.5599)*CHOOSE(CONTROL!$C$42, 31, 31))/1000000</f>
        <v>12.063045499999998</v>
      </c>
      <c r="V471" s="57">
        <f>(1000*CHOOSE(CONTROL!$C$42, 500, 500)*CHOOSE(CONTROL!$C$42, 0.275, 0.275)*CHOOSE(CONTROL!$C$42, 31, 31))/1000000</f>
        <v>4.2625000000000002</v>
      </c>
      <c r="W471" s="57">
        <f>(1000*CHOOSE(CONTROL!$C$42, 0.1146, 0.1146)*CHOOSE(CONTROL!$C$42, 121.5, 121.5)*CHOOSE(CONTROL!$C$42, 31, 31))/1000000</f>
        <v>0.43164089999999994</v>
      </c>
      <c r="X471" s="57">
        <f>(31*0.1790888*100000/1000000)+(31*0.2374*100000/1000000)</f>
        <v>1.2911152800000001</v>
      </c>
      <c r="Y471" s="57"/>
      <c r="Z471" s="10"/>
      <c r="AA471" s="56"/>
      <c r="AB471" s="50">
        <f>(B471*122.58+C471*297.941+D471*89.177+E471*40.302+F471*40+G471*160+H471*0+I471*100+J471*300)/(122.58+297.941+89.177+40.302+0+40+160+100+300)</f>
        <v>20.495570024608693</v>
      </c>
      <c r="AC471" s="45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20.32988489208633</v>
      </c>
    </row>
    <row r="472" spans="1:29" ht="15.75" x14ac:dyDescent="0.25">
      <c r="A472" s="14">
        <v>55273</v>
      </c>
      <c r="B472" s="10">
        <f>CHOOSE(CONTROL!$C$42, 20.4258, 20.4258) * CHOOSE(CONTROL!$C$21, $C$9, 100%, $E$9)</f>
        <v>20.425799999999999</v>
      </c>
      <c r="C472" s="10">
        <f>CHOOSE(CONTROL!$C$42, 20.4302, 20.4302) * CHOOSE(CONTROL!$C$21, $C$9, 100%, $E$9)</f>
        <v>20.430199999999999</v>
      </c>
      <c r="D472" s="10">
        <f>CHOOSE(CONTROL!$C$42, 20.636, 20.636) * CHOOSE(CONTROL!$C$21, $C$9, 100%, $E$9)</f>
        <v>20.635999999999999</v>
      </c>
      <c r="E472" s="10">
        <f>CHOOSE(CONTROL!$C$42, 20.6678, 20.6678) * CHOOSE(CONTROL!$C$21, $C$9, 100%, $E$9)</f>
        <v>20.6678</v>
      </c>
      <c r="F472" s="10">
        <f>CHOOSE(CONTROL!$C$42, 20.4025, 20.4025)*CHOOSE(CONTROL!$C$21, $C$9, 100%, $E$9)</f>
        <v>20.4025</v>
      </c>
      <c r="G472" s="10">
        <f>CHOOSE(CONTROL!$C$42, 20.4171, 20.4171)*CHOOSE(CONTROL!$C$21, $C$9, 100%, $E$9)</f>
        <v>20.417100000000001</v>
      </c>
      <c r="H472" s="10">
        <f>CHOOSE(CONTROL!$C$42, 20.6576, 20.6576) * CHOOSE(CONTROL!$C$21, $C$9, 100%, $E$9)</f>
        <v>20.657599999999999</v>
      </c>
      <c r="I472" s="10">
        <f>CHOOSE(CONTROL!$C$42, 20.4272, 20.4272)* CHOOSE(CONTROL!$C$21, $C$9, 100%, $E$9)</f>
        <v>20.427199999999999</v>
      </c>
      <c r="J472" s="10">
        <f>CHOOSE(CONTROL!$C$42, 20.3955, 20.3955)* CHOOSE(CONTROL!$C$21, $C$9, 100%, $E$9)</f>
        <v>20.395499999999998</v>
      </c>
      <c r="K472" s="53">
        <f>CHOOSE(CONTROL!$C$42, 20.4233, 20.4233) * CHOOSE(CONTROL!$C$21, $C$9, 100%, $E$9)</f>
        <v>20.423300000000001</v>
      </c>
      <c r="L472" s="10">
        <f>CHOOSE(CONTROL!$C$42, 21.2446, 21.2446) * CHOOSE(CONTROL!$C$21, $C$9, 100%, $E$9)</f>
        <v>21.244599999999998</v>
      </c>
      <c r="M472" s="10">
        <f>CHOOSE(CONTROL!$C$42, 20.2035, 20.2035) * CHOOSE(CONTROL!$C$21, $C$9, 100%, $E$9)</f>
        <v>20.203499999999998</v>
      </c>
      <c r="N472" s="10">
        <f>CHOOSE(CONTROL!$C$42, 20.2179, 20.2179) * CHOOSE(CONTROL!$C$21, $C$9, 100%, $E$9)</f>
        <v>20.2179</v>
      </c>
      <c r="O472" s="10">
        <f>CHOOSE(CONTROL!$C$42, 20.463, 20.463) * CHOOSE(CONTROL!$C$21, $C$9, 100%, $E$9)</f>
        <v>20.463000000000001</v>
      </c>
      <c r="P472" s="10">
        <f>CHOOSE(CONTROL!$C$42, 20.2349, 20.2349) * CHOOSE(CONTROL!$C$21, $C$9, 100%, $E$9)</f>
        <v>20.2349</v>
      </c>
      <c r="Q472" s="10">
        <f>CHOOSE(CONTROL!$C$42, 21.0583, 21.0583) * CHOOSE(CONTROL!$C$21, $C$9, 100%, $E$9)</f>
        <v>21.058299999999999</v>
      </c>
      <c r="R472" s="10">
        <f>CHOOSE(CONTROL!$C$42, 21.6979, 21.6979) * CHOOSE(CONTROL!$C$21, $C$9, 100%, $E$9)</f>
        <v>21.697900000000001</v>
      </c>
      <c r="S472" s="10">
        <f>CHOOSE(CONTROL!$C$42, 19.8326, 19.8326) * CHOOSE(CONTROL!$C$21, $C$9, 100%, $E$9)</f>
        <v>19.832599999999999</v>
      </c>
      <c r="T4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57">
        <f>(1000*CHOOSE(CONTROL!$C$42, 695, 695)*CHOOSE(CONTROL!$C$42, 0.5599, 0.5599)*CHOOSE(CONTROL!$C$42, 30, 30))/1000000</f>
        <v>11.673914999999997</v>
      </c>
      <c r="V472" s="57">
        <f>(1000*CHOOSE(CONTROL!$C$42, 500, 500)*CHOOSE(CONTROL!$C$42, 0.275, 0.275)*CHOOSE(CONTROL!$C$42, 30, 30))/1000000</f>
        <v>4.125</v>
      </c>
      <c r="W472" s="57">
        <f>(1000*CHOOSE(CONTROL!$C$42, 0.1146, 0.1146)*CHOOSE(CONTROL!$C$42, 121.5, 121.5)*CHOOSE(CONTROL!$C$42, 30, 30))/1000000</f>
        <v>0.417717</v>
      </c>
      <c r="X472" s="57">
        <f>(30*0.1790888*245000/1000000)+(30*0.2374*100000/1000000)</f>
        <v>2.0285026799999999</v>
      </c>
      <c r="Y472" s="57"/>
      <c r="Z472" s="10"/>
      <c r="AA472" s="56"/>
      <c r="AB472" s="50">
        <f>(B472*141.293+C472*267.993+D472*115.016+E472*89.698+F472*40+G472*185+H472*0+I472*100+J472*300)/(141.293+267.993+115.016+89.698+0+40+185+100+300)</f>
        <v>20.454509401452789</v>
      </c>
      <c r="AC472" s="45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20.284142446043166</v>
      </c>
    </row>
    <row r="473" spans="1:29" ht="15.75" x14ac:dyDescent="0.25">
      <c r="A473" s="14">
        <v>55304</v>
      </c>
      <c r="B473" s="10">
        <f>CHOOSE(CONTROL!$C$42, 20.6074, 20.6074) * CHOOSE(CONTROL!$C$21, $C$9, 100%, $E$9)</f>
        <v>20.607399999999998</v>
      </c>
      <c r="C473" s="10">
        <f>CHOOSE(CONTROL!$C$42, 20.6153, 20.6153) * CHOOSE(CONTROL!$C$21, $C$9, 100%, $E$9)</f>
        <v>20.615300000000001</v>
      </c>
      <c r="D473" s="10">
        <f>CHOOSE(CONTROL!$C$42, 20.8181, 20.8181) * CHOOSE(CONTROL!$C$21, $C$9, 100%, $E$9)</f>
        <v>20.818100000000001</v>
      </c>
      <c r="E473" s="10">
        <f>CHOOSE(CONTROL!$C$42, 20.8492, 20.8492) * CHOOSE(CONTROL!$C$21, $C$9, 100%, $E$9)</f>
        <v>20.8492</v>
      </c>
      <c r="F473" s="10">
        <f>CHOOSE(CONTROL!$C$42, 20.5831, 20.5831)*CHOOSE(CONTROL!$C$21, $C$9, 100%, $E$9)</f>
        <v>20.583100000000002</v>
      </c>
      <c r="G473" s="10">
        <f>CHOOSE(CONTROL!$C$42, 20.5981, 20.5981)*CHOOSE(CONTROL!$C$21, $C$9, 100%, $E$9)</f>
        <v>20.598099999999999</v>
      </c>
      <c r="H473" s="10">
        <f>CHOOSE(CONTROL!$C$42, 20.8378, 20.8378) * CHOOSE(CONTROL!$C$21, $C$9, 100%, $E$9)</f>
        <v>20.837800000000001</v>
      </c>
      <c r="I473" s="10">
        <f>CHOOSE(CONTROL!$C$42, 20.6075, 20.6075)* CHOOSE(CONTROL!$C$21, $C$9, 100%, $E$9)</f>
        <v>20.607500000000002</v>
      </c>
      <c r="J473" s="10">
        <f>CHOOSE(CONTROL!$C$42, 20.5761, 20.5761)* CHOOSE(CONTROL!$C$21, $C$9, 100%, $E$9)</f>
        <v>20.5761</v>
      </c>
      <c r="K473" s="53">
        <f>CHOOSE(CONTROL!$C$42, 20.6036, 20.6036) * CHOOSE(CONTROL!$C$21, $C$9, 100%, $E$9)</f>
        <v>20.6036</v>
      </c>
      <c r="L473" s="10">
        <f>CHOOSE(CONTROL!$C$42, 21.4248, 21.4248) * CHOOSE(CONTROL!$C$21, $C$9, 100%, $E$9)</f>
        <v>21.424800000000001</v>
      </c>
      <c r="M473" s="10">
        <f>CHOOSE(CONTROL!$C$42, 20.3823, 20.3823) * CHOOSE(CONTROL!$C$21, $C$9, 100%, $E$9)</f>
        <v>20.382300000000001</v>
      </c>
      <c r="N473" s="10">
        <f>CHOOSE(CONTROL!$C$42, 20.3972, 20.3972) * CHOOSE(CONTROL!$C$21, $C$9, 100%, $E$9)</f>
        <v>20.397200000000002</v>
      </c>
      <c r="O473" s="10">
        <f>CHOOSE(CONTROL!$C$42, 20.6414, 20.6414) * CHOOSE(CONTROL!$C$21, $C$9, 100%, $E$9)</f>
        <v>20.641400000000001</v>
      </c>
      <c r="P473" s="10">
        <f>CHOOSE(CONTROL!$C$42, 20.4134, 20.4134) * CHOOSE(CONTROL!$C$21, $C$9, 100%, $E$9)</f>
        <v>20.413399999999999</v>
      </c>
      <c r="Q473" s="10">
        <f>CHOOSE(CONTROL!$C$42, 21.2367, 21.2367) * CHOOSE(CONTROL!$C$21, $C$9, 100%, $E$9)</f>
        <v>21.236699999999999</v>
      </c>
      <c r="R473" s="10">
        <f>CHOOSE(CONTROL!$C$42, 21.8768, 21.8768) * CHOOSE(CONTROL!$C$21, $C$9, 100%, $E$9)</f>
        <v>21.876799999999999</v>
      </c>
      <c r="S473" s="10">
        <f>CHOOSE(CONTROL!$C$42, 20.0076, 20.0076) * CHOOSE(CONTROL!$C$21, $C$9, 100%, $E$9)</f>
        <v>20.0076</v>
      </c>
      <c r="T4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57">
        <f>(1000*CHOOSE(CONTROL!$C$42, 695, 695)*CHOOSE(CONTROL!$C$42, 0.5599, 0.5599)*CHOOSE(CONTROL!$C$42, 31, 31))/1000000</f>
        <v>12.063045499999998</v>
      </c>
      <c r="V473" s="57">
        <f>(1000*CHOOSE(CONTROL!$C$42, 500, 500)*CHOOSE(CONTROL!$C$42, 0.275, 0.275)*CHOOSE(CONTROL!$C$42, 31, 31))/1000000</f>
        <v>4.2625000000000002</v>
      </c>
      <c r="W473" s="57">
        <f>(1000*CHOOSE(CONTROL!$C$42, 0.1146, 0.1146)*CHOOSE(CONTROL!$C$42, 121.5, 121.5)*CHOOSE(CONTROL!$C$42, 31, 31))/1000000</f>
        <v>0.43164089999999994</v>
      </c>
      <c r="X473" s="57">
        <f>(31*0.1790888*245000/1000000)+(31*0.2374*100000/1000000)</f>
        <v>2.0961194359999999</v>
      </c>
      <c r="Y473" s="57"/>
      <c r="Z473" s="10"/>
      <c r="AA473" s="56"/>
      <c r="AB473" s="50">
        <f>(B473*194.205+C473*267.466+D473*133.845+E473*53.484+F473*40+G473*185+H473*0+I473*100+J473*300)/(194.205+267.466+133.845+53.484+0+40+185+100+300)</f>
        <v>20.63186943021978</v>
      </c>
      <c r="AC473" s="45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20.462902158273383</v>
      </c>
    </row>
    <row r="474" spans="1:29" ht="15.75" x14ac:dyDescent="0.25">
      <c r="A474" s="14">
        <v>55334</v>
      </c>
      <c r="B474" s="10">
        <f>CHOOSE(CONTROL!$C$42, 21.1918, 21.1918) * CHOOSE(CONTROL!$C$21, $C$9, 100%, $E$9)</f>
        <v>21.191800000000001</v>
      </c>
      <c r="C474" s="10">
        <f>CHOOSE(CONTROL!$C$42, 21.1997, 21.1997) * CHOOSE(CONTROL!$C$21, $C$9, 100%, $E$9)</f>
        <v>21.1997</v>
      </c>
      <c r="D474" s="10">
        <f>CHOOSE(CONTROL!$C$42, 21.4025, 21.4025) * CHOOSE(CONTROL!$C$21, $C$9, 100%, $E$9)</f>
        <v>21.4025</v>
      </c>
      <c r="E474" s="10">
        <f>CHOOSE(CONTROL!$C$42, 21.4336, 21.4336) * CHOOSE(CONTROL!$C$21, $C$9, 100%, $E$9)</f>
        <v>21.433599999999998</v>
      </c>
      <c r="F474" s="10">
        <f>CHOOSE(CONTROL!$C$42, 21.1681, 21.1681)*CHOOSE(CONTROL!$C$21, $C$9, 100%, $E$9)</f>
        <v>21.168099999999999</v>
      </c>
      <c r="G474" s="10">
        <f>CHOOSE(CONTROL!$C$42, 21.1832, 21.1832)*CHOOSE(CONTROL!$C$21, $C$9, 100%, $E$9)</f>
        <v>21.183199999999999</v>
      </c>
      <c r="H474" s="10">
        <f>CHOOSE(CONTROL!$C$42, 21.4222, 21.4222) * CHOOSE(CONTROL!$C$21, $C$9, 100%, $E$9)</f>
        <v>21.4222</v>
      </c>
      <c r="I474" s="10">
        <f>CHOOSE(CONTROL!$C$42, 21.1919, 21.1919)* CHOOSE(CONTROL!$C$21, $C$9, 100%, $E$9)</f>
        <v>21.1919</v>
      </c>
      <c r="J474" s="10">
        <f>CHOOSE(CONTROL!$C$42, 21.1611, 21.1611)* CHOOSE(CONTROL!$C$21, $C$9, 100%, $E$9)</f>
        <v>21.161100000000001</v>
      </c>
      <c r="K474" s="53">
        <f>CHOOSE(CONTROL!$C$42, 21.188, 21.188) * CHOOSE(CONTROL!$C$21, $C$9, 100%, $E$9)</f>
        <v>21.187999999999999</v>
      </c>
      <c r="L474" s="10">
        <f>CHOOSE(CONTROL!$C$42, 22.0092, 22.0092) * CHOOSE(CONTROL!$C$21, $C$9, 100%, $E$9)</f>
        <v>22.0092</v>
      </c>
      <c r="M474" s="10">
        <f>CHOOSE(CONTROL!$C$42, 20.9613, 20.9613) * CHOOSE(CONTROL!$C$21, $C$9, 100%, $E$9)</f>
        <v>20.961300000000001</v>
      </c>
      <c r="N474" s="10">
        <f>CHOOSE(CONTROL!$C$42, 20.9763, 20.9763) * CHOOSE(CONTROL!$C$21, $C$9, 100%, $E$9)</f>
        <v>20.976299999999998</v>
      </c>
      <c r="O474" s="10">
        <f>CHOOSE(CONTROL!$C$42, 21.2199, 21.2199) * CHOOSE(CONTROL!$C$21, $C$9, 100%, $E$9)</f>
        <v>21.219899999999999</v>
      </c>
      <c r="P474" s="10">
        <f>CHOOSE(CONTROL!$C$42, 20.9919, 20.9919) * CHOOSE(CONTROL!$C$21, $C$9, 100%, $E$9)</f>
        <v>20.991900000000001</v>
      </c>
      <c r="Q474" s="10">
        <f>CHOOSE(CONTROL!$C$42, 21.8152, 21.8152) * CHOOSE(CONTROL!$C$21, $C$9, 100%, $E$9)</f>
        <v>21.815200000000001</v>
      </c>
      <c r="R474" s="10">
        <f>CHOOSE(CONTROL!$C$42, 22.4567, 22.4567) * CHOOSE(CONTROL!$C$21, $C$9, 100%, $E$9)</f>
        <v>22.456700000000001</v>
      </c>
      <c r="S474" s="10">
        <f>CHOOSE(CONTROL!$C$42, 20.5751, 20.5751) * CHOOSE(CONTROL!$C$21, $C$9, 100%, $E$9)</f>
        <v>20.575099999999999</v>
      </c>
      <c r="T4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57">
        <f>(1000*CHOOSE(CONTROL!$C$42, 695, 695)*CHOOSE(CONTROL!$C$42, 0.5599, 0.5599)*CHOOSE(CONTROL!$C$42, 30, 30))/1000000</f>
        <v>11.673914999999997</v>
      </c>
      <c r="V474" s="57">
        <f>(1000*CHOOSE(CONTROL!$C$42, 500, 500)*CHOOSE(CONTROL!$C$42, 0.275, 0.275)*CHOOSE(CONTROL!$C$42, 30, 30))/1000000</f>
        <v>4.125</v>
      </c>
      <c r="W474" s="57">
        <f>(1000*CHOOSE(CONTROL!$C$42, 0.1146, 0.1146)*CHOOSE(CONTROL!$C$42, 121.5, 121.5)*CHOOSE(CONTROL!$C$42, 30, 30))/1000000</f>
        <v>0.417717</v>
      </c>
      <c r="X474" s="57">
        <f>(30*0.1790888*245000/1000000)+(30*0.2374*100000/1000000)</f>
        <v>2.0285026799999999</v>
      </c>
      <c r="Y474" s="57"/>
      <c r="Z474" s="10"/>
      <c r="AA474" s="56"/>
      <c r="AB474" s="50">
        <f>(B474*194.205+C474*267.466+D474*133.845+E474*53.484+F474*40+G474*185+H474*0+I474*100+J474*300)/(194.205+267.466+133.845+53.484+0+40+185+100+300)</f>
        <v>21.21653120416012</v>
      </c>
      <c r="AC474" s="45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21.041712949640289</v>
      </c>
    </row>
    <row r="475" spans="1:29" ht="15.75" x14ac:dyDescent="0.25">
      <c r="A475" s="14">
        <v>55365</v>
      </c>
      <c r="B475" s="10">
        <f>CHOOSE(CONTROL!$C$42, 20.7854, 20.7854) * CHOOSE(CONTROL!$C$21, $C$9, 100%, $E$9)</f>
        <v>20.785399999999999</v>
      </c>
      <c r="C475" s="10">
        <f>CHOOSE(CONTROL!$C$42, 20.7933, 20.7933) * CHOOSE(CONTROL!$C$21, $C$9, 100%, $E$9)</f>
        <v>20.793299999999999</v>
      </c>
      <c r="D475" s="10">
        <f>CHOOSE(CONTROL!$C$42, 20.996, 20.996) * CHOOSE(CONTROL!$C$21, $C$9, 100%, $E$9)</f>
        <v>20.995999999999999</v>
      </c>
      <c r="E475" s="10">
        <f>CHOOSE(CONTROL!$C$42, 21.0272, 21.0272) * CHOOSE(CONTROL!$C$21, $C$9, 100%, $E$9)</f>
        <v>21.027200000000001</v>
      </c>
      <c r="F475" s="10">
        <f>CHOOSE(CONTROL!$C$42, 20.7621, 20.7621)*CHOOSE(CONTROL!$C$21, $C$9, 100%, $E$9)</f>
        <v>20.7621</v>
      </c>
      <c r="G475" s="10">
        <f>CHOOSE(CONTROL!$C$42, 20.7774, 20.7774)*CHOOSE(CONTROL!$C$21, $C$9, 100%, $E$9)</f>
        <v>20.7774</v>
      </c>
      <c r="H475" s="10">
        <f>CHOOSE(CONTROL!$C$42, 21.0158, 21.0158) * CHOOSE(CONTROL!$C$21, $C$9, 100%, $E$9)</f>
        <v>21.015799999999999</v>
      </c>
      <c r="I475" s="10">
        <f>CHOOSE(CONTROL!$C$42, 20.7854, 20.7854)* CHOOSE(CONTROL!$C$21, $C$9, 100%, $E$9)</f>
        <v>20.785399999999999</v>
      </c>
      <c r="J475" s="10">
        <f>CHOOSE(CONTROL!$C$42, 20.7551, 20.7551)* CHOOSE(CONTROL!$C$21, $C$9, 100%, $E$9)</f>
        <v>20.755099999999999</v>
      </c>
      <c r="K475" s="53">
        <f>CHOOSE(CONTROL!$C$42, 20.7815, 20.7815) * CHOOSE(CONTROL!$C$21, $C$9, 100%, $E$9)</f>
        <v>20.781500000000001</v>
      </c>
      <c r="L475" s="10">
        <f>CHOOSE(CONTROL!$C$42, 21.6028, 21.6028) * CHOOSE(CONTROL!$C$21, $C$9, 100%, $E$9)</f>
        <v>21.602799999999998</v>
      </c>
      <c r="M475" s="10">
        <f>CHOOSE(CONTROL!$C$42, 20.5595, 20.5595) * CHOOSE(CONTROL!$C$21, $C$9, 100%, $E$9)</f>
        <v>20.5595</v>
      </c>
      <c r="N475" s="10">
        <f>CHOOSE(CONTROL!$C$42, 20.5746, 20.5746) * CHOOSE(CONTROL!$C$21, $C$9, 100%, $E$9)</f>
        <v>20.5746</v>
      </c>
      <c r="O475" s="10">
        <f>CHOOSE(CONTROL!$C$42, 20.8175, 20.8175) * CHOOSE(CONTROL!$C$21, $C$9, 100%, $E$9)</f>
        <v>20.817499999999999</v>
      </c>
      <c r="P475" s="10">
        <f>CHOOSE(CONTROL!$C$42, 20.5895, 20.5895) * CHOOSE(CONTROL!$C$21, $C$9, 100%, $E$9)</f>
        <v>20.589500000000001</v>
      </c>
      <c r="Q475" s="10">
        <f>CHOOSE(CONTROL!$C$42, 21.4128, 21.4128) * CHOOSE(CONTROL!$C$21, $C$9, 100%, $E$9)</f>
        <v>21.412800000000001</v>
      </c>
      <c r="R475" s="10">
        <f>CHOOSE(CONTROL!$C$42, 22.0534, 22.0534) * CHOOSE(CONTROL!$C$21, $C$9, 100%, $E$9)</f>
        <v>22.0534</v>
      </c>
      <c r="S475" s="10">
        <f>CHOOSE(CONTROL!$C$42, 20.1804, 20.1804) * CHOOSE(CONTROL!$C$21, $C$9, 100%, $E$9)</f>
        <v>20.180399999999999</v>
      </c>
      <c r="T4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57">
        <f>(1000*CHOOSE(CONTROL!$C$42, 695, 695)*CHOOSE(CONTROL!$C$42, 0.5599, 0.5599)*CHOOSE(CONTROL!$C$42, 31, 31))/1000000</f>
        <v>12.063045499999998</v>
      </c>
      <c r="V475" s="57">
        <f>(1000*CHOOSE(CONTROL!$C$42, 500, 500)*CHOOSE(CONTROL!$C$42, 0.275, 0.275)*CHOOSE(CONTROL!$C$42, 31, 31))/1000000</f>
        <v>4.2625000000000002</v>
      </c>
      <c r="W475" s="57">
        <f>(1000*CHOOSE(CONTROL!$C$42, 0.1146, 0.1146)*CHOOSE(CONTROL!$C$42, 121.5, 121.5)*CHOOSE(CONTROL!$C$42, 31, 31))/1000000</f>
        <v>0.43164089999999994</v>
      </c>
      <c r="X475" s="57">
        <f>(31*0.1790888*245000/1000000)+(31*0.2374*100000/1000000)</f>
        <v>2.0961194359999999</v>
      </c>
      <c r="Y475" s="57"/>
      <c r="Z475" s="10"/>
      <c r="AA475" s="56"/>
      <c r="AB475" s="50">
        <f>(B475*194.205+C475*267.466+D475*133.845+E475*53.484+F475*40+G475*185+H475*0+I475*100+J475*300)/(194.205+267.466+133.845+53.484+0+40+185+100+300)</f>
        <v>20.810306726530612</v>
      </c>
      <c r="AC475" s="45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20.639681294964031</v>
      </c>
    </row>
    <row r="476" spans="1:29" ht="15.75" x14ac:dyDescent="0.25">
      <c r="A476" s="14">
        <v>55396</v>
      </c>
      <c r="B476" s="10">
        <f>CHOOSE(CONTROL!$C$42, 19.7589, 19.7589) * CHOOSE(CONTROL!$C$21, $C$9, 100%, $E$9)</f>
        <v>19.758900000000001</v>
      </c>
      <c r="C476" s="10">
        <f>CHOOSE(CONTROL!$C$42, 19.7669, 19.7669) * CHOOSE(CONTROL!$C$21, $C$9, 100%, $E$9)</f>
        <v>19.7669</v>
      </c>
      <c r="D476" s="10">
        <f>CHOOSE(CONTROL!$C$42, 19.9696, 19.9696) * CHOOSE(CONTROL!$C$21, $C$9, 100%, $E$9)</f>
        <v>19.9696</v>
      </c>
      <c r="E476" s="10">
        <f>CHOOSE(CONTROL!$C$42, 20.0007, 20.0007) * CHOOSE(CONTROL!$C$21, $C$9, 100%, $E$9)</f>
        <v>20.000699999999998</v>
      </c>
      <c r="F476" s="10">
        <f>CHOOSE(CONTROL!$C$42, 19.7359, 19.7359)*CHOOSE(CONTROL!$C$21, $C$9, 100%, $E$9)</f>
        <v>19.735900000000001</v>
      </c>
      <c r="G476" s="10">
        <f>CHOOSE(CONTROL!$C$42, 19.7512, 19.7512)*CHOOSE(CONTROL!$C$21, $C$9, 100%, $E$9)</f>
        <v>19.751200000000001</v>
      </c>
      <c r="H476" s="10">
        <f>CHOOSE(CONTROL!$C$42, 19.9894, 19.9894) * CHOOSE(CONTROL!$C$21, $C$9, 100%, $E$9)</f>
        <v>19.9894</v>
      </c>
      <c r="I476" s="10">
        <f>CHOOSE(CONTROL!$C$42, 19.759, 19.759)* CHOOSE(CONTROL!$C$21, $C$9, 100%, $E$9)</f>
        <v>19.759</v>
      </c>
      <c r="J476" s="10">
        <f>CHOOSE(CONTROL!$C$42, 19.7289, 19.7289)* CHOOSE(CONTROL!$C$21, $C$9, 100%, $E$9)</f>
        <v>19.728899999999999</v>
      </c>
      <c r="K476" s="53">
        <f>CHOOSE(CONTROL!$C$42, 19.7551, 19.7551) * CHOOSE(CONTROL!$C$21, $C$9, 100%, $E$9)</f>
        <v>19.755099999999999</v>
      </c>
      <c r="L476" s="10">
        <f>CHOOSE(CONTROL!$C$42, 20.5764, 20.5764) * CHOOSE(CONTROL!$C$21, $C$9, 100%, $E$9)</f>
        <v>20.5764</v>
      </c>
      <c r="M476" s="10">
        <f>CHOOSE(CONTROL!$C$42, 19.5436, 19.5436) * CHOOSE(CONTROL!$C$21, $C$9, 100%, $E$9)</f>
        <v>19.543600000000001</v>
      </c>
      <c r="N476" s="10">
        <f>CHOOSE(CONTROL!$C$42, 19.5588, 19.5588) * CHOOSE(CONTROL!$C$21, $C$9, 100%, $E$9)</f>
        <v>19.558800000000002</v>
      </c>
      <c r="O476" s="10">
        <f>CHOOSE(CONTROL!$C$42, 19.8015, 19.8015) * CHOOSE(CONTROL!$C$21, $C$9, 100%, $E$9)</f>
        <v>19.801500000000001</v>
      </c>
      <c r="P476" s="10">
        <f>CHOOSE(CONTROL!$C$42, 19.5734, 19.5734) * CHOOSE(CONTROL!$C$21, $C$9, 100%, $E$9)</f>
        <v>19.573399999999999</v>
      </c>
      <c r="Q476" s="10">
        <f>CHOOSE(CONTROL!$C$42, 20.3968, 20.3968) * CHOOSE(CONTROL!$C$21, $C$9, 100%, $E$9)</f>
        <v>20.396799999999999</v>
      </c>
      <c r="R476" s="10">
        <f>CHOOSE(CONTROL!$C$42, 21.0348, 21.0348) * CHOOSE(CONTROL!$C$21, $C$9, 100%, $E$9)</f>
        <v>21.034800000000001</v>
      </c>
      <c r="S476" s="10">
        <f>CHOOSE(CONTROL!$C$42, 19.1837, 19.1837) * CHOOSE(CONTROL!$C$21, $C$9, 100%, $E$9)</f>
        <v>19.183700000000002</v>
      </c>
      <c r="T4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57">
        <f>(1000*CHOOSE(CONTROL!$C$42, 695, 695)*CHOOSE(CONTROL!$C$42, 0.5599, 0.5599)*CHOOSE(CONTROL!$C$42, 31, 31))/1000000</f>
        <v>12.063045499999998</v>
      </c>
      <c r="V476" s="57">
        <f>(1000*CHOOSE(CONTROL!$C$42, 500, 500)*CHOOSE(CONTROL!$C$42, 0.275, 0.275)*CHOOSE(CONTROL!$C$42, 31, 31))/1000000</f>
        <v>4.2625000000000002</v>
      </c>
      <c r="W476" s="57">
        <f>(1000*CHOOSE(CONTROL!$C$42, 0.1146, 0.1146)*CHOOSE(CONTROL!$C$42, 121.5, 121.5)*CHOOSE(CONTROL!$C$42, 31, 31))/1000000</f>
        <v>0.43164089999999994</v>
      </c>
      <c r="X476" s="57">
        <f>(31*0.1790888*245000/1000000)+(31*0.2374*100000/1000000)</f>
        <v>2.0961194359999999</v>
      </c>
      <c r="Y476" s="57"/>
      <c r="Z476" s="10"/>
      <c r="AA476" s="56"/>
      <c r="AB476" s="50">
        <f>(B476*194.205+C476*267.466+D476*133.845+E476*53.484+F476*40+G476*185+H476*0+I476*100+J476*300)/(194.205+267.466+133.845+53.484+0+40+185+100+300)</f>
        <v>19.783969702276298</v>
      </c>
      <c r="AC476" s="45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19.623747482014391</v>
      </c>
    </row>
    <row r="477" spans="1:29" ht="15.75" x14ac:dyDescent="0.25">
      <c r="A477" s="14">
        <v>55426</v>
      </c>
      <c r="B477" s="10">
        <f>CHOOSE(CONTROL!$C$42, 18.5045, 18.5045) * CHOOSE(CONTROL!$C$21, $C$9, 100%, $E$9)</f>
        <v>18.5045</v>
      </c>
      <c r="C477" s="10">
        <f>CHOOSE(CONTROL!$C$42, 18.5124, 18.5124) * CHOOSE(CONTROL!$C$21, $C$9, 100%, $E$9)</f>
        <v>18.5124</v>
      </c>
      <c r="D477" s="10">
        <f>CHOOSE(CONTROL!$C$42, 18.7151, 18.7151) * CHOOSE(CONTROL!$C$21, $C$9, 100%, $E$9)</f>
        <v>18.7151</v>
      </c>
      <c r="E477" s="10">
        <f>CHOOSE(CONTROL!$C$42, 18.7462, 18.7462) * CHOOSE(CONTROL!$C$21, $C$9, 100%, $E$9)</f>
        <v>18.746200000000002</v>
      </c>
      <c r="F477" s="10">
        <f>CHOOSE(CONTROL!$C$42, 18.4813, 18.4813)*CHOOSE(CONTROL!$C$21, $C$9, 100%, $E$9)</f>
        <v>18.481300000000001</v>
      </c>
      <c r="G477" s="10">
        <f>CHOOSE(CONTROL!$C$42, 18.4965, 18.4965)*CHOOSE(CONTROL!$C$21, $C$9, 100%, $E$9)</f>
        <v>18.496500000000001</v>
      </c>
      <c r="H477" s="10">
        <f>CHOOSE(CONTROL!$C$42, 18.7349, 18.7349) * CHOOSE(CONTROL!$C$21, $C$9, 100%, $E$9)</f>
        <v>18.7349</v>
      </c>
      <c r="I477" s="10">
        <f>CHOOSE(CONTROL!$C$42, 18.5045, 18.5045)* CHOOSE(CONTROL!$C$21, $C$9, 100%, $E$9)</f>
        <v>18.5045</v>
      </c>
      <c r="J477" s="10">
        <f>CHOOSE(CONTROL!$C$42, 18.4743, 18.4743)* CHOOSE(CONTROL!$C$21, $C$9, 100%, $E$9)</f>
        <v>18.474299999999999</v>
      </c>
      <c r="K477" s="53">
        <f>CHOOSE(CONTROL!$C$42, 18.5006, 18.5006) * CHOOSE(CONTROL!$C$21, $C$9, 100%, $E$9)</f>
        <v>18.500599999999999</v>
      </c>
      <c r="L477" s="10">
        <f>CHOOSE(CONTROL!$C$42, 19.3219, 19.3219) * CHOOSE(CONTROL!$C$21, $C$9, 100%, $E$9)</f>
        <v>19.321899999999999</v>
      </c>
      <c r="M477" s="10">
        <f>CHOOSE(CONTROL!$C$42, 18.3016, 18.3016) * CHOOSE(CONTROL!$C$21, $C$9, 100%, $E$9)</f>
        <v>18.301600000000001</v>
      </c>
      <c r="N477" s="10">
        <f>CHOOSE(CONTROL!$C$42, 18.3168, 18.3168) * CHOOSE(CONTROL!$C$21, $C$9, 100%, $E$9)</f>
        <v>18.316800000000001</v>
      </c>
      <c r="O477" s="10">
        <f>CHOOSE(CONTROL!$C$42, 18.5596, 18.5596) * CHOOSE(CONTROL!$C$21, $C$9, 100%, $E$9)</f>
        <v>18.5596</v>
      </c>
      <c r="P477" s="10">
        <f>CHOOSE(CONTROL!$C$42, 18.3316, 18.3316) * CHOOSE(CONTROL!$C$21, $C$9, 100%, $E$9)</f>
        <v>18.331600000000002</v>
      </c>
      <c r="Q477" s="10">
        <f>CHOOSE(CONTROL!$C$42, 19.1549, 19.1549) * CHOOSE(CONTROL!$C$21, $C$9, 100%, $E$9)</f>
        <v>19.154900000000001</v>
      </c>
      <c r="R477" s="10">
        <f>CHOOSE(CONTROL!$C$42, 19.7898, 19.7898) * CHOOSE(CONTROL!$C$21, $C$9, 100%, $E$9)</f>
        <v>19.7898</v>
      </c>
      <c r="S477" s="10">
        <f>CHOOSE(CONTROL!$C$42, 17.9654, 17.9654) * CHOOSE(CONTROL!$C$21, $C$9, 100%, $E$9)</f>
        <v>17.965399999999999</v>
      </c>
      <c r="T4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57">
        <f>(1000*CHOOSE(CONTROL!$C$42, 695, 695)*CHOOSE(CONTROL!$C$42, 0.5599, 0.5599)*CHOOSE(CONTROL!$C$42, 30, 30))/1000000</f>
        <v>11.673914999999997</v>
      </c>
      <c r="V477" s="57">
        <f>(1000*CHOOSE(CONTROL!$C$42, 500, 500)*CHOOSE(CONTROL!$C$42, 0.275, 0.275)*CHOOSE(CONTROL!$C$42, 30, 30))/1000000</f>
        <v>4.125</v>
      </c>
      <c r="W477" s="57">
        <f>(1000*CHOOSE(CONTROL!$C$42, 0.1146, 0.1146)*CHOOSE(CONTROL!$C$42, 121.5, 121.5)*CHOOSE(CONTROL!$C$42, 30, 30))/1000000</f>
        <v>0.417717</v>
      </c>
      <c r="X477" s="57">
        <f>(30*0.1790888*245000/1000000)+(30*0.2374*100000/1000000)</f>
        <v>2.0285026799999999</v>
      </c>
      <c r="Y477" s="57"/>
      <c r="Z477" s="10"/>
      <c r="AA477" s="56"/>
      <c r="AB477" s="50">
        <f>(B477*194.205+C477*267.466+D477*133.845+E477*53.484+F477*40+G477*185+H477*0+I477*100+J477*300)/(194.205+267.466+133.845+53.484+0+40+185+100+300)</f>
        <v>18.529429216012563</v>
      </c>
      <c r="AC477" s="45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18.381804316546763</v>
      </c>
    </row>
    <row r="478" spans="1:29" ht="15.75" x14ac:dyDescent="0.25">
      <c r="A478" s="14">
        <v>55457</v>
      </c>
      <c r="B478" s="10">
        <f>CHOOSE(CONTROL!$C$42, 18.1271, 18.1271) * CHOOSE(CONTROL!$C$21, $C$9, 100%, $E$9)</f>
        <v>18.127099999999999</v>
      </c>
      <c r="C478" s="10">
        <f>CHOOSE(CONTROL!$C$42, 18.1323, 18.1323) * CHOOSE(CONTROL!$C$21, $C$9, 100%, $E$9)</f>
        <v>18.132300000000001</v>
      </c>
      <c r="D478" s="10">
        <f>CHOOSE(CONTROL!$C$42, 18.34, 18.34) * CHOOSE(CONTROL!$C$21, $C$9, 100%, $E$9)</f>
        <v>18.34</v>
      </c>
      <c r="E478" s="10">
        <f>CHOOSE(CONTROL!$C$42, 18.3688, 18.3688) * CHOOSE(CONTROL!$C$21, $C$9, 100%, $E$9)</f>
        <v>18.3688</v>
      </c>
      <c r="F478" s="10">
        <f>CHOOSE(CONTROL!$C$42, 18.1058, 18.1058)*CHOOSE(CONTROL!$C$21, $C$9, 100%, $E$9)</f>
        <v>18.105799999999999</v>
      </c>
      <c r="G478" s="10">
        <f>CHOOSE(CONTROL!$C$42, 18.1207, 18.1207)*CHOOSE(CONTROL!$C$21, $C$9, 100%, $E$9)</f>
        <v>18.120699999999999</v>
      </c>
      <c r="H478" s="10">
        <f>CHOOSE(CONTROL!$C$42, 18.3593, 18.3593) * CHOOSE(CONTROL!$C$21, $C$9, 100%, $E$9)</f>
        <v>18.359300000000001</v>
      </c>
      <c r="I478" s="10">
        <f>CHOOSE(CONTROL!$C$42, 18.1289, 18.1289)* CHOOSE(CONTROL!$C$21, $C$9, 100%, $E$9)</f>
        <v>18.128900000000002</v>
      </c>
      <c r="J478" s="10">
        <f>CHOOSE(CONTROL!$C$42, 18.0988, 18.0988)* CHOOSE(CONTROL!$C$21, $C$9, 100%, $E$9)</f>
        <v>18.098800000000001</v>
      </c>
      <c r="K478" s="53">
        <f>CHOOSE(CONTROL!$C$42, 18.125, 18.125) * CHOOSE(CONTROL!$C$21, $C$9, 100%, $E$9)</f>
        <v>18.125</v>
      </c>
      <c r="L478" s="10">
        <f>CHOOSE(CONTROL!$C$42, 18.9463, 18.9463) * CHOOSE(CONTROL!$C$21, $C$9, 100%, $E$9)</f>
        <v>18.946300000000001</v>
      </c>
      <c r="M478" s="10">
        <f>CHOOSE(CONTROL!$C$42, 17.93, 17.93) * CHOOSE(CONTROL!$C$21, $C$9, 100%, $E$9)</f>
        <v>17.93</v>
      </c>
      <c r="N478" s="10">
        <f>CHOOSE(CONTROL!$C$42, 17.9448, 17.9448) * CHOOSE(CONTROL!$C$21, $C$9, 100%, $E$9)</f>
        <v>17.944800000000001</v>
      </c>
      <c r="O478" s="10">
        <f>CHOOSE(CONTROL!$C$42, 18.1878, 18.1878) * CHOOSE(CONTROL!$C$21, $C$9, 100%, $E$9)</f>
        <v>18.187799999999999</v>
      </c>
      <c r="P478" s="10">
        <f>CHOOSE(CONTROL!$C$42, 17.9598, 17.9598) * CHOOSE(CONTROL!$C$21, $C$9, 100%, $E$9)</f>
        <v>17.959800000000001</v>
      </c>
      <c r="Q478" s="10">
        <f>CHOOSE(CONTROL!$C$42, 18.7831, 18.7831) * CHOOSE(CONTROL!$C$21, $C$9, 100%, $E$9)</f>
        <v>18.783100000000001</v>
      </c>
      <c r="R478" s="10">
        <f>CHOOSE(CONTROL!$C$42, 19.4171, 19.4171) * CHOOSE(CONTROL!$C$21, $C$9, 100%, $E$9)</f>
        <v>19.417100000000001</v>
      </c>
      <c r="S478" s="10">
        <f>CHOOSE(CONTROL!$C$42, 17.6007, 17.6007) * CHOOSE(CONTROL!$C$21, $C$9, 100%, $E$9)</f>
        <v>17.6007</v>
      </c>
      <c r="T4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57">
        <f>(1000*CHOOSE(CONTROL!$C$42, 695, 695)*CHOOSE(CONTROL!$C$42, 0.5599, 0.5599)*CHOOSE(CONTROL!$C$42, 31, 31))/1000000</f>
        <v>12.063045499999998</v>
      </c>
      <c r="V478" s="57">
        <f>(1000*CHOOSE(CONTROL!$C$42, 500, 500)*CHOOSE(CONTROL!$C$42, 0.275, 0.275)*CHOOSE(CONTROL!$C$42, 31, 31))/1000000</f>
        <v>4.2625000000000002</v>
      </c>
      <c r="W478" s="57">
        <f>(1000*CHOOSE(CONTROL!$C$42, 0.1146, 0.1146)*CHOOSE(CONTROL!$C$42, 121.5, 121.5)*CHOOSE(CONTROL!$C$42, 31, 31))/1000000</f>
        <v>0.43164089999999994</v>
      </c>
      <c r="X478" s="57">
        <f>(31*0.1790888*245000/1000000)+(31*0.2374*100000/1000000)</f>
        <v>2.0961194359999999</v>
      </c>
      <c r="Y478" s="57"/>
      <c r="Z478" s="10"/>
      <c r="AA478" s="56"/>
      <c r="AB478" s="50">
        <f>(B478*131.881+C478*277.167+D478*79.08+E478*125.872+F478*40+G478*185+H478*0+I478*100+J478*300)/(131.881+277.167+79.08+125.872+0+40+185+100+300)</f>
        <v>18.158056144309924</v>
      </c>
      <c r="AC478" s="45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18.010027338129497</v>
      </c>
    </row>
    <row r="479" spans="1:29" ht="15.75" x14ac:dyDescent="0.25">
      <c r="A479" s="14">
        <v>55487</v>
      </c>
      <c r="B479" s="10">
        <f>CHOOSE(CONTROL!$C$42, 18.6041, 18.6041) * CHOOSE(CONTROL!$C$21, $C$9, 100%, $E$9)</f>
        <v>18.604099999999999</v>
      </c>
      <c r="C479" s="10">
        <f>CHOOSE(CONTROL!$C$42, 18.6091, 18.6091) * CHOOSE(CONTROL!$C$21, $C$9, 100%, $E$9)</f>
        <v>18.609100000000002</v>
      </c>
      <c r="D479" s="10">
        <f>CHOOSE(CONTROL!$C$42, 18.6696, 18.6696) * CHOOSE(CONTROL!$C$21, $C$9, 100%, $E$9)</f>
        <v>18.669599999999999</v>
      </c>
      <c r="E479" s="10">
        <f>CHOOSE(CONTROL!$C$42, 18.7034, 18.7034) * CHOOSE(CONTROL!$C$21, $C$9, 100%, $E$9)</f>
        <v>18.703399999999998</v>
      </c>
      <c r="F479" s="10">
        <f>CHOOSE(CONTROL!$C$42, 18.5998, 18.5998)*CHOOSE(CONTROL!$C$21, $C$9, 100%, $E$9)</f>
        <v>18.599799999999998</v>
      </c>
      <c r="G479" s="10">
        <f>CHOOSE(CONTROL!$C$42, 18.615, 18.615)*CHOOSE(CONTROL!$C$21, $C$9, 100%, $E$9)</f>
        <v>18.614999999999998</v>
      </c>
      <c r="H479" s="10">
        <f>CHOOSE(CONTROL!$C$42, 18.6926, 18.6926) * CHOOSE(CONTROL!$C$21, $C$9, 100%, $E$9)</f>
        <v>18.692599999999999</v>
      </c>
      <c r="I479" s="10">
        <f>CHOOSE(CONTROL!$C$42, 18.6166, 18.6166)* CHOOSE(CONTROL!$C$21, $C$9, 100%, $E$9)</f>
        <v>18.616599999999998</v>
      </c>
      <c r="J479" s="10">
        <f>CHOOSE(CONTROL!$C$42, 18.5928, 18.5928)* CHOOSE(CONTROL!$C$21, $C$9, 100%, $E$9)</f>
        <v>18.5928</v>
      </c>
      <c r="K479" s="53">
        <f>CHOOSE(CONTROL!$C$42, 18.6128, 18.6128) * CHOOSE(CONTROL!$C$21, $C$9, 100%, $E$9)</f>
        <v>18.6128</v>
      </c>
      <c r="L479" s="10">
        <f>CHOOSE(CONTROL!$C$42, 19.2796, 19.2796) * CHOOSE(CONTROL!$C$21, $C$9, 100%, $E$9)</f>
        <v>19.279599999999999</v>
      </c>
      <c r="M479" s="10">
        <f>CHOOSE(CONTROL!$C$42, 18.419, 18.419) * CHOOSE(CONTROL!$C$21, $C$9, 100%, $E$9)</f>
        <v>18.419</v>
      </c>
      <c r="N479" s="10">
        <f>CHOOSE(CONTROL!$C$42, 18.434, 18.434) * CHOOSE(CONTROL!$C$21, $C$9, 100%, $E$9)</f>
        <v>18.434000000000001</v>
      </c>
      <c r="O479" s="10">
        <f>CHOOSE(CONTROL!$C$42, 18.5177, 18.5177) * CHOOSE(CONTROL!$C$21, $C$9, 100%, $E$9)</f>
        <v>18.517700000000001</v>
      </c>
      <c r="P479" s="10">
        <f>CHOOSE(CONTROL!$C$42, 18.4426, 18.4426) * CHOOSE(CONTROL!$C$21, $C$9, 100%, $E$9)</f>
        <v>18.442599999999999</v>
      </c>
      <c r="Q479" s="10">
        <f>CHOOSE(CONTROL!$C$42, 19.113, 19.113) * CHOOSE(CONTROL!$C$21, $C$9, 100%, $E$9)</f>
        <v>19.113</v>
      </c>
      <c r="R479" s="10">
        <f>CHOOSE(CONTROL!$C$42, 19.7478, 19.7478) * CHOOSE(CONTROL!$C$21, $C$9, 100%, $E$9)</f>
        <v>19.747800000000002</v>
      </c>
      <c r="S479" s="10">
        <f>CHOOSE(CONTROL!$C$42, 18.0643, 18.0643) * CHOOSE(CONTROL!$C$21, $C$9, 100%, $E$9)</f>
        <v>18.064299999999999</v>
      </c>
      <c r="T4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57">
        <f>(1000*CHOOSE(CONTROL!$C$42, 695, 695)*CHOOSE(CONTROL!$C$42, 0.5599, 0.5599)*CHOOSE(CONTROL!$C$42, 30, 30))/1000000</f>
        <v>11.673914999999997</v>
      </c>
      <c r="V479" s="57">
        <f>(1000*CHOOSE(CONTROL!$C$42, 500, 500)*CHOOSE(CONTROL!$C$42, 0.275, 0.275)*CHOOSE(CONTROL!$C$42, 30, 30))/1000000</f>
        <v>4.125</v>
      </c>
      <c r="W479" s="57">
        <f>(1000*CHOOSE(CONTROL!$C$42, 0.1146, 0.1146)*CHOOSE(CONTROL!$C$42, 121.5, 121.5)*CHOOSE(CONTROL!$C$42, 30, 30))/1000000</f>
        <v>0.417717</v>
      </c>
      <c r="X479" s="57">
        <f>(30*0.1790888*100000/1000000)+(30*0.2374*100000/1000000)</f>
        <v>1.2494664</v>
      </c>
      <c r="Y479" s="57"/>
      <c r="Z479" s="10"/>
      <c r="AA479" s="56"/>
      <c r="AB479" s="50">
        <f>(B479*122.58+C479*297.941+D479*89.177+E479*40.302+F479*40+G479*160+H479*0+I479*100+J479*300)/(122.58+297.941+89.177+40.302+0+40+160+100+300)</f>
        <v>18.613460684434784</v>
      </c>
      <c r="AC479" s="45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18.467993525179857</v>
      </c>
    </row>
    <row r="480" spans="1:29" ht="15.75" x14ac:dyDescent="0.25">
      <c r="A480" s="14">
        <v>55518</v>
      </c>
      <c r="B480" s="10">
        <f>CHOOSE(CONTROL!$C$42, 19.8723, 19.8723) * CHOOSE(CONTROL!$C$21, $C$9, 100%, $E$9)</f>
        <v>19.872299999999999</v>
      </c>
      <c r="C480" s="10">
        <f>CHOOSE(CONTROL!$C$42, 19.8773, 19.8773) * CHOOSE(CONTROL!$C$21, $C$9, 100%, $E$9)</f>
        <v>19.877300000000002</v>
      </c>
      <c r="D480" s="10">
        <f>CHOOSE(CONTROL!$C$42, 19.9378, 19.9378) * CHOOSE(CONTROL!$C$21, $C$9, 100%, $E$9)</f>
        <v>19.937799999999999</v>
      </c>
      <c r="E480" s="10">
        <f>CHOOSE(CONTROL!$C$42, 19.9716, 19.9716) * CHOOSE(CONTROL!$C$21, $C$9, 100%, $E$9)</f>
        <v>19.971599999999999</v>
      </c>
      <c r="F480" s="10">
        <f>CHOOSE(CONTROL!$C$42, 19.8698, 19.8698)*CHOOSE(CONTROL!$C$21, $C$9, 100%, $E$9)</f>
        <v>19.869800000000001</v>
      </c>
      <c r="G480" s="10">
        <f>CHOOSE(CONTROL!$C$42, 19.8855, 19.8855)*CHOOSE(CONTROL!$C$21, $C$9, 100%, $E$9)</f>
        <v>19.8855</v>
      </c>
      <c r="H480" s="10">
        <f>CHOOSE(CONTROL!$C$42, 19.9608, 19.9608) * CHOOSE(CONTROL!$C$21, $C$9, 100%, $E$9)</f>
        <v>19.960799999999999</v>
      </c>
      <c r="I480" s="10">
        <f>CHOOSE(CONTROL!$C$42, 19.8849, 19.8849)* CHOOSE(CONTROL!$C$21, $C$9, 100%, $E$9)</f>
        <v>19.884899999999998</v>
      </c>
      <c r="J480" s="10">
        <f>CHOOSE(CONTROL!$C$42, 19.8628, 19.8628)* CHOOSE(CONTROL!$C$21, $C$9, 100%, $E$9)</f>
        <v>19.8628</v>
      </c>
      <c r="K480" s="53">
        <f>CHOOSE(CONTROL!$C$42, 19.881, 19.881) * CHOOSE(CONTROL!$C$21, $C$9, 100%, $E$9)</f>
        <v>19.881</v>
      </c>
      <c r="L480" s="10">
        <f>CHOOSE(CONTROL!$C$42, 20.5478, 20.5478) * CHOOSE(CONTROL!$C$21, $C$9, 100%, $E$9)</f>
        <v>20.547799999999999</v>
      </c>
      <c r="M480" s="10">
        <f>CHOOSE(CONTROL!$C$42, 19.6762, 19.6762) * CHOOSE(CONTROL!$C$21, $C$9, 100%, $E$9)</f>
        <v>19.676200000000001</v>
      </c>
      <c r="N480" s="10">
        <f>CHOOSE(CONTROL!$C$42, 19.6917, 19.6917) * CHOOSE(CONTROL!$C$21, $C$9, 100%, $E$9)</f>
        <v>19.691700000000001</v>
      </c>
      <c r="O480" s="10">
        <f>CHOOSE(CONTROL!$C$42, 19.7732, 19.7732) * CHOOSE(CONTROL!$C$21, $C$9, 100%, $E$9)</f>
        <v>19.773199999999999</v>
      </c>
      <c r="P480" s="10">
        <f>CHOOSE(CONTROL!$C$42, 19.6981, 19.6981) * CHOOSE(CONTROL!$C$21, $C$9, 100%, $E$9)</f>
        <v>19.6981</v>
      </c>
      <c r="Q480" s="10">
        <f>CHOOSE(CONTROL!$C$42, 20.3685, 20.3685) * CHOOSE(CONTROL!$C$21, $C$9, 100%, $E$9)</f>
        <v>20.368500000000001</v>
      </c>
      <c r="R480" s="10">
        <f>CHOOSE(CONTROL!$C$42, 21.0064, 21.0064) * CHOOSE(CONTROL!$C$21, $C$9, 100%, $E$9)</f>
        <v>21.006399999999999</v>
      </c>
      <c r="S480" s="10">
        <f>CHOOSE(CONTROL!$C$42, 19.2959, 19.2959) * CHOOSE(CONTROL!$C$21, $C$9, 100%, $E$9)</f>
        <v>19.2959</v>
      </c>
      <c r="T4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57">
        <f>(1000*CHOOSE(CONTROL!$C$42, 695, 695)*CHOOSE(CONTROL!$C$42, 0.5599, 0.5599)*CHOOSE(CONTROL!$C$42, 31, 31))/1000000</f>
        <v>12.063045499999998</v>
      </c>
      <c r="V480" s="57">
        <f>(1000*CHOOSE(CONTROL!$C$42, 500, 500)*CHOOSE(CONTROL!$C$42, 0.275, 0.275)*CHOOSE(CONTROL!$C$42, 31, 31))/1000000</f>
        <v>4.2625000000000002</v>
      </c>
      <c r="W480" s="57">
        <f>(1000*CHOOSE(CONTROL!$C$42, 0.1146, 0.1146)*CHOOSE(CONTROL!$C$42, 121.5, 121.5)*CHOOSE(CONTROL!$C$42, 31, 31))/1000000</f>
        <v>0.43164089999999994</v>
      </c>
      <c r="X480" s="57">
        <f>(31*0.1790888*100000/1000000)+(31*0.2374*100000/1000000)</f>
        <v>1.2911152800000001</v>
      </c>
      <c r="Y480" s="57"/>
      <c r="Z480" s="10"/>
      <c r="AA480" s="56"/>
      <c r="AB480" s="50">
        <f>(B480*122.58+C480*297.941+D480*89.177+E480*40.302+F480*40+G480*160+H480*0+I480*100+J480*300)/(122.58+297.941+89.177+40.302+0+40+160+100+300)</f>
        <v>19.882521554</v>
      </c>
      <c r="AC480" s="45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19.724207194244602</v>
      </c>
    </row>
    <row r="481" spans="1:29" ht="15.75" x14ac:dyDescent="0.25">
      <c r="A481" s="14">
        <v>55549</v>
      </c>
      <c r="B481" s="10">
        <f>CHOOSE(CONTROL!$C$42, 21.5004, 21.5004) * CHOOSE(CONTROL!$C$21, $C$9, 100%, $E$9)</f>
        <v>21.500399999999999</v>
      </c>
      <c r="C481" s="10">
        <f>CHOOSE(CONTROL!$C$42, 21.5053, 21.5053) * CHOOSE(CONTROL!$C$21, $C$9, 100%, $E$9)</f>
        <v>21.505299999999998</v>
      </c>
      <c r="D481" s="10">
        <f>CHOOSE(CONTROL!$C$42, 21.5624, 21.5624) * CHOOSE(CONTROL!$C$21, $C$9, 100%, $E$9)</f>
        <v>21.5624</v>
      </c>
      <c r="E481" s="10">
        <f>CHOOSE(CONTROL!$C$42, 21.5962, 21.5962) * CHOOSE(CONTROL!$C$21, $C$9, 100%, $E$9)</f>
        <v>21.5962</v>
      </c>
      <c r="F481" s="10">
        <f>CHOOSE(CONTROL!$C$42, 21.4982, 21.4982)*CHOOSE(CONTROL!$C$21, $C$9, 100%, $E$9)</f>
        <v>21.498200000000001</v>
      </c>
      <c r="G481" s="10">
        <f>CHOOSE(CONTROL!$C$42, 21.5128, 21.5128)*CHOOSE(CONTROL!$C$21, $C$9, 100%, $E$9)</f>
        <v>21.512799999999999</v>
      </c>
      <c r="H481" s="10">
        <f>CHOOSE(CONTROL!$C$42, 21.5854, 21.5854) * CHOOSE(CONTROL!$C$21, $C$9, 100%, $E$9)</f>
        <v>21.5854</v>
      </c>
      <c r="I481" s="10">
        <f>CHOOSE(CONTROL!$C$42, 21.5112, 21.5112)* CHOOSE(CONTROL!$C$21, $C$9, 100%, $E$9)</f>
        <v>21.511199999999999</v>
      </c>
      <c r="J481" s="10">
        <f>CHOOSE(CONTROL!$C$42, 21.4912, 21.4912)* CHOOSE(CONTROL!$C$21, $C$9, 100%, $E$9)</f>
        <v>21.491199999999999</v>
      </c>
      <c r="K481" s="53">
        <f>CHOOSE(CONTROL!$C$42, 21.5073, 21.5073) * CHOOSE(CONTROL!$C$21, $C$9, 100%, $E$9)</f>
        <v>21.507300000000001</v>
      </c>
      <c r="L481" s="10">
        <f>CHOOSE(CONTROL!$C$42, 22.1724, 22.1724) * CHOOSE(CONTROL!$C$21, $C$9, 100%, $E$9)</f>
        <v>22.1724</v>
      </c>
      <c r="M481" s="10">
        <f>CHOOSE(CONTROL!$C$42, 21.2881, 21.2881) * CHOOSE(CONTROL!$C$21, $C$9, 100%, $E$9)</f>
        <v>21.2881</v>
      </c>
      <c r="N481" s="10">
        <f>CHOOSE(CONTROL!$C$42, 21.3026, 21.3026) * CHOOSE(CONTROL!$C$21, $C$9, 100%, $E$9)</f>
        <v>21.302600000000002</v>
      </c>
      <c r="O481" s="10">
        <f>CHOOSE(CONTROL!$C$42, 21.3814, 21.3814) * CHOOSE(CONTROL!$C$21, $C$9, 100%, $E$9)</f>
        <v>21.381399999999999</v>
      </c>
      <c r="P481" s="10">
        <f>CHOOSE(CONTROL!$C$42, 21.308, 21.308) * CHOOSE(CONTROL!$C$21, $C$9, 100%, $E$9)</f>
        <v>21.308</v>
      </c>
      <c r="Q481" s="10">
        <f>CHOOSE(CONTROL!$C$42, 21.9767, 21.9767) * CHOOSE(CONTROL!$C$21, $C$9, 100%, $E$9)</f>
        <v>21.976700000000001</v>
      </c>
      <c r="R481" s="10">
        <f>CHOOSE(CONTROL!$C$42, 22.6186, 22.6186) * CHOOSE(CONTROL!$C$21, $C$9, 100%, $E$9)</f>
        <v>22.618600000000001</v>
      </c>
      <c r="S481" s="10">
        <f>CHOOSE(CONTROL!$C$42, 20.8769, 20.8769) * CHOOSE(CONTROL!$C$21, $C$9, 100%, $E$9)</f>
        <v>20.876899999999999</v>
      </c>
      <c r="T4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57">
        <f>(1000*CHOOSE(CONTROL!$C$42, 695, 695)*CHOOSE(CONTROL!$C$42, 0.5599, 0.5599)*CHOOSE(CONTROL!$C$42, 31, 31))/1000000</f>
        <v>12.063045499999998</v>
      </c>
      <c r="V481" s="57">
        <f>(1000*CHOOSE(CONTROL!$C$42, 500, 500)*CHOOSE(CONTROL!$C$42, 0.275, 0.275)*CHOOSE(CONTROL!$C$42, 31, 31))/1000000</f>
        <v>4.2625000000000002</v>
      </c>
      <c r="W481" s="57">
        <f>(1000*CHOOSE(CONTROL!$C$42, 0.1146, 0.1146)*CHOOSE(CONTROL!$C$42, 121.5, 121.5)*CHOOSE(CONTROL!$C$42, 31, 31))/1000000</f>
        <v>0.43164089999999994</v>
      </c>
      <c r="X481" s="57">
        <f>(31*0.1790888*100000/1000000)+(31*0.2374*100000/1000000)</f>
        <v>1.2911152800000001</v>
      </c>
      <c r="Y481" s="57"/>
      <c r="Z481" s="10"/>
      <c r="AA481" s="56"/>
      <c r="AB481" s="50">
        <f>(B481*122.58+C481*297.941+D481*89.177+E481*40.302+F481*40+G481*160+H481*0+I481*100+J481*300)/(122.58+297.941+89.177+40.302+0+40+160+100+300)</f>
        <v>21.510022449130432</v>
      </c>
      <c r="AC481" s="45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21.334084892086327</v>
      </c>
    </row>
    <row r="482" spans="1:29" ht="15.75" x14ac:dyDescent="0.25">
      <c r="A482" s="14">
        <v>55577</v>
      </c>
      <c r="B482" s="10">
        <f>CHOOSE(CONTROL!$C$42, 21.8831, 21.8831) * CHOOSE(CONTROL!$C$21, $C$9, 100%, $E$9)</f>
        <v>21.883099999999999</v>
      </c>
      <c r="C482" s="10">
        <f>CHOOSE(CONTROL!$C$42, 21.888, 21.888) * CHOOSE(CONTROL!$C$21, $C$9, 100%, $E$9)</f>
        <v>21.888000000000002</v>
      </c>
      <c r="D482" s="10">
        <f>CHOOSE(CONTROL!$C$42, 21.9451, 21.9451) * CHOOSE(CONTROL!$C$21, $C$9, 100%, $E$9)</f>
        <v>21.9451</v>
      </c>
      <c r="E482" s="10">
        <f>CHOOSE(CONTROL!$C$42, 21.9789, 21.9789) * CHOOSE(CONTROL!$C$21, $C$9, 100%, $E$9)</f>
        <v>21.978899999999999</v>
      </c>
      <c r="F482" s="10">
        <f>CHOOSE(CONTROL!$C$42, 21.881, 21.881)*CHOOSE(CONTROL!$C$21, $C$9, 100%, $E$9)</f>
        <v>21.881</v>
      </c>
      <c r="G482" s="10">
        <f>CHOOSE(CONTROL!$C$42, 21.8956, 21.8956)*CHOOSE(CONTROL!$C$21, $C$9, 100%, $E$9)</f>
        <v>21.895600000000002</v>
      </c>
      <c r="H482" s="10">
        <f>CHOOSE(CONTROL!$C$42, 21.9681, 21.9681) * CHOOSE(CONTROL!$C$21, $C$9, 100%, $E$9)</f>
        <v>21.9681</v>
      </c>
      <c r="I482" s="10">
        <f>CHOOSE(CONTROL!$C$42, 21.8939, 21.8939)* CHOOSE(CONTROL!$C$21, $C$9, 100%, $E$9)</f>
        <v>21.893899999999999</v>
      </c>
      <c r="J482" s="10">
        <f>CHOOSE(CONTROL!$C$42, 21.874, 21.874)* CHOOSE(CONTROL!$C$21, $C$9, 100%, $E$9)</f>
        <v>21.873999999999999</v>
      </c>
      <c r="K482" s="53">
        <f>CHOOSE(CONTROL!$C$42, 21.89, 21.89) * CHOOSE(CONTROL!$C$21, $C$9, 100%, $E$9)</f>
        <v>21.89</v>
      </c>
      <c r="L482" s="10">
        <f>CHOOSE(CONTROL!$C$42, 22.5551, 22.5551) * CHOOSE(CONTROL!$C$21, $C$9, 100%, $E$9)</f>
        <v>22.555099999999999</v>
      </c>
      <c r="M482" s="10">
        <f>CHOOSE(CONTROL!$C$42, 21.6671, 21.6671) * CHOOSE(CONTROL!$C$21, $C$9, 100%, $E$9)</f>
        <v>21.667100000000001</v>
      </c>
      <c r="N482" s="10">
        <f>CHOOSE(CONTROL!$C$42, 21.6816, 21.6816) * CHOOSE(CONTROL!$C$21, $C$9, 100%, $E$9)</f>
        <v>21.6816</v>
      </c>
      <c r="O482" s="10">
        <f>CHOOSE(CONTROL!$C$42, 21.7602, 21.7602) * CHOOSE(CONTROL!$C$21, $C$9, 100%, $E$9)</f>
        <v>21.760200000000001</v>
      </c>
      <c r="P482" s="10">
        <f>CHOOSE(CONTROL!$C$42, 21.6868, 21.6868) * CHOOSE(CONTROL!$C$21, $C$9, 100%, $E$9)</f>
        <v>21.686800000000002</v>
      </c>
      <c r="Q482" s="10">
        <f>CHOOSE(CONTROL!$C$42, 22.3555, 22.3555) * CHOOSE(CONTROL!$C$21, $C$9, 100%, $E$9)</f>
        <v>22.355499999999999</v>
      </c>
      <c r="R482" s="10">
        <f>CHOOSE(CONTROL!$C$42, 22.9984, 22.9984) * CHOOSE(CONTROL!$C$21, $C$9, 100%, $E$9)</f>
        <v>22.9984</v>
      </c>
      <c r="S482" s="10">
        <f>CHOOSE(CONTROL!$C$42, 21.2485, 21.2485) * CHOOSE(CONTROL!$C$21, $C$9, 100%, $E$9)</f>
        <v>21.2485</v>
      </c>
      <c r="T48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82" s="57">
        <f>(1000*CHOOSE(CONTROL!$C$42, 695, 695)*CHOOSE(CONTROL!$C$42, 0.5599, 0.5599)*CHOOSE(CONTROL!$C$42, 29, 29))/1000000</f>
        <v>11.284784499999999</v>
      </c>
      <c r="V482" s="57">
        <f>(1000*CHOOSE(CONTROL!$C$42, 500, 500)*CHOOSE(CONTROL!$C$42, 0.275, 0.275)*CHOOSE(CONTROL!$C$42, 29, 29))/1000000</f>
        <v>3.9874999999999998</v>
      </c>
      <c r="W482" s="57">
        <f>(1000*CHOOSE(CONTROL!$C$42, 0.1146, 0.1146)*CHOOSE(CONTROL!$C$42, 121.5, 121.5)*CHOOSE(CONTROL!$C$42, 29, 29))/1000000</f>
        <v>0.40379309999999996</v>
      </c>
      <c r="X482" s="57">
        <f>(29*0.1790888*100000/1000000)+(29*0.2374*100000/1000000)</f>
        <v>1.2078175199999999</v>
      </c>
      <c r="Y482" s="57"/>
      <c r="Z482" s="10"/>
      <c r="AA482" s="56"/>
      <c r="AB482" s="50">
        <f>(B482*122.58+C482*297.941+D482*89.177+E482*40.302+F482*40+G482*160+H482*0+I482*100+J482*300)/(122.58+297.941+89.177+40.302+0+40+160+100+300)</f>
        <v>21.892765927391306</v>
      </c>
      <c r="AC482" s="45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21.712965467625903</v>
      </c>
    </row>
    <row r="483" spans="1:29" ht="15.75" x14ac:dyDescent="0.25">
      <c r="A483" s="14">
        <v>55609</v>
      </c>
      <c r="B483" s="10">
        <f>CHOOSE(CONTROL!$C$42, 21.2619, 21.2619) * CHOOSE(CONTROL!$C$21, $C$9, 100%, $E$9)</f>
        <v>21.261900000000001</v>
      </c>
      <c r="C483" s="10">
        <f>CHOOSE(CONTROL!$C$42, 21.2668, 21.2668) * CHOOSE(CONTROL!$C$21, $C$9, 100%, $E$9)</f>
        <v>21.2668</v>
      </c>
      <c r="D483" s="10">
        <f>CHOOSE(CONTROL!$C$42, 21.3239, 21.3239) * CHOOSE(CONTROL!$C$21, $C$9, 100%, $E$9)</f>
        <v>21.323899999999998</v>
      </c>
      <c r="E483" s="10">
        <f>CHOOSE(CONTROL!$C$42, 21.3577, 21.3577) * CHOOSE(CONTROL!$C$21, $C$9, 100%, $E$9)</f>
        <v>21.357700000000001</v>
      </c>
      <c r="F483" s="10">
        <f>CHOOSE(CONTROL!$C$42, 21.2597, 21.2597)*CHOOSE(CONTROL!$C$21, $C$9, 100%, $E$9)</f>
        <v>21.259699999999999</v>
      </c>
      <c r="G483" s="10">
        <f>CHOOSE(CONTROL!$C$42, 21.2743, 21.2743)*CHOOSE(CONTROL!$C$21, $C$9, 100%, $E$9)</f>
        <v>21.2743</v>
      </c>
      <c r="H483" s="10">
        <f>CHOOSE(CONTROL!$C$42, 21.3469, 21.3469) * CHOOSE(CONTROL!$C$21, $C$9, 100%, $E$9)</f>
        <v>21.346900000000002</v>
      </c>
      <c r="I483" s="10">
        <f>CHOOSE(CONTROL!$C$42, 21.2727, 21.2727)* CHOOSE(CONTROL!$C$21, $C$9, 100%, $E$9)</f>
        <v>21.2727</v>
      </c>
      <c r="J483" s="10">
        <f>CHOOSE(CONTROL!$C$42, 21.2527, 21.2527)* CHOOSE(CONTROL!$C$21, $C$9, 100%, $E$9)</f>
        <v>21.252700000000001</v>
      </c>
      <c r="K483" s="53">
        <f>CHOOSE(CONTROL!$C$42, 21.2688, 21.2688) * CHOOSE(CONTROL!$C$21, $C$9, 100%, $E$9)</f>
        <v>21.268799999999999</v>
      </c>
      <c r="L483" s="10">
        <f>CHOOSE(CONTROL!$C$42, 21.9339, 21.9339) * CHOOSE(CONTROL!$C$21, $C$9, 100%, $E$9)</f>
        <v>21.933900000000001</v>
      </c>
      <c r="M483" s="10">
        <f>CHOOSE(CONTROL!$C$42, 21.052, 21.052) * CHOOSE(CONTROL!$C$21, $C$9, 100%, $E$9)</f>
        <v>21.052</v>
      </c>
      <c r="N483" s="10">
        <f>CHOOSE(CONTROL!$C$42, 21.0665, 21.0665) * CHOOSE(CONTROL!$C$21, $C$9, 100%, $E$9)</f>
        <v>21.066500000000001</v>
      </c>
      <c r="O483" s="10">
        <f>CHOOSE(CONTROL!$C$42, 21.1453, 21.1453) * CHOOSE(CONTROL!$C$21, $C$9, 100%, $E$9)</f>
        <v>21.145299999999999</v>
      </c>
      <c r="P483" s="10">
        <f>CHOOSE(CONTROL!$C$42, 21.0719, 21.0719) * CHOOSE(CONTROL!$C$21, $C$9, 100%, $E$9)</f>
        <v>21.071899999999999</v>
      </c>
      <c r="Q483" s="10">
        <f>CHOOSE(CONTROL!$C$42, 21.7406, 21.7406) * CHOOSE(CONTROL!$C$21, $C$9, 100%, $E$9)</f>
        <v>21.740600000000001</v>
      </c>
      <c r="R483" s="10">
        <f>CHOOSE(CONTROL!$C$42, 22.3819, 22.3819) * CHOOSE(CONTROL!$C$21, $C$9, 100%, $E$9)</f>
        <v>22.381900000000002</v>
      </c>
      <c r="S483" s="10">
        <f>CHOOSE(CONTROL!$C$42, 20.6453, 20.6453) * CHOOSE(CONTROL!$C$21, $C$9, 100%, $E$9)</f>
        <v>20.645299999999999</v>
      </c>
      <c r="T4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57">
        <f>(1000*CHOOSE(CONTROL!$C$42, 695, 695)*CHOOSE(CONTROL!$C$42, 0.5599, 0.5599)*CHOOSE(CONTROL!$C$42, 31, 31))/1000000</f>
        <v>12.063045499999998</v>
      </c>
      <c r="V483" s="57">
        <f>(1000*CHOOSE(CONTROL!$C$42, 500, 500)*CHOOSE(CONTROL!$C$42, 0.275, 0.275)*CHOOSE(CONTROL!$C$42, 31, 31))/1000000</f>
        <v>4.2625000000000002</v>
      </c>
      <c r="W483" s="57">
        <f>(1000*CHOOSE(CONTROL!$C$42, 0.1146, 0.1146)*CHOOSE(CONTROL!$C$42, 121.5, 121.5)*CHOOSE(CONTROL!$C$42, 31, 31))/1000000</f>
        <v>0.43164089999999994</v>
      </c>
      <c r="X483" s="57">
        <f>(31*0.1790888*100000/1000000)+(31*0.2374*100000/1000000)</f>
        <v>1.2911152800000001</v>
      </c>
      <c r="Y483" s="57"/>
      <c r="Z483" s="10"/>
      <c r="AA483" s="56"/>
      <c r="AB483" s="50">
        <f>(B483*122.58+C483*297.941+D483*89.177+E483*40.302+F483*40+G483*160+H483*0+I483*100+J483*300)/(122.58+297.941+89.177+40.302+0+40+160+100+300)</f>
        <v>21.271522449130433</v>
      </c>
      <c r="AC483" s="45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21.09798489208633</v>
      </c>
    </row>
    <row r="484" spans="1:29" ht="15.75" x14ac:dyDescent="0.25">
      <c r="A484" s="14">
        <v>55639</v>
      </c>
      <c r="B484" s="10">
        <f>CHOOSE(CONTROL!$C$42, 21.1994, 21.1994) * CHOOSE(CONTROL!$C$21, $C$9, 100%, $E$9)</f>
        <v>21.199400000000001</v>
      </c>
      <c r="C484" s="10">
        <f>CHOOSE(CONTROL!$C$42, 21.2038, 21.2038) * CHOOSE(CONTROL!$C$21, $C$9, 100%, $E$9)</f>
        <v>21.203800000000001</v>
      </c>
      <c r="D484" s="10">
        <f>CHOOSE(CONTROL!$C$42, 21.4096, 21.4096) * CHOOSE(CONTROL!$C$21, $C$9, 100%, $E$9)</f>
        <v>21.409600000000001</v>
      </c>
      <c r="E484" s="10">
        <f>CHOOSE(CONTROL!$C$42, 21.4414, 21.4414) * CHOOSE(CONTROL!$C$21, $C$9, 100%, $E$9)</f>
        <v>21.441400000000002</v>
      </c>
      <c r="F484" s="10">
        <f>CHOOSE(CONTROL!$C$42, 21.1762, 21.1762)*CHOOSE(CONTROL!$C$21, $C$9, 100%, $E$9)</f>
        <v>21.176200000000001</v>
      </c>
      <c r="G484" s="10">
        <f>CHOOSE(CONTROL!$C$42, 21.1907, 21.1907)*CHOOSE(CONTROL!$C$21, $C$9, 100%, $E$9)</f>
        <v>21.1907</v>
      </c>
      <c r="H484" s="10">
        <f>CHOOSE(CONTROL!$C$42, 21.4312, 21.4312) * CHOOSE(CONTROL!$C$21, $C$9, 100%, $E$9)</f>
        <v>21.4312</v>
      </c>
      <c r="I484" s="10">
        <f>CHOOSE(CONTROL!$C$42, 21.2008, 21.2008)* CHOOSE(CONTROL!$C$21, $C$9, 100%, $E$9)</f>
        <v>21.200800000000001</v>
      </c>
      <c r="J484" s="10">
        <f>CHOOSE(CONTROL!$C$42, 21.1692, 21.1692)* CHOOSE(CONTROL!$C$21, $C$9, 100%, $E$9)</f>
        <v>21.1692</v>
      </c>
      <c r="K484" s="53">
        <f>CHOOSE(CONTROL!$C$42, 21.1969, 21.1969) * CHOOSE(CONTROL!$C$21, $C$9, 100%, $E$9)</f>
        <v>21.196899999999999</v>
      </c>
      <c r="L484" s="10">
        <f>CHOOSE(CONTROL!$C$42, 22.0182, 22.0182) * CHOOSE(CONTROL!$C$21, $C$9, 100%, $E$9)</f>
        <v>22.0182</v>
      </c>
      <c r="M484" s="10">
        <f>CHOOSE(CONTROL!$C$42, 20.9694, 20.9694) * CHOOSE(CONTROL!$C$21, $C$9, 100%, $E$9)</f>
        <v>20.9694</v>
      </c>
      <c r="N484" s="10">
        <f>CHOOSE(CONTROL!$C$42, 20.9837, 20.9837) * CHOOSE(CONTROL!$C$21, $C$9, 100%, $E$9)</f>
        <v>20.983699999999999</v>
      </c>
      <c r="O484" s="10">
        <f>CHOOSE(CONTROL!$C$42, 21.2288, 21.2288) * CHOOSE(CONTROL!$C$21, $C$9, 100%, $E$9)</f>
        <v>21.2288</v>
      </c>
      <c r="P484" s="10">
        <f>CHOOSE(CONTROL!$C$42, 21.0007, 21.0007) * CHOOSE(CONTROL!$C$21, $C$9, 100%, $E$9)</f>
        <v>21.000699999999998</v>
      </c>
      <c r="Q484" s="10">
        <f>CHOOSE(CONTROL!$C$42, 21.8241, 21.8241) * CHOOSE(CONTROL!$C$21, $C$9, 100%, $E$9)</f>
        <v>21.824100000000001</v>
      </c>
      <c r="R484" s="10">
        <f>CHOOSE(CONTROL!$C$42, 22.4656, 22.4656) * CHOOSE(CONTROL!$C$21, $C$9, 100%, $E$9)</f>
        <v>22.465599999999998</v>
      </c>
      <c r="S484" s="10">
        <f>CHOOSE(CONTROL!$C$42, 20.5838, 20.5838) * CHOOSE(CONTROL!$C$21, $C$9, 100%, $E$9)</f>
        <v>20.5838</v>
      </c>
      <c r="T4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57">
        <f>(1000*CHOOSE(CONTROL!$C$42, 695, 695)*CHOOSE(CONTROL!$C$42, 0.5599, 0.5599)*CHOOSE(CONTROL!$C$42, 30, 30))/1000000</f>
        <v>11.673914999999997</v>
      </c>
      <c r="V484" s="57">
        <f>(1000*CHOOSE(CONTROL!$C$42, 500, 500)*CHOOSE(CONTROL!$C$42, 0.275, 0.275)*CHOOSE(CONTROL!$C$42, 30, 30))/1000000</f>
        <v>4.125</v>
      </c>
      <c r="W484" s="57">
        <f>(1000*CHOOSE(CONTROL!$C$42, 0.1146, 0.1146)*CHOOSE(CONTROL!$C$42, 121.5, 121.5)*CHOOSE(CONTROL!$C$42, 30, 30))/1000000</f>
        <v>0.417717</v>
      </c>
      <c r="X484" s="57">
        <f>(30*0.1790888*245000/1000000)+(30*0.2374*100000/1000000)</f>
        <v>2.0285026799999999</v>
      </c>
      <c r="Y484" s="57"/>
      <c r="Z484" s="10"/>
      <c r="AA484" s="56"/>
      <c r="AB484" s="50">
        <f>(B484*141.293+C484*267.993+D484*115.016+E484*89.698+F484*40+G484*185+H484*0+I484*100+J484*300)/(141.293+267.993+115.016+89.698+0+40+185+100+300)</f>
        <v>21.228136842937854</v>
      </c>
      <c r="AC484" s="45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21.049976978417263</v>
      </c>
    </row>
    <row r="485" spans="1:29" ht="15.75" x14ac:dyDescent="0.25">
      <c r="A485" s="14">
        <v>55670</v>
      </c>
      <c r="B485" s="10">
        <f>CHOOSE(CONTROL!$C$42, 21.3879, 21.3879) * CHOOSE(CONTROL!$C$21, $C$9, 100%, $E$9)</f>
        <v>21.387899999999998</v>
      </c>
      <c r="C485" s="10">
        <f>CHOOSE(CONTROL!$C$42, 21.3958, 21.3958) * CHOOSE(CONTROL!$C$21, $C$9, 100%, $E$9)</f>
        <v>21.395800000000001</v>
      </c>
      <c r="D485" s="10">
        <f>CHOOSE(CONTROL!$C$42, 21.5985, 21.5985) * CHOOSE(CONTROL!$C$21, $C$9, 100%, $E$9)</f>
        <v>21.598500000000001</v>
      </c>
      <c r="E485" s="10">
        <f>CHOOSE(CONTROL!$C$42, 21.6296, 21.6296) * CHOOSE(CONTROL!$C$21, $C$9, 100%, $E$9)</f>
        <v>21.6296</v>
      </c>
      <c r="F485" s="10">
        <f>CHOOSE(CONTROL!$C$42, 21.3636, 21.3636)*CHOOSE(CONTROL!$C$21, $C$9, 100%, $E$9)</f>
        <v>21.363600000000002</v>
      </c>
      <c r="G485" s="10">
        <f>CHOOSE(CONTROL!$C$42, 21.3786, 21.3786)*CHOOSE(CONTROL!$C$21, $C$9, 100%, $E$9)</f>
        <v>21.378599999999999</v>
      </c>
      <c r="H485" s="10">
        <f>CHOOSE(CONTROL!$C$42, 21.6183, 21.6183) * CHOOSE(CONTROL!$C$21, $C$9, 100%, $E$9)</f>
        <v>21.618300000000001</v>
      </c>
      <c r="I485" s="10">
        <f>CHOOSE(CONTROL!$C$42, 21.3879, 21.3879)* CHOOSE(CONTROL!$C$21, $C$9, 100%, $E$9)</f>
        <v>21.387899999999998</v>
      </c>
      <c r="J485" s="10">
        <f>CHOOSE(CONTROL!$C$42, 21.3566, 21.3566)* CHOOSE(CONTROL!$C$21, $C$9, 100%, $E$9)</f>
        <v>21.3566</v>
      </c>
      <c r="K485" s="53">
        <f>CHOOSE(CONTROL!$C$42, 21.384, 21.384) * CHOOSE(CONTROL!$C$21, $C$9, 100%, $E$9)</f>
        <v>21.384</v>
      </c>
      <c r="L485" s="10">
        <f>CHOOSE(CONTROL!$C$42, 22.2053, 22.2053) * CHOOSE(CONTROL!$C$21, $C$9, 100%, $E$9)</f>
        <v>22.205300000000001</v>
      </c>
      <c r="M485" s="10">
        <f>CHOOSE(CONTROL!$C$42, 21.1549, 21.1549) * CHOOSE(CONTROL!$C$21, $C$9, 100%, $E$9)</f>
        <v>21.154900000000001</v>
      </c>
      <c r="N485" s="10">
        <f>CHOOSE(CONTROL!$C$42, 21.1697, 21.1697) * CHOOSE(CONTROL!$C$21, $C$9, 100%, $E$9)</f>
        <v>21.169699999999999</v>
      </c>
      <c r="O485" s="10">
        <f>CHOOSE(CONTROL!$C$42, 21.4139, 21.4139) * CHOOSE(CONTROL!$C$21, $C$9, 100%, $E$9)</f>
        <v>21.413900000000002</v>
      </c>
      <c r="P485" s="10">
        <f>CHOOSE(CONTROL!$C$42, 21.1859, 21.1859) * CHOOSE(CONTROL!$C$21, $C$9, 100%, $E$9)</f>
        <v>21.1859</v>
      </c>
      <c r="Q485" s="10">
        <f>CHOOSE(CONTROL!$C$42, 22.0092, 22.0092) * CHOOSE(CONTROL!$C$21, $C$9, 100%, $E$9)</f>
        <v>22.0092</v>
      </c>
      <c r="R485" s="10">
        <f>CHOOSE(CONTROL!$C$42, 22.6513, 22.6513) * CHOOSE(CONTROL!$C$21, $C$9, 100%, $E$9)</f>
        <v>22.651299999999999</v>
      </c>
      <c r="S485" s="10">
        <f>CHOOSE(CONTROL!$C$42, 20.7655, 20.7655) * CHOOSE(CONTROL!$C$21, $C$9, 100%, $E$9)</f>
        <v>20.765499999999999</v>
      </c>
      <c r="T4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57">
        <f>(1000*CHOOSE(CONTROL!$C$42, 695, 695)*CHOOSE(CONTROL!$C$42, 0.5599, 0.5599)*CHOOSE(CONTROL!$C$42, 31, 31))/1000000</f>
        <v>12.063045499999998</v>
      </c>
      <c r="V485" s="57">
        <f>(1000*CHOOSE(CONTROL!$C$42, 500, 500)*CHOOSE(CONTROL!$C$42, 0.275, 0.275)*CHOOSE(CONTROL!$C$42, 31, 31))/1000000</f>
        <v>4.2625000000000002</v>
      </c>
      <c r="W485" s="57">
        <f>(1000*CHOOSE(CONTROL!$C$42, 0.1146, 0.1146)*CHOOSE(CONTROL!$C$42, 121.5, 121.5)*CHOOSE(CONTROL!$C$42, 31, 31))/1000000</f>
        <v>0.43164089999999994</v>
      </c>
      <c r="X485" s="57">
        <f>(31*0.1790888*245000/1000000)+(31*0.2374*100000/1000000)</f>
        <v>2.0961194359999999</v>
      </c>
      <c r="Y485" s="57"/>
      <c r="Z485" s="10"/>
      <c r="AA485" s="56"/>
      <c r="AB485" s="50">
        <f>(B485*194.205+C485*267.466+D485*133.845+E485*53.484+F485*40+G485*185+H485*0+I485*100+J485*300)/(194.205+267.466+133.845+53.484+0+40+185+100+300)</f>
        <v>21.412346876923078</v>
      </c>
      <c r="AC485" s="45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21.235436690647486</v>
      </c>
    </row>
    <row r="486" spans="1:29" ht="15.75" x14ac:dyDescent="0.25">
      <c r="A486" s="14">
        <v>55700</v>
      </c>
      <c r="B486" s="10">
        <f>CHOOSE(CONTROL!$C$42, 21.9944, 21.9944) * CHOOSE(CONTROL!$C$21, $C$9, 100%, $E$9)</f>
        <v>21.994399999999999</v>
      </c>
      <c r="C486" s="10">
        <f>CHOOSE(CONTROL!$C$42, 22.0023, 22.0023) * CHOOSE(CONTROL!$C$21, $C$9, 100%, $E$9)</f>
        <v>22.002300000000002</v>
      </c>
      <c r="D486" s="10">
        <f>CHOOSE(CONTROL!$C$42, 22.205, 22.205) * CHOOSE(CONTROL!$C$21, $C$9, 100%, $E$9)</f>
        <v>22.204999999999998</v>
      </c>
      <c r="E486" s="10">
        <f>CHOOSE(CONTROL!$C$42, 22.2362, 22.2362) * CHOOSE(CONTROL!$C$21, $C$9, 100%, $E$9)</f>
        <v>22.2362</v>
      </c>
      <c r="F486" s="10">
        <f>CHOOSE(CONTROL!$C$42, 21.9706, 21.9706)*CHOOSE(CONTROL!$C$21, $C$9, 100%, $E$9)</f>
        <v>21.970600000000001</v>
      </c>
      <c r="G486" s="10">
        <f>CHOOSE(CONTROL!$C$42, 21.9858, 21.9858)*CHOOSE(CONTROL!$C$21, $C$9, 100%, $E$9)</f>
        <v>21.985800000000001</v>
      </c>
      <c r="H486" s="10">
        <f>CHOOSE(CONTROL!$C$42, 22.2248, 22.2248) * CHOOSE(CONTROL!$C$21, $C$9, 100%, $E$9)</f>
        <v>22.224799999999998</v>
      </c>
      <c r="I486" s="10">
        <f>CHOOSE(CONTROL!$C$42, 21.9944, 21.9944)* CHOOSE(CONTROL!$C$21, $C$9, 100%, $E$9)</f>
        <v>21.994399999999999</v>
      </c>
      <c r="J486" s="10">
        <f>CHOOSE(CONTROL!$C$42, 21.9636, 21.9636)* CHOOSE(CONTROL!$C$21, $C$9, 100%, $E$9)</f>
        <v>21.9636</v>
      </c>
      <c r="K486" s="53">
        <f>CHOOSE(CONTROL!$C$42, 21.9905, 21.9905) * CHOOSE(CONTROL!$C$21, $C$9, 100%, $E$9)</f>
        <v>21.990500000000001</v>
      </c>
      <c r="L486" s="10">
        <f>CHOOSE(CONTROL!$C$42, 22.8118, 22.8118) * CHOOSE(CONTROL!$C$21, $C$9, 100%, $E$9)</f>
        <v>22.811800000000002</v>
      </c>
      <c r="M486" s="10">
        <f>CHOOSE(CONTROL!$C$42, 21.7558, 21.7558) * CHOOSE(CONTROL!$C$21, $C$9, 100%, $E$9)</f>
        <v>21.755800000000001</v>
      </c>
      <c r="N486" s="10">
        <f>CHOOSE(CONTROL!$C$42, 21.7708, 21.7708) * CHOOSE(CONTROL!$C$21, $C$9, 100%, $E$9)</f>
        <v>21.770800000000001</v>
      </c>
      <c r="O486" s="10">
        <f>CHOOSE(CONTROL!$C$42, 22.0144, 22.0144) * CHOOSE(CONTROL!$C$21, $C$9, 100%, $E$9)</f>
        <v>22.014399999999998</v>
      </c>
      <c r="P486" s="10">
        <f>CHOOSE(CONTROL!$C$42, 21.7863, 21.7863) * CHOOSE(CONTROL!$C$21, $C$9, 100%, $E$9)</f>
        <v>21.786300000000001</v>
      </c>
      <c r="Q486" s="10">
        <f>CHOOSE(CONTROL!$C$42, 22.6097, 22.6097) * CHOOSE(CONTROL!$C$21, $C$9, 100%, $E$9)</f>
        <v>22.6097</v>
      </c>
      <c r="R486" s="10">
        <f>CHOOSE(CONTROL!$C$42, 23.2532, 23.2532) * CHOOSE(CONTROL!$C$21, $C$9, 100%, $E$9)</f>
        <v>23.2532</v>
      </c>
      <c r="S486" s="10">
        <f>CHOOSE(CONTROL!$C$42, 21.3545, 21.3545) * CHOOSE(CONTROL!$C$21, $C$9, 100%, $E$9)</f>
        <v>21.354500000000002</v>
      </c>
      <c r="T4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57">
        <f>(1000*CHOOSE(CONTROL!$C$42, 695, 695)*CHOOSE(CONTROL!$C$42, 0.5599, 0.5599)*CHOOSE(CONTROL!$C$42, 30, 30))/1000000</f>
        <v>11.673914999999997</v>
      </c>
      <c r="V486" s="57">
        <f>(1000*CHOOSE(CONTROL!$C$42, 500, 500)*CHOOSE(CONTROL!$C$42, 0.275, 0.275)*CHOOSE(CONTROL!$C$42, 30, 30))/1000000</f>
        <v>4.125</v>
      </c>
      <c r="W486" s="57">
        <f>(1000*CHOOSE(CONTROL!$C$42, 0.1146, 0.1146)*CHOOSE(CONTROL!$C$42, 121.5, 121.5)*CHOOSE(CONTROL!$C$42, 30, 30))/1000000</f>
        <v>0.417717</v>
      </c>
      <c r="X486" s="57">
        <f>(30*0.1790888*245000/1000000)+(30*0.2374*100000/1000000)</f>
        <v>2.0285026799999999</v>
      </c>
      <c r="Y486" s="57"/>
      <c r="Z486" s="10"/>
      <c r="AA486" s="56"/>
      <c r="AB486" s="50">
        <f>(B486*194.205+C486*267.466+D486*133.845+E486*53.484+F486*40+G486*185+H486*0+I486*100+J486*300)/(194.205+267.466+133.845+53.484+0+40+185+100+300)</f>
        <v>22.019086161381473</v>
      </c>
      <c r="AC486" s="45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21.836198561151082</v>
      </c>
    </row>
    <row r="487" spans="1:29" ht="15.75" x14ac:dyDescent="0.25">
      <c r="A487" s="14">
        <v>55731</v>
      </c>
      <c r="B487" s="10">
        <f>CHOOSE(CONTROL!$C$42, 21.5725, 21.5725) * CHOOSE(CONTROL!$C$21, $C$9, 100%, $E$9)</f>
        <v>21.572500000000002</v>
      </c>
      <c r="C487" s="10">
        <f>CHOOSE(CONTROL!$C$42, 21.5805, 21.5805) * CHOOSE(CONTROL!$C$21, $C$9, 100%, $E$9)</f>
        <v>21.580500000000001</v>
      </c>
      <c r="D487" s="10">
        <f>CHOOSE(CONTROL!$C$42, 21.7832, 21.7832) * CHOOSE(CONTROL!$C$21, $C$9, 100%, $E$9)</f>
        <v>21.783200000000001</v>
      </c>
      <c r="E487" s="10">
        <f>CHOOSE(CONTROL!$C$42, 21.8143, 21.8143) * CHOOSE(CONTROL!$C$21, $C$9, 100%, $E$9)</f>
        <v>21.814299999999999</v>
      </c>
      <c r="F487" s="10">
        <f>CHOOSE(CONTROL!$C$42, 21.5493, 21.5493)*CHOOSE(CONTROL!$C$21, $C$9, 100%, $E$9)</f>
        <v>21.549299999999999</v>
      </c>
      <c r="G487" s="10">
        <f>CHOOSE(CONTROL!$C$42, 21.5646, 21.5646)*CHOOSE(CONTROL!$C$21, $C$9, 100%, $E$9)</f>
        <v>21.564599999999999</v>
      </c>
      <c r="H487" s="10">
        <f>CHOOSE(CONTROL!$C$42, 21.803, 21.803) * CHOOSE(CONTROL!$C$21, $C$9, 100%, $E$9)</f>
        <v>21.803000000000001</v>
      </c>
      <c r="I487" s="10">
        <f>CHOOSE(CONTROL!$C$42, 21.5726, 21.5726)* CHOOSE(CONTROL!$C$21, $C$9, 100%, $E$9)</f>
        <v>21.572600000000001</v>
      </c>
      <c r="J487" s="10">
        <f>CHOOSE(CONTROL!$C$42, 21.5423, 21.5423)* CHOOSE(CONTROL!$C$21, $C$9, 100%, $E$9)</f>
        <v>21.542300000000001</v>
      </c>
      <c r="K487" s="53">
        <f>CHOOSE(CONTROL!$C$42, 21.5687, 21.5687) * CHOOSE(CONTROL!$C$21, $C$9, 100%, $E$9)</f>
        <v>21.5687</v>
      </c>
      <c r="L487" s="10">
        <f>CHOOSE(CONTROL!$C$42, 22.39, 22.39) * CHOOSE(CONTROL!$C$21, $C$9, 100%, $E$9)</f>
        <v>22.39</v>
      </c>
      <c r="M487" s="10">
        <f>CHOOSE(CONTROL!$C$42, 21.3387, 21.3387) * CHOOSE(CONTROL!$C$21, $C$9, 100%, $E$9)</f>
        <v>21.338699999999999</v>
      </c>
      <c r="N487" s="10">
        <f>CHOOSE(CONTROL!$C$42, 21.3538, 21.3538) * CHOOSE(CONTROL!$C$21, $C$9, 100%, $E$9)</f>
        <v>21.3538</v>
      </c>
      <c r="O487" s="10">
        <f>CHOOSE(CONTROL!$C$42, 21.5968, 21.5968) * CHOOSE(CONTROL!$C$21, $C$9, 100%, $E$9)</f>
        <v>21.596800000000002</v>
      </c>
      <c r="P487" s="10">
        <f>CHOOSE(CONTROL!$C$42, 21.3687, 21.3687) * CHOOSE(CONTROL!$C$21, $C$9, 100%, $E$9)</f>
        <v>21.3687</v>
      </c>
      <c r="Q487" s="10">
        <f>CHOOSE(CONTROL!$C$42, 22.1921, 22.1921) * CHOOSE(CONTROL!$C$21, $C$9, 100%, $E$9)</f>
        <v>22.1921</v>
      </c>
      <c r="R487" s="10">
        <f>CHOOSE(CONTROL!$C$42, 22.8345, 22.8345) * CHOOSE(CONTROL!$C$21, $C$9, 100%, $E$9)</f>
        <v>22.834499999999998</v>
      </c>
      <c r="S487" s="10">
        <f>CHOOSE(CONTROL!$C$42, 20.9449, 20.9449) * CHOOSE(CONTROL!$C$21, $C$9, 100%, $E$9)</f>
        <v>20.944900000000001</v>
      </c>
      <c r="T4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57">
        <f>(1000*CHOOSE(CONTROL!$C$42, 695, 695)*CHOOSE(CONTROL!$C$42, 0.5599, 0.5599)*CHOOSE(CONTROL!$C$42, 31, 31))/1000000</f>
        <v>12.063045499999998</v>
      </c>
      <c r="V487" s="57">
        <f>(1000*CHOOSE(CONTROL!$C$42, 500, 500)*CHOOSE(CONTROL!$C$42, 0.275, 0.275)*CHOOSE(CONTROL!$C$42, 31, 31))/1000000</f>
        <v>4.2625000000000002</v>
      </c>
      <c r="W487" s="57">
        <f>(1000*CHOOSE(CONTROL!$C$42, 0.1146, 0.1146)*CHOOSE(CONTROL!$C$42, 121.5, 121.5)*CHOOSE(CONTROL!$C$42, 31, 31))/1000000</f>
        <v>0.43164089999999994</v>
      </c>
      <c r="X487" s="57">
        <f>(31*0.1790888*245000/1000000)+(31*0.2374*100000/1000000)</f>
        <v>2.0961194359999999</v>
      </c>
      <c r="Y487" s="57"/>
      <c r="Z487" s="10"/>
      <c r="AA487" s="56"/>
      <c r="AB487" s="50">
        <f>(B487*194.205+C487*267.466+D487*133.845+E487*53.484+F487*40+G487*185+H487*0+I487*100+J487*300)/(194.205+267.466+133.845+53.484+0+40+185+100+300)</f>
        <v>21.59748728469388</v>
      </c>
      <c r="AC487" s="45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21.418909352517986</v>
      </c>
    </row>
    <row r="488" spans="1:29" ht="15.75" x14ac:dyDescent="0.25">
      <c r="A488" s="14">
        <v>55762</v>
      </c>
      <c r="B488" s="10">
        <f>CHOOSE(CONTROL!$C$42, 20.5072, 20.5072) * CHOOSE(CONTROL!$C$21, $C$9, 100%, $E$9)</f>
        <v>20.507200000000001</v>
      </c>
      <c r="C488" s="10">
        <f>CHOOSE(CONTROL!$C$42, 20.5152, 20.5152) * CHOOSE(CONTROL!$C$21, $C$9, 100%, $E$9)</f>
        <v>20.5152</v>
      </c>
      <c r="D488" s="10">
        <f>CHOOSE(CONTROL!$C$42, 20.7179, 20.7179) * CHOOSE(CONTROL!$C$21, $C$9, 100%, $E$9)</f>
        <v>20.7179</v>
      </c>
      <c r="E488" s="10">
        <f>CHOOSE(CONTROL!$C$42, 20.749, 20.749) * CHOOSE(CONTROL!$C$21, $C$9, 100%, $E$9)</f>
        <v>20.748999999999999</v>
      </c>
      <c r="F488" s="10">
        <f>CHOOSE(CONTROL!$C$42, 20.4842, 20.4842)*CHOOSE(CONTROL!$C$21, $C$9, 100%, $E$9)</f>
        <v>20.484200000000001</v>
      </c>
      <c r="G488" s="10">
        <f>CHOOSE(CONTROL!$C$42, 20.4995, 20.4995)*CHOOSE(CONTROL!$C$21, $C$9, 100%, $E$9)</f>
        <v>20.499500000000001</v>
      </c>
      <c r="H488" s="10">
        <f>CHOOSE(CONTROL!$C$42, 20.7377, 20.7377) * CHOOSE(CONTROL!$C$21, $C$9, 100%, $E$9)</f>
        <v>20.7377</v>
      </c>
      <c r="I488" s="10">
        <f>CHOOSE(CONTROL!$C$42, 20.5073, 20.5073)* CHOOSE(CONTROL!$C$21, $C$9, 100%, $E$9)</f>
        <v>20.507300000000001</v>
      </c>
      <c r="J488" s="10">
        <f>CHOOSE(CONTROL!$C$42, 20.4772, 20.4772)* CHOOSE(CONTROL!$C$21, $C$9, 100%, $E$9)</f>
        <v>20.4772</v>
      </c>
      <c r="K488" s="53">
        <f>CHOOSE(CONTROL!$C$42, 20.5034, 20.5034) * CHOOSE(CONTROL!$C$21, $C$9, 100%, $E$9)</f>
        <v>20.503399999999999</v>
      </c>
      <c r="L488" s="10">
        <f>CHOOSE(CONTROL!$C$42, 21.3247, 21.3247) * CHOOSE(CONTROL!$C$21, $C$9, 100%, $E$9)</f>
        <v>21.3247</v>
      </c>
      <c r="M488" s="10">
        <f>CHOOSE(CONTROL!$C$42, 20.2844, 20.2844) * CHOOSE(CONTROL!$C$21, $C$9, 100%, $E$9)</f>
        <v>20.284400000000002</v>
      </c>
      <c r="N488" s="10">
        <f>CHOOSE(CONTROL!$C$42, 20.2995, 20.2995) * CHOOSE(CONTROL!$C$21, $C$9, 100%, $E$9)</f>
        <v>20.299499999999998</v>
      </c>
      <c r="O488" s="10">
        <f>CHOOSE(CONTROL!$C$42, 20.5422, 20.5422) * CHOOSE(CONTROL!$C$21, $C$9, 100%, $E$9)</f>
        <v>20.542200000000001</v>
      </c>
      <c r="P488" s="10">
        <f>CHOOSE(CONTROL!$C$42, 20.3142, 20.3142) * CHOOSE(CONTROL!$C$21, $C$9, 100%, $E$9)</f>
        <v>20.3142</v>
      </c>
      <c r="Q488" s="10">
        <f>CHOOSE(CONTROL!$C$42, 21.1375, 21.1375) * CHOOSE(CONTROL!$C$21, $C$9, 100%, $E$9)</f>
        <v>21.137499999999999</v>
      </c>
      <c r="R488" s="10">
        <f>CHOOSE(CONTROL!$C$42, 21.7773, 21.7773) * CHOOSE(CONTROL!$C$21, $C$9, 100%, $E$9)</f>
        <v>21.7773</v>
      </c>
      <c r="S488" s="10">
        <f>CHOOSE(CONTROL!$C$42, 19.9103, 19.9103) * CHOOSE(CONTROL!$C$21, $C$9, 100%, $E$9)</f>
        <v>19.910299999999999</v>
      </c>
      <c r="T4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57">
        <f>(1000*CHOOSE(CONTROL!$C$42, 695, 695)*CHOOSE(CONTROL!$C$42, 0.5599, 0.5599)*CHOOSE(CONTROL!$C$42, 31, 31))/1000000</f>
        <v>12.063045499999998</v>
      </c>
      <c r="V488" s="57">
        <f>(1000*CHOOSE(CONTROL!$C$42, 500, 500)*CHOOSE(CONTROL!$C$42, 0.275, 0.275)*CHOOSE(CONTROL!$C$42, 31, 31))/1000000</f>
        <v>4.2625000000000002</v>
      </c>
      <c r="W488" s="57">
        <f>(1000*CHOOSE(CONTROL!$C$42, 0.1146, 0.1146)*CHOOSE(CONTROL!$C$42, 121.5, 121.5)*CHOOSE(CONTROL!$C$42, 31, 31))/1000000</f>
        <v>0.43164089999999994</v>
      </c>
      <c r="X488" s="57">
        <f>(31*0.1790888*245000/1000000)+(31*0.2374*100000/1000000)</f>
        <v>2.0961194359999999</v>
      </c>
      <c r="Y488" s="57"/>
      <c r="Z488" s="10"/>
      <c r="AA488" s="56"/>
      <c r="AB488" s="50">
        <f>(B488*194.205+C488*267.466+D488*133.845+E488*53.484+F488*40+G488*185+H488*0+I488*100+J488*300)/(194.205+267.466+133.845+53.484+0+40+185+100+300)</f>
        <v>20.532269702276295</v>
      </c>
      <c r="AC488" s="45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20.364496402877695</v>
      </c>
    </row>
    <row r="489" spans="1:29" ht="15.75" x14ac:dyDescent="0.25">
      <c r="A489" s="14">
        <v>55792</v>
      </c>
      <c r="B489" s="10">
        <f>CHOOSE(CONTROL!$C$42, 19.2052, 19.2052) * CHOOSE(CONTROL!$C$21, $C$9, 100%, $E$9)</f>
        <v>19.205200000000001</v>
      </c>
      <c r="C489" s="10">
        <f>CHOOSE(CONTROL!$C$42, 19.2132, 19.2132) * CHOOSE(CONTROL!$C$21, $C$9, 100%, $E$9)</f>
        <v>19.213200000000001</v>
      </c>
      <c r="D489" s="10">
        <f>CHOOSE(CONTROL!$C$42, 19.4159, 19.4159) * CHOOSE(CONTROL!$C$21, $C$9, 100%, $E$9)</f>
        <v>19.415900000000001</v>
      </c>
      <c r="E489" s="10">
        <f>CHOOSE(CONTROL!$C$42, 19.447, 19.447) * CHOOSE(CONTROL!$C$21, $C$9, 100%, $E$9)</f>
        <v>19.446999999999999</v>
      </c>
      <c r="F489" s="10">
        <f>CHOOSE(CONTROL!$C$42, 19.182, 19.182)*CHOOSE(CONTROL!$C$21, $C$9, 100%, $E$9)</f>
        <v>19.181999999999999</v>
      </c>
      <c r="G489" s="10">
        <f>CHOOSE(CONTROL!$C$42, 19.1973, 19.1973)*CHOOSE(CONTROL!$C$21, $C$9, 100%, $E$9)</f>
        <v>19.197299999999998</v>
      </c>
      <c r="H489" s="10">
        <f>CHOOSE(CONTROL!$C$42, 19.4357, 19.4357) * CHOOSE(CONTROL!$C$21, $C$9, 100%, $E$9)</f>
        <v>19.435700000000001</v>
      </c>
      <c r="I489" s="10">
        <f>CHOOSE(CONTROL!$C$42, 19.2053, 19.2053)* CHOOSE(CONTROL!$C$21, $C$9, 100%, $E$9)</f>
        <v>19.205300000000001</v>
      </c>
      <c r="J489" s="10">
        <f>CHOOSE(CONTROL!$C$42, 19.175, 19.175)* CHOOSE(CONTROL!$C$21, $C$9, 100%, $E$9)</f>
        <v>19.175000000000001</v>
      </c>
      <c r="K489" s="53">
        <f>CHOOSE(CONTROL!$C$42, 19.2014, 19.2014) * CHOOSE(CONTROL!$C$21, $C$9, 100%, $E$9)</f>
        <v>19.2014</v>
      </c>
      <c r="L489" s="10">
        <f>CHOOSE(CONTROL!$C$42, 20.0227, 20.0227) * CHOOSE(CONTROL!$C$21, $C$9, 100%, $E$9)</f>
        <v>20.0227</v>
      </c>
      <c r="M489" s="10">
        <f>CHOOSE(CONTROL!$C$42, 18.9954, 18.9954) * CHOOSE(CONTROL!$C$21, $C$9, 100%, $E$9)</f>
        <v>18.9954</v>
      </c>
      <c r="N489" s="10">
        <f>CHOOSE(CONTROL!$C$42, 19.0105, 19.0105) * CHOOSE(CONTROL!$C$21, $C$9, 100%, $E$9)</f>
        <v>19.0105</v>
      </c>
      <c r="O489" s="10">
        <f>CHOOSE(CONTROL!$C$42, 19.2533, 19.2533) * CHOOSE(CONTROL!$C$21, $C$9, 100%, $E$9)</f>
        <v>19.253299999999999</v>
      </c>
      <c r="P489" s="10">
        <f>CHOOSE(CONTROL!$C$42, 19.0253, 19.0253) * CHOOSE(CONTROL!$C$21, $C$9, 100%, $E$9)</f>
        <v>19.025300000000001</v>
      </c>
      <c r="Q489" s="10">
        <f>CHOOSE(CONTROL!$C$42, 19.8486, 19.8486) * CHOOSE(CONTROL!$C$21, $C$9, 100%, $E$9)</f>
        <v>19.848600000000001</v>
      </c>
      <c r="R489" s="10">
        <f>CHOOSE(CONTROL!$C$42, 20.4853, 20.4853) * CHOOSE(CONTROL!$C$21, $C$9, 100%, $E$9)</f>
        <v>20.485299999999999</v>
      </c>
      <c r="S489" s="10">
        <f>CHOOSE(CONTROL!$C$42, 18.646, 18.646) * CHOOSE(CONTROL!$C$21, $C$9, 100%, $E$9)</f>
        <v>18.646000000000001</v>
      </c>
      <c r="T4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57">
        <f>(1000*CHOOSE(CONTROL!$C$42, 695, 695)*CHOOSE(CONTROL!$C$42, 0.5599, 0.5599)*CHOOSE(CONTROL!$C$42, 30, 30))/1000000</f>
        <v>11.673914999999997</v>
      </c>
      <c r="V489" s="57">
        <f>(1000*CHOOSE(CONTROL!$C$42, 500, 500)*CHOOSE(CONTROL!$C$42, 0.275, 0.275)*CHOOSE(CONTROL!$C$42, 30, 30))/1000000</f>
        <v>4.125</v>
      </c>
      <c r="W489" s="57">
        <f>(1000*CHOOSE(CONTROL!$C$42, 0.1146, 0.1146)*CHOOSE(CONTROL!$C$42, 121.5, 121.5)*CHOOSE(CONTROL!$C$42, 30, 30))/1000000</f>
        <v>0.417717</v>
      </c>
      <c r="X489" s="57">
        <f>(30*0.1790888*245000/1000000)+(30*0.2374*100000/1000000)</f>
        <v>2.0285026799999999</v>
      </c>
      <c r="Y489" s="57"/>
      <c r="Z489" s="10"/>
      <c r="AA489" s="56"/>
      <c r="AB489" s="50">
        <f>(B489*194.205+C489*267.466+D489*133.845+E489*53.484+F489*40+G489*185+H489*0+I489*100+J489*300)/(194.205+267.466+133.845+53.484+0+40+185+100+300)</f>
        <v>19.230187284693876</v>
      </c>
      <c r="AC489" s="45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19.075538848920864</v>
      </c>
    </row>
    <row r="490" spans="1:29" ht="15.75" x14ac:dyDescent="0.25">
      <c r="A490" s="14">
        <v>55823</v>
      </c>
      <c r="B490" s="10">
        <f>CHOOSE(CONTROL!$C$42, 18.8136, 18.8136) * CHOOSE(CONTROL!$C$21, $C$9, 100%, $E$9)</f>
        <v>18.813600000000001</v>
      </c>
      <c r="C490" s="10">
        <f>CHOOSE(CONTROL!$C$42, 18.8189, 18.8189) * CHOOSE(CONTROL!$C$21, $C$9, 100%, $E$9)</f>
        <v>18.818899999999999</v>
      </c>
      <c r="D490" s="10">
        <f>CHOOSE(CONTROL!$C$42, 19.0266, 19.0266) * CHOOSE(CONTROL!$C$21, $C$9, 100%, $E$9)</f>
        <v>19.026599999999998</v>
      </c>
      <c r="E490" s="10">
        <f>CHOOSE(CONTROL!$C$42, 19.0553, 19.0553) * CHOOSE(CONTROL!$C$21, $C$9, 100%, $E$9)</f>
        <v>19.055299999999999</v>
      </c>
      <c r="F490" s="10">
        <f>CHOOSE(CONTROL!$C$42, 18.7924, 18.7924)*CHOOSE(CONTROL!$C$21, $C$9, 100%, $E$9)</f>
        <v>18.792400000000001</v>
      </c>
      <c r="G490" s="10">
        <f>CHOOSE(CONTROL!$C$42, 18.8073, 18.8073)*CHOOSE(CONTROL!$C$21, $C$9, 100%, $E$9)</f>
        <v>18.807300000000001</v>
      </c>
      <c r="H490" s="10">
        <f>CHOOSE(CONTROL!$C$42, 19.0458, 19.0458) * CHOOSE(CONTROL!$C$21, $C$9, 100%, $E$9)</f>
        <v>19.0458</v>
      </c>
      <c r="I490" s="10">
        <f>CHOOSE(CONTROL!$C$42, 18.8154, 18.8154)* CHOOSE(CONTROL!$C$21, $C$9, 100%, $E$9)</f>
        <v>18.8154</v>
      </c>
      <c r="J490" s="10">
        <f>CHOOSE(CONTROL!$C$42, 18.7854, 18.7854)* CHOOSE(CONTROL!$C$21, $C$9, 100%, $E$9)</f>
        <v>18.785399999999999</v>
      </c>
      <c r="K490" s="53">
        <f>CHOOSE(CONTROL!$C$42, 18.8115, 18.8115) * CHOOSE(CONTROL!$C$21, $C$9, 100%, $E$9)</f>
        <v>18.811499999999999</v>
      </c>
      <c r="L490" s="10">
        <f>CHOOSE(CONTROL!$C$42, 19.6328, 19.6328) * CHOOSE(CONTROL!$C$21, $C$9, 100%, $E$9)</f>
        <v>19.6328</v>
      </c>
      <c r="M490" s="10">
        <f>CHOOSE(CONTROL!$C$42, 18.6096, 18.6096) * CHOOSE(CONTROL!$C$21, $C$9, 100%, $E$9)</f>
        <v>18.6096</v>
      </c>
      <c r="N490" s="10">
        <f>CHOOSE(CONTROL!$C$42, 18.6244, 18.6244) * CHOOSE(CONTROL!$C$21, $C$9, 100%, $E$9)</f>
        <v>18.624400000000001</v>
      </c>
      <c r="O490" s="10">
        <f>CHOOSE(CONTROL!$C$42, 18.8674, 18.8674) * CHOOSE(CONTROL!$C$21, $C$9, 100%, $E$9)</f>
        <v>18.8674</v>
      </c>
      <c r="P490" s="10">
        <f>CHOOSE(CONTROL!$C$42, 18.6394, 18.6394) * CHOOSE(CONTROL!$C$21, $C$9, 100%, $E$9)</f>
        <v>18.639399999999998</v>
      </c>
      <c r="Q490" s="10">
        <f>CHOOSE(CONTROL!$C$42, 19.4627, 19.4627) * CHOOSE(CONTROL!$C$21, $C$9, 100%, $E$9)</f>
        <v>19.462700000000002</v>
      </c>
      <c r="R490" s="10">
        <f>CHOOSE(CONTROL!$C$42, 20.0984, 20.0984) * CHOOSE(CONTROL!$C$21, $C$9, 100%, $E$9)</f>
        <v>20.098400000000002</v>
      </c>
      <c r="S490" s="10">
        <f>CHOOSE(CONTROL!$C$42, 18.2674, 18.2674) * CHOOSE(CONTROL!$C$21, $C$9, 100%, $E$9)</f>
        <v>18.267399999999999</v>
      </c>
      <c r="T4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57">
        <f>(1000*CHOOSE(CONTROL!$C$42, 695, 695)*CHOOSE(CONTROL!$C$42, 0.5599, 0.5599)*CHOOSE(CONTROL!$C$42, 31, 31))/1000000</f>
        <v>12.063045499999998</v>
      </c>
      <c r="V490" s="57">
        <f>(1000*CHOOSE(CONTROL!$C$42, 500, 500)*CHOOSE(CONTROL!$C$42, 0.275, 0.275)*CHOOSE(CONTROL!$C$42, 31, 31))/1000000</f>
        <v>4.2625000000000002</v>
      </c>
      <c r="W490" s="57">
        <f>(1000*CHOOSE(CONTROL!$C$42, 0.1146, 0.1146)*CHOOSE(CONTROL!$C$42, 121.5, 121.5)*CHOOSE(CONTROL!$C$42, 31, 31))/1000000</f>
        <v>0.43164089999999994</v>
      </c>
      <c r="X490" s="57">
        <f>(31*0.1790888*245000/1000000)+(31*0.2374*100000/1000000)</f>
        <v>2.0961194359999999</v>
      </c>
      <c r="Y490" s="57"/>
      <c r="Z490" s="10"/>
      <c r="AA490" s="56"/>
      <c r="AB490" s="50">
        <f>(B490*131.881+C490*277.167+D490*79.08+E490*125.872+F490*40+G490*185+H490*0+I490*100+J490*300)/(131.881+277.167+79.08+125.872+0+40+185+100+300)</f>
        <v>18.844627269975788</v>
      </c>
      <c r="AC490" s="45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18.689627338129498</v>
      </c>
    </row>
    <row r="491" spans="1:29" ht="15.75" x14ac:dyDescent="0.25">
      <c r="A491" s="14">
        <v>55853</v>
      </c>
      <c r="B491" s="10">
        <f>CHOOSE(CONTROL!$C$42, 19.3088, 19.3088) * CHOOSE(CONTROL!$C$21, $C$9, 100%, $E$9)</f>
        <v>19.308800000000002</v>
      </c>
      <c r="C491" s="10">
        <f>CHOOSE(CONTROL!$C$42, 19.3137, 19.3137) * CHOOSE(CONTROL!$C$21, $C$9, 100%, $E$9)</f>
        <v>19.313700000000001</v>
      </c>
      <c r="D491" s="10">
        <f>CHOOSE(CONTROL!$C$42, 19.3742, 19.3742) * CHOOSE(CONTROL!$C$21, $C$9, 100%, $E$9)</f>
        <v>19.374199999999998</v>
      </c>
      <c r="E491" s="10">
        <f>CHOOSE(CONTROL!$C$42, 19.408, 19.408) * CHOOSE(CONTROL!$C$21, $C$9, 100%, $E$9)</f>
        <v>19.408000000000001</v>
      </c>
      <c r="F491" s="10">
        <f>CHOOSE(CONTROL!$C$42, 19.3044, 19.3044)*CHOOSE(CONTROL!$C$21, $C$9, 100%, $E$9)</f>
        <v>19.304400000000001</v>
      </c>
      <c r="G491" s="10">
        <f>CHOOSE(CONTROL!$C$42, 19.3196, 19.3196)*CHOOSE(CONTROL!$C$21, $C$9, 100%, $E$9)</f>
        <v>19.319600000000001</v>
      </c>
      <c r="H491" s="10">
        <f>CHOOSE(CONTROL!$C$42, 19.3972, 19.3972) * CHOOSE(CONTROL!$C$21, $C$9, 100%, $E$9)</f>
        <v>19.397200000000002</v>
      </c>
      <c r="I491" s="10">
        <f>CHOOSE(CONTROL!$C$42, 19.3213, 19.3213)* CHOOSE(CONTROL!$C$21, $C$9, 100%, $E$9)</f>
        <v>19.321300000000001</v>
      </c>
      <c r="J491" s="10">
        <f>CHOOSE(CONTROL!$C$42, 19.2974, 19.2974)* CHOOSE(CONTROL!$C$21, $C$9, 100%, $E$9)</f>
        <v>19.2974</v>
      </c>
      <c r="K491" s="53">
        <f>CHOOSE(CONTROL!$C$42, 19.3174, 19.3174) * CHOOSE(CONTROL!$C$21, $C$9, 100%, $E$9)</f>
        <v>19.317399999999999</v>
      </c>
      <c r="L491" s="10">
        <f>CHOOSE(CONTROL!$C$42, 19.9842, 19.9842) * CHOOSE(CONTROL!$C$21, $C$9, 100%, $E$9)</f>
        <v>19.984200000000001</v>
      </c>
      <c r="M491" s="10">
        <f>CHOOSE(CONTROL!$C$42, 19.1165, 19.1165) * CHOOSE(CONTROL!$C$21, $C$9, 100%, $E$9)</f>
        <v>19.116499999999998</v>
      </c>
      <c r="N491" s="10">
        <f>CHOOSE(CONTROL!$C$42, 19.1316, 19.1316) * CHOOSE(CONTROL!$C$21, $C$9, 100%, $E$9)</f>
        <v>19.131599999999999</v>
      </c>
      <c r="O491" s="10">
        <f>CHOOSE(CONTROL!$C$42, 19.2153, 19.2153) * CHOOSE(CONTROL!$C$21, $C$9, 100%, $E$9)</f>
        <v>19.215299999999999</v>
      </c>
      <c r="P491" s="10">
        <f>CHOOSE(CONTROL!$C$42, 19.1402, 19.1402) * CHOOSE(CONTROL!$C$21, $C$9, 100%, $E$9)</f>
        <v>19.1402</v>
      </c>
      <c r="Q491" s="10">
        <f>CHOOSE(CONTROL!$C$42, 19.8106, 19.8106) * CHOOSE(CONTROL!$C$21, $C$9, 100%, $E$9)</f>
        <v>19.810600000000001</v>
      </c>
      <c r="R491" s="10">
        <f>CHOOSE(CONTROL!$C$42, 20.4471, 20.4471) * CHOOSE(CONTROL!$C$21, $C$9, 100%, $E$9)</f>
        <v>20.447099999999999</v>
      </c>
      <c r="S491" s="10">
        <f>CHOOSE(CONTROL!$C$42, 18.7486, 18.7486) * CHOOSE(CONTROL!$C$21, $C$9, 100%, $E$9)</f>
        <v>18.7486</v>
      </c>
      <c r="T4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57">
        <f>(1000*CHOOSE(CONTROL!$C$42, 695, 695)*CHOOSE(CONTROL!$C$42, 0.5599, 0.5599)*CHOOSE(CONTROL!$C$42, 30, 30))/1000000</f>
        <v>11.673914999999997</v>
      </c>
      <c r="V491" s="57">
        <f>(1000*CHOOSE(CONTROL!$C$42, 500, 500)*CHOOSE(CONTROL!$C$42, 0.275, 0.275)*CHOOSE(CONTROL!$C$42, 30, 30))/1000000</f>
        <v>4.125</v>
      </c>
      <c r="W491" s="57">
        <f>(1000*CHOOSE(CONTROL!$C$42, 0.1146, 0.1146)*CHOOSE(CONTROL!$C$42, 121.5, 121.5)*CHOOSE(CONTROL!$C$42, 30, 30))/1000000</f>
        <v>0.417717</v>
      </c>
      <c r="X491" s="57">
        <f>(30*0.1790888*100000/1000000)+(30*0.2374*100000/1000000)</f>
        <v>1.2494664</v>
      </c>
      <c r="Y491" s="57"/>
      <c r="Z491" s="10"/>
      <c r="AA491" s="56"/>
      <c r="AB491" s="50">
        <f>(B491*122.58+C491*297.941+D491*89.177+E491*40.302+F491*40+G491*160+H491*0+I491*100+J491*300)/(122.58+297.941+89.177+40.302+0+40+160+100+300)</f>
        <v>19.318080039217392</v>
      </c>
      <c r="AC491" s="45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19.165558992805757</v>
      </c>
    </row>
    <row r="492" spans="1:29" ht="15.75" x14ac:dyDescent="0.25">
      <c r="A492" s="14">
        <v>55884</v>
      </c>
      <c r="B492" s="10">
        <f>CHOOSE(CONTROL!$C$42, 20.625, 20.625) * CHOOSE(CONTROL!$C$21, $C$9, 100%, $E$9)</f>
        <v>20.625</v>
      </c>
      <c r="C492" s="10">
        <f>CHOOSE(CONTROL!$C$42, 20.63, 20.63) * CHOOSE(CONTROL!$C$21, $C$9, 100%, $E$9)</f>
        <v>20.63</v>
      </c>
      <c r="D492" s="10">
        <f>CHOOSE(CONTROL!$C$42, 20.6905, 20.6905) * CHOOSE(CONTROL!$C$21, $C$9, 100%, $E$9)</f>
        <v>20.6905</v>
      </c>
      <c r="E492" s="10">
        <f>CHOOSE(CONTROL!$C$42, 20.7243, 20.7243) * CHOOSE(CONTROL!$C$21, $C$9, 100%, $E$9)</f>
        <v>20.724299999999999</v>
      </c>
      <c r="F492" s="10">
        <f>CHOOSE(CONTROL!$C$42, 20.6225, 20.6225)*CHOOSE(CONTROL!$C$21, $C$9, 100%, $E$9)</f>
        <v>20.622499999999999</v>
      </c>
      <c r="G492" s="10">
        <f>CHOOSE(CONTROL!$C$42, 20.6382, 20.6382)*CHOOSE(CONTROL!$C$21, $C$9, 100%, $E$9)</f>
        <v>20.638200000000001</v>
      </c>
      <c r="H492" s="10">
        <f>CHOOSE(CONTROL!$C$42, 20.7135, 20.7135) * CHOOSE(CONTROL!$C$21, $C$9, 100%, $E$9)</f>
        <v>20.7135</v>
      </c>
      <c r="I492" s="10">
        <f>CHOOSE(CONTROL!$C$42, 20.6375, 20.6375)* CHOOSE(CONTROL!$C$21, $C$9, 100%, $E$9)</f>
        <v>20.637499999999999</v>
      </c>
      <c r="J492" s="10">
        <f>CHOOSE(CONTROL!$C$42, 20.6155, 20.6155)* CHOOSE(CONTROL!$C$21, $C$9, 100%, $E$9)</f>
        <v>20.615500000000001</v>
      </c>
      <c r="K492" s="53">
        <f>CHOOSE(CONTROL!$C$42, 20.6337, 20.6337) * CHOOSE(CONTROL!$C$21, $C$9, 100%, $E$9)</f>
        <v>20.633700000000001</v>
      </c>
      <c r="L492" s="10">
        <f>CHOOSE(CONTROL!$C$42, 21.3005, 21.3005) * CHOOSE(CONTROL!$C$21, $C$9, 100%, $E$9)</f>
        <v>21.3005</v>
      </c>
      <c r="M492" s="10">
        <f>CHOOSE(CONTROL!$C$42, 20.4213, 20.4213) * CHOOSE(CONTROL!$C$21, $C$9, 100%, $E$9)</f>
        <v>20.421299999999999</v>
      </c>
      <c r="N492" s="10">
        <f>CHOOSE(CONTROL!$C$42, 20.4368, 20.4368) * CHOOSE(CONTROL!$C$21, $C$9, 100%, $E$9)</f>
        <v>20.436800000000002</v>
      </c>
      <c r="O492" s="10">
        <f>CHOOSE(CONTROL!$C$42, 20.5183, 20.5183) * CHOOSE(CONTROL!$C$21, $C$9, 100%, $E$9)</f>
        <v>20.5183</v>
      </c>
      <c r="P492" s="10">
        <f>CHOOSE(CONTROL!$C$42, 20.4431, 20.4431) * CHOOSE(CONTROL!$C$21, $C$9, 100%, $E$9)</f>
        <v>20.443100000000001</v>
      </c>
      <c r="Q492" s="10">
        <f>CHOOSE(CONTROL!$C$42, 21.1136, 21.1136) * CHOOSE(CONTROL!$C$21, $C$9, 100%, $E$9)</f>
        <v>21.113600000000002</v>
      </c>
      <c r="R492" s="10">
        <f>CHOOSE(CONTROL!$C$42, 21.7533, 21.7533) * CHOOSE(CONTROL!$C$21, $C$9, 100%, $E$9)</f>
        <v>21.753299999999999</v>
      </c>
      <c r="S492" s="10">
        <f>CHOOSE(CONTROL!$C$42, 20.0268, 20.0268) * CHOOSE(CONTROL!$C$21, $C$9, 100%, $E$9)</f>
        <v>20.026800000000001</v>
      </c>
      <c r="T4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57">
        <f>(1000*CHOOSE(CONTROL!$C$42, 695, 695)*CHOOSE(CONTROL!$C$42, 0.5599, 0.5599)*CHOOSE(CONTROL!$C$42, 31, 31))/1000000</f>
        <v>12.063045499999998</v>
      </c>
      <c r="V492" s="57">
        <f>(1000*CHOOSE(CONTROL!$C$42, 500, 500)*CHOOSE(CONTROL!$C$42, 0.275, 0.275)*CHOOSE(CONTROL!$C$42, 31, 31))/1000000</f>
        <v>4.2625000000000002</v>
      </c>
      <c r="W492" s="57">
        <f>(1000*CHOOSE(CONTROL!$C$42, 0.1146, 0.1146)*CHOOSE(CONTROL!$C$42, 121.5, 121.5)*CHOOSE(CONTROL!$C$42, 31, 31))/1000000</f>
        <v>0.43164089999999994</v>
      </c>
      <c r="X492" s="57">
        <f>(31*0.1790888*100000/1000000)+(31*0.2374*100000/1000000)</f>
        <v>1.2911152800000001</v>
      </c>
      <c r="Y492" s="57"/>
      <c r="Z492" s="10"/>
      <c r="AA492" s="56"/>
      <c r="AB492" s="50">
        <f>(B492*122.58+C492*297.941+D492*89.177+E492*40.302+F492*40+G492*160+H492*0+I492*100+J492*300)/(122.58+297.941+89.177+40.302+0+40+160+100+300)</f>
        <v>20.635212858347828</v>
      </c>
      <c r="AC492" s="45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20.469292805755394</v>
      </c>
    </row>
    <row r="493" spans="1:29" ht="15.75" x14ac:dyDescent="0.25">
      <c r="A493" s="14">
        <v>55915</v>
      </c>
      <c r="B493" s="10">
        <f>CHOOSE(CONTROL!$C$42, 22.3147, 22.3147) * CHOOSE(CONTROL!$C$21, $C$9, 100%, $E$9)</f>
        <v>22.314699999999998</v>
      </c>
      <c r="C493" s="10">
        <f>CHOOSE(CONTROL!$C$42, 22.3197, 22.3197) * CHOOSE(CONTROL!$C$21, $C$9, 100%, $E$9)</f>
        <v>22.319700000000001</v>
      </c>
      <c r="D493" s="10">
        <f>CHOOSE(CONTROL!$C$42, 22.3768, 22.3768) * CHOOSE(CONTROL!$C$21, $C$9, 100%, $E$9)</f>
        <v>22.376799999999999</v>
      </c>
      <c r="E493" s="10">
        <f>CHOOSE(CONTROL!$C$42, 22.4105, 22.4105) * CHOOSE(CONTROL!$C$21, $C$9, 100%, $E$9)</f>
        <v>22.410499999999999</v>
      </c>
      <c r="F493" s="10">
        <f>CHOOSE(CONTROL!$C$42, 22.3126, 22.3126)*CHOOSE(CONTROL!$C$21, $C$9, 100%, $E$9)</f>
        <v>22.3126</v>
      </c>
      <c r="G493" s="10">
        <f>CHOOSE(CONTROL!$C$42, 22.3272, 22.3272)*CHOOSE(CONTROL!$C$21, $C$9, 100%, $E$9)</f>
        <v>22.327200000000001</v>
      </c>
      <c r="H493" s="10">
        <f>CHOOSE(CONTROL!$C$42, 22.3997, 22.3997) * CHOOSE(CONTROL!$C$21, $C$9, 100%, $E$9)</f>
        <v>22.399699999999999</v>
      </c>
      <c r="I493" s="10">
        <f>CHOOSE(CONTROL!$C$42, 22.3255, 22.3255)* CHOOSE(CONTROL!$C$21, $C$9, 100%, $E$9)</f>
        <v>22.325500000000002</v>
      </c>
      <c r="J493" s="10">
        <f>CHOOSE(CONTROL!$C$42, 22.3056, 22.3056)* CHOOSE(CONTROL!$C$21, $C$9, 100%, $E$9)</f>
        <v>22.305599999999998</v>
      </c>
      <c r="K493" s="53">
        <f>CHOOSE(CONTROL!$C$42, 22.3216, 22.3216) * CHOOSE(CONTROL!$C$21, $C$9, 100%, $E$9)</f>
        <v>22.3216</v>
      </c>
      <c r="L493" s="10">
        <f>CHOOSE(CONTROL!$C$42, 22.9867, 22.9867) * CHOOSE(CONTROL!$C$21, $C$9, 100%, $E$9)</f>
        <v>22.986699999999999</v>
      </c>
      <c r="M493" s="10">
        <f>CHOOSE(CONTROL!$C$42, 22.0943, 22.0943) * CHOOSE(CONTROL!$C$21, $C$9, 100%, $E$9)</f>
        <v>22.0943</v>
      </c>
      <c r="N493" s="10">
        <f>CHOOSE(CONTROL!$C$42, 22.1088, 22.1088) * CHOOSE(CONTROL!$C$21, $C$9, 100%, $E$9)</f>
        <v>22.108799999999999</v>
      </c>
      <c r="O493" s="10">
        <f>CHOOSE(CONTROL!$C$42, 22.1875, 22.1875) * CHOOSE(CONTROL!$C$21, $C$9, 100%, $E$9)</f>
        <v>22.1875</v>
      </c>
      <c r="P493" s="10">
        <f>CHOOSE(CONTROL!$C$42, 22.1141, 22.1141) * CHOOSE(CONTROL!$C$21, $C$9, 100%, $E$9)</f>
        <v>22.114100000000001</v>
      </c>
      <c r="Q493" s="10">
        <f>CHOOSE(CONTROL!$C$42, 22.7828, 22.7828) * CHOOSE(CONTROL!$C$21, $C$9, 100%, $E$9)</f>
        <v>22.782800000000002</v>
      </c>
      <c r="R493" s="10">
        <f>CHOOSE(CONTROL!$C$42, 23.4268, 23.4268) * CHOOSE(CONTROL!$C$21, $C$9, 100%, $E$9)</f>
        <v>23.4268</v>
      </c>
      <c r="S493" s="10">
        <f>CHOOSE(CONTROL!$C$42, 21.6677, 21.6677) * CHOOSE(CONTROL!$C$21, $C$9, 100%, $E$9)</f>
        <v>21.6677</v>
      </c>
      <c r="T4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57">
        <f>(1000*CHOOSE(CONTROL!$C$42, 695, 695)*CHOOSE(CONTROL!$C$42, 0.5599, 0.5599)*CHOOSE(CONTROL!$C$42, 31, 31))/1000000</f>
        <v>12.063045499999998</v>
      </c>
      <c r="V493" s="57">
        <f>(1000*CHOOSE(CONTROL!$C$42, 500, 500)*CHOOSE(CONTROL!$C$42, 0.275, 0.275)*CHOOSE(CONTROL!$C$42, 31, 31))/1000000</f>
        <v>4.2625000000000002</v>
      </c>
      <c r="W493" s="57">
        <f>(1000*CHOOSE(CONTROL!$C$42, 0.1146, 0.1146)*CHOOSE(CONTROL!$C$42, 121.5, 121.5)*CHOOSE(CONTROL!$C$42, 31, 31))/1000000</f>
        <v>0.43164089999999994</v>
      </c>
      <c r="X493" s="57">
        <f>(31*0.1790888*100000/1000000)+(31*0.2374*100000/1000000)</f>
        <v>1.2911152800000001</v>
      </c>
      <c r="Y493" s="57"/>
      <c r="Z493" s="10"/>
      <c r="AA493" s="56"/>
      <c r="AB493" s="50">
        <f>(B493*122.58+C493*297.941+D493*89.177+E493*40.302+F493*40+G493*160+H493*0+I493*100+J493*300)/(122.58+297.941+89.177+40.302+0+40+160+100+300)</f>
        <v>22.324399589826086</v>
      </c>
      <c r="AC493" s="45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22.140225179856117</v>
      </c>
    </row>
    <row r="494" spans="1:29" ht="15.75" x14ac:dyDescent="0.25">
      <c r="A494" s="14">
        <v>55943</v>
      </c>
      <c r="B494" s="10">
        <f>CHOOSE(CONTROL!$C$42, 22.7119, 22.7119) * CHOOSE(CONTROL!$C$21, $C$9, 100%, $E$9)</f>
        <v>22.7119</v>
      </c>
      <c r="C494" s="10">
        <f>CHOOSE(CONTROL!$C$42, 22.7169, 22.7169) * CHOOSE(CONTROL!$C$21, $C$9, 100%, $E$9)</f>
        <v>22.716899999999999</v>
      </c>
      <c r="D494" s="10">
        <f>CHOOSE(CONTROL!$C$42, 22.7739, 22.7739) * CHOOSE(CONTROL!$C$21, $C$9, 100%, $E$9)</f>
        <v>22.773900000000001</v>
      </c>
      <c r="E494" s="10">
        <f>CHOOSE(CONTROL!$C$42, 22.8077, 22.8077) * CHOOSE(CONTROL!$C$21, $C$9, 100%, $E$9)</f>
        <v>22.807700000000001</v>
      </c>
      <c r="F494" s="10">
        <f>CHOOSE(CONTROL!$C$42, 22.7099, 22.7099)*CHOOSE(CONTROL!$C$21, $C$9, 100%, $E$9)</f>
        <v>22.709900000000001</v>
      </c>
      <c r="G494" s="10">
        <f>CHOOSE(CONTROL!$C$42, 22.7245, 22.7245)*CHOOSE(CONTROL!$C$21, $C$9, 100%, $E$9)</f>
        <v>22.724499999999999</v>
      </c>
      <c r="H494" s="10">
        <f>CHOOSE(CONTROL!$C$42, 22.7969, 22.7969) * CHOOSE(CONTROL!$C$21, $C$9, 100%, $E$9)</f>
        <v>22.796900000000001</v>
      </c>
      <c r="I494" s="10">
        <f>CHOOSE(CONTROL!$C$42, 22.7227, 22.7227)* CHOOSE(CONTROL!$C$21, $C$9, 100%, $E$9)</f>
        <v>22.7227</v>
      </c>
      <c r="J494" s="10">
        <f>CHOOSE(CONTROL!$C$42, 22.7029, 22.7029)* CHOOSE(CONTROL!$C$21, $C$9, 100%, $E$9)</f>
        <v>22.7029</v>
      </c>
      <c r="K494" s="53">
        <f>CHOOSE(CONTROL!$C$42, 22.7188, 22.7188) * CHOOSE(CONTROL!$C$21, $C$9, 100%, $E$9)</f>
        <v>22.718800000000002</v>
      </c>
      <c r="L494" s="10">
        <f>CHOOSE(CONTROL!$C$42, 23.3839, 23.3839) * CHOOSE(CONTROL!$C$21, $C$9, 100%, $E$9)</f>
        <v>23.383900000000001</v>
      </c>
      <c r="M494" s="10">
        <f>CHOOSE(CONTROL!$C$42, 22.4876, 22.4876) * CHOOSE(CONTROL!$C$21, $C$9, 100%, $E$9)</f>
        <v>22.4876</v>
      </c>
      <c r="N494" s="10">
        <f>CHOOSE(CONTROL!$C$42, 22.5021, 22.5021) * CHOOSE(CONTROL!$C$21, $C$9, 100%, $E$9)</f>
        <v>22.502099999999999</v>
      </c>
      <c r="O494" s="10">
        <f>CHOOSE(CONTROL!$C$42, 22.5807, 22.5807) * CHOOSE(CONTROL!$C$21, $C$9, 100%, $E$9)</f>
        <v>22.5807</v>
      </c>
      <c r="P494" s="10">
        <f>CHOOSE(CONTROL!$C$42, 22.5073, 22.5073) * CHOOSE(CONTROL!$C$21, $C$9, 100%, $E$9)</f>
        <v>22.507300000000001</v>
      </c>
      <c r="Q494" s="10">
        <f>CHOOSE(CONTROL!$C$42, 23.176, 23.176) * CHOOSE(CONTROL!$C$21, $C$9, 100%, $E$9)</f>
        <v>23.175999999999998</v>
      </c>
      <c r="R494" s="10">
        <f>CHOOSE(CONTROL!$C$42, 23.8209, 23.8209) * CHOOSE(CONTROL!$C$21, $C$9, 100%, $E$9)</f>
        <v>23.820900000000002</v>
      </c>
      <c r="S494" s="10">
        <f>CHOOSE(CONTROL!$C$42, 22.0534, 22.0534) * CHOOSE(CONTROL!$C$21, $C$9, 100%, $E$9)</f>
        <v>22.0534</v>
      </c>
      <c r="T4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57">
        <f>(1000*CHOOSE(CONTROL!$C$42, 695, 695)*CHOOSE(CONTROL!$C$42, 0.5599, 0.5599)*CHOOSE(CONTROL!$C$42, 28, 28))/1000000</f>
        <v>10.895653999999999</v>
      </c>
      <c r="V494" s="57">
        <f>(1000*CHOOSE(CONTROL!$C$42, 500, 500)*CHOOSE(CONTROL!$C$42, 0.275, 0.275)*CHOOSE(CONTROL!$C$42, 28, 28))/1000000</f>
        <v>3.85</v>
      </c>
      <c r="W494" s="57">
        <f>(1000*CHOOSE(CONTROL!$C$42, 0.1146, 0.1146)*CHOOSE(CONTROL!$C$42, 121.5, 121.5)*CHOOSE(CONTROL!$C$42, 28, 28))/1000000</f>
        <v>0.38986920000000003</v>
      </c>
      <c r="X494" s="57">
        <f>(28*0.1790888*100000/1000000)+(28*0.2374*100000/1000000)</f>
        <v>1.16616864</v>
      </c>
      <c r="Y494" s="57"/>
      <c r="Z494" s="10"/>
      <c r="AA494" s="56"/>
      <c r="AB494" s="50">
        <f>(B494*122.58+C494*297.941+D494*89.177+E494*40.302+F494*40+G494*160+H494*0+I494*100+J494*300)/(122.58+297.941+89.177+40.302+0+40+160+100+300)</f>
        <v>22.721635313565216</v>
      </c>
      <c r="AC494" s="45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22.533465467625899</v>
      </c>
    </row>
    <row r="495" spans="1:29" ht="15.75" x14ac:dyDescent="0.25">
      <c r="A495" s="14">
        <v>55974</v>
      </c>
      <c r="B495" s="10">
        <f>CHOOSE(CONTROL!$C$42, 22.0672, 22.0672) * CHOOSE(CONTROL!$C$21, $C$9, 100%, $E$9)</f>
        <v>22.0672</v>
      </c>
      <c r="C495" s="10">
        <f>CHOOSE(CONTROL!$C$42, 22.0722, 22.0722) * CHOOSE(CONTROL!$C$21, $C$9, 100%, $E$9)</f>
        <v>22.072199999999999</v>
      </c>
      <c r="D495" s="10">
        <f>CHOOSE(CONTROL!$C$42, 22.1292, 22.1292) * CHOOSE(CONTROL!$C$21, $C$9, 100%, $E$9)</f>
        <v>22.129200000000001</v>
      </c>
      <c r="E495" s="10">
        <f>CHOOSE(CONTROL!$C$42, 22.163, 22.163) * CHOOSE(CONTROL!$C$21, $C$9, 100%, $E$9)</f>
        <v>22.163</v>
      </c>
      <c r="F495" s="10">
        <f>CHOOSE(CONTROL!$C$42, 22.065, 22.065)*CHOOSE(CONTROL!$C$21, $C$9, 100%, $E$9)</f>
        <v>22.065000000000001</v>
      </c>
      <c r="G495" s="10">
        <f>CHOOSE(CONTROL!$C$42, 22.0796, 22.0796)*CHOOSE(CONTROL!$C$21, $C$9, 100%, $E$9)</f>
        <v>22.079599999999999</v>
      </c>
      <c r="H495" s="10">
        <f>CHOOSE(CONTROL!$C$42, 22.1522, 22.1522) * CHOOSE(CONTROL!$C$21, $C$9, 100%, $E$9)</f>
        <v>22.152200000000001</v>
      </c>
      <c r="I495" s="10">
        <f>CHOOSE(CONTROL!$C$42, 22.078, 22.078)* CHOOSE(CONTROL!$C$21, $C$9, 100%, $E$9)</f>
        <v>22.077999999999999</v>
      </c>
      <c r="J495" s="10">
        <f>CHOOSE(CONTROL!$C$42, 22.058, 22.058)* CHOOSE(CONTROL!$C$21, $C$9, 100%, $E$9)</f>
        <v>22.058</v>
      </c>
      <c r="K495" s="53">
        <f>CHOOSE(CONTROL!$C$42, 22.0741, 22.0741) * CHOOSE(CONTROL!$C$21, $C$9, 100%, $E$9)</f>
        <v>22.074100000000001</v>
      </c>
      <c r="L495" s="10">
        <f>CHOOSE(CONTROL!$C$42, 22.7392, 22.7392) * CHOOSE(CONTROL!$C$21, $C$9, 100%, $E$9)</f>
        <v>22.7392</v>
      </c>
      <c r="M495" s="10">
        <f>CHOOSE(CONTROL!$C$42, 21.8492, 21.8492) * CHOOSE(CONTROL!$C$21, $C$9, 100%, $E$9)</f>
        <v>21.8492</v>
      </c>
      <c r="N495" s="10">
        <f>CHOOSE(CONTROL!$C$42, 21.8637, 21.8637) * CHOOSE(CONTROL!$C$21, $C$9, 100%, $E$9)</f>
        <v>21.863700000000001</v>
      </c>
      <c r="O495" s="10">
        <f>CHOOSE(CONTROL!$C$42, 21.9425, 21.9425) * CHOOSE(CONTROL!$C$21, $C$9, 100%, $E$9)</f>
        <v>21.942499999999999</v>
      </c>
      <c r="P495" s="10">
        <f>CHOOSE(CONTROL!$C$42, 21.8691, 21.8691) * CHOOSE(CONTROL!$C$21, $C$9, 100%, $E$9)</f>
        <v>21.8691</v>
      </c>
      <c r="Q495" s="10">
        <f>CHOOSE(CONTROL!$C$42, 22.5378, 22.5378) * CHOOSE(CONTROL!$C$21, $C$9, 100%, $E$9)</f>
        <v>22.537800000000001</v>
      </c>
      <c r="R495" s="10">
        <f>CHOOSE(CONTROL!$C$42, 23.1811, 23.1811) * CHOOSE(CONTROL!$C$21, $C$9, 100%, $E$9)</f>
        <v>23.181100000000001</v>
      </c>
      <c r="S495" s="10">
        <f>CHOOSE(CONTROL!$C$42, 21.4273, 21.4273) * CHOOSE(CONTROL!$C$21, $C$9, 100%, $E$9)</f>
        <v>21.427299999999999</v>
      </c>
      <c r="T4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57">
        <f>(1000*CHOOSE(CONTROL!$C$42, 695, 695)*CHOOSE(CONTROL!$C$42, 0.5599, 0.5599)*CHOOSE(CONTROL!$C$42, 31, 31))/1000000</f>
        <v>12.063045499999998</v>
      </c>
      <c r="V495" s="57">
        <f>(1000*CHOOSE(CONTROL!$C$42, 500, 500)*CHOOSE(CONTROL!$C$42, 0.275, 0.275)*CHOOSE(CONTROL!$C$42, 31, 31))/1000000</f>
        <v>4.2625000000000002</v>
      </c>
      <c r="W495" s="57">
        <f>(1000*CHOOSE(CONTROL!$C$42, 0.1146, 0.1146)*CHOOSE(CONTROL!$C$42, 121.5, 121.5)*CHOOSE(CONTROL!$C$42, 31, 31))/1000000</f>
        <v>0.43164089999999994</v>
      </c>
      <c r="X495" s="57">
        <f>(31*0.1790888*100000/1000000)+(31*0.2374*100000/1000000)</f>
        <v>1.2911152800000001</v>
      </c>
      <c r="Y495" s="57"/>
      <c r="Z495" s="10"/>
      <c r="AA495" s="56"/>
      <c r="AB495" s="50">
        <f>(B495*122.58+C495*297.941+D495*89.177+E495*40.302+F495*40+G495*160+H495*0+I495*100+J495*300)/(122.58+297.941+89.177+40.302+0+40+160+100+300)</f>
        <v>22.076848357043477</v>
      </c>
      <c r="AC495" s="45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21.895184892086331</v>
      </c>
    </row>
    <row r="496" spans="1:29" ht="15.75" x14ac:dyDescent="0.25">
      <c r="A496" s="14">
        <v>56004</v>
      </c>
      <c r="B496" s="10">
        <f>CHOOSE(CONTROL!$C$42, 22.0023, 22.0023) * CHOOSE(CONTROL!$C$21, $C$9, 100%, $E$9)</f>
        <v>22.002300000000002</v>
      </c>
      <c r="C496" s="10">
        <f>CHOOSE(CONTROL!$C$42, 22.0067, 22.0067) * CHOOSE(CONTROL!$C$21, $C$9, 100%, $E$9)</f>
        <v>22.006699999999999</v>
      </c>
      <c r="D496" s="10">
        <f>CHOOSE(CONTROL!$C$42, 22.2126, 22.2126) * CHOOSE(CONTROL!$C$21, $C$9, 100%, $E$9)</f>
        <v>22.212599999999998</v>
      </c>
      <c r="E496" s="10">
        <f>CHOOSE(CONTROL!$C$42, 22.2443, 22.2443) * CHOOSE(CONTROL!$C$21, $C$9, 100%, $E$9)</f>
        <v>22.244299999999999</v>
      </c>
      <c r="F496" s="10">
        <f>CHOOSE(CONTROL!$C$42, 21.9791, 21.9791)*CHOOSE(CONTROL!$C$21, $C$9, 100%, $E$9)</f>
        <v>21.979099999999999</v>
      </c>
      <c r="G496" s="10">
        <f>CHOOSE(CONTROL!$C$42, 21.9936, 21.9936)*CHOOSE(CONTROL!$C$21, $C$9, 100%, $E$9)</f>
        <v>21.993600000000001</v>
      </c>
      <c r="H496" s="10">
        <f>CHOOSE(CONTROL!$C$42, 22.2341, 22.2341) * CHOOSE(CONTROL!$C$21, $C$9, 100%, $E$9)</f>
        <v>22.234100000000002</v>
      </c>
      <c r="I496" s="10">
        <f>CHOOSE(CONTROL!$C$42, 22.0037, 22.0037)* CHOOSE(CONTROL!$C$21, $C$9, 100%, $E$9)</f>
        <v>22.003699999999998</v>
      </c>
      <c r="J496" s="10">
        <f>CHOOSE(CONTROL!$C$42, 21.9721, 21.9721)* CHOOSE(CONTROL!$C$21, $C$9, 100%, $E$9)</f>
        <v>21.972100000000001</v>
      </c>
      <c r="K496" s="53">
        <f>CHOOSE(CONTROL!$C$42, 21.9999, 21.9999) * CHOOSE(CONTROL!$C$21, $C$9, 100%, $E$9)</f>
        <v>21.9999</v>
      </c>
      <c r="L496" s="10">
        <f>CHOOSE(CONTROL!$C$42, 22.8211, 22.8211) * CHOOSE(CONTROL!$C$21, $C$9, 100%, $E$9)</f>
        <v>22.821100000000001</v>
      </c>
      <c r="M496" s="10">
        <f>CHOOSE(CONTROL!$C$42, 21.7642, 21.7642) * CHOOSE(CONTROL!$C$21, $C$9, 100%, $E$9)</f>
        <v>21.764199999999999</v>
      </c>
      <c r="N496" s="10">
        <f>CHOOSE(CONTROL!$C$42, 21.7785, 21.7785) * CHOOSE(CONTROL!$C$21, $C$9, 100%, $E$9)</f>
        <v>21.778500000000001</v>
      </c>
      <c r="O496" s="10">
        <f>CHOOSE(CONTROL!$C$42, 22.0236, 22.0236) * CHOOSE(CONTROL!$C$21, $C$9, 100%, $E$9)</f>
        <v>22.023599999999998</v>
      </c>
      <c r="P496" s="10">
        <f>CHOOSE(CONTROL!$C$42, 21.7956, 21.7956) * CHOOSE(CONTROL!$C$21, $C$9, 100%, $E$9)</f>
        <v>21.7956</v>
      </c>
      <c r="Q496" s="10">
        <f>CHOOSE(CONTROL!$C$42, 22.6189, 22.6189) * CHOOSE(CONTROL!$C$21, $C$9, 100%, $E$9)</f>
        <v>22.6189</v>
      </c>
      <c r="R496" s="10">
        <f>CHOOSE(CONTROL!$C$42, 23.2624, 23.2624) * CHOOSE(CONTROL!$C$21, $C$9, 100%, $E$9)</f>
        <v>23.2624</v>
      </c>
      <c r="S496" s="10">
        <f>CHOOSE(CONTROL!$C$42, 21.3635, 21.3635) * CHOOSE(CONTROL!$C$21, $C$9, 100%, $E$9)</f>
        <v>21.363499999999998</v>
      </c>
      <c r="T4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57">
        <f>(1000*CHOOSE(CONTROL!$C$42, 695, 695)*CHOOSE(CONTROL!$C$42, 0.5599, 0.5599)*CHOOSE(CONTROL!$C$42, 30, 30))/1000000</f>
        <v>11.673914999999997</v>
      </c>
      <c r="V496" s="57">
        <f>(1000*CHOOSE(CONTROL!$C$42, 500, 500)*CHOOSE(CONTROL!$C$42, 0.275, 0.275)*CHOOSE(CONTROL!$C$42, 30, 30))/1000000</f>
        <v>4.125</v>
      </c>
      <c r="W496" s="57">
        <f>(1000*CHOOSE(CONTROL!$C$42, 0.1146, 0.1146)*CHOOSE(CONTROL!$C$42, 121.5, 121.5)*CHOOSE(CONTROL!$C$42, 30, 30))/1000000</f>
        <v>0.417717</v>
      </c>
      <c r="X496" s="57">
        <f>(30*0.1790888*245000/1000000)+(30*0.2374*100000/1000000)</f>
        <v>2.0285026799999999</v>
      </c>
      <c r="Y496" s="57"/>
      <c r="Z496" s="10"/>
      <c r="AA496" s="56"/>
      <c r="AB496" s="50">
        <f>(B496*141.293+C496*267.993+D496*115.016+E496*89.698+F496*40+G496*185+H496*0+I496*100+J496*300)/(141.293+267.993+115.016+89.698+0+40+185+100+300)</f>
        <v>22.031046125907991</v>
      </c>
      <c r="AC496" s="45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21.844791366906474</v>
      </c>
    </row>
    <row r="497" spans="1:29" ht="15.75" x14ac:dyDescent="0.25">
      <c r="A497" s="14">
        <v>56035</v>
      </c>
      <c r="B497" s="10">
        <f>CHOOSE(CONTROL!$C$42, 22.1979, 22.1979) * CHOOSE(CONTROL!$C$21, $C$9, 100%, $E$9)</f>
        <v>22.197900000000001</v>
      </c>
      <c r="C497" s="10">
        <f>CHOOSE(CONTROL!$C$42, 22.2058, 22.2058) * CHOOSE(CONTROL!$C$21, $C$9, 100%, $E$9)</f>
        <v>22.2058</v>
      </c>
      <c r="D497" s="10">
        <f>CHOOSE(CONTROL!$C$42, 22.4085, 22.4085) * CHOOSE(CONTROL!$C$21, $C$9, 100%, $E$9)</f>
        <v>22.4085</v>
      </c>
      <c r="E497" s="10">
        <f>CHOOSE(CONTROL!$C$42, 22.4396, 22.4396) * CHOOSE(CONTROL!$C$21, $C$9, 100%, $E$9)</f>
        <v>22.439599999999999</v>
      </c>
      <c r="F497" s="10">
        <f>CHOOSE(CONTROL!$C$42, 22.1736, 22.1736)*CHOOSE(CONTROL!$C$21, $C$9, 100%, $E$9)</f>
        <v>22.1736</v>
      </c>
      <c r="G497" s="10">
        <f>CHOOSE(CONTROL!$C$42, 22.1886, 22.1886)*CHOOSE(CONTROL!$C$21, $C$9, 100%, $E$9)</f>
        <v>22.188600000000001</v>
      </c>
      <c r="H497" s="10">
        <f>CHOOSE(CONTROL!$C$42, 22.4283, 22.4283) * CHOOSE(CONTROL!$C$21, $C$9, 100%, $E$9)</f>
        <v>22.4283</v>
      </c>
      <c r="I497" s="10">
        <f>CHOOSE(CONTROL!$C$42, 22.1979, 22.1979)* CHOOSE(CONTROL!$C$21, $C$9, 100%, $E$9)</f>
        <v>22.197900000000001</v>
      </c>
      <c r="J497" s="10">
        <f>CHOOSE(CONTROL!$C$42, 22.1666, 22.1666)* CHOOSE(CONTROL!$C$21, $C$9, 100%, $E$9)</f>
        <v>22.166599999999999</v>
      </c>
      <c r="K497" s="53">
        <f>CHOOSE(CONTROL!$C$42, 22.194, 22.194) * CHOOSE(CONTROL!$C$21, $C$9, 100%, $E$9)</f>
        <v>22.193999999999999</v>
      </c>
      <c r="L497" s="10">
        <f>CHOOSE(CONTROL!$C$42, 23.0153, 23.0153) * CHOOSE(CONTROL!$C$21, $C$9, 100%, $E$9)</f>
        <v>23.0153</v>
      </c>
      <c r="M497" s="10">
        <f>CHOOSE(CONTROL!$C$42, 21.9567, 21.9567) * CHOOSE(CONTROL!$C$21, $C$9, 100%, $E$9)</f>
        <v>21.956700000000001</v>
      </c>
      <c r="N497" s="10">
        <f>CHOOSE(CONTROL!$C$42, 21.9716, 21.9716) * CHOOSE(CONTROL!$C$21, $C$9, 100%, $E$9)</f>
        <v>21.971599999999999</v>
      </c>
      <c r="O497" s="10">
        <f>CHOOSE(CONTROL!$C$42, 22.2158, 22.2158) * CHOOSE(CONTROL!$C$21, $C$9, 100%, $E$9)</f>
        <v>22.215800000000002</v>
      </c>
      <c r="P497" s="10">
        <f>CHOOSE(CONTROL!$C$42, 21.9878, 21.9878) * CHOOSE(CONTROL!$C$21, $C$9, 100%, $E$9)</f>
        <v>21.9878</v>
      </c>
      <c r="Q497" s="10">
        <f>CHOOSE(CONTROL!$C$42, 22.8111, 22.8111) * CHOOSE(CONTROL!$C$21, $C$9, 100%, $E$9)</f>
        <v>22.8111</v>
      </c>
      <c r="R497" s="10">
        <f>CHOOSE(CONTROL!$C$42, 23.4551, 23.4551) * CHOOSE(CONTROL!$C$21, $C$9, 100%, $E$9)</f>
        <v>23.455100000000002</v>
      </c>
      <c r="S497" s="10">
        <f>CHOOSE(CONTROL!$C$42, 21.5521, 21.5521) * CHOOSE(CONTROL!$C$21, $C$9, 100%, $E$9)</f>
        <v>21.552099999999999</v>
      </c>
      <c r="T4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57">
        <f>(1000*CHOOSE(CONTROL!$C$42, 695, 695)*CHOOSE(CONTROL!$C$42, 0.5599, 0.5599)*CHOOSE(CONTROL!$C$42, 31, 31))/1000000</f>
        <v>12.063045499999998</v>
      </c>
      <c r="V497" s="57">
        <f>(1000*CHOOSE(CONTROL!$C$42, 500, 500)*CHOOSE(CONTROL!$C$42, 0.275, 0.275)*CHOOSE(CONTROL!$C$42, 31, 31))/1000000</f>
        <v>4.2625000000000002</v>
      </c>
      <c r="W497" s="57">
        <f>(1000*CHOOSE(CONTROL!$C$42, 0.1146, 0.1146)*CHOOSE(CONTROL!$C$42, 121.5, 121.5)*CHOOSE(CONTROL!$C$42, 31, 31))/1000000</f>
        <v>0.43164089999999994</v>
      </c>
      <c r="X497" s="57">
        <f>(31*0.1790888*245000/1000000)+(31*0.2374*100000/1000000)</f>
        <v>2.0961194359999999</v>
      </c>
      <c r="Y497" s="57"/>
      <c r="Z497" s="10"/>
      <c r="AA497" s="56"/>
      <c r="AB497" s="50">
        <f>(B497*194.205+C497*267.466+D497*133.845+E497*53.484+F497*40+G497*185+H497*0+I497*100+J497*300)/(194.205+267.466+133.845+53.484+0+40+185+100+300)</f>
        <v>22.222346876923076</v>
      </c>
      <c r="AC497" s="45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22.037302158273384</v>
      </c>
    </row>
    <row r="498" spans="1:29" ht="15.75" x14ac:dyDescent="0.25">
      <c r="A498" s="14">
        <v>56065</v>
      </c>
      <c r="B498" s="10">
        <f>CHOOSE(CONTROL!$C$42, 22.8274, 22.8274) * CHOOSE(CONTROL!$C$21, $C$9, 100%, $E$9)</f>
        <v>22.827400000000001</v>
      </c>
      <c r="C498" s="10">
        <f>CHOOSE(CONTROL!$C$42, 22.8353, 22.8353) * CHOOSE(CONTROL!$C$21, $C$9, 100%, $E$9)</f>
        <v>22.8353</v>
      </c>
      <c r="D498" s="10">
        <f>CHOOSE(CONTROL!$C$42, 23.038, 23.038) * CHOOSE(CONTROL!$C$21, $C$9, 100%, $E$9)</f>
        <v>23.038</v>
      </c>
      <c r="E498" s="10">
        <f>CHOOSE(CONTROL!$C$42, 23.0692, 23.0692) * CHOOSE(CONTROL!$C$21, $C$9, 100%, $E$9)</f>
        <v>23.069199999999999</v>
      </c>
      <c r="F498" s="10">
        <f>CHOOSE(CONTROL!$C$42, 22.8036, 22.8036)*CHOOSE(CONTROL!$C$21, $C$9, 100%, $E$9)</f>
        <v>22.803599999999999</v>
      </c>
      <c r="G498" s="10">
        <f>CHOOSE(CONTROL!$C$42, 22.8188, 22.8188)*CHOOSE(CONTROL!$C$21, $C$9, 100%, $E$9)</f>
        <v>22.8188</v>
      </c>
      <c r="H498" s="10">
        <f>CHOOSE(CONTROL!$C$42, 23.0578, 23.0578) * CHOOSE(CONTROL!$C$21, $C$9, 100%, $E$9)</f>
        <v>23.0578</v>
      </c>
      <c r="I498" s="10">
        <f>CHOOSE(CONTROL!$C$42, 22.8274, 22.8274)* CHOOSE(CONTROL!$C$21, $C$9, 100%, $E$9)</f>
        <v>22.827400000000001</v>
      </c>
      <c r="J498" s="10">
        <f>CHOOSE(CONTROL!$C$42, 22.7966, 22.7966)* CHOOSE(CONTROL!$C$21, $C$9, 100%, $E$9)</f>
        <v>22.796600000000002</v>
      </c>
      <c r="K498" s="53">
        <f>CHOOSE(CONTROL!$C$42, 22.8235, 22.8235) * CHOOSE(CONTROL!$C$21, $C$9, 100%, $E$9)</f>
        <v>22.823499999999999</v>
      </c>
      <c r="L498" s="10">
        <f>CHOOSE(CONTROL!$C$42, 23.6448, 23.6448) * CHOOSE(CONTROL!$C$21, $C$9, 100%, $E$9)</f>
        <v>23.6448</v>
      </c>
      <c r="M498" s="10">
        <f>CHOOSE(CONTROL!$C$42, 22.5804, 22.5804) * CHOOSE(CONTROL!$C$21, $C$9, 100%, $E$9)</f>
        <v>22.580400000000001</v>
      </c>
      <c r="N498" s="10">
        <f>CHOOSE(CONTROL!$C$42, 22.5954, 22.5954) * CHOOSE(CONTROL!$C$21, $C$9, 100%, $E$9)</f>
        <v>22.595400000000001</v>
      </c>
      <c r="O498" s="10">
        <f>CHOOSE(CONTROL!$C$42, 22.8389, 22.8389) * CHOOSE(CONTROL!$C$21, $C$9, 100%, $E$9)</f>
        <v>22.838899999999999</v>
      </c>
      <c r="P498" s="10">
        <f>CHOOSE(CONTROL!$C$42, 22.6109, 22.6109) * CHOOSE(CONTROL!$C$21, $C$9, 100%, $E$9)</f>
        <v>22.610900000000001</v>
      </c>
      <c r="Q498" s="10">
        <f>CHOOSE(CONTROL!$C$42, 23.4342, 23.4342) * CHOOSE(CONTROL!$C$21, $C$9, 100%, $E$9)</f>
        <v>23.434200000000001</v>
      </c>
      <c r="R498" s="10">
        <f>CHOOSE(CONTROL!$C$42, 24.0798, 24.0798) * CHOOSE(CONTROL!$C$21, $C$9, 100%, $E$9)</f>
        <v>24.079799999999999</v>
      </c>
      <c r="S498" s="10">
        <f>CHOOSE(CONTROL!$C$42, 22.1634, 22.1634) * CHOOSE(CONTROL!$C$21, $C$9, 100%, $E$9)</f>
        <v>22.163399999999999</v>
      </c>
      <c r="T4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57">
        <f>(1000*CHOOSE(CONTROL!$C$42, 695, 695)*CHOOSE(CONTROL!$C$42, 0.5599, 0.5599)*CHOOSE(CONTROL!$C$42, 30, 30))/1000000</f>
        <v>11.673914999999997</v>
      </c>
      <c r="V498" s="57">
        <f>(1000*CHOOSE(CONTROL!$C$42, 500, 500)*CHOOSE(CONTROL!$C$42, 0.275, 0.275)*CHOOSE(CONTROL!$C$42, 30, 30))/1000000</f>
        <v>4.125</v>
      </c>
      <c r="W498" s="57">
        <f>(1000*CHOOSE(CONTROL!$C$42, 0.1146, 0.1146)*CHOOSE(CONTROL!$C$42, 121.5, 121.5)*CHOOSE(CONTROL!$C$42, 30, 30))/1000000</f>
        <v>0.417717</v>
      </c>
      <c r="X498" s="57">
        <f>(30*0.1790888*245000/1000000)+(30*0.2374*100000/1000000)</f>
        <v>2.0285026799999999</v>
      </c>
      <c r="Y498" s="57"/>
      <c r="Z498" s="10"/>
      <c r="AA498" s="56"/>
      <c r="AB498" s="50">
        <f>(B498*194.205+C498*267.466+D498*133.845+E498*53.484+F498*40+G498*185+H498*0+I498*100+J498*300)/(194.205+267.466+133.845+53.484+0+40+185+100+300)</f>
        <v>22.852086161381475</v>
      </c>
      <c r="AC498" s="45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22.660770503597124</v>
      </c>
    </row>
    <row r="499" spans="1:29" ht="15.75" x14ac:dyDescent="0.25">
      <c r="A499" s="14">
        <v>56096</v>
      </c>
      <c r="B499" s="10">
        <f>CHOOSE(CONTROL!$C$42, 22.3895, 22.3895) * CHOOSE(CONTROL!$C$21, $C$9, 100%, $E$9)</f>
        <v>22.389500000000002</v>
      </c>
      <c r="C499" s="10">
        <f>CHOOSE(CONTROL!$C$42, 22.3975, 22.3975) * CHOOSE(CONTROL!$C$21, $C$9, 100%, $E$9)</f>
        <v>22.397500000000001</v>
      </c>
      <c r="D499" s="10">
        <f>CHOOSE(CONTROL!$C$42, 22.6002, 22.6002) * CHOOSE(CONTROL!$C$21, $C$9, 100%, $E$9)</f>
        <v>22.600200000000001</v>
      </c>
      <c r="E499" s="10">
        <f>CHOOSE(CONTROL!$C$42, 22.6313, 22.6313) * CHOOSE(CONTROL!$C$21, $C$9, 100%, $E$9)</f>
        <v>22.6313</v>
      </c>
      <c r="F499" s="10">
        <f>CHOOSE(CONTROL!$C$42, 22.3663, 22.3663)*CHOOSE(CONTROL!$C$21, $C$9, 100%, $E$9)</f>
        <v>22.366299999999999</v>
      </c>
      <c r="G499" s="10">
        <f>CHOOSE(CONTROL!$C$42, 22.3816, 22.3816)*CHOOSE(CONTROL!$C$21, $C$9, 100%, $E$9)</f>
        <v>22.381599999999999</v>
      </c>
      <c r="H499" s="10">
        <f>CHOOSE(CONTROL!$C$42, 22.62, 22.62) * CHOOSE(CONTROL!$C$21, $C$9, 100%, $E$9)</f>
        <v>22.62</v>
      </c>
      <c r="I499" s="10">
        <f>CHOOSE(CONTROL!$C$42, 22.3896, 22.3896)* CHOOSE(CONTROL!$C$21, $C$9, 100%, $E$9)</f>
        <v>22.389600000000002</v>
      </c>
      <c r="J499" s="10">
        <f>CHOOSE(CONTROL!$C$42, 22.3593, 22.3593)* CHOOSE(CONTROL!$C$21, $C$9, 100%, $E$9)</f>
        <v>22.359300000000001</v>
      </c>
      <c r="K499" s="53">
        <f>CHOOSE(CONTROL!$C$42, 22.3857, 22.3857) * CHOOSE(CONTROL!$C$21, $C$9, 100%, $E$9)</f>
        <v>22.3857</v>
      </c>
      <c r="L499" s="10">
        <f>CHOOSE(CONTROL!$C$42, 23.207, 23.207) * CHOOSE(CONTROL!$C$21, $C$9, 100%, $E$9)</f>
        <v>23.207000000000001</v>
      </c>
      <c r="M499" s="10">
        <f>CHOOSE(CONTROL!$C$42, 22.1475, 22.1475) * CHOOSE(CONTROL!$C$21, $C$9, 100%, $E$9)</f>
        <v>22.147500000000001</v>
      </c>
      <c r="N499" s="10">
        <f>CHOOSE(CONTROL!$C$42, 22.1626, 22.1626) * CHOOSE(CONTROL!$C$21, $C$9, 100%, $E$9)</f>
        <v>22.162600000000001</v>
      </c>
      <c r="O499" s="10">
        <f>CHOOSE(CONTROL!$C$42, 22.4055, 22.4055) * CHOOSE(CONTROL!$C$21, $C$9, 100%, $E$9)</f>
        <v>22.4055</v>
      </c>
      <c r="P499" s="10">
        <f>CHOOSE(CONTROL!$C$42, 22.1775, 22.1775) * CHOOSE(CONTROL!$C$21, $C$9, 100%, $E$9)</f>
        <v>22.177499999999998</v>
      </c>
      <c r="Q499" s="10">
        <f>CHOOSE(CONTROL!$C$42, 23.0008, 23.0008) * CHOOSE(CONTROL!$C$21, $C$9, 100%, $E$9)</f>
        <v>23.000800000000002</v>
      </c>
      <c r="R499" s="10">
        <f>CHOOSE(CONTROL!$C$42, 23.6453, 23.6453) * CHOOSE(CONTROL!$C$21, $C$9, 100%, $E$9)</f>
        <v>23.645299999999999</v>
      </c>
      <c r="S499" s="10">
        <f>CHOOSE(CONTROL!$C$42, 21.7382, 21.7382) * CHOOSE(CONTROL!$C$21, $C$9, 100%, $E$9)</f>
        <v>21.738199999999999</v>
      </c>
      <c r="T4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57">
        <f>(1000*CHOOSE(CONTROL!$C$42, 695, 695)*CHOOSE(CONTROL!$C$42, 0.5599, 0.5599)*CHOOSE(CONTROL!$C$42, 31, 31))/1000000</f>
        <v>12.063045499999998</v>
      </c>
      <c r="V499" s="57">
        <f>(1000*CHOOSE(CONTROL!$C$42, 500, 500)*CHOOSE(CONTROL!$C$42, 0.275, 0.275)*CHOOSE(CONTROL!$C$42, 31, 31))/1000000</f>
        <v>4.2625000000000002</v>
      </c>
      <c r="W499" s="57">
        <f>(1000*CHOOSE(CONTROL!$C$42, 0.1146, 0.1146)*CHOOSE(CONTROL!$C$42, 121.5, 121.5)*CHOOSE(CONTROL!$C$42, 31, 31))/1000000</f>
        <v>0.43164089999999994</v>
      </c>
      <c r="X499" s="57">
        <f>(31*0.1790888*245000/1000000)+(31*0.2374*100000/1000000)</f>
        <v>2.0961194359999999</v>
      </c>
      <c r="Y499" s="57"/>
      <c r="Z499" s="10"/>
      <c r="AA499" s="56"/>
      <c r="AB499" s="50">
        <f>(B499*194.205+C499*267.466+D499*133.845+E499*53.484+F499*40+G499*185+H499*0+I499*100+J499*300)/(194.205+267.466+133.845+53.484+0+40+185+100+300)</f>
        <v>22.414487284693877</v>
      </c>
      <c r="AC499" s="45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22.227681294964032</v>
      </c>
    </row>
    <row r="500" spans="1:29" ht="15.75" x14ac:dyDescent="0.25">
      <c r="A500" s="14">
        <v>56127</v>
      </c>
      <c r="B500" s="10">
        <f>CHOOSE(CONTROL!$C$42, 21.2839, 21.2839) * CHOOSE(CONTROL!$C$21, $C$9, 100%, $E$9)</f>
        <v>21.283899999999999</v>
      </c>
      <c r="C500" s="10">
        <f>CHOOSE(CONTROL!$C$42, 21.2918, 21.2918) * CHOOSE(CONTROL!$C$21, $C$9, 100%, $E$9)</f>
        <v>21.291799999999999</v>
      </c>
      <c r="D500" s="10">
        <f>CHOOSE(CONTROL!$C$42, 21.4945, 21.4945) * CHOOSE(CONTROL!$C$21, $C$9, 100%, $E$9)</f>
        <v>21.494499999999999</v>
      </c>
      <c r="E500" s="10">
        <f>CHOOSE(CONTROL!$C$42, 21.5257, 21.5257) * CHOOSE(CONTROL!$C$21, $C$9, 100%, $E$9)</f>
        <v>21.525700000000001</v>
      </c>
      <c r="F500" s="10">
        <f>CHOOSE(CONTROL!$C$42, 21.2608, 21.2608)*CHOOSE(CONTROL!$C$21, $C$9, 100%, $E$9)</f>
        <v>21.2608</v>
      </c>
      <c r="G500" s="10">
        <f>CHOOSE(CONTROL!$C$42, 21.2761, 21.2761)*CHOOSE(CONTROL!$C$21, $C$9, 100%, $E$9)</f>
        <v>21.2761</v>
      </c>
      <c r="H500" s="10">
        <f>CHOOSE(CONTROL!$C$42, 21.5143, 21.5143) * CHOOSE(CONTROL!$C$21, $C$9, 100%, $E$9)</f>
        <v>21.514299999999999</v>
      </c>
      <c r="I500" s="10">
        <f>CHOOSE(CONTROL!$C$42, 21.2839, 21.2839)* CHOOSE(CONTROL!$C$21, $C$9, 100%, $E$9)</f>
        <v>21.283899999999999</v>
      </c>
      <c r="J500" s="10">
        <f>CHOOSE(CONTROL!$C$42, 21.2538, 21.2538)* CHOOSE(CONTROL!$C$21, $C$9, 100%, $E$9)</f>
        <v>21.253799999999998</v>
      </c>
      <c r="K500" s="53">
        <f>CHOOSE(CONTROL!$C$42, 21.28, 21.28) * CHOOSE(CONTROL!$C$21, $C$9, 100%, $E$9)</f>
        <v>21.28</v>
      </c>
      <c r="L500" s="10">
        <f>CHOOSE(CONTROL!$C$42, 22.1013, 22.1013) * CHOOSE(CONTROL!$C$21, $C$9, 100%, $E$9)</f>
        <v>22.101299999999998</v>
      </c>
      <c r="M500" s="10">
        <f>CHOOSE(CONTROL!$C$42, 21.0532, 21.0532) * CHOOSE(CONTROL!$C$21, $C$9, 100%, $E$9)</f>
        <v>21.0532</v>
      </c>
      <c r="N500" s="10">
        <f>CHOOSE(CONTROL!$C$42, 21.0683, 21.0683) * CHOOSE(CONTROL!$C$21, $C$9, 100%, $E$9)</f>
        <v>21.068300000000001</v>
      </c>
      <c r="O500" s="10">
        <f>CHOOSE(CONTROL!$C$42, 21.311, 21.311) * CHOOSE(CONTROL!$C$21, $C$9, 100%, $E$9)</f>
        <v>21.311</v>
      </c>
      <c r="P500" s="10">
        <f>CHOOSE(CONTROL!$C$42, 21.083, 21.083) * CHOOSE(CONTROL!$C$21, $C$9, 100%, $E$9)</f>
        <v>21.082999999999998</v>
      </c>
      <c r="Q500" s="10">
        <f>CHOOSE(CONTROL!$C$42, 21.9063, 21.9063) * CHOOSE(CONTROL!$C$21, $C$9, 100%, $E$9)</f>
        <v>21.906300000000002</v>
      </c>
      <c r="R500" s="10">
        <f>CHOOSE(CONTROL!$C$42, 22.5481, 22.5481) * CHOOSE(CONTROL!$C$21, $C$9, 100%, $E$9)</f>
        <v>22.548100000000002</v>
      </c>
      <c r="S500" s="10">
        <f>CHOOSE(CONTROL!$C$42, 20.6645, 20.6645) * CHOOSE(CONTROL!$C$21, $C$9, 100%, $E$9)</f>
        <v>20.6645</v>
      </c>
      <c r="T5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57">
        <f>(1000*CHOOSE(CONTROL!$C$42, 695, 695)*CHOOSE(CONTROL!$C$42, 0.5599, 0.5599)*CHOOSE(CONTROL!$C$42, 31, 31))/1000000</f>
        <v>12.063045499999998</v>
      </c>
      <c r="V500" s="57">
        <f>(1000*CHOOSE(CONTROL!$C$42, 500, 500)*CHOOSE(CONTROL!$C$42, 0.275, 0.275)*CHOOSE(CONTROL!$C$42, 31, 31))/1000000</f>
        <v>4.2625000000000002</v>
      </c>
      <c r="W500" s="57">
        <f>(1000*CHOOSE(CONTROL!$C$42, 0.1146, 0.1146)*CHOOSE(CONTROL!$C$42, 121.5, 121.5)*CHOOSE(CONTROL!$C$42, 31, 31))/1000000</f>
        <v>0.43164089999999994</v>
      </c>
      <c r="X500" s="57">
        <f>(31*0.1790888*245000/1000000)+(31*0.2374*100000/1000000)</f>
        <v>2.0961194359999999</v>
      </c>
      <c r="Y500" s="57"/>
      <c r="Z500" s="10"/>
      <c r="AA500" s="56"/>
      <c r="AB500" s="50">
        <f>(B500*194.205+C500*267.466+D500*133.845+E500*53.484+F500*40+G500*185+H500*0+I500*100+J500*300)/(194.205+267.466+133.845+53.484+0+40+185+100+300)</f>
        <v>21.308889144113031</v>
      </c>
      <c r="AC500" s="45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21.133296402877697</v>
      </c>
    </row>
    <row r="501" spans="1:29" ht="15.75" x14ac:dyDescent="0.25">
      <c r="A501" s="14">
        <v>56157</v>
      </c>
      <c r="B501" s="10">
        <f>CHOOSE(CONTROL!$C$42, 19.9326, 19.9326) * CHOOSE(CONTROL!$C$21, $C$9, 100%, $E$9)</f>
        <v>19.932600000000001</v>
      </c>
      <c r="C501" s="10">
        <f>CHOOSE(CONTROL!$C$42, 19.9405, 19.9405) * CHOOSE(CONTROL!$C$21, $C$9, 100%, $E$9)</f>
        <v>19.9405</v>
      </c>
      <c r="D501" s="10">
        <f>CHOOSE(CONTROL!$C$42, 20.1432, 20.1432) * CHOOSE(CONTROL!$C$21, $C$9, 100%, $E$9)</f>
        <v>20.1432</v>
      </c>
      <c r="E501" s="10">
        <f>CHOOSE(CONTROL!$C$42, 20.1744, 20.1744) * CHOOSE(CONTROL!$C$21, $C$9, 100%, $E$9)</f>
        <v>20.174399999999999</v>
      </c>
      <c r="F501" s="10">
        <f>CHOOSE(CONTROL!$C$42, 19.9094, 19.9094)*CHOOSE(CONTROL!$C$21, $C$9, 100%, $E$9)</f>
        <v>19.909400000000002</v>
      </c>
      <c r="G501" s="10">
        <f>CHOOSE(CONTROL!$C$42, 19.9247, 19.9247)*CHOOSE(CONTROL!$C$21, $C$9, 100%, $E$9)</f>
        <v>19.924700000000001</v>
      </c>
      <c r="H501" s="10">
        <f>CHOOSE(CONTROL!$C$42, 20.163, 20.163) * CHOOSE(CONTROL!$C$21, $C$9, 100%, $E$9)</f>
        <v>20.163</v>
      </c>
      <c r="I501" s="10">
        <f>CHOOSE(CONTROL!$C$42, 19.9326, 19.9326)* CHOOSE(CONTROL!$C$21, $C$9, 100%, $E$9)</f>
        <v>19.932600000000001</v>
      </c>
      <c r="J501" s="10">
        <f>CHOOSE(CONTROL!$C$42, 19.9024, 19.9024)* CHOOSE(CONTROL!$C$21, $C$9, 100%, $E$9)</f>
        <v>19.9024</v>
      </c>
      <c r="K501" s="53">
        <f>CHOOSE(CONTROL!$C$42, 19.9287, 19.9287) * CHOOSE(CONTROL!$C$21, $C$9, 100%, $E$9)</f>
        <v>19.928699999999999</v>
      </c>
      <c r="L501" s="10">
        <f>CHOOSE(CONTROL!$C$42, 20.75, 20.75) * CHOOSE(CONTROL!$C$21, $C$9, 100%, $E$9)</f>
        <v>20.75</v>
      </c>
      <c r="M501" s="10">
        <f>CHOOSE(CONTROL!$C$42, 19.7154, 19.7154) * CHOOSE(CONTROL!$C$21, $C$9, 100%, $E$9)</f>
        <v>19.715399999999999</v>
      </c>
      <c r="N501" s="10">
        <f>CHOOSE(CONTROL!$C$42, 19.7305, 19.7305) * CHOOSE(CONTROL!$C$21, $C$9, 100%, $E$9)</f>
        <v>19.730499999999999</v>
      </c>
      <c r="O501" s="10">
        <f>CHOOSE(CONTROL!$C$42, 19.9733, 19.9733) * CHOOSE(CONTROL!$C$21, $C$9, 100%, $E$9)</f>
        <v>19.973299999999998</v>
      </c>
      <c r="P501" s="10">
        <f>CHOOSE(CONTROL!$C$42, 19.7453, 19.7453) * CHOOSE(CONTROL!$C$21, $C$9, 100%, $E$9)</f>
        <v>19.7453</v>
      </c>
      <c r="Q501" s="10">
        <f>CHOOSE(CONTROL!$C$42, 20.5686, 20.5686) * CHOOSE(CONTROL!$C$21, $C$9, 100%, $E$9)</f>
        <v>20.5686</v>
      </c>
      <c r="R501" s="10">
        <f>CHOOSE(CONTROL!$C$42, 21.2071, 21.2071) * CHOOSE(CONTROL!$C$21, $C$9, 100%, $E$9)</f>
        <v>21.207100000000001</v>
      </c>
      <c r="S501" s="10">
        <f>CHOOSE(CONTROL!$C$42, 19.3523, 19.3523) * CHOOSE(CONTROL!$C$21, $C$9, 100%, $E$9)</f>
        <v>19.3523</v>
      </c>
      <c r="T5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57">
        <f>(1000*CHOOSE(CONTROL!$C$42, 695, 695)*CHOOSE(CONTROL!$C$42, 0.5599, 0.5599)*CHOOSE(CONTROL!$C$42, 30, 30))/1000000</f>
        <v>11.673914999999997</v>
      </c>
      <c r="V501" s="57">
        <f>(1000*CHOOSE(CONTROL!$C$42, 500, 500)*CHOOSE(CONTROL!$C$42, 0.275, 0.275)*CHOOSE(CONTROL!$C$42, 30, 30))/1000000</f>
        <v>4.125</v>
      </c>
      <c r="W501" s="57">
        <f>(1000*CHOOSE(CONTROL!$C$42, 0.1146, 0.1146)*CHOOSE(CONTROL!$C$42, 121.5, 121.5)*CHOOSE(CONTROL!$C$42, 30, 30))/1000000</f>
        <v>0.417717</v>
      </c>
      <c r="X501" s="57">
        <f>(30*0.1790888*245000/1000000)+(30*0.2374*100000/1000000)</f>
        <v>2.0285026799999999</v>
      </c>
      <c r="Y501" s="57"/>
      <c r="Z501" s="10"/>
      <c r="AA501" s="56"/>
      <c r="AB501" s="50">
        <f>(B501*194.205+C501*267.466+D501*133.845+E501*53.484+F501*40+G501*185+H501*0+I501*100+J501*300)/(194.205+267.466+133.845+53.484+0+40+185+100+300)</f>
        <v>19.95754793532182</v>
      </c>
      <c r="AC501" s="45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19.795538848920867</v>
      </c>
    </row>
    <row r="502" spans="1:29" ht="15.75" x14ac:dyDescent="0.25">
      <c r="A502" s="14">
        <v>56188</v>
      </c>
      <c r="B502" s="10">
        <f>CHOOSE(CONTROL!$C$42, 19.5262, 19.5262) * CHOOSE(CONTROL!$C$21, $C$9, 100%, $E$9)</f>
        <v>19.526199999999999</v>
      </c>
      <c r="C502" s="10">
        <f>CHOOSE(CONTROL!$C$42, 19.5314, 19.5314) * CHOOSE(CONTROL!$C$21, $C$9, 100%, $E$9)</f>
        <v>19.531400000000001</v>
      </c>
      <c r="D502" s="10">
        <f>CHOOSE(CONTROL!$C$42, 19.7391, 19.7391) * CHOOSE(CONTROL!$C$21, $C$9, 100%, $E$9)</f>
        <v>19.739100000000001</v>
      </c>
      <c r="E502" s="10">
        <f>CHOOSE(CONTROL!$C$42, 19.7679, 19.7679) * CHOOSE(CONTROL!$C$21, $C$9, 100%, $E$9)</f>
        <v>19.767900000000001</v>
      </c>
      <c r="F502" s="10">
        <f>CHOOSE(CONTROL!$C$42, 19.5049, 19.5049)*CHOOSE(CONTROL!$C$21, $C$9, 100%, $E$9)</f>
        <v>19.504899999999999</v>
      </c>
      <c r="G502" s="10">
        <f>CHOOSE(CONTROL!$C$42, 19.5199, 19.5199)*CHOOSE(CONTROL!$C$21, $C$9, 100%, $E$9)</f>
        <v>19.5199</v>
      </c>
      <c r="H502" s="10">
        <f>CHOOSE(CONTROL!$C$42, 19.7584, 19.7584) * CHOOSE(CONTROL!$C$21, $C$9, 100%, $E$9)</f>
        <v>19.758400000000002</v>
      </c>
      <c r="I502" s="10">
        <f>CHOOSE(CONTROL!$C$42, 19.528, 19.528)* CHOOSE(CONTROL!$C$21, $C$9, 100%, $E$9)</f>
        <v>19.527999999999999</v>
      </c>
      <c r="J502" s="10">
        <f>CHOOSE(CONTROL!$C$42, 19.4979, 19.4979)* CHOOSE(CONTROL!$C$21, $C$9, 100%, $E$9)</f>
        <v>19.497900000000001</v>
      </c>
      <c r="K502" s="53">
        <f>CHOOSE(CONTROL!$C$42, 19.5241, 19.5241) * CHOOSE(CONTROL!$C$21, $C$9, 100%, $E$9)</f>
        <v>19.524100000000001</v>
      </c>
      <c r="L502" s="10">
        <f>CHOOSE(CONTROL!$C$42, 20.3454, 20.3454) * CHOOSE(CONTROL!$C$21, $C$9, 100%, $E$9)</f>
        <v>20.345400000000001</v>
      </c>
      <c r="M502" s="10">
        <f>CHOOSE(CONTROL!$C$42, 19.315, 19.315) * CHOOSE(CONTROL!$C$21, $C$9, 100%, $E$9)</f>
        <v>19.315000000000001</v>
      </c>
      <c r="N502" s="10">
        <f>CHOOSE(CONTROL!$C$42, 19.3298, 19.3298) * CHOOSE(CONTROL!$C$21, $C$9, 100%, $E$9)</f>
        <v>19.329799999999999</v>
      </c>
      <c r="O502" s="10">
        <f>CHOOSE(CONTROL!$C$42, 19.5728, 19.5728) * CHOOSE(CONTROL!$C$21, $C$9, 100%, $E$9)</f>
        <v>19.572800000000001</v>
      </c>
      <c r="P502" s="10">
        <f>CHOOSE(CONTROL!$C$42, 19.3448, 19.3448) * CHOOSE(CONTROL!$C$21, $C$9, 100%, $E$9)</f>
        <v>19.344799999999999</v>
      </c>
      <c r="Q502" s="10">
        <f>CHOOSE(CONTROL!$C$42, 20.1681, 20.1681) * CHOOSE(CONTROL!$C$21, $C$9, 100%, $E$9)</f>
        <v>20.168099999999999</v>
      </c>
      <c r="R502" s="10">
        <f>CHOOSE(CONTROL!$C$42, 20.8055, 20.8055) * CHOOSE(CONTROL!$C$21, $C$9, 100%, $E$9)</f>
        <v>20.805499999999999</v>
      </c>
      <c r="S502" s="10">
        <f>CHOOSE(CONTROL!$C$42, 18.9594, 18.9594) * CHOOSE(CONTROL!$C$21, $C$9, 100%, $E$9)</f>
        <v>18.959399999999999</v>
      </c>
      <c r="T5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57">
        <f>(1000*CHOOSE(CONTROL!$C$42, 695, 695)*CHOOSE(CONTROL!$C$42, 0.5599, 0.5599)*CHOOSE(CONTROL!$C$42, 31, 31))/1000000</f>
        <v>12.063045499999998</v>
      </c>
      <c r="V502" s="57">
        <f>(1000*CHOOSE(CONTROL!$C$42, 500, 500)*CHOOSE(CONTROL!$C$42, 0.275, 0.275)*CHOOSE(CONTROL!$C$42, 31, 31))/1000000</f>
        <v>4.2625000000000002</v>
      </c>
      <c r="W502" s="57">
        <f>(1000*CHOOSE(CONTROL!$C$42, 0.1146, 0.1146)*CHOOSE(CONTROL!$C$42, 121.5, 121.5)*CHOOSE(CONTROL!$C$42, 31, 31))/1000000</f>
        <v>0.43164089999999994</v>
      </c>
      <c r="X502" s="57">
        <f>(31*0.1790888*245000/1000000)+(31*0.2374*100000/1000000)</f>
        <v>2.0961194359999999</v>
      </c>
      <c r="Y502" s="57"/>
      <c r="Z502" s="10"/>
      <c r="AA502" s="56"/>
      <c r="AB502" s="50">
        <f>(B502*131.881+C502*277.167+D502*79.08+E502*125.872+F502*40+G502*185+H502*0+I502*100+J502*300)/(131.881+277.167+79.08+125.872+0+40+185+100+300)</f>
        <v>19.557171075706215</v>
      </c>
      <c r="AC502" s="45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19.395027338129495</v>
      </c>
    </row>
    <row r="503" spans="1:29" ht="15.75" x14ac:dyDescent="0.25">
      <c r="A503" s="14">
        <v>56218</v>
      </c>
      <c r="B503" s="10">
        <f>CHOOSE(CONTROL!$C$42, 20.0401, 20.0401) * CHOOSE(CONTROL!$C$21, $C$9, 100%, $E$9)</f>
        <v>20.040099999999999</v>
      </c>
      <c r="C503" s="10">
        <f>CHOOSE(CONTROL!$C$42, 20.0451, 20.0451) * CHOOSE(CONTROL!$C$21, $C$9, 100%, $E$9)</f>
        <v>20.045100000000001</v>
      </c>
      <c r="D503" s="10">
        <f>CHOOSE(CONTROL!$C$42, 20.1056, 20.1056) * CHOOSE(CONTROL!$C$21, $C$9, 100%, $E$9)</f>
        <v>20.105599999999999</v>
      </c>
      <c r="E503" s="10">
        <f>CHOOSE(CONTROL!$C$42, 20.1393, 20.1393) * CHOOSE(CONTROL!$C$21, $C$9, 100%, $E$9)</f>
        <v>20.139299999999999</v>
      </c>
      <c r="F503" s="10">
        <f>CHOOSE(CONTROL!$C$42, 20.0357, 20.0357)*CHOOSE(CONTROL!$C$21, $C$9, 100%, $E$9)</f>
        <v>20.035699999999999</v>
      </c>
      <c r="G503" s="10">
        <f>CHOOSE(CONTROL!$C$42, 20.051, 20.051)*CHOOSE(CONTROL!$C$21, $C$9, 100%, $E$9)</f>
        <v>20.050999999999998</v>
      </c>
      <c r="H503" s="10">
        <f>CHOOSE(CONTROL!$C$42, 20.1285, 20.1285) * CHOOSE(CONTROL!$C$21, $C$9, 100%, $E$9)</f>
        <v>20.128499999999999</v>
      </c>
      <c r="I503" s="10">
        <f>CHOOSE(CONTROL!$C$42, 20.0526, 20.0526)* CHOOSE(CONTROL!$C$21, $C$9, 100%, $E$9)</f>
        <v>20.052600000000002</v>
      </c>
      <c r="J503" s="10">
        <f>CHOOSE(CONTROL!$C$42, 20.0287, 20.0287)* CHOOSE(CONTROL!$C$21, $C$9, 100%, $E$9)</f>
        <v>20.028700000000001</v>
      </c>
      <c r="K503" s="53">
        <f>CHOOSE(CONTROL!$C$42, 20.0487, 20.0487) * CHOOSE(CONTROL!$C$21, $C$9, 100%, $E$9)</f>
        <v>20.0487</v>
      </c>
      <c r="L503" s="10">
        <f>CHOOSE(CONTROL!$C$42, 20.7155, 20.7155) * CHOOSE(CONTROL!$C$21, $C$9, 100%, $E$9)</f>
        <v>20.715499999999999</v>
      </c>
      <c r="M503" s="10">
        <f>CHOOSE(CONTROL!$C$42, 19.8404, 19.8404) * CHOOSE(CONTROL!$C$21, $C$9, 100%, $E$9)</f>
        <v>19.840399999999999</v>
      </c>
      <c r="N503" s="10">
        <f>CHOOSE(CONTROL!$C$42, 19.8555, 19.8555) * CHOOSE(CONTROL!$C$21, $C$9, 100%, $E$9)</f>
        <v>19.855499999999999</v>
      </c>
      <c r="O503" s="10">
        <f>CHOOSE(CONTROL!$C$42, 19.9392, 19.9392) * CHOOSE(CONTROL!$C$21, $C$9, 100%, $E$9)</f>
        <v>19.9392</v>
      </c>
      <c r="P503" s="10">
        <f>CHOOSE(CONTROL!$C$42, 19.8641, 19.8641) * CHOOSE(CONTROL!$C$21, $C$9, 100%, $E$9)</f>
        <v>19.864100000000001</v>
      </c>
      <c r="Q503" s="10">
        <f>CHOOSE(CONTROL!$C$42, 20.5345, 20.5345) * CHOOSE(CONTROL!$C$21, $C$9, 100%, $E$9)</f>
        <v>20.534500000000001</v>
      </c>
      <c r="R503" s="10">
        <f>CHOOSE(CONTROL!$C$42, 21.1729, 21.1729) * CHOOSE(CONTROL!$C$21, $C$9, 100%, $E$9)</f>
        <v>21.172899999999998</v>
      </c>
      <c r="S503" s="10">
        <f>CHOOSE(CONTROL!$C$42, 19.4588, 19.4588) * CHOOSE(CONTROL!$C$21, $C$9, 100%, $E$9)</f>
        <v>19.4588</v>
      </c>
      <c r="T5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57">
        <f>(1000*CHOOSE(CONTROL!$C$42, 695, 695)*CHOOSE(CONTROL!$C$42, 0.5599, 0.5599)*CHOOSE(CONTROL!$C$42, 30, 30))/1000000</f>
        <v>11.673914999999997</v>
      </c>
      <c r="V503" s="57">
        <f>(1000*CHOOSE(CONTROL!$C$42, 500, 500)*CHOOSE(CONTROL!$C$42, 0.275, 0.275)*CHOOSE(CONTROL!$C$42, 30, 30))/1000000</f>
        <v>4.125</v>
      </c>
      <c r="W503" s="57">
        <f>(1000*CHOOSE(CONTROL!$C$42, 0.1146, 0.1146)*CHOOSE(CONTROL!$C$42, 121.5, 121.5)*CHOOSE(CONTROL!$C$42, 30, 30))/1000000</f>
        <v>0.417717</v>
      </c>
      <c r="X503" s="57">
        <f>(30*0.1790888*100000/1000000)+(30*0.2374*100000/1000000)</f>
        <v>1.2494664</v>
      </c>
      <c r="Y503" s="57"/>
      <c r="Z503" s="10"/>
      <c r="AA503" s="56"/>
      <c r="AB503" s="50">
        <f>(B503*122.58+C503*297.941+D503*89.177+E503*40.302+F503*40+G503*160+H503*0+I503*100+J503*300)/(122.58+297.941+89.177+40.302+0+40+160+100+300)</f>
        <v>20.049427614695652</v>
      </c>
      <c r="AC503" s="45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19.889458992805753</v>
      </c>
    </row>
    <row r="504" spans="1:29" ht="15.75" x14ac:dyDescent="0.25">
      <c r="A504" s="14">
        <v>56249</v>
      </c>
      <c r="B504" s="10">
        <f>CHOOSE(CONTROL!$C$42, 21.4062, 21.4062) * CHOOSE(CONTROL!$C$21, $C$9, 100%, $E$9)</f>
        <v>21.406199999999998</v>
      </c>
      <c r="C504" s="10">
        <f>CHOOSE(CONTROL!$C$42, 21.4112, 21.4112) * CHOOSE(CONTROL!$C$21, $C$9, 100%, $E$9)</f>
        <v>21.411200000000001</v>
      </c>
      <c r="D504" s="10">
        <f>CHOOSE(CONTROL!$C$42, 21.4717, 21.4717) * CHOOSE(CONTROL!$C$21, $C$9, 100%, $E$9)</f>
        <v>21.471699999999998</v>
      </c>
      <c r="E504" s="10">
        <f>CHOOSE(CONTROL!$C$42, 21.5055, 21.5055) * CHOOSE(CONTROL!$C$21, $C$9, 100%, $E$9)</f>
        <v>21.505500000000001</v>
      </c>
      <c r="F504" s="10">
        <f>CHOOSE(CONTROL!$C$42, 21.4037, 21.4037)*CHOOSE(CONTROL!$C$21, $C$9, 100%, $E$9)</f>
        <v>21.403700000000001</v>
      </c>
      <c r="G504" s="10">
        <f>CHOOSE(CONTROL!$C$42, 21.4194, 21.4194)*CHOOSE(CONTROL!$C$21, $C$9, 100%, $E$9)</f>
        <v>21.4194</v>
      </c>
      <c r="H504" s="10">
        <f>CHOOSE(CONTROL!$C$42, 21.4947, 21.4947) * CHOOSE(CONTROL!$C$21, $C$9, 100%, $E$9)</f>
        <v>21.494700000000002</v>
      </c>
      <c r="I504" s="10">
        <f>CHOOSE(CONTROL!$C$42, 21.4187, 21.4187)* CHOOSE(CONTROL!$C$21, $C$9, 100%, $E$9)</f>
        <v>21.418700000000001</v>
      </c>
      <c r="J504" s="10">
        <f>CHOOSE(CONTROL!$C$42, 21.3967, 21.3967)* CHOOSE(CONTROL!$C$21, $C$9, 100%, $E$9)</f>
        <v>21.396699999999999</v>
      </c>
      <c r="K504" s="53">
        <f>CHOOSE(CONTROL!$C$42, 21.4149, 21.4149) * CHOOSE(CONTROL!$C$21, $C$9, 100%, $E$9)</f>
        <v>21.414899999999999</v>
      </c>
      <c r="L504" s="10">
        <f>CHOOSE(CONTROL!$C$42, 22.0817, 22.0817) * CHOOSE(CONTROL!$C$21, $C$9, 100%, $E$9)</f>
        <v>22.081700000000001</v>
      </c>
      <c r="M504" s="10">
        <f>CHOOSE(CONTROL!$C$42, 21.1946, 21.1946) * CHOOSE(CONTROL!$C$21, $C$9, 100%, $E$9)</f>
        <v>21.194600000000001</v>
      </c>
      <c r="N504" s="10">
        <f>CHOOSE(CONTROL!$C$42, 21.2101, 21.2101) * CHOOSE(CONTROL!$C$21, $C$9, 100%, $E$9)</f>
        <v>21.210100000000001</v>
      </c>
      <c r="O504" s="10">
        <f>CHOOSE(CONTROL!$C$42, 21.2916, 21.2916) * CHOOSE(CONTROL!$C$21, $C$9, 100%, $E$9)</f>
        <v>21.291599999999999</v>
      </c>
      <c r="P504" s="10">
        <f>CHOOSE(CONTROL!$C$42, 21.2165, 21.2165) * CHOOSE(CONTROL!$C$21, $C$9, 100%, $E$9)</f>
        <v>21.2165</v>
      </c>
      <c r="Q504" s="10">
        <f>CHOOSE(CONTROL!$C$42, 21.8869, 21.8869) * CHOOSE(CONTROL!$C$21, $C$9, 100%, $E$9)</f>
        <v>21.886900000000001</v>
      </c>
      <c r="R504" s="10">
        <f>CHOOSE(CONTROL!$C$42, 22.5286, 22.5286) * CHOOSE(CONTROL!$C$21, $C$9, 100%, $E$9)</f>
        <v>22.528600000000001</v>
      </c>
      <c r="S504" s="10">
        <f>CHOOSE(CONTROL!$C$42, 20.7855, 20.7855) * CHOOSE(CONTROL!$C$21, $C$9, 100%, $E$9)</f>
        <v>20.785499999999999</v>
      </c>
      <c r="T5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57">
        <f>(1000*CHOOSE(CONTROL!$C$42, 695, 695)*CHOOSE(CONTROL!$C$42, 0.5599, 0.5599)*CHOOSE(CONTROL!$C$42, 31, 31))/1000000</f>
        <v>12.063045499999998</v>
      </c>
      <c r="V504" s="57">
        <f>(1000*CHOOSE(CONTROL!$C$42, 500, 500)*CHOOSE(CONTROL!$C$42, 0.275, 0.275)*CHOOSE(CONTROL!$C$42, 31, 31))/1000000</f>
        <v>4.2625000000000002</v>
      </c>
      <c r="W504" s="57">
        <f>(1000*CHOOSE(CONTROL!$C$42, 0.1146, 0.1146)*CHOOSE(CONTROL!$C$42, 121.5, 121.5)*CHOOSE(CONTROL!$C$42, 31, 31))/1000000</f>
        <v>0.43164089999999994</v>
      </c>
      <c r="X504" s="57">
        <f>(31*0.1790888*100000/1000000)+(31*0.2374*100000/1000000)</f>
        <v>1.2911152800000001</v>
      </c>
      <c r="Y504" s="57"/>
      <c r="Z504" s="10"/>
      <c r="AA504" s="56"/>
      <c r="AB504" s="50">
        <f>(B504*122.58+C504*297.941+D504*89.177+E504*40.302+F504*40+G504*160+H504*0+I504*100+J504*300)/(122.58+297.941+89.177+40.302+0+40+160+100+300)</f>
        <v>21.416412858347822</v>
      </c>
      <c r="AC504" s="45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21.242607194244602</v>
      </c>
    </row>
    <row r="505" spans="1:29" ht="15.75" x14ac:dyDescent="0.25">
      <c r="A505" s="14">
        <v>56280</v>
      </c>
      <c r="B505" s="10">
        <f>CHOOSE(CONTROL!$C$42, 23.16, 23.16) * CHOOSE(CONTROL!$C$21, $C$9, 100%, $E$9)</f>
        <v>23.16</v>
      </c>
      <c r="C505" s="10">
        <f>CHOOSE(CONTROL!$C$42, 23.1649, 23.1649) * CHOOSE(CONTROL!$C$21, $C$9, 100%, $E$9)</f>
        <v>23.164899999999999</v>
      </c>
      <c r="D505" s="10">
        <f>CHOOSE(CONTROL!$C$42, 23.222, 23.222) * CHOOSE(CONTROL!$C$21, $C$9, 100%, $E$9)</f>
        <v>23.222000000000001</v>
      </c>
      <c r="E505" s="10">
        <f>CHOOSE(CONTROL!$C$42, 23.2558, 23.2558) * CHOOSE(CONTROL!$C$21, $C$9, 100%, $E$9)</f>
        <v>23.255800000000001</v>
      </c>
      <c r="F505" s="10">
        <f>CHOOSE(CONTROL!$C$42, 23.1578, 23.1578)*CHOOSE(CONTROL!$C$21, $C$9, 100%, $E$9)</f>
        <v>23.157800000000002</v>
      </c>
      <c r="G505" s="10">
        <f>CHOOSE(CONTROL!$C$42, 23.1724, 23.1724)*CHOOSE(CONTROL!$C$21, $C$9, 100%, $E$9)</f>
        <v>23.1724</v>
      </c>
      <c r="H505" s="10">
        <f>CHOOSE(CONTROL!$C$42, 23.2449, 23.2449) * CHOOSE(CONTROL!$C$21, $C$9, 100%, $E$9)</f>
        <v>23.244900000000001</v>
      </c>
      <c r="I505" s="10">
        <f>CHOOSE(CONTROL!$C$42, 23.1707, 23.1707)* CHOOSE(CONTROL!$C$21, $C$9, 100%, $E$9)</f>
        <v>23.1707</v>
      </c>
      <c r="J505" s="10">
        <f>CHOOSE(CONTROL!$C$42, 23.1508, 23.1508)* CHOOSE(CONTROL!$C$21, $C$9, 100%, $E$9)</f>
        <v>23.1508</v>
      </c>
      <c r="K505" s="53">
        <f>CHOOSE(CONTROL!$C$42, 23.1669, 23.1669) * CHOOSE(CONTROL!$C$21, $C$9, 100%, $E$9)</f>
        <v>23.166899999999998</v>
      </c>
      <c r="L505" s="10">
        <f>CHOOSE(CONTROL!$C$42, 23.8319, 23.8319) * CHOOSE(CONTROL!$C$21, $C$9, 100%, $E$9)</f>
        <v>23.831900000000001</v>
      </c>
      <c r="M505" s="10">
        <f>CHOOSE(CONTROL!$C$42, 22.931, 22.931) * CHOOSE(CONTROL!$C$21, $C$9, 100%, $E$9)</f>
        <v>22.931000000000001</v>
      </c>
      <c r="N505" s="10">
        <f>CHOOSE(CONTROL!$C$42, 22.9454, 22.9454) * CHOOSE(CONTROL!$C$21, $C$9, 100%, $E$9)</f>
        <v>22.945399999999999</v>
      </c>
      <c r="O505" s="10">
        <f>CHOOSE(CONTROL!$C$42, 23.0242, 23.0242) * CHOOSE(CONTROL!$C$21, $C$9, 100%, $E$9)</f>
        <v>23.0242</v>
      </c>
      <c r="P505" s="10">
        <f>CHOOSE(CONTROL!$C$42, 22.9508, 22.9508) * CHOOSE(CONTROL!$C$21, $C$9, 100%, $E$9)</f>
        <v>22.950800000000001</v>
      </c>
      <c r="Q505" s="10">
        <f>CHOOSE(CONTROL!$C$42, 23.6195, 23.6195) * CHOOSE(CONTROL!$C$21, $C$9, 100%, $E$9)</f>
        <v>23.619499999999999</v>
      </c>
      <c r="R505" s="10">
        <f>CHOOSE(CONTROL!$C$42, 24.2655, 24.2655) * CHOOSE(CONTROL!$C$21, $C$9, 100%, $E$9)</f>
        <v>24.265499999999999</v>
      </c>
      <c r="S505" s="10">
        <f>CHOOSE(CONTROL!$C$42, 22.4885, 22.4885) * CHOOSE(CONTROL!$C$21, $C$9, 100%, $E$9)</f>
        <v>22.488499999999998</v>
      </c>
      <c r="T5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57">
        <f>(1000*CHOOSE(CONTROL!$C$42, 695, 695)*CHOOSE(CONTROL!$C$42, 0.5599, 0.5599)*CHOOSE(CONTROL!$C$42, 31, 31))/1000000</f>
        <v>12.063045499999998</v>
      </c>
      <c r="V505" s="57">
        <f>(1000*CHOOSE(CONTROL!$C$42, 500, 500)*CHOOSE(CONTROL!$C$42, 0.275, 0.275)*CHOOSE(CONTROL!$C$42, 31, 31))/1000000</f>
        <v>4.2625000000000002</v>
      </c>
      <c r="W505" s="57">
        <f>(1000*CHOOSE(CONTROL!$C$42, 0.1146, 0.1146)*CHOOSE(CONTROL!$C$42, 121.5, 121.5)*CHOOSE(CONTROL!$C$42, 31, 31))/1000000</f>
        <v>0.43164089999999994</v>
      </c>
      <c r="X505" s="57">
        <f>(31*0.1790888*100000/1000000)+(31*0.2374*100000/1000000)</f>
        <v>1.2911152800000001</v>
      </c>
      <c r="Y505" s="57"/>
      <c r="Z505" s="10"/>
      <c r="AA505" s="56"/>
      <c r="AB505" s="50">
        <f>(B505*122.58+C505*297.941+D505*89.177+E505*40.302+F505*40+G505*160+H505*0+I505*100+J505*300)/(122.58+297.941+89.177+40.302+0+40+160+100+300)</f>
        <v>23.169613753478259</v>
      </c>
      <c r="AC505" s="45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22.976919424460434</v>
      </c>
    </row>
    <row r="506" spans="1:29" ht="15.75" x14ac:dyDescent="0.25">
      <c r="A506" s="14">
        <v>56308</v>
      </c>
      <c r="B506" s="10">
        <f>CHOOSE(CONTROL!$C$42, 23.5722, 23.5722) * CHOOSE(CONTROL!$C$21, $C$9, 100%, $E$9)</f>
        <v>23.572199999999999</v>
      </c>
      <c r="C506" s="10">
        <f>CHOOSE(CONTROL!$C$42, 23.5771, 23.5771) * CHOOSE(CONTROL!$C$21, $C$9, 100%, $E$9)</f>
        <v>23.577100000000002</v>
      </c>
      <c r="D506" s="10">
        <f>CHOOSE(CONTROL!$C$42, 23.6342, 23.6342) * CHOOSE(CONTROL!$C$21, $C$9, 100%, $E$9)</f>
        <v>23.6342</v>
      </c>
      <c r="E506" s="10">
        <f>CHOOSE(CONTROL!$C$42, 23.668, 23.668) * CHOOSE(CONTROL!$C$21, $C$9, 100%, $E$9)</f>
        <v>23.667999999999999</v>
      </c>
      <c r="F506" s="10">
        <f>CHOOSE(CONTROL!$C$42, 23.5701, 23.5701)*CHOOSE(CONTROL!$C$21, $C$9, 100%, $E$9)</f>
        <v>23.5701</v>
      </c>
      <c r="G506" s="10">
        <f>CHOOSE(CONTROL!$C$42, 23.5848, 23.5848)*CHOOSE(CONTROL!$C$21, $C$9, 100%, $E$9)</f>
        <v>23.584800000000001</v>
      </c>
      <c r="H506" s="10">
        <f>CHOOSE(CONTROL!$C$42, 23.6572, 23.6572) * CHOOSE(CONTROL!$C$21, $C$9, 100%, $E$9)</f>
        <v>23.6572</v>
      </c>
      <c r="I506" s="10">
        <f>CHOOSE(CONTROL!$C$42, 23.583, 23.583)* CHOOSE(CONTROL!$C$21, $C$9, 100%, $E$9)</f>
        <v>23.582999999999998</v>
      </c>
      <c r="J506" s="10">
        <f>CHOOSE(CONTROL!$C$42, 23.5631, 23.5631)* CHOOSE(CONTROL!$C$21, $C$9, 100%, $E$9)</f>
        <v>23.563099999999999</v>
      </c>
      <c r="K506" s="53">
        <f>CHOOSE(CONTROL!$C$42, 23.5791, 23.5791) * CHOOSE(CONTROL!$C$21, $C$9, 100%, $E$9)</f>
        <v>23.5791</v>
      </c>
      <c r="L506" s="10">
        <f>CHOOSE(CONTROL!$C$42, 24.2442, 24.2442) * CHOOSE(CONTROL!$C$21, $C$9, 100%, $E$9)</f>
        <v>24.244199999999999</v>
      </c>
      <c r="M506" s="10">
        <f>CHOOSE(CONTROL!$C$42, 23.3392, 23.3392) * CHOOSE(CONTROL!$C$21, $C$9, 100%, $E$9)</f>
        <v>23.339200000000002</v>
      </c>
      <c r="N506" s="10">
        <f>CHOOSE(CONTROL!$C$42, 23.3537, 23.3537) * CHOOSE(CONTROL!$C$21, $C$9, 100%, $E$9)</f>
        <v>23.3537</v>
      </c>
      <c r="O506" s="10">
        <f>CHOOSE(CONTROL!$C$42, 23.4323, 23.4323) * CHOOSE(CONTROL!$C$21, $C$9, 100%, $E$9)</f>
        <v>23.432300000000001</v>
      </c>
      <c r="P506" s="10">
        <f>CHOOSE(CONTROL!$C$42, 23.3588, 23.3588) * CHOOSE(CONTROL!$C$21, $C$9, 100%, $E$9)</f>
        <v>23.358799999999999</v>
      </c>
      <c r="Q506" s="10">
        <f>CHOOSE(CONTROL!$C$42, 24.0276, 24.0276) * CHOOSE(CONTROL!$C$21, $C$9, 100%, $E$9)</f>
        <v>24.0276</v>
      </c>
      <c r="R506" s="10">
        <f>CHOOSE(CONTROL!$C$42, 24.6746, 24.6746) * CHOOSE(CONTROL!$C$21, $C$9, 100%, $E$9)</f>
        <v>24.674600000000002</v>
      </c>
      <c r="S506" s="10">
        <f>CHOOSE(CONTROL!$C$42, 22.8888, 22.8888) * CHOOSE(CONTROL!$C$21, $C$9, 100%, $E$9)</f>
        <v>22.8888</v>
      </c>
      <c r="T5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57">
        <f>(1000*CHOOSE(CONTROL!$C$42, 695, 695)*CHOOSE(CONTROL!$C$42, 0.5599, 0.5599)*CHOOSE(CONTROL!$C$42, 28, 28))/1000000</f>
        <v>10.895653999999999</v>
      </c>
      <c r="V506" s="57">
        <f>(1000*CHOOSE(CONTROL!$C$42, 500, 500)*CHOOSE(CONTROL!$C$42, 0.275, 0.275)*CHOOSE(CONTROL!$C$42, 28, 28))/1000000</f>
        <v>3.85</v>
      </c>
      <c r="W506" s="57">
        <f>(1000*CHOOSE(CONTROL!$C$42, 0.1146, 0.1146)*CHOOSE(CONTROL!$C$42, 121.5, 121.5)*CHOOSE(CONTROL!$C$42, 28, 28))/1000000</f>
        <v>0.38986920000000003</v>
      </c>
      <c r="X506" s="57">
        <f>(28*0.1790888*100000/1000000)+(28*0.2374*100000/1000000)</f>
        <v>1.16616864</v>
      </c>
      <c r="Y506" s="57"/>
      <c r="Z506" s="10"/>
      <c r="AA506" s="56"/>
      <c r="AB506" s="50">
        <f>(B506*122.58+C506*297.941+D506*89.177+E506*40.302+F506*40+G506*160+H506*0+I506*100+J506*300)/(122.58+297.941+89.177+40.302+0+40+160+100+300)</f>
        <v>23.581879840434784</v>
      </c>
      <c r="AC506" s="45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23.385051079136691</v>
      </c>
    </row>
    <row r="507" spans="1:29" ht="15.75" x14ac:dyDescent="0.25">
      <c r="A507" s="14">
        <v>56339</v>
      </c>
      <c r="B507" s="10">
        <f>CHOOSE(CONTROL!$C$42, 22.903, 22.903) * CHOOSE(CONTROL!$C$21, $C$9, 100%, $E$9)</f>
        <v>22.902999999999999</v>
      </c>
      <c r="C507" s="10">
        <f>CHOOSE(CONTROL!$C$42, 22.908, 22.908) * CHOOSE(CONTROL!$C$21, $C$9, 100%, $E$9)</f>
        <v>22.908000000000001</v>
      </c>
      <c r="D507" s="10">
        <f>CHOOSE(CONTROL!$C$42, 22.9651, 22.9651) * CHOOSE(CONTROL!$C$21, $C$9, 100%, $E$9)</f>
        <v>22.9651</v>
      </c>
      <c r="E507" s="10">
        <f>CHOOSE(CONTROL!$C$42, 22.9988, 22.9988) * CHOOSE(CONTROL!$C$21, $C$9, 100%, $E$9)</f>
        <v>22.998799999999999</v>
      </c>
      <c r="F507" s="10">
        <f>CHOOSE(CONTROL!$C$42, 22.9008, 22.9008)*CHOOSE(CONTROL!$C$21, $C$9, 100%, $E$9)</f>
        <v>22.9008</v>
      </c>
      <c r="G507" s="10">
        <f>CHOOSE(CONTROL!$C$42, 22.9155, 22.9155)*CHOOSE(CONTROL!$C$21, $C$9, 100%, $E$9)</f>
        <v>22.915500000000002</v>
      </c>
      <c r="H507" s="10">
        <f>CHOOSE(CONTROL!$C$42, 22.988, 22.988) * CHOOSE(CONTROL!$C$21, $C$9, 100%, $E$9)</f>
        <v>22.988</v>
      </c>
      <c r="I507" s="10">
        <f>CHOOSE(CONTROL!$C$42, 22.9138, 22.9138)* CHOOSE(CONTROL!$C$21, $C$9, 100%, $E$9)</f>
        <v>22.913799999999998</v>
      </c>
      <c r="J507" s="10">
        <f>CHOOSE(CONTROL!$C$42, 22.8938, 22.8938)* CHOOSE(CONTROL!$C$21, $C$9, 100%, $E$9)</f>
        <v>22.893799999999999</v>
      </c>
      <c r="K507" s="53">
        <f>CHOOSE(CONTROL!$C$42, 22.9099, 22.9099) * CHOOSE(CONTROL!$C$21, $C$9, 100%, $E$9)</f>
        <v>22.9099</v>
      </c>
      <c r="L507" s="10">
        <f>CHOOSE(CONTROL!$C$42, 23.575, 23.575) * CHOOSE(CONTROL!$C$21, $C$9, 100%, $E$9)</f>
        <v>23.574999999999999</v>
      </c>
      <c r="M507" s="10">
        <f>CHOOSE(CONTROL!$C$42, 22.6766, 22.6766) * CHOOSE(CONTROL!$C$21, $C$9, 100%, $E$9)</f>
        <v>22.676600000000001</v>
      </c>
      <c r="N507" s="10">
        <f>CHOOSE(CONTROL!$C$42, 22.6911, 22.6911) * CHOOSE(CONTROL!$C$21, $C$9, 100%, $E$9)</f>
        <v>22.691099999999999</v>
      </c>
      <c r="O507" s="10">
        <f>CHOOSE(CONTROL!$C$42, 22.7699, 22.7699) * CHOOSE(CONTROL!$C$21, $C$9, 100%, $E$9)</f>
        <v>22.7699</v>
      </c>
      <c r="P507" s="10">
        <f>CHOOSE(CONTROL!$C$42, 22.6965, 22.6965) * CHOOSE(CONTROL!$C$21, $C$9, 100%, $E$9)</f>
        <v>22.6965</v>
      </c>
      <c r="Q507" s="10">
        <f>CHOOSE(CONTROL!$C$42, 23.3652, 23.3652) * CHOOSE(CONTROL!$C$21, $C$9, 100%, $E$9)</f>
        <v>23.365200000000002</v>
      </c>
      <c r="R507" s="10">
        <f>CHOOSE(CONTROL!$C$42, 24.0106, 24.0106) * CHOOSE(CONTROL!$C$21, $C$9, 100%, $E$9)</f>
        <v>24.0106</v>
      </c>
      <c r="S507" s="10">
        <f>CHOOSE(CONTROL!$C$42, 22.239, 22.239) * CHOOSE(CONTROL!$C$21, $C$9, 100%, $E$9)</f>
        <v>22.239000000000001</v>
      </c>
      <c r="T5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57">
        <f>(1000*CHOOSE(CONTROL!$C$42, 695, 695)*CHOOSE(CONTROL!$C$42, 0.5599, 0.5599)*CHOOSE(CONTROL!$C$42, 31, 31))/1000000</f>
        <v>12.063045499999998</v>
      </c>
      <c r="V507" s="57">
        <f>(1000*CHOOSE(CONTROL!$C$42, 500, 500)*CHOOSE(CONTROL!$C$42, 0.275, 0.275)*CHOOSE(CONTROL!$C$42, 31, 31))/1000000</f>
        <v>4.2625000000000002</v>
      </c>
      <c r="W507" s="57">
        <f>(1000*CHOOSE(CONTROL!$C$42, 0.1146, 0.1146)*CHOOSE(CONTROL!$C$42, 121.5, 121.5)*CHOOSE(CONTROL!$C$42, 31, 31))/1000000</f>
        <v>0.43164089999999994</v>
      </c>
      <c r="X507" s="57">
        <f>(31*0.1790888*100000/1000000)+(31*0.2374*100000/1000000)</f>
        <v>1.2911152800000001</v>
      </c>
      <c r="Y507" s="57"/>
      <c r="Z507" s="10"/>
      <c r="AA507" s="56"/>
      <c r="AB507" s="50">
        <f>(B507*122.58+C507*297.941+D507*89.177+E507*40.302+F507*40+G507*160+H507*0+I507*100+J507*300)/(122.58+297.941+89.177+40.302+0+40+160+100+300)</f>
        <v>22.912670024608694</v>
      </c>
      <c r="AC507" s="45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22.722584892086331</v>
      </c>
    </row>
    <row r="508" spans="1:29" ht="15.75" x14ac:dyDescent="0.25">
      <c r="A508" s="14">
        <v>56369</v>
      </c>
      <c r="B508" s="10">
        <f>CHOOSE(CONTROL!$C$42, 22.8356, 22.8356) * CHOOSE(CONTROL!$C$21, $C$9, 100%, $E$9)</f>
        <v>22.835599999999999</v>
      </c>
      <c r="C508" s="10">
        <f>CHOOSE(CONTROL!$C$42, 22.84, 22.84) * CHOOSE(CONTROL!$C$21, $C$9, 100%, $E$9)</f>
        <v>22.84</v>
      </c>
      <c r="D508" s="10">
        <f>CHOOSE(CONTROL!$C$42, 23.0459, 23.0459) * CHOOSE(CONTROL!$C$21, $C$9, 100%, $E$9)</f>
        <v>23.0459</v>
      </c>
      <c r="E508" s="10">
        <f>CHOOSE(CONTROL!$C$42, 23.0777, 23.0777) * CHOOSE(CONTROL!$C$21, $C$9, 100%, $E$9)</f>
        <v>23.0777</v>
      </c>
      <c r="F508" s="10">
        <f>CHOOSE(CONTROL!$C$42, 22.8124, 22.8124)*CHOOSE(CONTROL!$C$21, $C$9, 100%, $E$9)</f>
        <v>22.8124</v>
      </c>
      <c r="G508" s="10">
        <f>CHOOSE(CONTROL!$C$42, 22.8269, 22.8269)*CHOOSE(CONTROL!$C$21, $C$9, 100%, $E$9)</f>
        <v>22.826899999999998</v>
      </c>
      <c r="H508" s="10">
        <f>CHOOSE(CONTROL!$C$42, 23.0675, 23.0675) * CHOOSE(CONTROL!$C$21, $C$9, 100%, $E$9)</f>
        <v>23.067499999999999</v>
      </c>
      <c r="I508" s="10">
        <f>CHOOSE(CONTROL!$C$42, 22.8371, 22.8371)* CHOOSE(CONTROL!$C$21, $C$9, 100%, $E$9)</f>
        <v>22.8371</v>
      </c>
      <c r="J508" s="10">
        <f>CHOOSE(CONTROL!$C$42, 22.8054, 22.8054)* CHOOSE(CONTROL!$C$21, $C$9, 100%, $E$9)</f>
        <v>22.805399999999999</v>
      </c>
      <c r="K508" s="53">
        <f>CHOOSE(CONTROL!$C$42, 22.8332, 22.8332) * CHOOSE(CONTROL!$C$21, $C$9, 100%, $E$9)</f>
        <v>22.833200000000001</v>
      </c>
      <c r="L508" s="10">
        <f>CHOOSE(CONTROL!$C$42, 23.6545, 23.6545) * CHOOSE(CONTROL!$C$21, $C$9, 100%, $E$9)</f>
        <v>23.654499999999999</v>
      </c>
      <c r="M508" s="10">
        <f>CHOOSE(CONTROL!$C$42, 22.5891, 22.5891) * CHOOSE(CONTROL!$C$21, $C$9, 100%, $E$9)</f>
        <v>22.589099999999998</v>
      </c>
      <c r="N508" s="10">
        <f>CHOOSE(CONTROL!$C$42, 22.6035, 22.6035) * CHOOSE(CONTROL!$C$21, $C$9, 100%, $E$9)</f>
        <v>22.6035</v>
      </c>
      <c r="O508" s="10">
        <f>CHOOSE(CONTROL!$C$42, 22.8485, 22.8485) * CHOOSE(CONTROL!$C$21, $C$9, 100%, $E$9)</f>
        <v>22.848500000000001</v>
      </c>
      <c r="P508" s="10">
        <f>CHOOSE(CONTROL!$C$42, 22.6205, 22.6205) * CHOOSE(CONTROL!$C$21, $C$9, 100%, $E$9)</f>
        <v>22.6205</v>
      </c>
      <c r="Q508" s="10">
        <f>CHOOSE(CONTROL!$C$42, 23.4438, 23.4438) * CHOOSE(CONTROL!$C$21, $C$9, 100%, $E$9)</f>
        <v>23.4438</v>
      </c>
      <c r="R508" s="10">
        <f>CHOOSE(CONTROL!$C$42, 24.0894, 24.0894) * CHOOSE(CONTROL!$C$21, $C$9, 100%, $E$9)</f>
        <v>24.089400000000001</v>
      </c>
      <c r="S508" s="10">
        <f>CHOOSE(CONTROL!$C$42, 22.1728, 22.1728) * CHOOSE(CONTROL!$C$21, $C$9, 100%, $E$9)</f>
        <v>22.172799999999999</v>
      </c>
      <c r="T5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57">
        <f>(1000*CHOOSE(CONTROL!$C$42, 695, 695)*CHOOSE(CONTROL!$C$42, 0.5599, 0.5599)*CHOOSE(CONTROL!$C$42, 30, 30))/1000000</f>
        <v>11.673914999999997</v>
      </c>
      <c r="V508" s="57">
        <f>(1000*CHOOSE(CONTROL!$C$42, 500, 500)*CHOOSE(CONTROL!$C$42, 0.275, 0.275)*CHOOSE(CONTROL!$C$42, 30, 30))/1000000</f>
        <v>4.125</v>
      </c>
      <c r="W508" s="57">
        <f>(1000*CHOOSE(CONTROL!$C$42, 0.1146, 0.1146)*CHOOSE(CONTROL!$C$42, 121.5, 121.5)*CHOOSE(CONTROL!$C$42, 30, 30))/1000000</f>
        <v>0.417717</v>
      </c>
      <c r="X508" s="57">
        <f>(30*0.1790888*245000/1000000)+(30*0.2374*100000/1000000)</f>
        <v>2.0285026799999999</v>
      </c>
      <c r="Y508" s="57"/>
      <c r="Z508" s="10"/>
      <c r="AA508" s="56"/>
      <c r="AB508" s="50">
        <f>(B508*141.293+C508*267.993+D508*115.016+E508*89.698+F508*40+G508*185+H508*0+I508*100+J508*300)/(141.293+267.993+115.016+89.698+0+40+185+100+300)</f>
        <v>22.864361436481033</v>
      </c>
      <c r="AC508" s="45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22.669714388489208</v>
      </c>
    </row>
    <row r="509" spans="1:29" ht="15.75" x14ac:dyDescent="0.25">
      <c r="A509" s="14">
        <v>56400</v>
      </c>
      <c r="B509" s="10">
        <f>CHOOSE(CONTROL!$C$42, 23.0385, 23.0385) * CHOOSE(CONTROL!$C$21, $C$9, 100%, $E$9)</f>
        <v>23.038499999999999</v>
      </c>
      <c r="C509" s="10">
        <f>CHOOSE(CONTROL!$C$42, 23.0465, 23.0465) * CHOOSE(CONTROL!$C$21, $C$9, 100%, $E$9)</f>
        <v>23.046500000000002</v>
      </c>
      <c r="D509" s="10">
        <f>CHOOSE(CONTROL!$C$42, 23.2492, 23.2492) * CHOOSE(CONTROL!$C$21, $C$9, 100%, $E$9)</f>
        <v>23.249199999999998</v>
      </c>
      <c r="E509" s="10">
        <f>CHOOSE(CONTROL!$C$42, 23.2803, 23.2803) * CHOOSE(CONTROL!$C$21, $C$9, 100%, $E$9)</f>
        <v>23.2803</v>
      </c>
      <c r="F509" s="10">
        <f>CHOOSE(CONTROL!$C$42, 23.0143, 23.0143)*CHOOSE(CONTROL!$C$21, $C$9, 100%, $E$9)</f>
        <v>23.014299999999999</v>
      </c>
      <c r="G509" s="10">
        <f>CHOOSE(CONTROL!$C$42, 23.0293, 23.0293)*CHOOSE(CONTROL!$C$21, $C$9, 100%, $E$9)</f>
        <v>23.029299999999999</v>
      </c>
      <c r="H509" s="10">
        <f>CHOOSE(CONTROL!$C$42, 23.269, 23.269) * CHOOSE(CONTROL!$C$21, $C$9, 100%, $E$9)</f>
        <v>23.268999999999998</v>
      </c>
      <c r="I509" s="10">
        <f>CHOOSE(CONTROL!$C$42, 23.0386, 23.0386)* CHOOSE(CONTROL!$C$21, $C$9, 100%, $E$9)</f>
        <v>23.038599999999999</v>
      </c>
      <c r="J509" s="10">
        <f>CHOOSE(CONTROL!$C$42, 23.0073, 23.0073)* CHOOSE(CONTROL!$C$21, $C$9, 100%, $E$9)</f>
        <v>23.007300000000001</v>
      </c>
      <c r="K509" s="53">
        <f>CHOOSE(CONTROL!$C$42, 23.0347, 23.0347) * CHOOSE(CONTROL!$C$21, $C$9, 100%, $E$9)</f>
        <v>23.034700000000001</v>
      </c>
      <c r="L509" s="10">
        <f>CHOOSE(CONTROL!$C$42, 23.856, 23.856) * CHOOSE(CONTROL!$C$21, $C$9, 100%, $E$9)</f>
        <v>23.856000000000002</v>
      </c>
      <c r="M509" s="10">
        <f>CHOOSE(CONTROL!$C$42, 22.7889, 22.7889) * CHOOSE(CONTROL!$C$21, $C$9, 100%, $E$9)</f>
        <v>22.788900000000002</v>
      </c>
      <c r="N509" s="10">
        <f>CHOOSE(CONTROL!$C$42, 22.8038, 22.8038) * CHOOSE(CONTROL!$C$21, $C$9, 100%, $E$9)</f>
        <v>22.803799999999999</v>
      </c>
      <c r="O509" s="10">
        <f>CHOOSE(CONTROL!$C$42, 23.048, 23.048) * CHOOSE(CONTROL!$C$21, $C$9, 100%, $E$9)</f>
        <v>23.047999999999998</v>
      </c>
      <c r="P509" s="10">
        <f>CHOOSE(CONTROL!$C$42, 22.82, 22.82) * CHOOSE(CONTROL!$C$21, $C$9, 100%, $E$9)</f>
        <v>22.82</v>
      </c>
      <c r="Q509" s="10">
        <f>CHOOSE(CONTROL!$C$42, 23.6433, 23.6433) * CHOOSE(CONTROL!$C$21, $C$9, 100%, $E$9)</f>
        <v>23.6433</v>
      </c>
      <c r="R509" s="10">
        <f>CHOOSE(CONTROL!$C$42, 24.2894, 24.2894) * CHOOSE(CONTROL!$C$21, $C$9, 100%, $E$9)</f>
        <v>24.289400000000001</v>
      </c>
      <c r="S509" s="10">
        <f>CHOOSE(CONTROL!$C$42, 22.3685, 22.3685) * CHOOSE(CONTROL!$C$21, $C$9, 100%, $E$9)</f>
        <v>22.368500000000001</v>
      </c>
      <c r="T5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57">
        <f>(1000*CHOOSE(CONTROL!$C$42, 695, 695)*CHOOSE(CONTROL!$C$42, 0.5599, 0.5599)*CHOOSE(CONTROL!$C$42, 31, 31))/1000000</f>
        <v>12.063045499999998</v>
      </c>
      <c r="V509" s="57">
        <f>(1000*CHOOSE(CONTROL!$C$42, 500, 500)*CHOOSE(CONTROL!$C$42, 0.275, 0.275)*CHOOSE(CONTROL!$C$42, 31, 31))/1000000</f>
        <v>4.2625000000000002</v>
      </c>
      <c r="W509" s="57">
        <f>(1000*CHOOSE(CONTROL!$C$42, 0.1146, 0.1146)*CHOOSE(CONTROL!$C$42, 121.5, 121.5)*CHOOSE(CONTROL!$C$42, 31, 31))/1000000</f>
        <v>0.43164089999999994</v>
      </c>
      <c r="X509" s="57">
        <f>(31*0.1790888*245000/1000000)+(31*0.2374*100000/1000000)</f>
        <v>2.0961194359999999</v>
      </c>
      <c r="Y509" s="57"/>
      <c r="Z509" s="10"/>
      <c r="AA509" s="56"/>
      <c r="AB509" s="50">
        <f>(B509*194.205+C509*267.466+D509*133.845+E509*53.484+F509*40+G509*185+H509*0+I509*100+J509*300)/(194.205+267.466+133.845+53.484+0+40+185+100+300)</f>
        <v>23.063031633202513</v>
      </c>
      <c r="AC509" s="45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22.869502158273381</v>
      </c>
    </row>
    <row r="510" spans="1:29" ht="15.75" x14ac:dyDescent="0.25">
      <c r="A510" s="14">
        <v>56430</v>
      </c>
      <c r="B510" s="10">
        <f>CHOOSE(CONTROL!$C$42, 23.6919, 23.6919) * CHOOSE(CONTROL!$C$21, $C$9, 100%, $E$9)</f>
        <v>23.6919</v>
      </c>
      <c r="C510" s="10">
        <f>CHOOSE(CONTROL!$C$42, 23.6998, 23.6998) * CHOOSE(CONTROL!$C$21, $C$9, 100%, $E$9)</f>
        <v>23.6998</v>
      </c>
      <c r="D510" s="10">
        <f>CHOOSE(CONTROL!$C$42, 23.9026, 23.9026) * CHOOSE(CONTROL!$C$21, $C$9, 100%, $E$9)</f>
        <v>23.9026</v>
      </c>
      <c r="E510" s="10">
        <f>CHOOSE(CONTROL!$C$42, 23.9337, 23.9337) * CHOOSE(CONTROL!$C$21, $C$9, 100%, $E$9)</f>
        <v>23.933700000000002</v>
      </c>
      <c r="F510" s="10">
        <f>CHOOSE(CONTROL!$C$42, 23.6681, 23.6681)*CHOOSE(CONTROL!$C$21, $C$9, 100%, $E$9)</f>
        <v>23.668099999999999</v>
      </c>
      <c r="G510" s="10">
        <f>CHOOSE(CONTROL!$C$42, 23.6833, 23.6833)*CHOOSE(CONTROL!$C$21, $C$9, 100%, $E$9)</f>
        <v>23.683299999999999</v>
      </c>
      <c r="H510" s="10">
        <f>CHOOSE(CONTROL!$C$42, 23.9223, 23.9223) * CHOOSE(CONTROL!$C$21, $C$9, 100%, $E$9)</f>
        <v>23.9223</v>
      </c>
      <c r="I510" s="10">
        <f>CHOOSE(CONTROL!$C$42, 23.692, 23.692)* CHOOSE(CONTROL!$C$21, $C$9, 100%, $E$9)</f>
        <v>23.692</v>
      </c>
      <c r="J510" s="10">
        <f>CHOOSE(CONTROL!$C$42, 23.6611, 23.6611)* CHOOSE(CONTROL!$C$21, $C$9, 100%, $E$9)</f>
        <v>23.661100000000001</v>
      </c>
      <c r="K510" s="53">
        <f>CHOOSE(CONTROL!$C$42, 23.6881, 23.6881) * CHOOSE(CONTROL!$C$21, $C$9, 100%, $E$9)</f>
        <v>23.688099999999999</v>
      </c>
      <c r="L510" s="10">
        <f>CHOOSE(CONTROL!$C$42, 24.5093, 24.5093) * CHOOSE(CONTROL!$C$21, $C$9, 100%, $E$9)</f>
        <v>24.5093</v>
      </c>
      <c r="M510" s="10">
        <f>CHOOSE(CONTROL!$C$42, 23.4362, 23.4362) * CHOOSE(CONTROL!$C$21, $C$9, 100%, $E$9)</f>
        <v>23.436199999999999</v>
      </c>
      <c r="N510" s="10">
        <f>CHOOSE(CONTROL!$C$42, 23.4512, 23.4512) * CHOOSE(CONTROL!$C$21, $C$9, 100%, $E$9)</f>
        <v>23.4512</v>
      </c>
      <c r="O510" s="10">
        <f>CHOOSE(CONTROL!$C$42, 23.6947, 23.6947) * CHOOSE(CONTROL!$C$21, $C$9, 100%, $E$9)</f>
        <v>23.694700000000001</v>
      </c>
      <c r="P510" s="10">
        <f>CHOOSE(CONTROL!$C$42, 23.4667, 23.4667) * CHOOSE(CONTROL!$C$21, $C$9, 100%, $E$9)</f>
        <v>23.466699999999999</v>
      </c>
      <c r="Q510" s="10">
        <f>CHOOSE(CONTROL!$C$42, 24.29, 24.29) * CHOOSE(CONTROL!$C$21, $C$9, 100%, $E$9)</f>
        <v>24.29</v>
      </c>
      <c r="R510" s="10">
        <f>CHOOSE(CONTROL!$C$42, 24.9378, 24.9378) * CHOOSE(CONTROL!$C$21, $C$9, 100%, $E$9)</f>
        <v>24.937799999999999</v>
      </c>
      <c r="S510" s="10">
        <f>CHOOSE(CONTROL!$C$42, 23.003, 23.003) * CHOOSE(CONTROL!$C$21, $C$9, 100%, $E$9)</f>
        <v>23.003</v>
      </c>
      <c r="T5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57">
        <f>(1000*CHOOSE(CONTROL!$C$42, 695, 695)*CHOOSE(CONTROL!$C$42, 0.5599, 0.5599)*CHOOSE(CONTROL!$C$42, 30, 30))/1000000</f>
        <v>11.673914999999997</v>
      </c>
      <c r="V510" s="57">
        <f>(1000*CHOOSE(CONTROL!$C$42, 500, 500)*CHOOSE(CONTROL!$C$42, 0.275, 0.275)*CHOOSE(CONTROL!$C$42, 30, 30))/1000000</f>
        <v>4.125</v>
      </c>
      <c r="W510" s="57">
        <f>(1000*CHOOSE(CONTROL!$C$42, 0.1146, 0.1146)*CHOOSE(CONTROL!$C$42, 121.5, 121.5)*CHOOSE(CONTROL!$C$42, 30, 30))/1000000</f>
        <v>0.417717</v>
      </c>
      <c r="X510" s="57">
        <f>(30*0.1790888*245000/1000000)+(30*0.2374*100000/1000000)</f>
        <v>2.0285026799999999</v>
      </c>
      <c r="Y510" s="57"/>
      <c r="Z510" s="10"/>
      <c r="AA510" s="56"/>
      <c r="AB510" s="50">
        <f>(B510*194.205+C510*267.466+D510*133.845+E510*53.484+F510*40+G510*185+H510*0+I510*100+J510*300)/(194.205+267.466+133.845+53.484+0+40+185+100+300)</f>
        <v>23.716604516562008</v>
      </c>
      <c r="AC510" s="45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23.516570503597123</v>
      </c>
    </row>
    <row r="511" spans="1:29" ht="15.75" x14ac:dyDescent="0.25">
      <c r="A511" s="14">
        <v>56461</v>
      </c>
      <c r="B511" s="10">
        <f>CHOOSE(CONTROL!$C$42, 23.2375, 23.2375) * CHOOSE(CONTROL!$C$21, $C$9, 100%, $E$9)</f>
        <v>23.237500000000001</v>
      </c>
      <c r="C511" s="10">
        <f>CHOOSE(CONTROL!$C$42, 23.2454, 23.2454) * CHOOSE(CONTROL!$C$21, $C$9, 100%, $E$9)</f>
        <v>23.2454</v>
      </c>
      <c r="D511" s="10">
        <f>CHOOSE(CONTROL!$C$42, 23.4481, 23.4481) * CHOOSE(CONTROL!$C$21, $C$9, 100%, $E$9)</f>
        <v>23.4481</v>
      </c>
      <c r="E511" s="10">
        <f>CHOOSE(CONTROL!$C$42, 23.4793, 23.4793) * CHOOSE(CONTROL!$C$21, $C$9, 100%, $E$9)</f>
        <v>23.479299999999999</v>
      </c>
      <c r="F511" s="10">
        <f>CHOOSE(CONTROL!$C$42, 23.2142, 23.2142)*CHOOSE(CONTROL!$C$21, $C$9, 100%, $E$9)</f>
        <v>23.214200000000002</v>
      </c>
      <c r="G511" s="10">
        <f>CHOOSE(CONTROL!$C$42, 23.2295, 23.2295)*CHOOSE(CONTROL!$C$21, $C$9, 100%, $E$9)</f>
        <v>23.229500000000002</v>
      </c>
      <c r="H511" s="10">
        <f>CHOOSE(CONTROL!$C$42, 23.4679, 23.4679) * CHOOSE(CONTROL!$C$21, $C$9, 100%, $E$9)</f>
        <v>23.4679</v>
      </c>
      <c r="I511" s="10">
        <f>CHOOSE(CONTROL!$C$42, 23.2375, 23.2375)* CHOOSE(CONTROL!$C$21, $C$9, 100%, $E$9)</f>
        <v>23.237500000000001</v>
      </c>
      <c r="J511" s="10">
        <f>CHOOSE(CONTROL!$C$42, 23.2072, 23.2072)* CHOOSE(CONTROL!$C$21, $C$9, 100%, $E$9)</f>
        <v>23.2072</v>
      </c>
      <c r="K511" s="53">
        <f>CHOOSE(CONTROL!$C$42, 23.2336, 23.2336) * CHOOSE(CONTROL!$C$21, $C$9, 100%, $E$9)</f>
        <v>23.233599999999999</v>
      </c>
      <c r="L511" s="10">
        <f>CHOOSE(CONTROL!$C$42, 24.0549, 24.0549) * CHOOSE(CONTROL!$C$21, $C$9, 100%, $E$9)</f>
        <v>24.0549</v>
      </c>
      <c r="M511" s="10">
        <f>CHOOSE(CONTROL!$C$42, 22.9869, 22.9869) * CHOOSE(CONTROL!$C$21, $C$9, 100%, $E$9)</f>
        <v>22.986899999999999</v>
      </c>
      <c r="N511" s="10">
        <f>CHOOSE(CONTROL!$C$42, 23.002, 23.002) * CHOOSE(CONTROL!$C$21, $C$9, 100%, $E$9)</f>
        <v>23.001999999999999</v>
      </c>
      <c r="O511" s="10">
        <f>CHOOSE(CONTROL!$C$42, 23.2449, 23.2449) * CHOOSE(CONTROL!$C$21, $C$9, 100%, $E$9)</f>
        <v>23.244900000000001</v>
      </c>
      <c r="P511" s="10">
        <f>CHOOSE(CONTROL!$C$42, 23.0169, 23.0169) * CHOOSE(CONTROL!$C$21, $C$9, 100%, $E$9)</f>
        <v>23.0169</v>
      </c>
      <c r="Q511" s="10">
        <f>CHOOSE(CONTROL!$C$42, 23.8402, 23.8402) * CHOOSE(CONTROL!$C$21, $C$9, 100%, $E$9)</f>
        <v>23.840199999999999</v>
      </c>
      <c r="R511" s="10">
        <f>CHOOSE(CONTROL!$C$42, 24.4868, 24.4868) * CHOOSE(CONTROL!$C$21, $C$9, 100%, $E$9)</f>
        <v>24.486799999999999</v>
      </c>
      <c r="S511" s="10">
        <f>CHOOSE(CONTROL!$C$42, 22.5617, 22.5617) * CHOOSE(CONTROL!$C$21, $C$9, 100%, $E$9)</f>
        <v>22.561699999999998</v>
      </c>
      <c r="T5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57">
        <f>(1000*CHOOSE(CONTROL!$C$42, 695, 695)*CHOOSE(CONTROL!$C$42, 0.5599, 0.5599)*CHOOSE(CONTROL!$C$42, 31, 31))/1000000</f>
        <v>12.063045499999998</v>
      </c>
      <c r="V511" s="57">
        <f>(1000*CHOOSE(CONTROL!$C$42, 500, 500)*CHOOSE(CONTROL!$C$42, 0.275, 0.275)*CHOOSE(CONTROL!$C$42, 31, 31))/1000000</f>
        <v>4.2625000000000002</v>
      </c>
      <c r="W511" s="57">
        <f>(1000*CHOOSE(CONTROL!$C$42, 0.1146, 0.1146)*CHOOSE(CONTROL!$C$42, 121.5, 121.5)*CHOOSE(CONTROL!$C$42, 31, 31))/1000000</f>
        <v>0.43164089999999994</v>
      </c>
      <c r="X511" s="57">
        <f>(31*0.1790888*245000/1000000)+(31*0.2374*100000/1000000)</f>
        <v>2.0961194359999999</v>
      </c>
      <c r="Y511" s="57"/>
      <c r="Z511" s="10"/>
      <c r="AA511" s="56"/>
      <c r="AB511" s="50">
        <f>(B511*194.205+C511*267.466+D511*133.845+E511*53.484+F511*40+G511*185+H511*0+I511*100+J511*300)/(194.205+267.466+133.845+53.484+0+40+185+100+300)</f>
        <v>23.26240672653061</v>
      </c>
      <c r="AC511" s="45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23.067081294964026</v>
      </c>
    </row>
    <row r="512" spans="1:29" ht="15.75" x14ac:dyDescent="0.25">
      <c r="A512" s="14">
        <v>56492</v>
      </c>
      <c r="B512" s="10">
        <f>CHOOSE(CONTROL!$C$42, 22.0899, 22.0899) * CHOOSE(CONTROL!$C$21, $C$9, 100%, $E$9)</f>
        <v>22.0899</v>
      </c>
      <c r="C512" s="10">
        <f>CHOOSE(CONTROL!$C$42, 22.0979, 22.0979) * CHOOSE(CONTROL!$C$21, $C$9, 100%, $E$9)</f>
        <v>22.097899999999999</v>
      </c>
      <c r="D512" s="10">
        <f>CHOOSE(CONTROL!$C$42, 22.3006, 22.3006) * CHOOSE(CONTROL!$C$21, $C$9, 100%, $E$9)</f>
        <v>22.300599999999999</v>
      </c>
      <c r="E512" s="10">
        <f>CHOOSE(CONTROL!$C$42, 22.3317, 22.3317) * CHOOSE(CONTROL!$C$21, $C$9, 100%, $E$9)</f>
        <v>22.331700000000001</v>
      </c>
      <c r="F512" s="10">
        <f>CHOOSE(CONTROL!$C$42, 22.0669, 22.0669)*CHOOSE(CONTROL!$C$21, $C$9, 100%, $E$9)</f>
        <v>22.0669</v>
      </c>
      <c r="G512" s="10">
        <f>CHOOSE(CONTROL!$C$42, 22.0822, 22.0822)*CHOOSE(CONTROL!$C$21, $C$9, 100%, $E$9)</f>
        <v>22.0822</v>
      </c>
      <c r="H512" s="10">
        <f>CHOOSE(CONTROL!$C$42, 22.3204, 22.3204) * CHOOSE(CONTROL!$C$21, $C$9, 100%, $E$9)</f>
        <v>22.320399999999999</v>
      </c>
      <c r="I512" s="10">
        <f>CHOOSE(CONTROL!$C$42, 22.09, 22.09)* CHOOSE(CONTROL!$C$21, $C$9, 100%, $E$9)</f>
        <v>22.09</v>
      </c>
      <c r="J512" s="10">
        <f>CHOOSE(CONTROL!$C$42, 22.0599, 22.0599)* CHOOSE(CONTROL!$C$21, $C$9, 100%, $E$9)</f>
        <v>22.059899999999999</v>
      </c>
      <c r="K512" s="53">
        <f>CHOOSE(CONTROL!$C$42, 22.0861, 22.0861) * CHOOSE(CONTROL!$C$21, $C$9, 100%, $E$9)</f>
        <v>22.086099999999998</v>
      </c>
      <c r="L512" s="10">
        <f>CHOOSE(CONTROL!$C$42, 22.9074, 22.9074) * CHOOSE(CONTROL!$C$21, $C$9, 100%, $E$9)</f>
        <v>22.907399999999999</v>
      </c>
      <c r="M512" s="10">
        <f>CHOOSE(CONTROL!$C$42, 21.8511, 21.8511) * CHOOSE(CONTROL!$C$21, $C$9, 100%, $E$9)</f>
        <v>21.851099999999999</v>
      </c>
      <c r="N512" s="10">
        <f>CHOOSE(CONTROL!$C$42, 21.8663, 21.8663) * CHOOSE(CONTROL!$C$21, $C$9, 100%, $E$9)</f>
        <v>21.866299999999999</v>
      </c>
      <c r="O512" s="10">
        <f>CHOOSE(CONTROL!$C$42, 22.1089, 22.1089) * CHOOSE(CONTROL!$C$21, $C$9, 100%, $E$9)</f>
        <v>22.108899999999998</v>
      </c>
      <c r="P512" s="10">
        <f>CHOOSE(CONTROL!$C$42, 21.8809, 21.8809) * CHOOSE(CONTROL!$C$21, $C$9, 100%, $E$9)</f>
        <v>21.8809</v>
      </c>
      <c r="Q512" s="10">
        <f>CHOOSE(CONTROL!$C$42, 22.7042, 22.7042) * CHOOSE(CONTROL!$C$21, $C$9, 100%, $E$9)</f>
        <v>22.7042</v>
      </c>
      <c r="R512" s="10">
        <f>CHOOSE(CONTROL!$C$42, 23.348, 23.348) * CHOOSE(CONTROL!$C$21, $C$9, 100%, $E$9)</f>
        <v>23.347999999999999</v>
      </c>
      <c r="S512" s="10">
        <f>CHOOSE(CONTROL!$C$42, 21.4473, 21.4473) * CHOOSE(CONTROL!$C$21, $C$9, 100%, $E$9)</f>
        <v>21.447299999999998</v>
      </c>
      <c r="T5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57">
        <f>(1000*CHOOSE(CONTROL!$C$42, 695, 695)*CHOOSE(CONTROL!$C$42, 0.5599, 0.5599)*CHOOSE(CONTROL!$C$42, 31, 31))/1000000</f>
        <v>12.063045499999998</v>
      </c>
      <c r="V512" s="57">
        <f>(1000*CHOOSE(CONTROL!$C$42, 500, 500)*CHOOSE(CONTROL!$C$42, 0.275, 0.275)*CHOOSE(CONTROL!$C$42, 31, 31))/1000000</f>
        <v>4.2625000000000002</v>
      </c>
      <c r="W512" s="57">
        <f>(1000*CHOOSE(CONTROL!$C$42, 0.1146, 0.1146)*CHOOSE(CONTROL!$C$42, 121.5, 121.5)*CHOOSE(CONTROL!$C$42, 31, 31))/1000000</f>
        <v>0.43164089999999994</v>
      </c>
      <c r="X512" s="57">
        <f>(31*0.1790888*245000/1000000)+(31*0.2374*100000/1000000)</f>
        <v>2.0961194359999999</v>
      </c>
      <c r="Y512" s="57"/>
      <c r="Z512" s="10"/>
      <c r="AA512" s="56"/>
      <c r="AB512" s="50">
        <f>(B512*194.205+C512*267.466+D512*133.845+E512*53.484+F512*40+G512*185+H512*0+I512*100+J512*300)/(194.205+267.466+133.845+53.484+0+40+185+100+300)</f>
        <v>22.114969702276294</v>
      </c>
      <c r="AC512" s="45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21.93121942446043</v>
      </c>
    </row>
    <row r="513" spans="1:29" ht="15.75" x14ac:dyDescent="0.25">
      <c r="A513" s="14">
        <v>56522</v>
      </c>
      <c r="B513" s="10">
        <f>CHOOSE(CONTROL!$C$42, 20.6875, 20.6875) * CHOOSE(CONTROL!$C$21, $C$9, 100%, $E$9)</f>
        <v>20.6875</v>
      </c>
      <c r="C513" s="10">
        <f>CHOOSE(CONTROL!$C$42, 20.6954, 20.6954) * CHOOSE(CONTROL!$C$21, $C$9, 100%, $E$9)</f>
        <v>20.695399999999999</v>
      </c>
      <c r="D513" s="10">
        <f>CHOOSE(CONTROL!$C$42, 20.8981, 20.8981) * CHOOSE(CONTROL!$C$21, $C$9, 100%, $E$9)</f>
        <v>20.898099999999999</v>
      </c>
      <c r="E513" s="10">
        <f>CHOOSE(CONTROL!$C$42, 20.9292, 20.9292) * CHOOSE(CONTROL!$C$21, $C$9, 100%, $E$9)</f>
        <v>20.929200000000002</v>
      </c>
      <c r="F513" s="10">
        <f>CHOOSE(CONTROL!$C$42, 20.6643, 20.6643)*CHOOSE(CONTROL!$C$21, $C$9, 100%, $E$9)</f>
        <v>20.664300000000001</v>
      </c>
      <c r="G513" s="10">
        <f>CHOOSE(CONTROL!$C$42, 20.6796, 20.6796)*CHOOSE(CONTROL!$C$21, $C$9, 100%, $E$9)</f>
        <v>20.679600000000001</v>
      </c>
      <c r="H513" s="10">
        <f>CHOOSE(CONTROL!$C$42, 20.9179, 20.9179) * CHOOSE(CONTROL!$C$21, $C$9, 100%, $E$9)</f>
        <v>20.917899999999999</v>
      </c>
      <c r="I513" s="10">
        <f>CHOOSE(CONTROL!$C$42, 20.6875, 20.6875)* CHOOSE(CONTROL!$C$21, $C$9, 100%, $E$9)</f>
        <v>20.6875</v>
      </c>
      <c r="J513" s="10">
        <f>CHOOSE(CONTROL!$C$42, 20.6573, 20.6573)* CHOOSE(CONTROL!$C$21, $C$9, 100%, $E$9)</f>
        <v>20.657299999999999</v>
      </c>
      <c r="K513" s="53">
        <f>CHOOSE(CONTROL!$C$42, 20.6836, 20.6836) * CHOOSE(CONTROL!$C$21, $C$9, 100%, $E$9)</f>
        <v>20.683599999999998</v>
      </c>
      <c r="L513" s="10">
        <f>CHOOSE(CONTROL!$C$42, 21.5049, 21.5049) * CHOOSE(CONTROL!$C$21, $C$9, 100%, $E$9)</f>
        <v>21.504899999999999</v>
      </c>
      <c r="M513" s="10">
        <f>CHOOSE(CONTROL!$C$42, 20.4626, 20.4626) * CHOOSE(CONTROL!$C$21, $C$9, 100%, $E$9)</f>
        <v>20.462599999999998</v>
      </c>
      <c r="N513" s="10">
        <f>CHOOSE(CONTROL!$C$42, 20.4778, 20.4778) * CHOOSE(CONTROL!$C$21, $C$9, 100%, $E$9)</f>
        <v>20.477799999999998</v>
      </c>
      <c r="O513" s="10">
        <f>CHOOSE(CONTROL!$C$42, 20.7206, 20.7206) * CHOOSE(CONTROL!$C$21, $C$9, 100%, $E$9)</f>
        <v>20.720600000000001</v>
      </c>
      <c r="P513" s="10">
        <f>CHOOSE(CONTROL!$C$42, 20.4926, 20.4926) * CHOOSE(CONTROL!$C$21, $C$9, 100%, $E$9)</f>
        <v>20.492599999999999</v>
      </c>
      <c r="Q513" s="10">
        <f>CHOOSE(CONTROL!$C$42, 21.3159, 21.3159) * CHOOSE(CONTROL!$C$21, $C$9, 100%, $E$9)</f>
        <v>21.315899999999999</v>
      </c>
      <c r="R513" s="10">
        <f>CHOOSE(CONTROL!$C$42, 21.9562, 21.9562) * CHOOSE(CONTROL!$C$21, $C$9, 100%, $E$9)</f>
        <v>21.956199999999999</v>
      </c>
      <c r="S513" s="10">
        <f>CHOOSE(CONTROL!$C$42, 20.0853, 20.0853) * CHOOSE(CONTROL!$C$21, $C$9, 100%, $E$9)</f>
        <v>20.0853</v>
      </c>
      <c r="T5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57">
        <f>(1000*CHOOSE(CONTROL!$C$42, 695, 695)*CHOOSE(CONTROL!$C$42, 0.5599, 0.5599)*CHOOSE(CONTROL!$C$42, 30, 30))/1000000</f>
        <v>11.673914999999997</v>
      </c>
      <c r="V513" s="57">
        <f>(1000*CHOOSE(CONTROL!$C$42, 500, 500)*CHOOSE(CONTROL!$C$42, 0.275, 0.275)*CHOOSE(CONTROL!$C$42, 30, 30))/1000000</f>
        <v>4.125</v>
      </c>
      <c r="W513" s="57">
        <f>(1000*CHOOSE(CONTROL!$C$42, 0.1146, 0.1146)*CHOOSE(CONTROL!$C$42, 121.5, 121.5)*CHOOSE(CONTROL!$C$42, 30, 30))/1000000</f>
        <v>0.417717</v>
      </c>
      <c r="X513" s="57">
        <f>(30*0.1790888*245000/1000000)+(30*0.2374*100000/1000000)</f>
        <v>2.0285026799999999</v>
      </c>
      <c r="Y513" s="57"/>
      <c r="Z513" s="10"/>
      <c r="AA513" s="56"/>
      <c r="AB513" s="50">
        <f>(B513*194.205+C513*267.466+D513*133.845+E513*53.484+F513*40+G513*185+H513*0+I513*100+J513*300)/(194.205+267.466+133.845+53.484+0+40+185+100+300)</f>
        <v>20.71244373720565</v>
      </c>
      <c r="AC513" s="45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20.542804316546761</v>
      </c>
    </row>
    <row r="514" spans="1:29" ht="15.75" x14ac:dyDescent="0.25">
      <c r="A514" s="14">
        <v>56553</v>
      </c>
      <c r="B514" s="10">
        <f>CHOOSE(CONTROL!$C$42, 20.2658, 20.2658) * CHOOSE(CONTROL!$C$21, $C$9, 100%, $E$9)</f>
        <v>20.265799999999999</v>
      </c>
      <c r="C514" s="10">
        <f>CHOOSE(CONTROL!$C$42, 20.271, 20.271) * CHOOSE(CONTROL!$C$21, $C$9, 100%, $E$9)</f>
        <v>20.271000000000001</v>
      </c>
      <c r="D514" s="10">
        <f>CHOOSE(CONTROL!$C$42, 20.4787, 20.4787) * CHOOSE(CONTROL!$C$21, $C$9, 100%, $E$9)</f>
        <v>20.4787</v>
      </c>
      <c r="E514" s="10">
        <f>CHOOSE(CONTROL!$C$42, 20.5075, 20.5075) * CHOOSE(CONTROL!$C$21, $C$9, 100%, $E$9)</f>
        <v>20.5075</v>
      </c>
      <c r="F514" s="10">
        <f>CHOOSE(CONTROL!$C$42, 20.2445, 20.2445)*CHOOSE(CONTROL!$C$21, $C$9, 100%, $E$9)</f>
        <v>20.244499999999999</v>
      </c>
      <c r="G514" s="10">
        <f>CHOOSE(CONTROL!$C$42, 20.2594, 20.2594)*CHOOSE(CONTROL!$C$21, $C$9, 100%, $E$9)</f>
        <v>20.259399999999999</v>
      </c>
      <c r="H514" s="10">
        <f>CHOOSE(CONTROL!$C$42, 20.4979, 20.4979) * CHOOSE(CONTROL!$C$21, $C$9, 100%, $E$9)</f>
        <v>20.497900000000001</v>
      </c>
      <c r="I514" s="10">
        <f>CHOOSE(CONTROL!$C$42, 20.2676, 20.2676)* CHOOSE(CONTROL!$C$21, $C$9, 100%, $E$9)</f>
        <v>20.267600000000002</v>
      </c>
      <c r="J514" s="10">
        <f>CHOOSE(CONTROL!$C$42, 20.2375, 20.2375)* CHOOSE(CONTROL!$C$21, $C$9, 100%, $E$9)</f>
        <v>20.237500000000001</v>
      </c>
      <c r="K514" s="53">
        <f>CHOOSE(CONTROL!$C$42, 20.2637, 20.2637) * CHOOSE(CONTROL!$C$21, $C$9, 100%, $E$9)</f>
        <v>20.2637</v>
      </c>
      <c r="L514" s="10">
        <f>CHOOSE(CONTROL!$C$42, 21.0849, 21.0849) * CHOOSE(CONTROL!$C$21, $C$9, 100%, $E$9)</f>
        <v>21.084900000000001</v>
      </c>
      <c r="M514" s="10">
        <f>CHOOSE(CONTROL!$C$42, 20.0471, 20.0471) * CHOOSE(CONTROL!$C$21, $C$9, 100%, $E$9)</f>
        <v>20.0471</v>
      </c>
      <c r="N514" s="10">
        <f>CHOOSE(CONTROL!$C$42, 20.0619, 20.0619) * CHOOSE(CONTROL!$C$21, $C$9, 100%, $E$9)</f>
        <v>20.061900000000001</v>
      </c>
      <c r="O514" s="10">
        <f>CHOOSE(CONTROL!$C$42, 20.3049, 20.3049) * CHOOSE(CONTROL!$C$21, $C$9, 100%, $E$9)</f>
        <v>20.3049</v>
      </c>
      <c r="P514" s="10">
        <f>CHOOSE(CONTROL!$C$42, 20.0769, 20.0769) * CHOOSE(CONTROL!$C$21, $C$9, 100%, $E$9)</f>
        <v>20.076899999999998</v>
      </c>
      <c r="Q514" s="10">
        <f>CHOOSE(CONTROL!$C$42, 20.9002, 20.9002) * CHOOSE(CONTROL!$C$21, $C$9, 100%, $E$9)</f>
        <v>20.900200000000002</v>
      </c>
      <c r="R514" s="10">
        <f>CHOOSE(CONTROL!$C$42, 21.5395, 21.5395) * CHOOSE(CONTROL!$C$21, $C$9, 100%, $E$9)</f>
        <v>21.5395</v>
      </c>
      <c r="S514" s="10">
        <f>CHOOSE(CONTROL!$C$42, 19.6775, 19.6775) * CHOOSE(CONTROL!$C$21, $C$9, 100%, $E$9)</f>
        <v>19.677499999999998</v>
      </c>
      <c r="T5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57">
        <f>(1000*CHOOSE(CONTROL!$C$42, 695, 695)*CHOOSE(CONTROL!$C$42, 0.5599, 0.5599)*CHOOSE(CONTROL!$C$42, 31, 31))/1000000</f>
        <v>12.063045499999998</v>
      </c>
      <c r="V514" s="57">
        <f>(1000*CHOOSE(CONTROL!$C$42, 500, 500)*CHOOSE(CONTROL!$C$42, 0.275, 0.275)*CHOOSE(CONTROL!$C$42, 31, 31))/1000000</f>
        <v>4.2625000000000002</v>
      </c>
      <c r="W514" s="57">
        <f>(1000*CHOOSE(CONTROL!$C$42, 0.1146, 0.1146)*CHOOSE(CONTROL!$C$42, 121.5, 121.5)*CHOOSE(CONTROL!$C$42, 31, 31))/1000000</f>
        <v>0.43164089999999994</v>
      </c>
      <c r="X514" s="57">
        <f>(31*0.1790888*245000/1000000)+(31*0.2374*100000/1000000)</f>
        <v>2.0961194359999999</v>
      </c>
      <c r="Y514" s="57"/>
      <c r="Z514" s="10"/>
      <c r="AA514" s="56"/>
      <c r="AB514" s="50">
        <f>(B514*131.881+C514*277.167+D514*79.08+E514*125.872+F514*40+G514*185+H514*0+I514*100+J514*300)/(131.881+277.167+79.08+125.872+0+40+185+100+300)</f>
        <v>20.296756144309928</v>
      </c>
      <c r="AC514" s="45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20.127127338129498</v>
      </c>
    </row>
    <row r="515" spans="1:29" ht="15.75" x14ac:dyDescent="0.25">
      <c r="A515" s="14">
        <v>56583</v>
      </c>
      <c r="B515" s="10">
        <f>CHOOSE(CONTROL!$C$42, 20.7992, 20.7992) * CHOOSE(CONTROL!$C$21, $C$9, 100%, $E$9)</f>
        <v>20.799199999999999</v>
      </c>
      <c r="C515" s="10">
        <f>CHOOSE(CONTROL!$C$42, 20.8041, 20.8041) * CHOOSE(CONTROL!$C$21, $C$9, 100%, $E$9)</f>
        <v>20.804099999999998</v>
      </c>
      <c r="D515" s="10">
        <f>CHOOSE(CONTROL!$C$42, 20.8646, 20.8646) * CHOOSE(CONTROL!$C$21, $C$9, 100%, $E$9)</f>
        <v>20.864599999999999</v>
      </c>
      <c r="E515" s="10">
        <f>CHOOSE(CONTROL!$C$42, 20.8984, 20.8984) * CHOOSE(CONTROL!$C$21, $C$9, 100%, $E$9)</f>
        <v>20.898399999999999</v>
      </c>
      <c r="F515" s="10">
        <f>CHOOSE(CONTROL!$C$42, 20.7948, 20.7948)*CHOOSE(CONTROL!$C$21, $C$9, 100%, $E$9)</f>
        <v>20.794799999999999</v>
      </c>
      <c r="G515" s="10">
        <f>CHOOSE(CONTROL!$C$42, 20.81, 20.81)*CHOOSE(CONTROL!$C$21, $C$9, 100%, $E$9)</f>
        <v>20.81</v>
      </c>
      <c r="H515" s="10">
        <f>CHOOSE(CONTROL!$C$42, 20.8876, 20.8876) * CHOOSE(CONTROL!$C$21, $C$9, 100%, $E$9)</f>
        <v>20.887599999999999</v>
      </c>
      <c r="I515" s="10">
        <f>CHOOSE(CONTROL!$C$42, 20.8117, 20.8117)* CHOOSE(CONTROL!$C$21, $C$9, 100%, $E$9)</f>
        <v>20.811699999999998</v>
      </c>
      <c r="J515" s="10">
        <f>CHOOSE(CONTROL!$C$42, 20.7878, 20.7878)* CHOOSE(CONTROL!$C$21, $C$9, 100%, $E$9)</f>
        <v>20.787800000000001</v>
      </c>
      <c r="K515" s="53">
        <f>CHOOSE(CONTROL!$C$42, 20.8078, 20.8078) * CHOOSE(CONTROL!$C$21, $C$9, 100%, $E$9)</f>
        <v>20.8078</v>
      </c>
      <c r="L515" s="10">
        <f>CHOOSE(CONTROL!$C$42, 21.4746, 21.4746) * CHOOSE(CONTROL!$C$21, $C$9, 100%, $E$9)</f>
        <v>21.474599999999999</v>
      </c>
      <c r="M515" s="10">
        <f>CHOOSE(CONTROL!$C$42, 20.5918, 20.5918) * CHOOSE(CONTROL!$C$21, $C$9, 100%, $E$9)</f>
        <v>20.591799999999999</v>
      </c>
      <c r="N515" s="10">
        <f>CHOOSE(CONTROL!$C$42, 20.6069, 20.6069) * CHOOSE(CONTROL!$C$21, $C$9, 100%, $E$9)</f>
        <v>20.6069</v>
      </c>
      <c r="O515" s="10">
        <f>CHOOSE(CONTROL!$C$42, 20.6906, 20.6906) * CHOOSE(CONTROL!$C$21, $C$9, 100%, $E$9)</f>
        <v>20.6906</v>
      </c>
      <c r="P515" s="10">
        <f>CHOOSE(CONTROL!$C$42, 20.6155, 20.6155) * CHOOSE(CONTROL!$C$21, $C$9, 100%, $E$9)</f>
        <v>20.615500000000001</v>
      </c>
      <c r="Q515" s="10">
        <f>CHOOSE(CONTROL!$C$42, 21.2859, 21.2859) * CHOOSE(CONTROL!$C$21, $C$9, 100%, $E$9)</f>
        <v>21.285900000000002</v>
      </c>
      <c r="R515" s="10">
        <f>CHOOSE(CONTROL!$C$42, 21.9261, 21.9261) * CHOOSE(CONTROL!$C$21, $C$9, 100%, $E$9)</f>
        <v>21.926100000000002</v>
      </c>
      <c r="S515" s="10">
        <f>CHOOSE(CONTROL!$C$42, 20.1959, 20.1959) * CHOOSE(CONTROL!$C$21, $C$9, 100%, $E$9)</f>
        <v>20.195900000000002</v>
      </c>
      <c r="T5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57">
        <f>(1000*CHOOSE(CONTROL!$C$42, 695, 695)*CHOOSE(CONTROL!$C$42, 0.5599, 0.5599)*CHOOSE(CONTROL!$C$42, 30, 30))/1000000</f>
        <v>11.673914999999997</v>
      </c>
      <c r="V515" s="57">
        <f>(1000*CHOOSE(CONTROL!$C$42, 500, 500)*CHOOSE(CONTROL!$C$42, 0.275, 0.275)*CHOOSE(CONTROL!$C$42, 30, 30))/1000000</f>
        <v>4.125</v>
      </c>
      <c r="W515" s="57">
        <f>(1000*CHOOSE(CONTROL!$C$42, 0.1146, 0.1146)*CHOOSE(CONTROL!$C$42, 121.5, 121.5)*CHOOSE(CONTROL!$C$42, 30, 30))/1000000</f>
        <v>0.417717</v>
      </c>
      <c r="X515" s="57">
        <f>(30*0.1790888*100000/1000000)+(30*0.2374*100000/1000000)</f>
        <v>1.2494664</v>
      </c>
      <c r="Y515" s="57"/>
      <c r="Z515" s="10"/>
      <c r="AA515" s="56"/>
      <c r="AB515" s="50">
        <f>(B515*122.58+C515*297.941+D515*89.177+E515*40.302+F515*40+G515*160+H515*0+I515*100+J515*300)/(122.58+297.941+89.177+40.302+0+40+160+100+300)</f>
        <v>20.808480039217386</v>
      </c>
      <c r="AC515" s="45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20.640858992805757</v>
      </c>
    </row>
    <row r="516" spans="1:29" ht="15.75" x14ac:dyDescent="0.25">
      <c r="A516" s="14">
        <v>56614</v>
      </c>
      <c r="B516" s="10">
        <f>CHOOSE(CONTROL!$C$42, 22.217, 22.217) * CHOOSE(CONTROL!$C$21, $C$9, 100%, $E$9)</f>
        <v>22.216999999999999</v>
      </c>
      <c r="C516" s="10">
        <f>CHOOSE(CONTROL!$C$42, 22.222, 22.222) * CHOOSE(CONTROL!$C$21, $C$9, 100%, $E$9)</f>
        <v>22.222000000000001</v>
      </c>
      <c r="D516" s="10">
        <f>CHOOSE(CONTROL!$C$42, 22.2825, 22.2825) * CHOOSE(CONTROL!$C$21, $C$9, 100%, $E$9)</f>
        <v>22.282499999999999</v>
      </c>
      <c r="E516" s="10">
        <f>CHOOSE(CONTROL!$C$42, 22.3163, 22.3163) * CHOOSE(CONTROL!$C$21, $C$9, 100%, $E$9)</f>
        <v>22.316299999999998</v>
      </c>
      <c r="F516" s="10">
        <f>CHOOSE(CONTROL!$C$42, 22.2145, 22.2145)*CHOOSE(CONTROL!$C$21, $C$9, 100%, $E$9)</f>
        <v>22.214500000000001</v>
      </c>
      <c r="G516" s="10">
        <f>CHOOSE(CONTROL!$C$42, 22.2302, 22.2302)*CHOOSE(CONTROL!$C$21, $C$9, 100%, $E$9)</f>
        <v>22.2302</v>
      </c>
      <c r="H516" s="10">
        <f>CHOOSE(CONTROL!$C$42, 22.3055, 22.3055) * CHOOSE(CONTROL!$C$21, $C$9, 100%, $E$9)</f>
        <v>22.305499999999999</v>
      </c>
      <c r="I516" s="10">
        <f>CHOOSE(CONTROL!$C$42, 22.2295, 22.2295)* CHOOSE(CONTROL!$C$21, $C$9, 100%, $E$9)</f>
        <v>22.229500000000002</v>
      </c>
      <c r="J516" s="10">
        <f>CHOOSE(CONTROL!$C$42, 22.2075, 22.2075)* CHOOSE(CONTROL!$C$21, $C$9, 100%, $E$9)</f>
        <v>22.2075</v>
      </c>
      <c r="K516" s="53">
        <f>CHOOSE(CONTROL!$C$42, 22.2257, 22.2257) * CHOOSE(CONTROL!$C$21, $C$9, 100%, $E$9)</f>
        <v>22.2257</v>
      </c>
      <c r="L516" s="10">
        <f>CHOOSE(CONTROL!$C$42, 22.8925, 22.8925) * CHOOSE(CONTROL!$C$21, $C$9, 100%, $E$9)</f>
        <v>22.892499999999998</v>
      </c>
      <c r="M516" s="10">
        <f>CHOOSE(CONTROL!$C$42, 21.9972, 21.9972) * CHOOSE(CONTROL!$C$21, $C$9, 100%, $E$9)</f>
        <v>21.997199999999999</v>
      </c>
      <c r="N516" s="10">
        <f>CHOOSE(CONTROL!$C$42, 22.0127, 22.0127) * CHOOSE(CONTROL!$C$21, $C$9, 100%, $E$9)</f>
        <v>22.012699999999999</v>
      </c>
      <c r="O516" s="10">
        <f>CHOOSE(CONTROL!$C$42, 22.0942, 22.0942) * CHOOSE(CONTROL!$C$21, $C$9, 100%, $E$9)</f>
        <v>22.094200000000001</v>
      </c>
      <c r="P516" s="10">
        <f>CHOOSE(CONTROL!$C$42, 22.0191, 22.0191) * CHOOSE(CONTROL!$C$21, $C$9, 100%, $E$9)</f>
        <v>22.019100000000002</v>
      </c>
      <c r="Q516" s="10">
        <f>CHOOSE(CONTROL!$C$42, 22.6895, 22.6895) * CHOOSE(CONTROL!$C$21, $C$9, 100%, $E$9)</f>
        <v>22.689499999999999</v>
      </c>
      <c r="R516" s="10">
        <f>CHOOSE(CONTROL!$C$42, 23.3332, 23.3332) * CHOOSE(CONTROL!$C$21, $C$9, 100%, $E$9)</f>
        <v>23.333200000000001</v>
      </c>
      <c r="S516" s="10">
        <f>CHOOSE(CONTROL!$C$42, 21.5728, 21.5728) * CHOOSE(CONTROL!$C$21, $C$9, 100%, $E$9)</f>
        <v>21.572800000000001</v>
      </c>
      <c r="T5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57">
        <f>(1000*CHOOSE(CONTROL!$C$42, 695, 695)*CHOOSE(CONTROL!$C$42, 0.5599, 0.5599)*CHOOSE(CONTROL!$C$42, 31, 31))/1000000</f>
        <v>12.063045499999998</v>
      </c>
      <c r="V516" s="57">
        <f>(1000*CHOOSE(CONTROL!$C$42, 500, 500)*CHOOSE(CONTROL!$C$42, 0.275, 0.275)*CHOOSE(CONTROL!$C$42, 31, 31))/1000000</f>
        <v>4.2625000000000002</v>
      </c>
      <c r="W516" s="57">
        <f>(1000*CHOOSE(CONTROL!$C$42, 0.1146, 0.1146)*CHOOSE(CONTROL!$C$42, 121.5, 121.5)*CHOOSE(CONTROL!$C$42, 31, 31))/1000000</f>
        <v>0.43164089999999994</v>
      </c>
      <c r="X516" s="57">
        <f>(31*0.1790888*100000/1000000)+(31*0.2374*100000/1000000)</f>
        <v>1.2911152800000001</v>
      </c>
      <c r="Y516" s="57"/>
      <c r="Z516" s="10"/>
      <c r="AA516" s="56"/>
      <c r="AB516" s="50">
        <f>(B516*122.58+C516*297.941+D516*89.177+E516*40.302+F516*40+G516*160+H516*0+I516*100+J516*300)/(122.58+297.941+89.177+40.302+0+40+160+100+300)</f>
        <v>22.227212858347826</v>
      </c>
      <c r="AC516" s="45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22.045207194244604</v>
      </c>
    </row>
    <row r="517" spans="1:29" ht="15.75" x14ac:dyDescent="0.25">
      <c r="A517" s="13">
        <v>56645</v>
      </c>
      <c r="B517" s="10">
        <f>CHOOSE(CONTROL!$C$42, 24.0372, 24.0372) * CHOOSE(CONTROL!$C$21, $C$9, 100%, $E$9)</f>
        <v>24.037199999999999</v>
      </c>
      <c r="C517" s="10">
        <f>CHOOSE(CONTROL!$C$42, 24.0421, 24.0421) * CHOOSE(CONTROL!$C$21, $C$9, 100%, $E$9)</f>
        <v>24.042100000000001</v>
      </c>
      <c r="D517" s="10">
        <f>CHOOSE(CONTROL!$C$42, 24.0992, 24.0992) * CHOOSE(CONTROL!$C$21, $C$9, 100%, $E$9)</f>
        <v>24.0992</v>
      </c>
      <c r="E517" s="10">
        <f>CHOOSE(CONTROL!$C$42, 24.133, 24.133) * CHOOSE(CONTROL!$C$21, $C$9, 100%, $E$9)</f>
        <v>24.132999999999999</v>
      </c>
      <c r="F517" s="10">
        <f>CHOOSE(CONTROL!$C$42, 24.035, 24.035)*CHOOSE(CONTROL!$C$21, $C$9, 100%, $E$9)</f>
        <v>24.035</v>
      </c>
      <c r="G517" s="10">
        <f>CHOOSE(CONTROL!$C$42, 24.0496, 24.0496)*CHOOSE(CONTROL!$C$21, $C$9, 100%, $E$9)</f>
        <v>24.049600000000002</v>
      </c>
      <c r="H517" s="10">
        <f>CHOOSE(CONTROL!$C$42, 24.1222, 24.1222) * CHOOSE(CONTROL!$C$21, $C$9, 100%, $E$9)</f>
        <v>24.122199999999999</v>
      </c>
      <c r="I517" s="10">
        <f>CHOOSE(CONTROL!$C$42, 24.048, 24.048)* CHOOSE(CONTROL!$C$21, $C$9, 100%, $E$9)</f>
        <v>24.047999999999998</v>
      </c>
      <c r="J517" s="10">
        <f>CHOOSE(CONTROL!$C$42, 24.028, 24.028)* CHOOSE(CONTROL!$C$21, $C$9, 100%, $E$9)</f>
        <v>24.027999999999999</v>
      </c>
      <c r="K517" s="53">
        <f>CHOOSE(CONTROL!$C$42, 24.0441, 24.0441) * CHOOSE(CONTROL!$C$21, $C$9, 100%, $E$9)</f>
        <v>24.0441</v>
      </c>
      <c r="L517" s="10">
        <f>CHOOSE(CONTROL!$C$42, 24.7092, 24.7092) * CHOOSE(CONTROL!$C$21, $C$9, 100%, $E$9)</f>
        <v>24.709199999999999</v>
      </c>
      <c r="M517" s="10">
        <f>CHOOSE(CONTROL!$C$42, 23.7993, 23.7993) * CHOOSE(CONTROL!$C$21, $C$9, 100%, $E$9)</f>
        <v>23.799299999999999</v>
      </c>
      <c r="N517" s="10">
        <f>CHOOSE(CONTROL!$C$42, 23.8138, 23.8138) * CHOOSE(CONTROL!$C$21, $C$9, 100%, $E$9)</f>
        <v>23.813800000000001</v>
      </c>
      <c r="O517" s="10">
        <f>CHOOSE(CONTROL!$C$42, 23.8926, 23.8926) * CHOOSE(CONTROL!$C$21, $C$9, 100%, $E$9)</f>
        <v>23.892600000000002</v>
      </c>
      <c r="P517" s="10">
        <f>CHOOSE(CONTROL!$C$42, 23.8192, 23.8192) * CHOOSE(CONTROL!$C$21, $C$9, 100%, $E$9)</f>
        <v>23.819199999999999</v>
      </c>
      <c r="Q517" s="10">
        <f>CHOOSE(CONTROL!$C$42, 24.4879, 24.4879) * CHOOSE(CONTROL!$C$21, $C$9, 100%, $E$9)</f>
        <v>24.4879</v>
      </c>
      <c r="R517" s="10">
        <f>CHOOSE(CONTROL!$C$42, 25.1361, 25.1361) * CHOOSE(CONTROL!$C$21, $C$9, 100%, $E$9)</f>
        <v>25.136099999999999</v>
      </c>
      <c r="S517" s="10">
        <f>CHOOSE(CONTROL!$C$42, 23.3404, 23.3404) * CHOOSE(CONTROL!$C$21, $C$9, 100%, $E$9)</f>
        <v>23.340399999999999</v>
      </c>
      <c r="T5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57">
        <f>(1000*CHOOSE(CONTROL!$C$42, 695, 695)*CHOOSE(CONTROL!$C$42, 0.5599, 0.5599)*CHOOSE(CONTROL!$C$42, 31, 31))/1000000</f>
        <v>12.063045499999998</v>
      </c>
      <c r="V517" s="57">
        <f>(1000*CHOOSE(CONTROL!$C$42, 500, 500)*CHOOSE(CONTROL!$C$42, 0.275, 0.275)*CHOOSE(CONTROL!$C$42, 31, 31))/1000000</f>
        <v>4.2625000000000002</v>
      </c>
      <c r="W517" s="57">
        <f>(1000*CHOOSE(CONTROL!$C$42, 0.1146, 0.1146)*CHOOSE(CONTROL!$C$42, 121.5, 121.5)*CHOOSE(CONTROL!$C$42, 31, 31))/1000000</f>
        <v>0.43164089999999994</v>
      </c>
      <c r="X517" s="57">
        <f>(31*0.1790888*100000/1000000)+(31*0.2374*100000/1000000)</f>
        <v>1.2911152800000001</v>
      </c>
      <c r="Y517" s="57"/>
      <c r="Z517" s="10"/>
      <c r="AA517" s="56"/>
      <c r="AB517" s="50">
        <f>(B517*122.58+C517*297.941+D517*89.177+E517*40.302+F517*40+G517*160+H517*0+I517*100+J517*300)/(122.58+297.941+89.177+40.302+0+40+160+100+300)</f>
        <v>24.046822449130431</v>
      </c>
      <c r="AC517" s="45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23.84528489208633</v>
      </c>
    </row>
    <row r="518" spans="1:29" ht="15.75" x14ac:dyDescent="0.25">
      <c r="A518" s="13">
        <v>56673</v>
      </c>
      <c r="B518" s="10">
        <f>CHOOSE(CONTROL!$C$42, 24.465, 24.465) * CHOOSE(CONTROL!$C$21, $C$9, 100%, $E$9)</f>
        <v>24.465</v>
      </c>
      <c r="C518" s="10">
        <f>CHOOSE(CONTROL!$C$42, 24.47, 24.47) * CHOOSE(CONTROL!$C$21, $C$9, 100%, $E$9)</f>
        <v>24.47</v>
      </c>
      <c r="D518" s="10">
        <f>CHOOSE(CONTROL!$C$42, 24.527, 24.527) * CHOOSE(CONTROL!$C$21, $C$9, 100%, $E$9)</f>
        <v>24.527000000000001</v>
      </c>
      <c r="E518" s="10">
        <f>CHOOSE(CONTROL!$C$42, 24.5608, 24.5608) * CHOOSE(CONTROL!$C$21, $C$9, 100%, $E$9)</f>
        <v>24.5608</v>
      </c>
      <c r="F518" s="10">
        <f>CHOOSE(CONTROL!$C$42, 24.463, 24.463)*CHOOSE(CONTROL!$C$21, $C$9, 100%, $E$9)</f>
        <v>24.463000000000001</v>
      </c>
      <c r="G518" s="10">
        <f>CHOOSE(CONTROL!$C$42, 24.4776, 24.4776)*CHOOSE(CONTROL!$C$21, $C$9, 100%, $E$9)</f>
        <v>24.477599999999999</v>
      </c>
      <c r="H518" s="10">
        <f>CHOOSE(CONTROL!$C$42, 24.55, 24.55) * CHOOSE(CONTROL!$C$21, $C$9, 100%, $E$9)</f>
        <v>24.55</v>
      </c>
      <c r="I518" s="10">
        <f>CHOOSE(CONTROL!$C$42, 24.4758, 24.4758)* CHOOSE(CONTROL!$C$21, $C$9, 100%, $E$9)</f>
        <v>24.4758</v>
      </c>
      <c r="J518" s="10">
        <f>CHOOSE(CONTROL!$C$42, 24.456, 24.456)* CHOOSE(CONTROL!$C$21, $C$9, 100%, $E$9)</f>
        <v>24.456</v>
      </c>
      <c r="K518" s="53">
        <f>CHOOSE(CONTROL!$C$42, 24.4719, 24.4719) * CHOOSE(CONTROL!$C$21, $C$9, 100%, $E$9)</f>
        <v>24.471900000000002</v>
      </c>
      <c r="L518" s="10">
        <f>CHOOSE(CONTROL!$C$42, 25.137, 25.137) * CHOOSE(CONTROL!$C$21, $C$9, 100%, $E$9)</f>
        <v>25.137</v>
      </c>
      <c r="M518" s="10">
        <f>CHOOSE(CONTROL!$C$42, 24.223, 24.223) * CHOOSE(CONTROL!$C$21, $C$9, 100%, $E$9)</f>
        <v>24.222999999999999</v>
      </c>
      <c r="N518" s="10">
        <f>CHOOSE(CONTROL!$C$42, 24.2375, 24.2375) * CHOOSE(CONTROL!$C$21, $C$9, 100%, $E$9)</f>
        <v>24.237500000000001</v>
      </c>
      <c r="O518" s="10">
        <f>CHOOSE(CONTROL!$C$42, 24.3161, 24.3161) * CHOOSE(CONTROL!$C$21, $C$9, 100%, $E$9)</f>
        <v>24.316099999999999</v>
      </c>
      <c r="P518" s="10">
        <f>CHOOSE(CONTROL!$C$42, 24.2427, 24.2427) * CHOOSE(CONTROL!$C$21, $C$9, 100%, $E$9)</f>
        <v>24.242699999999999</v>
      </c>
      <c r="Q518" s="10">
        <f>CHOOSE(CONTROL!$C$42, 24.9114, 24.9114) * CHOOSE(CONTROL!$C$21, $C$9, 100%, $E$9)</f>
        <v>24.9114</v>
      </c>
      <c r="R518" s="10">
        <f>CHOOSE(CONTROL!$C$42, 25.5607, 25.5607) * CHOOSE(CONTROL!$C$21, $C$9, 100%, $E$9)</f>
        <v>25.560700000000001</v>
      </c>
      <c r="S518" s="10">
        <f>CHOOSE(CONTROL!$C$42, 23.7559, 23.7559) * CHOOSE(CONTROL!$C$21, $C$9, 100%, $E$9)</f>
        <v>23.7559</v>
      </c>
      <c r="T5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18" s="57">
        <f>(1000*CHOOSE(CONTROL!$C$42, 695, 695)*CHOOSE(CONTROL!$C$42, 0.5599, 0.5599)*CHOOSE(CONTROL!$C$42, 28, 28))/1000000</f>
        <v>10.895653999999999</v>
      </c>
      <c r="V518" s="57">
        <f>(1000*CHOOSE(CONTROL!$C$42, 500, 500)*CHOOSE(CONTROL!$C$42, 0.275, 0.275)*CHOOSE(CONTROL!$C$42, 28, 28))/1000000</f>
        <v>3.85</v>
      </c>
      <c r="W518" s="57">
        <f>(1000*CHOOSE(CONTROL!$C$42, 0.1146, 0.1146)*CHOOSE(CONTROL!$C$42, 121.5, 121.5)*CHOOSE(CONTROL!$C$42, 28, 28))/1000000</f>
        <v>0.38986920000000003</v>
      </c>
      <c r="X518" s="57">
        <f>(28*0.1790888*100000/1000000)+(28*0.2374*100000/1000000)</f>
        <v>1.16616864</v>
      </c>
      <c r="Y518" s="57"/>
      <c r="Z518" s="10"/>
      <c r="AA518" s="56"/>
      <c r="AB518" s="50">
        <f>(B518*122.58+C518*297.941+D518*89.177+E518*40.302+F518*40+G518*160+H518*0+I518*100+J518*300)/(122.58+297.941+89.177+40.302+0+40+160+100+300)</f>
        <v>24.474735313565215</v>
      </c>
      <c r="AC518" s="45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24.268865467625897</v>
      </c>
    </row>
    <row r="519" spans="1:29" ht="15.75" x14ac:dyDescent="0.25">
      <c r="A519" s="13">
        <v>56704</v>
      </c>
      <c r="B519" s="10">
        <f>CHOOSE(CONTROL!$C$42, 23.7705, 23.7705) * CHOOSE(CONTROL!$C$21, $C$9, 100%, $E$9)</f>
        <v>23.770499999999998</v>
      </c>
      <c r="C519" s="10">
        <f>CHOOSE(CONTROL!$C$42, 23.7755, 23.7755) * CHOOSE(CONTROL!$C$21, $C$9, 100%, $E$9)</f>
        <v>23.775500000000001</v>
      </c>
      <c r="D519" s="10">
        <f>CHOOSE(CONTROL!$C$42, 23.8326, 23.8326) * CHOOSE(CONTROL!$C$21, $C$9, 100%, $E$9)</f>
        <v>23.832599999999999</v>
      </c>
      <c r="E519" s="10">
        <f>CHOOSE(CONTROL!$C$42, 23.8663, 23.8663) * CHOOSE(CONTROL!$C$21, $C$9, 100%, $E$9)</f>
        <v>23.866299999999999</v>
      </c>
      <c r="F519" s="10">
        <f>CHOOSE(CONTROL!$C$42, 23.7683, 23.7683)*CHOOSE(CONTROL!$C$21, $C$9, 100%, $E$9)</f>
        <v>23.7683</v>
      </c>
      <c r="G519" s="10">
        <f>CHOOSE(CONTROL!$C$42, 23.783, 23.783)*CHOOSE(CONTROL!$C$21, $C$9, 100%, $E$9)</f>
        <v>23.783000000000001</v>
      </c>
      <c r="H519" s="10">
        <f>CHOOSE(CONTROL!$C$42, 23.8555, 23.8555) * CHOOSE(CONTROL!$C$21, $C$9, 100%, $E$9)</f>
        <v>23.855499999999999</v>
      </c>
      <c r="I519" s="10">
        <f>CHOOSE(CONTROL!$C$42, 23.7813, 23.7813)* CHOOSE(CONTROL!$C$21, $C$9, 100%, $E$9)</f>
        <v>23.781300000000002</v>
      </c>
      <c r="J519" s="10">
        <f>CHOOSE(CONTROL!$C$42, 23.7613, 23.7613)* CHOOSE(CONTROL!$C$21, $C$9, 100%, $E$9)</f>
        <v>23.761299999999999</v>
      </c>
      <c r="K519" s="53">
        <f>CHOOSE(CONTROL!$C$42, 23.7774, 23.7774) * CHOOSE(CONTROL!$C$21, $C$9, 100%, $E$9)</f>
        <v>23.7774</v>
      </c>
      <c r="L519" s="10">
        <f>CHOOSE(CONTROL!$C$42, 24.4425, 24.4425) * CHOOSE(CONTROL!$C$21, $C$9, 100%, $E$9)</f>
        <v>24.442499999999999</v>
      </c>
      <c r="M519" s="10">
        <f>CHOOSE(CONTROL!$C$42, 23.5354, 23.5354) * CHOOSE(CONTROL!$C$21, $C$9, 100%, $E$9)</f>
        <v>23.535399999999999</v>
      </c>
      <c r="N519" s="10">
        <f>CHOOSE(CONTROL!$C$42, 23.5498, 23.5498) * CHOOSE(CONTROL!$C$21, $C$9, 100%, $E$9)</f>
        <v>23.549800000000001</v>
      </c>
      <c r="O519" s="10">
        <f>CHOOSE(CONTROL!$C$42, 23.6286, 23.6286) * CHOOSE(CONTROL!$C$21, $C$9, 100%, $E$9)</f>
        <v>23.628599999999999</v>
      </c>
      <c r="P519" s="10">
        <f>CHOOSE(CONTROL!$C$42, 23.5552, 23.5552) * CHOOSE(CONTROL!$C$21, $C$9, 100%, $E$9)</f>
        <v>23.555199999999999</v>
      </c>
      <c r="Q519" s="10">
        <f>CHOOSE(CONTROL!$C$42, 24.2239, 24.2239) * CHOOSE(CONTROL!$C$21, $C$9, 100%, $E$9)</f>
        <v>24.2239</v>
      </c>
      <c r="R519" s="10">
        <f>CHOOSE(CONTROL!$C$42, 24.8715, 24.8715) * CHOOSE(CONTROL!$C$21, $C$9, 100%, $E$9)</f>
        <v>24.871500000000001</v>
      </c>
      <c r="S519" s="10">
        <f>CHOOSE(CONTROL!$C$42, 23.0814, 23.0814) * CHOOSE(CONTROL!$C$21, $C$9, 100%, $E$9)</f>
        <v>23.081399999999999</v>
      </c>
      <c r="T5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57">
        <f>(1000*CHOOSE(CONTROL!$C$42, 695, 695)*CHOOSE(CONTROL!$C$42, 0.5599, 0.5599)*CHOOSE(CONTROL!$C$42, 31, 31))/1000000</f>
        <v>12.063045499999998</v>
      </c>
      <c r="V519" s="57">
        <f>(1000*CHOOSE(CONTROL!$C$42, 500, 500)*CHOOSE(CONTROL!$C$42, 0.275, 0.275)*CHOOSE(CONTROL!$C$42, 31, 31))/1000000</f>
        <v>4.2625000000000002</v>
      </c>
      <c r="W519" s="57">
        <f>(1000*CHOOSE(CONTROL!$C$42, 0.1146, 0.1146)*CHOOSE(CONTROL!$C$42, 121.5, 121.5)*CHOOSE(CONTROL!$C$42, 31, 31))/1000000</f>
        <v>0.43164089999999994</v>
      </c>
      <c r="X519" s="57">
        <f>(31*0.1790888*100000/1000000)+(31*0.2374*100000/1000000)</f>
        <v>1.2911152800000001</v>
      </c>
      <c r="Y519" s="57"/>
      <c r="Z519" s="10"/>
      <c r="AA519" s="56"/>
      <c r="AB519" s="50">
        <f>(B519*122.58+C519*297.941+D519*89.177+E519*40.302+F519*40+G519*160+H519*0+I519*100+J519*300)/(122.58+297.941+89.177+40.302+0+40+160+100+300)</f>
        <v>23.780170024608694</v>
      </c>
      <c r="AC519" s="45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23.581319424460432</v>
      </c>
    </row>
    <row r="520" spans="1:29" ht="15.75" x14ac:dyDescent="0.25">
      <c r="A520" s="13">
        <v>56734</v>
      </c>
      <c r="B520" s="10">
        <f>CHOOSE(CONTROL!$C$42, 23.7005, 23.7005) * CHOOSE(CONTROL!$C$21, $C$9, 100%, $E$9)</f>
        <v>23.700500000000002</v>
      </c>
      <c r="C520" s="10">
        <f>CHOOSE(CONTROL!$C$42, 23.7049, 23.7049) * CHOOSE(CONTROL!$C$21, $C$9, 100%, $E$9)</f>
        <v>23.704899999999999</v>
      </c>
      <c r="D520" s="10">
        <f>CHOOSE(CONTROL!$C$42, 23.9108, 23.9108) * CHOOSE(CONTROL!$C$21, $C$9, 100%, $E$9)</f>
        <v>23.910799999999998</v>
      </c>
      <c r="E520" s="10">
        <f>CHOOSE(CONTROL!$C$42, 23.9426, 23.9426) * CHOOSE(CONTROL!$C$21, $C$9, 100%, $E$9)</f>
        <v>23.942599999999999</v>
      </c>
      <c r="F520" s="10">
        <f>CHOOSE(CONTROL!$C$42, 23.6773, 23.6773)*CHOOSE(CONTROL!$C$21, $C$9, 100%, $E$9)</f>
        <v>23.677299999999999</v>
      </c>
      <c r="G520" s="10">
        <f>CHOOSE(CONTROL!$C$42, 23.6918, 23.6918)*CHOOSE(CONTROL!$C$21, $C$9, 100%, $E$9)</f>
        <v>23.691800000000001</v>
      </c>
      <c r="H520" s="10">
        <f>CHOOSE(CONTROL!$C$42, 23.9324, 23.9324) * CHOOSE(CONTROL!$C$21, $C$9, 100%, $E$9)</f>
        <v>23.932400000000001</v>
      </c>
      <c r="I520" s="10">
        <f>CHOOSE(CONTROL!$C$42, 23.702, 23.702)* CHOOSE(CONTROL!$C$21, $C$9, 100%, $E$9)</f>
        <v>23.702000000000002</v>
      </c>
      <c r="J520" s="10">
        <f>CHOOSE(CONTROL!$C$42, 23.6703, 23.6703)* CHOOSE(CONTROL!$C$21, $C$9, 100%, $E$9)</f>
        <v>23.670300000000001</v>
      </c>
      <c r="K520" s="53">
        <f>CHOOSE(CONTROL!$C$42, 23.6981, 23.6981) * CHOOSE(CONTROL!$C$21, $C$9, 100%, $E$9)</f>
        <v>23.6981</v>
      </c>
      <c r="L520" s="10">
        <f>CHOOSE(CONTROL!$C$42, 24.5194, 24.5194) * CHOOSE(CONTROL!$C$21, $C$9, 100%, $E$9)</f>
        <v>24.519400000000001</v>
      </c>
      <c r="M520" s="10">
        <f>CHOOSE(CONTROL!$C$42, 23.4453, 23.4453) * CHOOSE(CONTROL!$C$21, $C$9, 100%, $E$9)</f>
        <v>23.4453</v>
      </c>
      <c r="N520" s="10">
        <f>CHOOSE(CONTROL!$C$42, 23.4596, 23.4596) * CHOOSE(CONTROL!$C$21, $C$9, 100%, $E$9)</f>
        <v>23.459599999999998</v>
      </c>
      <c r="O520" s="10">
        <f>CHOOSE(CONTROL!$C$42, 23.7047, 23.7047) * CHOOSE(CONTROL!$C$21, $C$9, 100%, $E$9)</f>
        <v>23.704699999999999</v>
      </c>
      <c r="P520" s="10">
        <f>CHOOSE(CONTROL!$C$42, 23.4766, 23.4766) * CHOOSE(CONTROL!$C$21, $C$9, 100%, $E$9)</f>
        <v>23.476600000000001</v>
      </c>
      <c r="Q520" s="10">
        <f>CHOOSE(CONTROL!$C$42, 24.3, 24.3) * CHOOSE(CONTROL!$C$21, $C$9, 100%, $E$9)</f>
        <v>24.3</v>
      </c>
      <c r="R520" s="10">
        <f>CHOOSE(CONTROL!$C$42, 24.9477, 24.9477) * CHOOSE(CONTROL!$C$21, $C$9, 100%, $E$9)</f>
        <v>24.947700000000001</v>
      </c>
      <c r="S520" s="10">
        <f>CHOOSE(CONTROL!$C$42, 23.0127, 23.0127) * CHOOSE(CONTROL!$C$21, $C$9, 100%, $E$9)</f>
        <v>23.012699999999999</v>
      </c>
      <c r="T5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57">
        <f>(1000*CHOOSE(CONTROL!$C$42, 695, 695)*CHOOSE(CONTROL!$C$42, 0.5599, 0.5599)*CHOOSE(CONTROL!$C$42, 30, 30))/1000000</f>
        <v>11.673914999999997</v>
      </c>
      <c r="V520" s="57">
        <f>(1000*CHOOSE(CONTROL!$C$42, 500, 500)*CHOOSE(CONTROL!$C$42, 0.275, 0.275)*CHOOSE(CONTROL!$C$42, 30, 30))/1000000</f>
        <v>4.125</v>
      </c>
      <c r="W520" s="57">
        <f>(1000*CHOOSE(CONTROL!$C$42, 0.1146, 0.1146)*CHOOSE(CONTROL!$C$42, 121.5, 121.5)*CHOOSE(CONTROL!$C$42, 30, 30))/1000000</f>
        <v>0.417717</v>
      </c>
      <c r="X520" s="57">
        <f>(30*0.1790888*245000/1000000)+(30*0.2374*100000/1000000)</f>
        <v>2.0285026799999999</v>
      </c>
      <c r="Y520" s="57"/>
      <c r="Z520" s="10"/>
      <c r="AA520" s="56"/>
      <c r="AB520" s="50">
        <f>(B520*141.293+C520*267.993+D520*115.016+E520*89.698+F520*40+G520*185+H520*0+I520*100+J520*300)/(141.293+267.993+115.016+89.698+0+40+185+100+300)</f>
        <v>23.729261436481035</v>
      </c>
      <c r="AC520" s="45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23.525876978417266</v>
      </c>
    </row>
    <row r="521" spans="1:29" ht="15.75" x14ac:dyDescent="0.25">
      <c r="A521" s="13">
        <v>56765</v>
      </c>
      <c r="B521" s="10">
        <f>CHOOSE(CONTROL!$C$42, 23.9111, 23.9111) * CHOOSE(CONTROL!$C$21, $C$9, 100%, $E$9)</f>
        <v>23.911100000000001</v>
      </c>
      <c r="C521" s="10">
        <f>CHOOSE(CONTROL!$C$42, 23.919, 23.919) * CHOOSE(CONTROL!$C$21, $C$9, 100%, $E$9)</f>
        <v>23.919</v>
      </c>
      <c r="D521" s="10">
        <f>CHOOSE(CONTROL!$C$42, 24.1217, 24.1217) * CHOOSE(CONTROL!$C$21, $C$9, 100%, $E$9)</f>
        <v>24.121700000000001</v>
      </c>
      <c r="E521" s="10">
        <f>CHOOSE(CONTROL!$C$42, 24.1529, 24.1529) * CHOOSE(CONTROL!$C$21, $C$9, 100%, $E$9)</f>
        <v>24.152899999999999</v>
      </c>
      <c r="F521" s="10">
        <f>CHOOSE(CONTROL!$C$42, 23.8868, 23.8868)*CHOOSE(CONTROL!$C$21, $C$9, 100%, $E$9)</f>
        <v>23.886800000000001</v>
      </c>
      <c r="G521" s="10">
        <f>CHOOSE(CONTROL!$C$42, 23.9018, 23.9018)*CHOOSE(CONTROL!$C$21, $C$9, 100%, $E$9)</f>
        <v>23.901800000000001</v>
      </c>
      <c r="H521" s="10">
        <f>CHOOSE(CONTROL!$C$42, 24.1415, 24.1415) * CHOOSE(CONTROL!$C$21, $C$9, 100%, $E$9)</f>
        <v>24.141500000000001</v>
      </c>
      <c r="I521" s="10">
        <f>CHOOSE(CONTROL!$C$42, 23.9111, 23.9111)* CHOOSE(CONTROL!$C$21, $C$9, 100%, $E$9)</f>
        <v>23.911100000000001</v>
      </c>
      <c r="J521" s="10">
        <f>CHOOSE(CONTROL!$C$42, 23.8798, 23.8798)* CHOOSE(CONTROL!$C$21, $C$9, 100%, $E$9)</f>
        <v>23.879799999999999</v>
      </c>
      <c r="K521" s="53">
        <f>CHOOSE(CONTROL!$C$42, 23.9072, 23.9072) * CHOOSE(CONTROL!$C$21, $C$9, 100%, $E$9)</f>
        <v>23.9072</v>
      </c>
      <c r="L521" s="10">
        <f>CHOOSE(CONTROL!$C$42, 24.7285, 24.7285) * CHOOSE(CONTROL!$C$21, $C$9, 100%, $E$9)</f>
        <v>24.7285</v>
      </c>
      <c r="M521" s="10">
        <f>CHOOSE(CONTROL!$C$42, 23.6526, 23.6526) * CHOOSE(CONTROL!$C$21, $C$9, 100%, $E$9)</f>
        <v>23.6526</v>
      </c>
      <c r="N521" s="10">
        <f>CHOOSE(CONTROL!$C$42, 23.6675, 23.6675) * CHOOSE(CONTROL!$C$21, $C$9, 100%, $E$9)</f>
        <v>23.6675</v>
      </c>
      <c r="O521" s="10">
        <f>CHOOSE(CONTROL!$C$42, 23.9117, 23.9117) * CHOOSE(CONTROL!$C$21, $C$9, 100%, $E$9)</f>
        <v>23.9117</v>
      </c>
      <c r="P521" s="10">
        <f>CHOOSE(CONTROL!$C$42, 23.6837, 23.6837) * CHOOSE(CONTROL!$C$21, $C$9, 100%, $E$9)</f>
        <v>23.683700000000002</v>
      </c>
      <c r="Q521" s="10">
        <f>CHOOSE(CONTROL!$C$42, 24.507, 24.507) * CHOOSE(CONTROL!$C$21, $C$9, 100%, $E$9)</f>
        <v>24.507000000000001</v>
      </c>
      <c r="R521" s="10">
        <f>CHOOSE(CONTROL!$C$42, 25.1553, 25.1553) * CHOOSE(CONTROL!$C$21, $C$9, 100%, $E$9)</f>
        <v>25.1553</v>
      </c>
      <c r="S521" s="10">
        <f>CHOOSE(CONTROL!$C$42, 23.2158, 23.2158) * CHOOSE(CONTROL!$C$21, $C$9, 100%, $E$9)</f>
        <v>23.215800000000002</v>
      </c>
      <c r="T5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57">
        <f>(1000*CHOOSE(CONTROL!$C$42, 695, 695)*CHOOSE(CONTROL!$C$42, 0.5599, 0.5599)*CHOOSE(CONTROL!$C$42, 31, 31))/1000000</f>
        <v>12.063045499999998</v>
      </c>
      <c r="V521" s="57">
        <f>(1000*CHOOSE(CONTROL!$C$42, 500, 500)*CHOOSE(CONTROL!$C$42, 0.275, 0.275)*CHOOSE(CONTROL!$C$42, 31, 31))/1000000</f>
        <v>4.2625000000000002</v>
      </c>
      <c r="W521" s="57">
        <f>(1000*CHOOSE(CONTROL!$C$42, 0.1146, 0.1146)*CHOOSE(CONTROL!$C$42, 121.5, 121.5)*CHOOSE(CONTROL!$C$42, 31, 31))/1000000</f>
        <v>0.43164089999999994</v>
      </c>
      <c r="X521" s="57">
        <f>(31*0.1790888*245000/1000000)+(31*0.2374*100000/1000000)</f>
        <v>2.0961194359999999</v>
      </c>
      <c r="Y521" s="57"/>
      <c r="Z521" s="10"/>
      <c r="AA521" s="56"/>
      <c r="AB521" s="50">
        <f>(B521*194.205+C521*267.466+D521*133.845+E521*53.484+F521*40+G521*185+H521*0+I521*100+J521*300)/(194.205+267.466+133.845+53.484+0+40+185+100+300)</f>
        <v>23.93555107503925</v>
      </c>
      <c r="AC521" s="45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23.733202158273379</v>
      </c>
    </row>
    <row r="522" spans="1:29" ht="15.75" x14ac:dyDescent="0.25">
      <c r="A522" s="13">
        <v>56795</v>
      </c>
      <c r="B522" s="10">
        <f>CHOOSE(CONTROL!$C$42, 24.5892, 24.5892) * CHOOSE(CONTROL!$C$21, $C$9, 100%, $E$9)</f>
        <v>24.589200000000002</v>
      </c>
      <c r="C522" s="10">
        <f>CHOOSE(CONTROL!$C$42, 24.5971, 24.5971) * CHOOSE(CONTROL!$C$21, $C$9, 100%, $E$9)</f>
        <v>24.597100000000001</v>
      </c>
      <c r="D522" s="10">
        <f>CHOOSE(CONTROL!$C$42, 24.7998, 24.7998) * CHOOSE(CONTROL!$C$21, $C$9, 100%, $E$9)</f>
        <v>24.799800000000001</v>
      </c>
      <c r="E522" s="10">
        <f>CHOOSE(CONTROL!$C$42, 24.831, 24.831) * CHOOSE(CONTROL!$C$21, $C$9, 100%, $E$9)</f>
        <v>24.831</v>
      </c>
      <c r="F522" s="10">
        <f>CHOOSE(CONTROL!$C$42, 24.5654, 24.5654)*CHOOSE(CONTROL!$C$21, $C$9, 100%, $E$9)</f>
        <v>24.5654</v>
      </c>
      <c r="G522" s="10">
        <f>CHOOSE(CONTROL!$C$42, 24.5806, 24.5806)*CHOOSE(CONTROL!$C$21, $C$9, 100%, $E$9)</f>
        <v>24.5806</v>
      </c>
      <c r="H522" s="10">
        <f>CHOOSE(CONTROL!$C$42, 24.8196, 24.8196) * CHOOSE(CONTROL!$C$21, $C$9, 100%, $E$9)</f>
        <v>24.819600000000001</v>
      </c>
      <c r="I522" s="10">
        <f>CHOOSE(CONTROL!$C$42, 24.5892, 24.5892)* CHOOSE(CONTROL!$C$21, $C$9, 100%, $E$9)</f>
        <v>24.589200000000002</v>
      </c>
      <c r="J522" s="10">
        <f>CHOOSE(CONTROL!$C$42, 24.5584, 24.5584)* CHOOSE(CONTROL!$C$21, $C$9, 100%, $E$9)</f>
        <v>24.558399999999999</v>
      </c>
      <c r="K522" s="53">
        <f>CHOOSE(CONTROL!$C$42, 24.5853, 24.5853) * CHOOSE(CONTROL!$C$21, $C$9, 100%, $E$9)</f>
        <v>24.5853</v>
      </c>
      <c r="L522" s="10">
        <f>CHOOSE(CONTROL!$C$42, 25.4066, 25.4066) * CHOOSE(CONTROL!$C$21, $C$9, 100%, $E$9)</f>
        <v>25.406600000000001</v>
      </c>
      <c r="M522" s="10">
        <f>CHOOSE(CONTROL!$C$42, 24.3244, 24.3244) * CHOOSE(CONTROL!$C$21, $C$9, 100%, $E$9)</f>
        <v>24.324400000000001</v>
      </c>
      <c r="N522" s="10">
        <f>CHOOSE(CONTROL!$C$42, 24.3394, 24.3394) * CHOOSE(CONTROL!$C$21, $C$9, 100%, $E$9)</f>
        <v>24.339400000000001</v>
      </c>
      <c r="O522" s="10">
        <f>CHOOSE(CONTROL!$C$42, 24.583, 24.583) * CHOOSE(CONTROL!$C$21, $C$9, 100%, $E$9)</f>
        <v>24.582999999999998</v>
      </c>
      <c r="P522" s="10">
        <f>CHOOSE(CONTROL!$C$42, 24.355, 24.355) * CHOOSE(CONTROL!$C$21, $C$9, 100%, $E$9)</f>
        <v>24.355</v>
      </c>
      <c r="Q522" s="10">
        <f>CHOOSE(CONTROL!$C$42, 25.1783, 25.1783) * CHOOSE(CONTROL!$C$21, $C$9, 100%, $E$9)</f>
        <v>25.1783</v>
      </c>
      <c r="R522" s="10">
        <f>CHOOSE(CONTROL!$C$42, 25.8282, 25.8282) * CHOOSE(CONTROL!$C$21, $C$9, 100%, $E$9)</f>
        <v>25.828199999999999</v>
      </c>
      <c r="S522" s="10">
        <f>CHOOSE(CONTROL!$C$42, 23.8743, 23.8743) * CHOOSE(CONTROL!$C$21, $C$9, 100%, $E$9)</f>
        <v>23.874300000000002</v>
      </c>
      <c r="T5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57">
        <f>(1000*CHOOSE(CONTROL!$C$42, 695, 695)*CHOOSE(CONTROL!$C$42, 0.5599, 0.5599)*CHOOSE(CONTROL!$C$42, 30, 30))/1000000</f>
        <v>11.673914999999997</v>
      </c>
      <c r="V522" s="57">
        <f>(1000*CHOOSE(CONTROL!$C$42, 500, 500)*CHOOSE(CONTROL!$C$42, 0.275, 0.275)*CHOOSE(CONTROL!$C$42, 30, 30))/1000000</f>
        <v>4.125</v>
      </c>
      <c r="W522" s="57">
        <f>(1000*CHOOSE(CONTROL!$C$42, 0.1146, 0.1146)*CHOOSE(CONTROL!$C$42, 121.5, 121.5)*CHOOSE(CONTROL!$C$42, 30, 30))/1000000</f>
        <v>0.417717</v>
      </c>
      <c r="X522" s="57">
        <f>(30*0.1790888*245000/1000000)+(30*0.2374*100000/1000000)</f>
        <v>2.0285026799999999</v>
      </c>
      <c r="Y522" s="57"/>
      <c r="Z522" s="10"/>
      <c r="AA522" s="56"/>
      <c r="AB522" s="50">
        <f>(B522*194.205+C522*267.466+D522*133.845+E522*53.484+F522*40+G522*185+H522*0+I522*100+J522*300)/(194.205+267.466+133.845+53.484+0+40+185+100+300)</f>
        <v>24.613886161381473</v>
      </c>
      <c r="AC522" s="45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24.404812949640288</v>
      </c>
    </row>
    <row r="523" spans="1:29" ht="15.75" x14ac:dyDescent="0.25">
      <c r="A523" s="13">
        <v>56826</v>
      </c>
      <c r="B523" s="10">
        <f>CHOOSE(CONTROL!$C$42, 24.1176, 24.1176) * CHOOSE(CONTROL!$C$21, $C$9, 100%, $E$9)</f>
        <v>24.117599999999999</v>
      </c>
      <c r="C523" s="10">
        <f>CHOOSE(CONTROL!$C$42, 24.1255, 24.1255) * CHOOSE(CONTROL!$C$21, $C$9, 100%, $E$9)</f>
        <v>24.125499999999999</v>
      </c>
      <c r="D523" s="10">
        <f>CHOOSE(CONTROL!$C$42, 24.3282, 24.3282) * CHOOSE(CONTROL!$C$21, $C$9, 100%, $E$9)</f>
        <v>24.328199999999999</v>
      </c>
      <c r="E523" s="10">
        <f>CHOOSE(CONTROL!$C$42, 24.3593, 24.3593) * CHOOSE(CONTROL!$C$21, $C$9, 100%, $E$9)</f>
        <v>24.359300000000001</v>
      </c>
      <c r="F523" s="10">
        <f>CHOOSE(CONTROL!$C$42, 24.0943, 24.0943)*CHOOSE(CONTROL!$C$21, $C$9, 100%, $E$9)</f>
        <v>24.0943</v>
      </c>
      <c r="G523" s="10">
        <f>CHOOSE(CONTROL!$C$42, 24.1096, 24.1096)*CHOOSE(CONTROL!$C$21, $C$9, 100%, $E$9)</f>
        <v>24.1096</v>
      </c>
      <c r="H523" s="10">
        <f>CHOOSE(CONTROL!$C$42, 24.348, 24.348) * CHOOSE(CONTROL!$C$21, $C$9, 100%, $E$9)</f>
        <v>24.347999999999999</v>
      </c>
      <c r="I523" s="10">
        <f>CHOOSE(CONTROL!$C$42, 24.1176, 24.1176)* CHOOSE(CONTROL!$C$21, $C$9, 100%, $E$9)</f>
        <v>24.117599999999999</v>
      </c>
      <c r="J523" s="10">
        <f>CHOOSE(CONTROL!$C$42, 24.0873, 24.0873)* CHOOSE(CONTROL!$C$21, $C$9, 100%, $E$9)</f>
        <v>24.087299999999999</v>
      </c>
      <c r="K523" s="53">
        <f>CHOOSE(CONTROL!$C$42, 24.1137, 24.1137) * CHOOSE(CONTROL!$C$21, $C$9, 100%, $E$9)</f>
        <v>24.113700000000001</v>
      </c>
      <c r="L523" s="10">
        <f>CHOOSE(CONTROL!$C$42, 24.935, 24.935) * CHOOSE(CONTROL!$C$21, $C$9, 100%, $E$9)</f>
        <v>24.934999999999999</v>
      </c>
      <c r="M523" s="10">
        <f>CHOOSE(CONTROL!$C$42, 23.8581, 23.8581) * CHOOSE(CONTROL!$C$21, $C$9, 100%, $E$9)</f>
        <v>23.8581</v>
      </c>
      <c r="N523" s="10">
        <f>CHOOSE(CONTROL!$C$42, 23.8732, 23.8732) * CHOOSE(CONTROL!$C$21, $C$9, 100%, $E$9)</f>
        <v>23.873200000000001</v>
      </c>
      <c r="O523" s="10">
        <f>CHOOSE(CONTROL!$C$42, 24.1161, 24.1161) * CHOOSE(CONTROL!$C$21, $C$9, 100%, $E$9)</f>
        <v>24.116099999999999</v>
      </c>
      <c r="P523" s="10">
        <f>CHOOSE(CONTROL!$C$42, 23.8881, 23.8881) * CHOOSE(CONTROL!$C$21, $C$9, 100%, $E$9)</f>
        <v>23.888100000000001</v>
      </c>
      <c r="Q523" s="10">
        <f>CHOOSE(CONTROL!$C$42, 24.7114, 24.7114) * CHOOSE(CONTROL!$C$21, $C$9, 100%, $E$9)</f>
        <v>24.711400000000001</v>
      </c>
      <c r="R523" s="10">
        <f>CHOOSE(CONTROL!$C$42, 25.3602, 25.3602) * CHOOSE(CONTROL!$C$21, $C$9, 100%, $E$9)</f>
        <v>25.360199999999999</v>
      </c>
      <c r="S523" s="10">
        <f>CHOOSE(CONTROL!$C$42, 23.4163, 23.4163) * CHOOSE(CONTROL!$C$21, $C$9, 100%, $E$9)</f>
        <v>23.4163</v>
      </c>
      <c r="T5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57">
        <f>(1000*CHOOSE(CONTROL!$C$42, 695, 695)*CHOOSE(CONTROL!$C$42, 0.5599, 0.5599)*CHOOSE(CONTROL!$C$42, 31, 31))/1000000</f>
        <v>12.063045499999998</v>
      </c>
      <c r="V523" s="57">
        <f>(1000*CHOOSE(CONTROL!$C$42, 500, 500)*CHOOSE(CONTROL!$C$42, 0.275, 0.275)*CHOOSE(CONTROL!$C$42, 31, 31))/1000000</f>
        <v>4.2625000000000002</v>
      </c>
      <c r="W523" s="57">
        <f>(1000*CHOOSE(CONTROL!$C$42, 0.1146, 0.1146)*CHOOSE(CONTROL!$C$42, 121.5, 121.5)*CHOOSE(CONTROL!$C$42, 31, 31))/1000000</f>
        <v>0.43164089999999994</v>
      </c>
      <c r="X523" s="57">
        <f>(31*0.1790888*245000/1000000)+(31*0.2374*100000/1000000)</f>
        <v>2.0961194359999999</v>
      </c>
      <c r="Y523" s="57"/>
      <c r="Z523" s="10"/>
      <c r="AA523" s="56"/>
      <c r="AB523" s="50">
        <f>(B523*194.205+C523*267.466+D523*133.845+E523*53.484+F523*40+G523*185+H523*0+I523*100+J523*300)/(194.205+267.466+133.845+53.484+0+40+185+100+300)</f>
        <v>24.142502528414443</v>
      </c>
      <c r="AC523" s="45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23.938281294964032</v>
      </c>
    </row>
    <row r="524" spans="1:29" ht="15.75" x14ac:dyDescent="0.25">
      <c r="A524" s="13">
        <v>56857</v>
      </c>
      <c r="B524" s="10">
        <f>CHOOSE(CONTROL!$C$42, 22.9265, 22.9265) * CHOOSE(CONTROL!$C$21, $C$9, 100%, $E$9)</f>
        <v>22.926500000000001</v>
      </c>
      <c r="C524" s="10">
        <f>CHOOSE(CONTROL!$C$42, 22.9345, 22.9345) * CHOOSE(CONTROL!$C$21, $C$9, 100%, $E$9)</f>
        <v>22.9345</v>
      </c>
      <c r="D524" s="10">
        <f>CHOOSE(CONTROL!$C$42, 23.1372, 23.1372) * CHOOSE(CONTROL!$C$21, $C$9, 100%, $E$9)</f>
        <v>23.1372</v>
      </c>
      <c r="E524" s="10">
        <f>CHOOSE(CONTROL!$C$42, 23.1683, 23.1683) * CHOOSE(CONTROL!$C$21, $C$9, 100%, $E$9)</f>
        <v>23.168299999999999</v>
      </c>
      <c r="F524" s="10">
        <f>CHOOSE(CONTROL!$C$42, 22.9035, 22.9035)*CHOOSE(CONTROL!$C$21, $C$9, 100%, $E$9)</f>
        <v>22.903500000000001</v>
      </c>
      <c r="G524" s="10">
        <f>CHOOSE(CONTROL!$C$42, 22.9188, 22.9188)*CHOOSE(CONTROL!$C$21, $C$9, 100%, $E$9)</f>
        <v>22.918800000000001</v>
      </c>
      <c r="H524" s="10">
        <f>CHOOSE(CONTROL!$C$42, 23.157, 23.157) * CHOOSE(CONTROL!$C$21, $C$9, 100%, $E$9)</f>
        <v>23.157</v>
      </c>
      <c r="I524" s="10">
        <f>CHOOSE(CONTROL!$C$42, 22.9266, 22.9266)* CHOOSE(CONTROL!$C$21, $C$9, 100%, $E$9)</f>
        <v>22.926600000000001</v>
      </c>
      <c r="J524" s="10">
        <f>CHOOSE(CONTROL!$C$42, 22.8965, 22.8965)* CHOOSE(CONTROL!$C$21, $C$9, 100%, $E$9)</f>
        <v>22.8965</v>
      </c>
      <c r="K524" s="53">
        <f>CHOOSE(CONTROL!$C$42, 22.9227, 22.9227) * CHOOSE(CONTROL!$C$21, $C$9, 100%, $E$9)</f>
        <v>22.922699999999999</v>
      </c>
      <c r="L524" s="10">
        <f>CHOOSE(CONTROL!$C$42, 23.744, 23.744) * CHOOSE(CONTROL!$C$21, $C$9, 100%, $E$9)</f>
        <v>23.744</v>
      </c>
      <c r="M524" s="10">
        <f>CHOOSE(CONTROL!$C$42, 22.6792, 22.6792) * CHOOSE(CONTROL!$C$21, $C$9, 100%, $E$9)</f>
        <v>22.679200000000002</v>
      </c>
      <c r="N524" s="10">
        <f>CHOOSE(CONTROL!$C$42, 22.6944, 22.6944) * CHOOSE(CONTROL!$C$21, $C$9, 100%, $E$9)</f>
        <v>22.694400000000002</v>
      </c>
      <c r="O524" s="10">
        <f>CHOOSE(CONTROL!$C$42, 22.9371, 22.9371) * CHOOSE(CONTROL!$C$21, $C$9, 100%, $E$9)</f>
        <v>22.937100000000001</v>
      </c>
      <c r="P524" s="10">
        <f>CHOOSE(CONTROL!$C$42, 22.7091, 22.7091) * CHOOSE(CONTROL!$C$21, $C$9, 100%, $E$9)</f>
        <v>22.709099999999999</v>
      </c>
      <c r="Q524" s="10">
        <f>CHOOSE(CONTROL!$C$42, 23.5324, 23.5324) * CHOOSE(CONTROL!$C$21, $C$9, 100%, $E$9)</f>
        <v>23.532399999999999</v>
      </c>
      <c r="R524" s="10">
        <f>CHOOSE(CONTROL!$C$42, 24.1782, 24.1782) * CHOOSE(CONTROL!$C$21, $C$9, 100%, $E$9)</f>
        <v>24.1782</v>
      </c>
      <c r="S524" s="10">
        <f>CHOOSE(CONTROL!$C$42, 22.2597, 22.2597) * CHOOSE(CONTROL!$C$21, $C$9, 100%, $E$9)</f>
        <v>22.259699999999999</v>
      </c>
      <c r="T5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57">
        <f>(1000*CHOOSE(CONTROL!$C$42, 695, 695)*CHOOSE(CONTROL!$C$42, 0.5599, 0.5599)*CHOOSE(CONTROL!$C$42, 31, 31))/1000000</f>
        <v>12.063045499999998</v>
      </c>
      <c r="V524" s="57">
        <f>(1000*CHOOSE(CONTROL!$C$42, 500, 500)*CHOOSE(CONTROL!$C$42, 0.275, 0.275)*CHOOSE(CONTROL!$C$42, 31, 31))/1000000</f>
        <v>4.2625000000000002</v>
      </c>
      <c r="W524" s="57">
        <f>(1000*CHOOSE(CONTROL!$C$42, 0.1146, 0.1146)*CHOOSE(CONTROL!$C$42, 121.5, 121.5)*CHOOSE(CONTROL!$C$42, 31, 31))/1000000</f>
        <v>0.43164089999999994</v>
      </c>
      <c r="X524" s="57">
        <f>(31*0.1790888*245000/1000000)+(31*0.2374*100000/1000000)</f>
        <v>2.0961194359999999</v>
      </c>
      <c r="Y524" s="57"/>
      <c r="Z524" s="10"/>
      <c r="AA524" s="56"/>
      <c r="AB524" s="50">
        <f>(B524*194.205+C524*267.466+D524*133.845+E524*53.484+F524*40+G524*185+H524*0+I524*100+J524*300)/(194.205+267.466+133.845+53.484+0+40+185+100+300)</f>
        <v>22.951569702276299</v>
      </c>
      <c r="AC524" s="45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22.7593618705036</v>
      </c>
    </row>
    <row r="525" spans="1:29" ht="15.75" x14ac:dyDescent="0.25">
      <c r="A525" s="13">
        <v>56887</v>
      </c>
      <c r="B525" s="10">
        <f>CHOOSE(CONTROL!$C$42, 21.4709, 21.4709) * CHOOSE(CONTROL!$C$21, $C$9, 100%, $E$9)</f>
        <v>21.4709</v>
      </c>
      <c r="C525" s="10">
        <f>CHOOSE(CONTROL!$C$42, 21.4789, 21.4789) * CHOOSE(CONTROL!$C$21, $C$9, 100%, $E$9)</f>
        <v>21.478899999999999</v>
      </c>
      <c r="D525" s="10">
        <f>CHOOSE(CONTROL!$C$42, 21.6816, 21.6816) * CHOOSE(CONTROL!$C$21, $C$9, 100%, $E$9)</f>
        <v>21.6816</v>
      </c>
      <c r="E525" s="10">
        <f>CHOOSE(CONTROL!$C$42, 21.7127, 21.7127) * CHOOSE(CONTROL!$C$21, $C$9, 100%, $E$9)</f>
        <v>21.712700000000002</v>
      </c>
      <c r="F525" s="10">
        <f>CHOOSE(CONTROL!$C$42, 21.4477, 21.4477)*CHOOSE(CONTROL!$C$21, $C$9, 100%, $E$9)</f>
        <v>21.447700000000001</v>
      </c>
      <c r="G525" s="10">
        <f>CHOOSE(CONTROL!$C$42, 21.463, 21.463)*CHOOSE(CONTROL!$C$21, $C$9, 100%, $E$9)</f>
        <v>21.463000000000001</v>
      </c>
      <c r="H525" s="10">
        <f>CHOOSE(CONTROL!$C$42, 21.7014, 21.7014) * CHOOSE(CONTROL!$C$21, $C$9, 100%, $E$9)</f>
        <v>21.7014</v>
      </c>
      <c r="I525" s="10">
        <f>CHOOSE(CONTROL!$C$42, 21.471, 21.471)* CHOOSE(CONTROL!$C$21, $C$9, 100%, $E$9)</f>
        <v>21.471</v>
      </c>
      <c r="J525" s="10">
        <f>CHOOSE(CONTROL!$C$42, 21.4407, 21.4407)* CHOOSE(CONTROL!$C$21, $C$9, 100%, $E$9)</f>
        <v>21.4407</v>
      </c>
      <c r="K525" s="53">
        <f>CHOOSE(CONTROL!$C$42, 21.4671, 21.4671) * CHOOSE(CONTROL!$C$21, $C$9, 100%, $E$9)</f>
        <v>21.467099999999999</v>
      </c>
      <c r="L525" s="10">
        <f>CHOOSE(CONTROL!$C$42, 22.2884, 22.2884) * CHOOSE(CONTROL!$C$21, $C$9, 100%, $E$9)</f>
        <v>22.288399999999999</v>
      </c>
      <c r="M525" s="10">
        <f>CHOOSE(CONTROL!$C$42, 21.2382, 21.2382) * CHOOSE(CONTROL!$C$21, $C$9, 100%, $E$9)</f>
        <v>21.238199999999999</v>
      </c>
      <c r="N525" s="10">
        <f>CHOOSE(CONTROL!$C$42, 21.2533, 21.2533) * CHOOSE(CONTROL!$C$21, $C$9, 100%, $E$9)</f>
        <v>21.253299999999999</v>
      </c>
      <c r="O525" s="10">
        <f>CHOOSE(CONTROL!$C$42, 21.4962, 21.4962) * CHOOSE(CONTROL!$C$21, $C$9, 100%, $E$9)</f>
        <v>21.496200000000002</v>
      </c>
      <c r="P525" s="10">
        <f>CHOOSE(CONTROL!$C$42, 21.2682, 21.2682) * CHOOSE(CONTROL!$C$21, $C$9, 100%, $E$9)</f>
        <v>21.2682</v>
      </c>
      <c r="Q525" s="10">
        <f>CHOOSE(CONTROL!$C$42, 22.0915, 22.0915) * CHOOSE(CONTROL!$C$21, $C$9, 100%, $E$9)</f>
        <v>22.0915</v>
      </c>
      <c r="R525" s="10">
        <f>CHOOSE(CONTROL!$C$42, 22.7337, 22.7337) * CHOOSE(CONTROL!$C$21, $C$9, 100%, $E$9)</f>
        <v>22.733699999999999</v>
      </c>
      <c r="S525" s="10">
        <f>CHOOSE(CONTROL!$C$42, 20.8462, 20.8462) * CHOOSE(CONTROL!$C$21, $C$9, 100%, $E$9)</f>
        <v>20.8462</v>
      </c>
      <c r="T5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57">
        <f>(1000*CHOOSE(CONTROL!$C$42, 695, 695)*CHOOSE(CONTROL!$C$42, 0.5599, 0.5599)*CHOOSE(CONTROL!$C$42, 30, 30))/1000000</f>
        <v>11.673914999999997</v>
      </c>
      <c r="V525" s="57">
        <f>(1000*CHOOSE(CONTROL!$C$42, 500, 500)*CHOOSE(CONTROL!$C$42, 0.275, 0.275)*CHOOSE(CONTROL!$C$42, 30, 30))/1000000</f>
        <v>4.125</v>
      </c>
      <c r="W525" s="57">
        <f>(1000*CHOOSE(CONTROL!$C$42, 0.1146, 0.1146)*CHOOSE(CONTROL!$C$42, 121.5, 121.5)*CHOOSE(CONTROL!$C$42, 30, 30))/1000000</f>
        <v>0.417717</v>
      </c>
      <c r="X525" s="57">
        <f>(30*0.1790888*245000/1000000)+(30*0.2374*100000/1000000)</f>
        <v>2.0285026799999999</v>
      </c>
      <c r="Y525" s="57"/>
      <c r="Z525" s="10"/>
      <c r="AA525" s="56"/>
      <c r="AB525" s="50">
        <f>(B525*194.205+C525*267.466+D525*133.845+E525*53.484+F525*40+G525*185+H525*0+I525*100+J525*300)/(194.205+267.466+133.845+53.484+0+40+185+100+300)</f>
        <v>21.495887284693875</v>
      </c>
      <c r="AC525" s="45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21.318381294964027</v>
      </c>
    </row>
    <row r="526" spans="1:29" ht="15.75" x14ac:dyDescent="0.25">
      <c r="A526" s="13">
        <v>56918</v>
      </c>
      <c r="B526" s="10">
        <f>CHOOSE(CONTROL!$C$42, 21.0333, 21.0333) * CHOOSE(CONTROL!$C$21, $C$9, 100%, $E$9)</f>
        <v>21.033300000000001</v>
      </c>
      <c r="C526" s="10">
        <f>CHOOSE(CONTROL!$C$42, 21.0386, 21.0386) * CHOOSE(CONTROL!$C$21, $C$9, 100%, $E$9)</f>
        <v>21.038599999999999</v>
      </c>
      <c r="D526" s="10">
        <f>CHOOSE(CONTROL!$C$42, 21.2463, 21.2463) * CHOOSE(CONTROL!$C$21, $C$9, 100%, $E$9)</f>
        <v>21.246300000000002</v>
      </c>
      <c r="E526" s="10">
        <f>CHOOSE(CONTROL!$C$42, 21.2751, 21.2751) * CHOOSE(CONTROL!$C$21, $C$9, 100%, $E$9)</f>
        <v>21.275099999999998</v>
      </c>
      <c r="F526" s="10">
        <f>CHOOSE(CONTROL!$C$42, 21.0121, 21.0121)*CHOOSE(CONTROL!$C$21, $C$9, 100%, $E$9)</f>
        <v>21.0121</v>
      </c>
      <c r="G526" s="10">
        <f>CHOOSE(CONTROL!$C$42, 21.027, 21.027)*CHOOSE(CONTROL!$C$21, $C$9, 100%, $E$9)</f>
        <v>21.027000000000001</v>
      </c>
      <c r="H526" s="10">
        <f>CHOOSE(CONTROL!$C$42, 21.2655, 21.2655) * CHOOSE(CONTROL!$C$21, $C$9, 100%, $E$9)</f>
        <v>21.265499999999999</v>
      </c>
      <c r="I526" s="10">
        <f>CHOOSE(CONTROL!$C$42, 21.0351, 21.0351)* CHOOSE(CONTROL!$C$21, $C$9, 100%, $E$9)</f>
        <v>21.0351</v>
      </c>
      <c r="J526" s="10">
        <f>CHOOSE(CONTROL!$C$42, 21.0051, 21.0051)* CHOOSE(CONTROL!$C$21, $C$9, 100%, $E$9)</f>
        <v>21.005099999999999</v>
      </c>
      <c r="K526" s="53">
        <f>CHOOSE(CONTROL!$C$42, 21.0313, 21.0313) * CHOOSE(CONTROL!$C$21, $C$9, 100%, $E$9)</f>
        <v>21.031300000000002</v>
      </c>
      <c r="L526" s="10">
        <f>CHOOSE(CONTROL!$C$42, 21.8525, 21.8525) * CHOOSE(CONTROL!$C$21, $C$9, 100%, $E$9)</f>
        <v>21.852499999999999</v>
      </c>
      <c r="M526" s="10">
        <f>CHOOSE(CONTROL!$C$42, 20.8069, 20.8069) * CHOOSE(CONTROL!$C$21, $C$9, 100%, $E$9)</f>
        <v>20.806899999999999</v>
      </c>
      <c r="N526" s="10">
        <f>CHOOSE(CONTROL!$C$42, 20.8217, 20.8217) * CHOOSE(CONTROL!$C$21, $C$9, 100%, $E$9)</f>
        <v>20.8217</v>
      </c>
      <c r="O526" s="10">
        <f>CHOOSE(CONTROL!$C$42, 21.0647, 21.0647) * CHOOSE(CONTROL!$C$21, $C$9, 100%, $E$9)</f>
        <v>21.064699999999998</v>
      </c>
      <c r="P526" s="10">
        <f>CHOOSE(CONTROL!$C$42, 20.8367, 20.8367) * CHOOSE(CONTROL!$C$21, $C$9, 100%, $E$9)</f>
        <v>20.8367</v>
      </c>
      <c r="Q526" s="10">
        <f>CHOOSE(CONTROL!$C$42, 21.66, 21.66) * CHOOSE(CONTROL!$C$21, $C$9, 100%, $E$9)</f>
        <v>21.66</v>
      </c>
      <c r="R526" s="10">
        <f>CHOOSE(CONTROL!$C$42, 22.3012, 22.3012) * CHOOSE(CONTROL!$C$21, $C$9, 100%, $E$9)</f>
        <v>22.301200000000001</v>
      </c>
      <c r="S526" s="10">
        <f>CHOOSE(CONTROL!$C$42, 20.4229, 20.4229) * CHOOSE(CONTROL!$C$21, $C$9, 100%, $E$9)</f>
        <v>20.422899999999998</v>
      </c>
      <c r="T5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57">
        <f>(1000*CHOOSE(CONTROL!$C$42, 695, 695)*CHOOSE(CONTROL!$C$42, 0.5599, 0.5599)*CHOOSE(CONTROL!$C$42, 31, 31))/1000000</f>
        <v>12.063045499999998</v>
      </c>
      <c r="V526" s="57">
        <f>(1000*CHOOSE(CONTROL!$C$42, 500, 500)*CHOOSE(CONTROL!$C$42, 0.275, 0.275)*CHOOSE(CONTROL!$C$42, 31, 31))/1000000</f>
        <v>4.2625000000000002</v>
      </c>
      <c r="W526" s="57">
        <f>(1000*CHOOSE(CONTROL!$C$42, 0.1146, 0.1146)*CHOOSE(CONTROL!$C$42, 121.5, 121.5)*CHOOSE(CONTROL!$C$42, 31, 31))/1000000</f>
        <v>0.43164089999999994</v>
      </c>
      <c r="X526" s="57">
        <f>(31*0.1790888*245000/1000000)+(31*0.2374*100000/1000000)</f>
        <v>2.0961194359999999</v>
      </c>
      <c r="Y526" s="57"/>
      <c r="Z526" s="10"/>
      <c r="AA526" s="56"/>
      <c r="AB526" s="50">
        <f>(B526*131.881+C526*277.167+D526*79.08+E526*125.872+F526*40+G526*185+H526*0+I526*100+J526*300)/(131.881+277.167+79.08+125.872+0+40+185+100+300)</f>
        <v>21.064337429136401</v>
      </c>
      <c r="AC526" s="45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20.886927338129496</v>
      </c>
    </row>
    <row r="527" spans="1:29" ht="15.75" x14ac:dyDescent="0.25">
      <c r="A527" s="13">
        <v>56948</v>
      </c>
      <c r="B527" s="10">
        <f>CHOOSE(CONTROL!$C$42, 21.587, 21.587) * CHOOSE(CONTROL!$C$21, $C$9, 100%, $E$9)</f>
        <v>21.587</v>
      </c>
      <c r="C527" s="10">
        <f>CHOOSE(CONTROL!$C$42, 21.5919, 21.5919) * CHOOSE(CONTROL!$C$21, $C$9, 100%, $E$9)</f>
        <v>21.591899999999999</v>
      </c>
      <c r="D527" s="10">
        <f>CHOOSE(CONTROL!$C$42, 21.6524, 21.6524) * CHOOSE(CONTROL!$C$21, $C$9, 100%, $E$9)</f>
        <v>21.6524</v>
      </c>
      <c r="E527" s="10">
        <f>CHOOSE(CONTROL!$C$42, 21.6862, 21.6862) * CHOOSE(CONTROL!$C$21, $C$9, 100%, $E$9)</f>
        <v>21.686199999999999</v>
      </c>
      <c r="F527" s="10">
        <f>CHOOSE(CONTROL!$C$42, 21.5826, 21.5826)*CHOOSE(CONTROL!$C$21, $C$9, 100%, $E$9)</f>
        <v>21.582599999999999</v>
      </c>
      <c r="G527" s="10">
        <f>CHOOSE(CONTROL!$C$42, 21.5978, 21.5978)*CHOOSE(CONTROL!$C$21, $C$9, 100%, $E$9)</f>
        <v>21.597799999999999</v>
      </c>
      <c r="H527" s="10">
        <f>CHOOSE(CONTROL!$C$42, 21.6754, 21.6754) * CHOOSE(CONTROL!$C$21, $C$9, 100%, $E$9)</f>
        <v>21.6754</v>
      </c>
      <c r="I527" s="10">
        <f>CHOOSE(CONTROL!$C$42, 21.5995, 21.5995)* CHOOSE(CONTROL!$C$21, $C$9, 100%, $E$9)</f>
        <v>21.599499999999999</v>
      </c>
      <c r="J527" s="10">
        <f>CHOOSE(CONTROL!$C$42, 21.5756, 21.5756)* CHOOSE(CONTROL!$C$21, $C$9, 100%, $E$9)</f>
        <v>21.575600000000001</v>
      </c>
      <c r="K527" s="53">
        <f>CHOOSE(CONTROL!$C$42, 21.5956, 21.5956) * CHOOSE(CONTROL!$C$21, $C$9, 100%, $E$9)</f>
        <v>21.595600000000001</v>
      </c>
      <c r="L527" s="10">
        <f>CHOOSE(CONTROL!$C$42, 22.2624, 22.2624) * CHOOSE(CONTROL!$C$21, $C$9, 100%, $E$9)</f>
        <v>22.2624</v>
      </c>
      <c r="M527" s="10">
        <f>CHOOSE(CONTROL!$C$42, 21.3717, 21.3717) * CHOOSE(CONTROL!$C$21, $C$9, 100%, $E$9)</f>
        <v>21.371700000000001</v>
      </c>
      <c r="N527" s="10">
        <f>CHOOSE(CONTROL!$C$42, 21.3867, 21.3867) * CHOOSE(CONTROL!$C$21, $C$9, 100%, $E$9)</f>
        <v>21.386700000000001</v>
      </c>
      <c r="O527" s="10">
        <f>CHOOSE(CONTROL!$C$42, 21.4705, 21.4705) * CHOOSE(CONTROL!$C$21, $C$9, 100%, $E$9)</f>
        <v>21.470500000000001</v>
      </c>
      <c r="P527" s="10">
        <f>CHOOSE(CONTROL!$C$42, 21.3954, 21.3954) * CHOOSE(CONTROL!$C$21, $C$9, 100%, $E$9)</f>
        <v>21.395399999999999</v>
      </c>
      <c r="Q527" s="10">
        <f>CHOOSE(CONTROL!$C$42, 22.0658, 22.0658) * CHOOSE(CONTROL!$C$21, $C$9, 100%, $E$9)</f>
        <v>22.065799999999999</v>
      </c>
      <c r="R527" s="10">
        <f>CHOOSE(CONTROL!$C$42, 22.7079, 22.7079) * CHOOSE(CONTROL!$C$21, $C$9, 100%, $E$9)</f>
        <v>22.707899999999999</v>
      </c>
      <c r="S527" s="10">
        <f>CHOOSE(CONTROL!$C$42, 20.961, 20.961) * CHOOSE(CONTROL!$C$21, $C$9, 100%, $E$9)</f>
        <v>20.960999999999999</v>
      </c>
      <c r="T5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57">
        <f>(1000*CHOOSE(CONTROL!$C$42, 695, 695)*CHOOSE(CONTROL!$C$42, 0.5599, 0.5599)*CHOOSE(CONTROL!$C$42, 30, 30))/1000000</f>
        <v>11.673914999999997</v>
      </c>
      <c r="V527" s="57">
        <f>(1000*CHOOSE(CONTROL!$C$42, 500, 500)*CHOOSE(CONTROL!$C$42, 0.275, 0.275)*CHOOSE(CONTROL!$C$42, 30, 30))/1000000</f>
        <v>4.125</v>
      </c>
      <c r="W527" s="57">
        <f>(1000*CHOOSE(CONTROL!$C$42, 0.1146, 0.1146)*CHOOSE(CONTROL!$C$42, 121.5, 121.5)*CHOOSE(CONTROL!$C$42, 30, 30))/1000000</f>
        <v>0.417717</v>
      </c>
      <c r="X527" s="57">
        <f>(30*0.1790888*100000/1000000)+(30*0.2374*100000/1000000)</f>
        <v>1.2494664</v>
      </c>
      <c r="Y527" s="57"/>
      <c r="Z527" s="10"/>
      <c r="AA527" s="56"/>
      <c r="AB527" s="50">
        <f>(B527*122.58+C527*297.941+D527*89.177+E527*40.302+F527*40+G527*160+H527*0+I527*100+J527*300)/(122.58+297.941+89.177+40.302+0+40+160+100+300)</f>
        <v>21.59628003921739</v>
      </c>
      <c r="AC527" s="45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21.420753237410072</v>
      </c>
    </row>
    <row r="528" spans="1:29" ht="15.75" x14ac:dyDescent="0.25">
      <c r="A528" s="13">
        <v>56979</v>
      </c>
      <c r="B528" s="10">
        <f>CHOOSE(CONTROL!$C$42, 23.0585, 23.0585) * CHOOSE(CONTROL!$C$21, $C$9, 100%, $E$9)</f>
        <v>23.058499999999999</v>
      </c>
      <c r="C528" s="10">
        <f>CHOOSE(CONTROL!$C$42, 23.0635, 23.0635) * CHOOSE(CONTROL!$C$21, $C$9, 100%, $E$9)</f>
        <v>23.063500000000001</v>
      </c>
      <c r="D528" s="10">
        <f>CHOOSE(CONTROL!$C$42, 23.124, 23.124) * CHOOSE(CONTROL!$C$21, $C$9, 100%, $E$9)</f>
        <v>23.123999999999999</v>
      </c>
      <c r="E528" s="10">
        <f>CHOOSE(CONTROL!$C$42, 23.1578, 23.1578) * CHOOSE(CONTROL!$C$21, $C$9, 100%, $E$9)</f>
        <v>23.157800000000002</v>
      </c>
      <c r="F528" s="10">
        <f>CHOOSE(CONTROL!$C$42, 23.056, 23.056)*CHOOSE(CONTROL!$C$21, $C$9, 100%, $E$9)</f>
        <v>23.056000000000001</v>
      </c>
      <c r="G528" s="10">
        <f>CHOOSE(CONTROL!$C$42, 23.0717, 23.0717)*CHOOSE(CONTROL!$C$21, $C$9, 100%, $E$9)</f>
        <v>23.0717</v>
      </c>
      <c r="H528" s="10">
        <f>CHOOSE(CONTROL!$C$42, 23.147, 23.147) * CHOOSE(CONTROL!$C$21, $C$9, 100%, $E$9)</f>
        <v>23.146999999999998</v>
      </c>
      <c r="I528" s="10">
        <f>CHOOSE(CONTROL!$C$42, 23.0711, 23.0711)* CHOOSE(CONTROL!$C$21, $C$9, 100%, $E$9)</f>
        <v>23.071100000000001</v>
      </c>
      <c r="J528" s="10">
        <f>CHOOSE(CONTROL!$C$42, 23.049, 23.049)* CHOOSE(CONTROL!$C$21, $C$9, 100%, $E$9)</f>
        <v>23.048999999999999</v>
      </c>
      <c r="K528" s="53">
        <f>CHOOSE(CONTROL!$C$42, 23.0672, 23.0672) * CHOOSE(CONTROL!$C$21, $C$9, 100%, $E$9)</f>
        <v>23.0672</v>
      </c>
      <c r="L528" s="10">
        <f>CHOOSE(CONTROL!$C$42, 23.734, 23.734) * CHOOSE(CONTROL!$C$21, $C$9, 100%, $E$9)</f>
        <v>23.734000000000002</v>
      </c>
      <c r="M528" s="10">
        <f>CHOOSE(CONTROL!$C$42, 22.8302, 22.8302) * CHOOSE(CONTROL!$C$21, $C$9, 100%, $E$9)</f>
        <v>22.830200000000001</v>
      </c>
      <c r="N528" s="10">
        <f>CHOOSE(CONTROL!$C$42, 22.8458, 22.8458) * CHOOSE(CONTROL!$C$21, $C$9, 100%, $E$9)</f>
        <v>22.845800000000001</v>
      </c>
      <c r="O528" s="10">
        <f>CHOOSE(CONTROL!$C$42, 22.9272, 22.9272) * CHOOSE(CONTROL!$C$21, $C$9, 100%, $E$9)</f>
        <v>22.927199999999999</v>
      </c>
      <c r="P528" s="10">
        <f>CHOOSE(CONTROL!$C$42, 22.8521, 22.8521) * CHOOSE(CONTROL!$C$21, $C$9, 100%, $E$9)</f>
        <v>22.8521</v>
      </c>
      <c r="Q528" s="10">
        <f>CHOOSE(CONTROL!$C$42, 23.5225, 23.5225) * CHOOSE(CONTROL!$C$21, $C$9, 100%, $E$9)</f>
        <v>23.522500000000001</v>
      </c>
      <c r="R528" s="10">
        <f>CHOOSE(CONTROL!$C$42, 24.1683, 24.1683) * CHOOSE(CONTROL!$C$21, $C$9, 100%, $E$9)</f>
        <v>24.168299999999999</v>
      </c>
      <c r="S528" s="10">
        <f>CHOOSE(CONTROL!$C$42, 22.39, 22.39) * CHOOSE(CONTROL!$C$21, $C$9, 100%, $E$9)</f>
        <v>22.39</v>
      </c>
      <c r="T5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57">
        <f>(1000*CHOOSE(CONTROL!$C$42, 695, 695)*CHOOSE(CONTROL!$C$42, 0.5599, 0.5599)*CHOOSE(CONTROL!$C$42, 31, 31))/1000000</f>
        <v>12.063045499999998</v>
      </c>
      <c r="V528" s="57">
        <f>(1000*CHOOSE(CONTROL!$C$42, 500, 500)*CHOOSE(CONTROL!$C$42, 0.275, 0.275)*CHOOSE(CONTROL!$C$42, 31, 31))/1000000</f>
        <v>4.2625000000000002</v>
      </c>
      <c r="W528" s="57">
        <f>(1000*CHOOSE(CONTROL!$C$42, 0.1146, 0.1146)*CHOOSE(CONTROL!$C$42, 121.5, 121.5)*CHOOSE(CONTROL!$C$42, 31, 31))/1000000</f>
        <v>0.43164089999999994</v>
      </c>
      <c r="X528" s="57">
        <f>(31*0.1790888*100000/1000000)+(31*0.2374*100000/1000000)</f>
        <v>1.2911152800000001</v>
      </c>
      <c r="Y528" s="57"/>
      <c r="Z528" s="10"/>
      <c r="AA528" s="56"/>
      <c r="AB528" s="50">
        <f>(B528*122.58+C528*297.941+D528*89.177+E528*40.302+F528*40+G528*160+H528*0+I528*100+J528*300)/(122.58+297.941+89.177+40.302+0+40+160+100+300)</f>
        <v>23.068721553999996</v>
      </c>
      <c r="AC528" s="45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22.87821294964029</v>
      </c>
    </row>
    <row r="529" spans="1:29" ht="15.75" x14ac:dyDescent="0.25">
      <c r="A529" s="13">
        <v>57010</v>
      </c>
      <c r="B529" s="10">
        <f>CHOOSE(CONTROL!$C$42, 24.9476, 24.9476) * CHOOSE(CONTROL!$C$21, $C$9, 100%, $E$9)</f>
        <v>24.947600000000001</v>
      </c>
      <c r="C529" s="10">
        <f>CHOOSE(CONTROL!$C$42, 24.9526, 24.9526) * CHOOSE(CONTROL!$C$21, $C$9, 100%, $E$9)</f>
        <v>24.9526</v>
      </c>
      <c r="D529" s="10">
        <f>CHOOSE(CONTROL!$C$42, 25.0097, 25.0097) * CHOOSE(CONTROL!$C$21, $C$9, 100%, $E$9)</f>
        <v>25.009699999999999</v>
      </c>
      <c r="E529" s="10">
        <f>CHOOSE(CONTROL!$C$42, 25.0434, 25.0434) * CHOOSE(CONTROL!$C$21, $C$9, 100%, $E$9)</f>
        <v>25.043399999999998</v>
      </c>
      <c r="F529" s="10">
        <f>CHOOSE(CONTROL!$C$42, 24.9455, 24.9455)*CHOOSE(CONTROL!$C$21, $C$9, 100%, $E$9)</f>
        <v>24.945499999999999</v>
      </c>
      <c r="G529" s="10">
        <f>CHOOSE(CONTROL!$C$42, 24.9601, 24.9601)*CHOOSE(CONTROL!$C$21, $C$9, 100%, $E$9)</f>
        <v>24.960100000000001</v>
      </c>
      <c r="H529" s="10">
        <f>CHOOSE(CONTROL!$C$42, 25.0326, 25.0326) * CHOOSE(CONTROL!$C$21, $C$9, 100%, $E$9)</f>
        <v>25.032599999999999</v>
      </c>
      <c r="I529" s="10">
        <f>CHOOSE(CONTROL!$C$42, 24.9584, 24.9584)* CHOOSE(CONTROL!$C$21, $C$9, 100%, $E$9)</f>
        <v>24.958400000000001</v>
      </c>
      <c r="J529" s="10">
        <f>CHOOSE(CONTROL!$C$42, 24.9385, 24.9385)* CHOOSE(CONTROL!$C$21, $C$9, 100%, $E$9)</f>
        <v>24.938500000000001</v>
      </c>
      <c r="K529" s="53">
        <f>CHOOSE(CONTROL!$C$42, 24.9545, 24.9545) * CHOOSE(CONTROL!$C$21, $C$9, 100%, $E$9)</f>
        <v>24.954499999999999</v>
      </c>
      <c r="L529" s="10">
        <f>CHOOSE(CONTROL!$C$42, 25.6196, 25.6196) * CHOOSE(CONTROL!$C$21, $C$9, 100%, $E$9)</f>
        <v>25.619599999999998</v>
      </c>
      <c r="M529" s="10">
        <f>CHOOSE(CONTROL!$C$42, 24.7006, 24.7006) * CHOOSE(CONTROL!$C$21, $C$9, 100%, $E$9)</f>
        <v>24.700600000000001</v>
      </c>
      <c r="N529" s="10">
        <f>CHOOSE(CONTROL!$C$42, 24.7151, 24.7151) * CHOOSE(CONTROL!$C$21, $C$9, 100%, $E$9)</f>
        <v>24.7151</v>
      </c>
      <c r="O529" s="10">
        <f>CHOOSE(CONTROL!$C$42, 24.7938, 24.7938) * CHOOSE(CONTROL!$C$21, $C$9, 100%, $E$9)</f>
        <v>24.793800000000001</v>
      </c>
      <c r="P529" s="10">
        <f>CHOOSE(CONTROL!$C$42, 24.7204, 24.7204) * CHOOSE(CONTROL!$C$21, $C$9, 100%, $E$9)</f>
        <v>24.720400000000001</v>
      </c>
      <c r="Q529" s="10">
        <f>CHOOSE(CONTROL!$C$42, 25.3891, 25.3891) * CHOOSE(CONTROL!$C$21, $C$9, 100%, $E$9)</f>
        <v>25.389099999999999</v>
      </c>
      <c r="R529" s="10">
        <f>CHOOSE(CONTROL!$C$42, 26.0396, 26.0396) * CHOOSE(CONTROL!$C$21, $C$9, 100%, $E$9)</f>
        <v>26.0396</v>
      </c>
      <c r="S529" s="10">
        <f>CHOOSE(CONTROL!$C$42, 24.2245, 24.2245) * CHOOSE(CONTROL!$C$21, $C$9, 100%, $E$9)</f>
        <v>24.224499999999999</v>
      </c>
      <c r="T5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57">
        <f>(1000*CHOOSE(CONTROL!$C$42, 695, 695)*CHOOSE(CONTROL!$C$42, 0.5599, 0.5599)*CHOOSE(CONTROL!$C$42, 31, 31))/1000000</f>
        <v>12.063045499999998</v>
      </c>
      <c r="V529" s="57">
        <f>(1000*CHOOSE(CONTROL!$C$42, 500, 500)*CHOOSE(CONTROL!$C$42, 0.275, 0.275)*CHOOSE(CONTROL!$C$42, 31, 31))/1000000</f>
        <v>4.2625000000000002</v>
      </c>
      <c r="W529" s="57">
        <f>(1000*CHOOSE(CONTROL!$C$42, 0.1146, 0.1146)*CHOOSE(CONTROL!$C$42, 121.5, 121.5)*CHOOSE(CONTROL!$C$42, 31, 31))/1000000</f>
        <v>0.43164089999999994</v>
      </c>
      <c r="X529" s="57">
        <f>(31*0.1790888*100000/1000000)+(31*0.2374*100000/1000000)</f>
        <v>1.2911152800000001</v>
      </c>
      <c r="Y529" s="57"/>
      <c r="Z529" s="10"/>
      <c r="AA529" s="56"/>
      <c r="AB529" s="50">
        <f>(B529*122.58+C529*297.941+D529*89.177+E529*40.302+F529*40+G529*160+H529*0+I529*100+J529*300)/(122.58+297.941+89.177+40.302+0+40+160+100+300)</f>
        <v>24.957299589826086</v>
      </c>
      <c r="AC529" s="45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24.746525179856118</v>
      </c>
    </row>
    <row r="530" spans="1:29" ht="15.75" x14ac:dyDescent="0.25">
      <c r="A530" s="13">
        <v>57038</v>
      </c>
      <c r="B530" s="10">
        <f>CHOOSE(CONTROL!$C$42, 25.3917, 25.3917) * CHOOSE(CONTROL!$C$21, $C$9, 100%, $E$9)</f>
        <v>25.3917</v>
      </c>
      <c r="C530" s="10">
        <f>CHOOSE(CONTROL!$C$42, 25.3966, 25.3966) * CHOOSE(CONTROL!$C$21, $C$9, 100%, $E$9)</f>
        <v>25.396599999999999</v>
      </c>
      <c r="D530" s="10">
        <f>CHOOSE(CONTROL!$C$42, 25.4537, 25.4537) * CHOOSE(CONTROL!$C$21, $C$9, 100%, $E$9)</f>
        <v>25.453700000000001</v>
      </c>
      <c r="E530" s="10">
        <f>CHOOSE(CONTROL!$C$42, 25.4875, 25.4875) * CHOOSE(CONTROL!$C$21, $C$9, 100%, $E$9)</f>
        <v>25.487500000000001</v>
      </c>
      <c r="F530" s="10">
        <f>CHOOSE(CONTROL!$C$42, 25.3896, 25.3896)*CHOOSE(CONTROL!$C$21, $C$9, 100%, $E$9)</f>
        <v>25.389600000000002</v>
      </c>
      <c r="G530" s="10">
        <f>CHOOSE(CONTROL!$C$42, 25.4043, 25.4043)*CHOOSE(CONTROL!$C$21, $C$9, 100%, $E$9)</f>
        <v>25.404299999999999</v>
      </c>
      <c r="H530" s="10">
        <f>CHOOSE(CONTROL!$C$42, 25.4767, 25.4767) * CHOOSE(CONTROL!$C$21, $C$9, 100%, $E$9)</f>
        <v>25.476700000000001</v>
      </c>
      <c r="I530" s="10">
        <f>CHOOSE(CONTROL!$C$42, 25.4025, 25.4025)* CHOOSE(CONTROL!$C$21, $C$9, 100%, $E$9)</f>
        <v>25.4025</v>
      </c>
      <c r="J530" s="10">
        <f>CHOOSE(CONTROL!$C$42, 25.3826, 25.3826)* CHOOSE(CONTROL!$C$21, $C$9, 100%, $E$9)</f>
        <v>25.3826</v>
      </c>
      <c r="K530" s="53">
        <f>CHOOSE(CONTROL!$C$42, 25.3986, 25.3986) * CHOOSE(CONTROL!$C$21, $C$9, 100%, $E$9)</f>
        <v>25.398599999999998</v>
      </c>
      <c r="L530" s="10">
        <f>CHOOSE(CONTROL!$C$42, 26.0637, 26.0637) * CHOOSE(CONTROL!$C$21, $C$9, 100%, $E$9)</f>
        <v>26.063700000000001</v>
      </c>
      <c r="M530" s="10">
        <f>CHOOSE(CONTROL!$C$42, 25.1403, 25.1403) * CHOOSE(CONTROL!$C$21, $C$9, 100%, $E$9)</f>
        <v>25.1403</v>
      </c>
      <c r="N530" s="10">
        <f>CHOOSE(CONTROL!$C$42, 25.1548, 25.1548) * CHOOSE(CONTROL!$C$21, $C$9, 100%, $E$9)</f>
        <v>25.154800000000002</v>
      </c>
      <c r="O530" s="10">
        <f>CHOOSE(CONTROL!$C$42, 25.2334, 25.2334) * CHOOSE(CONTROL!$C$21, $C$9, 100%, $E$9)</f>
        <v>25.2334</v>
      </c>
      <c r="P530" s="10">
        <f>CHOOSE(CONTROL!$C$42, 25.16, 25.16) * CHOOSE(CONTROL!$C$21, $C$9, 100%, $E$9)</f>
        <v>25.16</v>
      </c>
      <c r="Q530" s="10">
        <f>CHOOSE(CONTROL!$C$42, 25.8287, 25.8287) * CHOOSE(CONTROL!$C$21, $C$9, 100%, $E$9)</f>
        <v>25.828700000000001</v>
      </c>
      <c r="R530" s="10">
        <f>CHOOSE(CONTROL!$C$42, 26.4803, 26.4803) * CHOOSE(CONTROL!$C$21, $C$9, 100%, $E$9)</f>
        <v>26.4803</v>
      </c>
      <c r="S530" s="10">
        <f>CHOOSE(CONTROL!$C$42, 24.6557, 24.6557) * CHOOSE(CONTROL!$C$21, $C$9, 100%, $E$9)</f>
        <v>24.6557</v>
      </c>
      <c r="T53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30" s="57">
        <f>(1000*CHOOSE(CONTROL!$C$42, 695, 695)*CHOOSE(CONTROL!$C$42, 0.5599, 0.5599)*CHOOSE(CONTROL!$C$42, 29, 29))/1000000</f>
        <v>11.284784499999999</v>
      </c>
      <c r="V530" s="57">
        <f>(1000*CHOOSE(CONTROL!$C$42, 500, 500)*CHOOSE(CONTROL!$C$42, 0.275, 0.275)*CHOOSE(CONTROL!$C$42, 29, 29))/1000000</f>
        <v>3.9874999999999998</v>
      </c>
      <c r="W530" s="57">
        <f>(1000*CHOOSE(CONTROL!$C$42, 0.1146, 0.1146)*CHOOSE(CONTROL!$C$42, 121.5, 121.5)*CHOOSE(CONTROL!$C$42, 29, 29))/1000000</f>
        <v>0.40379309999999996</v>
      </c>
      <c r="X530" s="57">
        <f>(29*0.1790888*100000/1000000)+(29*0.2374*100000/1000000)</f>
        <v>1.2078175199999999</v>
      </c>
      <c r="Y530" s="57"/>
      <c r="Z530" s="10"/>
      <c r="AA530" s="56"/>
      <c r="AB530" s="50">
        <f>(B530*122.58+C530*297.941+D530*89.177+E530*40.302+F530*40+G530*160+H530*0+I530*100+J530*300)/(122.58+297.941+89.177+40.302+0+40+160+100+300)</f>
        <v>25.401379840434782</v>
      </c>
      <c r="AC530" s="45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25.186165467625898</v>
      </c>
    </row>
    <row r="531" spans="1:29" ht="15.75" x14ac:dyDescent="0.25">
      <c r="A531" s="13">
        <v>57070</v>
      </c>
      <c r="B531" s="10">
        <f>CHOOSE(CONTROL!$C$42, 24.6709, 24.6709) * CHOOSE(CONTROL!$C$21, $C$9, 100%, $E$9)</f>
        <v>24.6709</v>
      </c>
      <c r="C531" s="10">
        <f>CHOOSE(CONTROL!$C$42, 24.6758, 24.6758) * CHOOSE(CONTROL!$C$21, $C$9, 100%, $E$9)</f>
        <v>24.675799999999999</v>
      </c>
      <c r="D531" s="10">
        <f>CHOOSE(CONTROL!$C$42, 24.7329, 24.7329) * CHOOSE(CONTROL!$C$21, $C$9, 100%, $E$9)</f>
        <v>24.732900000000001</v>
      </c>
      <c r="E531" s="10">
        <f>CHOOSE(CONTROL!$C$42, 24.7667, 24.7667) * CHOOSE(CONTROL!$C$21, $C$9, 100%, $E$9)</f>
        <v>24.7667</v>
      </c>
      <c r="F531" s="10">
        <f>CHOOSE(CONTROL!$C$42, 24.6687, 24.6687)*CHOOSE(CONTROL!$C$21, $C$9, 100%, $E$9)</f>
        <v>24.668700000000001</v>
      </c>
      <c r="G531" s="10">
        <f>CHOOSE(CONTROL!$C$42, 24.6833, 24.6833)*CHOOSE(CONTROL!$C$21, $C$9, 100%, $E$9)</f>
        <v>24.683299999999999</v>
      </c>
      <c r="H531" s="10">
        <f>CHOOSE(CONTROL!$C$42, 24.7559, 24.7559) * CHOOSE(CONTROL!$C$21, $C$9, 100%, $E$9)</f>
        <v>24.7559</v>
      </c>
      <c r="I531" s="10">
        <f>CHOOSE(CONTROL!$C$42, 24.6817, 24.6817)* CHOOSE(CONTROL!$C$21, $C$9, 100%, $E$9)</f>
        <v>24.681699999999999</v>
      </c>
      <c r="J531" s="10">
        <f>CHOOSE(CONTROL!$C$42, 24.6617, 24.6617)* CHOOSE(CONTROL!$C$21, $C$9, 100%, $E$9)</f>
        <v>24.6617</v>
      </c>
      <c r="K531" s="53">
        <f>CHOOSE(CONTROL!$C$42, 24.6778, 24.6778) * CHOOSE(CONTROL!$C$21, $C$9, 100%, $E$9)</f>
        <v>24.677800000000001</v>
      </c>
      <c r="L531" s="10">
        <f>CHOOSE(CONTROL!$C$42, 25.3429, 25.3429) * CHOOSE(CONTROL!$C$21, $C$9, 100%, $E$9)</f>
        <v>25.3429</v>
      </c>
      <c r="M531" s="10">
        <f>CHOOSE(CONTROL!$C$42, 24.4266, 24.4266) * CHOOSE(CONTROL!$C$21, $C$9, 100%, $E$9)</f>
        <v>24.426600000000001</v>
      </c>
      <c r="N531" s="10">
        <f>CHOOSE(CONTROL!$C$42, 24.4411, 24.4411) * CHOOSE(CONTROL!$C$21, $C$9, 100%, $E$9)</f>
        <v>24.441099999999999</v>
      </c>
      <c r="O531" s="10">
        <f>CHOOSE(CONTROL!$C$42, 24.5199, 24.5199) * CHOOSE(CONTROL!$C$21, $C$9, 100%, $E$9)</f>
        <v>24.5199</v>
      </c>
      <c r="P531" s="10">
        <f>CHOOSE(CONTROL!$C$42, 24.4465, 24.4465) * CHOOSE(CONTROL!$C$21, $C$9, 100%, $E$9)</f>
        <v>24.4465</v>
      </c>
      <c r="Q531" s="10">
        <f>CHOOSE(CONTROL!$C$42, 25.1152, 25.1152) * CHOOSE(CONTROL!$C$21, $C$9, 100%, $E$9)</f>
        <v>25.115200000000002</v>
      </c>
      <c r="R531" s="10">
        <f>CHOOSE(CONTROL!$C$42, 25.765, 25.765) * CHOOSE(CONTROL!$C$21, $C$9, 100%, $E$9)</f>
        <v>25.765000000000001</v>
      </c>
      <c r="S531" s="10">
        <f>CHOOSE(CONTROL!$C$42, 23.9558, 23.9558) * CHOOSE(CONTROL!$C$21, $C$9, 100%, $E$9)</f>
        <v>23.9558</v>
      </c>
      <c r="T5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57">
        <f>(1000*CHOOSE(CONTROL!$C$42, 695, 695)*CHOOSE(CONTROL!$C$42, 0.5599, 0.5599)*CHOOSE(CONTROL!$C$42, 31, 31))/1000000</f>
        <v>12.063045499999998</v>
      </c>
      <c r="V531" s="57">
        <f>(1000*CHOOSE(CONTROL!$C$42, 500, 500)*CHOOSE(CONTROL!$C$42, 0.275, 0.275)*CHOOSE(CONTROL!$C$42, 31, 31))/1000000</f>
        <v>4.2625000000000002</v>
      </c>
      <c r="W531" s="57">
        <f>(1000*CHOOSE(CONTROL!$C$42, 0.1146, 0.1146)*CHOOSE(CONTROL!$C$42, 121.5, 121.5)*CHOOSE(CONTROL!$C$42, 31, 31))/1000000</f>
        <v>0.43164089999999994</v>
      </c>
      <c r="X531" s="57">
        <f>(31*0.1790888*100000/1000000)+(31*0.2374*100000/1000000)</f>
        <v>1.2911152800000001</v>
      </c>
      <c r="Y531" s="57"/>
      <c r="Z531" s="10"/>
      <c r="AA531" s="56"/>
      <c r="AB531" s="50">
        <f>(B531*122.58+C531*297.941+D531*89.177+E531*40.302+F531*40+G531*160+H531*0+I531*100+J531*300)/(122.58+297.941+89.177+40.302+0+40+160+100+300)</f>
        <v>24.680522449130436</v>
      </c>
      <c r="AC531" s="45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24.472584892086335</v>
      </c>
    </row>
    <row r="532" spans="1:29" ht="15.75" x14ac:dyDescent="0.25">
      <c r="A532" s="13">
        <v>57100</v>
      </c>
      <c r="B532" s="10">
        <f>CHOOSE(CONTROL!$C$42, 24.5982, 24.5982) * CHOOSE(CONTROL!$C$21, $C$9, 100%, $E$9)</f>
        <v>24.598199999999999</v>
      </c>
      <c r="C532" s="10">
        <f>CHOOSE(CONTROL!$C$42, 24.6026, 24.6026) * CHOOSE(CONTROL!$C$21, $C$9, 100%, $E$9)</f>
        <v>24.602599999999999</v>
      </c>
      <c r="D532" s="10">
        <f>CHOOSE(CONTROL!$C$42, 24.8085, 24.8085) * CHOOSE(CONTROL!$C$21, $C$9, 100%, $E$9)</f>
        <v>24.808499999999999</v>
      </c>
      <c r="E532" s="10">
        <f>CHOOSE(CONTROL!$C$42, 24.8402, 24.8402) * CHOOSE(CONTROL!$C$21, $C$9, 100%, $E$9)</f>
        <v>24.840199999999999</v>
      </c>
      <c r="F532" s="10">
        <f>CHOOSE(CONTROL!$C$42, 24.575, 24.575)*CHOOSE(CONTROL!$C$21, $C$9, 100%, $E$9)</f>
        <v>24.574999999999999</v>
      </c>
      <c r="G532" s="10">
        <f>CHOOSE(CONTROL!$C$42, 24.5895, 24.5895)*CHOOSE(CONTROL!$C$21, $C$9, 100%, $E$9)</f>
        <v>24.589500000000001</v>
      </c>
      <c r="H532" s="10">
        <f>CHOOSE(CONTROL!$C$42, 24.83, 24.83) * CHOOSE(CONTROL!$C$21, $C$9, 100%, $E$9)</f>
        <v>24.83</v>
      </c>
      <c r="I532" s="10">
        <f>CHOOSE(CONTROL!$C$42, 24.5996, 24.5996)* CHOOSE(CONTROL!$C$21, $C$9, 100%, $E$9)</f>
        <v>24.599599999999999</v>
      </c>
      <c r="J532" s="10">
        <f>CHOOSE(CONTROL!$C$42, 24.568, 24.568)* CHOOSE(CONTROL!$C$21, $C$9, 100%, $E$9)</f>
        <v>24.568000000000001</v>
      </c>
      <c r="K532" s="53">
        <f>CHOOSE(CONTROL!$C$42, 24.5957, 24.5957) * CHOOSE(CONTROL!$C$21, $C$9, 100%, $E$9)</f>
        <v>24.595700000000001</v>
      </c>
      <c r="L532" s="10">
        <f>CHOOSE(CONTROL!$C$42, 25.417, 25.417) * CHOOSE(CONTROL!$C$21, $C$9, 100%, $E$9)</f>
        <v>25.417000000000002</v>
      </c>
      <c r="M532" s="10">
        <f>CHOOSE(CONTROL!$C$42, 24.3339, 24.3339) * CHOOSE(CONTROL!$C$21, $C$9, 100%, $E$9)</f>
        <v>24.3339</v>
      </c>
      <c r="N532" s="10">
        <f>CHOOSE(CONTROL!$C$42, 24.3482, 24.3482) * CHOOSE(CONTROL!$C$21, $C$9, 100%, $E$9)</f>
        <v>24.348199999999999</v>
      </c>
      <c r="O532" s="10">
        <f>CHOOSE(CONTROL!$C$42, 24.5933, 24.5933) * CHOOSE(CONTROL!$C$21, $C$9, 100%, $E$9)</f>
        <v>24.593299999999999</v>
      </c>
      <c r="P532" s="10">
        <f>CHOOSE(CONTROL!$C$42, 24.3652, 24.3652) * CHOOSE(CONTROL!$C$21, $C$9, 100%, $E$9)</f>
        <v>24.365200000000002</v>
      </c>
      <c r="Q532" s="10">
        <f>CHOOSE(CONTROL!$C$42, 25.1886, 25.1886) * CHOOSE(CONTROL!$C$21, $C$9, 100%, $E$9)</f>
        <v>25.188600000000001</v>
      </c>
      <c r="R532" s="10">
        <f>CHOOSE(CONTROL!$C$42, 25.8385, 25.8385) * CHOOSE(CONTROL!$C$21, $C$9, 100%, $E$9)</f>
        <v>25.8385</v>
      </c>
      <c r="S532" s="10">
        <f>CHOOSE(CONTROL!$C$42, 23.8844, 23.8844) * CHOOSE(CONTROL!$C$21, $C$9, 100%, $E$9)</f>
        <v>23.884399999999999</v>
      </c>
      <c r="T5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57">
        <f>(1000*CHOOSE(CONTROL!$C$42, 695, 695)*CHOOSE(CONTROL!$C$42, 0.5599, 0.5599)*CHOOSE(CONTROL!$C$42, 30, 30))/1000000</f>
        <v>11.673914999999997</v>
      </c>
      <c r="V532" s="57">
        <f>(1000*CHOOSE(CONTROL!$C$42, 500, 500)*CHOOSE(CONTROL!$C$42, 0.275, 0.275)*CHOOSE(CONTROL!$C$42, 30, 30))/1000000</f>
        <v>4.125</v>
      </c>
      <c r="W532" s="57">
        <f>(1000*CHOOSE(CONTROL!$C$42, 0.1146, 0.1146)*CHOOSE(CONTROL!$C$42, 121.5, 121.5)*CHOOSE(CONTROL!$C$42, 30, 30))/1000000</f>
        <v>0.417717</v>
      </c>
      <c r="X532" s="57">
        <f>(30*0.1790888*245000/1000000)+(30*0.2374*100000/1000000)</f>
        <v>2.0285026799999999</v>
      </c>
      <c r="Y532" s="57"/>
      <c r="Z532" s="10"/>
      <c r="AA532" s="56"/>
      <c r="AB532" s="50">
        <f>(B532*141.293+C532*267.993+D532*115.016+E532*89.698+F532*40+G532*185+H532*0+I532*100+J532*300)/(141.293+267.993+115.016+89.698+0+40+185+100+300)</f>
        <v>24.626946125907992</v>
      </c>
      <c r="AC532" s="45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24.414476978417266</v>
      </c>
    </row>
    <row r="533" spans="1:29" ht="15.75" x14ac:dyDescent="0.25">
      <c r="A533" s="13">
        <v>57131</v>
      </c>
      <c r="B533" s="10">
        <f>CHOOSE(CONTROL!$C$42, 24.8167, 24.8167) * CHOOSE(CONTROL!$C$21, $C$9, 100%, $E$9)</f>
        <v>24.816700000000001</v>
      </c>
      <c r="C533" s="10">
        <f>CHOOSE(CONTROL!$C$42, 24.8246, 24.8246) * CHOOSE(CONTROL!$C$21, $C$9, 100%, $E$9)</f>
        <v>24.8246</v>
      </c>
      <c r="D533" s="10">
        <f>CHOOSE(CONTROL!$C$42, 25.0273, 25.0273) * CHOOSE(CONTROL!$C$21, $C$9, 100%, $E$9)</f>
        <v>25.0273</v>
      </c>
      <c r="E533" s="10">
        <f>CHOOSE(CONTROL!$C$42, 25.0585, 25.0585) * CHOOSE(CONTROL!$C$21, $C$9, 100%, $E$9)</f>
        <v>25.058499999999999</v>
      </c>
      <c r="F533" s="10">
        <f>CHOOSE(CONTROL!$C$42, 24.7924, 24.7924)*CHOOSE(CONTROL!$C$21, $C$9, 100%, $E$9)</f>
        <v>24.792400000000001</v>
      </c>
      <c r="G533" s="10">
        <f>CHOOSE(CONTROL!$C$42, 24.8074, 24.8074)*CHOOSE(CONTROL!$C$21, $C$9, 100%, $E$9)</f>
        <v>24.807400000000001</v>
      </c>
      <c r="H533" s="10">
        <f>CHOOSE(CONTROL!$C$42, 25.0471, 25.0471) * CHOOSE(CONTROL!$C$21, $C$9, 100%, $E$9)</f>
        <v>25.0471</v>
      </c>
      <c r="I533" s="10">
        <f>CHOOSE(CONTROL!$C$42, 24.8167, 24.8167)* CHOOSE(CONTROL!$C$21, $C$9, 100%, $E$9)</f>
        <v>24.816700000000001</v>
      </c>
      <c r="J533" s="10">
        <f>CHOOSE(CONTROL!$C$42, 24.7854, 24.7854)* CHOOSE(CONTROL!$C$21, $C$9, 100%, $E$9)</f>
        <v>24.785399999999999</v>
      </c>
      <c r="K533" s="53">
        <f>CHOOSE(CONTROL!$C$42, 24.8128, 24.8128) * CHOOSE(CONTROL!$C$21, $C$9, 100%, $E$9)</f>
        <v>24.812799999999999</v>
      </c>
      <c r="L533" s="10">
        <f>CHOOSE(CONTROL!$C$42, 25.6341, 25.6341) * CHOOSE(CONTROL!$C$21, $C$9, 100%, $E$9)</f>
        <v>25.6341</v>
      </c>
      <c r="M533" s="10">
        <f>CHOOSE(CONTROL!$C$42, 24.5491, 24.5491) * CHOOSE(CONTROL!$C$21, $C$9, 100%, $E$9)</f>
        <v>24.549099999999999</v>
      </c>
      <c r="N533" s="10">
        <f>CHOOSE(CONTROL!$C$42, 24.5639, 24.5639) * CHOOSE(CONTROL!$C$21, $C$9, 100%, $E$9)</f>
        <v>24.5639</v>
      </c>
      <c r="O533" s="10">
        <f>CHOOSE(CONTROL!$C$42, 24.8081, 24.8081) * CHOOSE(CONTROL!$C$21, $C$9, 100%, $E$9)</f>
        <v>24.8081</v>
      </c>
      <c r="P533" s="10">
        <f>CHOOSE(CONTROL!$C$42, 24.5801, 24.5801) * CHOOSE(CONTROL!$C$21, $C$9, 100%, $E$9)</f>
        <v>24.580100000000002</v>
      </c>
      <c r="Q533" s="10">
        <f>CHOOSE(CONTROL!$C$42, 25.4034, 25.4034) * CHOOSE(CONTROL!$C$21, $C$9, 100%, $E$9)</f>
        <v>25.403400000000001</v>
      </c>
      <c r="R533" s="10">
        <f>CHOOSE(CONTROL!$C$42, 26.054, 26.054) * CHOOSE(CONTROL!$C$21, $C$9, 100%, $E$9)</f>
        <v>26.053999999999998</v>
      </c>
      <c r="S533" s="10">
        <f>CHOOSE(CONTROL!$C$42, 24.0952, 24.0952) * CHOOSE(CONTROL!$C$21, $C$9, 100%, $E$9)</f>
        <v>24.095199999999998</v>
      </c>
      <c r="T5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57">
        <f>(1000*CHOOSE(CONTROL!$C$42, 695, 695)*CHOOSE(CONTROL!$C$42, 0.5599, 0.5599)*CHOOSE(CONTROL!$C$42, 31, 31))/1000000</f>
        <v>12.063045499999998</v>
      </c>
      <c r="V533" s="57">
        <f>(1000*CHOOSE(CONTROL!$C$42, 500, 500)*CHOOSE(CONTROL!$C$42, 0.275, 0.275)*CHOOSE(CONTROL!$C$42, 31, 31))/1000000</f>
        <v>4.2625000000000002</v>
      </c>
      <c r="W533" s="57">
        <f>(1000*CHOOSE(CONTROL!$C$42, 0.1146, 0.1146)*CHOOSE(CONTROL!$C$42, 121.5, 121.5)*CHOOSE(CONTROL!$C$42, 31, 31))/1000000</f>
        <v>0.43164089999999994</v>
      </c>
      <c r="X533" s="57">
        <f>(31*0.1790888*245000/1000000)+(31*0.2374*100000/1000000)</f>
        <v>2.0961194359999999</v>
      </c>
      <c r="Y533" s="57"/>
      <c r="Z533" s="10"/>
      <c r="AA533" s="56"/>
      <c r="AB533" s="50">
        <f>(B533*194.205+C533*267.466+D533*133.845+E533*53.484+F533*40+G533*185+H533*0+I533*100+J533*300)/(194.205+267.466+133.845+53.484+0+40+185+100+300)</f>
        <v>24.841151075039242</v>
      </c>
      <c r="AC533" s="45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24.62963669064748</v>
      </c>
    </row>
    <row r="534" spans="1:29" ht="15.75" x14ac:dyDescent="0.25">
      <c r="A534" s="13">
        <v>57161</v>
      </c>
      <c r="B534" s="10">
        <f>CHOOSE(CONTROL!$C$42, 25.5205, 25.5205) * CHOOSE(CONTROL!$C$21, $C$9, 100%, $E$9)</f>
        <v>25.520499999999998</v>
      </c>
      <c r="C534" s="10">
        <f>CHOOSE(CONTROL!$C$42, 25.5284, 25.5284) * CHOOSE(CONTROL!$C$21, $C$9, 100%, $E$9)</f>
        <v>25.528400000000001</v>
      </c>
      <c r="D534" s="10">
        <f>CHOOSE(CONTROL!$C$42, 25.7311, 25.7311) * CHOOSE(CONTROL!$C$21, $C$9, 100%, $E$9)</f>
        <v>25.731100000000001</v>
      </c>
      <c r="E534" s="10">
        <f>CHOOSE(CONTROL!$C$42, 25.7623, 25.7623) * CHOOSE(CONTROL!$C$21, $C$9, 100%, $E$9)</f>
        <v>25.7623</v>
      </c>
      <c r="F534" s="10">
        <f>CHOOSE(CONTROL!$C$42, 25.4967, 25.4967)*CHOOSE(CONTROL!$C$21, $C$9, 100%, $E$9)</f>
        <v>25.496700000000001</v>
      </c>
      <c r="G534" s="10">
        <f>CHOOSE(CONTROL!$C$42, 25.5118, 25.5118)*CHOOSE(CONTROL!$C$21, $C$9, 100%, $E$9)</f>
        <v>25.511800000000001</v>
      </c>
      <c r="H534" s="10">
        <f>CHOOSE(CONTROL!$C$42, 25.7509, 25.7509) * CHOOSE(CONTROL!$C$21, $C$9, 100%, $E$9)</f>
        <v>25.750900000000001</v>
      </c>
      <c r="I534" s="10">
        <f>CHOOSE(CONTROL!$C$42, 25.5205, 25.5205)* CHOOSE(CONTROL!$C$21, $C$9, 100%, $E$9)</f>
        <v>25.520499999999998</v>
      </c>
      <c r="J534" s="10">
        <f>CHOOSE(CONTROL!$C$42, 25.4897, 25.4897)* CHOOSE(CONTROL!$C$21, $C$9, 100%, $E$9)</f>
        <v>25.489699999999999</v>
      </c>
      <c r="K534" s="53">
        <f>CHOOSE(CONTROL!$C$42, 25.5166, 25.5166) * CHOOSE(CONTROL!$C$21, $C$9, 100%, $E$9)</f>
        <v>25.5166</v>
      </c>
      <c r="L534" s="10">
        <f>CHOOSE(CONTROL!$C$42, 26.3379, 26.3379) * CHOOSE(CONTROL!$C$21, $C$9, 100%, $E$9)</f>
        <v>26.337900000000001</v>
      </c>
      <c r="M534" s="10">
        <f>CHOOSE(CONTROL!$C$42, 25.2463, 25.2463) * CHOOSE(CONTROL!$C$21, $C$9, 100%, $E$9)</f>
        <v>25.246300000000002</v>
      </c>
      <c r="N534" s="10">
        <f>CHOOSE(CONTROL!$C$42, 25.2613, 25.2613) * CHOOSE(CONTROL!$C$21, $C$9, 100%, $E$9)</f>
        <v>25.261299999999999</v>
      </c>
      <c r="O534" s="10">
        <f>CHOOSE(CONTROL!$C$42, 25.5048, 25.5048) * CHOOSE(CONTROL!$C$21, $C$9, 100%, $E$9)</f>
        <v>25.504799999999999</v>
      </c>
      <c r="P534" s="10">
        <f>CHOOSE(CONTROL!$C$42, 25.2768, 25.2768) * CHOOSE(CONTROL!$C$21, $C$9, 100%, $E$9)</f>
        <v>25.276800000000001</v>
      </c>
      <c r="Q534" s="10">
        <f>CHOOSE(CONTROL!$C$42, 26.1001, 26.1001) * CHOOSE(CONTROL!$C$21, $C$9, 100%, $E$9)</f>
        <v>26.100100000000001</v>
      </c>
      <c r="R534" s="10">
        <f>CHOOSE(CONTROL!$C$42, 26.7524, 26.7524) * CHOOSE(CONTROL!$C$21, $C$9, 100%, $E$9)</f>
        <v>26.752400000000002</v>
      </c>
      <c r="S534" s="10">
        <f>CHOOSE(CONTROL!$C$42, 24.7787, 24.7787) * CHOOSE(CONTROL!$C$21, $C$9, 100%, $E$9)</f>
        <v>24.778700000000001</v>
      </c>
      <c r="T5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57">
        <f>(1000*CHOOSE(CONTROL!$C$42, 695, 695)*CHOOSE(CONTROL!$C$42, 0.5599, 0.5599)*CHOOSE(CONTROL!$C$42, 30, 30))/1000000</f>
        <v>11.673914999999997</v>
      </c>
      <c r="V534" s="57">
        <f>(1000*CHOOSE(CONTROL!$C$42, 500, 500)*CHOOSE(CONTROL!$C$42, 0.275, 0.275)*CHOOSE(CONTROL!$C$42, 30, 30))/1000000</f>
        <v>4.125</v>
      </c>
      <c r="W534" s="57">
        <f>(1000*CHOOSE(CONTROL!$C$42, 0.1146, 0.1146)*CHOOSE(CONTROL!$C$42, 121.5, 121.5)*CHOOSE(CONTROL!$C$42, 30, 30))/1000000</f>
        <v>0.417717</v>
      </c>
      <c r="X534" s="57">
        <f>(30*0.1790888*245000/1000000)+(30*0.2374*100000/1000000)</f>
        <v>2.0285026799999999</v>
      </c>
      <c r="Y534" s="57"/>
      <c r="Z534" s="10"/>
      <c r="AA534" s="56"/>
      <c r="AB534" s="50">
        <f>(B534*194.205+C534*267.466+D534*133.845+E534*53.484+F534*40+G534*185+H534*0+I534*100+J534*300)/(194.205+267.466+133.845+53.484+0+40+185+100+300)</f>
        <v>25.545171640188382</v>
      </c>
      <c r="AC534" s="45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25.326670503597121</v>
      </c>
    </row>
    <row r="535" spans="1:29" ht="15.75" x14ac:dyDescent="0.25">
      <c r="A535" s="13">
        <v>57192</v>
      </c>
      <c r="B535" s="10">
        <f>CHOOSE(CONTROL!$C$42, 25.031, 25.031) * CHOOSE(CONTROL!$C$21, $C$9, 100%, $E$9)</f>
        <v>25.030999999999999</v>
      </c>
      <c r="C535" s="10">
        <f>CHOOSE(CONTROL!$C$42, 25.0389, 25.0389) * CHOOSE(CONTROL!$C$21, $C$9, 100%, $E$9)</f>
        <v>25.038900000000002</v>
      </c>
      <c r="D535" s="10">
        <f>CHOOSE(CONTROL!$C$42, 25.2416, 25.2416) * CHOOSE(CONTROL!$C$21, $C$9, 100%, $E$9)</f>
        <v>25.241599999999998</v>
      </c>
      <c r="E535" s="10">
        <f>CHOOSE(CONTROL!$C$42, 25.2728, 25.2728) * CHOOSE(CONTROL!$C$21, $C$9, 100%, $E$9)</f>
        <v>25.2728</v>
      </c>
      <c r="F535" s="10">
        <f>CHOOSE(CONTROL!$C$42, 25.0077, 25.0077)*CHOOSE(CONTROL!$C$21, $C$9, 100%, $E$9)</f>
        <v>25.0077</v>
      </c>
      <c r="G535" s="10">
        <f>CHOOSE(CONTROL!$C$42, 25.023, 25.023)*CHOOSE(CONTROL!$C$21, $C$9, 100%, $E$9)</f>
        <v>25.023</v>
      </c>
      <c r="H535" s="10">
        <f>CHOOSE(CONTROL!$C$42, 25.2614, 25.2614) * CHOOSE(CONTROL!$C$21, $C$9, 100%, $E$9)</f>
        <v>25.261399999999998</v>
      </c>
      <c r="I535" s="10">
        <f>CHOOSE(CONTROL!$C$42, 25.031, 25.031)* CHOOSE(CONTROL!$C$21, $C$9, 100%, $E$9)</f>
        <v>25.030999999999999</v>
      </c>
      <c r="J535" s="10">
        <f>CHOOSE(CONTROL!$C$42, 25.0007, 25.0007)* CHOOSE(CONTROL!$C$21, $C$9, 100%, $E$9)</f>
        <v>25.000699999999998</v>
      </c>
      <c r="K535" s="53">
        <f>CHOOSE(CONTROL!$C$42, 25.0271, 25.0271) * CHOOSE(CONTROL!$C$21, $C$9, 100%, $E$9)</f>
        <v>25.027100000000001</v>
      </c>
      <c r="L535" s="10">
        <f>CHOOSE(CONTROL!$C$42, 25.8484, 25.8484) * CHOOSE(CONTROL!$C$21, $C$9, 100%, $E$9)</f>
        <v>25.848400000000002</v>
      </c>
      <c r="M535" s="10">
        <f>CHOOSE(CONTROL!$C$42, 24.7622, 24.7622) * CHOOSE(CONTROL!$C$21, $C$9, 100%, $E$9)</f>
        <v>24.7622</v>
      </c>
      <c r="N535" s="10">
        <f>CHOOSE(CONTROL!$C$42, 24.7774, 24.7774) * CHOOSE(CONTROL!$C$21, $C$9, 100%, $E$9)</f>
        <v>24.7774</v>
      </c>
      <c r="O535" s="10">
        <f>CHOOSE(CONTROL!$C$42, 25.0203, 25.0203) * CHOOSE(CONTROL!$C$21, $C$9, 100%, $E$9)</f>
        <v>25.020299999999999</v>
      </c>
      <c r="P535" s="10">
        <f>CHOOSE(CONTROL!$C$42, 24.7923, 24.7923) * CHOOSE(CONTROL!$C$21, $C$9, 100%, $E$9)</f>
        <v>24.792300000000001</v>
      </c>
      <c r="Q535" s="10">
        <f>CHOOSE(CONTROL!$C$42, 25.6156, 25.6156) * CHOOSE(CONTROL!$C$21, $C$9, 100%, $E$9)</f>
        <v>25.615600000000001</v>
      </c>
      <c r="R535" s="10">
        <f>CHOOSE(CONTROL!$C$42, 26.2666, 26.2666) * CHOOSE(CONTROL!$C$21, $C$9, 100%, $E$9)</f>
        <v>26.2666</v>
      </c>
      <c r="S535" s="10">
        <f>CHOOSE(CONTROL!$C$42, 24.3033, 24.3033) * CHOOSE(CONTROL!$C$21, $C$9, 100%, $E$9)</f>
        <v>24.3033</v>
      </c>
      <c r="T5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57">
        <f>(1000*CHOOSE(CONTROL!$C$42, 695, 695)*CHOOSE(CONTROL!$C$42, 0.5599, 0.5599)*CHOOSE(CONTROL!$C$42, 31, 31))/1000000</f>
        <v>12.063045499999998</v>
      </c>
      <c r="V535" s="57">
        <f>(1000*CHOOSE(CONTROL!$C$42, 500, 500)*CHOOSE(CONTROL!$C$42, 0.275, 0.275)*CHOOSE(CONTROL!$C$42, 31, 31))/1000000</f>
        <v>4.2625000000000002</v>
      </c>
      <c r="W535" s="57">
        <f>(1000*CHOOSE(CONTROL!$C$42, 0.1146, 0.1146)*CHOOSE(CONTROL!$C$42, 121.5, 121.5)*CHOOSE(CONTROL!$C$42, 31, 31))/1000000</f>
        <v>0.43164089999999994</v>
      </c>
      <c r="X535" s="57">
        <f>(31*0.1790888*245000/1000000)+(31*0.2374*100000/1000000)</f>
        <v>2.0961194359999999</v>
      </c>
      <c r="Y535" s="57"/>
      <c r="Z535" s="10"/>
      <c r="AA535" s="56"/>
      <c r="AB535" s="50">
        <f>(B535*194.205+C535*267.466+D535*133.845+E535*53.484+F535*40+G535*185+H535*0+I535*100+J535*300)/(194.205+267.466+133.845+53.484+0+40+185+100+300)</f>
        <v>25.055906726530612</v>
      </c>
      <c r="AC535" s="45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24.842446762589926</v>
      </c>
    </row>
    <row r="536" spans="1:29" ht="15.75" x14ac:dyDescent="0.25">
      <c r="A536" s="13">
        <v>57223</v>
      </c>
      <c r="B536" s="10">
        <f>CHOOSE(CONTROL!$C$42, 23.7948, 23.7948) * CHOOSE(CONTROL!$C$21, $C$9, 100%, $E$9)</f>
        <v>23.794799999999999</v>
      </c>
      <c r="C536" s="10">
        <f>CHOOSE(CONTROL!$C$42, 23.8028, 23.8028) * CHOOSE(CONTROL!$C$21, $C$9, 100%, $E$9)</f>
        <v>23.802800000000001</v>
      </c>
      <c r="D536" s="10">
        <f>CHOOSE(CONTROL!$C$42, 24.0055, 24.0055) * CHOOSE(CONTROL!$C$21, $C$9, 100%, $E$9)</f>
        <v>24.005500000000001</v>
      </c>
      <c r="E536" s="10">
        <f>CHOOSE(CONTROL!$C$42, 24.0366, 24.0366) * CHOOSE(CONTROL!$C$21, $C$9, 100%, $E$9)</f>
        <v>24.0366</v>
      </c>
      <c r="F536" s="10">
        <f>CHOOSE(CONTROL!$C$42, 23.7718, 23.7718)*CHOOSE(CONTROL!$C$21, $C$9, 100%, $E$9)</f>
        <v>23.771799999999999</v>
      </c>
      <c r="G536" s="10">
        <f>CHOOSE(CONTROL!$C$42, 23.7871, 23.7871)*CHOOSE(CONTROL!$C$21, $C$9, 100%, $E$9)</f>
        <v>23.787099999999999</v>
      </c>
      <c r="H536" s="10">
        <f>CHOOSE(CONTROL!$C$42, 24.0253, 24.0253) * CHOOSE(CONTROL!$C$21, $C$9, 100%, $E$9)</f>
        <v>24.025300000000001</v>
      </c>
      <c r="I536" s="10">
        <f>CHOOSE(CONTROL!$C$42, 23.7949, 23.7949)* CHOOSE(CONTROL!$C$21, $C$9, 100%, $E$9)</f>
        <v>23.794899999999998</v>
      </c>
      <c r="J536" s="10">
        <f>CHOOSE(CONTROL!$C$42, 23.7648, 23.7648)* CHOOSE(CONTROL!$C$21, $C$9, 100%, $E$9)</f>
        <v>23.764800000000001</v>
      </c>
      <c r="K536" s="53">
        <f>CHOOSE(CONTROL!$C$42, 23.791, 23.791) * CHOOSE(CONTROL!$C$21, $C$9, 100%, $E$9)</f>
        <v>23.791</v>
      </c>
      <c r="L536" s="10">
        <f>CHOOSE(CONTROL!$C$42, 24.6123, 24.6123) * CHOOSE(CONTROL!$C$21, $C$9, 100%, $E$9)</f>
        <v>24.612300000000001</v>
      </c>
      <c r="M536" s="10">
        <f>CHOOSE(CONTROL!$C$42, 23.5388, 23.5388) * CHOOSE(CONTROL!$C$21, $C$9, 100%, $E$9)</f>
        <v>23.538799999999998</v>
      </c>
      <c r="N536" s="10">
        <f>CHOOSE(CONTROL!$C$42, 23.5539, 23.5539) * CHOOSE(CONTROL!$C$21, $C$9, 100%, $E$9)</f>
        <v>23.553899999999999</v>
      </c>
      <c r="O536" s="10">
        <f>CHOOSE(CONTROL!$C$42, 23.7966, 23.7966) * CHOOSE(CONTROL!$C$21, $C$9, 100%, $E$9)</f>
        <v>23.796600000000002</v>
      </c>
      <c r="P536" s="10">
        <f>CHOOSE(CONTROL!$C$42, 23.5686, 23.5686) * CHOOSE(CONTROL!$C$21, $C$9, 100%, $E$9)</f>
        <v>23.5686</v>
      </c>
      <c r="Q536" s="10">
        <f>CHOOSE(CONTROL!$C$42, 24.3919, 24.3919) * CHOOSE(CONTROL!$C$21, $C$9, 100%, $E$9)</f>
        <v>24.3919</v>
      </c>
      <c r="R536" s="10">
        <f>CHOOSE(CONTROL!$C$42, 25.0399, 25.0399) * CHOOSE(CONTROL!$C$21, $C$9, 100%, $E$9)</f>
        <v>25.039899999999999</v>
      </c>
      <c r="S536" s="10">
        <f>CHOOSE(CONTROL!$C$42, 23.1029, 23.1029) * CHOOSE(CONTROL!$C$21, $C$9, 100%, $E$9)</f>
        <v>23.102900000000002</v>
      </c>
      <c r="T5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57">
        <f>(1000*CHOOSE(CONTROL!$C$42, 695, 695)*CHOOSE(CONTROL!$C$42, 0.5599, 0.5599)*CHOOSE(CONTROL!$C$42, 31, 31))/1000000</f>
        <v>12.063045499999998</v>
      </c>
      <c r="V536" s="57">
        <f>(1000*CHOOSE(CONTROL!$C$42, 500, 500)*CHOOSE(CONTROL!$C$42, 0.275, 0.275)*CHOOSE(CONTROL!$C$42, 31, 31))/1000000</f>
        <v>4.2625000000000002</v>
      </c>
      <c r="W536" s="57">
        <f>(1000*CHOOSE(CONTROL!$C$42, 0.1146, 0.1146)*CHOOSE(CONTROL!$C$42, 121.5, 121.5)*CHOOSE(CONTROL!$C$42, 31, 31))/1000000</f>
        <v>0.43164089999999994</v>
      </c>
      <c r="X536" s="57">
        <f>(31*0.1790888*245000/1000000)+(31*0.2374*100000/1000000)</f>
        <v>2.0961194359999999</v>
      </c>
      <c r="Y536" s="57"/>
      <c r="Z536" s="10"/>
      <c r="AA536" s="56"/>
      <c r="AB536" s="50">
        <f>(B536*194.205+C536*267.466+D536*133.845+E536*53.484+F536*40+G536*185+H536*0+I536*100+J536*300)/(194.205+267.466+133.845+53.484+0+40+185+100+300)</f>
        <v>23.819869702276296</v>
      </c>
      <c r="AC536" s="45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23.618896402877699</v>
      </c>
    </row>
    <row r="537" spans="1:29" ht="15.75" x14ac:dyDescent="0.25">
      <c r="A537" s="13">
        <v>57253</v>
      </c>
      <c r="B537" s="10">
        <f>CHOOSE(CONTROL!$C$42, 22.2841, 22.2841) * CHOOSE(CONTROL!$C$21, $C$9, 100%, $E$9)</f>
        <v>22.284099999999999</v>
      </c>
      <c r="C537" s="10">
        <f>CHOOSE(CONTROL!$C$42, 22.292, 22.292) * CHOOSE(CONTROL!$C$21, $C$9, 100%, $E$9)</f>
        <v>22.292000000000002</v>
      </c>
      <c r="D537" s="10">
        <f>CHOOSE(CONTROL!$C$42, 22.4948, 22.4948) * CHOOSE(CONTROL!$C$21, $C$9, 100%, $E$9)</f>
        <v>22.494800000000001</v>
      </c>
      <c r="E537" s="10">
        <f>CHOOSE(CONTROL!$C$42, 22.5259, 22.5259) * CHOOSE(CONTROL!$C$21, $C$9, 100%, $E$9)</f>
        <v>22.5259</v>
      </c>
      <c r="F537" s="10">
        <f>CHOOSE(CONTROL!$C$42, 22.2609, 22.2609)*CHOOSE(CONTROL!$C$21, $C$9, 100%, $E$9)</f>
        <v>22.260899999999999</v>
      </c>
      <c r="G537" s="10">
        <f>CHOOSE(CONTROL!$C$42, 22.2762, 22.2762)*CHOOSE(CONTROL!$C$21, $C$9, 100%, $E$9)</f>
        <v>22.276199999999999</v>
      </c>
      <c r="H537" s="10">
        <f>CHOOSE(CONTROL!$C$42, 22.5145, 22.5145) * CHOOSE(CONTROL!$C$21, $C$9, 100%, $E$9)</f>
        <v>22.514500000000002</v>
      </c>
      <c r="I537" s="10">
        <f>CHOOSE(CONTROL!$C$42, 22.2841, 22.2841)* CHOOSE(CONTROL!$C$21, $C$9, 100%, $E$9)</f>
        <v>22.284099999999999</v>
      </c>
      <c r="J537" s="10">
        <f>CHOOSE(CONTROL!$C$42, 22.2539, 22.2539)* CHOOSE(CONTROL!$C$21, $C$9, 100%, $E$9)</f>
        <v>22.253900000000002</v>
      </c>
      <c r="K537" s="53">
        <f>CHOOSE(CONTROL!$C$42, 22.2803, 22.2803) * CHOOSE(CONTROL!$C$21, $C$9, 100%, $E$9)</f>
        <v>22.2803</v>
      </c>
      <c r="L537" s="10">
        <f>CHOOSE(CONTROL!$C$42, 23.1015, 23.1015) * CHOOSE(CONTROL!$C$21, $C$9, 100%, $E$9)</f>
        <v>23.101500000000001</v>
      </c>
      <c r="M537" s="10">
        <f>CHOOSE(CONTROL!$C$42, 22.0432, 22.0432) * CHOOSE(CONTROL!$C$21, $C$9, 100%, $E$9)</f>
        <v>22.043199999999999</v>
      </c>
      <c r="N537" s="10">
        <f>CHOOSE(CONTROL!$C$42, 22.0583, 22.0583) * CHOOSE(CONTROL!$C$21, $C$9, 100%, $E$9)</f>
        <v>22.058299999999999</v>
      </c>
      <c r="O537" s="10">
        <f>CHOOSE(CONTROL!$C$42, 22.3011, 22.3011) * CHOOSE(CONTROL!$C$21, $C$9, 100%, $E$9)</f>
        <v>22.301100000000002</v>
      </c>
      <c r="P537" s="10">
        <f>CHOOSE(CONTROL!$C$42, 22.0731, 22.0731) * CHOOSE(CONTROL!$C$21, $C$9, 100%, $E$9)</f>
        <v>22.0731</v>
      </c>
      <c r="Q537" s="10">
        <f>CHOOSE(CONTROL!$C$42, 22.8964, 22.8964) * CHOOSE(CONTROL!$C$21, $C$9, 100%, $E$9)</f>
        <v>22.8964</v>
      </c>
      <c r="R537" s="10">
        <f>CHOOSE(CONTROL!$C$42, 23.5407, 23.5407) * CHOOSE(CONTROL!$C$21, $C$9, 100%, $E$9)</f>
        <v>23.540700000000001</v>
      </c>
      <c r="S537" s="10">
        <f>CHOOSE(CONTROL!$C$42, 21.6359, 21.6359) * CHOOSE(CONTROL!$C$21, $C$9, 100%, $E$9)</f>
        <v>21.635899999999999</v>
      </c>
      <c r="T5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57">
        <f>(1000*CHOOSE(CONTROL!$C$42, 695, 695)*CHOOSE(CONTROL!$C$42, 0.5599, 0.5599)*CHOOSE(CONTROL!$C$42, 30, 30))/1000000</f>
        <v>11.673914999999997</v>
      </c>
      <c r="V537" s="57">
        <f>(1000*CHOOSE(CONTROL!$C$42, 500, 500)*CHOOSE(CONTROL!$C$42, 0.275, 0.275)*CHOOSE(CONTROL!$C$42, 30, 30))/1000000</f>
        <v>4.125</v>
      </c>
      <c r="W537" s="57">
        <f>(1000*CHOOSE(CONTROL!$C$42, 0.1146, 0.1146)*CHOOSE(CONTROL!$C$42, 121.5, 121.5)*CHOOSE(CONTROL!$C$42, 30, 30))/1000000</f>
        <v>0.417717</v>
      </c>
      <c r="X537" s="57">
        <f>(30*0.1790888*245000/1000000)+(30*0.2374*100000/1000000)</f>
        <v>2.0285026799999999</v>
      </c>
      <c r="Y537" s="57"/>
      <c r="Z537" s="10"/>
      <c r="AA537" s="56"/>
      <c r="AB537" s="50">
        <f>(B537*194.205+C537*267.466+D537*133.845+E537*53.484+F537*40+G537*185+H537*0+I537*100+J537*300)/(194.205+267.466+133.845+53.484+0+40+185+100+300)</f>
        <v>22.309058441208791</v>
      </c>
      <c r="AC537" s="45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22.123338848920863</v>
      </c>
    </row>
    <row r="538" spans="1:29" ht="15.75" x14ac:dyDescent="0.25">
      <c r="A538" s="13">
        <v>57284</v>
      </c>
      <c r="B538" s="10">
        <f>CHOOSE(CONTROL!$C$42, 21.83, 21.83) * CHOOSE(CONTROL!$C$21, $C$9, 100%, $E$9)</f>
        <v>21.83</v>
      </c>
      <c r="C538" s="10">
        <f>CHOOSE(CONTROL!$C$42, 21.8352, 21.8352) * CHOOSE(CONTROL!$C$21, $C$9, 100%, $E$9)</f>
        <v>21.8352</v>
      </c>
      <c r="D538" s="10">
        <f>CHOOSE(CONTROL!$C$42, 22.0429, 22.0429) * CHOOSE(CONTROL!$C$21, $C$9, 100%, $E$9)</f>
        <v>22.042899999999999</v>
      </c>
      <c r="E538" s="10">
        <f>CHOOSE(CONTROL!$C$42, 22.0717, 22.0717) * CHOOSE(CONTROL!$C$21, $C$9, 100%, $E$9)</f>
        <v>22.0717</v>
      </c>
      <c r="F538" s="10">
        <f>CHOOSE(CONTROL!$C$42, 21.8087, 21.8087)*CHOOSE(CONTROL!$C$21, $C$9, 100%, $E$9)</f>
        <v>21.808700000000002</v>
      </c>
      <c r="G538" s="10">
        <f>CHOOSE(CONTROL!$C$42, 21.8237, 21.8237)*CHOOSE(CONTROL!$C$21, $C$9, 100%, $E$9)</f>
        <v>21.823699999999999</v>
      </c>
      <c r="H538" s="10">
        <f>CHOOSE(CONTROL!$C$42, 22.0622, 22.0622) * CHOOSE(CONTROL!$C$21, $C$9, 100%, $E$9)</f>
        <v>22.062200000000001</v>
      </c>
      <c r="I538" s="10">
        <f>CHOOSE(CONTROL!$C$42, 21.8318, 21.8318)* CHOOSE(CONTROL!$C$21, $C$9, 100%, $E$9)</f>
        <v>21.831800000000001</v>
      </c>
      <c r="J538" s="10">
        <f>CHOOSE(CONTROL!$C$42, 21.8017, 21.8017)* CHOOSE(CONTROL!$C$21, $C$9, 100%, $E$9)</f>
        <v>21.8017</v>
      </c>
      <c r="K538" s="53">
        <f>CHOOSE(CONTROL!$C$42, 21.8279, 21.8279) * CHOOSE(CONTROL!$C$21, $C$9, 100%, $E$9)</f>
        <v>21.8279</v>
      </c>
      <c r="L538" s="10">
        <f>CHOOSE(CONTROL!$C$42, 22.6492, 22.6492) * CHOOSE(CONTROL!$C$21, $C$9, 100%, $E$9)</f>
        <v>22.6492</v>
      </c>
      <c r="M538" s="10">
        <f>CHOOSE(CONTROL!$C$42, 21.5955, 21.5955) * CHOOSE(CONTROL!$C$21, $C$9, 100%, $E$9)</f>
        <v>21.595500000000001</v>
      </c>
      <c r="N538" s="10">
        <f>CHOOSE(CONTROL!$C$42, 21.6103, 21.6103) * CHOOSE(CONTROL!$C$21, $C$9, 100%, $E$9)</f>
        <v>21.610299999999999</v>
      </c>
      <c r="O538" s="10">
        <f>CHOOSE(CONTROL!$C$42, 21.8534, 21.8534) * CHOOSE(CONTROL!$C$21, $C$9, 100%, $E$9)</f>
        <v>21.853400000000001</v>
      </c>
      <c r="P538" s="10">
        <f>CHOOSE(CONTROL!$C$42, 21.6253, 21.6253) * CHOOSE(CONTROL!$C$21, $C$9, 100%, $E$9)</f>
        <v>21.625299999999999</v>
      </c>
      <c r="Q538" s="10">
        <f>CHOOSE(CONTROL!$C$42, 22.4487, 22.4487) * CHOOSE(CONTROL!$C$21, $C$9, 100%, $E$9)</f>
        <v>22.448699999999999</v>
      </c>
      <c r="R538" s="10">
        <f>CHOOSE(CONTROL!$C$42, 23.0918, 23.0918) * CHOOSE(CONTROL!$C$21, $C$9, 100%, $E$9)</f>
        <v>23.091799999999999</v>
      </c>
      <c r="S538" s="10">
        <f>CHOOSE(CONTROL!$C$42, 21.1966, 21.1966) * CHOOSE(CONTROL!$C$21, $C$9, 100%, $E$9)</f>
        <v>21.1966</v>
      </c>
      <c r="T5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57">
        <f>(1000*CHOOSE(CONTROL!$C$42, 695, 695)*CHOOSE(CONTROL!$C$42, 0.5599, 0.5599)*CHOOSE(CONTROL!$C$42, 31, 31))/1000000</f>
        <v>12.063045499999998</v>
      </c>
      <c r="V538" s="57">
        <f>(1000*CHOOSE(CONTROL!$C$42, 500, 500)*CHOOSE(CONTROL!$C$42, 0.275, 0.275)*CHOOSE(CONTROL!$C$42, 31, 31))/1000000</f>
        <v>4.2625000000000002</v>
      </c>
      <c r="W538" s="57">
        <f>(1000*CHOOSE(CONTROL!$C$42, 0.1146, 0.1146)*CHOOSE(CONTROL!$C$42, 121.5, 121.5)*CHOOSE(CONTROL!$C$42, 31, 31))/1000000</f>
        <v>0.43164089999999994</v>
      </c>
      <c r="X538" s="57">
        <f>(31*0.1790888*245000/1000000)+(31*0.2374*100000/1000000)</f>
        <v>2.0961194359999999</v>
      </c>
      <c r="Y538" s="57"/>
      <c r="Z538" s="10"/>
      <c r="AA538" s="56"/>
      <c r="AB538" s="50">
        <f>(B538*131.881+C538*277.167+D538*79.08+E538*125.872+F538*40+G538*185+H538*0+I538*100+J538*300)/(131.881+277.167+79.08+125.872+0+40+185+100+300)</f>
        <v>21.860971075706214</v>
      </c>
      <c r="AC538" s="45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21.67555539568345</v>
      </c>
    </row>
    <row r="539" spans="1:29" ht="15.75" x14ac:dyDescent="0.25">
      <c r="A539" s="13">
        <v>57314</v>
      </c>
      <c r="B539" s="10">
        <f>CHOOSE(CONTROL!$C$42, 22.4046, 22.4046) * CHOOSE(CONTROL!$C$21, $C$9, 100%, $E$9)</f>
        <v>22.404599999999999</v>
      </c>
      <c r="C539" s="10">
        <f>CHOOSE(CONTROL!$C$42, 22.4096, 22.4096) * CHOOSE(CONTROL!$C$21, $C$9, 100%, $E$9)</f>
        <v>22.409600000000001</v>
      </c>
      <c r="D539" s="10">
        <f>CHOOSE(CONTROL!$C$42, 22.4701, 22.4701) * CHOOSE(CONTROL!$C$21, $C$9, 100%, $E$9)</f>
        <v>22.470099999999999</v>
      </c>
      <c r="E539" s="10">
        <f>CHOOSE(CONTROL!$C$42, 22.5038, 22.5038) * CHOOSE(CONTROL!$C$21, $C$9, 100%, $E$9)</f>
        <v>22.503799999999998</v>
      </c>
      <c r="F539" s="10">
        <f>CHOOSE(CONTROL!$C$42, 22.4002, 22.4002)*CHOOSE(CONTROL!$C$21, $C$9, 100%, $E$9)</f>
        <v>22.400200000000002</v>
      </c>
      <c r="G539" s="10">
        <f>CHOOSE(CONTROL!$C$42, 22.4154, 22.4154)*CHOOSE(CONTROL!$C$21, $C$9, 100%, $E$9)</f>
        <v>22.415400000000002</v>
      </c>
      <c r="H539" s="10">
        <f>CHOOSE(CONTROL!$C$42, 22.493, 22.493) * CHOOSE(CONTROL!$C$21, $C$9, 100%, $E$9)</f>
        <v>22.492999999999999</v>
      </c>
      <c r="I539" s="10">
        <f>CHOOSE(CONTROL!$C$42, 22.4171, 22.4171)* CHOOSE(CONTROL!$C$21, $C$9, 100%, $E$9)</f>
        <v>22.417100000000001</v>
      </c>
      <c r="J539" s="10">
        <f>CHOOSE(CONTROL!$C$42, 22.3932, 22.3932)* CHOOSE(CONTROL!$C$21, $C$9, 100%, $E$9)</f>
        <v>22.3932</v>
      </c>
      <c r="K539" s="53">
        <f>CHOOSE(CONTROL!$C$42, 22.4132, 22.4132) * CHOOSE(CONTROL!$C$21, $C$9, 100%, $E$9)</f>
        <v>22.4132</v>
      </c>
      <c r="L539" s="10">
        <f>CHOOSE(CONTROL!$C$42, 23.08, 23.08) * CHOOSE(CONTROL!$C$21, $C$9, 100%, $E$9)</f>
        <v>23.08</v>
      </c>
      <c r="M539" s="10">
        <f>CHOOSE(CONTROL!$C$42, 22.1811, 22.1811) * CHOOSE(CONTROL!$C$21, $C$9, 100%, $E$9)</f>
        <v>22.181100000000001</v>
      </c>
      <c r="N539" s="10">
        <f>CHOOSE(CONTROL!$C$42, 22.1961, 22.1961) * CHOOSE(CONTROL!$C$21, $C$9, 100%, $E$9)</f>
        <v>22.196100000000001</v>
      </c>
      <c r="O539" s="10">
        <f>CHOOSE(CONTROL!$C$42, 22.2799, 22.2799) * CHOOSE(CONTROL!$C$21, $C$9, 100%, $E$9)</f>
        <v>22.279900000000001</v>
      </c>
      <c r="P539" s="10">
        <f>CHOOSE(CONTROL!$C$42, 22.2047, 22.2047) * CHOOSE(CONTROL!$C$21, $C$9, 100%, $E$9)</f>
        <v>22.204699999999999</v>
      </c>
      <c r="Q539" s="10">
        <f>CHOOSE(CONTROL!$C$42, 22.8752, 22.8752) * CHOOSE(CONTROL!$C$21, $C$9, 100%, $E$9)</f>
        <v>22.8752</v>
      </c>
      <c r="R539" s="10">
        <f>CHOOSE(CONTROL!$C$42, 23.5193, 23.5193) * CHOOSE(CONTROL!$C$21, $C$9, 100%, $E$9)</f>
        <v>23.519300000000001</v>
      </c>
      <c r="S539" s="10">
        <f>CHOOSE(CONTROL!$C$42, 21.755, 21.755) * CHOOSE(CONTROL!$C$21, $C$9, 100%, $E$9)</f>
        <v>21.754999999999999</v>
      </c>
      <c r="T5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57">
        <f>(1000*CHOOSE(CONTROL!$C$42, 695, 695)*CHOOSE(CONTROL!$C$42, 0.5599, 0.5599)*CHOOSE(CONTROL!$C$42, 30, 30))/1000000</f>
        <v>11.673914999999997</v>
      </c>
      <c r="V539" s="57">
        <f>(1000*CHOOSE(CONTROL!$C$42, 500, 500)*CHOOSE(CONTROL!$C$42, 0.275, 0.275)*CHOOSE(CONTROL!$C$42, 30, 30))/1000000</f>
        <v>4.125</v>
      </c>
      <c r="W539" s="57">
        <f>(1000*CHOOSE(CONTROL!$C$42, 0.1146, 0.1146)*CHOOSE(CONTROL!$C$42, 121.5, 121.5)*CHOOSE(CONTROL!$C$42, 30, 30))/1000000</f>
        <v>0.417717</v>
      </c>
      <c r="X539" s="57">
        <f>(30*0.1790888*100000/1000000)+(30*0.2374*100000/1000000)</f>
        <v>1.2494664</v>
      </c>
      <c r="Y539" s="57"/>
      <c r="Z539" s="10"/>
      <c r="AA539" s="56"/>
      <c r="AB539" s="50">
        <f>(B539*122.58+C539*297.941+D539*89.177+E539*40.302+F539*40+G539*160+H539*0+I539*100+J539*300)/(122.58+297.941+89.177+40.302+0+40+160+100+300)</f>
        <v>22.413913701652174</v>
      </c>
      <c r="AC539" s="45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22.230138848920863</v>
      </c>
    </row>
    <row r="540" spans="1:29" ht="15.75" x14ac:dyDescent="0.25">
      <c r="A540" s="13">
        <v>57345</v>
      </c>
      <c r="B540" s="10">
        <f>CHOOSE(CONTROL!$C$42, 23.9319, 23.9319) * CHOOSE(CONTROL!$C$21, $C$9, 100%, $E$9)</f>
        <v>23.931899999999999</v>
      </c>
      <c r="C540" s="10">
        <f>CHOOSE(CONTROL!$C$42, 23.9369, 23.9369) * CHOOSE(CONTROL!$C$21, $C$9, 100%, $E$9)</f>
        <v>23.936900000000001</v>
      </c>
      <c r="D540" s="10">
        <f>CHOOSE(CONTROL!$C$42, 23.9974, 23.9974) * CHOOSE(CONTROL!$C$21, $C$9, 100%, $E$9)</f>
        <v>23.997399999999999</v>
      </c>
      <c r="E540" s="10">
        <f>CHOOSE(CONTROL!$C$42, 24.0312, 24.0312) * CHOOSE(CONTROL!$C$21, $C$9, 100%, $E$9)</f>
        <v>24.031199999999998</v>
      </c>
      <c r="F540" s="10">
        <f>CHOOSE(CONTROL!$C$42, 23.9294, 23.9294)*CHOOSE(CONTROL!$C$21, $C$9, 100%, $E$9)</f>
        <v>23.929400000000001</v>
      </c>
      <c r="G540" s="10">
        <f>CHOOSE(CONTROL!$C$42, 23.9451, 23.9451)*CHOOSE(CONTROL!$C$21, $C$9, 100%, $E$9)</f>
        <v>23.9451</v>
      </c>
      <c r="H540" s="10">
        <f>CHOOSE(CONTROL!$C$42, 24.0204, 24.0204) * CHOOSE(CONTROL!$C$21, $C$9, 100%, $E$9)</f>
        <v>24.020399999999999</v>
      </c>
      <c r="I540" s="10">
        <f>CHOOSE(CONTROL!$C$42, 23.9444, 23.9444)* CHOOSE(CONTROL!$C$21, $C$9, 100%, $E$9)</f>
        <v>23.944400000000002</v>
      </c>
      <c r="J540" s="10">
        <f>CHOOSE(CONTROL!$C$42, 23.9224, 23.9224)* CHOOSE(CONTROL!$C$21, $C$9, 100%, $E$9)</f>
        <v>23.9224</v>
      </c>
      <c r="K540" s="53">
        <f>CHOOSE(CONTROL!$C$42, 23.9406, 23.9406) * CHOOSE(CONTROL!$C$21, $C$9, 100%, $E$9)</f>
        <v>23.9406</v>
      </c>
      <c r="L540" s="10">
        <f>CHOOSE(CONTROL!$C$42, 24.6074, 24.6074) * CHOOSE(CONTROL!$C$21, $C$9, 100%, $E$9)</f>
        <v>24.607399999999998</v>
      </c>
      <c r="M540" s="10">
        <f>CHOOSE(CONTROL!$C$42, 23.6948, 23.6948) * CHOOSE(CONTROL!$C$21, $C$9, 100%, $E$9)</f>
        <v>23.694800000000001</v>
      </c>
      <c r="N540" s="10">
        <f>CHOOSE(CONTROL!$C$42, 23.7103, 23.7103) * CHOOSE(CONTROL!$C$21, $C$9, 100%, $E$9)</f>
        <v>23.7103</v>
      </c>
      <c r="O540" s="10">
        <f>CHOOSE(CONTROL!$C$42, 23.7918, 23.7918) * CHOOSE(CONTROL!$C$21, $C$9, 100%, $E$9)</f>
        <v>23.791799999999999</v>
      </c>
      <c r="P540" s="10">
        <f>CHOOSE(CONTROL!$C$42, 23.7167, 23.7167) * CHOOSE(CONTROL!$C$21, $C$9, 100%, $E$9)</f>
        <v>23.716699999999999</v>
      </c>
      <c r="Q540" s="10">
        <f>CHOOSE(CONTROL!$C$42, 24.3871, 24.3871) * CHOOSE(CONTROL!$C$21, $C$9, 100%, $E$9)</f>
        <v>24.3871</v>
      </c>
      <c r="R540" s="10">
        <f>CHOOSE(CONTROL!$C$42, 25.035, 25.035) * CHOOSE(CONTROL!$C$21, $C$9, 100%, $E$9)</f>
        <v>25.035</v>
      </c>
      <c r="S540" s="10">
        <f>CHOOSE(CONTROL!$C$42, 23.2382, 23.2382) * CHOOSE(CONTROL!$C$21, $C$9, 100%, $E$9)</f>
        <v>23.238199999999999</v>
      </c>
      <c r="T5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57">
        <f>(1000*CHOOSE(CONTROL!$C$42, 695, 695)*CHOOSE(CONTROL!$C$42, 0.5599, 0.5599)*CHOOSE(CONTROL!$C$42, 31, 31))/1000000</f>
        <v>12.063045499999998</v>
      </c>
      <c r="V540" s="57">
        <f>(1000*CHOOSE(CONTROL!$C$42, 500, 500)*CHOOSE(CONTROL!$C$42, 0.275, 0.275)*CHOOSE(CONTROL!$C$42, 31, 31))/1000000</f>
        <v>4.2625000000000002</v>
      </c>
      <c r="W540" s="57">
        <f>(1000*CHOOSE(CONTROL!$C$42, 0.1146, 0.1146)*CHOOSE(CONTROL!$C$42, 121.5, 121.5)*CHOOSE(CONTROL!$C$42, 31, 31))/1000000</f>
        <v>0.43164089999999994</v>
      </c>
      <c r="X540" s="57">
        <f>(31*0.1790888*100000/1000000)+(31*0.2374*100000/1000000)</f>
        <v>1.2911152800000001</v>
      </c>
      <c r="Y540" s="57"/>
      <c r="Z540" s="10"/>
      <c r="AA540" s="56"/>
      <c r="AB540" s="50">
        <f>(B540*122.58+C540*297.941+D540*89.177+E540*40.302+F540*40+G540*160+H540*0+I540*100+J540*300)/(122.58+297.941+89.177+40.302+0+40+160+100+300)</f>
        <v>23.942112858347823</v>
      </c>
      <c r="AC540" s="45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23.742807194244605</v>
      </c>
    </row>
    <row r="541" spans="1:29" ht="15.75" x14ac:dyDescent="0.25">
      <c r="A541" s="13">
        <v>57376</v>
      </c>
      <c r="B541" s="10">
        <f>CHOOSE(CONTROL!$C$42, 25.8926, 25.8926) * CHOOSE(CONTROL!$C$21, $C$9, 100%, $E$9)</f>
        <v>25.892600000000002</v>
      </c>
      <c r="C541" s="10">
        <f>CHOOSE(CONTROL!$C$42, 25.8975, 25.8975) * CHOOSE(CONTROL!$C$21, $C$9, 100%, $E$9)</f>
        <v>25.897500000000001</v>
      </c>
      <c r="D541" s="10">
        <f>CHOOSE(CONTROL!$C$42, 25.9546, 25.9546) * CHOOSE(CONTROL!$C$21, $C$9, 100%, $E$9)</f>
        <v>25.954599999999999</v>
      </c>
      <c r="E541" s="10">
        <f>CHOOSE(CONTROL!$C$42, 25.9884, 25.9884) * CHOOSE(CONTROL!$C$21, $C$9, 100%, $E$9)</f>
        <v>25.988399999999999</v>
      </c>
      <c r="F541" s="10">
        <f>CHOOSE(CONTROL!$C$42, 25.8904, 25.8904)*CHOOSE(CONTROL!$C$21, $C$9, 100%, $E$9)</f>
        <v>25.8904</v>
      </c>
      <c r="G541" s="10">
        <f>CHOOSE(CONTROL!$C$42, 25.905, 25.905)*CHOOSE(CONTROL!$C$21, $C$9, 100%, $E$9)</f>
        <v>25.905000000000001</v>
      </c>
      <c r="H541" s="10">
        <f>CHOOSE(CONTROL!$C$42, 25.9776, 25.9776) * CHOOSE(CONTROL!$C$21, $C$9, 100%, $E$9)</f>
        <v>25.977599999999999</v>
      </c>
      <c r="I541" s="10">
        <f>CHOOSE(CONTROL!$C$42, 25.9034, 25.9034)* CHOOSE(CONTROL!$C$21, $C$9, 100%, $E$9)</f>
        <v>25.903400000000001</v>
      </c>
      <c r="J541" s="10">
        <f>CHOOSE(CONTROL!$C$42, 25.8834, 25.8834)* CHOOSE(CONTROL!$C$21, $C$9, 100%, $E$9)</f>
        <v>25.883400000000002</v>
      </c>
      <c r="K541" s="53">
        <f>CHOOSE(CONTROL!$C$42, 25.8995, 25.8995) * CHOOSE(CONTROL!$C$21, $C$9, 100%, $E$9)</f>
        <v>25.8995</v>
      </c>
      <c r="L541" s="10">
        <f>CHOOSE(CONTROL!$C$42, 26.5646, 26.5646) * CHOOSE(CONTROL!$C$21, $C$9, 100%, $E$9)</f>
        <v>26.564599999999999</v>
      </c>
      <c r="M541" s="10">
        <f>CHOOSE(CONTROL!$C$42, 25.636, 25.636) * CHOOSE(CONTROL!$C$21, $C$9, 100%, $E$9)</f>
        <v>25.635999999999999</v>
      </c>
      <c r="N541" s="10">
        <f>CHOOSE(CONTROL!$C$42, 25.6505, 25.6505) * CHOOSE(CONTROL!$C$21, $C$9, 100%, $E$9)</f>
        <v>25.650500000000001</v>
      </c>
      <c r="O541" s="10">
        <f>CHOOSE(CONTROL!$C$42, 25.7293, 25.7293) * CHOOSE(CONTROL!$C$21, $C$9, 100%, $E$9)</f>
        <v>25.729299999999999</v>
      </c>
      <c r="P541" s="10">
        <f>CHOOSE(CONTROL!$C$42, 25.6558, 25.6558) * CHOOSE(CONTROL!$C$21, $C$9, 100%, $E$9)</f>
        <v>25.655799999999999</v>
      </c>
      <c r="Q541" s="10">
        <f>CHOOSE(CONTROL!$C$42, 26.3246, 26.3246) * CHOOSE(CONTROL!$C$21, $C$9, 100%, $E$9)</f>
        <v>26.3246</v>
      </c>
      <c r="R541" s="10">
        <f>CHOOSE(CONTROL!$C$42, 26.9774, 26.9774) * CHOOSE(CONTROL!$C$21, $C$9, 100%, $E$9)</f>
        <v>26.977399999999999</v>
      </c>
      <c r="S541" s="10">
        <f>CHOOSE(CONTROL!$C$42, 25.1422, 25.1422) * CHOOSE(CONTROL!$C$21, $C$9, 100%, $E$9)</f>
        <v>25.142199999999999</v>
      </c>
      <c r="T5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57">
        <f>(1000*CHOOSE(CONTROL!$C$42, 695, 695)*CHOOSE(CONTROL!$C$42, 0.5599, 0.5599)*CHOOSE(CONTROL!$C$42, 31, 31))/1000000</f>
        <v>12.063045499999998</v>
      </c>
      <c r="V541" s="57">
        <f>(1000*CHOOSE(CONTROL!$C$42, 500, 500)*CHOOSE(CONTROL!$C$42, 0.275, 0.275)*CHOOSE(CONTROL!$C$42, 31, 31))/1000000</f>
        <v>4.2625000000000002</v>
      </c>
      <c r="W541" s="57">
        <f>(1000*CHOOSE(CONTROL!$C$42, 0.1146, 0.1146)*CHOOSE(CONTROL!$C$42, 121.5, 121.5)*CHOOSE(CONTROL!$C$42, 31, 31))/1000000</f>
        <v>0.43164089999999994</v>
      </c>
      <c r="X541" s="57">
        <f>(31*0.1790888*100000/1000000)+(31*0.2374*100000/1000000)</f>
        <v>1.2911152800000001</v>
      </c>
      <c r="Y541" s="57"/>
      <c r="Z541" s="10"/>
      <c r="AA541" s="56"/>
      <c r="AB541" s="50">
        <f>(B541*122.58+C541*297.941+D541*89.177+E541*40.302+F541*40+G541*160+H541*0+I541*100+J541*300)/(122.58+297.941+89.177+40.302+0+40+160+100+300)</f>
        <v>25.902222449130434</v>
      </c>
      <c r="AC541" s="45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25.681970503597121</v>
      </c>
    </row>
    <row r="542" spans="1:29" ht="15.75" x14ac:dyDescent="0.25">
      <c r="A542" s="13">
        <v>57404</v>
      </c>
      <c r="B542" s="10">
        <f>CHOOSE(CONTROL!$C$42, 26.3535, 26.3535) * CHOOSE(CONTROL!$C$21, $C$9, 100%, $E$9)</f>
        <v>26.3535</v>
      </c>
      <c r="C542" s="10">
        <f>CHOOSE(CONTROL!$C$42, 26.3584, 26.3584) * CHOOSE(CONTROL!$C$21, $C$9, 100%, $E$9)</f>
        <v>26.3584</v>
      </c>
      <c r="D542" s="10">
        <f>CHOOSE(CONTROL!$C$42, 26.4155, 26.4155) * CHOOSE(CONTROL!$C$21, $C$9, 100%, $E$9)</f>
        <v>26.415500000000002</v>
      </c>
      <c r="E542" s="10">
        <f>CHOOSE(CONTROL!$C$42, 26.4493, 26.4493) * CHOOSE(CONTROL!$C$21, $C$9, 100%, $E$9)</f>
        <v>26.449300000000001</v>
      </c>
      <c r="F542" s="10">
        <f>CHOOSE(CONTROL!$C$42, 26.3514, 26.3514)*CHOOSE(CONTROL!$C$21, $C$9, 100%, $E$9)</f>
        <v>26.351400000000002</v>
      </c>
      <c r="G542" s="10">
        <f>CHOOSE(CONTROL!$C$42, 26.3661, 26.3661)*CHOOSE(CONTROL!$C$21, $C$9, 100%, $E$9)</f>
        <v>26.366099999999999</v>
      </c>
      <c r="H542" s="10">
        <f>CHOOSE(CONTROL!$C$42, 26.4385, 26.4385) * CHOOSE(CONTROL!$C$21, $C$9, 100%, $E$9)</f>
        <v>26.438500000000001</v>
      </c>
      <c r="I542" s="10">
        <f>CHOOSE(CONTROL!$C$42, 26.3643, 26.3643)* CHOOSE(CONTROL!$C$21, $C$9, 100%, $E$9)</f>
        <v>26.3643</v>
      </c>
      <c r="J542" s="10">
        <f>CHOOSE(CONTROL!$C$42, 26.3444, 26.3444)* CHOOSE(CONTROL!$C$21, $C$9, 100%, $E$9)</f>
        <v>26.3444</v>
      </c>
      <c r="K542" s="53">
        <f>CHOOSE(CONTROL!$C$42, 26.3604, 26.3604) * CHOOSE(CONTROL!$C$21, $C$9, 100%, $E$9)</f>
        <v>26.360399999999998</v>
      </c>
      <c r="L542" s="10">
        <f>CHOOSE(CONTROL!$C$42, 27.0255, 27.0255) * CHOOSE(CONTROL!$C$21, $C$9, 100%, $E$9)</f>
        <v>27.025500000000001</v>
      </c>
      <c r="M542" s="10">
        <f>CHOOSE(CONTROL!$C$42, 26.0924, 26.0924) * CHOOSE(CONTROL!$C$21, $C$9, 100%, $E$9)</f>
        <v>26.092400000000001</v>
      </c>
      <c r="N542" s="10">
        <f>CHOOSE(CONTROL!$C$42, 26.1069, 26.1069) * CHOOSE(CONTROL!$C$21, $C$9, 100%, $E$9)</f>
        <v>26.1069</v>
      </c>
      <c r="O542" s="10">
        <f>CHOOSE(CONTROL!$C$42, 26.1855, 26.1855) * CHOOSE(CONTROL!$C$21, $C$9, 100%, $E$9)</f>
        <v>26.185500000000001</v>
      </c>
      <c r="P542" s="10">
        <f>CHOOSE(CONTROL!$C$42, 26.1121, 26.1121) * CHOOSE(CONTROL!$C$21, $C$9, 100%, $E$9)</f>
        <v>26.112100000000002</v>
      </c>
      <c r="Q542" s="10">
        <f>CHOOSE(CONTROL!$C$42, 26.7808, 26.7808) * CHOOSE(CONTROL!$C$21, $C$9, 100%, $E$9)</f>
        <v>26.780799999999999</v>
      </c>
      <c r="R542" s="10">
        <f>CHOOSE(CONTROL!$C$42, 27.4347, 27.4347) * CHOOSE(CONTROL!$C$21, $C$9, 100%, $E$9)</f>
        <v>27.434699999999999</v>
      </c>
      <c r="S542" s="10">
        <f>CHOOSE(CONTROL!$C$42, 25.5897, 25.5897) * CHOOSE(CONTROL!$C$21, $C$9, 100%, $E$9)</f>
        <v>25.589700000000001</v>
      </c>
      <c r="T5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57">
        <f>(1000*CHOOSE(CONTROL!$C$42, 695, 695)*CHOOSE(CONTROL!$C$42, 0.5599, 0.5599)*CHOOSE(CONTROL!$C$42, 28, 28))/1000000</f>
        <v>10.895653999999999</v>
      </c>
      <c r="V542" s="57">
        <f>(1000*CHOOSE(CONTROL!$C$42, 500, 500)*CHOOSE(CONTROL!$C$42, 0.275, 0.275)*CHOOSE(CONTROL!$C$42, 28, 28))/1000000</f>
        <v>3.85</v>
      </c>
      <c r="W542" s="57">
        <f>(1000*CHOOSE(CONTROL!$C$42, 0.1146, 0.1146)*CHOOSE(CONTROL!$C$42, 121.5, 121.5)*CHOOSE(CONTROL!$C$42, 28, 28))/1000000</f>
        <v>0.38986920000000003</v>
      </c>
      <c r="X542" s="57">
        <f>(28*0.1790888*100000/1000000)+(28*0.2374*100000/1000000)</f>
        <v>1.16616864</v>
      </c>
      <c r="Y542" s="57"/>
      <c r="Z542" s="10"/>
      <c r="AA542" s="56"/>
      <c r="AB542" s="50">
        <f>(B542*122.58+C542*297.941+D542*89.177+E542*40.302+F542*40+G542*160+H542*0+I542*100+J542*300)/(122.58+297.941+89.177+40.302+0+40+160+100+300)</f>
        <v>26.363179840434782</v>
      </c>
      <c r="AC542" s="45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26.138265467625899</v>
      </c>
    </row>
    <row r="543" spans="1:29" ht="15.75" x14ac:dyDescent="0.25">
      <c r="A543" s="13">
        <v>57435</v>
      </c>
      <c r="B543" s="10">
        <f>CHOOSE(CONTROL!$C$42, 25.6054, 25.6054) * CHOOSE(CONTROL!$C$21, $C$9, 100%, $E$9)</f>
        <v>25.605399999999999</v>
      </c>
      <c r="C543" s="10">
        <f>CHOOSE(CONTROL!$C$42, 25.6103, 25.6103) * CHOOSE(CONTROL!$C$21, $C$9, 100%, $E$9)</f>
        <v>25.610299999999999</v>
      </c>
      <c r="D543" s="10">
        <f>CHOOSE(CONTROL!$C$42, 25.6674, 25.6674) * CHOOSE(CONTROL!$C$21, $C$9, 100%, $E$9)</f>
        <v>25.667400000000001</v>
      </c>
      <c r="E543" s="10">
        <f>CHOOSE(CONTROL!$C$42, 25.7012, 25.7012) * CHOOSE(CONTROL!$C$21, $C$9, 100%, $E$9)</f>
        <v>25.7012</v>
      </c>
      <c r="F543" s="10">
        <f>CHOOSE(CONTROL!$C$42, 25.6032, 25.6032)*CHOOSE(CONTROL!$C$21, $C$9, 100%, $E$9)</f>
        <v>25.603200000000001</v>
      </c>
      <c r="G543" s="10">
        <f>CHOOSE(CONTROL!$C$42, 25.6178, 25.6178)*CHOOSE(CONTROL!$C$21, $C$9, 100%, $E$9)</f>
        <v>25.617799999999999</v>
      </c>
      <c r="H543" s="10">
        <f>CHOOSE(CONTROL!$C$42, 25.6904, 25.6904) * CHOOSE(CONTROL!$C$21, $C$9, 100%, $E$9)</f>
        <v>25.6904</v>
      </c>
      <c r="I543" s="10">
        <f>CHOOSE(CONTROL!$C$42, 25.6162, 25.6162)* CHOOSE(CONTROL!$C$21, $C$9, 100%, $E$9)</f>
        <v>25.616199999999999</v>
      </c>
      <c r="J543" s="10">
        <f>CHOOSE(CONTROL!$C$42, 25.5962, 25.5962)* CHOOSE(CONTROL!$C$21, $C$9, 100%, $E$9)</f>
        <v>25.5962</v>
      </c>
      <c r="K543" s="53">
        <f>CHOOSE(CONTROL!$C$42, 25.6123, 25.6123) * CHOOSE(CONTROL!$C$21, $C$9, 100%, $E$9)</f>
        <v>25.612300000000001</v>
      </c>
      <c r="L543" s="10">
        <f>CHOOSE(CONTROL!$C$42, 26.2774, 26.2774) * CHOOSE(CONTROL!$C$21, $C$9, 100%, $E$9)</f>
        <v>26.2774</v>
      </c>
      <c r="M543" s="10">
        <f>CHOOSE(CONTROL!$C$42, 25.3517, 25.3517) * CHOOSE(CONTROL!$C$21, $C$9, 100%, $E$9)</f>
        <v>25.351700000000001</v>
      </c>
      <c r="N543" s="10">
        <f>CHOOSE(CONTROL!$C$42, 25.3661, 25.3661) * CHOOSE(CONTROL!$C$21, $C$9, 100%, $E$9)</f>
        <v>25.366099999999999</v>
      </c>
      <c r="O543" s="10">
        <f>CHOOSE(CONTROL!$C$42, 25.4449, 25.4449) * CHOOSE(CONTROL!$C$21, $C$9, 100%, $E$9)</f>
        <v>25.444900000000001</v>
      </c>
      <c r="P543" s="10">
        <f>CHOOSE(CONTROL!$C$42, 25.3715, 25.3715) * CHOOSE(CONTROL!$C$21, $C$9, 100%, $E$9)</f>
        <v>25.371500000000001</v>
      </c>
      <c r="Q543" s="10">
        <f>CHOOSE(CONTROL!$C$42, 26.0402, 26.0402) * CHOOSE(CONTROL!$C$21, $C$9, 100%, $E$9)</f>
        <v>26.040199999999999</v>
      </c>
      <c r="R543" s="10">
        <f>CHOOSE(CONTROL!$C$42, 26.6923, 26.6923) * CHOOSE(CONTROL!$C$21, $C$9, 100%, $E$9)</f>
        <v>26.692299999999999</v>
      </c>
      <c r="S543" s="10">
        <f>CHOOSE(CONTROL!$C$42, 24.8632, 24.8632) * CHOOSE(CONTROL!$C$21, $C$9, 100%, $E$9)</f>
        <v>24.863199999999999</v>
      </c>
      <c r="T5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57">
        <f>(1000*CHOOSE(CONTROL!$C$42, 695, 695)*CHOOSE(CONTROL!$C$42, 0.5599, 0.5599)*CHOOSE(CONTROL!$C$42, 31, 31))/1000000</f>
        <v>12.063045499999998</v>
      </c>
      <c r="V543" s="57">
        <f>(1000*CHOOSE(CONTROL!$C$42, 500, 500)*CHOOSE(CONTROL!$C$42, 0.275, 0.275)*CHOOSE(CONTROL!$C$42, 31, 31))/1000000</f>
        <v>4.2625000000000002</v>
      </c>
      <c r="W543" s="57">
        <f>(1000*CHOOSE(CONTROL!$C$42, 0.1146, 0.1146)*CHOOSE(CONTROL!$C$42, 121.5, 121.5)*CHOOSE(CONTROL!$C$42, 31, 31))/1000000</f>
        <v>0.43164089999999994</v>
      </c>
      <c r="X543" s="57">
        <f>(31*0.1790888*100000/1000000)+(31*0.2374*100000/1000000)</f>
        <v>1.2911152800000001</v>
      </c>
      <c r="Y543" s="57"/>
      <c r="Z543" s="10"/>
      <c r="AA543" s="56"/>
      <c r="AB543" s="50">
        <f>(B543*122.58+C543*297.941+D543*89.177+E543*40.302+F543*40+G543*160+H543*0+I543*100+J543*300)/(122.58+297.941+89.177+40.302+0+40+160+100+300)</f>
        <v>25.615022449130436</v>
      </c>
      <c r="AC543" s="45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25.397619424460437</v>
      </c>
    </row>
    <row r="544" spans="1:29" ht="15.75" x14ac:dyDescent="0.25">
      <c r="A544" s="13">
        <v>57465</v>
      </c>
      <c r="B544" s="10">
        <f>CHOOSE(CONTROL!$C$42, 25.5299, 25.5299) * CHOOSE(CONTROL!$C$21, $C$9, 100%, $E$9)</f>
        <v>25.529900000000001</v>
      </c>
      <c r="C544" s="10">
        <f>CHOOSE(CONTROL!$C$42, 25.5342, 25.5342) * CHOOSE(CONTROL!$C$21, $C$9, 100%, $E$9)</f>
        <v>25.534199999999998</v>
      </c>
      <c r="D544" s="10">
        <f>CHOOSE(CONTROL!$C$42, 25.7401, 25.7401) * CHOOSE(CONTROL!$C$21, $C$9, 100%, $E$9)</f>
        <v>25.740100000000002</v>
      </c>
      <c r="E544" s="10">
        <f>CHOOSE(CONTROL!$C$42, 25.7719, 25.7719) * CHOOSE(CONTROL!$C$21, $C$9, 100%, $E$9)</f>
        <v>25.771899999999999</v>
      </c>
      <c r="F544" s="10">
        <f>CHOOSE(CONTROL!$C$42, 25.5066, 25.5066)*CHOOSE(CONTROL!$C$21, $C$9, 100%, $E$9)</f>
        <v>25.506599999999999</v>
      </c>
      <c r="G544" s="10">
        <f>CHOOSE(CONTROL!$C$42, 25.5212, 25.5212)*CHOOSE(CONTROL!$C$21, $C$9, 100%, $E$9)</f>
        <v>25.5212</v>
      </c>
      <c r="H544" s="10">
        <f>CHOOSE(CONTROL!$C$42, 25.7617, 25.7617) * CHOOSE(CONTROL!$C$21, $C$9, 100%, $E$9)</f>
        <v>25.761700000000001</v>
      </c>
      <c r="I544" s="10">
        <f>CHOOSE(CONTROL!$C$42, 25.5313, 25.5313)* CHOOSE(CONTROL!$C$21, $C$9, 100%, $E$9)</f>
        <v>25.531300000000002</v>
      </c>
      <c r="J544" s="10">
        <f>CHOOSE(CONTROL!$C$42, 25.4996, 25.4996)* CHOOSE(CONTROL!$C$21, $C$9, 100%, $E$9)</f>
        <v>25.499600000000001</v>
      </c>
      <c r="K544" s="53">
        <f>CHOOSE(CONTROL!$C$42, 25.5274, 25.5274) * CHOOSE(CONTROL!$C$21, $C$9, 100%, $E$9)</f>
        <v>25.5274</v>
      </c>
      <c r="L544" s="10">
        <f>CHOOSE(CONTROL!$C$42, 26.3487, 26.3487) * CHOOSE(CONTROL!$C$21, $C$9, 100%, $E$9)</f>
        <v>26.348700000000001</v>
      </c>
      <c r="M544" s="10">
        <f>CHOOSE(CONTROL!$C$42, 25.2561, 25.2561) * CHOOSE(CONTROL!$C$21, $C$9, 100%, $E$9)</f>
        <v>25.2561</v>
      </c>
      <c r="N544" s="10">
        <f>CHOOSE(CONTROL!$C$42, 25.2705, 25.2705) * CHOOSE(CONTROL!$C$21, $C$9, 100%, $E$9)</f>
        <v>25.270499999999998</v>
      </c>
      <c r="O544" s="10">
        <f>CHOOSE(CONTROL!$C$42, 25.5155, 25.5155) * CHOOSE(CONTROL!$C$21, $C$9, 100%, $E$9)</f>
        <v>25.515499999999999</v>
      </c>
      <c r="P544" s="10">
        <f>CHOOSE(CONTROL!$C$42, 25.2875, 25.2875) * CHOOSE(CONTROL!$C$21, $C$9, 100%, $E$9)</f>
        <v>25.287500000000001</v>
      </c>
      <c r="Q544" s="10">
        <f>CHOOSE(CONTROL!$C$42, 26.1108, 26.1108) * CHOOSE(CONTROL!$C$21, $C$9, 100%, $E$9)</f>
        <v>26.110800000000001</v>
      </c>
      <c r="R544" s="10">
        <f>CHOOSE(CONTROL!$C$42, 26.7631, 26.7631) * CHOOSE(CONTROL!$C$21, $C$9, 100%, $E$9)</f>
        <v>26.763100000000001</v>
      </c>
      <c r="S544" s="10">
        <f>CHOOSE(CONTROL!$C$42, 24.7892, 24.7892) * CHOOSE(CONTROL!$C$21, $C$9, 100%, $E$9)</f>
        <v>24.789200000000001</v>
      </c>
      <c r="T5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57">
        <f>(1000*CHOOSE(CONTROL!$C$42, 695, 695)*CHOOSE(CONTROL!$C$42, 0.5599, 0.5599)*CHOOSE(CONTROL!$C$42, 30, 30))/1000000</f>
        <v>11.673914999999997</v>
      </c>
      <c r="V544" s="57">
        <f>(1000*CHOOSE(CONTROL!$C$42, 500, 500)*CHOOSE(CONTROL!$C$42, 0.275, 0.275)*CHOOSE(CONTROL!$C$42, 30, 30))/1000000</f>
        <v>4.125</v>
      </c>
      <c r="W544" s="57">
        <f>(1000*CHOOSE(CONTROL!$C$42, 0.1146, 0.1146)*CHOOSE(CONTROL!$C$42, 121.5, 121.5)*CHOOSE(CONTROL!$C$42, 30, 30))/1000000</f>
        <v>0.417717</v>
      </c>
      <c r="X544" s="57">
        <f>(30*0.1790888*245000/1000000)+(30*0.2374*100000/1000000)</f>
        <v>2.0285026799999999</v>
      </c>
      <c r="Y544" s="57"/>
      <c r="Z544" s="10"/>
      <c r="AA544" s="56"/>
      <c r="AB544" s="50">
        <f>(B544*141.293+C544*267.993+D544*115.016+E544*89.698+F544*40+G544*185+H544*0+I544*100+J544*300)/(141.293+267.993+115.016+89.698+0+40+185+100+300)</f>
        <v>25.558587771670702</v>
      </c>
      <c r="AC544" s="45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25.336714388489206</v>
      </c>
    </row>
    <row r="545" spans="1:29" ht="15.75" x14ac:dyDescent="0.25">
      <c r="A545" s="13">
        <v>57496</v>
      </c>
      <c r="B545" s="10">
        <f>CHOOSE(CONTROL!$C$42, 25.7566, 25.7566) * CHOOSE(CONTROL!$C$21, $C$9, 100%, $E$9)</f>
        <v>25.756599999999999</v>
      </c>
      <c r="C545" s="10">
        <f>CHOOSE(CONTROL!$C$42, 25.7645, 25.7645) * CHOOSE(CONTROL!$C$21, $C$9, 100%, $E$9)</f>
        <v>25.764500000000002</v>
      </c>
      <c r="D545" s="10">
        <f>CHOOSE(CONTROL!$C$42, 25.9672, 25.9672) * CHOOSE(CONTROL!$C$21, $C$9, 100%, $E$9)</f>
        <v>25.967199999999998</v>
      </c>
      <c r="E545" s="10">
        <f>CHOOSE(CONTROL!$C$42, 25.9983, 25.9983) * CHOOSE(CONTROL!$C$21, $C$9, 100%, $E$9)</f>
        <v>25.9983</v>
      </c>
      <c r="F545" s="10">
        <f>CHOOSE(CONTROL!$C$42, 25.7323, 25.7323)*CHOOSE(CONTROL!$C$21, $C$9, 100%, $E$9)</f>
        <v>25.732299999999999</v>
      </c>
      <c r="G545" s="10">
        <f>CHOOSE(CONTROL!$C$42, 25.7473, 25.7473)*CHOOSE(CONTROL!$C$21, $C$9, 100%, $E$9)</f>
        <v>25.747299999999999</v>
      </c>
      <c r="H545" s="10">
        <f>CHOOSE(CONTROL!$C$42, 25.987, 25.987) * CHOOSE(CONTROL!$C$21, $C$9, 100%, $E$9)</f>
        <v>25.986999999999998</v>
      </c>
      <c r="I545" s="10">
        <f>CHOOSE(CONTROL!$C$42, 25.7566, 25.7566)* CHOOSE(CONTROL!$C$21, $C$9, 100%, $E$9)</f>
        <v>25.756599999999999</v>
      </c>
      <c r="J545" s="10">
        <f>CHOOSE(CONTROL!$C$42, 25.7253, 25.7253)* CHOOSE(CONTROL!$C$21, $C$9, 100%, $E$9)</f>
        <v>25.725300000000001</v>
      </c>
      <c r="K545" s="53">
        <f>CHOOSE(CONTROL!$C$42, 25.7527, 25.7527) * CHOOSE(CONTROL!$C$21, $C$9, 100%, $E$9)</f>
        <v>25.752700000000001</v>
      </c>
      <c r="L545" s="10">
        <f>CHOOSE(CONTROL!$C$42, 26.574, 26.574) * CHOOSE(CONTROL!$C$21, $C$9, 100%, $E$9)</f>
        <v>26.574000000000002</v>
      </c>
      <c r="M545" s="10">
        <f>CHOOSE(CONTROL!$C$42, 25.4795, 25.4795) * CHOOSE(CONTROL!$C$21, $C$9, 100%, $E$9)</f>
        <v>25.479500000000002</v>
      </c>
      <c r="N545" s="10">
        <f>CHOOSE(CONTROL!$C$42, 25.4943, 25.4943) * CHOOSE(CONTROL!$C$21, $C$9, 100%, $E$9)</f>
        <v>25.494299999999999</v>
      </c>
      <c r="O545" s="10">
        <f>CHOOSE(CONTROL!$C$42, 25.7386, 25.7386) * CHOOSE(CONTROL!$C$21, $C$9, 100%, $E$9)</f>
        <v>25.738600000000002</v>
      </c>
      <c r="P545" s="10">
        <f>CHOOSE(CONTROL!$C$42, 25.5105, 25.5105) * CHOOSE(CONTROL!$C$21, $C$9, 100%, $E$9)</f>
        <v>25.5105</v>
      </c>
      <c r="Q545" s="10">
        <f>CHOOSE(CONTROL!$C$42, 26.3339, 26.3339) * CHOOSE(CONTROL!$C$21, $C$9, 100%, $E$9)</f>
        <v>26.3339</v>
      </c>
      <c r="R545" s="10">
        <f>CHOOSE(CONTROL!$C$42, 26.9867, 26.9867) * CHOOSE(CONTROL!$C$21, $C$9, 100%, $E$9)</f>
        <v>26.986699999999999</v>
      </c>
      <c r="S545" s="10">
        <f>CHOOSE(CONTROL!$C$42, 25.0079, 25.0079) * CHOOSE(CONTROL!$C$21, $C$9, 100%, $E$9)</f>
        <v>25.007899999999999</v>
      </c>
      <c r="T5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57">
        <f>(1000*CHOOSE(CONTROL!$C$42, 695, 695)*CHOOSE(CONTROL!$C$42, 0.5599, 0.5599)*CHOOSE(CONTROL!$C$42, 31, 31))/1000000</f>
        <v>12.063045499999998</v>
      </c>
      <c r="V545" s="57">
        <f>(1000*CHOOSE(CONTROL!$C$42, 500, 500)*CHOOSE(CONTROL!$C$42, 0.275, 0.275)*CHOOSE(CONTROL!$C$42, 31, 31))/1000000</f>
        <v>4.2625000000000002</v>
      </c>
      <c r="W545" s="57">
        <f>(1000*CHOOSE(CONTROL!$C$42, 0.1146, 0.1146)*CHOOSE(CONTROL!$C$42, 121.5, 121.5)*CHOOSE(CONTROL!$C$42, 31, 31))/1000000</f>
        <v>0.43164089999999994</v>
      </c>
      <c r="X545" s="57">
        <f>(31*0.1790888*245000/1000000)+(31*0.2374*100000/1000000)</f>
        <v>2.0961194359999999</v>
      </c>
      <c r="Y545" s="57"/>
      <c r="Z545" s="10"/>
      <c r="AA545" s="56"/>
      <c r="AB545" s="50">
        <f>(B545*194.205+C545*267.466+D545*133.845+E545*53.484+F545*40+G545*185+H545*0+I545*100+J545*300)/(194.205+267.466+133.845+53.484+0+40+185+100+300)</f>
        <v>25.781046876923082</v>
      </c>
      <c r="AC545" s="45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25.560064748201437</v>
      </c>
    </row>
    <row r="546" spans="1:29" ht="15.75" x14ac:dyDescent="0.25">
      <c r="A546" s="13">
        <v>57526</v>
      </c>
      <c r="B546" s="10">
        <f>CHOOSE(CONTROL!$C$42, 26.487, 26.487) * CHOOSE(CONTROL!$C$21, $C$9, 100%, $E$9)</f>
        <v>26.486999999999998</v>
      </c>
      <c r="C546" s="10">
        <f>CHOOSE(CONTROL!$C$42, 26.4949, 26.4949) * CHOOSE(CONTROL!$C$21, $C$9, 100%, $E$9)</f>
        <v>26.494900000000001</v>
      </c>
      <c r="D546" s="10">
        <f>CHOOSE(CONTROL!$C$42, 26.6977, 26.6977) * CHOOSE(CONTROL!$C$21, $C$9, 100%, $E$9)</f>
        <v>26.697700000000001</v>
      </c>
      <c r="E546" s="10">
        <f>CHOOSE(CONTROL!$C$42, 26.7288, 26.7288) * CHOOSE(CONTROL!$C$21, $C$9, 100%, $E$9)</f>
        <v>26.7288</v>
      </c>
      <c r="F546" s="10">
        <f>CHOOSE(CONTROL!$C$42, 26.4633, 26.4633)*CHOOSE(CONTROL!$C$21, $C$9, 100%, $E$9)</f>
        <v>26.4633</v>
      </c>
      <c r="G546" s="10">
        <f>CHOOSE(CONTROL!$C$42, 26.4784, 26.4784)*CHOOSE(CONTROL!$C$21, $C$9, 100%, $E$9)</f>
        <v>26.478400000000001</v>
      </c>
      <c r="H546" s="10">
        <f>CHOOSE(CONTROL!$C$42, 26.7174, 26.7174) * CHOOSE(CONTROL!$C$21, $C$9, 100%, $E$9)</f>
        <v>26.717400000000001</v>
      </c>
      <c r="I546" s="10">
        <f>CHOOSE(CONTROL!$C$42, 26.4871, 26.4871)* CHOOSE(CONTROL!$C$21, $C$9, 100%, $E$9)</f>
        <v>26.487100000000002</v>
      </c>
      <c r="J546" s="10">
        <f>CHOOSE(CONTROL!$C$42, 26.4563, 26.4563)* CHOOSE(CONTROL!$C$21, $C$9, 100%, $E$9)</f>
        <v>26.456299999999999</v>
      </c>
      <c r="K546" s="53">
        <f>CHOOSE(CONTROL!$C$42, 26.4832, 26.4832) * CHOOSE(CONTROL!$C$21, $C$9, 100%, $E$9)</f>
        <v>26.4832</v>
      </c>
      <c r="L546" s="10">
        <f>CHOOSE(CONTROL!$C$42, 27.3044, 27.3044) * CHOOSE(CONTROL!$C$21, $C$9, 100%, $E$9)</f>
        <v>27.304400000000001</v>
      </c>
      <c r="M546" s="10">
        <f>CHOOSE(CONTROL!$C$42, 26.2031, 26.2031) * CHOOSE(CONTROL!$C$21, $C$9, 100%, $E$9)</f>
        <v>26.203099999999999</v>
      </c>
      <c r="N546" s="10">
        <f>CHOOSE(CONTROL!$C$42, 26.2181, 26.2181) * CHOOSE(CONTROL!$C$21, $C$9, 100%, $E$9)</f>
        <v>26.2181</v>
      </c>
      <c r="O546" s="10">
        <f>CHOOSE(CONTROL!$C$42, 26.4616, 26.4616) * CHOOSE(CONTROL!$C$21, $C$9, 100%, $E$9)</f>
        <v>26.461600000000001</v>
      </c>
      <c r="P546" s="10">
        <f>CHOOSE(CONTROL!$C$42, 26.2336, 26.2336) * CHOOSE(CONTROL!$C$21, $C$9, 100%, $E$9)</f>
        <v>26.233599999999999</v>
      </c>
      <c r="Q546" s="10">
        <f>CHOOSE(CONTROL!$C$42, 27.0569, 27.0569) * CHOOSE(CONTROL!$C$21, $C$9, 100%, $E$9)</f>
        <v>27.056899999999999</v>
      </c>
      <c r="R546" s="10">
        <f>CHOOSE(CONTROL!$C$42, 27.7116, 27.7116) * CHOOSE(CONTROL!$C$21, $C$9, 100%, $E$9)</f>
        <v>27.711600000000001</v>
      </c>
      <c r="S546" s="10">
        <f>CHOOSE(CONTROL!$C$42, 25.7173, 25.7173) * CHOOSE(CONTROL!$C$21, $C$9, 100%, $E$9)</f>
        <v>25.717300000000002</v>
      </c>
      <c r="T5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57">
        <f>(1000*CHOOSE(CONTROL!$C$42, 695, 695)*CHOOSE(CONTROL!$C$42, 0.5599, 0.5599)*CHOOSE(CONTROL!$C$42, 30, 30))/1000000</f>
        <v>11.673914999999997</v>
      </c>
      <c r="V546" s="57">
        <f>(1000*CHOOSE(CONTROL!$C$42, 500, 500)*CHOOSE(CONTROL!$C$42, 0.275, 0.275)*CHOOSE(CONTROL!$C$42, 30, 30))/1000000</f>
        <v>4.125</v>
      </c>
      <c r="W546" s="57">
        <f>(1000*CHOOSE(CONTROL!$C$42, 0.1146, 0.1146)*CHOOSE(CONTROL!$C$42, 121.5, 121.5)*CHOOSE(CONTROL!$C$42, 30, 30))/1000000</f>
        <v>0.417717</v>
      </c>
      <c r="X546" s="57">
        <f>(30*0.1790888*245000/1000000)+(30*0.2374*100000/1000000)</f>
        <v>2.0285026799999999</v>
      </c>
      <c r="Y546" s="57"/>
      <c r="Z546" s="10"/>
      <c r="AA546" s="56"/>
      <c r="AB546" s="50">
        <f>(B546*194.205+C546*267.466+D546*133.845+E546*53.484+F546*40+G546*185+H546*0+I546*100+J546*300)/(194.205+267.466+133.845+53.484+0+40+185+100+300)</f>
        <v>26.511731204160125</v>
      </c>
      <c r="AC546" s="45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26.283470503597119</v>
      </c>
    </row>
    <row r="547" spans="1:29" ht="15.75" x14ac:dyDescent="0.25">
      <c r="A547" s="13">
        <v>57557</v>
      </c>
      <c r="B547" s="10">
        <f>CHOOSE(CONTROL!$C$42, 25.979, 25.979) * CHOOSE(CONTROL!$C$21, $C$9, 100%, $E$9)</f>
        <v>25.978999999999999</v>
      </c>
      <c r="C547" s="10">
        <f>CHOOSE(CONTROL!$C$42, 25.9869, 25.9869) * CHOOSE(CONTROL!$C$21, $C$9, 100%, $E$9)</f>
        <v>25.986899999999999</v>
      </c>
      <c r="D547" s="10">
        <f>CHOOSE(CONTROL!$C$42, 26.1896, 26.1896) * CHOOSE(CONTROL!$C$21, $C$9, 100%, $E$9)</f>
        <v>26.189599999999999</v>
      </c>
      <c r="E547" s="10">
        <f>CHOOSE(CONTROL!$C$42, 26.2208, 26.2208) * CHOOSE(CONTROL!$C$21, $C$9, 100%, $E$9)</f>
        <v>26.220800000000001</v>
      </c>
      <c r="F547" s="10">
        <f>CHOOSE(CONTROL!$C$42, 25.9557, 25.9557)*CHOOSE(CONTROL!$C$21, $C$9, 100%, $E$9)</f>
        <v>25.9557</v>
      </c>
      <c r="G547" s="10">
        <f>CHOOSE(CONTROL!$C$42, 25.971, 25.971)*CHOOSE(CONTROL!$C$21, $C$9, 100%, $E$9)</f>
        <v>25.971</v>
      </c>
      <c r="H547" s="10">
        <f>CHOOSE(CONTROL!$C$42, 26.2094, 26.2094) * CHOOSE(CONTROL!$C$21, $C$9, 100%, $E$9)</f>
        <v>26.209399999999999</v>
      </c>
      <c r="I547" s="10">
        <f>CHOOSE(CONTROL!$C$42, 25.979, 25.979)* CHOOSE(CONTROL!$C$21, $C$9, 100%, $E$9)</f>
        <v>25.978999999999999</v>
      </c>
      <c r="J547" s="10">
        <f>CHOOSE(CONTROL!$C$42, 25.9487, 25.9487)* CHOOSE(CONTROL!$C$21, $C$9, 100%, $E$9)</f>
        <v>25.948699999999999</v>
      </c>
      <c r="K547" s="53">
        <f>CHOOSE(CONTROL!$C$42, 25.9751, 25.9751) * CHOOSE(CONTROL!$C$21, $C$9, 100%, $E$9)</f>
        <v>25.975100000000001</v>
      </c>
      <c r="L547" s="10">
        <f>CHOOSE(CONTROL!$C$42, 26.7964, 26.7964) * CHOOSE(CONTROL!$C$21, $C$9, 100%, $E$9)</f>
        <v>26.796399999999998</v>
      </c>
      <c r="M547" s="10">
        <f>CHOOSE(CONTROL!$C$42, 25.7007, 25.7007) * CHOOSE(CONTROL!$C$21, $C$9, 100%, $E$9)</f>
        <v>25.700700000000001</v>
      </c>
      <c r="N547" s="10">
        <f>CHOOSE(CONTROL!$C$42, 25.7158, 25.7158) * CHOOSE(CONTROL!$C$21, $C$9, 100%, $E$9)</f>
        <v>25.715800000000002</v>
      </c>
      <c r="O547" s="10">
        <f>CHOOSE(CONTROL!$C$42, 25.9587, 25.9587) * CHOOSE(CONTROL!$C$21, $C$9, 100%, $E$9)</f>
        <v>25.9587</v>
      </c>
      <c r="P547" s="10">
        <f>CHOOSE(CONTROL!$C$42, 25.7307, 25.7307) * CHOOSE(CONTROL!$C$21, $C$9, 100%, $E$9)</f>
        <v>25.730699999999999</v>
      </c>
      <c r="Q547" s="10">
        <f>CHOOSE(CONTROL!$C$42, 26.554, 26.554) * CHOOSE(CONTROL!$C$21, $C$9, 100%, $E$9)</f>
        <v>26.553999999999998</v>
      </c>
      <c r="R547" s="10">
        <f>CHOOSE(CONTROL!$C$42, 27.2074, 27.2074) * CHOOSE(CONTROL!$C$21, $C$9, 100%, $E$9)</f>
        <v>27.2074</v>
      </c>
      <c r="S547" s="10">
        <f>CHOOSE(CONTROL!$C$42, 25.2239, 25.2239) * CHOOSE(CONTROL!$C$21, $C$9, 100%, $E$9)</f>
        <v>25.2239</v>
      </c>
      <c r="T5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57">
        <f>(1000*CHOOSE(CONTROL!$C$42, 695, 695)*CHOOSE(CONTROL!$C$42, 0.5599, 0.5599)*CHOOSE(CONTROL!$C$42, 31, 31))/1000000</f>
        <v>12.063045499999998</v>
      </c>
      <c r="V547" s="57">
        <f>(1000*CHOOSE(CONTROL!$C$42, 500, 500)*CHOOSE(CONTROL!$C$42, 0.275, 0.275)*CHOOSE(CONTROL!$C$42, 31, 31))/1000000</f>
        <v>4.2625000000000002</v>
      </c>
      <c r="W547" s="57">
        <f>(1000*CHOOSE(CONTROL!$C$42, 0.1146, 0.1146)*CHOOSE(CONTROL!$C$42, 121.5, 121.5)*CHOOSE(CONTROL!$C$42, 31, 31))/1000000</f>
        <v>0.43164089999999994</v>
      </c>
      <c r="X547" s="57">
        <f>(31*0.1790888*245000/1000000)+(31*0.2374*100000/1000000)</f>
        <v>2.0961194359999999</v>
      </c>
      <c r="Y547" s="57"/>
      <c r="Z547" s="10"/>
      <c r="AA547" s="56"/>
      <c r="AB547" s="50">
        <f>(B547*194.205+C547*267.466+D547*133.845+E547*53.484+F547*40+G547*185+H547*0+I547*100+J547*300)/(194.205+267.466+133.845+53.484+0+40+185+100+300)</f>
        <v>26.003906726530616</v>
      </c>
      <c r="AC547" s="45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25.780881294964029</v>
      </c>
    </row>
    <row r="548" spans="1:29" ht="15.75" x14ac:dyDescent="0.25">
      <c r="A548" s="13">
        <v>57588</v>
      </c>
      <c r="B548" s="10">
        <f>CHOOSE(CONTROL!$C$42, 24.696, 24.696) * CHOOSE(CONTROL!$C$21, $C$9, 100%, $E$9)</f>
        <v>24.696000000000002</v>
      </c>
      <c r="C548" s="10">
        <f>CHOOSE(CONTROL!$C$42, 24.7039, 24.7039) * CHOOSE(CONTROL!$C$21, $C$9, 100%, $E$9)</f>
        <v>24.703900000000001</v>
      </c>
      <c r="D548" s="10">
        <f>CHOOSE(CONTROL!$C$42, 24.9067, 24.9067) * CHOOSE(CONTROL!$C$21, $C$9, 100%, $E$9)</f>
        <v>24.906700000000001</v>
      </c>
      <c r="E548" s="10">
        <f>CHOOSE(CONTROL!$C$42, 24.9378, 24.9378) * CHOOSE(CONTROL!$C$21, $C$9, 100%, $E$9)</f>
        <v>24.937799999999999</v>
      </c>
      <c r="F548" s="10">
        <f>CHOOSE(CONTROL!$C$42, 24.673, 24.673)*CHOOSE(CONTROL!$C$21, $C$9, 100%, $E$9)</f>
        <v>24.672999999999998</v>
      </c>
      <c r="G548" s="10">
        <f>CHOOSE(CONTROL!$C$42, 24.6883, 24.6883)*CHOOSE(CONTROL!$C$21, $C$9, 100%, $E$9)</f>
        <v>24.688300000000002</v>
      </c>
      <c r="H548" s="10">
        <f>CHOOSE(CONTROL!$C$42, 24.9264, 24.9264) * CHOOSE(CONTROL!$C$21, $C$9, 100%, $E$9)</f>
        <v>24.926400000000001</v>
      </c>
      <c r="I548" s="10">
        <f>CHOOSE(CONTROL!$C$42, 24.6961, 24.6961)* CHOOSE(CONTROL!$C$21, $C$9, 100%, $E$9)</f>
        <v>24.696100000000001</v>
      </c>
      <c r="J548" s="10">
        <f>CHOOSE(CONTROL!$C$42, 24.666, 24.666)* CHOOSE(CONTROL!$C$21, $C$9, 100%, $E$9)</f>
        <v>24.666</v>
      </c>
      <c r="K548" s="53">
        <f>CHOOSE(CONTROL!$C$42, 24.6922, 24.6922) * CHOOSE(CONTROL!$C$21, $C$9, 100%, $E$9)</f>
        <v>24.6922</v>
      </c>
      <c r="L548" s="10">
        <f>CHOOSE(CONTROL!$C$42, 25.5134, 25.5134) * CHOOSE(CONTROL!$C$21, $C$9, 100%, $E$9)</f>
        <v>25.513400000000001</v>
      </c>
      <c r="M548" s="10">
        <f>CHOOSE(CONTROL!$C$42, 24.4309, 24.4309) * CHOOSE(CONTROL!$C$21, $C$9, 100%, $E$9)</f>
        <v>24.430900000000001</v>
      </c>
      <c r="N548" s="10">
        <f>CHOOSE(CONTROL!$C$42, 24.446, 24.446) * CHOOSE(CONTROL!$C$21, $C$9, 100%, $E$9)</f>
        <v>24.446000000000002</v>
      </c>
      <c r="O548" s="10">
        <f>CHOOSE(CONTROL!$C$42, 24.6887, 24.6887) * CHOOSE(CONTROL!$C$21, $C$9, 100%, $E$9)</f>
        <v>24.688700000000001</v>
      </c>
      <c r="P548" s="10">
        <f>CHOOSE(CONTROL!$C$42, 24.4607, 24.4607) * CHOOSE(CONTROL!$C$21, $C$9, 100%, $E$9)</f>
        <v>24.460699999999999</v>
      </c>
      <c r="Q548" s="10">
        <f>CHOOSE(CONTROL!$C$42, 25.284, 25.284) * CHOOSE(CONTROL!$C$21, $C$9, 100%, $E$9)</f>
        <v>25.283999999999999</v>
      </c>
      <c r="R548" s="10">
        <f>CHOOSE(CONTROL!$C$42, 25.9342, 25.9342) * CHOOSE(CONTROL!$C$21, $C$9, 100%, $E$9)</f>
        <v>25.934200000000001</v>
      </c>
      <c r="S548" s="10">
        <f>CHOOSE(CONTROL!$C$42, 23.9781, 23.9781) * CHOOSE(CONTROL!$C$21, $C$9, 100%, $E$9)</f>
        <v>23.978100000000001</v>
      </c>
      <c r="T5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57">
        <f>(1000*CHOOSE(CONTROL!$C$42, 695, 695)*CHOOSE(CONTROL!$C$42, 0.5599, 0.5599)*CHOOSE(CONTROL!$C$42, 31, 31))/1000000</f>
        <v>12.063045499999998</v>
      </c>
      <c r="V548" s="57">
        <f>(1000*CHOOSE(CONTROL!$C$42, 500, 500)*CHOOSE(CONTROL!$C$42, 0.275, 0.275)*CHOOSE(CONTROL!$C$42, 31, 31))/1000000</f>
        <v>4.2625000000000002</v>
      </c>
      <c r="W548" s="57">
        <f>(1000*CHOOSE(CONTROL!$C$42, 0.1146, 0.1146)*CHOOSE(CONTROL!$C$42, 121.5, 121.5)*CHOOSE(CONTROL!$C$42, 31, 31))/1000000</f>
        <v>0.43164089999999994</v>
      </c>
      <c r="X548" s="57">
        <f>(31*0.1790888*245000/1000000)+(31*0.2374*100000/1000000)</f>
        <v>2.0961194359999999</v>
      </c>
      <c r="Y548" s="57"/>
      <c r="Z548" s="10"/>
      <c r="AA548" s="56"/>
      <c r="AB548" s="50">
        <f>(B548*194.205+C548*267.466+D548*133.845+E548*53.484+F548*40+G548*185+H548*0+I548*100+J548*300)/(194.205+267.466+133.845+53.484+0+40+185+100+300)</f>
        <v>24.721048708084773</v>
      </c>
      <c r="AC548" s="45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24.510996402877701</v>
      </c>
    </row>
    <row r="549" spans="1:29" ht="15.75" x14ac:dyDescent="0.25">
      <c r="A549" s="13">
        <v>57618</v>
      </c>
      <c r="B549" s="10">
        <f>CHOOSE(CONTROL!$C$42, 23.1281, 23.1281) * CHOOSE(CONTROL!$C$21, $C$9, 100%, $E$9)</f>
        <v>23.1281</v>
      </c>
      <c r="C549" s="10">
        <f>CHOOSE(CONTROL!$C$42, 23.136, 23.136) * CHOOSE(CONTROL!$C$21, $C$9, 100%, $E$9)</f>
        <v>23.135999999999999</v>
      </c>
      <c r="D549" s="10">
        <f>CHOOSE(CONTROL!$C$42, 23.3387, 23.3387) * CHOOSE(CONTROL!$C$21, $C$9, 100%, $E$9)</f>
        <v>23.338699999999999</v>
      </c>
      <c r="E549" s="10">
        <f>CHOOSE(CONTROL!$C$42, 23.3699, 23.3699) * CHOOSE(CONTROL!$C$21, $C$9, 100%, $E$9)</f>
        <v>23.369900000000001</v>
      </c>
      <c r="F549" s="10">
        <f>CHOOSE(CONTROL!$C$42, 23.1049, 23.1049)*CHOOSE(CONTROL!$C$21, $C$9, 100%, $E$9)</f>
        <v>23.104900000000001</v>
      </c>
      <c r="G549" s="10">
        <f>CHOOSE(CONTROL!$C$42, 23.1202, 23.1202)*CHOOSE(CONTROL!$C$21, $C$9, 100%, $E$9)</f>
        <v>23.120200000000001</v>
      </c>
      <c r="H549" s="10">
        <f>CHOOSE(CONTROL!$C$42, 23.3585, 23.3585) * CHOOSE(CONTROL!$C$21, $C$9, 100%, $E$9)</f>
        <v>23.358499999999999</v>
      </c>
      <c r="I549" s="10">
        <f>CHOOSE(CONTROL!$C$42, 23.1281, 23.1281)* CHOOSE(CONTROL!$C$21, $C$9, 100%, $E$9)</f>
        <v>23.1281</v>
      </c>
      <c r="J549" s="10">
        <f>CHOOSE(CONTROL!$C$42, 23.0979, 23.0979)* CHOOSE(CONTROL!$C$21, $C$9, 100%, $E$9)</f>
        <v>23.097899999999999</v>
      </c>
      <c r="K549" s="53">
        <f>CHOOSE(CONTROL!$C$42, 23.1242, 23.1242) * CHOOSE(CONTROL!$C$21, $C$9, 100%, $E$9)</f>
        <v>23.124199999999998</v>
      </c>
      <c r="L549" s="10">
        <f>CHOOSE(CONTROL!$C$42, 23.9455, 23.9455) * CHOOSE(CONTROL!$C$21, $C$9, 100%, $E$9)</f>
        <v>23.945499999999999</v>
      </c>
      <c r="M549" s="10">
        <f>CHOOSE(CONTROL!$C$42, 22.8786, 22.8786) * CHOOSE(CONTROL!$C$21, $C$9, 100%, $E$9)</f>
        <v>22.878599999999999</v>
      </c>
      <c r="N549" s="10">
        <f>CHOOSE(CONTROL!$C$42, 22.8937, 22.8937) * CHOOSE(CONTROL!$C$21, $C$9, 100%, $E$9)</f>
        <v>22.893699999999999</v>
      </c>
      <c r="O549" s="10">
        <f>CHOOSE(CONTROL!$C$42, 23.1366, 23.1366) * CHOOSE(CONTROL!$C$21, $C$9, 100%, $E$9)</f>
        <v>23.136600000000001</v>
      </c>
      <c r="P549" s="10">
        <f>CHOOSE(CONTROL!$C$42, 22.9086, 22.9086) * CHOOSE(CONTROL!$C$21, $C$9, 100%, $E$9)</f>
        <v>22.9086</v>
      </c>
      <c r="Q549" s="10">
        <f>CHOOSE(CONTROL!$C$42, 23.7319, 23.7319) * CHOOSE(CONTROL!$C$21, $C$9, 100%, $E$9)</f>
        <v>23.7319</v>
      </c>
      <c r="R549" s="10">
        <f>CHOOSE(CONTROL!$C$42, 24.3782, 24.3782) * CHOOSE(CONTROL!$C$21, $C$9, 100%, $E$9)</f>
        <v>24.3782</v>
      </c>
      <c r="S549" s="10">
        <f>CHOOSE(CONTROL!$C$42, 22.4554, 22.4554) * CHOOSE(CONTROL!$C$21, $C$9, 100%, $E$9)</f>
        <v>22.455400000000001</v>
      </c>
      <c r="T5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57">
        <f>(1000*CHOOSE(CONTROL!$C$42, 695, 695)*CHOOSE(CONTROL!$C$42, 0.5599, 0.5599)*CHOOSE(CONTROL!$C$42, 30, 30))/1000000</f>
        <v>11.673914999999997</v>
      </c>
      <c r="V549" s="57">
        <f>(1000*CHOOSE(CONTROL!$C$42, 500, 500)*CHOOSE(CONTROL!$C$42, 0.275, 0.275)*CHOOSE(CONTROL!$C$42, 30, 30))/1000000</f>
        <v>4.125</v>
      </c>
      <c r="W549" s="57">
        <f>(1000*CHOOSE(CONTROL!$C$42, 0.1146, 0.1146)*CHOOSE(CONTROL!$C$42, 121.5, 121.5)*CHOOSE(CONTROL!$C$42, 30, 30))/1000000</f>
        <v>0.417717</v>
      </c>
      <c r="X549" s="57">
        <f>(30*0.1790888*245000/1000000)+(30*0.2374*100000/1000000)</f>
        <v>2.0285026799999999</v>
      </c>
      <c r="Y549" s="57"/>
      <c r="Z549" s="10"/>
      <c r="AA549" s="56"/>
      <c r="AB549" s="50">
        <f>(B549*194.205+C549*267.466+D549*133.845+E549*53.484+F549*40+G549*185+H549*0+I549*100+J549*300)/(194.205+267.466+133.845+53.484+0+40+185+100+300)</f>
        <v>23.153047935321819</v>
      </c>
      <c r="AC549" s="45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22.95878129496403</v>
      </c>
    </row>
    <row r="550" spans="1:29" ht="15.75" x14ac:dyDescent="0.25">
      <c r="A550" s="13">
        <v>57649</v>
      </c>
      <c r="B550" s="10">
        <f>CHOOSE(CONTROL!$C$42, 22.6568, 22.6568) * CHOOSE(CONTROL!$C$21, $C$9, 100%, $E$9)</f>
        <v>22.6568</v>
      </c>
      <c r="C550" s="10">
        <f>CHOOSE(CONTROL!$C$42, 22.662, 22.662) * CHOOSE(CONTROL!$C$21, $C$9, 100%, $E$9)</f>
        <v>22.661999999999999</v>
      </c>
      <c r="D550" s="10">
        <f>CHOOSE(CONTROL!$C$42, 22.8697, 22.8697) * CHOOSE(CONTROL!$C$21, $C$9, 100%, $E$9)</f>
        <v>22.869700000000002</v>
      </c>
      <c r="E550" s="10">
        <f>CHOOSE(CONTROL!$C$42, 22.8985, 22.8985) * CHOOSE(CONTROL!$C$21, $C$9, 100%, $E$9)</f>
        <v>22.898499999999999</v>
      </c>
      <c r="F550" s="10">
        <f>CHOOSE(CONTROL!$C$42, 22.6356, 22.6356)*CHOOSE(CONTROL!$C$21, $C$9, 100%, $E$9)</f>
        <v>22.6356</v>
      </c>
      <c r="G550" s="10">
        <f>CHOOSE(CONTROL!$C$42, 22.6505, 22.6505)*CHOOSE(CONTROL!$C$21, $C$9, 100%, $E$9)</f>
        <v>22.650500000000001</v>
      </c>
      <c r="H550" s="10">
        <f>CHOOSE(CONTROL!$C$42, 22.889, 22.889) * CHOOSE(CONTROL!$C$21, $C$9, 100%, $E$9)</f>
        <v>22.888999999999999</v>
      </c>
      <c r="I550" s="10">
        <f>CHOOSE(CONTROL!$C$42, 22.6586, 22.6586)* CHOOSE(CONTROL!$C$21, $C$9, 100%, $E$9)</f>
        <v>22.6586</v>
      </c>
      <c r="J550" s="10">
        <f>CHOOSE(CONTROL!$C$42, 22.6286, 22.6286)* CHOOSE(CONTROL!$C$21, $C$9, 100%, $E$9)</f>
        <v>22.628599999999999</v>
      </c>
      <c r="K550" s="53">
        <f>CHOOSE(CONTROL!$C$42, 22.6547, 22.6547) * CHOOSE(CONTROL!$C$21, $C$9, 100%, $E$9)</f>
        <v>22.654699999999998</v>
      </c>
      <c r="L550" s="10">
        <f>CHOOSE(CONTROL!$C$42, 23.476, 23.476) * CHOOSE(CONTROL!$C$21, $C$9, 100%, $E$9)</f>
        <v>23.475999999999999</v>
      </c>
      <c r="M550" s="10">
        <f>CHOOSE(CONTROL!$C$42, 22.414, 22.414) * CHOOSE(CONTROL!$C$21, $C$9, 100%, $E$9)</f>
        <v>22.414000000000001</v>
      </c>
      <c r="N550" s="10">
        <f>CHOOSE(CONTROL!$C$42, 22.4288, 22.4288) * CHOOSE(CONTROL!$C$21, $C$9, 100%, $E$9)</f>
        <v>22.428799999999999</v>
      </c>
      <c r="O550" s="10">
        <f>CHOOSE(CONTROL!$C$42, 22.6718, 22.6718) * CHOOSE(CONTROL!$C$21, $C$9, 100%, $E$9)</f>
        <v>22.671800000000001</v>
      </c>
      <c r="P550" s="10">
        <f>CHOOSE(CONTROL!$C$42, 22.4438, 22.4438) * CHOOSE(CONTROL!$C$21, $C$9, 100%, $E$9)</f>
        <v>22.4438</v>
      </c>
      <c r="Q550" s="10">
        <f>CHOOSE(CONTROL!$C$42, 23.2671, 23.2671) * CHOOSE(CONTROL!$C$21, $C$9, 100%, $E$9)</f>
        <v>23.267099999999999</v>
      </c>
      <c r="R550" s="10">
        <f>CHOOSE(CONTROL!$C$42, 23.9123, 23.9123) * CHOOSE(CONTROL!$C$21, $C$9, 100%, $E$9)</f>
        <v>23.912299999999998</v>
      </c>
      <c r="S550" s="10">
        <f>CHOOSE(CONTROL!$C$42, 21.9995, 21.9995) * CHOOSE(CONTROL!$C$21, $C$9, 100%, $E$9)</f>
        <v>21.999500000000001</v>
      </c>
      <c r="T5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57">
        <f>(1000*CHOOSE(CONTROL!$C$42, 695, 695)*CHOOSE(CONTROL!$C$42, 0.5599, 0.5599)*CHOOSE(CONTROL!$C$42, 31, 31))/1000000</f>
        <v>12.063045499999998</v>
      </c>
      <c r="V550" s="57">
        <f>(1000*CHOOSE(CONTROL!$C$42, 500, 500)*CHOOSE(CONTROL!$C$42, 0.275, 0.275)*CHOOSE(CONTROL!$C$42, 31, 31))/1000000</f>
        <v>4.2625000000000002</v>
      </c>
      <c r="W550" s="57">
        <f>(1000*CHOOSE(CONTROL!$C$42, 0.1146, 0.1146)*CHOOSE(CONTROL!$C$42, 121.5, 121.5)*CHOOSE(CONTROL!$C$42, 31, 31))/1000000</f>
        <v>0.43164089999999994</v>
      </c>
      <c r="X550" s="57">
        <f>(31*0.1790888*245000/1000000)+(31*0.2374*100000/1000000)</f>
        <v>2.0961194359999999</v>
      </c>
      <c r="Y550" s="57"/>
      <c r="Z550" s="10"/>
      <c r="AA550" s="56"/>
      <c r="AB550" s="50">
        <f>(B550*131.881+C550*277.167+D550*79.08+E550*125.872+F550*40+G550*185+H550*0+I550*100+J550*300)/(131.881+277.167+79.08+125.872+0+40+185+100+300)</f>
        <v>22.687798517191283</v>
      </c>
      <c r="AC550" s="45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22.494027338129499</v>
      </c>
    </row>
    <row r="551" spans="1:29" ht="15.75" x14ac:dyDescent="0.25">
      <c r="A551" s="13">
        <v>57679</v>
      </c>
      <c r="B551" s="10">
        <f>CHOOSE(CONTROL!$C$42, 23.2532, 23.2532) * CHOOSE(CONTROL!$C$21, $C$9, 100%, $E$9)</f>
        <v>23.2532</v>
      </c>
      <c r="C551" s="10">
        <f>CHOOSE(CONTROL!$C$42, 23.2582, 23.2582) * CHOOSE(CONTROL!$C$21, $C$9, 100%, $E$9)</f>
        <v>23.258199999999999</v>
      </c>
      <c r="D551" s="10">
        <f>CHOOSE(CONTROL!$C$42, 23.3187, 23.3187) * CHOOSE(CONTROL!$C$21, $C$9, 100%, $E$9)</f>
        <v>23.3187</v>
      </c>
      <c r="E551" s="10">
        <f>CHOOSE(CONTROL!$C$42, 23.3524, 23.3524) * CHOOSE(CONTROL!$C$21, $C$9, 100%, $E$9)</f>
        <v>23.352399999999999</v>
      </c>
      <c r="F551" s="10">
        <f>CHOOSE(CONTROL!$C$42, 23.2488, 23.2488)*CHOOSE(CONTROL!$C$21, $C$9, 100%, $E$9)</f>
        <v>23.248799999999999</v>
      </c>
      <c r="G551" s="10">
        <f>CHOOSE(CONTROL!$C$42, 23.2641, 23.2641)*CHOOSE(CONTROL!$C$21, $C$9, 100%, $E$9)</f>
        <v>23.264099999999999</v>
      </c>
      <c r="H551" s="10">
        <f>CHOOSE(CONTROL!$C$42, 23.3416, 23.3416) * CHOOSE(CONTROL!$C$21, $C$9, 100%, $E$9)</f>
        <v>23.3416</v>
      </c>
      <c r="I551" s="10">
        <f>CHOOSE(CONTROL!$C$42, 23.2657, 23.2657)* CHOOSE(CONTROL!$C$21, $C$9, 100%, $E$9)</f>
        <v>23.265699999999999</v>
      </c>
      <c r="J551" s="10">
        <f>CHOOSE(CONTROL!$C$42, 23.2418, 23.2418)* CHOOSE(CONTROL!$C$21, $C$9, 100%, $E$9)</f>
        <v>23.241800000000001</v>
      </c>
      <c r="K551" s="53">
        <f>CHOOSE(CONTROL!$C$42, 23.2618, 23.2618) * CHOOSE(CONTROL!$C$21, $C$9, 100%, $E$9)</f>
        <v>23.261800000000001</v>
      </c>
      <c r="L551" s="10">
        <f>CHOOSE(CONTROL!$C$42, 23.9286, 23.9286) * CHOOSE(CONTROL!$C$21, $C$9, 100%, $E$9)</f>
        <v>23.928599999999999</v>
      </c>
      <c r="M551" s="10">
        <f>CHOOSE(CONTROL!$C$42, 23.0211, 23.0211) * CHOOSE(CONTROL!$C$21, $C$9, 100%, $E$9)</f>
        <v>23.021100000000001</v>
      </c>
      <c r="N551" s="10">
        <f>CHOOSE(CONTROL!$C$42, 23.0362, 23.0362) * CHOOSE(CONTROL!$C$21, $C$9, 100%, $E$9)</f>
        <v>23.036200000000001</v>
      </c>
      <c r="O551" s="10">
        <f>CHOOSE(CONTROL!$C$42, 23.1199, 23.1199) * CHOOSE(CONTROL!$C$21, $C$9, 100%, $E$9)</f>
        <v>23.119900000000001</v>
      </c>
      <c r="P551" s="10">
        <f>CHOOSE(CONTROL!$C$42, 23.0448, 23.0448) * CHOOSE(CONTROL!$C$21, $C$9, 100%, $E$9)</f>
        <v>23.044799999999999</v>
      </c>
      <c r="Q551" s="10">
        <f>CHOOSE(CONTROL!$C$42, 23.7152, 23.7152) * CHOOSE(CONTROL!$C$21, $C$9, 100%, $E$9)</f>
        <v>23.715199999999999</v>
      </c>
      <c r="R551" s="10">
        <f>CHOOSE(CONTROL!$C$42, 24.3615, 24.3615) * CHOOSE(CONTROL!$C$21, $C$9, 100%, $E$9)</f>
        <v>24.361499999999999</v>
      </c>
      <c r="S551" s="10">
        <f>CHOOSE(CONTROL!$C$42, 22.5791, 22.5791) * CHOOSE(CONTROL!$C$21, $C$9, 100%, $E$9)</f>
        <v>22.5791</v>
      </c>
      <c r="T5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57">
        <f>(1000*CHOOSE(CONTROL!$C$42, 695, 695)*CHOOSE(CONTROL!$C$42, 0.5599, 0.5599)*CHOOSE(CONTROL!$C$42, 30, 30))/1000000</f>
        <v>11.673914999999997</v>
      </c>
      <c r="V551" s="57">
        <f>(1000*CHOOSE(CONTROL!$C$42, 500, 500)*CHOOSE(CONTROL!$C$42, 0.275, 0.275)*CHOOSE(CONTROL!$C$42, 30, 30))/1000000</f>
        <v>4.125</v>
      </c>
      <c r="W551" s="57">
        <f>(1000*CHOOSE(CONTROL!$C$42, 0.1146, 0.1146)*CHOOSE(CONTROL!$C$42, 121.5, 121.5)*CHOOSE(CONTROL!$C$42, 30, 30))/1000000</f>
        <v>0.417717</v>
      </c>
      <c r="X551" s="57">
        <f>(30*0.1790888*100000/1000000)+(30*0.2374*100000/1000000)</f>
        <v>1.2494664</v>
      </c>
      <c r="Y551" s="57"/>
      <c r="Z551" s="10"/>
      <c r="AA551" s="56"/>
      <c r="AB551" s="50">
        <f>(B551*122.58+C551*297.941+D551*89.177+E551*40.302+F551*40+G551*160+H551*0+I551*100+J551*300)/(122.58+297.941+89.177+40.302+0+40+160+100+300)</f>
        <v>23.262527614695649</v>
      </c>
      <c r="AC551" s="45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23.070158992805755</v>
      </c>
    </row>
    <row r="552" spans="1:29" ht="15.75" x14ac:dyDescent="0.25">
      <c r="A552" s="13">
        <v>57710</v>
      </c>
      <c r="B552" s="10">
        <f>CHOOSE(CONTROL!$C$42, 24.8384, 24.8384) * CHOOSE(CONTROL!$C$21, $C$9, 100%, $E$9)</f>
        <v>24.8384</v>
      </c>
      <c r="C552" s="10">
        <f>CHOOSE(CONTROL!$C$42, 24.8434, 24.8434) * CHOOSE(CONTROL!$C$21, $C$9, 100%, $E$9)</f>
        <v>24.843399999999999</v>
      </c>
      <c r="D552" s="10">
        <f>CHOOSE(CONTROL!$C$42, 24.9039, 24.9039) * CHOOSE(CONTROL!$C$21, $C$9, 100%, $E$9)</f>
        <v>24.9039</v>
      </c>
      <c r="E552" s="10">
        <f>CHOOSE(CONTROL!$C$42, 24.9376, 24.9376) * CHOOSE(CONTROL!$C$21, $C$9, 100%, $E$9)</f>
        <v>24.9376</v>
      </c>
      <c r="F552" s="10">
        <f>CHOOSE(CONTROL!$C$42, 24.8359, 24.8359)*CHOOSE(CONTROL!$C$21, $C$9, 100%, $E$9)</f>
        <v>24.835899999999999</v>
      </c>
      <c r="G552" s="10">
        <f>CHOOSE(CONTROL!$C$42, 24.8516, 24.8516)*CHOOSE(CONTROL!$C$21, $C$9, 100%, $E$9)</f>
        <v>24.851600000000001</v>
      </c>
      <c r="H552" s="10">
        <f>CHOOSE(CONTROL!$C$42, 24.9268, 24.9268) * CHOOSE(CONTROL!$C$21, $C$9, 100%, $E$9)</f>
        <v>24.9268</v>
      </c>
      <c r="I552" s="10">
        <f>CHOOSE(CONTROL!$C$42, 24.8509, 24.8509)* CHOOSE(CONTROL!$C$21, $C$9, 100%, $E$9)</f>
        <v>24.850899999999999</v>
      </c>
      <c r="J552" s="10">
        <f>CHOOSE(CONTROL!$C$42, 24.8289, 24.8289)* CHOOSE(CONTROL!$C$21, $C$9, 100%, $E$9)</f>
        <v>24.828900000000001</v>
      </c>
      <c r="K552" s="53">
        <f>CHOOSE(CONTROL!$C$42, 24.847, 24.847) * CHOOSE(CONTROL!$C$21, $C$9, 100%, $E$9)</f>
        <v>24.847000000000001</v>
      </c>
      <c r="L552" s="10">
        <f>CHOOSE(CONTROL!$C$42, 25.5138, 25.5138) * CHOOSE(CONTROL!$C$21, $C$9, 100%, $E$9)</f>
        <v>25.5138</v>
      </c>
      <c r="M552" s="10">
        <f>CHOOSE(CONTROL!$C$42, 24.5921, 24.5921) * CHOOSE(CONTROL!$C$21, $C$9, 100%, $E$9)</f>
        <v>24.592099999999999</v>
      </c>
      <c r="N552" s="10">
        <f>CHOOSE(CONTROL!$C$42, 24.6077, 24.6077) * CHOOSE(CONTROL!$C$21, $C$9, 100%, $E$9)</f>
        <v>24.607700000000001</v>
      </c>
      <c r="O552" s="10">
        <f>CHOOSE(CONTROL!$C$42, 24.6891, 24.6891) * CHOOSE(CONTROL!$C$21, $C$9, 100%, $E$9)</f>
        <v>24.6891</v>
      </c>
      <c r="P552" s="10">
        <f>CHOOSE(CONTROL!$C$42, 24.614, 24.614) * CHOOSE(CONTROL!$C$21, $C$9, 100%, $E$9)</f>
        <v>24.614000000000001</v>
      </c>
      <c r="Q552" s="10">
        <f>CHOOSE(CONTROL!$C$42, 25.2844, 25.2844) * CHOOSE(CONTROL!$C$21, $C$9, 100%, $E$9)</f>
        <v>25.284400000000002</v>
      </c>
      <c r="R552" s="10">
        <f>CHOOSE(CONTROL!$C$42, 25.9346, 25.9346) * CHOOSE(CONTROL!$C$21, $C$9, 100%, $E$9)</f>
        <v>25.9346</v>
      </c>
      <c r="S552" s="10">
        <f>CHOOSE(CONTROL!$C$42, 24.1184, 24.1184) * CHOOSE(CONTROL!$C$21, $C$9, 100%, $E$9)</f>
        <v>24.118400000000001</v>
      </c>
      <c r="T5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57">
        <f>(1000*CHOOSE(CONTROL!$C$42, 695, 695)*CHOOSE(CONTROL!$C$42, 0.5599, 0.5599)*CHOOSE(CONTROL!$C$42, 31, 31))/1000000</f>
        <v>12.063045499999998</v>
      </c>
      <c r="V552" s="57">
        <f>(1000*CHOOSE(CONTROL!$C$42, 500, 500)*CHOOSE(CONTROL!$C$42, 0.275, 0.275)*CHOOSE(CONTROL!$C$42, 31, 31))/1000000</f>
        <v>4.2625000000000002</v>
      </c>
      <c r="W552" s="57">
        <f>(1000*CHOOSE(CONTROL!$C$42, 0.1146, 0.1146)*CHOOSE(CONTROL!$C$42, 121.5, 121.5)*CHOOSE(CONTROL!$C$42, 31, 31))/1000000</f>
        <v>0.43164089999999994</v>
      </c>
      <c r="X552" s="57">
        <f>(31*0.1790888*100000/1000000)+(31*0.2374*100000/1000000)</f>
        <v>1.2911152800000001</v>
      </c>
      <c r="Y552" s="57"/>
      <c r="Z552" s="10"/>
      <c r="AA552" s="56"/>
      <c r="AB552" s="50">
        <f>(B552*122.58+C552*297.941+D552*89.177+E552*40.302+F552*40+G552*160+H552*0+I552*100+J552*300)/(122.58+297.941+89.177+40.302+0+40+160+100+300)</f>
        <v>24.848609353826081</v>
      </c>
      <c r="AC552" s="45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24.640112949640287</v>
      </c>
    </row>
    <row r="553" spans="1:29" ht="15.75" x14ac:dyDescent="0.25">
      <c r="A553" s="13">
        <v>57741</v>
      </c>
      <c r="B553" s="10">
        <f>CHOOSE(CONTROL!$C$42, 26.8733, 26.8733) * CHOOSE(CONTROL!$C$21, $C$9, 100%, $E$9)</f>
        <v>26.8733</v>
      </c>
      <c r="C553" s="10">
        <f>CHOOSE(CONTROL!$C$42, 26.8783, 26.8783) * CHOOSE(CONTROL!$C$21, $C$9, 100%, $E$9)</f>
        <v>26.878299999999999</v>
      </c>
      <c r="D553" s="10">
        <f>CHOOSE(CONTROL!$C$42, 26.9354, 26.9354) * CHOOSE(CONTROL!$C$21, $C$9, 100%, $E$9)</f>
        <v>26.935400000000001</v>
      </c>
      <c r="E553" s="10">
        <f>CHOOSE(CONTROL!$C$42, 26.9691, 26.9691) * CHOOSE(CONTROL!$C$21, $C$9, 100%, $E$9)</f>
        <v>26.969100000000001</v>
      </c>
      <c r="F553" s="10">
        <f>CHOOSE(CONTROL!$C$42, 26.8712, 26.8712)*CHOOSE(CONTROL!$C$21, $C$9, 100%, $E$9)</f>
        <v>26.871200000000002</v>
      </c>
      <c r="G553" s="10">
        <f>CHOOSE(CONTROL!$C$42, 26.8858, 26.8858)*CHOOSE(CONTROL!$C$21, $C$9, 100%, $E$9)</f>
        <v>26.8858</v>
      </c>
      <c r="H553" s="10">
        <f>CHOOSE(CONTROL!$C$42, 26.9583, 26.9583) * CHOOSE(CONTROL!$C$21, $C$9, 100%, $E$9)</f>
        <v>26.958300000000001</v>
      </c>
      <c r="I553" s="10">
        <f>CHOOSE(CONTROL!$C$42, 26.8841, 26.8841)* CHOOSE(CONTROL!$C$21, $C$9, 100%, $E$9)</f>
        <v>26.8841</v>
      </c>
      <c r="J553" s="10">
        <f>CHOOSE(CONTROL!$C$42, 26.8642, 26.8642)* CHOOSE(CONTROL!$C$21, $C$9, 100%, $E$9)</f>
        <v>26.8642</v>
      </c>
      <c r="K553" s="53">
        <f>CHOOSE(CONTROL!$C$42, 26.8802, 26.8802) * CHOOSE(CONTROL!$C$21, $C$9, 100%, $E$9)</f>
        <v>26.880199999999999</v>
      </c>
      <c r="L553" s="10">
        <f>CHOOSE(CONTROL!$C$42, 27.5453, 27.5453) * CHOOSE(CONTROL!$C$21, $C$9, 100%, $E$9)</f>
        <v>27.545300000000001</v>
      </c>
      <c r="M553" s="10">
        <f>CHOOSE(CONTROL!$C$42, 26.6069, 26.6069) * CHOOSE(CONTROL!$C$21, $C$9, 100%, $E$9)</f>
        <v>26.6069</v>
      </c>
      <c r="N553" s="10">
        <f>CHOOSE(CONTROL!$C$42, 26.6214, 26.6214) * CHOOSE(CONTROL!$C$21, $C$9, 100%, $E$9)</f>
        <v>26.621400000000001</v>
      </c>
      <c r="O553" s="10">
        <f>CHOOSE(CONTROL!$C$42, 26.7001, 26.7001) * CHOOSE(CONTROL!$C$21, $C$9, 100%, $E$9)</f>
        <v>26.700099999999999</v>
      </c>
      <c r="P553" s="10">
        <f>CHOOSE(CONTROL!$C$42, 26.6267, 26.6267) * CHOOSE(CONTROL!$C$21, $C$9, 100%, $E$9)</f>
        <v>26.6267</v>
      </c>
      <c r="Q553" s="10">
        <f>CHOOSE(CONTROL!$C$42, 27.2954, 27.2954) * CHOOSE(CONTROL!$C$21, $C$9, 100%, $E$9)</f>
        <v>27.295400000000001</v>
      </c>
      <c r="R553" s="10">
        <f>CHOOSE(CONTROL!$C$42, 27.9506, 27.9506) * CHOOSE(CONTROL!$C$21, $C$9, 100%, $E$9)</f>
        <v>27.950600000000001</v>
      </c>
      <c r="S553" s="10">
        <f>CHOOSE(CONTROL!$C$42, 26.0946, 26.0946) * CHOOSE(CONTROL!$C$21, $C$9, 100%, $E$9)</f>
        <v>26.0946</v>
      </c>
      <c r="T5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57">
        <f>(1000*CHOOSE(CONTROL!$C$42, 695, 695)*CHOOSE(CONTROL!$C$42, 0.5599, 0.5599)*CHOOSE(CONTROL!$C$42, 31, 31))/1000000</f>
        <v>12.063045499999998</v>
      </c>
      <c r="V553" s="57">
        <f>(1000*CHOOSE(CONTROL!$C$42, 500, 500)*CHOOSE(CONTROL!$C$42, 0.275, 0.275)*CHOOSE(CONTROL!$C$42, 31, 31))/1000000</f>
        <v>4.2625000000000002</v>
      </c>
      <c r="W553" s="57">
        <f>(1000*CHOOSE(CONTROL!$C$42, 0.1146, 0.1146)*CHOOSE(CONTROL!$C$42, 121.5, 121.5)*CHOOSE(CONTROL!$C$42, 31, 31))/1000000</f>
        <v>0.43164089999999994</v>
      </c>
      <c r="X553" s="57">
        <f>(31*0.1790888*100000/1000000)+(31*0.2374*100000/1000000)</f>
        <v>1.2911152800000001</v>
      </c>
      <c r="Y553" s="57"/>
      <c r="Z553" s="10"/>
      <c r="AA553" s="56"/>
      <c r="AB553" s="50">
        <f>(B553*122.58+C553*297.941+D553*89.177+E553*40.302+F553*40+G553*160+H553*0+I553*100+J553*300)/(122.58+297.941+89.177+40.302+0+40+160+100+300)</f>
        <v>26.882999589826088</v>
      </c>
      <c r="AC553" s="45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26.652825179856112</v>
      </c>
    </row>
    <row r="554" spans="1:29" ht="15.75" x14ac:dyDescent="0.25">
      <c r="A554" s="13">
        <v>57769</v>
      </c>
      <c r="B554" s="10">
        <f>CHOOSE(CONTROL!$C$42, 27.3517, 27.3517) * CHOOSE(CONTROL!$C$21, $C$9, 100%, $E$9)</f>
        <v>27.351700000000001</v>
      </c>
      <c r="C554" s="10">
        <f>CHOOSE(CONTROL!$C$42, 27.3566, 27.3566) * CHOOSE(CONTROL!$C$21, $C$9, 100%, $E$9)</f>
        <v>27.3566</v>
      </c>
      <c r="D554" s="10">
        <f>CHOOSE(CONTROL!$C$42, 27.4137, 27.4137) * CHOOSE(CONTROL!$C$21, $C$9, 100%, $E$9)</f>
        <v>27.413699999999999</v>
      </c>
      <c r="E554" s="10">
        <f>CHOOSE(CONTROL!$C$42, 27.4475, 27.4475) * CHOOSE(CONTROL!$C$21, $C$9, 100%, $E$9)</f>
        <v>27.447500000000002</v>
      </c>
      <c r="F554" s="10">
        <f>CHOOSE(CONTROL!$C$42, 27.3496, 27.3496)*CHOOSE(CONTROL!$C$21, $C$9, 100%, $E$9)</f>
        <v>27.349599999999999</v>
      </c>
      <c r="G554" s="10">
        <f>CHOOSE(CONTROL!$C$42, 27.3643, 27.3643)*CHOOSE(CONTROL!$C$21, $C$9, 100%, $E$9)</f>
        <v>27.3643</v>
      </c>
      <c r="H554" s="10">
        <f>CHOOSE(CONTROL!$C$42, 27.4367, 27.4367) * CHOOSE(CONTROL!$C$21, $C$9, 100%, $E$9)</f>
        <v>27.436699999999998</v>
      </c>
      <c r="I554" s="10">
        <f>CHOOSE(CONTROL!$C$42, 27.3625, 27.3625)* CHOOSE(CONTROL!$C$21, $C$9, 100%, $E$9)</f>
        <v>27.362500000000001</v>
      </c>
      <c r="J554" s="10">
        <f>CHOOSE(CONTROL!$C$42, 27.3426, 27.3426)* CHOOSE(CONTROL!$C$21, $C$9, 100%, $E$9)</f>
        <v>27.342600000000001</v>
      </c>
      <c r="K554" s="53">
        <f>CHOOSE(CONTROL!$C$42, 27.3586, 27.3586) * CHOOSE(CONTROL!$C$21, $C$9, 100%, $E$9)</f>
        <v>27.358599999999999</v>
      </c>
      <c r="L554" s="10">
        <f>CHOOSE(CONTROL!$C$42, 28.0237, 28.0237) * CHOOSE(CONTROL!$C$21, $C$9, 100%, $E$9)</f>
        <v>28.023700000000002</v>
      </c>
      <c r="M554" s="10">
        <f>CHOOSE(CONTROL!$C$42, 27.0805, 27.0805) * CHOOSE(CONTROL!$C$21, $C$9, 100%, $E$9)</f>
        <v>27.080500000000001</v>
      </c>
      <c r="N554" s="10">
        <f>CHOOSE(CONTROL!$C$42, 27.095, 27.095) * CHOOSE(CONTROL!$C$21, $C$9, 100%, $E$9)</f>
        <v>27.094999999999999</v>
      </c>
      <c r="O554" s="10">
        <f>CHOOSE(CONTROL!$C$42, 27.1736, 27.1736) * CHOOSE(CONTROL!$C$21, $C$9, 100%, $E$9)</f>
        <v>27.1736</v>
      </c>
      <c r="P554" s="10">
        <f>CHOOSE(CONTROL!$C$42, 27.1002, 27.1002) * CHOOSE(CONTROL!$C$21, $C$9, 100%, $E$9)</f>
        <v>27.100200000000001</v>
      </c>
      <c r="Q554" s="10">
        <f>CHOOSE(CONTROL!$C$42, 27.7689, 27.7689) * CHOOSE(CONTROL!$C$21, $C$9, 100%, $E$9)</f>
        <v>27.768899999999999</v>
      </c>
      <c r="R554" s="10">
        <f>CHOOSE(CONTROL!$C$42, 28.4253, 28.4253) * CHOOSE(CONTROL!$C$21, $C$9, 100%, $E$9)</f>
        <v>28.4253</v>
      </c>
      <c r="S554" s="10">
        <f>CHOOSE(CONTROL!$C$42, 26.5591, 26.5591) * CHOOSE(CONTROL!$C$21, $C$9, 100%, $E$9)</f>
        <v>26.559100000000001</v>
      </c>
      <c r="T5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57">
        <f>(1000*CHOOSE(CONTROL!$C$42, 695, 695)*CHOOSE(CONTROL!$C$42, 0.5599, 0.5599)*CHOOSE(CONTROL!$C$42, 28, 28))/1000000</f>
        <v>10.895653999999999</v>
      </c>
      <c r="V554" s="57">
        <f>(1000*CHOOSE(CONTROL!$C$42, 500, 500)*CHOOSE(CONTROL!$C$42, 0.275, 0.275)*CHOOSE(CONTROL!$C$42, 28, 28))/1000000</f>
        <v>3.85</v>
      </c>
      <c r="W554" s="57">
        <f>(1000*CHOOSE(CONTROL!$C$42, 0.1146, 0.1146)*CHOOSE(CONTROL!$C$42, 121.5, 121.5)*CHOOSE(CONTROL!$C$42, 28, 28))/1000000</f>
        <v>0.38986920000000003</v>
      </c>
      <c r="X554" s="57">
        <f>(28*0.1790888*100000/1000000)+(28*0.2374*100000/1000000)</f>
        <v>1.16616864</v>
      </c>
      <c r="Y554" s="57"/>
      <c r="Z554" s="10"/>
      <c r="AA554" s="56"/>
      <c r="AB554" s="50">
        <f>(B554*122.58+C554*297.941+D554*89.177+E554*40.302+F554*40+G554*160+H554*0+I554*100+J554*300)/(122.58+297.941+89.177+40.302+0+40+160+100+300)</f>
        <v>27.361379840434783</v>
      </c>
      <c r="AC554" s="45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27.126365467625899</v>
      </c>
    </row>
    <row r="555" spans="1:29" ht="15.75" x14ac:dyDescent="0.25">
      <c r="A555" s="13">
        <v>57800</v>
      </c>
      <c r="B555" s="10">
        <f>CHOOSE(CONTROL!$C$42, 26.5752, 26.5752) * CHOOSE(CONTROL!$C$21, $C$9, 100%, $E$9)</f>
        <v>26.575199999999999</v>
      </c>
      <c r="C555" s="10">
        <f>CHOOSE(CONTROL!$C$42, 26.5802, 26.5802) * CHOOSE(CONTROL!$C$21, $C$9, 100%, $E$9)</f>
        <v>26.580200000000001</v>
      </c>
      <c r="D555" s="10">
        <f>CHOOSE(CONTROL!$C$42, 26.6372, 26.6372) * CHOOSE(CONTROL!$C$21, $C$9, 100%, $E$9)</f>
        <v>26.6372</v>
      </c>
      <c r="E555" s="10">
        <f>CHOOSE(CONTROL!$C$42, 26.671, 26.671) * CHOOSE(CONTROL!$C$21, $C$9, 100%, $E$9)</f>
        <v>26.670999999999999</v>
      </c>
      <c r="F555" s="10">
        <f>CHOOSE(CONTROL!$C$42, 26.573, 26.573)*CHOOSE(CONTROL!$C$21, $C$9, 100%, $E$9)</f>
        <v>26.573</v>
      </c>
      <c r="G555" s="10">
        <f>CHOOSE(CONTROL!$C$42, 26.5876, 26.5876)*CHOOSE(CONTROL!$C$21, $C$9, 100%, $E$9)</f>
        <v>26.587599999999998</v>
      </c>
      <c r="H555" s="10">
        <f>CHOOSE(CONTROL!$C$42, 26.6602, 26.6602) * CHOOSE(CONTROL!$C$21, $C$9, 100%, $E$9)</f>
        <v>26.6602</v>
      </c>
      <c r="I555" s="10">
        <f>CHOOSE(CONTROL!$C$42, 26.586, 26.586)* CHOOSE(CONTROL!$C$21, $C$9, 100%, $E$9)</f>
        <v>26.585999999999999</v>
      </c>
      <c r="J555" s="10">
        <f>CHOOSE(CONTROL!$C$42, 26.566, 26.566)* CHOOSE(CONTROL!$C$21, $C$9, 100%, $E$9)</f>
        <v>26.565999999999999</v>
      </c>
      <c r="K555" s="53">
        <f>CHOOSE(CONTROL!$C$42, 26.5821, 26.5821) * CHOOSE(CONTROL!$C$21, $C$9, 100%, $E$9)</f>
        <v>26.582100000000001</v>
      </c>
      <c r="L555" s="10">
        <f>CHOOSE(CONTROL!$C$42, 27.2472, 27.2472) * CHOOSE(CONTROL!$C$21, $C$9, 100%, $E$9)</f>
        <v>27.247199999999999</v>
      </c>
      <c r="M555" s="10">
        <f>CHOOSE(CONTROL!$C$42, 26.3118, 26.3118) * CHOOSE(CONTROL!$C$21, $C$9, 100%, $E$9)</f>
        <v>26.311800000000002</v>
      </c>
      <c r="N555" s="10">
        <f>CHOOSE(CONTROL!$C$42, 26.3262, 26.3262) * CHOOSE(CONTROL!$C$21, $C$9, 100%, $E$9)</f>
        <v>26.3262</v>
      </c>
      <c r="O555" s="10">
        <f>CHOOSE(CONTROL!$C$42, 26.405, 26.405) * CHOOSE(CONTROL!$C$21, $C$9, 100%, $E$9)</f>
        <v>26.405000000000001</v>
      </c>
      <c r="P555" s="10">
        <f>CHOOSE(CONTROL!$C$42, 26.3316, 26.3316) * CHOOSE(CONTROL!$C$21, $C$9, 100%, $E$9)</f>
        <v>26.331600000000002</v>
      </c>
      <c r="Q555" s="10">
        <f>CHOOSE(CONTROL!$C$42, 27.0003, 27.0003) * CHOOSE(CONTROL!$C$21, $C$9, 100%, $E$9)</f>
        <v>27.000299999999999</v>
      </c>
      <c r="R555" s="10">
        <f>CHOOSE(CONTROL!$C$42, 27.6548, 27.6548) * CHOOSE(CONTROL!$C$21, $C$9, 100%, $E$9)</f>
        <v>27.654800000000002</v>
      </c>
      <c r="S555" s="10">
        <f>CHOOSE(CONTROL!$C$42, 25.8051, 25.8051) * CHOOSE(CONTROL!$C$21, $C$9, 100%, $E$9)</f>
        <v>25.805099999999999</v>
      </c>
      <c r="T5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57">
        <f>(1000*CHOOSE(CONTROL!$C$42, 695, 695)*CHOOSE(CONTROL!$C$42, 0.5599, 0.5599)*CHOOSE(CONTROL!$C$42, 31, 31))/1000000</f>
        <v>12.063045499999998</v>
      </c>
      <c r="V555" s="57">
        <f>(1000*CHOOSE(CONTROL!$C$42, 500, 500)*CHOOSE(CONTROL!$C$42, 0.275, 0.275)*CHOOSE(CONTROL!$C$42, 31, 31))/1000000</f>
        <v>4.2625000000000002</v>
      </c>
      <c r="W555" s="57">
        <f>(1000*CHOOSE(CONTROL!$C$42, 0.1146, 0.1146)*CHOOSE(CONTROL!$C$42, 121.5, 121.5)*CHOOSE(CONTROL!$C$42, 31, 31))/1000000</f>
        <v>0.43164089999999994</v>
      </c>
      <c r="X555" s="57">
        <f>(31*0.1790888*100000/1000000)+(31*0.2374*100000/1000000)</f>
        <v>1.2911152800000001</v>
      </c>
      <c r="Y555" s="57"/>
      <c r="Z555" s="10"/>
      <c r="AA555" s="56"/>
      <c r="AB555" s="50">
        <f>(B555*122.58+C555*297.941+D555*89.177+E555*40.302+F555*40+G555*160+H555*0+I555*100+J555*300)/(122.58+297.941+89.177+40.302+0+40+160+100+300)</f>
        <v>26.584848357043473</v>
      </c>
      <c r="AC555" s="45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26.357719424460434</v>
      </c>
    </row>
    <row r="556" spans="1:29" ht="15.75" x14ac:dyDescent="0.25">
      <c r="A556" s="13">
        <v>57830</v>
      </c>
      <c r="B556" s="10">
        <f>CHOOSE(CONTROL!$C$42, 26.4968, 26.4968) * CHOOSE(CONTROL!$C$21, $C$9, 100%, $E$9)</f>
        <v>26.4968</v>
      </c>
      <c r="C556" s="10">
        <f>CHOOSE(CONTROL!$C$42, 26.5012, 26.5012) * CHOOSE(CONTROL!$C$21, $C$9, 100%, $E$9)</f>
        <v>26.501200000000001</v>
      </c>
      <c r="D556" s="10">
        <f>CHOOSE(CONTROL!$C$42, 26.7071, 26.7071) * CHOOSE(CONTROL!$C$21, $C$9, 100%, $E$9)</f>
        <v>26.707100000000001</v>
      </c>
      <c r="E556" s="10">
        <f>CHOOSE(CONTROL!$C$42, 26.7389, 26.7389) * CHOOSE(CONTROL!$C$21, $C$9, 100%, $E$9)</f>
        <v>26.738900000000001</v>
      </c>
      <c r="F556" s="10">
        <f>CHOOSE(CONTROL!$C$42, 26.4736, 26.4736)*CHOOSE(CONTROL!$C$21, $C$9, 100%, $E$9)</f>
        <v>26.473600000000001</v>
      </c>
      <c r="G556" s="10">
        <f>CHOOSE(CONTROL!$C$42, 26.4881, 26.4881)*CHOOSE(CONTROL!$C$21, $C$9, 100%, $E$9)</f>
        <v>26.488099999999999</v>
      </c>
      <c r="H556" s="10">
        <f>CHOOSE(CONTROL!$C$42, 26.7286, 26.7286) * CHOOSE(CONTROL!$C$21, $C$9, 100%, $E$9)</f>
        <v>26.7286</v>
      </c>
      <c r="I556" s="10">
        <f>CHOOSE(CONTROL!$C$42, 26.4983, 26.4983)* CHOOSE(CONTROL!$C$21, $C$9, 100%, $E$9)</f>
        <v>26.4983</v>
      </c>
      <c r="J556" s="10">
        <f>CHOOSE(CONTROL!$C$42, 26.4666, 26.4666)* CHOOSE(CONTROL!$C$21, $C$9, 100%, $E$9)</f>
        <v>26.4666</v>
      </c>
      <c r="K556" s="53">
        <f>CHOOSE(CONTROL!$C$42, 26.4944, 26.4944) * CHOOSE(CONTROL!$C$21, $C$9, 100%, $E$9)</f>
        <v>26.494399999999999</v>
      </c>
      <c r="L556" s="10">
        <f>CHOOSE(CONTROL!$C$42, 27.3156, 27.3156) * CHOOSE(CONTROL!$C$21, $C$9, 100%, $E$9)</f>
        <v>27.3156</v>
      </c>
      <c r="M556" s="10">
        <f>CHOOSE(CONTROL!$C$42, 26.2133, 26.2133) * CHOOSE(CONTROL!$C$21, $C$9, 100%, $E$9)</f>
        <v>26.2133</v>
      </c>
      <c r="N556" s="10">
        <f>CHOOSE(CONTROL!$C$42, 26.2277, 26.2277) * CHOOSE(CONTROL!$C$21, $C$9, 100%, $E$9)</f>
        <v>26.227699999999999</v>
      </c>
      <c r="O556" s="10">
        <f>CHOOSE(CONTROL!$C$42, 26.4727, 26.4727) * CHOOSE(CONTROL!$C$21, $C$9, 100%, $E$9)</f>
        <v>26.4727</v>
      </c>
      <c r="P556" s="10">
        <f>CHOOSE(CONTROL!$C$42, 26.2447, 26.2447) * CHOOSE(CONTROL!$C$21, $C$9, 100%, $E$9)</f>
        <v>26.244700000000002</v>
      </c>
      <c r="Q556" s="10">
        <f>CHOOSE(CONTROL!$C$42, 27.068, 27.068) * CHOOSE(CONTROL!$C$21, $C$9, 100%, $E$9)</f>
        <v>27.068000000000001</v>
      </c>
      <c r="R556" s="10">
        <f>CHOOSE(CONTROL!$C$42, 27.7227, 27.7227) * CHOOSE(CONTROL!$C$21, $C$9, 100%, $E$9)</f>
        <v>27.7227</v>
      </c>
      <c r="S556" s="10">
        <f>CHOOSE(CONTROL!$C$42, 25.7282, 25.7282) * CHOOSE(CONTROL!$C$21, $C$9, 100%, $E$9)</f>
        <v>25.728200000000001</v>
      </c>
      <c r="T5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57">
        <f>(1000*CHOOSE(CONTROL!$C$42, 695, 695)*CHOOSE(CONTROL!$C$42, 0.5599, 0.5599)*CHOOSE(CONTROL!$C$42, 30, 30))/1000000</f>
        <v>11.673914999999997</v>
      </c>
      <c r="V556" s="57">
        <f>(1000*CHOOSE(CONTROL!$C$42, 500, 500)*CHOOSE(CONTROL!$C$42, 0.275, 0.275)*CHOOSE(CONTROL!$C$42, 30, 30))/1000000</f>
        <v>4.125</v>
      </c>
      <c r="W556" s="57">
        <f>(1000*CHOOSE(CONTROL!$C$42, 0.1146, 0.1146)*CHOOSE(CONTROL!$C$42, 121.5, 121.5)*CHOOSE(CONTROL!$C$42, 30, 30))/1000000</f>
        <v>0.417717</v>
      </c>
      <c r="X556" s="57">
        <f>(30*0.1790888*245000/1000000)+(30*0.2374*100000/1000000)</f>
        <v>2.0285026799999999</v>
      </c>
      <c r="Y556" s="57"/>
      <c r="Z556" s="10"/>
      <c r="AA556" s="56"/>
      <c r="AB556" s="50">
        <f>(B556*141.293+C556*267.993+D556*115.016+E556*89.698+F556*40+G556*185+H556*0+I556*100+J556*300)/(141.293+267.993+115.016+89.698+0+40+185+100+300)</f>
        <v>26.525561436481034</v>
      </c>
      <c r="AC556" s="45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26.293914388489206</v>
      </c>
    </row>
    <row r="557" spans="1:29" ht="15.75" x14ac:dyDescent="0.25">
      <c r="A557" s="13">
        <v>57861</v>
      </c>
      <c r="B557" s="10">
        <f>CHOOSE(CONTROL!$C$42, 26.7321, 26.7321) * CHOOSE(CONTROL!$C$21, $C$9, 100%, $E$9)</f>
        <v>26.732099999999999</v>
      </c>
      <c r="C557" s="10">
        <f>CHOOSE(CONTROL!$C$42, 26.74, 26.74) * CHOOSE(CONTROL!$C$21, $C$9, 100%, $E$9)</f>
        <v>26.74</v>
      </c>
      <c r="D557" s="10">
        <f>CHOOSE(CONTROL!$C$42, 26.9427, 26.9427) * CHOOSE(CONTROL!$C$21, $C$9, 100%, $E$9)</f>
        <v>26.942699999999999</v>
      </c>
      <c r="E557" s="10">
        <f>CHOOSE(CONTROL!$C$42, 26.9738, 26.9738) * CHOOSE(CONTROL!$C$21, $C$9, 100%, $E$9)</f>
        <v>26.973800000000001</v>
      </c>
      <c r="F557" s="10">
        <f>CHOOSE(CONTROL!$C$42, 26.7078, 26.7078)*CHOOSE(CONTROL!$C$21, $C$9, 100%, $E$9)</f>
        <v>26.707799999999999</v>
      </c>
      <c r="G557" s="10">
        <f>CHOOSE(CONTROL!$C$42, 26.7228, 26.7228)*CHOOSE(CONTROL!$C$21, $C$9, 100%, $E$9)</f>
        <v>26.722799999999999</v>
      </c>
      <c r="H557" s="10">
        <f>CHOOSE(CONTROL!$C$42, 26.9625, 26.9625) * CHOOSE(CONTROL!$C$21, $C$9, 100%, $E$9)</f>
        <v>26.962499999999999</v>
      </c>
      <c r="I557" s="10">
        <f>CHOOSE(CONTROL!$C$42, 26.7321, 26.7321)* CHOOSE(CONTROL!$C$21, $C$9, 100%, $E$9)</f>
        <v>26.732099999999999</v>
      </c>
      <c r="J557" s="10">
        <f>CHOOSE(CONTROL!$C$42, 26.7008, 26.7008)* CHOOSE(CONTROL!$C$21, $C$9, 100%, $E$9)</f>
        <v>26.700800000000001</v>
      </c>
      <c r="K557" s="53">
        <f>CHOOSE(CONTROL!$C$42, 26.7282, 26.7282) * CHOOSE(CONTROL!$C$21, $C$9, 100%, $E$9)</f>
        <v>26.728200000000001</v>
      </c>
      <c r="L557" s="10">
        <f>CHOOSE(CONTROL!$C$42, 27.5495, 27.5495) * CHOOSE(CONTROL!$C$21, $C$9, 100%, $E$9)</f>
        <v>27.549499999999998</v>
      </c>
      <c r="M557" s="10">
        <f>CHOOSE(CONTROL!$C$42, 26.4451, 26.4451) * CHOOSE(CONTROL!$C$21, $C$9, 100%, $E$9)</f>
        <v>26.4451</v>
      </c>
      <c r="N557" s="10">
        <f>CHOOSE(CONTROL!$C$42, 26.46, 26.46) * CHOOSE(CONTROL!$C$21, $C$9, 100%, $E$9)</f>
        <v>26.46</v>
      </c>
      <c r="O557" s="10">
        <f>CHOOSE(CONTROL!$C$42, 26.7042, 26.7042) * CHOOSE(CONTROL!$C$21, $C$9, 100%, $E$9)</f>
        <v>26.7042</v>
      </c>
      <c r="P557" s="10">
        <f>CHOOSE(CONTROL!$C$42, 26.4762, 26.4762) * CHOOSE(CONTROL!$C$21, $C$9, 100%, $E$9)</f>
        <v>26.476199999999999</v>
      </c>
      <c r="Q557" s="10">
        <f>CHOOSE(CONTROL!$C$42, 27.2995, 27.2995) * CHOOSE(CONTROL!$C$21, $C$9, 100%, $E$9)</f>
        <v>27.299499999999998</v>
      </c>
      <c r="R557" s="10">
        <f>CHOOSE(CONTROL!$C$42, 27.9548, 27.9548) * CHOOSE(CONTROL!$C$21, $C$9, 100%, $E$9)</f>
        <v>27.954799999999999</v>
      </c>
      <c r="S557" s="10">
        <f>CHOOSE(CONTROL!$C$42, 25.9553, 25.9553) * CHOOSE(CONTROL!$C$21, $C$9, 100%, $E$9)</f>
        <v>25.955300000000001</v>
      </c>
      <c r="T5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57">
        <f>(1000*CHOOSE(CONTROL!$C$42, 695, 695)*CHOOSE(CONTROL!$C$42, 0.5599, 0.5599)*CHOOSE(CONTROL!$C$42, 31, 31))/1000000</f>
        <v>12.063045499999998</v>
      </c>
      <c r="V557" s="57">
        <f>(1000*CHOOSE(CONTROL!$C$42, 500, 500)*CHOOSE(CONTROL!$C$42, 0.275, 0.275)*CHOOSE(CONTROL!$C$42, 31, 31))/1000000</f>
        <v>4.2625000000000002</v>
      </c>
      <c r="W557" s="57">
        <f>(1000*CHOOSE(CONTROL!$C$42, 0.1146, 0.1146)*CHOOSE(CONTROL!$C$42, 121.5, 121.5)*CHOOSE(CONTROL!$C$42, 31, 31))/1000000</f>
        <v>0.43164089999999994</v>
      </c>
      <c r="X557" s="57">
        <f>(31*0.1790888*245000/1000000)+(31*0.2374*100000/1000000)</f>
        <v>2.0961194359999999</v>
      </c>
      <c r="Y557" s="57"/>
      <c r="Z557" s="10"/>
      <c r="AA557" s="56"/>
      <c r="AB557" s="50">
        <f>(B557*194.205+C557*267.466+D557*133.845+E557*53.484+F557*40+G557*185+H557*0+I557*100+J557*300)/(194.205+267.466+133.845+53.484+0+40+185+100+300)</f>
        <v>26.756546876923071</v>
      </c>
      <c r="AC557" s="45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26.525702158273379</v>
      </c>
    </row>
    <row r="558" spans="1:29" ht="15.75" x14ac:dyDescent="0.25">
      <c r="A558" s="13">
        <v>57891</v>
      </c>
      <c r="B558" s="10">
        <f>CHOOSE(CONTROL!$C$42, 27.4902, 27.4902) * CHOOSE(CONTROL!$C$21, $C$9, 100%, $E$9)</f>
        <v>27.490200000000002</v>
      </c>
      <c r="C558" s="10">
        <f>CHOOSE(CONTROL!$C$42, 27.4981, 27.4981) * CHOOSE(CONTROL!$C$21, $C$9, 100%, $E$9)</f>
        <v>27.498100000000001</v>
      </c>
      <c r="D558" s="10">
        <f>CHOOSE(CONTROL!$C$42, 27.7008, 27.7008) * CHOOSE(CONTROL!$C$21, $C$9, 100%, $E$9)</f>
        <v>27.700800000000001</v>
      </c>
      <c r="E558" s="10">
        <f>CHOOSE(CONTROL!$C$42, 27.732, 27.732) * CHOOSE(CONTROL!$C$21, $C$9, 100%, $E$9)</f>
        <v>27.731999999999999</v>
      </c>
      <c r="F558" s="10">
        <f>CHOOSE(CONTROL!$C$42, 27.4664, 27.4664)*CHOOSE(CONTROL!$C$21, $C$9, 100%, $E$9)</f>
        <v>27.4664</v>
      </c>
      <c r="G558" s="10">
        <f>CHOOSE(CONTROL!$C$42, 27.4816, 27.4816)*CHOOSE(CONTROL!$C$21, $C$9, 100%, $E$9)</f>
        <v>27.4816</v>
      </c>
      <c r="H558" s="10">
        <f>CHOOSE(CONTROL!$C$42, 27.7206, 27.7206) * CHOOSE(CONTROL!$C$21, $C$9, 100%, $E$9)</f>
        <v>27.720600000000001</v>
      </c>
      <c r="I558" s="10">
        <f>CHOOSE(CONTROL!$C$42, 27.4902, 27.4902)* CHOOSE(CONTROL!$C$21, $C$9, 100%, $E$9)</f>
        <v>27.490200000000002</v>
      </c>
      <c r="J558" s="10">
        <f>CHOOSE(CONTROL!$C$42, 27.4594, 27.4594)* CHOOSE(CONTROL!$C$21, $C$9, 100%, $E$9)</f>
        <v>27.459399999999999</v>
      </c>
      <c r="K558" s="53">
        <f>CHOOSE(CONTROL!$C$42, 27.4863, 27.4863) * CHOOSE(CONTROL!$C$21, $C$9, 100%, $E$9)</f>
        <v>27.4863</v>
      </c>
      <c r="L558" s="10">
        <f>CHOOSE(CONTROL!$C$42, 28.3076, 28.3076) * CHOOSE(CONTROL!$C$21, $C$9, 100%, $E$9)</f>
        <v>28.307600000000001</v>
      </c>
      <c r="M558" s="10">
        <f>CHOOSE(CONTROL!$C$42, 27.1961, 27.1961) * CHOOSE(CONTROL!$C$21, $C$9, 100%, $E$9)</f>
        <v>27.196100000000001</v>
      </c>
      <c r="N558" s="10">
        <f>CHOOSE(CONTROL!$C$42, 27.2111, 27.2111) * CHOOSE(CONTROL!$C$21, $C$9, 100%, $E$9)</f>
        <v>27.211099999999998</v>
      </c>
      <c r="O558" s="10">
        <f>CHOOSE(CONTROL!$C$42, 27.4547, 27.4547) * CHOOSE(CONTROL!$C$21, $C$9, 100%, $E$9)</f>
        <v>27.454699999999999</v>
      </c>
      <c r="P558" s="10">
        <f>CHOOSE(CONTROL!$C$42, 27.2267, 27.2267) * CHOOSE(CONTROL!$C$21, $C$9, 100%, $E$9)</f>
        <v>27.226700000000001</v>
      </c>
      <c r="Q558" s="10">
        <f>CHOOSE(CONTROL!$C$42, 28.05, 28.05) * CHOOSE(CONTROL!$C$21, $C$9, 100%, $E$9)</f>
        <v>28.05</v>
      </c>
      <c r="R558" s="10">
        <f>CHOOSE(CONTROL!$C$42, 28.7071, 28.7071) * CHOOSE(CONTROL!$C$21, $C$9, 100%, $E$9)</f>
        <v>28.707100000000001</v>
      </c>
      <c r="S558" s="10">
        <f>CHOOSE(CONTROL!$C$42, 26.6915, 26.6915) * CHOOSE(CONTROL!$C$21, $C$9, 100%, $E$9)</f>
        <v>26.691500000000001</v>
      </c>
      <c r="T5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57">
        <f>(1000*CHOOSE(CONTROL!$C$42, 695, 695)*CHOOSE(CONTROL!$C$42, 0.5599, 0.5599)*CHOOSE(CONTROL!$C$42, 30, 30))/1000000</f>
        <v>11.673914999999997</v>
      </c>
      <c r="V558" s="57">
        <f>(1000*CHOOSE(CONTROL!$C$42, 500, 500)*CHOOSE(CONTROL!$C$42, 0.275, 0.275)*CHOOSE(CONTROL!$C$42, 30, 30))/1000000</f>
        <v>4.125</v>
      </c>
      <c r="W558" s="57">
        <f>(1000*CHOOSE(CONTROL!$C$42, 0.1146, 0.1146)*CHOOSE(CONTROL!$C$42, 121.5, 121.5)*CHOOSE(CONTROL!$C$42, 30, 30))/1000000</f>
        <v>0.417717</v>
      </c>
      <c r="X558" s="57">
        <f>(30*0.1790888*245000/1000000)+(30*0.2374*100000/1000000)</f>
        <v>2.0285026799999999</v>
      </c>
      <c r="Y558" s="57"/>
      <c r="Z558" s="10"/>
      <c r="AA558" s="56"/>
      <c r="AB558" s="50">
        <f>(B558*194.205+C558*267.466+D558*133.845+E558*53.484+F558*40+G558*185+H558*0+I558*100+J558*300)/(194.205+267.466+133.845+53.484+0+40+185+100+300)</f>
        <v>27.514886161381472</v>
      </c>
      <c r="AC558" s="45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27.276512949640288</v>
      </c>
    </row>
    <row r="559" spans="1:29" ht="15.75" x14ac:dyDescent="0.25">
      <c r="A559" s="13">
        <v>57922</v>
      </c>
      <c r="B559" s="10">
        <f>CHOOSE(CONTROL!$C$42, 26.9629, 26.9629) * CHOOSE(CONTROL!$C$21, $C$9, 100%, $E$9)</f>
        <v>26.962900000000001</v>
      </c>
      <c r="C559" s="10">
        <f>CHOOSE(CONTROL!$C$42, 26.9708, 26.9708) * CHOOSE(CONTROL!$C$21, $C$9, 100%, $E$9)</f>
        <v>26.970800000000001</v>
      </c>
      <c r="D559" s="10">
        <f>CHOOSE(CONTROL!$C$42, 27.1736, 27.1736) * CHOOSE(CONTROL!$C$21, $C$9, 100%, $E$9)</f>
        <v>27.1736</v>
      </c>
      <c r="E559" s="10">
        <f>CHOOSE(CONTROL!$C$42, 27.2047, 27.2047) * CHOOSE(CONTROL!$C$21, $C$9, 100%, $E$9)</f>
        <v>27.204699999999999</v>
      </c>
      <c r="F559" s="10">
        <f>CHOOSE(CONTROL!$C$42, 26.9397, 26.9397)*CHOOSE(CONTROL!$C$21, $C$9, 100%, $E$9)</f>
        <v>26.939699999999998</v>
      </c>
      <c r="G559" s="10">
        <f>CHOOSE(CONTROL!$C$42, 26.9549, 26.9549)*CHOOSE(CONTROL!$C$21, $C$9, 100%, $E$9)</f>
        <v>26.954899999999999</v>
      </c>
      <c r="H559" s="10">
        <f>CHOOSE(CONTROL!$C$42, 27.1933, 27.1933) * CHOOSE(CONTROL!$C$21, $C$9, 100%, $E$9)</f>
        <v>27.193300000000001</v>
      </c>
      <c r="I559" s="10">
        <f>CHOOSE(CONTROL!$C$42, 26.9629, 26.9629)* CHOOSE(CONTROL!$C$21, $C$9, 100%, $E$9)</f>
        <v>26.962900000000001</v>
      </c>
      <c r="J559" s="10">
        <f>CHOOSE(CONTROL!$C$42, 26.9327, 26.9327)* CHOOSE(CONTROL!$C$21, $C$9, 100%, $E$9)</f>
        <v>26.932700000000001</v>
      </c>
      <c r="K559" s="53">
        <f>CHOOSE(CONTROL!$C$42, 26.9591, 26.9591) * CHOOSE(CONTROL!$C$21, $C$9, 100%, $E$9)</f>
        <v>26.959099999999999</v>
      </c>
      <c r="L559" s="10">
        <f>CHOOSE(CONTROL!$C$42, 27.7803, 27.7803) * CHOOSE(CONTROL!$C$21, $C$9, 100%, $E$9)</f>
        <v>27.7803</v>
      </c>
      <c r="M559" s="10">
        <f>CHOOSE(CONTROL!$C$42, 26.6747, 26.6747) * CHOOSE(CONTROL!$C$21, $C$9, 100%, $E$9)</f>
        <v>26.674700000000001</v>
      </c>
      <c r="N559" s="10">
        <f>CHOOSE(CONTROL!$C$42, 26.6898, 26.6898) * CHOOSE(CONTROL!$C$21, $C$9, 100%, $E$9)</f>
        <v>26.689800000000002</v>
      </c>
      <c r="O559" s="10">
        <f>CHOOSE(CONTROL!$C$42, 26.9327, 26.9327) * CHOOSE(CONTROL!$C$21, $C$9, 100%, $E$9)</f>
        <v>26.932700000000001</v>
      </c>
      <c r="P559" s="10">
        <f>CHOOSE(CONTROL!$C$42, 26.7047, 26.7047) * CHOOSE(CONTROL!$C$21, $C$9, 100%, $E$9)</f>
        <v>26.704699999999999</v>
      </c>
      <c r="Q559" s="10">
        <f>CHOOSE(CONTROL!$C$42, 27.528, 27.528) * CHOOSE(CONTROL!$C$21, $C$9, 100%, $E$9)</f>
        <v>27.527999999999999</v>
      </c>
      <c r="R559" s="10">
        <f>CHOOSE(CONTROL!$C$42, 28.1838, 28.1838) * CHOOSE(CONTROL!$C$21, $C$9, 100%, $E$9)</f>
        <v>28.183800000000002</v>
      </c>
      <c r="S559" s="10">
        <f>CHOOSE(CONTROL!$C$42, 26.1794, 26.1794) * CHOOSE(CONTROL!$C$21, $C$9, 100%, $E$9)</f>
        <v>26.179400000000001</v>
      </c>
      <c r="T5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57">
        <f>(1000*CHOOSE(CONTROL!$C$42, 695, 695)*CHOOSE(CONTROL!$C$42, 0.5599, 0.5599)*CHOOSE(CONTROL!$C$42, 31, 31))/1000000</f>
        <v>12.063045499999998</v>
      </c>
      <c r="V559" s="57">
        <f>(1000*CHOOSE(CONTROL!$C$42, 500, 500)*CHOOSE(CONTROL!$C$42, 0.275, 0.275)*CHOOSE(CONTROL!$C$42, 31, 31))/1000000</f>
        <v>4.2625000000000002</v>
      </c>
      <c r="W559" s="57">
        <f>(1000*CHOOSE(CONTROL!$C$42, 0.1146, 0.1146)*CHOOSE(CONTROL!$C$42, 121.5, 121.5)*CHOOSE(CONTROL!$C$42, 31, 31))/1000000</f>
        <v>0.43164089999999994</v>
      </c>
      <c r="X559" s="57">
        <f>(31*0.1790888*245000/1000000)+(31*0.2374*100000/1000000)</f>
        <v>2.0961194359999999</v>
      </c>
      <c r="Y559" s="57"/>
      <c r="Z559" s="10"/>
      <c r="AA559" s="56"/>
      <c r="AB559" s="50">
        <f>(B559*194.205+C559*267.466+D559*133.845+E559*53.484+F559*40+G559*185+H559*0+I559*100+J559*300)/(194.205+267.466+133.845+53.484+0+40+185+100+300)</f>
        <v>26.987843920015699</v>
      </c>
      <c r="AC559" s="45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26.754881294964033</v>
      </c>
    </row>
    <row r="560" spans="1:29" ht="15.75" x14ac:dyDescent="0.25">
      <c r="A560" s="13">
        <v>57953</v>
      </c>
      <c r="B560" s="10">
        <f>CHOOSE(CONTROL!$C$42, 25.6313, 25.6313) * CHOOSE(CONTROL!$C$21, $C$9, 100%, $E$9)</f>
        <v>25.6313</v>
      </c>
      <c r="C560" s="10">
        <f>CHOOSE(CONTROL!$C$42, 25.6393, 25.6393) * CHOOSE(CONTROL!$C$21, $C$9, 100%, $E$9)</f>
        <v>25.639299999999999</v>
      </c>
      <c r="D560" s="10">
        <f>CHOOSE(CONTROL!$C$42, 25.842, 25.842) * CHOOSE(CONTROL!$C$21, $C$9, 100%, $E$9)</f>
        <v>25.841999999999999</v>
      </c>
      <c r="E560" s="10">
        <f>CHOOSE(CONTROL!$C$42, 25.8731, 25.8731) * CHOOSE(CONTROL!$C$21, $C$9, 100%, $E$9)</f>
        <v>25.873100000000001</v>
      </c>
      <c r="F560" s="10">
        <f>CHOOSE(CONTROL!$C$42, 25.6083, 25.6083)*CHOOSE(CONTROL!$C$21, $C$9, 100%, $E$9)</f>
        <v>25.6083</v>
      </c>
      <c r="G560" s="10">
        <f>CHOOSE(CONTROL!$C$42, 25.6236, 25.6236)*CHOOSE(CONTROL!$C$21, $C$9, 100%, $E$9)</f>
        <v>25.6236</v>
      </c>
      <c r="H560" s="10">
        <f>CHOOSE(CONTROL!$C$42, 25.8618, 25.8618) * CHOOSE(CONTROL!$C$21, $C$9, 100%, $E$9)</f>
        <v>25.861799999999999</v>
      </c>
      <c r="I560" s="10">
        <f>CHOOSE(CONTROL!$C$42, 25.6314, 25.6314)* CHOOSE(CONTROL!$C$21, $C$9, 100%, $E$9)</f>
        <v>25.631399999999999</v>
      </c>
      <c r="J560" s="10">
        <f>CHOOSE(CONTROL!$C$42, 25.6013, 25.6013)* CHOOSE(CONTROL!$C$21, $C$9, 100%, $E$9)</f>
        <v>25.601299999999998</v>
      </c>
      <c r="K560" s="53">
        <f>CHOOSE(CONTROL!$C$42, 25.6275, 25.6275) * CHOOSE(CONTROL!$C$21, $C$9, 100%, $E$9)</f>
        <v>25.627500000000001</v>
      </c>
      <c r="L560" s="10">
        <f>CHOOSE(CONTROL!$C$42, 26.4488, 26.4488) * CHOOSE(CONTROL!$C$21, $C$9, 100%, $E$9)</f>
        <v>26.448799999999999</v>
      </c>
      <c r="M560" s="10">
        <f>CHOOSE(CONTROL!$C$42, 25.3567, 25.3567) * CHOOSE(CONTROL!$C$21, $C$9, 100%, $E$9)</f>
        <v>25.3567</v>
      </c>
      <c r="N560" s="10">
        <f>CHOOSE(CONTROL!$C$42, 25.3719, 25.3719) * CHOOSE(CONTROL!$C$21, $C$9, 100%, $E$9)</f>
        <v>25.3719</v>
      </c>
      <c r="O560" s="10">
        <f>CHOOSE(CONTROL!$C$42, 25.6146, 25.6146) * CHOOSE(CONTROL!$C$21, $C$9, 100%, $E$9)</f>
        <v>25.614599999999999</v>
      </c>
      <c r="P560" s="10">
        <f>CHOOSE(CONTROL!$C$42, 25.3866, 25.3866) * CHOOSE(CONTROL!$C$21, $C$9, 100%, $E$9)</f>
        <v>25.386600000000001</v>
      </c>
      <c r="Q560" s="10">
        <f>CHOOSE(CONTROL!$C$42, 26.2099, 26.2099) * CHOOSE(CONTROL!$C$21, $C$9, 100%, $E$9)</f>
        <v>26.209900000000001</v>
      </c>
      <c r="R560" s="10">
        <f>CHOOSE(CONTROL!$C$42, 26.8624, 26.8624) * CHOOSE(CONTROL!$C$21, $C$9, 100%, $E$9)</f>
        <v>26.862400000000001</v>
      </c>
      <c r="S560" s="10">
        <f>CHOOSE(CONTROL!$C$42, 24.8863, 24.8863) * CHOOSE(CONTROL!$C$21, $C$9, 100%, $E$9)</f>
        <v>24.886299999999999</v>
      </c>
      <c r="T5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57">
        <f>(1000*CHOOSE(CONTROL!$C$42, 695, 695)*CHOOSE(CONTROL!$C$42, 0.5599, 0.5599)*CHOOSE(CONTROL!$C$42, 31, 31))/1000000</f>
        <v>12.063045499999998</v>
      </c>
      <c r="V560" s="57">
        <f>(1000*CHOOSE(CONTROL!$C$42, 500, 500)*CHOOSE(CONTROL!$C$42, 0.275, 0.275)*CHOOSE(CONTROL!$C$42, 31, 31))/1000000</f>
        <v>4.2625000000000002</v>
      </c>
      <c r="W560" s="57">
        <f>(1000*CHOOSE(CONTROL!$C$42, 0.1146, 0.1146)*CHOOSE(CONTROL!$C$42, 121.5, 121.5)*CHOOSE(CONTROL!$C$42, 31, 31))/1000000</f>
        <v>0.43164089999999994</v>
      </c>
      <c r="X560" s="57">
        <f>(31*0.1790888*245000/1000000)+(31*0.2374*100000/1000000)</f>
        <v>2.0961194359999999</v>
      </c>
      <c r="Y560" s="57"/>
      <c r="Z560" s="10"/>
      <c r="AA560" s="56"/>
      <c r="AB560" s="50">
        <f>(B560*194.205+C560*267.466+D560*133.845+E560*53.484+F560*40+G560*185+H560*0+I560*100+J560*300)/(194.205+267.466+133.845+53.484+0+40+185+100+300)</f>
        <v>25.65636970227629</v>
      </c>
      <c r="AC560" s="45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25.436861870503602</v>
      </c>
    </row>
    <row r="561" spans="1:29" ht="15.75" x14ac:dyDescent="0.25">
      <c r="A561" s="13">
        <v>57983</v>
      </c>
      <c r="B561" s="10">
        <f>CHOOSE(CONTROL!$C$42, 24.004, 24.004) * CHOOSE(CONTROL!$C$21, $C$9, 100%, $E$9)</f>
        <v>24.004000000000001</v>
      </c>
      <c r="C561" s="10">
        <f>CHOOSE(CONTROL!$C$42, 24.0119, 24.0119) * CHOOSE(CONTROL!$C$21, $C$9, 100%, $E$9)</f>
        <v>24.011900000000001</v>
      </c>
      <c r="D561" s="10">
        <f>CHOOSE(CONTROL!$C$42, 24.2147, 24.2147) * CHOOSE(CONTROL!$C$21, $C$9, 100%, $E$9)</f>
        <v>24.214700000000001</v>
      </c>
      <c r="E561" s="10">
        <f>CHOOSE(CONTROL!$C$42, 24.2458, 24.2458) * CHOOSE(CONTROL!$C$21, $C$9, 100%, $E$9)</f>
        <v>24.245799999999999</v>
      </c>
      <c r="F561" s="10">
        <f>CHOOSE(CONTROL!$C$42, 23.9808, 23.9808)*CHOOSE(CONTROL!$C$21, $C$9, 100%, $E$9)</f>
        <v>23.980799999999999</v>
      </c>
      <c r="G561" s="10">
        <f>CHOOSE(CONTROL!$C$42, 23.9961, 23.9961)*CHOOSE(CONTROL!$C$21, $C$9, 100%, $E$9)</f>
        <v>23.996099999999998</v>
      </c>
      <c r="H561" s="10">
        <f>CHOOSE(CONTROL!$C$42, 24.2344, 24.2344) * CHOOSE(CONTROL!$C$21, $C$9, 100%, $E$9)</f>
        <v>24.234400000000001</v>
      </c>
      <c r="I561" s="10">
        <f>CHOOSE(CONTROL!$C$42, 24.0041, 24.0041)* CHOOSE(CONTROL!$C$21, $C$9, 100%, $E$9)</f>
        <v>24.004100000000001</v>
      </c>
      <c r="J561" s="10">
        <f>CHOOSE(CONTROL!$C$42, 23.9738, 23.9738)* CHOOSE(CONTROL!$C$21, $C$9, 100%, $E$9)</f>
        <v>23.973800000000001</v>
      </c>
      <c r="K561" s="53">
        <f>CHOOSE(CONTROL!$C$42, 24.0002, 24.0002) * CHOOSE(CONTROL!$C$21, $C$9, 100%, $E$9)</f>
        <v>24.0002</v>
      </c>
      <c r="L561" s="10">
        <f>CHOOSE(CONTROL!$C$42, 24.8214, 24.8214) * CHOOSE(CONTROL!$C$21, $C$9, 100%, $E$9)</f>
        <v>24.821400000000001</v>
      </c>
      <c r="M561" s="10">
        <f>CHOOSE(CONTROL!$C$42, 23.7457, 23.7457) * CHOOSE(CONTROL!$C$21, $C$9, 100%, $E$9)</f>
        <v>23.745699999999999</v>
      </c>
      <c r="N561" s="10">
        <f>CHOOSE(CONTROL!$C$42, 23.7608, 23.7608) * CHOOSE(CONTROL!$C$21, $C$9, 100%, $E$9)</f>
        <v>23.7608</v>
      </c>
      <c r="O561" s="10">
        <f>CHOOSE(CONTROL!$C$42, 24.0037, 24.0037) * CHOOSE(CONTROL!$C$21, $C$9, 100%, $E$9)</f>
        <v>24.003699999999998</v>
      </c>
      <c r="P561" s="10">
        <f>CHOOSE(CONTROL!$C$42, 23.7757, 23.7757) * CHOOSE(CONTROL!$C$21, $C$9, 100%, $E$9)</f>
        <v>23.775700000000001</v>
      </c>
      <c r="Q561" s="10">
        <f>CHOOSE(CONTROL!$C$42, 24.599, 24.599) * CHOOSE(CONTROL!$C$21, $C$9, 100%, $E$9)</f>
        <v>24.599</v>
      </c>
      <c r="R561" s="10">
        <f>CHOOSE(CONTROL!$C$42, 25.2475, 25.2475) * CHOOSE(CONTROL!$C$21, $C$9, 100%, $E$9)</f>
        <v>25.247499999999999</v>
      </c>
      <c r="S561" s="10">
        <f>CHOOSE(CONTROL!$C$42, 23.3061, 23.3061) * CHOOSE(CONTROL!$C$21, $C$9, 100%, $E$9)</f>
        <v>23.306100000000001</v>
      </c>
      <c r="T5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57">
        <f>(1000*CHOOSE(CONTROL!$C$42, 695, 695)*CHOOSE(CONTROL!$C$42, 0.5599, 0.5599)*CHOOSE(CONTROL!$C$42, 30, 30))/1000000</f>
        <v>11.673914999999997</v>
      </c>
      <c r="V561" s="57">
        <f>(1000*CHOOSE(CONTROL!$C$42, 500, 500)*CHOOSE(CONTROL!$C$42, 0.275, 0.275)*CHOOSE(CONTROL!$C$42, 30, 30))/1000000</f>
        <v>4.125</v>
      </c>
      <c r="W561" s="57">
        <f>(1000*CHOOSE(CONTROL!$C$42, 0.1146, 0.1146)*CHOOSE(CONTROL!$C$42, 121.5, 121.5)*CHOOSE(CONTROL!$C$42, 30, 30))/1000000</f>
        <v>0.417717</v>
      </c>
      <c r="X561" s="57">
        <f>(30*0.1790888*245000/1000000)+(30*0.2374*100000/1000000)</f>
        <v>2.0285026799999999</v>
      </c>
      <c r="Y561" s="57"/>
      <c r="Z561" s="10"/>
      <c r="AA561" s="56"/>
      <c r="AB561" s="50">
        <f>(B561*194.205+C561*267.466+D561*133.845+E561*53.484+F561*40+G561*185+H561*0+I561*100+J561*300)/(194.205+267.466+133.845+53.484+0+40+185+100+300)</f>
        <v>24.028966290502353</v>
      </c>
      <c r="AC561" s="45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23.825881294964027</v>
      </c>
    </row>
    <row r="562" spans="1:29" ht="15.75" x14ac:dyDescent="0.25">
      <c r="A562" s="13">
        <v>58014</v>
      </c>
      <c r="B562" s="10">
        <f>CHOOSE(CONTROL!$C$42, 23.515, 23.515) * CHOOSE(CONTROL!$C$21, $C$9, 100%, $E$9)</f>
        <v>23.515000000000001</v>
      </c>
      <c r="C562" s="10">
        <f>CHOOSE(CONTROL!$C$42, 23.5202, 23.5202) * CHOOSE(CONTROL!$C$21, $C$9, 100%, $E$9)</f>
        <v>23.520199999999999</v>
      </c>
      <c r="D562" s="10">
        <f>CHOOSE(CONTROL!$C$42, 23.7279, 23.7279) * CHOOSE(CONTROL!$C$21, $C$9, 100%, $E$9)</f>
        <v>23.727900000000002</v>
      </c>
      <c r="E562" s="10">
        <f>CHOOSE(CONTROL!$C$42, 23.7567, 23.7567) * CHOOSE(CONTROL!$C$21, $C$9, 100%, $E$9)</f>
        <v>23.756699999999999</v>
      </c>
      <c r="F562" s="10">
        <f>CHOOSE(CONTROL!$C$42, 23.4937, 23.4937)*CHOOSE(CONTROL!$C$21, $C$9, 100%, $E$9)</f>
        <v>23.4937</v>
      </c>
      <c r="G562" s="10">
        <f>CHOOSE(CONTROL!$C$42, 23.5086, 23.5086)*CHOOSE(CONTROL!$C$21, $C$9, 100%, $E$9)</f>
        <v>23.508600000000001</v>
      </c>
      <c r="H562" s="10">
        <f>CHOOSE(CONTROL!$C$42, 23.7472, 23.7472) * CHOOSE(CONTROL!$C$21, $C$9, 100%, $E$9)</f>
        <v>23.747199999999999</v>
      </c>
      <c r="I562" s="10">
        <f>CHOOSE(CONTROL!$C$42, 23.5168, 23.5168)* CHOOSE(CONTROL!$C$21, $C$9, 100%, $E$9)</f>
        <v>23.5168</v>
      </c>
      <c r="J562" s="10">
        <f>CHOOSE(CONTROL!$C$42, 23.4867, 23.4867)* CHOOSE(CONTROL!$C$21, $C$9, 100%, $E$9)</f>
        <v>23.486699999999999</v>
      </c>
      <c r="K562" s="53">
        <f>CHOOSE(CONTROL!$C$42, 23.5129, 23.5129) * CHOOSE(CONTROL!$C$21, $C$9, 100%, $E$9)</f>
        <v>23.512899999999998</v>
      </c>
      <c r="L562" s="10">
        <f>CHOOSE(CONTROL!$C$42, 24.3342, 24.3342) * CHOOSE(CONTROL!$C$21, $C$9, 100%, $E$9)</f>
        <v>24.334199999999999</v>
      </c>
      <c r="M562" s="10">
        <f>CHOOSE(CONTROL!$C$42, 23.2635, 23.2635) * CHOOSE(CONTROL!$C$21, $C$9, 100%, $E$9)</f>
        <v>23.263500000000001</v>
      </c>
      <c r="N562" s="10">
        <f>CHOOSE(CONTROL!$C$42, 23.2783, 23.2783) * CHOOSE(CONTROL!$C$21, $C$9, 100%, $E$9)</f>
        <v>23.278300000000002</v>
      </c>
      <c r="O562" s="10">
        <f>CHOOSE(CONTROL!$C$42, 23.5213, 23.5213) * CHOOSE(CONTROL!$C$21, $C$9, 100%, $E$9)</f>
        <v>23.5213</v>
      </c>
      <c r="P562" s="10">
        <f>CHOOSE(CONTROL!$C$42, 23.2933, 23.2933) * CHOOSE(CONTROL!$C$21, $C$9, 100%, $E$9)</f>
        <v>23.293299999999999</v>
      </c>
      <c r="Q562" s="10">
        <f>CHOOSE(CONTROL!$C$42, 24.1166, 24.1166) * CHOOSE(CONTROL!$C$21, $C$9, 100%, $E$9)</f>
        <v>24.116599999999998</v>
      </c>
      <c r="R562" s="10">
        <f>CHOOSE(CONTROL!$C$42, 24.7639, 24.7639) * CHOOSE(CONTROL!$C$21, $C$9, 100%, $E$9)</f>
        <v>24.7639</v>
      </c>
      <c r="S562" s="10">
        <f>CHOOSE(CONTROL!$C$42, 22.8329, 22.8329) * CHOOSE(CONTROL!$C$21, $C$9, 100%, $E$9)</f>
        <v>22.832899999999999</v>
      </c>
      <c r="T5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57">
        <f>(1000*CHOOSE(CONTROL!$C$42, 695, 695)*CHOOSE(CONTROL!$C$42, 0.5599, 0.5599)*CHOOSE(CONTROL!$C$42, 31, 31))/1000000</f>
        <v>12.063045499999998</v>
      </c>
      <c r="V562" s="57">
        <f>(1000*CHOOSE(CONTROL!$C$42, 500, 500)*CHOOSE(CONTROL!$C$42, 0.275, 0.275)*CHOOSE(CONTROL!$C$42, 31, 31))/1000000</f>
        <v>4.2625000000000002</v>
      </c>
      <c r="W562" s="57">
        <f>(1000*CHOOSE(CONTROL!$C$42, 0.1146, 0.1146)*CHOOSE(CONTROL!$C$42, 121.5, 121.5)*CHOOSE(CONTROL!$C$42, 31, 31))/1000000</f>
        <v>0.43164089999999994</v>
      </c>
      <c r="X562" s="57">
        <f>(31*0.1790888*245000/1000000)+(31*0.2374*100000/1000000)</f>
        <v>2.0961194359999999</v>
      </c>
      <c r="Y562" s="57"/>
      <c r="Z562" s="10"/>
      <c r="AA562" s="56"/>
      <c r="AB562" s="50">
        <f>(B562*131.881+C562*277.167+D562*79.08+E562*125.872+F562*40+G562*185+H562*0+I562*100+J562*300)/(131.881+277.167+79.08+125.872+0+40+185+100+300)</f>
        <v>23.545956144309926</v>
      </c>
      <c r="AC562" s="45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23.343527338129498</v>
      </c>
    </row>
    <row r="563" spans="1:29" ht="15.75" x14ac:dyDescent="0.25">
      <c r="A563" s="13">
        <v>58044</v>
      </c>
      <c r="B563" s="10">
        <f>CHOOSE(CONTROL!$C$42, 24.134, 24.134) * CHOOSE(CONTROL!$C$21, $C$9, 100%, $E$9)</f>
        <v>24.134</v>
      </c>
      <c r="C563" s="10">
        <f>CHOOSE(CONTROL!$C$42, 24.1389, 24.1389) * CHOOSE(CONTROL!$C$21, $C$9, 100%, $E$9)</f>
        <v>24.1389</v>
      </c>
      <c r="D563" s="10">
        <f>CHOOSE(CONTROL!$C$42, 24.1994, 24.1994) * CHOOSE(CONTROL!$C$21, $C$9, 100%, $E$9)</f>
        <v>24.199400000000001</v>
      </c>
      <c r="E563" s="10">
        <f>CHOOSE(CONTROL!$C$42, 24.2332, 24.2332) * CHOOSE(CONTROL!$C$21, $C$9, 100%, $E$9)</f>
        <v>24.2332</v>
      </c>
      <c r="F563" s="10">
        <f>CHOOSE(CONTROL!$C$42, 24.1296, 24.1296)*CHOOSE(CONTROL!$C$21, $C$9, 100%, $E$9)</f>
        <v>24.1296</v>
      </c>
      <c r="G563" s="10">
        <f>CHOOSE(CONTROL!$C$42, 24.1448, 24.1448)*CHOOSE(CONTROL!$C$21, $C$9, 100%, $E$9)</f>
        <v>24.1448</v>
      </c>
      <c r="H563" s="10">
        <f>CHOOSE(CONTROL!$C$42, 24.2224, 24.2224) * CHOOSE(CONTROL!$C$21, $C$9, 100%, $E$9)</f>
        <v>24.2224</v>
      </c>
      <c r="I563" s="10">
        <f>CHOOSE(CONTROL!$C$42, 24.1465, 24.1465)* CHOOSE(CONTROL!$C$21, $C$9, 100%, $E$9)</f>
        <v>24.1465</v>
      </c>
      <c r="J563" s="10">
        <f>CHOOSE(CONTROL!$C$42, 24.1226, 24.1226)* CHOOSE(CONTROL!$C$21, $C$9, 100%, $E$9)</f>
        <v>24.122599999999998</v>
      </c>
      <c r="K563" s="53">
        <f>CHOOSE(CONTROL!$C$42, 24.1426, 24.1426) * CHOOSE(CONTROL!$C$21, $C$9, 100%, $E$9)</f>
        <v>24.142600000000002</v>
      </c>
      <c r="L563" s="10">
        <f>CHOOSE(CONTROL!$C$42, 24.8094, 24.8094) * CHOOSE(CONTROL!$C$21, $C$9, 100%, $E$9)</f>
        <v>24.8094</v>
      </c>
      <c r="M563" s="10">
        <f>CHOOSE(CONTROL!$C$42, 23.893, 23.893) * CHOOSE(CONTROL!$C$21, $C$9, 100%, $E$9)</f>
        <v>23.893000000000001</v>
      </c>
      <c r="N563" s="10">
        <f>CHOOSE(CONTROL!$C$42, 23.9081, 23.9081) * CHOOSE(CONTROL!$C$21, $C$9, 100%, $E$9)</f>
        <v>23.908100000000001</v>
      </c>
      <c r="O563" s="10">
        <f>CHOOSE(CONTROL!$C$42, 23.9918, 23.9918) * CHOOSE(CONTROL!$C$21, $C$9, 100%, $E$9)</f>
        <v>23.991800000000001</v>
      </c>
      <c r="P563" s="10">
        <f>CHOOSE(CONTROL!$C$42, 23.9167, 23.9167) * CHOOSE(CONTROL!$C$21, $C$9, 100%, $E$9)</f>
        <v>23.916699999999999</v>
      </c>
      <c r="Q563" s="10">
        <f>CHOOSE(CONTROL!$C$42, 24.5871, 24.5871) * CHOOSE(CONTROL!$C$21, $C$9, 100%, $E$9)</f>
        <v>24.5871</v>
      </c>
      <c r="R563" s="10">
        <f>CHOOSE(CONTROL!$C$42, 25.2356, 25.2356) * CHOOSE(CONTROL!$C$21, $C$9, 100%, $E$9)</f>
        <v>25.235600000000002</v>
      </c>
      <c r="S563" s="10">
        <f>CHOOSE(CONTROL!$C$42, 23.4344, 23.4344) * CHOOSE(CONTROL!$C$21, $C$9, 100%, $E$9)</f>
        <v>23.4344</v>
      </c>
      <c r="T5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57">
        <f>(1000*CHOOSE(CONTROL!$C$42, 695, 695)*CHOOSE(CONTROL!$C$42, 0.5599, 0.5599)*CHOOSE(CONTROL!$C$42, 30, 30))/1000000</f>
        <v>11.673914999999997</v>
      </c>
      <c r="V563" s="57">
        <f>(1000*CHOOSE(CONTROL!$C$42, 500, 500)*CHOOSE(CONTROL!$C$42, 0.275, 0.275)*CHOOSE(CONTROL!$C$42, 30, 30))/1000000</f>
        <v>4.125</v>
      </c>
      <c r="W563" s="57">
        <f>(1000*CHOOSE(CONTROL!$C$42, 0.1146, 0.1146)*CHOOSE(CONTROL!$C$42, 121.5, 121.5)*CHOOSE(CONTROL!$C$42, 30, 30))/1000000</f>
        <v>0.417717</v>
      </c>
      <c r="X563" s="57">
        <f>(30*0.1790888*100000/1000000)+(30*0.2374*100000/1000000)</f>
        <v>1.2494664</v>
      </c>
      <c r="Y563" s="57"/>
      <c r="Z563" s="10"/>
      <c r="AA563" s="56"/>
      <c r="AB563" s="50">
        <f>(B563*122.58+C563*297.941+D563*89.177+E563*40.302+F563*40+G563*160+H563*0+I563*100+J563*300)/(122.58+297.941+89.177+40.302+0+40+160+100+300)</f>
        <v>24.143280039217391</v>
      </c>
      <c r="AC563" s="45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23.942058992805755</v>
      </c>
    </row>
    <row r="564" spans="1:29" ht="15.75" x14ac:dyDescent="0.25">
      <c r="A564" s="13">
        <v>58075</v>
      </c>
      <c r="B564" s="10">
        <f>CHOOSE(CONTROL!$C$42, 25.7792, 25.7792) * CHOOSE(CONTROL!$C$21, $C$9, 100%, $E$9)</f>
        <v>25.779199999999999</v>
      </c>
      <c r="C564" s="10">
        <f>CHOOSE(CONTROL!$C$42, 25.7842, 25.7842) * CHOOSE(CONTROL!$C$21, $C$9, 100%, $E$9)</f>
        <v>25.784199999999998</v>
      </c>
      <c r="D564" s="10">
        <f>CHOOSE(CONTROL!$C$42, 25.8447, 25.8447) * CHOOSE(CONTROL!$C$21, $C$9, 100%, $E$9)</f>
        <v>25.8447</v>
      </c>
      <c r="E564" s="10">
        <f>CHOOSE(CONTROL!$C$42, 25.8784, 25.8784) * CHOOSE(CONTROL!$C$21, $C$9, 100%, $E$9)</f>
        <v>25.878399999999999</v>
      </c>
      <c r="F564" s="10">
        <f>CHOOSE(CONTROL!$C$42, 25.7767, 25.7767)*CHOOSE(CONTROL!$C$21, $C$9, 100%, $E$9)</f>
        <v>25.776700000000002</v>
      </c>
      <c r="G564" s="10">
        <f>CHOOSE(CONTROL!$C$42, 25.7924, 25.7924)*CHOOSE(CONTROL!$C$21, $C$9, 100%, $E$9)</f>
        <v>25.792400000000001</v>
      </c>
      <c r="H564" s="10">
        <f>CHOOSE(CONTROL!$C$42, 25.8676, 25.8676) * CHOOSE(CONTROL!$C$21, $C$9, 100%, $E$9)</f>
        <v>25.867599999999999</v>
      </c>
      <c r="I564" s="10">
        <f>CHOOSE(CONTROL!$C$42, 25.7917, 25.7917)* CHOOSE(CONTROL!$C$21, $C$9, 100%, $E$9)</f>
        <v>25.791699999999999</v>
      </c>
      <c r="J564" s="10">
        <f>CHOOSE(CONTROL!$C$42, 25.7697, 25.7697)* CHOOSE(CONTROL!$C$21, $C$9, 100%, $E$9)</f>
        <v>25.7697</v>
      </c>
      <c r="K564" s="53">
        <f>CHOOSE(CONTROL!$C$42, 25.7878, 25.7878) * CHOOSE(CONTROL!$C$21, $C$9, 100%, $E$9)</f>
        <v>25.787800000000001</v>
      </c>
      <c r="L564" s="10">
        <f>CHOOSE(CONTROL!$C$42, 26.4546, 26.4546) * CHOOSE(CONTROL!$C$21, $C$9, 100%, $E$9)</f>
        <v>26.454599999999999</v>
      </c>
      <c r="M564" s="10">
        <f>CHOOSE(CONTROL!$C$42, 25.5234, 25.5234) * CHOOSE(CONTROL!$C$21, $C$9, 100%, $E$9)</f>
        <v>25.523399999999999</v>
      </c>
      <c r="N564" s="10">
        <f>CHOOSE(CONTROL!$C$42, 25.539, 25.539) * CHOOSE(CONTROL!$C$21, $C$9, 100%, $E$9)</f>
        <v>25.539000000000001</v>
      </c>
      <c r="O564" s="10">
        <f>CHOOSE(CONTROL!$C$42, 25.6204, 25.6204) * CHOOSE(CONTROL!$C$21, $C$9, 100%, $E$9)</f>
        <v>25.6204</v>
      </c>
      <c r="P564" s="10">
        <f>CHOOSE(CONTROL!$C$42, 25.5453, 25.5453) * CHOOSE(CONTROL!$C$21, $C$9, 100%, $E$9)</f>
        <v>25.545300000000001</v>
      </c>
      <c r="Q564" s="10">
        <f>CHOOSE(CONTROL!$C$42, 26.2157, 26.2157) * CHOOSE(CONTROL!$C$21, $C$9, 100%, $E$9)</f>
        <v>26.215699999999998</v>
      </c>
      <c r="R564" s="10">
        <f>CHOOSE(CONTROL!$C$42, 26.8683, 26.8683) * CHOOSE(CONTROL!$C$21, $C$9, 100%, $E$9)</f>
        <v>26.868300000000001</v>
      </c>
      <c r="S564" s="10">
        <f>CHOOSE(CONTROL!$C$42, 25.0321, 25.0321) * CHOOSE(CONTROL!$C$21, $C$9, 100%, $E$9)</f>
        <v>25.0321</v>
      </c>
      <c r="T5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57">
        <f>(1000*CHOOSE(CONTROL!$C$42, 695, 695)*CHOOSE(CONTROL!$C$42, 0.5599, 0.5599)*CHOOSE(CONTROL!$C$42, 31, 31))/1000000</f>
        <v>12.063045499999998</v>
      </c>
      <c r="V564" s="57">
        <f>(1000*CHOOSE(CONTROL!$C$42, 500, 500)*CHOOSE(CONTROL!$C$42, 0.275, 0.275)*CHOOSE(CONTROL!$C$42, 31, 31))/1000000</f>
        <v>4.2625000000000002</v>
      </c>
      <c r="W564" s="57">
        <f>(1000*CHOOSE(CONTROL!$C$42, 0.1146, 0.1146)*CHOOSE(CONTROL!$C$42, 121.5, 121.5)*CHOOSE(CONTROL!$C$42, 31, 31))/1000000</f>
        <v>0.43164089999999994</v>
      </c>
      <c r="X564" s="57">
        <f>(31*0.1790888*100000/1000000)+(31*0.2374*100000/1000000)</f>
        <v>1.2911152800000001</v>
      </c>
      <c r="Y564" s="57"/>
      <c r="Z564" s="10"/>
      <c r="AA564" s="56"/>
      <c r="AB564" s="50">
        <f>(B564*122.58+C564*297.941+D564*89.177+E564*40.302+F564*40+G564*160+H564*0+I564*100+J564*300)/(122.58+297.941+89.177+40.302+0+40+160+100+300)</f>
        <v>25.789409353826084</v>
      </c>
      <c r="AC564" s="45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25.57141294964029</v>
      </c>
    </row>
    <row r="565" spans="1:29" ht="15.75" x14ac:dyDescent="0.25">
      <c r="A565" s="13">
        <v>58106</v>
      </c>
      <c r="B565" s="10">
        <f>CHOOSE(CONTROL!$C$42, 27.8912, 27.8912) * CHOOSE(CONTROL!$C$21, $C$9, 100%, $E$9)</f>
        <v>27.891200000000001</v>
      </c>
      <c r="C565" s="10">
        <f>CHOOSE(CONTROL!$C$42, 27.8962, 27.8962) * CHOOSE(CONTROL!$C$21, $C$9, 100%, $E$9)</f>
        <v>27.8962</v>
      </c>
      <c r="D565" s="10">
        <f>CHOOSE(CONTROL!$C$42, 27.9533, 27.9533) * CHOOSE(CONTROL!$C$21, $C$9, 100%, $E$9)</f>
        <v>27.953299999999999</v>
      </c>
      <c r="E565" s="10">
        <f>CHOOSE(CONTROL!$C$42, 27.987, 27.987) * CHOOSE(CONTROL!$C$21, $C$9, 100%, $E$9)</f>
        <v>27.986999999999998</v>
      </c>
      <c r="F565" s="10">
        <f>CHOOSE(CONTROL!$C$42, 27.8891, 27.8891)*CHOOSE(CONTROL!$C$21, $C$9, 100%, $E$9)</f>
        <v>27.889099999999999</v>
      </c>
      <c r="G565" s="10">
        <f>CHOOSE(CONTROL!$C$42, 27.9037, 27.9037)*CHOOSE(CONTROL!$C$21, $C$9, 100%, $E$9)</f>
        <v>27.903700000000001</v>
      </c>
      <c r="H565" s="10">
        <f>CHOOSE(CONTROL!$C$42, 27.9762, 27.9762) * CHOOSE(CONTROL!$C$21, $C$9, 100%, $E$9)</f>
        <v>27.976199999999999</v>
      </c>
      <c r="I565" s="10">
        <f>CHOOSE(CONTROL!$C$42, 27.902, 27.902)* CHOOSE(CONTROL!$C$21, $C$9, 100%, $E$9)</f>
        <v>27.902000000000001</v>
      </c>
      <c r="J565" s="10">
        <f>CHOOSE(CONTROL!$C$42, 27.8821, 27.8821)* CHOOSE(CONTROL!$C$21, $C$9, 100%, $E$9)</f>
        <v>27.882100000000001</v>
      </c>
      <c r="K565" s="53">
        <f>CHOOSE(CONTROL!$C$42, 27.8981, 27.8981) * CHOOSE(CONTROL!$C$21, $C$9, 100%, $E$9)</f>
        <v>27.898099999999999</v>
      </c>
      <c r="L565" s="10">
        <f>CHOOSE(CONTROL!$C$42, 28.5632, 28.5632) * CHOOSE(CONTROL!$C$21, $C$9, 100%, $E$9)</f>
        <v>28.563199999999998</v>
      </c>
      <c r="M565" s="10">
        <f>CHOOSE(CONTROL!$C$42, 27.6145, 27.6145) * CHOOSE(CONTROL!$C$21, $C$9, 100%, $E$9)</f>
        <v>27.6145</v>
      </c>
      <c r="N565" s="10">
        <f>CHOOSE(CONTROL!$C$42, 27.629, 27.629) * CHOOSE(CONTROL!$C$21, $C$9, 100%, $E$9)</f>
        <v>27.629000000000001</v>
      </c>
      <c r="O565" s="10">
        <f>CHOOSE(CONTROL!$C$42, 27.7077, 27.7077) * CHOOSE(CONTROL!$C$21, $C$9, 100%, $E$9)</f>
        <v>27.707699999999999</v>
      </c>
      <c r="P565" s="10">
        <f>CHOOSE(CONTROL!$C$42, 27.6343, 27.6343) * CHOOSE(CONTROL!$C$21, $C$9, 100%, $E$9)</f>
        <v>27.6343</v>
      </c>
      <c r="Q565" s="10">
        <f>CHOOSE(CONTROL!$C$42, 28.303, 28.303) * CHOOSE(CONTROL!$C$21, $C$9, 100%, $E$9)</f>
        <v>28.303000000000001</v>
      </c>
      <c r="R565" s="10">
        <f>CHOOSE(CONTROL!$C$42, 28.9608, 28.9608) * CHOOSE(CONTROL!$C$21, $C$9, 100%, $E$9)</f>
        <v>28.960799999999999</v>
      </c>
      <c r="S565" s="10">
        <f>CHOOSE(CONTROL!$C$42, 27.0831, 27.0831) * CHOOSE(CONTROL!$C$21, $C$9, 100%, $E$9)</f>
        <v>27.083100000000002</v>
      </c>
      <c r="T5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57">
        <f>(1000*CHOOSE(CONTROL!$C$42, 695, 695)*CHOOSE(CONTROL!$C$42, 0.5599, 0.5599)*CHOOSE(CONTROL!$C$42, 31, 31))/1000000</f>
        <v>12.063045499999998</v>
      </c>
      <c r="V565" s="57">
        <f>(1000*CHOOSE(CONTROL!$C$42, 500, 500)*CHOOSE(CONTROL!$C$42, 0.275, 0.275)*CHOOSE(CONTROL!$C$42, 31, 31))/1000000</f>
        <v>4.2625000000000002</v>
      </c>
      <c r="W565" s="57">
        <f>(1000*CHOOSE(CONTROL!$C$42, 0.1146, 0.1146)*CHOOSE(CONTROL!$C$42, 121.5, 121.5)*CHOOSE(CONTROL!$C$42, 31, 31))/1000000</f>
        <v>0.43164089999999994</v>
      </c>
      <c r="X565" s="57">
        <f>(31*0.1790888*100000/1000000)+(31*0.2374*100000/1000000)</f>
        <v>1.2911152800000001</v>
      </c>
      <c r="Y565" s="57"/>
      <c r="Z565" s="10"/>
      <c r="AA565" s="56"/>
      <c r="AB565" s="50">
        <f>(B565*122.58+C565*297.941+D565*89.177+E565*40.302+F565*40+G565*160+H565*0+I565*100+J565*300)/(122.58+297.941+89.177+40.302+0+40+160+100+300)</f>
        <v>27.900899589826089</v>
      </c>
      <c r="AC565" s="45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27.660425179856112</v>
      </c>
    </row>
    <row r="566" spans="1:29" ht="15.75" x14ac:dyDescent="0.25">
      <c r="A566" s="13">
        <v>58134</v>
      </c>
      <c r="B566" s="10">
        <f>CHOOSE(CONTROL!$C$42, 28.3877, 28.3877) * CHOOSE(CONTROL!$C$21, $C$9, 100%, $E$9)</f>
        <v>28.387699999999999</v>
      </c>
      <c r="C566" s="10">
        <f>CHOOSE(CONTROL!$C$42, 28.3926, 28.3926) * CHOOSE(CONTROL!$C$21, $C$9, 100%, $E$9)</f>
        <v>28.392600000000002</v>
      </c>
      <c r="D566" s="10">
        <f>CHOOSE(CONTROL!$C$42, 28.4497, 28.4497) * CHOOSE(CONTROL!$C$21, $C$9, 100%, $E$9)</f>
        <v>28.4497</v>
      </c>
      <c r="E566" s="10">
        <f>CHOOSE(CONTROL!$C$42, 28.4835, 28.4835) * CHOOSE(CONTROL!$C$21, $C$9, 100%, $E$9)</f>
        <v>28.483499999999999</v>
      </c>
      <c r="F566" s="10">
        <f>CHOOSE(CONTROL!$C$42, 28.3856, 28.3856)*CHOOSE(CONTROL!$C$21, $C$9, 100%, $E$9)</f>
        <v>28.3856</v>
      </c>
      <c r="G566" s="10">
        <f>CHOOSE(CONTROL!$C$42, 28.4003, 28.4003)*CHOOSE(CONTROL!$C$21, $C$9, 100%, $E$9)</f>
        <v>28.400300000000001</v>
      </c>
      <c r="H566" s="10">
        <f>CHOOSE(CONTROL!$C$42, 28.4727, 28.4727) * CHOOSE(CONTROL!$C$21, $C$9, 100%, $E$9)</f>
        <v>28.4727</v>
      </c>
      <c r="I566" s="10">
        <f>CHOOSE(CONTROL!$C$42, 28.3985, 28.3985)* CHOOSE(CONTROL!$C$21, $C$9, 100%, $E$9)</f>
        <v>28.398499999999999</v>
      </c>
      <c r="J566" s="10">
        <f>CHOOSE(CONTROL!$C$42, 28.3786, 28.3786)* CHOOSE(CONTROL!$C$21, $C$9, 100%, $E$9)</f>
        <v>28.378599999999999</v>
      </c>
      <c r="K566" s="53">
        <f>CHOOSE(CONTROL!$C$42, 28.3946, 28.3946) * CHOOSE(CONTROL!$C$21, $C$9, 100%, $E$9)</f>
        <v>28.394600000000001</v>
      </c>
      <c r="L566" s="10">
        <f>CHOOSE(CONTROL!$C$42, 29.0597, 29.0597) * CHOOSE(CONTROL!$C$21, $C$9, 100%, $E$9)</f>
        <v>29.059699999999999</v>
      </c>
      <c r="M566" s="10">
        <f>CHOOSE(CONTROL!$C$42, 28.1061, 28.1061) * CHOOSE(CONTROL!$C$21, $C$9, 100%, $E$9)</f>
        <v>28.106100000000001</v>
      </c>
      <c r="N566" s="10">
        <f>CHOOSE(CONTROL!$C$42, 28.1206, 28.1206) * CHOOSE(CONTROL!$C$21, $C$9, 100%, $E$9)</f>
        <v>28.1206</v>
      </c>
      <c r="O566" s="10">
        <f>CHOOSE(CONTROL!$C$42, 28.1992, 28.1992) * CHOOSE(CONTROL!$C$21, $C$9, 100%, $E$9)</f>
        <v>28.199200000000001</v>
      </c>
      <c r="P566" s="10">
        <f>CHOOSE(CONTROL!$C$42, 28.1258, 28.1258) * CHOOSE(CONTROL!$C$21, $C$9, 100%, $E$9)</f>
        <v>28.125800000000002</v>
      </c>
      <c r="Q566" s="10">
        <f>CHOOSE(CONTROL!$C$42, 28.7945, 28.7945) * CHOOSE(CONTROL!$C$21, $C$9, 100%, $E$9)</f>
        <v>28.794499999999999</v>
      </c>
      <c r="R566" s="10">
        <f>CHOOSE(CONTROL!$C$42, 29.4535, 29.4535) * CHOOSE(CONTROL!$C$21, $C$9, 100%, $E$9)</f>
        <v>29.453499999999998</v>
      </c>
      <c r="S566" s="10">
        <f>CHOOSE(CONTROL!$C$42, 27.5652, 27.5652) * CHOOSE(CONTROL!$C$21, $C$9, 100%, $E$9)</f>
        <v>27.565200000000001</v>
      </c>
      <c r="T5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66" s="57">
        <f>(1000*CHOOSE(CONTROL!$C$42, 695, 695)*CHOOSE(CONTROL!$C$42, 0.5599, 0.5599)*CHOOSE(CONTROL!$C$42, 28, 28))/1000000</f>
        <v>10.895653999999999</v>
      </c>
      <c r="V566" s="57">
        <f>(1000*CHOOSE(CONTROL!$C$42, 500, 500)*CHOOSE(CONTROL!$C$42, 0.275, 0.275)*CHOOSE(CONTROL!$C$42, 28, 28))/1000000</f>
        <v>3.85</v>
      </c>
      <c r="W566" s="57">
        <f>(1000*CHOOSE(CONTROL!$C$42, 0.1146, 0.1146)*CHOOSE(CONTROL!$C$42, 121.5, 121.5)*CHOOSE(CONTROL!$C$42, 28, 28))/1000000</f>
        <v>0.38986920000000003</v>
      </c>
      <c r="X566" s="57">
        <f>(28*0.1790888*100000/1000000)+(28*0.2374*100000/1000000)</f>
        <v>1.16616864</v>
      </c>
      <c r="Y566" s="57"/>
      <c r="Z566" s="10"/>
      <c r="AA566" s="56"/>
      <c r="AB566" s="50">
        <f>(B566*122.58+C566*297.941+D566*89.177+E566*40.302+F566*40+G566*160+H566*0+I566*100+J566*300)/(122.58+297.941+89.177+40.302+0+40+160+100+300)</f>
        <v>28.397379840434784</v>
      </c>
      <c r="AC566" s="45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28.151965467625903</v>
      </c>
    </row>
    <row r="567" spans="1:29" ht="15.75" x14ac:dyDescent="0.25">
      <c r="A567" s="13">
        <v>58165</v>
      </c>
      <c r="B567" s="10">
        <f>CHOOSE(CONTROL!$C$42, 27.5818, 27.5818) * CHOOSE(CONTROL!$C$21, $C$9, 100%, $E$9)</f>
        <v>27.581800000000001</v>
      </c>
      <c r="C567" s="10">
        <f>CHOOSE(CONTROL!$C$42, 27.5868, 27.5868) * CHOOSE(CONTROL!$C$21, $C$9, 100%, $E$9)</f>
        <v>27.5868</v>
      </c>
      <c r="D567" s="10">
        <f>CHOOSE(CONTROL!$C$42, 27.6439, 27.6439) * CHOOSE(CONTROL!$C$21, $C$9, 100%, $E$9)</f>
        <v>27.643899999999999</v>
      </c>
      <c r="E567" s="10">
        <f>CHOOSE(CONTROL!$C$42, 27.6776, 27.6776) * CHOOSE(CONTROL!$C$21, $C$9, 100%, $E$9)</f>
        <v>27.677600000000002</v>
      </c>
      <c r="F567" s="10">
        <f>CHOOSE(CONTROL!$C$42, 27.5796, 27.5796)*CHOOSE(CONTROL!$C$21, $C$9, 100%, $E$9)</f>
        <v>27.579599999999999</v>
      </c>
      <c r="G567" s="10">
        <f>CHOOSE(CONTROL!$C$42, 27.5943, 27.5943)*CHOOSE(CONTROL!$C$21, $C$9, 100%, $E$9)</f>
        <v>27.5943</v>
      </c>
      <c r="H567" s="10">
        <f>CHOOSE(CONTROL!$C$42, 27.6668, 27.6668) * CHOOSE(CONTROL!$C$21, $C$9, 100%, $E$9)</f>
        <v>27.666799999999999</v>
      </c>
      <c r="I567" s="10">
        <f>CHOOSE(CONTROL!$C$42, 27.5926, 27.5926)* CHOOSE(CONTROL!$C$21, $C$9, 100%, $E$9)</f>
        <v>27.592600000000001</v>
      </c>
      <c r="J567" s="10">
        <f>CHOOSE(CONTROL!$C$42, 27.5726, 27.5726)* CHOOSE(CONTROL!$C$21, $C$9, 100%, $E$9)</f>
        <v>27.572600000000001</v>
      </c>
      <c r="K567" s="53">
        <f>CHOOSE(CONTROL!$C$42, 27.5887, 27.5887) * CHOOSE(CONTROL!$C$21, $C$9, 100%, $E$9)</f>
        <v>27.588699999999999</v>
      </c>
      <c r="L567" s="10">
        <f>CHOOSE(CONTROL!$C$42, 28.2538, 28.2538) * CHOOSE(CONTROL!$C$21, $C$9, 100%, $E$9)</f>
        <v>28.253799999999998</v>
      </c>
      <c r="M567" s="10">
        <f>CHOOSE(CONTROL!$C$42, 27.3082, 27.3082) * CHOOSE(CONTROL!$C$21, $C$9, 100%, $E$9)</f>
        <v>27.308199999999999</v>
      </c>
      <c r="N567" s="10">
        <f>CHOOSE(CONTROL!$C$42, 27.3227, 27.3227) * CHOOSE(CONTROL!$C$21, $C$9, 100%, $E$9)</f>
        <v>27.322700000000001</v>
      </c>
      <c r="O567" s="10">
        <f>CHOOSE(CONTROL!$C$42, 27.4014, 27.4014) * CHOOSE(CONTROL!$C$21, $C$9, 100%, $E$9)</f>
        <v>27.401399999999999</v>
      </c>
      <c r="P567" s="10">
        <f>CHOOSE(CONTROL!$C$42, 27.328, 27.328) * CHOOSE(CONTROL!$C$21, $C$9, 100%, $E$9)</f>
        <v>27.327999999999999</v>
      </c>
      <c r="Q567" s="10">
        <f>CHOOSE(CONTROL!$C$42, 27.9967, 27.9967) * CHOOSE(CONTROL!$C$21, $C$9, 100%, $E$9)</f>
        <v>27.996700000000001</v>
      </c>
      <c r="R567" s="10">
        <f>CHOOSE(CONTROL!$C$42, 28.6537, 28.6537) * CHOOSE(CONTROL!$C$21, $C$9, 100%, $E$9)</f>
        <v>28.653700000000001</v>
      </c>
      <c r="S567" s="10">
        <f>CHOOSE(CONTROL!$C$42, 26.7826, 26.7826) * CHOOSE(CONTROL!$C$21, $C$9, 100%, $E$9)</f>
        <v>26.782599999999999</v>
      </c>
      <c r="T5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57">
        <f>(1000*CHOOSE(CONTROL!$C$42, 695, 695)*CHOOSE(CONTROL!$C$42, 0.5599, 0.5599)*CHOOSE(CONTROL!$C$42, 31, 31))/1000000</f>
        <v>12.063045499999998</v>
      </c>
      <c r="V567" s="57">
        <f>(1000*CHOOSE(CONTROL!$C$42, 500, 500)*CHOOSE(CONTROL!$C$42, 0.275, 0.275)*CHOOSE(CONTROL!$C$42, 31, 31))/1000000</f>
        <v>4.2625000000000002</v>
      </c>
      <c r="W567" s="57">
        <f>(1000*CHOOSE(CONTROL!$C$42, 0.1146, 0.1146)*CHOOSE(CONTROL!$C$42, 121.5, 121.5)*CHOOSE(CONTROL!$C$42, 31, 31))/1000000</f>
        <v>0.43164089999999994</v>
      </c>
      <c r="X567" s="57">
        <f>(31*0.1790888*100000/1000000)+(31*0.2374*100000/1000000)</f>
        <v>1.2911152800000001</v>
      </c>
      <c r="Y567" s="57"/>
      <c r="Z567" s="10"/>
      <c r="AA567" s="56"/>
      <c r="AB567" s="50">
        <f>(B567*122.58+C567*297.941+D567*89.177+E567*40.302+F567*40+G567*160+H567*0+I567*100+J567*300)/(122.58+297.941+89.177+40.302+0+40+160+100+300)</f>
        <v>27.591470024608697</v>
      </c>
      <c r="AC567" s="45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27.354125179856112</v>
      </c>
    </row>
    <row r="568" spans="1:29" ht="15.75" x14ac:dyDescent="0.25">
      <c r="A568" s="13">
        <v>58195</v>
      </c>
      <c r="B568" s="10">
        <f>CHOOSE(CONTROL!$C$42, 27.5004, 27.5004) * CHOOSE(CONTROL!$C$21, $C$9, 100%, $E$9)</f>
        <v>27.500399999999999</v>
      </c>
      <c r="C568" s="10">
        <f>CHOOSE(CONTROL!$C$42, 27.5048, 27.5048) * CHOOSE(CONTROL!$C$21, $C$9, 100%, $E$9)</f>
        <v>27.504799999999999</v>
      </c>
      <c r="D568" s="10">
        <f>CHOOSE(CONTROL!$C$42, 27.7107, 27.7107) * CHOOSE(CONTROL!$C$21, $C$9, 100%, $E$9)</f>
        <v>27.710699999999999</v>
      </c>
      <c r="E568" s="10">
        <f>CHOOSE(CONTROL!$C$42, 27.7425, 27.7425) * CHOOSE(CONTROL!$C$21, $C$9, 100%, $E$9)</f>
        <v>27.7425</v>
      </c>
      <c r="F568" s="10">
        <f>CHOOSE(CONTROL!$C$42, 27.4772, 27.4772)*CHOOSE(CONTROL!$C$21, $C$9, 100%, $E$9)</f>
        <v>27.4772</v>
      </c>
      <c r="G568" s="10">
        <f>CHOOSE(CONTROL!$C$42, 27.4917, 27.4917)*CHOOSE(CONTROL!$C$21, $C$9, 100%, $E$9)</f>
        <v>27.491700000000002</v>
      </c>
      <c r="H568" s="10">
        <f>CHOOSE(CONTROL!$C$42, 27.7322, 27.7322) * CHOOSE(CONTROL!$C$21, $C$9, 100%, $E$9)</f>
        <v>27.732199999999999</v>
      </c>
      <c r="I568" s="10">
        <f>CHOOSE(CONTROL!$C$42, 27.5019, 27.5019)* CHOOSE(CONTROL!$C$21, $C$9, 100%, $E$9)</f>
        <v>27.501899999999999</v>
      </c>
      <c r="J568" s="10">
        <f>CHOOSE(CONTROL!$C$42, 27.4702, 27.4702)* CHOOSE(CONTROL!$C$21, $C$9, 100%, $E$9)</f>
        <v>27.470199999999998</v>
      </c>
      <c r="K568" s="53">
        <f>CHOOSE(CONTROL!$C$42, 27.498, 27.498) * CHOOSE(CONTROL!$C$21, $C$9, 100%, $E$9)</f>
        <v>27.498000000000001</v>
      </c>
      <c r="L568" s="10">
        <f>CHOOSE(CONTROL!$C$42, 28.3192, 28.3192) * CHOOSE(CONTROL!$C$21, $C$9, 100%, $E$9)</f>
        <v>28.319199999999999</v>
      </c>
      <c r="M568" s="10">
        <f>CHOOSE(CONTROL!$C$42, 27.2068, 27.2068) * CHOOSE(CONTROL!$C$21, $C$9, 100%, $E$9)</f>
        <v>27.206800000000001</v>
      </c>
      <c r="N568" s="10">
        <f>CHOOSE(CONTROL!$C$42, 27.2212, 27.2212) * CHOOSE(CONTROL!$C$21, $C$9, 100%, $E$9)</f>
        <v>27.2212</v>
      </c>
      <c r="O568" s="10">
        <f>CHOOSE(CONTROL!$C$42, 27.4662, 27.4662) * CHOOSE(CONTROL!$C$21, $C$9, 100%, $E$9)</f>
        <v>27.466200000000001</v>
      </c>
      <c r="P568" s="10">
        <f>CHOOSE(CONTROL!$C$42, 27.2382, 27.2382) * CHOOSE(CONTROL!$C$21, $C$9, 100%, $E$9)</f>
        <v>27.238199999999999</v>
      </c>
      <c r="Q568" s="10">
        <f>CHOOSE(CONTROL!$C$42, 28.0615, 28.0615) * CHOOSE(CONTROL!$C$21, $C$9, 100%, $E$9)</f>
        <v>28.061499999999999</v>
      </c>
      <c r="R568" s="10">
        <f>CHOOSE(CONTROL!$C$42, 28.7187, 28.7187) * CHOOSE(CONTROL!$C$21, $C$9, 100%, $E$9)</f>
        <v>28.718699999999998</v>
      </c>
      <c r="S568" s="10">
        <f>CHOOSE(CONTROL!$C$42, 26.7028, 26.7028) * CHOOSE(CONTROL!$C$21, $C$9, 100%, $E$9)</f>
        <v>26.7028</v>
      </c>
      <c r="T5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57">
        <f>(1000*CHOOSE(CONTROL!$C$42, 695, 695)*CHOOSE(CONTROL!$C$42, 0.5599, 0.5599)*CHOOSE(CONTROL!$C$42, 30, 30))/1000000</f>
        <v>11.673914999999997</v>
      </c>
      <c r="V568" s="57">
        <f>(1000*CHOOSE(CONTROL!$C$42, 500, 500)*CHOOSE(CONTROL!$C$42, 0.275, 0.275)*CHOOSE(CONTROL!$C$42, 30, 30))/1000000</f>
        <v>4.125</v>
      </c>
      <c r="W568" s="57">
        <f>(1000*CHOOSE(CONTROL!$C$42, 0.1146, 0.1146)*CHOOSE(CONTROL!$C$42, 121.5, 121.5)*CHOOSE(CONTROL!$C$42, 30, 30))/1000000</f>
        <v>0.417717</v>
      </c>
      <c r="X568" s="57">
        <f>(30*0.1790888*245000/1000000)+(30*0.2374*100000/1000000)</f>
        <v>2.0285026799999999</v>
      </c>
      <c r="Y568" s="57"/>
      <c r="Z568" s="10"/>
      <c r="AA568" s="56"/>
      <c r="AB568" s="50">
        <f>(B568*141.293+C568*267.993+D568*115.016+E568*89.698+F568*40+G568*185+H568*0+I568*100+J568*300)/(141.293+267.993+115.016+89.698+0+40+185+100+300)</f>
        <v>27.529161436481033</v>
      </c>
      <c r="AC568" s="45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27.287414388489211</v>
      </c>
    </row>
    <row r="569" spans="1:29" ht="15.75" x14ac:dyDescent="0.25">
      <c r="A569" s="13">
        <v>58226</v>
      </c>
      <c r="B569" s="10">
        <f>CHOOSE(CONTROL!$C$42, 27.7445, 27.7445) * CHOOSE(CONTROL!$C$21, $C$9, 100%, $E$9)</f>
        <v>27.744499999999999</v>
      </c>
      <c r="C569" s="10">
        <f>CHOOSE(CONTROL!$C$42, 27.7524, 27.7524) * CHOOSE(CONTROL!$C$21, $C$9, 100%, $E$9)</f>
        <v>27.752400000000002</v>
      </c>
      <c r="D569" s="10">
        <f>CHOOSE(CONTROL!$C$42, 27.9552, 27.9552) * CHOOSE(CONTROL!$C$21, $C$9, 100%, $E$9)</f>
        <v>27.955200000000001</v>
      </c>
      <c r="E569" s="10">
        <f>CHOOSE(CONTROL!$C$42, 27.9863, 27.9863) * CHOOSE(CONTROL!$C$21, $C$9, 100%, $E$9)</f>
        <v>27.9863</v>
      </c>
      <c r="F569" s="10">
        <f>CHOOSE(CONTROL!$C$42, 27.7202, 27.7202)*CHOOSE(CONTROL!$C$21, $C$9, 100%, $E$9)</f>
        <v>27.720199999999998</v>
      </c>
      <c r="G569" s="10">
        <f>CHOOSE(CONTROL!$C$42, 27.7352, 27.7352)*CHOOSE(CONTROL!$C$21, $C$9, 100%, $E$9)</f>
        <v>27.735199999999999</v>
      </c>
      <c r="H569" s="10">
        <f>CHOOSE(CONTROL!$C$42, 27.9749, 27.9749) * CHOOSE(CONTROL!$C$21, $C$9, 100%, $E$9)</f>
        <v>27.974900000000002</v>
      </c>
      <c r="I569" s="10">
        <f>CHOOSE(CONTROL!$C$42, 27.7445, 27.7445)* CHOOSE(CONTROL!$C$21, $C$9, 100%, $E$9)</f>
        <v>27.744499999999999</v>
      </c>
      <c r="J569" s="10">
        <f>CHOOSE(CONTROL!$C$42, 27.7132, 27.7132)* CHOOSE(CONTROL!$C$21, $C$9, 100%, $E$9)</f>
        <v>27.713200000000001</v>
      </c>
      <c r="K569" s="53">
        <f>CHOOSE(CONTROL!$C$42, 27.7407, 27.7407) * CHOOSE(CONTROL!$C$21, $C$9, 100%, $E$9)</f>
        <v>27.7407</v>
      </c>
      <c r="L569" s="10">
        <f>CHOOSE(CONTROL!$C$42, 28.5619, 28.5619) * CHOOSE(CONTROL!$C$21, $C$9, 100%, $E$9)</f>
        <v>28.561900000000001</v>
      </c>
      <c r="M569" s="10">
        <f>CHOOSE(CONTROL!$C$42, 27.4474, 27.4474) * CHOOSE(CONTROL!$C$21, $C$9, 100%, $E$9)</f>
        <v>27.447399999999998</v>
      </c>
      <c r="N569" s="10">
        <f>CHOOSE(CONTROL!$C$42, 27.4622, 27.4622) * CHOOSE(CONTROL!$C$21, $C$9, 100%, $E$9)</f>
        <v>27.462199999999999</v>
      </c>
      <c r="O569" s="10">
        <f>CHOOSE(CONTROL!$C$42, 27.7064, 27.7064) * CHOOSE(CONTROL!$C$21, $C$9, 100%, $E$9)</f>
        <v>27.706399999999999</v>
      </c>
      <c r="P569" s="10">
        <f>CHOOSE(CONTROL!$C$42, 27.4784, 27.4784) * CHOOSE(CONTROL!$C$21, $C$9, 100%, $E$9)</f>
        <v>27.478400000000001</v>
      </c>
      <c r="Q569" s="10">
        <f>CHOOSE(CONTROL!$C$42, 28.3017, 28.3017) * CHOOSE(CONTROL!$C$21, $C$9, 100%, $E$9)</f>
        <v>28.3017</v>
      </c>
      <c r="R569" s="10">
        <f>CHOOSE(CONTROL!$C$42, 28.9595, 28.9595) * CHOOSE(CONTROL!$C$21, $C$9, 100%, $E$9)</f>
        <v>28.959499999999998</v>
      </c>
      <c r="S569" s="10">
        <f>CHOOSE(CONTROL!$C$42, 26.9384, 26.9384) * CHOOSE(CONTROL!$C$21, $C$9, 100%, $E$9)</f>
        <v>26.938400000000001</v>
      </c>
      <c r="T5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57">
        <f>(1000*CHOOSE(CONTROL!$C$42, 695, 695)*CHOOSE(CONTROL!$C$42, 0.5599, 0.5599)*CHOOSE(CONTROL!$C$42, 31, 31))/1000000</f>
        <v>12.063045499999998</v>
      </c>
      <c r="V569" s="57">
        <f>(1000*CHOOSE(CONTROL!$C$42, 500, 500)*CHOOSE(CONTROL!$C$42, 0.275, 0.275)*CHOOSE(CONTROL!$C$42, 31, 31))/1000000</f>
        <v>4.2625000000000002</v>
      </c>
      <c r="W569" s="57">
        <f>(1000*CHOOSE(CONTROL!$C$42, 0.1146, 0.1146)*CHOOSE(CONTROL!$C$42, 121.5, 121.5)*CHOOSE(CONTROL!$C$42, 31, 31))/1000000</f>
        <v>0.43164089999999994</v>
      </c>
      <c r="X569" s="57">
        <f>(31*0.1790888*245000/1000000)+(31*0.2374*100000/1000000)</f>
        <v>2.0961194359999999</v>
      </c>
      <c r="Y569" s="57"/>
      <c r="Z569" s="10"/>
      <c r="AA569" s="56"/>
      <c r="AB569" s="50">
        <f>(B569*194.205+C569*267.466+D569*133.845+E569*53.484+F569*40+G569*185+H569*0+I569*100+J569*300)/(194.205+267.466+133.845+53.484+0+40+185+100+300)</f>
        <v>27.76896158092622</v>
      </c>
      <c r="AC569" s="45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27.527936690647483</v>
      </c>
    </row>
    <row r="570" spans="1:29" ht="15.75" x14ac:dyDescent="0.25">
      <c r="A570" s="13">
        <v>58256</v>
      </c>
      <c r="B570" s="10">
        <f>CHOOSE(CONTROL!$C$42, 28.5314, 28.5314) * CHOOSE(CONTROL!$C$21, $C$9, 100%, $E$9)</f>
        <v>28.531400000000001</v>
      </c>
      <c r="C570" s="10">
        <f>CHOOSE(CONTROL!$C$42, 28.5393, 28.5393) * CHOOSE(CONTROL!$C$21, $C$9, 100%, $E$9)</f>
        <v>28.539300000000001</v>
      </c>
      <c r="D570" s="10">
        <f>CHOOSE(CONTROL!$C$42, 28.742, 28.742) * CHOOSE(CONTROL!$C$21, $C$9, 100%, $E$9)</f>
        <v>28.742000000000001</v>
      </c>
      <c r="E570" s="10">
        <f>CHOOSE(CONTROL!$C$42, 28.7732, 28.7732) * CHOOSE(CONTROL!$C$21, $C$9, 100%, $E$9)</f>
        <v>28.773199999999999</v>
      </c>
      <c r="F570" s="10">
        <f>CHOOSE(CONTROL!$C$42, 28.5076, 28.5076)*CHOOSE(CONTROL!$C$21, $C$9, 100%, $E$9)</f>
        <v>28.5076</v>
      </c>
      <c r="G570" s="10">
        <f>CHOOSE(CONTROL!$C$42, 28.5227, 28.5227)*CHOOSE(CONTROL!$C$21, $C$9, 100%, $E$9)</f>
        <v>28.5227</v>
      </c>
      <c r="H570" s="10">
        <f>CHOOSE(CONTROL!$C$42, 28.7618, 28.7618) * CHOOSE(CONTROL!$C$21, $C$9, 100%, $E$9)</f>
        <v>28.761800000000001</v>
      </c>
      <c r="I570" s="10">
        <f>CHOOSE(CONTROL!$C$42, 28.5314, 28.5314)* CHOOSE(CONTROL!$C$21, $C$9, 100%, $E$9)</f>
        <v>28.531400000000001</v>
      </c>
      <c r="J570" s="10">
        <f>CHOOSE(CONTROL!$C$42, 28.5006, 28.5006)* CHOOSE(CONTROL!$C$21, $C$9, 100%, $E$9)</f>
        <v>28.500599999999999</v>
      </c>
      <c r="K570" s="53">
        <f>CHOOSE(CONTROL!$C$42, 28.5275, 28.5275) * CHOOSE(CONTROL!$C$21, $C$9, 100%, $E$9)</f>
        <v>28.5275</v>
      </c>
      <c r="L570" s="10">
        <f>CHOOSE(CONTROL!$C$42, 29.3488, 29.3488) * CHOOSE(CONTROL!$C$21, $C$9, 100%, $E$9)</f>
        <v>29.348800000000001</v>
      </c>
      <c r="M570" s="10">
        <f>CHOOSE(CONTROL!$C$42, 28.2268, 28.2268) * CHOOSE(CONTROL!$C$21, $C$9, 100%, $E$9)</f>
        <v>28.226800000000001</v>
      </c>
      <c r="N570" s="10">
        <f>CHOOSE(CONTROL!$C$42, 28.2418, 28.2418) * CHOOSE(CONTROL!$C$21, $C$9, 100%, $E$9)</f>
        <v>28.241800000000001</v>
      </c>
      <c r="O570" s="10">
        <f>CHOOSE(CONTROL!$C$42, 28.4854, 28.4854) * CHOOSE(CONTROL!$C$21, $C$9, 100%, $E$9)</f>
        <v>28.485399999999998</v>
      </c>
      <c r="P570" s="10">
        <f>CHOOSE(CONTROL!$C$42, 28.2573, 28.2573) * CHOOSE(CONTROL!$C$21, $C$9, 100%, $E$9)</f>
        <v>28.257300000000001</v>
      </c>
      <c r="Q570" s="10">
        <f>CHOOSE(CONTROL!$C$42, 29.0807, 29.0807) * CHOOSE(CONTROL!$C$21, $C$9, 100%, $E$9)</f>
        <v>29.0807</v>
      </c>
      <c r="R570" s="10">
        <f>CHOOSE(CONTROL!$C$42, 29.7404, 29.7404) * CHOOSE(CONTROL!$C$21, $C$9, 100%, $E$9)</f>
        <v>29.740400000000001</v>
      </c>
      <c r="S570" s="10">
        <f>CHOOSE(CONTROL!$C$42, 27.7026, 27.7026) * CHOOSE(CONTROL!$C$21, $C$9, 100%, $E$9)</f>
        <v>27.7026</v>
      </c>
      <c r="T5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57">
        <f>(1000*CHOOSE(CONTROL!$C$42, 695, 695)*CHOOSE(CONTROL!$C$42, 0.5599, 0.5599)*CHOOSE(CONTROL!$C$42, 30, 30))/1000000</f>
        <v>11.673914999999997</v>
      </c>
      <c r="V570" s="57">
        <f>(1000*CHOOSE(CONTROL!$C$42, 500, 500)*CHOOSE(CONTROL!$C$42, 0.275, 0.275)*CHOOSE(CONTROL!$C$42, 30, 30))/1000000</f>
        <v>4.125</v>
      </c>
      <c r="W570" s="57">
        <f>(1000*CHOOSE(CONTROL!$C$42, 0.1146, 0.1146)*CHOOSE(CONTROL!$C$42, 121.5, 121.5)*CHOOSE(CONTROL!$C$42, 30, 30))/1000000</f>
        <v>0.417717</v>
      </c>
      <c r="X570" s="57">
        <f>(30*0.1790888*245000/1000000)+(30*0.2374*100000/1000000)</f>
        <v>2.0285026799999999</v>
      </c>
      <c r="Y570" s="57"/>
      <c r="Z570" s="10"/>
      <c r="AA570" s="56"/>
      <c r="AB570" s="50">
        <f>(B570*194.205+C570*267.466+D570*133.845+E570*53.484+F570*40+G570*185+H570*0+I570*100+J570*300)/(194.205+267.466+133.845+53.484+0+40+185+100+300)</f>
        <v>28.556071640188382</v>
      </c>
      <c r="AC570" s="45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28.307198561151075</v>
      </c>
    </row>
    <row r="571" spans="1:29" ht="15.75" x14ac:dyDescent="0.25">
      <c r="A571" s="13">
        <v>58287</v>
      </c>
      <c r="B571" s="10">
        <f>CHOOSE(CONTROL!$C$42, 27.9841, 27.9841) * CHOOSE(CONTROL!$C$21, $C$9, 100%, $E$9)</f>
        <v>27.984100000000002</v>
      </c>
      <c r="C571" s="10">
        <f>CHOOSE(CONTROL!$C$42, 27.992, 27.992) * CHOOSE(CONTROL!$C$21, $C$9, 100%, $E$9)</f>
        <v>27.992000000000001</v>
      </c>
      <c r="D571" s="10">
        <f>CHOOSE(CONTROL!$C$42, 28.1948, 28.1948) * CHOOSE(CONTROL!$C$21, $C$9, 100%, $E$9)</f>
        <v>28.194800000000001</v>
      </c>
      <c r="E571" s="10">
        <f>CHOOSE(CONTROL!$C$42, 28.2259, 28.2259) * CHOOSE(CONTROL!$C$21, $C$9, 100%, $E$9)</f>
        <v>28.225899999999999</v>
      </c>
      <c r="F571" s="10">
        <f>CHOOSE(CONTROL!$C$42, 27.9609, 27.9609)*CHOOSE(CONTROL!$C$21, $C$9, 100%, $E$9)</f>
        <v>27.960899999999999</v>
      </c>
      <c r="G571" s="10">
        <f>CHOOSE(CONTROL!$C$42, 27.9761, 27.9761)*CHOOSE(CONTROL!$C$21, $C$9, 100%, $E$9)</f>
        <v>27.976099999999999</v>
      </c>
      <c r="H571" s="10">
        <f>CHOOSE(CONTROL!$C$42, 28.2145, 28.2145) * CHOOSE(CONTROL!$C$21, $C$9, 100%, $E$9)</f>
        <v>28.214500000000001</v>
      </c>
      <c r="I571" s="10">
        <f>CHOOSE(CONTROL!$C$42, 27.9841, 27.9841)* CHOOSE(CONTROL!$C$21, $C$9, 100%, $E$9)</f>
        <v>27.984100000000002</v>
      </c>
      <c r="J571" s="10">
        <f>CHOOSE(CONTROL!$C$42, 27.9539, 27.9539)* CHOOSE(CONTROL!$C$21, $C$9, 100%, $E$9)</f>
        <v>27.953900000000001</v>
      </c>
      <c r="K571" s="53">
        <f>CHOOSE(CONTROL!$C$42, 27.9803, 27.9803) * CHOOSE(CONTROL!$C$21, $C$9, 100%, $E$9)</f>
        <v>27.9803</v>
      </c>
      <c r="L571" s="10">
        <f>CHOOSE(CONTROL!$C$42, 28.8015, 28.8015) * CHOOSE(CONTROL!$C$21, $C$9, 100%, $E$9)</f>
        <v>28.801500000000001</v>
      </c>
      <c r="M571" s="10">
        <f>CHOOSE(CONTROL!$C$42, 27.6856, 27.6856) * CHOOSE(CONTROL!$C$21, $C$9, 100%, $E$9)</f>
        <v>27.685600000000001</v>
      </c>
      <c r="N571" s="10">
        <f>CHOOSE(CONTROL!$C$42, 27.7007, 27.7007) * CHOOSE(CONTROL!$C$21, $C$9, 100%, $E$9)</f>
        <v>27.700700000000001</v>
      </c>
      <c r="O571" s="10">
        <f>CHOOSE(CONTROL!$C$42, 27.9436, 27.9436) * CHOOSE(CONTROL!$C$21, $C$9, 100%, $E$9)</f>
        <v>27.9436</v>
      </c>
      <c r="P571" s="10">
        <f>CHOOSE(CONTROL!$C$42, 27.7156, 27.7156) * CHOOSE(CONTROL!$C$21, $C$9, 100%, $E$9)</f>
        <v>27.715599999999998</v>
      </c>
      <c r="Q571" s="10">
        <f>CHOOSE(CONTROL!$C$42, 28.5389, 28.5389) * CHOOSE(CONTROL!$C$21, $C$9, 100%, $E$9)</f>
        <v>28.538900000000002</v>
      </c>
      <c r="R571" s="10">
        <f>CHOOSE(CONTROL!$C$42, 29.1973, 29.1973) * CHOOSE(CONTROL!$C$21, $C$9, 100%, $E$9)</f>
        <v>29.197299999999998</v>
      </c>
      <c r="S571" s="10">
        <f>CHOOSE(CONTROL!$C$42, 27.1711, 27.1711) * CHOOSE(CONTROL!$C$21, $C$9, 100%, $E$9)</f>
        <v>27.171099999999999</v>
      </c>
      <c r="T5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57">
        <f>(1000*CHOOSE(CONTROL!$C$42, 695, 695)*CHOOSE(CONTROL!$C$42, 0.5599, 0.5599)*CHOOSE(CONTROL!$C$42, 31, 31))/1000000</f>
        <v>12.063045499999998</v>
      </c>
      <c r="V571" s="57">
        <f>(1000*CHOOSE(CONTROL!$C$42, 500, 500)*CHOOSE(CONTROL!$C$42, 0.275, 0.275)*CHOOSE(CONTROL!$C$42, 31, 31))/1000000</f>
        <v>4.2625000000000002</v>
      </c>
      <c r="W571" s="57">
        <f>(1000*CHOOSE(CONTROL!$C$42, 0.1146, 0.1146)*CHOOSE(CONTROL!$C$42, 121.5, 121.5)*CHOOSE(CONTROL!$C$42, 31, 31))/1000000</f>
        <v>0.43164089999999994</v>
      </c>
      <c r="X571" s="57">
        <f>(31*0.1790888*245000/1000000)+(31*0.2374*100000/1000000)</f>
        <v>2.0961194359999999</v>
      </c>
      <c r="Y571" s="57"/>
      <c r="Z571" s="10"/>
      <c r="AA571" s="56"/>
      <c r="AB571" s="50">
        <f>(B571*194.205+C571*267.466+D571*133.845+E571*53.484+F571*40+G571*185+H571*0+I571*100+J571*300)/(194.205+267.466+133.845+53.484+0+40+185+100+300)</f>
        <v>28.009043920015703</v>
      </c>
      <c r="AC571" s="45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27.765781294964029</v>
      </c>
    </row>
    <row r="572" spans="1:29" ht="15.75" x14ac:dyDescent="0.25">
      <c r="A572" s="13">
        <v>58318</v>
      </c>
      <c r="B572" s="10">
        <f>CHOOSE(CONTROL!$C$42, 26.6021, 26.6021) * CHOOSE(CONTROL!$C$21, $C$9, 100%, $E$9)</f>
        <v>26.6021</v>
      </c>
      <c r="C572" s="10">
        <f>CHOOSE(CONTROL!$C$42, 26.61, 26.61) * CHOOSE(CONTROL!$C$21, $C$9, 100%, $E$9)</f>
        <v>26.61</v>
      </c>
      <c r="D572" s="10">
        <f>CHOOSE(CONTROL!$C$42, 26.8127, 26.8127) * CHOOSE(CONTROL!$C$21, $C$9, 100%, $E$9)</f>
        <v>26.8127</v>
      </c>
      <c r="E572" s="10">
        <f>CHOOSE(CONTROL!$C$42, 26.8439, 26.8439) * CHOOSE(CONTROL!$C$21, $C$9, 100%, $E$9)</f>
        <v>26.843900000000001</v>
      </c>
      <c r="F572" s="10">
        <f>CHOOSE(CONTROL!$C$42, 26.579, 26.579)*CHOOSE(CONTROL!$C$21, $C$9, 100%, $E$9)</f>
        <v>26.579000000000001</v>
      </c>
      <c r="G572" s="10">
        <f>CHOOSE(CONTROL!$C$42, 26.5944, 26.5944)*CHOOSE(CONTROL!$C$21, $C$9, 100%, $E$9)</f>
        <v>26.5944</v>
      </c>
      <c r="H572" s="10">
        <f>CHOOSE(CONTROL!$C$42, 26.8325, 26.8325) * CHOOSE(CONTROL!$C$21, $C$9, 100%, $E$9)</f>
        <v>26.8325</v>
      </c>
      <c r="I572" s="10">
        <f>CHOOSE(CONTROL!$C$42, 26.6021, 26.6021)* CHOOSE(CONTROL!$C$21, $C$9, 100%, $E$9)</f>
        <v>26.6021</v>
      </c>
      <c r="J572" s="10">
        <f>CHOOSE(CONTROL!$C$42, 26.572, 26.572)* CHOOSE(CONTROL!$C$21, $C$9, 100%, $E$9)</f>
        <v>26.571999999999999</v>
      </c>
      <c r="K572" s="53">
        <f>CHOOSE(CONTROL!$C$42, 26.5982, 26.5982) * CHOOSE(CONTROL!$C$21, $C$9, 100%, $E$9)</f>
        <v>26.598199999999999</v>
      </c>
      <c r="L572" s="10">
        <f>CHOOSE(CONTROL!$C$42, 27.4195, 27.4195) * CHOOSE(CONTROL!$C$21, $C$9, 100%, $E$9)</f>
        <v>27.419499999999999</v>
      </c>
      <c r="M572" s="10">
        <f>CHOOSE(CONTROL!$C$42, 26.3177, 26.3177) * CHOOSE(CONTROL!$C$21, $C$9, 100%, $E$9)</f>
        <v>26.317699999999999</v>
      </c>
      <c r="N572" s="10">
        <f>CHOOSE(CONTROL!$C$42, 26.3329, 26.3329) * CHOOSE(CONTROL!$C$21, $C$9, 100%, $E$9)</f>
        <v>26.332899999999999</v>
      </c>
      <c r="O572" s="10">
        <f>CHOOSE(CONTROL!$C$42, 26.5756, 26.5756) * CHOOSE(CONTROL!$C$21, $C$9, 100%, $E$9)</f>
        <v>26.575600000000001</v>
      </c>
      <c r="P572" s="10">
        <f>CHOOSE(CONTROL!$C$42, 26.3475, 26.3475) * CHOOSE(CONTROL!$C$21, $C$9, 100%, $E$9)</f>
        <v>26.3475</v>
      </c>
      <c r="Q572" s="10">
        <f>CHOOSE(CONTROL!$C$42, 27.1709, 27.1709) * CHOOSE(CONTROL!$C$21, $C$9, 100%, $E$9)</f>
        <v>27.1709</v>
      </c>
      <c r="R572" s="10">
        <f>CHOOSE(CONTROL!$C$42, 27.8258, 27.8258) * CHOOSE(CONTROL!$C$21, $C$9, 100%, $E$9)</f>
        <v>27.825800000000001</v>
      </c>
      <c r="S572" s="10">
        <f>CHOOSE(CONTROL!$C$42, 25.829, 25.829) * CHOOSE(CONTROL!$C$21, $C$9, 100%, $E$9)</f>
        <v>25.829000000000001</v>
      </c>
      <c r="T5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57">
        <f>(1000*CHOOSE(CONTROL!$C$42, 695, 695)*CHOOSE(CONTROL!$C$42, 0.5599, 0.5599)*CHOOSE(CONTROL!$C$42, 31, 31))/1000000</f>
        <v>12.063045499999998</v>
      </c>
      <c r="V572" s="57">
        <f>(1000*CHOOSE(CONTROL!$C$42, 500, 500)*CHOOSE(CONTROL!$C$42, 0.275, 0.275)*CHOOSE(CONTROL!$C$42, 31, 31))/1000000</f>
        <v>4.2625000000000002</v>
      </c>
      <c r="W572" s="57">
        <f>(1000*CHOOSE(CONTROL!$C$42, 0.1146, 0.1146)*CHOOSE(CONTROL!$C$42, 121.5, 121.5)*CHOOSE(CONTROL!$C$42, 31, 31))/1000000</f>
        <v>0.43164089999999994</v>
      </c>
      <c r="X572" s="57">
        <f>(31*0.1790888*245000/1000000)+(31*0.2374*100000/1000000)</f>
        <v>2.0961194359999999</v>
      </c>
      <c r="Y572" s="57"/>
      <c r="Z572" s="10"/>
      <c r="AA572" s="56"/>
      <c r="AB572" s="50">
        <f>(B572*194.205+C572*267.466+D572*133.845+E572*53.484+F572*40+G572*185+H572*0+I572*100+J572*300)/(194.205+267.466+133.845+53.484+0+40+185+100+300)</f>
        <v>26.627103665306123</v>
      </c>
      <c r="AC572" s="45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26.397847482014388</v>
      </c>
    </row>
    <row r="573" spans="1:29" ht="15.75" x14ac:dyDescent="0.25">
      <c r="A573" s="13">
        <v>58348</v>
      </c>
      <c r="B573" s="10">
        <f>CHOOSE(CONTROL!$C$42, 24.9131, 24.9131) * CHOOSE(CONTROL!$C$21, $C$9, 100%, $E$9)</f>
        <v>24.9131</v>
      </c>
      <c r="C573" s="10">
        <f>CHOOSE(CONTROL!$C$42, 24.9211, 24.9211) * CHOOSE(CONTROL!$C$21, $C$9, 100%, $E$9)</f>
        <v>24.921099999999999</v>
      </c>
      <c r="D573" s="10">
        <f>CHOOSE(CONTROL!$C$42, 25.1238, 25.1238) * CHOOSE(CONTROL!$C$21, $C$9, 100%, $E$9)</f>
        <v>25.123799999999999</v>
      </c>
      <c r="E573" s="10">
        <f>CHOOSE(CONTROL!$C$42, 25.1549, 25.1549) * CHOOSE(CONTROL!$C$21, $C$9, 100%, $E$9)</f>
        <v>25.154900000000001</v>
      </c>
      <c r="F573" s="10">
        <f>CHOOSE(CONTROL!$C$42, 24.8899, 24.8899)*CHOOSE(CONTROL!$C$21, $C$9, 100%, $E$9)</f>
        <v>24.889900000000001</v>
      </c>
      <c r="G573" s="10">
        <f>CHOOSE(CONTROL!$C$42, 24.9052, 24.9052)*CHOOSE(CONTROL!$C$21, $C$9, 100%, $E$9)</f>
        <v>24.905200000000001</v>
      </c>
      <c r="H573" s="10">
        <f>CHOOSE(CONTROL!$C$42, 25.1436, 25.1436) * CHOOSE(CONTROL!$C$21, $C$9, 100%, $E$9)</f>
        <v>25.143599999999999</v>
      </c>
      <c r="I573" s="10">
        <f>CHOOSE(CONTROL!$C$42, 24.9132, 24.9132)* CHOOSE(CONTROL!$C$21, $C$9, 100%, $E$9)</f>
        <v>24.9132</v>
      </c>
      <c r="J573" s="10">
        <f>CHOOSE(CONTROL!$C$42, 24.8829, 24.8829)* CHOOSE(CONTROL!$C$21, $C$9, 100%, $E$9)</f>
        <v>24.882899999999999</v>
      </c>
      <c r="K573" s="53">
        <f>CHOOSE(CONTROL!$C$42, 24.9093, 24.9093) * CHOOSE(CONTROL!$C$21, $C$9, 100%, $E$9)</f>
        <v>24.909300000000002</v>
      </c>
      <c r="L573" s="10">
        <f>CHOOSE(CONTROL!$C$42, 25.7306, 25.7306) * CHOOSE(CONTROL!$C$21, $C$9, 100%, $E$9)</f>
        <v>25.730599999999999</v>
      </c>
      <c r="M573" s="10">
        <f>CHOOSE(CONTROL!$C$42, 24.6457, 24.6457) * CHOOSE(CONTROL!$C$21, $C$9, 100%, $E$9)</f>
        <v>24.645700000000001</v>
      </c>
      <c r="N573" s="10">
        <f>CHOOSE(CONTROL!$C$42, 24.6608, 24.6608) * CHOOSE(CONTROL!$C$21, $C$9, 100%, $E$9)</f>
        <v>24.660799999999998</v>
      </c>
      <c r="O573" s="10">
        <f>CHOOSE(CONTROL!$C$42, 24.9036, 24.9036) * CHOOSE(CONTROL!$C$21, $C$9, 100%, $E$9)</f>
        <v>24.903600000000001</v>
      </c>
      <c r="P573" s="10">
        <f>CHOOSE(CONTROL!$C$42, 24.6756, 24.6756) * CHOOSE(CONTROL!$C$21, $C$9, 100%, $E$9)</f>
        <v>24.675599999999999</v>
      </c>
      <c r="Q573" s="10">
        <f>CHOOSE(CONTROL!$C$42, 25.4989, 25.4989) * CHOOSE(CONTROL!$C$21, $C$9, 100%, $E$9)</f>
        <v>25.498899999999999</v>
      </c>
      <c r="R573" s="10">
        <f>CHOOSE(CONTROL!$C$42, 26.1497, 26.1497) * CHOOSE(CONTROL!$C$21, $C$9, 100%, $E$9)</f>
        <v>26.149699999999999</v>
      </c>
      <c r="S573" s="10">
        <f>CHOOSE(CONTROL!$C$42, 24.1889, 24.1889) * CHOOSE(CONTROL!$C$21, $C$9, 100%, $E$9)</f>
        <v>24.1889</v>
      </c>
      <c r="T5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57">
        <f>(1000*CHOOSE(CONTROL!$C$42, 695, 695)*CHOOSE(CONTROL!$C$42, 0.5599, 0.5599)*CHOOSE(CONTROL!$C$42, 30, 30))/1000000</f>
        <v>11.673914999999997</v>
      </c>
      <c r="V573" s="57">
        <f>(1000*CHOOSE(CONTROL!$C$42, 500, 500)*CHOOSE(CONTROL!$C$42, 0.275, 0.275)*CHOOSE(CONTROL!$C$42, 30, 30))/1000000</f>
        <v>4.125</v>
      </c>
      <c r="W573" s="57">
        <f>(1000*CHOOSE(CONTROL!$C$42, 0.1146, 0.1146)*CHOOSE(CONTROL!$C$42, 121.5, 121.5)*CHOOSE(CONTROL!$C$42, 30, 30))/1000000</f>
        <v>0.417717</v>
      </c>
      <c r="X573" s="57">
        <f>(30*0.1790888*245000/1000000)+(30*0.2374*100000/1000000)</f>
        <v>2.0285026799999999</v>
      </c>
      <c r="Y573" s="57"/>
      <c r="Z573" s="10"/>
      <c r="AA573" s="56"/>
      <c r="AB573" s="50">
        <f>(B573*194.205+C573*267.466+D573*133.845+E573*53.484+F573*40+G573*185+H573*0+I573*100+J573*300)/(194.205+267.466+133.845+53.484+0+40+185+100+300)</f>
        <v>24.938087284693879</v>
      </c>
      <c r="AC573" s="45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24.725838848920866</v>
      </c>
    </row>
    <row r="574" spans="1:29" ht="15.75" x14ac:dyDescent="0.25">
      <c r="A574" s="13">
        <v>58379</v>
      </c>
      <c r="B574" s="10">
        <f>CHOOSE(CONTROL!$C$42, 24.4056, 24.4056) * CHOOSE(CONTROL!$C$21, $C$9, 100%, $E$9)</f>
        <v>24.4056</v>
      </c>
      <c r="C574" s="10">
        <f>CHOOSE(CONTROL!$C$42, 24.4109, 24.4109) * CHOOSE(CONTROL!$C$21, $C$9, 100%, $E$9)</f>
        <v>24.410900000000002</v>
      </c>
      <c r="D574" s="10">
        <f>CHOOSE(CONTROL!$C$42, 24.6186, 24.6186) * CHOOSE(CONTROL!$C$21, $C$9, 100%, $E$9)</f>
        <v>24.618600000000001</v>
      </c>
      <c r="E574" s="10">
        <f>CHOOSE(CONTROL!$C$42, 24.6474, 24.6474) * CHOOSE(CONTROL!$C$21, $C$9, 100%, $E$9)</f>
        <v>24.647400000000001</v>
      </c>
      <c r="F574" s="10">
        <f>CHOOSE(CONTROL!$C$42, 24.3844, 24.3844)*CHOOSE(CONTROL!$C$21, $C$9, 100%, $E$9)</f>
        <v>24.384399999999999</v>
      </c>
      <c r="G574" s="10">
        <f>CHOOSE(CONTROL!$C$42, 24.3993, 24.3993)*CHOOSE(CONTROL!$C$21, $C$9, 100%, $E$9)</f>
        <v>24.3993</v>
      </c>
      <c r="H574" s="10">
        <f>CHOOSE(CONTROL!$C$42, 24.6378, 24.6378) * CHOOSE(CONTROL!$C$21, $C$9, 100%, $E$9)</f>
        <v>24.637799999999999</v>
      </c>
      <c r="I574" s="10">
        <f>CHOOSE(CONTROL!$C$42, 24.4074, 24.4074)* CHOOSE(CONTROL!$C$21, $C$9, 100%, $E$9)</f>
        <v>24.407399999999999</v>
      </c>
      <c r="J574" s="10">
        <f>CHOOSE(CONTROL!$C$42, 24.3774, 24.3774)* CHOOSE(CONTROL!$C$21, $C$9, 100%, $E$9)</f>
        <v>24.377400000000002</v>
      </c>
      <c r="K574" s="53">
        <f>CHOOSE(CONTROL!$C$42, 24.4036, 24.4036) * CHOOSE(CONTROL!$C$21, $C$9, 100%, $E$9)</f>
        <v>24.403600000000001</v>
      </c>
      <c r="L574" s="10">
        <f>CHOOSE(CONTROL!$C$42, 25.2248, 25.2248) * CHOOSE(CONTROL!$C$21, $C$9, 100%, $E$9)</f>
        <v>25.224799999999998</v>
      </c>
      <c r="M574" s="10">
        <f>CHOOSE(CONTROL!$C$42, 24.1452, 24.1452) * CHOOSE(CONTROL!$C$21, $C$9, 100%, $E$9)</f>
        <v>24.145199999999999</v>
      </c>
      <c r="N574" s="10">
        <f>CHOOSE(CONTROL!$C$42, 24.16, 24.16) * CHOOSE(CONTROL!$C$21, $C$9, 100%, $E$9)</f>
        <v>24.16</v>
      </c>
      <c r="O574" s="10">
        <f>CHOOSE(CONTROL!$C$42, 24.403, 24.403) * CHOOSE(CONTROL!$C$21, $C$9, 100%, $E$9)</f>
        <v>24.402999999999999</v>
      </c>
      <c r="P574" s="10">
        <f>CHOOSE(CONTROL!$C$42, 24.175, 24.175) * CHOOSE(CONTROL!$C$21, $C$9, 100%, $E$9)</f>
        <v>24.175000000000001</v>
      </c>
      <c r="Q574" s="10">
        <f>CHOOSE(CONTROL!$C$42, 24.9983, 24.9983) * CHOOSE(CONTROL!$C$21, $C$9, 100%, $E$9)</f>
        <v>24.9983</v>
      </c>
      <c r="R574" s="10">
        <f>CHOOSE(CONTROL!$C$42, 25.6478, 25.6478) * CHOOSE(CONTROL!$C$21, $C$9, 100%, $E$9)</f>
        <v>25.6478</v>
      </c>
      <c r="S574" s="10">
        <f>CHOOSE(CONTROL!$C$42, 23.6978, 23.6978) * CHOOSE(CONTROL!$C$21, $C$9, 100%, $E$9)</f>
        <v>23.697800000000001</v>
      </c>
      <c r="T5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57">
        <f>(1000*CHOOSE(CONTROL!$C$42, 695, 695)*CHOOSE(CONTROL!$C$42, 0.5599, 0.5599)*CHOOSE(CONTROL!$C$42, 31, 31))/1000000</f>
        <v>12.063045499999998</v>
      </c>
      <c r="V574" s="57">
        <f>(1000*CHOOSE(CONTROL!$C$42, 500, 500)*CHOOSE(CONTROL!$C$42, 0.275, 0.275)*CHOOSE(CONTROL!$C$42, 31, 31))/1000000</f>
        <v>4.2625000000000002</v>
      </c>
      <c r="W574" s="57">
        <f>(1000*CHOOSE(CONTROL!$C$42, 0.1146, 0.1146)*CHOOSE(CONTROL!$C$42, 121.5, 121.5)*CHOOSE(CONTROL!$C$42, 31, 31))/1000000</f>
        <v>0.43164089999999994</v>
      </c>
      <c r="X574" s="57">
        <f>(31*0.1790888*245000/1000000)+(31*0.2374*100000/1000000)</f>
        <v>2.0961194359999999</v>
      </c>
      <c r="Y574" s="57"/>
      <c r="Z574" s="10"/>
      <c r="AA574" s="56"/>
      <c r="AB574" s="50">
        <f>(B574*131.881+C574*277.167+D574*79.08+E574*125.872+F574*40+G574*185+H574*0+I574*100+J574*300)/(131.881+277.167+79.08+125.872+0+40+185+100+300)</f>
        <v>24.4366374291364</v>
      </c>
      <c r="AC574" s="45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24.225227338129496</v>
      </c>
    </row>
    <row r="575" spans="1:29" ht="15.75" x14ac:dyDescent="0.25">
      <c r="A575" s="13">
        <v>58409</v>
      </c>
      <c r="B575" s="10">
        <f>CHOOSE(CONTROL!$C$42, 25.0481, 25.0481) * CHOOSE(CONTROL!$C$21, $C$9, 100%, $E$9)</f>
        <v>25.048100000000002</v>
      </c>
      <c r="C575" s="10">
        <f>CHOOSE(CONTROL!$C$42, 25.0531, 25.0531) * CHOOSE(CONTROL!$C$21, $C$9, 100%, $E$9)</f>
        <v>25.053100000000001</v>
      </c>
      <c r="D575" s="10">
        <f>CHOOSE(CONTROL!$C$42, 25.1136, 25.1136) * CHOOSE(CONTROL!$C$21, $C$9, 100%, $E$9)</f>
        <v>25.113600000000002</v>
      </c>
      <c r="E575" s="10">
        <f>CHOOSE(CONTROL!$C$42, 25.1473, 25.1473) * CHOOSE(CONTROL!$C$21, $C$9, 100%, $E$9)</f>
        <v>25.147300000000001</v>
      </c>
      <c r="F575" s="10">
        <f>CHOOSE(CONTROL!$C$42, 25.0437, 25.0437)*CHOOSE(CONTROL!$C$21, $C$9, 100%, $E$9)</f>
        <v>25.043700000000001</v>
      </c>
      <c r="G575" s="10">
        <f>CHOOSE(CONTROL!$C$42, 25.059, 25.059)*CHOOSE(CONTROL!$C$21, $C$9, 100%, $E$9)</f>
        <v>25.059000000000001</v>
      </c>
      <c r="H575" s="10">
        <f>CHOOSE(CONTROL!$C$42, 25.1365, 25.1365) * CHOOSE(CONTROL!$C$21, $C$9, 100%, $E$9)</f>
        <v>25.136500000000002</v>
      </c>
      <c r="I575" s="10">
        <f>CHOOSE(CONTROL!$C$42, 25.0606, 25.0606)* CHOOSE(CONTROL!$C$21, $C$9, 100%, $E$9)</f>
        <v>25.060600000000001</v>
      </c>
      <c r="J575" s="10">
        <f>CHOOSE(CONTROL!$C$42, 25.0367, 25.0367)* CHOOSE(CONTROL!$C$21, $C$9, 100%, $E$9)</f>
        <v>25.0367</v>
      </c>
      <c r="K575" s="53">
        <f>CHOOSE(CONTROL!$C$42, 25.0567, 25.0567) * CHOOSE(CONTROL!$C$21, $C$9, 100%, $E$9)</f>
        <v>25.056699999999999</v>
      </c>
      <c r="L575" s="10">
        <f>CHOOSE(CONTROL!$C$42, 25.7235, 25.7235) * CHOOSE(CONTROL!$C$21, $C$9, 100%, $E$9)</f>
        <v>25.723500000000001</v>
      </c>
      <c r="M575" s="10">
        <f>CHOOSE(CONTROL!$C$42, 24.7979, 24.7979) * CHOOSE(CONTROL!$C$21, $C$9, 100%, $E$9)</f>
        <v>24.797899999999998</v>
      </c>
      <c r="N575" s="10">
        <f>CHOOSE(CONTROL!$C$42, 24.813, 24.813) * CHOOSE(CONTROL!$C$21, $C$9, 100%, $E$9)</f>
        <v>24.812999999999999</v>
      </c>
      <c r="O575" s="10">
        <f>CHOOSE(CONTROL!$C$42, 24.8967, 24.8967) * CHOOSE(CONTROL!$C$21, $C$9, 100%, $E$9)</f>
        <v>24.896699999999999</v>
      </c>
      <c r="P575" s="10">
        <f>CHOOSE(CONTROL!$C$42, 24.8216, 24.8216) * CHOOSE(CONTROL!$C$21, $C$9, 100%, $E$9)</f>
        <v>24.8216</v>
      </c>
      <c r="Q575" s="10">
        <f>CHOOSE(CONTROL!$C$42, 25.492, 25.492) * CHOOSE(CONTROL!$C$21, $C$9, 100%, $E$9)</f>
        <v>25.492000000000001</v>
      </c>
      <c r="R575" s="10">
        <f>CHOOSE(CONTROL!$C$42, 26.1427, 26.1427) * CHOOSE(CONTROL!$C$21, $C$9, 100%, $E$9)</f>
        <v>26.142700000000001</v>
      </c>
      <c r="S575" s="10">
        <f>CHOOSE(CONTROL!$C$42, 24.3221, 24.3221) * CHOOSE(CONTROL!$C$21, $C$9, 100%, $E$9)</f>
        <v>24.322099999999999</v>
      </c>
      <c r="T5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57">
        <f>(1000*CHOOSE(CONTROL!$C$42, 695, 695)*CHOOSE(CONTROL!$C$42, 0.5599, 0.5599)*CHOOSE(CONTROL!$C$42, 30, 30))/1000000</f>
        <v>11.673914999999997</v>
      </c>
      <c r="V575" s="57">
        <f>(1000*CHOOSE(CONTROL!$C$42, 500, 500)*CHOOSE(CONTROL!$C$42, 0.275, 0.275)*CHOOSE(CONTROL!$C$42, 30, 30))/1000000</f>
        <v>4.125</v>
      </c>
      <c r="W575" s="57">
        <f>(1000*CHOOSE(CONTROL!$C$42, 0.1146, 0.1146)*CHOOSE(CONTROL!$C$42, 121.5, 121.5)*CHOOSE(CONTROL!$C$42, 30, 30))/1000000</f>
        <v>0.417717</v>
      </c>
      <c r="X575" s="57">
        <f>(30*0.1790888*100000/1000000)+(30*0.2374*100000/1000000)</f>
        <v>1.2494664</v>
      </c>
      <c r="Y575" s="57"/>
      <c r="Z575" s="10"/>
      <c r="AA575" s="56"/>
      <c r="AB575" s="50">
        <f>(B575*122.58+C575*297.941+D575*89.177+E575*40.302+F575*40+G575*160+H575*0+I575*100+J575*300)/(122.58+297.941+89.177+40.302+0+40+160+100+300)</f>
        <v>25.057427614695651</v>
      </c>
      <c r="AC575" s="45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24.846958992805757</v>
      </c>
    </row>
    <row r="576" spans="1:29" ht="15.75" x14ac:dyDescent="0.25">
      <c r="A576" s="13">
        <v>58440</v>
      </c>
      <c r="B576" s="10">
        <f>CHOOSE(CONTROL!$C$42, 26.7557, 26.7557) * CHOOSE(CONTROL!$C$21, $C$9, 100%, $E$9)</f>
        <v>26.755700000000001</v>
      </c>
      <c r="C576" s="10">
        <f>CHOOSE(CONTROL!$C$42, 26.7606, 26.7606) * CHOOSE(CONTROL!$C$21, $C$9, 100%, $E$9)</f>
        <v>26.7606</v>
      </c>
      <c r="D576" s="10">
        <f>CHOOSE(CONTROL!$C$42, 26.8211, 26.8211) * CHOOSE(CONTROL!$C$21, $C$9, 100%, $E$9)</f>
        <v>26.821100000000001</v>
      </c>
      <c r="E576" s="10">
        <f>CHOOSE(CONTROL!$C$42, 26.8549, 26.8549) * CHOOSE(CONTROL!$C$21, $C$9, 100%, $E$9)</f>
        <v>26.854900000000001</v>
      </c>
      <c r="F576" s="10">
        <f>CHOOSE(CONTROL!$C$42, 26.7531, 26.7531)*CHOOSE(CONTROL!$C$21, $C$9, 100%, $E$9)</f>
        <v>26.7531</v>
      </c>
      <c r="G576" s="10">
        <f>CHOOSE(CONTROL!$C$42, 26.7688, 26.7688)*CHOOSE(CONTROL!$C$21, $C$9, 100%, $E$9)</f>
        <v>26.768799999999999</v>
      </c>
      <c r="H576" s="10">
        <f>CHOOSE(CONTROL!$C$42, 26.8441, 26.8441) * CHOOSE(CONTROL!$C$21, $C$9, 100%, $E$9)</f>
        <v>26.844100000000001</v>
      </c>
      <c r="I576" s="10">
        <f>CHOOSE(CONTROL!$C$42, 26.7682, 26.7682)* CHOOSE(CONTROL!$C$21, $C$9, 100%, $E$9)</f>
        <v>26.7682</v>
      </c>
      <c r="J576" s="10">
        <f>CHOOSE(CONTROL!$C$42, 26.7461, 26.7461)* CHOOSE(CONTROL!$C$21, $C$9, 100%, $E$9)</f>
        <v>26.746099999999998</v>
      </c>
      <c r="K576" s="53">
        <f>CHOOSE(CONTROL!$C$42, 26.7643, 26.7643) * CHOOSE(CONTROL!$C$21, $C$9, 100%, $E$9)</f>
        <v>26.764299999999999</v>
      </c>
      <c r="L576" s="10">
        <f>CHOOSE(CONTROL!$C$42, 27.4311, 27.4311) * CHOOSE(CONTROL!$C$21, $C$9, 100%, $E$9)</f>
        <v>27.431100000000001</v>
      </c>
      <c r="M576" s="10">
        <f>CHOOSE(CONTROL!$C$42, 26.49, 26.49) * CHOOSE(CONTROL!$C$21, $C$9, 100%, $E$9)</f>
        <v>26.49</v>
      </c>
      <c r="N576" s="10">
        <f>CHOOSE(CONTROL!$C$42, 26.5056, 26.5056) * CHOOSE(CONTROL!$C$21, $C$9, 100%, $E$9)</f>
        <v>26.505600000000001</v>
      </c>
      <c r="O576" s="10">
        <f>CHOOSE(CONTROL!$C$42, 26.587, 26.587) * CHOOSE(CONTROL!$C$21, $C$9, 100%, $E$9)</f>
        <v>26.587</v>
      </c>
      <c r="P576" s="10">
        <f>CHOOSE(CONTROL!$C$42, 26.5119, 26.5119) * CHOOSE(CONTROL!$C$21, $C$9, 100%, $E$9)</f>
        <v>26.511900000000001</v>
      </c>
      <c r="Q576" s="10">
        <f>CHOOSE(CONTROL!$C$42, 27.1823, 27.1823) * CHOOSE(CONTROL!$C$21, $C$9, 100%, $E$9)</f>
        <v>27.182300000000001</v>
      </c>
      <c r="R576" s="10">
        <f>CHOOSE(CONTROL!$C$42, 27.8373, 27.8373) * CHOOSE(CONTROL!$C$21, $C$9, 100%, $E$9)</f>
        <v>27.837299999999999</v>
      </c>
      <c r="S576" s="10">
        <f>CHOOSE(CONTROL!$C$42, 25.9803, 25.9803) * CHOOSE(CONTROL!$C$21, $C$9, 100%, $E$9)</f>
        <v>25.9803</v>
      </c>
      <c r="T5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57">
        <f>(1000*CHOOSE(CONTROL!$C$42, 695, 695)*CHOOSE(CONTROL!$C$42, 0.5599, 0.5599)*CHOOSE(CONTROL!$C$42, 31, 31))/1000000</f>
        <v>12.063045499999998</v>
      </c>
      <c r="V576" s="57">
        <f>(1000*CHOOSE(CONTROL!$C$42, 500, 500)*CHOOSE(CONTROL!$C$42, 0.275, 0.275)*CHOOSE(CONTROL!$C$42, 31, 31))/1000000</f>
        <v>4.2625000000000002</v>
      </c>
      <c r="W576" s="57">
        <f>(1000*CHOOSE(CONTROL!$C$42, 0.1146, 0.1146)*CHOOSE(CONTROL!$C$42, 121.5, 121.5)*CHOOSE(CONTROL!$C$42, 31, 31))/1000000</f>
        <v>0.43164089999999994</v>
      </c>
      <c r="X576" s="57">
        <f>(31*0.1790888*100000/1000000)+(31*0.2374*100000/1000000)</f>
        <v>1.2911152800000001</v>
      </c>
      <c r="Y576" s="57"/>
      <c r="Z576" s="10"/>
      <c r="AA576" s="56"/>
      <c r="AB576" s="50">
        <f>(B576*122.58+C576*297.941+D576*89.177+E576*40.302+F576*40+G576*160+H576*0+I576*100+J576*300)/(122.58+297.941+89.177+40.302+0+40+160+100+300)</f>
        <v>26.76583221313043</v>
      </c>
      <c r="AC576" s="45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26.538012949640287</v>
      </c>
    </row>
    <row r="577" spans="1:29" ht="15.75" x14ac:dyDescent="0.25">
      <c r="A577" s="13">
        <v>58471</v>
      </c>
      <c r="B577" s="10">
        <f>CHOOSE(CONTROL!$C$42, 28.9477, 28.9477) * CHOOSE(CONTROL!$C$21, $C$9, 100%, $E$9)</f>
        <v>28.947700000000001</v>
      </c>
      <c r="C577" s="10">
        <f>CHOOSE(CONTROL!$C$42, 28.9527, 28.9527) * CHOOSE(CONTROL!$C$21, $C$9, 100%, $E$9)</f>
        <v>28.9527</v>
      </c>
      <c r="D577" s="10">
        <f>CHOOSE(CONTROL!$C$42, 29.0097, 29.0097) * CHOOSE(CONTROL!$C$21, $C$9, 100%, $E$9)</f>
        <v>29.009699999999999</v>
      </c>
      <c r="E577" s="10">
        <f>CHOOSE(CONTROL!$C$42, 29.0435, 29.0435) * CHOOSE(CONTROL!$C$21, $C$9, 100%, $E$9)</f>
        <v>29.043500000000002</v>
      </c>
      <c r="F577" s="10">
        <f>CHOOSE(CONTROL!$C$42, 28.9455, 28.9455)*CHOOSE(CONTROL!$C$21, $C$9, 100%, $E$9)</f>
        <v>28.945499999999999</v>
      </c>
      <c r="G577" s="10">
        <f>CHOOSE(CONTROL!$C$42, 28.9601, 28.9601)*CHOOSE(CONTROL!$C$21, $C$9, 100%, $E$9)</f>
        <v>28.960100000000001</v>
      </c>
      <c r="H577" s="10">
        <f>CHOOSE(CONTROL!$C$42, 29.0327, 29.0327) * CHOOSE(CONTROL!$C$21, $C$9, 100%, $E$9)</f>
        <v>29.032699999999998</v>
      </c>
      <c r="I577" s="10">
        <f>CHOOSE(CONTROL!$C$42, 28.9585, 28.9585)* CHOOSE(CONTROL!$C$21, $C$9, 100%, $E$9)</f>
        <v>28.958500000000001</v>
      </c>
      <c r="J577" s="10">
        <f>CHOOSE(CONTROL!$C$42, 28.9385, 28.9385)* CHOOSE(CONTROL!$C$21, $C$9, 100%, $E$9)</f>
        <v>28.938500000000001</v>
      </c>
      <c r="K577" s="53">
        <f>CHOOSE(CONTROL!$C$42, 28.9546, 28.9546) * CHOOSE(CONTROL!$C$21, $C$9, 100%, $E$9)</f>
        <v>28.954599999999999</v>
      </c>
      <c r="L577" s="10">
        <f>CHOOSE(CONTROL!$C$42, 29.6197, 29.6197) * CHOOSE(CONTROL!$C$21, $C$9, 100%, $E$9)</f>
        <v>29.619700000000002</v>
      </c>
      <c r="M577" s="10">
        <f>CHOOSE(CONTROL!$C$42, 28.6603, 28.6603) * CHOOSE(CONTROL!$C$21, $C$9, 100%, $E$9)</f>
        <v>28.660299999999999</v>
      </c>
      <c r="N577" s="10">
        <f>CHOOSE(CONTROL!$C$42, 28.6748, 28.6748) * CHOOSE(CONTROL!$C$21, $C$9, 100%, $E$9)</f>
        <v>28.674800000000001</v>
      </c>
      <c r="O577" s="10">
        <f>CHOOSE(CONTROL!$C$42, 28.7535, 28.7535) * CHOOSE(CONTROL!$C$21, $C$9, 100%, $E$9)</f>
        <v>28.753499999999999</v>
      </c>
      <c r="P577" s="10">
        <f>CHOOSE(CONTROL!$C$42, 28.6801, 28.6801) * CHOOSE(CONTROL!$C$21, $C$9, 100%, $E$9)</f>
        <v>28.680099999999999</v>
      </c>
      <c r="Q577" s="10">
        <f>CHOOSE(CONTROL!$C$42, 29.3488, 29.3488) * CHOOSE(CONTROL!$C$21, $C$9, 100%, $E$9)</f>
        <v>29.348800000000001</v>
      </c>
      <c r="R577" s="10">
        <f>CHOOSE(CONTROL!$C$42, 30.0092, 30.0092) * CHOOSE(CONTROL!$C$21, $C$9, 100%, $E$9)</f>
        <v>30.0092</v>
      </c>
      <c r="S577" s="10">
        <f>CHOOSE(CONTROL!$C$42, 28.109, 28.109) * CHOOSE(CONTROL!$C$21, $C$9, 100%, $E$9)</f>
        <v>28.109000000000002</v>
      </c>
      <c r="T5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57">
        <f>(1000*CHOOSE(CONTROL!$C$42, 695, 695)*CHOOSE(CONTROL!$C$42, 0.5599, 0.5599)*CHOOSE(CONTROL!$C$42, 31, 31))/1000000</f>
        <v>12.063045499999998</v>
      </c>
      <c r="V577" s="57">
        <f>(1000*CHOOSE(CONTROL!$C$42, 500, 500)*CHOOSE(CONTROL!$C$42, 0.275, 0.275)*CHOOSE(CONTROL!$C$42, 31, 31))/1000000</f>
        <v>4.2625000000000002</v>
      </c>
      <c r="W577" s="57">
        <f>(1000*CHOOSE(CONTROL!$C$42, 0.1146, 0.1146)*CHOOSE(CONTROL!$C$42, 121.5, 121.5)*CHOOSE(CONTROL!$C$42, 31, 31))/1000000</f>
        <v>0.43164089999999994</v>
      </c>
      <c r="X577" s="57">
        <f>(31*0.1790888*100000/1000000)+(31*0.2374*100000/1000000)</f>
        <v>1.2911152800000001</v>
      </c>
      <c r="Y577" s="57"/>
      <c r="Z577" s="10"/>
      <c r="AA577" s="56"/>
      <c r="AB577" s="50">
        <f>(B577*122.58+C577*297.941+D577*89.177+E577*40.302+F577*40+G577*160+H577*0+I577*100+J577*300)/(122.58+297.941+89.177+40.302+0+40+160+100+300)</f>
        <v>28.957348357043482</v>
      </c>
      <c r="AC577" s="45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28.706225179856116</v>
      </c>
    </row>
    <row r="578" spans="1:29" ht="15.75" x14ac:dyDescent="0.25">
      <c r="A578" s="13">
        <v>58499</v>
      </c>
      <c r="B578" s="10">
        <f>CHOOSE(CONTROL!$C$42, 29.463, 29.463) * CHOOSE(CONTROL!$C$21, $C$9, 100%, $E$9)</f>
        <v>29.463000000000001</v>
      </c>
      <c r="C578" s="10">
        <f>CHOOSE(CONTROL!$C$42, 29.4679, 29.4679) * CHOOSE(CONTROL!$C$21, $C$9, 100%, $E$9)</f>
        <v>29.4679</v>
      </c>
      <c r="D578" s="10">
        <f>CHOOSE(CONTROL!$C$42, 29.525, 29.525) * CHOOSE(CONTROL!$C$21, $C$9, 100%, $E$9)</f>
        <v>29.524999999999999</v>
      </c>
      <c r="E578" s="10">
        <f>CHOOSE(CONTROL!$C$42, 29.5588, 29.5588) * CHOOSE(CONTROL!$C$21, $C$9, 100%, $E$9)</f>
        <v>29.558800000000002</v>
      </c>
      <c r="F578" s="10">
        <f>CHOOSE(CONTROL!$C$42, 29.4609, 29.4609)*CHOOSE(CONTROL!$C$21, $C$9, 100%, $E$9)</f>
        <v>29.460899999999999</v>
      </c>
      <c r="G578" s="10">
        <f>CHOOSE(CONTROL!$C$42, 29.4755, 29.4755)*CHOOSE(CONTROL!$C$21, $C$9, 100%, $E$9)</f>
        <v>29.4755</v>
      </c>
      <c r="H578" s="10">
        <f>CHOOSE(CONTROL!$C$42, 29.548, 29.548) * CHOOSE(CONTROL!$C$21, $C$9, 100%, $E$9)</f>
        <v>29.547999999999998</v>
      </c>
      <c r="I578" s="10">
        <f>CHOOSE(CONTROL!$C$42, 29.4738, 29.4738)* CHOOSE(CONTROL!$C$21, $C$9, 100%, $E$9)</f>
        <v>29.473800000000001</v>
      </c>
      <c r="J578" s="10">
        <f>CHOOSE(CONTROL!$C$42, 29.4539, 29.4539)* CHOOSE(CONTROL!$C$21, $C$9, 100%, $E$9)</f>
        <v>29.453900000000001</v>
      </c>
      <c r="K578" s="53">
        <f>CHOOSE(CONTROL!$C$42, 29.4699, 29.4699) * CHOOSE(CONTROL!$C$21, $C$9, 100%, $E$9)</f>
        <v>29.469899999999999</v>
      </c>
      <c r="L578" s="10">
        <f>CHOOSE(CONTROL!$C$42, 30.135, 30.135) * CHOOSE(CONTROL!$C$21, $C$9, 100%, $E$9)</f>
        <v>30.135000000000002</v>
      </c>
      <c r="M578" s="10">
        <f>CHOOSE(CONTROL!$C$42, 29.1705, 29.1705) * CHOOSE(CONTROL!$C$21, $C$9, 100%, $E$9)</f>
        <v>29.170500000000001</v>
      </c>
      <c r="N578" s="10">
        <f>CHOOSE(CONTROL!$C$42, 29.185, 29.185) * CHOOSE(CONTROL!$C$21, $C$9, 100%, $E$9)</f>
        <v>29.184999999999999</v>
      </c>
      <c r="O578" s="10">
        <f>CHOOSE(CONTROL!$C$42, 29.2636, 29.2636) * CHOOSE(CONTROL!$C$21, $C$9, 100%, $E$9)</f>
        <v>29.2636</v>
      </c>
      <c r="P578" s="10">
        <f>CHOOSE(CONTROL!$C$42, 29.1902, 29.1902) * CHOOSE(CONTROL!$C$21, $C$9, 100%, $E$9)</f>
        <v>29.190200000000001</v>
      </c>
      <c r="Q578" s="10">
        <f>CHOOSE(CONTROL!$C$42, 29.8589, 29.8589) * CHOOSE(CONTROL!$C$21, $C$9, 100%, $E$9)</f>
        <v>29.858899999999998</v>
      </c>
      <c r="R578" s="10">
        <f>CHOOSE(CONTROL!$C$42, 30.5205, 30.5205) * CHOOSE(CONTROL!$C$21, $C$9, 100%, $E$9)</f>
        <v>30.520499999999998</v>
      </c>
      <c r="S578" s="10">
        <f>CHOOSE(CONTROL!$C$42, 28.6093, 28.6093) * CHOOSE(CONTROL!$C$21, $C$9, 100%, $E$9)</f>
        <v>28.609300000000001</v>
      </c>
      <c r="T57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78" s="57">
        <f>(1000*CHOOSE(CONTROL!$C$42, 695, 695)*CHOOSE(CONTROL!$C$42, 0.5599, 0.5599)*CHOOSE(CONTROL!$C$42, 29, 29))/1000000</f>
        <v>11.284784499999999</v>
      </c>
      <c r="V578" s="57">
        <f>(1000*CHOOSE(CONTROL!$C$42, 500, 500)*CHOOSE(CONTROL!$C$42, 0.275, 0.275)*CHOOSE(CONTROL!$C$42, 29, 29))/1000000</f>
        <v>3.9874999999999998</v>
      </c>
      <c r="W578" s="57">
        <f>(1000*CHOOSE(CONTROL!$C$42, 0.1146, 0.1146)*CHOOSE(CONTROL!$C$42, 121.5, 121.5)*CHOOSE(CONTROL!$C$42, 29, 29))/1000000</f>
        <v>0.40379309999999996</v>
      </c>
      <c r="X578" s="57">
        <f>(29*0.1790888*100000/1000000)+(29*0.2374*100000/1000000)</f>
        <v>1.2078175199999999</v>
      </c>
      <c r="Y578" s="57"/>
      <c r="Z578" s="10"/>
      <c r="AA578" s="56"/>
      <c r="AB578" s="50">
        <f>(B578*122.58+C578*297.941+D578*89.177+E578*40.302+F578*40+G578*160+H578*0+I578*100+J578*300)/(122.58+297.941+89.177+40.302+0+40+160+100+300)</f>
        <v>29.472665927391308</v>
      </c>
      <c r="AC578" s="45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29.216365467625899</v>
      </c>
    </row>
    <row r="579" spans="1:29" ht="15.75" x14ac:dyDescent="0.25">
      <c r="A579" s="13">
        <v>58531</v>
      </c>
      <c r="B579" s="10">
        <f>CHOOSE(CONTROL!$C$42, 28.6266, 28.6266) * CHOOSE(CONTROL!$C$21, $C$9, 100%, $E$9)</f>
        <v>28.6266</v>
      </c>
      <c r="C579" s="10">
        <f>CHOOSE(CONTROL!$C$42, 28.6315, 28.6315) * CHOOSE(CONTROL!$C$21, $C$9, 100%, $E$9)</f>
        <v>28.631499999999999</v>
      </c>
      <c r="D579" s="10">
        <f>CHOOSE(CONTROL!$C$42, 28.6886, 28.6886) * CHOOSE(CONTROL!$C$21, $C$9, 100%, $E$9)</f>
        <v>28.688600000000001</v>
      </c>
      <c r="E579" s="10">
        <f>CHOOSE(CONTROL!$C$42, 28.7224, 28.7224) * CHOOSE(CONTROL!$C$21, $C$9, 100%, $E$9)</f>
        <v>28.7224</v>
      </c>
      <c r="F579" s="10">
        <f>CHOOSE(CONTROL!$C$42, 28.6244, 28.6244)*CHOOSE(CONTROL!$C$21, $C$9, 100%, $E$9)</f>
        <v>28.624400000000001</v>
      </c>
      <c r="G579" s="10">
        <f>CHOOSE(CONTROL!$C$42, 28.639, 28.639)*CHOOSE(CONTROL!$C$21, $C$9, 100%, $E$9)</f>
        <v>28.638999999999999</v>
      </c>
      <c r="H579" s="10">
        <f>CHOOSE(CONTROL!$C$42, 28.7116, 28.7116) * CHOOSE(CONTROL!$C$21, $C$9, 100%, $E$9)</f>
        <v>28.711600000000001</v>
      </c>
      <c r="I579" s="10">
        <f>CHOOSE(CONTROL!$C$42, 28.6374, 28.6374)* CHOOSE(CONTROL!$C$21, $C$9, 100%, $E$9)</f>
        <v>28.6374</v>
      </c>
      <c r="J579" s="10">
        <f>CHOOSE(CONTROL!$C$42, 28.6174, 28.6174)* CHOOSE(CONTROL!$C$21, $C$9, 100%, $E$9)</f>
        <v>28.6174</v>
      </c>
      <c r="K579" s="53">
        <f>CHOOSE(CONTROL!$C$42, 28.6335, 28.6335) * CHOOSE(CONTROL!$C$21, $C$9, 100%, $E$9)</f>
        <v>28.633500000000002</v>
      </c>
      <c r="L579" s="10">
        <f>CHOOSE(CONTROL!$C$42, 29.2986, 29.2986) * CHOOSE(CONTROL!$C$21, $C$9, 100%, $E$9)</f>
        <v>29.2986</v>
      </c>
      <c r="M579" s="10">
        <f>CHOOSE(CONTROL!$C$42, 28.3424, 28.3424) * CHOOSE(CONTROL!$C$21, $C$9, 100%, $E$9)</f>
        <v>28.342400000000001</v>
      </c>
      <c r="N579" s="10">
        <f>CHOOSE(CONTROL!$C$42, 28.3569, 28.3569) * CHOOSE(CONTROL!$C$21, $C$9, 100%, $E$9)</f>
        <v>28.3569</v>
      </c>
      <c r="O579" s="10">
        <f>CHOOSE(CONTROL!$C$42, 28.4356, 28.4356) * CHOOSE(CONTROL!$C$21, $C$9, 100%, $E$9)</f>
        <v>28.435600000000001</v>
      </c>
      <c r="P579" s="10">
        <f>CHOOSE(CONTROL!$C$42, 28.3622, 28.3622) * CHOOSE(CONTROL!$C$21, $C$9, 100%, $E$9)</f>
        <v>28.362200000000001</v>
      </c>
      <c r="Q579" s="10">
        <f>CHOOSE(CONTROL!$C$42, 29.0309, 29.0309) * CHOOSE(CONTROL!$C$21, $C$9, 100%, $E$9)</f>
        <v>29.030899999999999</v>
      </c>
      <c r="R579" s="10">
        <f>CHOOSE(CONTROL!$C$42, 29.6905, 29.6905) * CHOOSE(CONTROL!$C$21, $C$9, 100%, $E$9)</f>
        <v>29.6905</v>
      </c>
      <c r="S579" s="10">
        <f>CHOOSE(CONTROL!$C$42, 27.7971, 27.7971) * CHOOSE(CONTROL!$C$21, $C$9, 100%, $E$9)</f>
        <v>27.7971</v>
      </c>
      <c r="T5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57">
        <f>(1000*CHOOSE(CONTROL!$C$42, 695, 695)*CHOOSE(CONTROL!$C$42, 0.5599, 0.5599)*CHOOSE(CONTROL!$C$42, 31, 31))/1000000</f>
        <v>12.063045499999998</v>
      </c>
      <c r="V579" s="57">
        <f>(1000*CHOOSE(CONTROL!$C$42, 500, 500)*CHOOSE(CONTROL!$C$42, 0.275, 0.275)*CHOOSE(CONTROL!$C$42, 31, 31))/1000000</f>
        <v>4.2625000000000002</v>
      </c>
      <c r="W579" s="57">
        <f>(1000*CHOOSE(CONTROL!$C$42, 0.1146, 0.1146)*CHOOSE(CONTROL!$C$42, 121.5, 121.5)*CHOOSE(CONTROL!$C$42, 31, 31))/1000000</f>
        <v>0.43164089999999994</v>
      </c>
      <c r="X579" s="57">
        <f>(31*0.1790888*100000/1000000)+(31*0.2374*100000/1000000)</f>
        <v>1.2911152800000001</v>
      </c>
      <c r="Y579" s="57"/>
      <c r="Z579" s="10"/>
      <c r="AA579" s="56"/>
      <c r="AB579" s="50">
        <f>(B579*122.58+C579*297.941+D579*89.177+E579*40.302+F579*40+G579*160+H579*0+I579*100+J579*300)/(122.58+297.941+89.177+40.302+0+40+160+100+300)</f>
        <v>28.636222449130429</v>
      </c>
      <c r="AC579" s="45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28.388325179856118</v>
      </c>
    </row>
    <row r="580" spans="1:29" ht="15.75" x14ac:dyDescent="0.25">
      <c r="A580" s="13">
        <v>58561</v>
      </c>
      <c r="B580" s="10">
        <f>CHOOSE(CONTROL!$C$42, 28.542, 28.542) * CHOOSE(CONTROL!$C$21, $C$9, 100%, $E$9)</f>
        <v>28.542000000000002</v>
      </c>
      <c r="C580" s="10">
        <f>CHOOSE(CONTROL!$C$42, 28.5464, 28.5464) * CHOOSE(CONTROL!$C$21, $C$9, 100%, $E$9)</f>
        <v>28.546399999999998</v>
      </c>
      <c r="D580" s="10">
        <f>CHOOSE(CONTROL!$C$42, 28.7523, 28.7523) * CHOOSE(CONTROL!$C$21, $C$9, 100%, $E$9)</f>
        <v>28.752300000000002</v>
      </c>
      <c r="E580" s="10">
        <f>CHOOSE(CONTROL!$C$42, 28.7841, 28.7841) * CHOOSE(CONTROL!$C$21, $C$9, 100%, $E$9)</f>
        <v>28.784099999999999</v>
      </c>
      <c r="F580" s="10">
        <f>CHOOSE(CONTROL!$C$42, 28.5188, 28.5188)*CHOOSE(CONTROL!$C$21, $C$9, 100%, $E$9)</f>
        <v>28.518799999999999</v>
      </c>
      <c r="G580" s="10">
        <f>CHOOSE(CONTROL!$C$42, 28.5333, 28.5333)*CHOOSE(CONTROL!$C$21, $C$9, 100%, $E$9)</f>
        <v>28.533300000000001</v>
      </c>
      <c r="H580" s="10">
        <f>CHOOSE(CONTROL!$C$42, 28.7739, 28.7739) * CHOOSE(CONTROL!$C$21, $C$9, 100%, $E$9)</f>
        <v>28.773900000000001</v>
      </c>
      <c r="I580" s="10">
        <f>CHOOSE(CONTROL!$C$42, 28.5435, 28.5435)* CHOOSE(CONTROL!$C$21, $C$9, 100%, $E$9)</f>
        <v>28.543500000000002</v>
      </c>
      <c r="J580" s="10">
        <f>CHOOSE(CONTROL!$C$42, 28.5118, 28.5118)* CHOOSE(CONTROL!$C$21, $C$9, 100%, $E$9)</f>
        <v>28.511800000000001</v>
      </c>
      <c r="K580" s="53">
        <f>CHOOSE(CONTROL!$C$42, 28.5396, 28.5396) * CHOOSE(CONTROL!$C$21, $C$9, 100%, $E$9)</f>
        <v>28.5396</v>
      </c>
      <c r="L580" s="10">
        <f>CHOOSE(CONTROL!$C$42, 29.3609, 29.3609) * CHOOSE(CONTROL!$C$21, $C$9, 100%, $E$9)</f>
        <v>29.360900000000001</v>
      </c>
      <c r="M580" s="10">
        <f>CHOOSE(CONTROL!$C$42, 28.2379, 28.2379) * CHOOSE(CONTROL!$C$21, $C$9, 100%, $E$9)</f>
        <v>28.2379</v>
      </c>
      <c r="N580" s="10">
        <f>CHOOSE(CONTROL!$C$42, 28.2523, 28.2523) * CHOOSE(CONTROL!$C$21, $C$9, 100%, $E$9)</f>
        <v>28.252300000000002</v>
      </c>
      <c r="O580" s="10">
        <f>CHOOSE(CONTROL!$C$42, 28.4973, 28.4973) * CHOOSE(CONTROL!$C$21, $C$9, 100%, $E$9)</f>
        <v>28.497299999999999</v>
      </c>
      <c r="P580" s="10">
        <f>CHOOSE(CONTROL!$C$42, 28.2693, 28.2693) * CHOOSE(CONTROL!$C$21, $C$9, 100%, $E$9)</f>
        <v>28.269300000000001</v>
      </c>
      <c r="Q580" s="10">
        <f>CHOOSE(CONTROL!$C$42, 29.0926, 29.0926) * CHOOSE(CONTROL!$C$21, $C$9, 100%, $E$9)</f>
        <v>29.092600000000001</v>
      </c>
      <c r="R580" s="10">
        <f>CHOOSE(CONTROL!$C$42, 29.7523, 29.7523) * CHOOSE(CONTROL!$C$21, $C$9, 100%, $E$9)</f>
        <v>29.752300000000002</v>
      </c>
      <c r="S580" s="10">
        <f>CHOOSE(CONTROL!$C$42, 27.7143, 27.7143) * CHOOSE(CONTROL!$C$21, $C$9, 100%, $E$9)</f>
        <v>27.714300000000001</v>
      </c>
      <c r="T5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57">
        <f>(1000*CHOOSE(CONTROL!$C$42, 695, 695)*CHOOSE(CONTROL!$C$42, 0.5599, 0.5599)*CHOOSE(CONTROL!$C$42, 30, 30))/1000000</f>
        <v>11.673914999999997</v>
      </c>
      <c r="V580" s="57">
        <f>(1000*CHOOSE(CONTROL!$C$42, 500, 500)*CHOOSE(CONTROL!$C$42, 0.275, 0.275)*CHOOSE(CONTROL!$C$42, 30, 30))/1000000</f>
        <v>4.125</v>
      </c>
      <c r="W580" s="57">
        <f>(1000*CHOOSE(CONTROL!$C$42, 0.1146, 0.1146)*CHOOSE(CONTROL!$C$42, 121.5, 121.5)*CHOOSE(CONTROL!$C$42, 30, 30))/1000000</f>
        <v>0.417717</v>
      </c>
      <c r="X580" s="57">
        <f>(30*0.1790888*245000/1000000)+(30*0.2374*100000/1000000)</f>
        <v>2.0285026799999999</v>
      </c>
      <c r="Y580" s="57"/>
      <c r="Z580" s="10"/>
      <c r="AA580" s="56"/>
      <c r="AB580" s="50">
        <f>(B580*141.293+C580*267.993+D580*115.016+E580*89.698+F580*40+G580*185+H580*0+I580*100+J580*300)/(141.293+267.993+115.016+89.698+0+40+185+100+300)</f>
        <v>28.570761436481032</v>
      </c>
      <c r="AC580" s="45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28.318514388489209</v>
      </c>
    </row>
    <row r="581" spans="1:29" ht="15.75" x14ac:dyDescent="0.25">
      <c r="A581" s="13">
        <v>58592</v>
      </c>
      <c r="B581" s="10">
        <f>CHOOSE(CONTROL!$C$42, 28.7953, 28.7953) * CHOOSE(CONTROL!$C$21, $C$9, 100%, $E$9)</f>
        <v>28.795300000000001</v>
      </c>
      <c r="C581" s="10">
        <f>CHOOSE(CONTROL!$C$42, 28.8032, 28.8032) * CHOOSE(CONTROL!$C$21, $C$9, 100%, $E$9)</f>
        <v>28.8032</v>
      </c>
      <c r="D581" s="10">
        <f>CHOOSE(CONTROL!$C$42, 29.006, 29.006) * CHOOSE(CONTROL!$C$21, $C$9, 100%, $E$9)</f>
        <v>29.006</v>
      </c>
      <c r="E581" s="10">
        <f>CHOOSE(CONTROL!$C$42, 29.0371, 29.0371) * CHOOSE(CONTROL!$C$21, $C$9, 100%, $E$9)</f>
        <v>29.037099999999999</v>
      </c>
      <c r="F581" s="10">
        <f>CHOOSE(CONTROL!$C$42, 28.771, 28.771)*CHOOSE(CONTROL!$C$21, $C$9, 100%, $E$9)</f>
        <v>28.771000000000001</v>
      </c>
      <c r="G581" s="10">
        <f>CHOOSE(CONTROL!$C$42, 28.786, 28.786)*CHOOSE(CONTROL!$C$21, $C$9, 100%, $E$9)</f>
        <v>28.786000000000001</v>
      </c>
      <c r="H581" s="10">
        <f>CHOOSE(CONTROL!$C$42, 29.0257, 29.0257) * CHOOSE(CONTROL!$C$21, $C$9, 100%, $E$9)</f>
        <v>29.025700000000001</v>
      </c>
      <c r="I581" s="10">
        <f>CHOOSE(CONTROL!$C$42, 28.7954, 28.7954)* CHOOSE(CONTROL!$C$21, $C$9, 100%, $E$9)</f>
        <v>28.795400000000001</v>
      </c>
      <c r="J581" s="10">
        <f>CHOOSE(CONTROL!$C$42, 28.764, 28.764)* CHOOSE(CONTROL!$C$21, $C$9, 100%, $E$9)</f>
        <v>28.763999999999999</v>
      </c>
      <c r="K581" s="53">
        <f>CHOOSE(CONTROL!$C$42, 28.7915, 28.7915) * CHOOSE(CONTROL!$C$21, $C$9, 100%, $E$9)</f>
        <v>28.791499999999999</v>
      </c>
      <c r="L581" s="10">
        <f>CHOOSE(CONTROL!$C$42, 29.6127, 29.6127) * CHOOSE(CONTROL!$C$21, $C$9, 100%, $E$9)</f>
        <v>29.6127</v>
      </c>
      <c r="M581" s="10">
        <f>CHOOSE(CONTROL!$C$42, 28.4876, 28.4876) * CHOOSE(CONTROL!$C$21, $C$9, 100%, $E$9)</f>
        <v>28.4876</v>
      </c>
      <c r="N581" s="10">
        <f>CHOOSE(CONTROL!$C$42, 28.5024, 28.5024) * CHOOSE(CONTROL!$C$21, $C$9, 100%, $E$9)</f>
        <v>28.502400000000002</v>
      </c>
      <c r="O581" s="10">
        <f>CHOOSE(CONTROL!$C$42, 28.7466, 28.7466) * CHOOSE(CONTROL!$C$21, $C$9, 100%, $E$9)</f>
        <v>28.746600000000001</v>
      </c>
      <c r="P581" s="10">
        <f>CHOOSE(CONTROL!$C$42, 28.5186, 28.5186) * CHOOSE(CONTROL!$C$21, $C$9, 100%, $E$9)</f>
        <v>28.518599999999999</v>
      </c>
      <c r="Q581" s="10">
        <f>CHOOSE(CONTROL!$C$42, 29.3419, 29.3419) * CHOOSE(CONTROL!$C$21, $C$9, 100%, $E$9)</f>
        <v>29.341899999999999</v>
      </c>
      <c r="R581" s="10">
        <f>CHOOSE(CONTROL!$C$42, 30.0023, 30.0023) * CHOOSE(CONTROL!$C$21, $C$9, 100%, $E$9)</f>
        <v>30.002300000000002</v>
      </c>
      <c r="S581" s="10">
        <f>CHOOSE(CONTROL!$C$42, 27.9589, 27.9589) * CHOOSE(CONTROL!$C$21, $C$9, 100%, $E$9)</f>
        <v>27.9589</v>
      </c>
      <c r="T5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57">
        <f>(1000*CHOOSE(CONTROL!$C$42, 695, 695)*CHOOSE(CONTROL!$C$42, 0.5599, 0.5599)*CHOOSE(CONTROL!$C$42, 31, 31))/1000000</f>
        <v>12.063045499999998</v>
      </c>
      <c r="V581" s="57">
        <f>(1000*CHOOSE(CONTROL!$C$42, 500, 500)*CHOOSE(CONTROL!$C$42, 0.275, 0.275)*CHOOSE(CONTROL!$C$42, 31, 31))/1000000</f>
        <v>4.2625000000000002</v>
      </c>
      <c r="W581" s="57">
        <f>(1000*CHOOSE(CONTROL!$C$42, 0.1146, 0.1146)*CHOOSE(CONTROL!$C$42, 121.5, 121.5)*CHOOSE(CONTROL!$C$42, 31, 31))/1000000</f>
        <v>0.43164089999999994</v>
      </c>
      <c r="X581" s="57">
        <f>(31*0.1790888*245000/1000000)+(31*0.2374*100000/1000000)</f>
        <v>2.0961194359999999</v>
      </c>
      <c r="Y581" s="57"/>
      <c r="Z581" s="10"/>
      <c r="AA581" s="56"/>
      <c r="AB581" s="50">
        <f>(B581*194.205+C581*267.466+D581*133.845+E581*53.484+F581*40+G581*185+H581*0+I581*100+J581*300)/(194.205+267.466+133.845+53.484+0+40+185+100+300)</f>
        <v>28.819769430219779</v>
      </c>
      <c r="AC581" s="45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28.568136690647481</v>
      </c>
    </row>
    <row r="582" spans="1:29" ht="15.75" x14ac:dyDescent="0.25">
      <c r="A582" s="13">
        <v>58622</v>
      </c>
      <c r="B582" s="10">
        <f>CHOOSE(CONTROL!$C$42, 29.612, 29.612) * CHOOSE(CONTROL!$C$21, $C$9, 100%, $E$9)</f>
        <v>29.611999999999998</v>
      </c>
      <c r="C582" s="10">
        <f>CHOOSE(CONTROL!$C$42, 29.6199, 29.6199) * CHOOSE(CONTROL!$C$21, $C$9, 100%, $E$9)</f>
        <v>29.619900000000001</v>
      </c>
      <c r="D582" s="10">
        <f>CHOOSE(CONTROL!$C$42, 29.8226, 29.8226) * CHOOSE(CONTROL!$C$21, $C$9, 100%, $E$9)</f>
        <v>29.822600000000001</v>
      </c>
      <c r="E582" s="10">
        <f>CHOOSE(CONTROL!$C$42, 29.8538, 29.8538) * CHOOSE(CONTROL!$C$21, $C$9, 100%, $E$9)</f>
        <v>29.8538</v>
      </c>
      <c r="F582" s="10">
        <f>CHOOSE(CONTROL!$C$42, 29.5882, 29.5882)*CHOOSE(CONTROL!$C$21, $C$9, 100%, $E$9)</f>
        <v>29.588200000000001</v>
      </c>
      <c r="G582" s="10">
        <f>CHOOSE(CONTROL!$C$42, 29.6033, 29.6033)*CHOOSE(CONTROL!$C$21, $C$9, 100%, $E$9)</f>
        <v>29.603300000000001</v>
      </c>
      <c r="H582" s="10">
        <f>CHOOSE(CONTROL!$C$42, 29.8424, 29.8424) * CHOOSE(CONTROL!$C$21, $C$9, 100%, $E$9)</f>
        <v>29.842400000000001</v>
      </c>
      <c r="I582" s="10">
        <f>CHOOSE(CONTROL!$C$42, 29.612, 29.612)* CHOOSE(CONTROL!$C$21, $C$9, 100%, $E$9)</f>
        <v>29.611999999999998</v>
      </c>
      <c r="J582" s="10">
        <f>CHOOSE(CONTROL!$C$42, 29.5812, 29.5812)* CHOOSE(CONTROL!$C$21, $C$9, 100%, $E$9)</f>
        <v>29.581199999999999</v>
      </c>
      <c r="K582" s="53">
        <f>CHOOSE(CONTROL!$C$42, 29.6081, 29.6081) * CHOOSE(CONTROL!$C$21, $C$9, 100%, $E$9)</f>
        <v>29.6081</v>
      </c>
      <c r="L582" s="10">
        <f>CHOOSE(CONTROL!$C$42, 30.4294, 30.4294) * CHOOSE(CONTROL!$C$21, $C$9, 100%, $E$9)</f>
        <v>30.429400000000001</v>
      </c>
      <c r="M582" s="10">
        <f>CHOOSE(CONTROL!$C$42, 29.2965, 29.2965) * CHOOSE(CONTROL!$C$21, $C$9, 100%, $E$9)</f>
        <v>29.296500000000002</v>
      </c>
      <c r="N582" s="10">
        <f>CHOOSE(CONTROL!$C$42, 29.3115, 29.3115) * CHOOSE(CONTROL!$C$21, $C$9, 100%, $E$9)</f>
        <v>29.311499999999999</v>
      </c>
      <c r="O582" s="10">
        <f>CHOOSE(CONTROL!$C$42, 29.5551, 29.5551) * CHOOSE(CONTROL!$C$21, $C$9, 100%, $E$9)</f>
        <v>29.555099999999999</v>
      </c>
      <c r="P582" s="10">
        <f>CHOOSE(CONTROL!$C$42, 29.327, 29.327) * CHOOSE(CONTROL!$C$21, $C$9, 100%, $E$9)</f>
        <v>29.327000000000002</v>
      </c>
      <c r="Q582" s="10">
        <f>CHOOSE(CONTROL!$C$42, 30.1504, 30.1504) * CHOOSE(CONTROL!$C$21, $C$9, 100%, $E$9)</f>
        <v>30.150400000000001</v>
      </c>
      <c r="R582" s="10">
        <f>CHOOSE(CONTROL!$C$42, 30.8127, 30.8127) * CHOOSE(CONTROL!$C$21, $C$9, 100%, $E$9)</f>
        <v>30.8127</v>
      </c>
      <c r="S582" s="10">
        <f>CHOOSE(CONTROL!$C$42, 28.7519, 28.7519) * CHOOSE(CONTROL!$C$21, $C$9, 100%, $E$9)</f>
        <v>28.751899999999999</v>
      </c>
      <c r="T5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57">
        <f>(1000*CHOOSE(CONTROL!$C$42, 695, 695)*CHOOSE(CONTROL!$C$42, 0.5599, 0.5599)*CHOOSE(CONTROL!$C$42, 30, 30))/1000000</f>
        <v>11.673914999999997</v>
      </c>
      <c r="V582" s="57">
        <f>(1000*CHOOSE(CONTROL!$C$42, 500, 500)*CHOOSE(CONTROL!$C$42, 0.275, 0.275)*CHOOSE(CONTROL!$C$42, 30, 30))/1000000</f>
        <v>4.125</v>
      </c>
      <c r="W582" s="57">
        <f>(1000*CHOOSE(CONTROL!$C$42, 0.1146, 0.1146)*CHOOSE(CONTROL!$C$42, 121.5, 121.5)*CHOOSE(CONTROL!$C$42, 30, 30))/1000000</f>
        <v>0.417717</v>
      </c>
      <c r="X582" s="57">
        <f>(30*0.1790888*245000/1000000)+(30*0.2374*100000/1000000)</f>
        <v>2.0285026799999999</v>
      </c>
      <c r="Y582" s="57"/>
      <c r="Z582" s="10"/>
      <c r="AA582" s="56"/>
      <c r="AB582" s="50">
        <f>(B582*194.205+C582*267.466+D582*133.845+E582*53.484+F582*40+G582*185+H582*0+I582*100+J582*300)/(194.205+267.466+133.845+53.484+0+40+185+100+300)</f>
        <v>29.636671640188382</v>
      </c>
      <c r="AC582" s="45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29.37689856115108</v>
      </c>
    </row>
    <row r="583" spans="1:29" ht="15.75" x14ac:dyDescent="0.25">
      <c r="A583" s="13">
        <v>58653</v>
      </c>
      <c r="B583" s="10">
        <f>CHOOSE(CONTROL!$C$42, 29.044, 29.044) * CHOOSE(CONTROL!$C$21, $C$9, 100%, $E$9)</f>
        <v>29.044</v>
      </c>
      <c r="C583" s="10">
        <f>CHOOSE(CONTROL!$C$42, 29.0519, 29.0519) * CHOOSE(CONTROL!$C$21, $C$9, 100%, $E$9)</f>
        <v>29.0519</v>
      </c>
      <c r="D583" s="10">
        <f>CHOOSE(CONTROL!$C$42, 29.2546, 29.2546) * CHOOSE(CONTROL!$C$21, $C$9, 100%, $E$9)</f>
        <v>29.2546</v>
      </c>
      <c r="E583" s="10">
        <f>CHOOSE(CONTROL!$C$42, 29.2858, 29.2858) * CHOOSE(CONTROL!$C$21, $C$9, 100%, $E$9)</f>
        <v>29.285799999999998</v>
      </c>
      <c r="F583" s="10">
        <f>CHOOSE(CONTROL!$C$42, 29.0207, 29.0207)*CHOOSE(CONTROL!$C$21, $C$9, 100%, $E$9)</f>
        <v>29.020700000000001</v>
      </c>
      <c r="G583" s="10">
        <f>CHOOSE(CONTROL!$C$42, 29.036, 29.036)*CHOOSE(CONTROL!$C$21, $C$9, 100%, $E$9)</f>
        <v>29.036000000000001</v>
      </c>
      <c r="H583" s="10">
        <f>CHOOSE(CONTROL!$C$42, 29.2744, 29.2744) * CHOOSE(CONTROL!$C$21, $C$9, 100%, $E$9)</f>
        <v>29.2744</v>
      </c>
      <c r="I583" s="10">
        <f>CHOOSE(CONTROL!$C$42, 29.044, 29.044)* CHOOSE(CONTROL!$C$21, $C$9, 100%, $E$9)</f>
        <v>29.044</v>
      </c>
      <c r="J583" s="10">
        <f>CHOOSE(CONTROL!$C$42, 29.0137, 29.0137)* CHOOSE(CONTROL!$C$21, $C$9, 100%, $E$9)</f>
        <v>29.0137</v>
      </c>
      <c r="K583" s="53">
        <f>CHOOSE(CONTROL!$C$42, 29.0401, 29.0401) * CHOOSE(CONTROL!$C$21, $C$9, 100%, $E$9)</f>
        <v>29.040099999999999</v>
      </c>
      <c r="L583" s="10">
        <f>CHOOSE(CONTROL!$C$42, 29.8614, 29.8614) * CHOOSE(CONTROL!$C$21, $C$9, 100%, $E$9)</f>
        <v>29.8614</v>
      </c>
      <c r="M583" s="10">
        <f>CHOOSE(CONTROL!$C$42, 28.7348, 28.7348) * CHOOSE(CONTROL!$C$21, $C$9, 100%, $E$9)</f>
        <v>28.7348</v>
      </c>
      <c r="N583" s="10">
        <f>CHOOSE(CONTROL!$C$42, 28.7499, 28.7499) * CHOOSE(CONTROL!$C$21, $C$9, 100%, $E$9)</f>
        <v>28.7499</v>
      </c>
      <c r="O583" s="10">
        <f>CHOOSE(CONTROL!$C$42, 28.9928, 28.9928) * CHOOSE(CONTROL!$C$21, $C$9, 100%, $E$9)</f>
        <v>28.992799999999999</v>
      </c>
      <c r="P583" s="10">
        <f>CHOOSE(CONTROL!$C$42, 28.7648, 28.7648) * CHOOSE(CONTROL!$C$21, $C$9, 100%, $E$9)</f>
        <v>28.764800000000001</v>
      </c>
      <c r="Q583" s="10">
        <f>CHOOSE(CONTROL!$C$42, 29.5881, 29.5881) * CHOOSE(CONTROL!$C$21, $C$9, 100%, $E$9)</f>
        <v>29.588100000000001</v>
      </c>
      <c r="R583" s="10">
        <f>CHOOSE(CONTROL!$C$42, 30.2491, 30.2491) * CHOOSE(CONTROL!$C$21, $C$9, 100%, $E$9)</f>
        <v>30.249099999999999</v>
      </c>
      <c r="S583" s="10">
        <f>CHOOSE(CONTROL!$C$42, 28.2004, 28.2004) * CHOOSE(CONTROL!$C$21, $C$9, 100%, $E$9)</f>
        <v>28.200399999999998</v>
      </c>
      <c r="T5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57">
        <f>(1000*CHOOSE(CONTROL!$C$42, 695, 695)*CHOOSE(CONTROL!$C$42, 0.5599, 0.5599)*CHOOSE(CONTROL!$C$42, 31, 31))/1000000</f>
        <v>12.063045499999998</v>
      </c>
      <c r="V583" s="57">
        <f>(1000*CHOOSE(CONTROL!$C$42, 500, 500)*CHOOSE(CONTROL!$C$42, 0.275, 0.275)*CHOOSE(CONTROL!$C$42, 31, 31))/1000000</f>
        <v>4.2625000000000002</v>
      </c>
      <c r="W583" s="57">
        <f>(1000*CHOOSE(CONTROL!$C$42, 0.1146, 0.1146)*CHOOSE(CONTROL!$C$42, 121.5, 121.5)*CHOOSE(CONTROL!$C$42, 31, 31))/1000000</f>
        <v>0.43164089999999994</v>
      </c>
      <c r="X583" s="57">
        <f>(31*0.1790888*245000/1000000)+(31*0.2374*100000/1000000)</f>
        <v>2.0961194359999999</v>
      </c>
      <c r="Y583" s="57"/>
      <c r="Z583" s="10"/>
      <c r="AA583" s="56"/>
      <c r="AB583" s="50">
        <f>(B583*194.205+C583*267.466+D583*133.845+E583*53.484+F583*40+G583*185+H583*0+I583*100+J583*300)/(194.205+267.466+133.845+53.484+0+40+185+100+300)</f>
        <v>29.068906726530617</v>
      </c>
      <c r="AC583" s="45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28.814981294964028</v>
      </c>
    </row>
    <row r="584" spans="1:29" ht="15.75" x14ac:dyDescent="0.25">
      <c r="A584" s="13">
        <v>58684</v>
      </c>
      <c r="B584" s="10">
        <f>CHOOSE(CONTROL!$C$42, 27.6096, 27.6096) * CHOOSE(CONTROL!$C$21, $C$9, 100%, $E$9)</f>
        <v>27.6096</v>
      </c>
      <c r="C584" s="10">
        <f>CHOOSE(CONTROL!$C$42, 27.6175, 27.6175) * CHOOSE(CONTROL!$C$21, $C$9, 100%, $E$9)</f>
        <v>27.6175</v>
      </c>
      <c r="D584" s="10">
        <f>CHOOSE(CONTROL!$C$42, 27.8203, 27.8203) * CHOOSE(CONTROL!$C$21, $C$9, 100%, $E$9)</f>
        <v>27.8203</v>
      </c>
      <c r="E584" s="10">
        <f>CHOOSE(CONTROL!$C$42, 27.8514, 27.8514) * CHOOSE(CONTROL!$C$21, $C$9, 100%, $E$9)</f>
        <v>27.851400000000002</v>
      </c>
      <c r="F584" s="10">
        <f>CHOOSE(CONTROL!$C$42, 27.5866, 27.5866)*CHOOSE(CONTROL!$C$21, $C$9, 100%, $E$9)</f>
        <v>27.586600000000001</v>
      </c>
      <c r="G584" s="10">
        <f>CHOOSE(CONTROL!$C$42, 27.6019, 27.6019)*CHOOSE(CONTROL!$C$21, $C$9, 100%, $E$9)</f>
        <v>27.601900000000001</v>
      </c>
      <c r="H584" s="10">
        <f>CHOOSE(CONTROL!$C$42, 27.84, 27.84) * CHOOSE(CONTROL!$C$21, $C$9, 100%, $E$9)</f>
        <v>27.84</v>
      </c>
      <c r="I584" s="10">
        <f>CHOOSE(CONTROL!$C$42, 27.6097, 27.6097)* CHOOSE(CONTROL!$C$21, $C$9, 100%, $E$9)</f>
        <v>27.6097</v>
      </c>
      <c r="J584" s="10">
        <f>CHOOSE(CONTROL!$C$42, 27.5796, 27.5796)* CHOOSE(CONTROL!$C$21, $C$9, 100%, $E$9)</f>
        <v>27.579599999999999</v>
      </c>
      <c r="K584" s="53">
        <f>CHOOSE(CONTROL!$C$42, 27.6058, 27.6058) * CHOOSE(CONTROL!$C$21, $C$9, 100%, $E$9)</f>
        <v>27.605799999999999</v>
      </c>
      <c r="L584" s="10">
        <f>CHOOSE(CONTROL!$C$42, 28.427, 28.427) * CHOOSE(CONTROL!$C$21, $C$9, 100%, $E$9)</f>
        <v>28.427</v>
      </c>
      <c r="M584" s="10">
        <f>CHOOSE(CONTROL!$C$42, 27.3151, 27.3151) * CHOOSE(CONTROL!$C$21, $C$9, 100%, $E$9)</f>
        <v>27.315100000000001</v>
      </c>
      <c r="N584" s="10">
        <f>CHOOSE(CONTROL!$C$42, 27.3302, 27.3302) * CHOOSE(CONTROL!$C$21, $C$9, 100%, $E$9)</f>
        <v>27.330200000000001</v>
      </c>
      <c r="O584" s="10">
        <f>CHOOSE(CONTROL!$C$42, 27.5729, 27.5729) * CHOOSE(CONTROL!$C$21, $C$9, 100%, $E$9)</f>
        <v>27.572900000000001</v>
      </c>
      <c r="P584" s="10">
        <f>CHOOSE(CONTROL!$C$42, 27.3449, 27.3449) * CHOOSE(CONTROL!$C$21, $C$9, 100%, $E$9)</f>
        <v>27.344899999999999</v>
      </c>
      <c r="Q584" s="10">
        <f>CHOOSE(CONTROL!$C$42, 28.1682, 28.1682) * CHOOSE(CONTROL!$C$21, $C$9, 100%, $E$9)</f>
        <v>28.168199999999999</v>
      </c>
      <c r="R584" s="10">
        <f>CHOOSE(CONTROL!$C$42, 28.8256, 28.8256) * CHOOSE(CONTROL!$C$21, $C$9, 100%, $E$9)</f>
        <v>28.825600000000001</v>
      </c>
      <c r="S584" s="10">
        <f>CHOOSE(CONTROL!$C$42, 26.8075, 26.8075) * CHOOSE(CONTROL!$C$21, $C$9, 100%, $E$9)</f>
        <v>26.807500000000001</v>
      </c>
      <c r="T5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57">
        <f>(1000*CHOOSE(CONTROL!$C$42, 695, 695)*CHOOSE(CONTROL!$C$42, 0.5599, 0.5599)*CHOOSE(CONTROL!$C$42, 31, 31))/1000000</f>
        <v>12.063045499999998</v>
      </c>
      <c r="V584" s="57">
        <f>(1000*CHOOSE(CONTROL!$C$42, 500, 500)*CHOOSE(CONTROL!$C$42, 0.275, 0.275)*CHOOSE(CONTROL!$C$42, 31, 31))/1000000</f>
        <v>4.2625000000000002</v>
      </c>
      <c r="W584" s="57">
        <f>(1000*CHOOSE(CONTROL!$C$42, 0.1146, 0.1146)*CHOOSE(CONTROL!$C$42, 121.5, 121.5)*CHOOSE(CONTROL!$C$42, 31, 31))/1000000</f>
        <v>0.43164089999999994</v>
      </c>
      <c r="X584" s="57">
        <f>(31*0.1790888*245000/1000000)+(31*0.2374*100000/1000000)</f>
        <v>2.0961194359999999</v>
      </c>
      <c r="Y584" s="57"/>
      <c r="Z584" s="10"/>
      <c r="AA584" s="56"/>
      <c r="AB584" s="50">
        <f>(B584*194.205+C584*267.466+D584*133.845+E584*53.484+F584*40+G584*185+H584*0+I584*100+J584*300)/(194.205+267.466+133.845+53.484+0+40+185+100+300)</f>
        <v>27.634648708084775</v>
      </c>
      <c r="AC584" s="45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27.395196402877701</v>
      </c>
    </row>
    <row r="585" spans="1:29" ht="15.75" x14ac:dyDescent="0.25">
      <c r="A585" s="13">
        <v>58714</v>
      </c>
      <c r="B585" s="10">
        <f>CHOOSE(CONTROL!$C$42, 25.8567, 25.8567) * CHOOSE(CONTROL!$C$21, $C$9, 100%, $E$9)</f>
        <v>25.8567</v>
      </c>
      <c r="C585" s="10">
        <f>CHOOSE(CONTROL!$C$42, 25.8646, 25.8646) * CHOOSE(CONTROL!$C$21, $C$9, 100%, $E$9)</f>
        <v>25.864599999999999</v>
      </c>
      <c r="D585" s="10">
        <f>CHOOSE(CONTROL!$C$42, 26.0674, 26.0674) * CHOOSE(CONTROL!$C$21, $C$9, 100%, $E$9)</f>
        <v>26.067399999999999</v>
      </c>
      <c r="E585" s="10">
        <f>CHOOSE(CONTROL!$C$42, 26.0985, 26.0985) * CHOOSE(CONTROL!$C$21, $C$9, 100%, $E$9)</f>
        <v>26.098500000000001</v>
      </c>
      <c r="F585" s="10">
        <f>CHOOSE(CONTROL!$C$42, 25.8335, 25.8335)*CHOOSE(CONTROL!$C$21, $C$9, 100%, $E$9)</f>
        <v>25.833500000000001</v>
      </c>
      <c r="G585" s="10">
        <f>CHOOSE(CONTROL!$C$42, 25.8488, 25.8488)*CHOOSE(CONTROL!$C$21, $C$9, 100%, $E$9)</f>
        <v>25.848800000000001</v>
      </c>
      <c r="H585" s="10">
        <f>CHOOSE(CONTROL!$C$42, 26.0871, 26.0871) * CHOOSE(CONTROL!$C$21, $C$9, 100%, $E$9)</f>
        <v>26.0871</v>
      </c>
      <c r="I585" s="10">
        <f>CHOOSE(CONTROL!$C$42, 25.8567, 25.8567)* CHOOSE(CONTROL!$C$21, $C$9, 100%, $E$9)</f>
        <v>25.8567</v>
      </c>
      <c r="J585" s="10">
        <f>CHOOSE(CONTROL!$C$42, 25.8265, 25.8265)* CHOOSE(CONTROL!$C$21, $C$9, 100%, $E$9)</f>
        <v>25.826499999999999</v>
      </c>
      <c r="K585" s="53">
        <f>CHOOSE(CONTROL!$C$42, 25.8529, 25.8529) * CHOOSE(CONTROL!$C$21, $C$9, 100%, $E$9)</f>
        <v>25.852900000000002</v>
      </c>
      <c r="L585" s="10">
        <f>CHOOSE(CONTROL!$C$42, 26.6741, 26.6741) * CHOOSE(CONTROL!$C$21, $C$9, 100%, $E$9)</f>
        <v>26.674099999999999</v>
      </c>
      <c r="M585" s="10">
        <f>CHOOSE(CONTROL!$C$42, 25.5797, 25.5797) * CHOOSE(CONTROL!$C$21, $C$9, 100%, $E$9)</f>
        <v>25.579699999999999</v>
      </c>
      <c r="N585" s="10">
        <f>CHOOSE(CONTROL!$C$42, 25.5948, 25.5948) * CHOOSE(CONTROL!$C$21, $C$9, 100%, $E$9)</f>
        <v>25.594799999999999</v>
      </c>
      <c r="O585" s="10">
        <f>CHOOSE(CONTROL!$C$42, 25.8377, 25.8377) * CHOOSE(CONTROL!$C$21, $C$9, 100%, $E$9)</f>
        <v>25.837700000000002</v>
      </c>
      <c r="P585" s="10">
        <f>CHOOSE(CONTROL!$C$42, 25.6097, 25.6097) * CHOOSE(CONTROL!$C$21, $C$9, 100%, $E$9)</f>
        <v>25.6097</v>
      </c>
      <c r="Q585" s="10">
        <f>CHOOSE(CONTROL!$C$42, 26.433, 26.433) * CHOOSE(CONTROL!$C$21, $C$9, 100%, $E$9)</f>
        <v>26.433</v>
      </c>
      <c r="R585" s="10">
        <f>CHOOSE(CONTROL!$C$42, 27.0861, 27.0861) * CHOOSE(CONTROL!$C$21, $C$9, 100%, $E$9)</f>
        <v>27.086099999999998</v>
      </c>
      <c r="S585" s="10">
        <f>CHOOSE(CONTROL!$C$42, 25.1052, 25.1052) * CHOOSE(CONTROL!$C$21, $C$9, 100%, $E$9)</f>
        <v>25.1052</v>
      </c>
      <c r="T5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57">
        <f>(1000*CHOOSE(CONTROL!$C$42, 695, 695)*CHOOSE(CONTROL!$C$42, 0.5599, 0.5599)*CHOOSE(CONTROL!$C$42, 30, 30))/1000000</f>
        <v>11.673914999999997</v>
      </c>
      <c r="V585" s="57">
        <f>(1000*CHOOSE(CONTROL!$C$42, 500, 500)*CHOOSE(CONTROL!$C$42, 0.275, 0.275)*CHOOSE(CONTROL!$C$42, 30, 30))/1000000</f>
        <v>4.125</v>
      </c>
      <c r="W585" s="57">
        <f>(1000*CHOOSE(CONTROL!$C$42, 0.1146, 0.1146)*CHOOSE(CONTROL!$C$42, 121.5, 121.5)*CHOOSE(CONTROL!$C$42, 30, 30))/1000000</f>
        <v>0.417717</v>
      </c>
      <c r="X585" s="57">
        <f>(30*0.1790888*245000/1000000)+(30*0.2374*100000/1000000)</f>
        <v>2.0285026799999999</v>
      </c>
      <c r="Y585" s="57"/>
      <c r="Z585" s="10"/>
      <c r="AA585" s="56"/>
      <c r="AB585" s="50">
        <f>(B585*194.205+C585*267.466+D585*133.845+E585*53.484+F585*40+G585*185+H585*0+I585*100+J585*300)/(194.205+267.466+133.845+53.484+0+40+185+100+300)</f>
        <v>25.881658441208788</v>
      </c>
      <c r="AC585" s="45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25.65988129496403</v>
      </c>
    </row>
    <row r="586" spans="1:29" ht="15.75" x14ac:dyDescent="0.25">
      <c r="A586" s="13">
        <v>58745</v>
      </c>
      <c r="B586" s="10">
        <f>CHOOSE(CONTROL!$C$42, 25.3301, 25.3301) * CHOOSE(CONTROL!$C$21, $C$9, 100%, $E$9)</f>
        <v>25.330100000000002</v>
      </c>
      <c r="C586" s="10">
        <f>CHOOSE(CONTROL!$C$42, 25.3353, 25.3353) * CHOOSE(CONTROL!$C$21, $C$9, 100%, $E$9)</f>
        <v>25.3353</v>
      </c>
      <c r="D586" s="10">
        <f>CHOOSE(CONTROL!$C$42, 25.543, 25.543) * CHOOSE(CONTROL!$C$21, $C$9, 100%, $E$9)</f>
        <v>25.542999999999999</v>
      </c>
      <c r="E586" s="10">
        <f>CHOOSE(CONTROL!$C$42, 25.5718, 25.5718) * CHOOSE(CONTROL!$C$21, $C$9, 100%, $E$9)</f>
        <v>25.5718</v>
      </c>
      <c r="F586" s="10">
        <f>CHOOSE(CONTROL!$C$42, 25.3088, 25.3088)*CHOOSE(CONTROL!$C$21, $C$9, 100%, $E$9)</f>
        <v>25.308800000000002</v>
      </c>
      <c r="G586" s="10">
        <f>CHOOSE(CONTROL!$C$42, 25.3237, 25.3237)*CHOOSE(CONTROL!$C$21, $C$9, 100%, $E$9)</f>
        <v>25.323699999999999</v>
      </c>
      <c r="H586" s="10">
        <f>CHOOSE(CONTROL!$C$42, 25.5622, 25.5622) * CHOOSE(CONTROL!$C$21, $C$9, 100%, $E$9)</f>
        <v>25.562200000000001</v>
      </c>
      <c r="I586" s="10">
        <f>CHOOSE(CONTROL!$C$42, 25.3319, 25.3319)* CHOOSE(CONTROL!$C$21, $C$9, 100%, $E$9)</f>
        <v>25.331900000000001</v>
      </c>
      <c r="J586" s="10">
        <f>CHOOSE(CONTROL!$C$42, 25.3018, 25.3018)* CHOOSE(CONTROL!$C$21, $C$9, 100%, $E$9)</f>
        <v>25.3018</v>
      </c>
      <c r="K586" s="53">
        <f>CHOOSE(CONTROL!$C$42, 25.328, 25.328) * CHOOSE(CONTROL!$C$21, $C$9, 100%, $E$9)</f>
        <v>25.327999999999999</v>
      </c>
      <c r="L586" s="10">
        <f>CHOOSE(CONTROL!$C$42, 26.1492, 26.1492) * CHOOSE(CONTROL!$C$21, $C$9, 100%, $E$9)</f>
        <v>26.1492</v>
      </c>
      <c r="M586" s="10">
        <f>CHOOSE(CONTROL!$C$42, 25.0603, 25.0603) * CHOOSE(CONTROL!$C$21, $C$9, 100%, $E$9)</f>
        <v>25.060300000000002</v>
      </c>
      <c r="N586" s="10">
        <f>CHOOSE(CONTROL!$C$42, 25.0751, 25.0751) * CHOOSE(CONTROL!$C$21, $C$9, 100%, $E$9)</f>
        <v>25.075099999999999</v>
      </c>
      <c r="O586" s="10">
        <f>CHOOSE(CONTROL!$C$42, 25.3181, 25.3181) * CHOOSE(CONTROL!$C$21, $C$9, 100%, $E$9)</f>
        <v>25.318100000000001</v>
      </c>
      <c r="P586" s="10">
        <f>CHOOSE(CONTROL!$C$42, 25.0901, 25.0901) * CHOOSE(CONTROL!$C$21, $C$9, 100%, $E$9)</f>
        <v>25.0901</v>
      </c>
      <c r="Q586" s="10">
        <f>CHOOSE(CONTROL!$C$42, 25.9134, 25.9134) * CHOOSE(CONTROL!$C$21, $C$9, 100%, $E$9)</f>
        <v>25.913399999999999</v>
      </c>
      <c r="R586" s="10">
        <f>CHOOSE(CONTROL!$C$42, 26.5652, 26.5652) * CHOOSE(CONTROL!$C$21, $C$9, 100%, $E$9)</f>
        <v>26.565200000000001</v>
      </c>
      <c r="S586" s="10">
        <f>CHOOSE(CONTROL!$C$42, 24.5955, 24.5955) * CHOOSE(CONTROL!$C$21, $C$9, 100%, $E$9)</f>
        <v>24.595500000000001</v>
      </c>
      <c r="T5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57">
        <f>(1000*CHOOSE(CONTROL!$C$42, 695, 695)*CHOOSE(CONTROL!$C$42, 0.5599, 0.5599)*CHOOSE(CONTROL!$C$42, 31, 31))/1000000</f>
        <v>12.063045499999998</v>
      </c>
      <c r="V586" s="57">
        <f>(1000*CHOOSE(CONTROL!$C$42, 500, 500)*CHOOSE(CONTROL!$C$42, 0.275, 0.275)*CHOOSE(CONTROL!$C$42, 31, 31))/1000000</f>
        <v>4.2625000000000002</v>
      </c>
      <c r="W586" s="57">
        <f>(1000*CHOOSE(CONTROL!$C$42, 0.1146, 0.1146)*CHOOSE(CONTROL!$C$42, 121.5, 121.5)*CHOOSE(CONTROL!$C$42, 31, 31))/1000000</f>
        <v>0.43164089999999994</v>
      </c>
      <c r="X586" s="57">
        <f>(31*0.1790888*245000/1000000)+(31*0.2374*100000/1000000)</f>
        <v>2.0961194359999999</v>
      </c>
      <c r="Y586" s="57"/>
      <c r="Z586" s="10"/>
      <c r="AA586" s="56"/>
      <c r="AB586" s="50">
        <f>(B586*131.881+C586*277.167+D586*79.08+E586*125.872+F586*40+G586*185+H586*0+I586*100+J586*300)/(131.881+277.167+79.08+125.872+0+40+185+100+300)</f>
        <v>25.361056144309927</v>
      </c>
      <c r="AC586" s="45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25.140327338129495</v>
      </c>
    </row>
    <row r="587" spans="1:29" ht="15.75" x14ac:dyDescent="0.25">
      <c r="A587" s="13">
        <v>58775</v>
      </c>
      <c r="B587" s="10">
        <f>CHOOSE(CONTROL!$C$42, 25.9969, 25.9969) * CHOOSE(CONTROL!$C$21, $C$9, 100%, $E$9)</f>
        <v>25.9969</v>
      </c>
      <c r="C587" s="10">
        <f>CHOOSE(CONTROL!$C$42, 26.0018, 26.0018) * CHOOSE(CONTROL!$C$21, $C$9, 100%, $E$9)</f>
        <v>26.001799999999999</v>
      </c>
      <c r="D587" s="10">
        <f>CHOOSE(CONTROL!$C$42, 26.0623, 26.0623) * CHOOSE(CONTROL!$C$21, $C$9, 100%, $E$9)</f>
        <v>26.0623</v>
      </c>
      <c r="E587" s="10">
        <f>CHOOSE(CONTROL!$C$42, 26.0961, 26.0961) * CHOOSE(CONTROL!$C$21, $C$9, 100%, $E$9)</f>
        <v>26.0961</v>
      </c>
      <c r="F587" s="10">
        <f>CHOOSE(CONTROL!$C$42, 25.9925, 25.9925)*CHOOSE(CONTROL!$C$21, $C$9, 100%, $E$9)</f>
        <v>25.9925</v>
      </c>
      <c r="G587" s="10">
        <f>CHOOSE(CONTROL!$C$42, 26.0077, 26.0077)*CHOOSE(CONTROL!$C$21, $C$9, 100%, $E$9)</f>
        <v>26.0077</v>
      </c>
      <c r="H587" s="10">
        <f>CHOOSE(CONTROL!$C$42, 26.0853, 26.0853) * CHOOSE(CONTROL!$C$21, $C$9, 100%, $E$9)</f>
        <v>26.0853</v>
      </c>
      <c r="I587" s="10">
        <f>CHOOSE(CONTROL!$C$42, 26.0094, 26.0094)* CHOOSE(CONTROL!$C$21, $C$9, 100%, $E$9)</f>
        <v>26.009399999999999</v>
      </c>
      <c r="J587" s="10">
        <f>CHOOSE(CONTROL!$C$42, 25.9855, 25.9855)* CHOOSE(CONTROL!$C$21, $C$9, 100%, $E$9)</f>
        <v>25.985499999999998</v>
      </c>
      <c r="K587" s="53">
        <f>CHOOSE(CONTROL!$C$42, 26.0055, 26.0055) * CHOOSE(CONTROL!$C$21, $C$9, 100%, $E$9)</f>
        <v>26.005500000000001</v>
      </c>
      <c r="L587" s="10">
        <f>CHOOSE(CONTROL!$C$42, 26.6723, 26.6723) * CHOOSE(CONTROL!$C$21, $C$9, 100%, $E$9)</f>
        <v>26.6723</v>
      </c>
      <c r="M587" s="10">
        <f>CHOOSE(CONTROL!$C$42, 25.7371, 25.7371) * CHOOSE(CONTROL!$C$21, $C$9, 100%, $E$9)</f>
        <v>25.737100000000002</v>
      </c>
      <c r="N587" s="10">
        <f>CHOOSE(CONTROL!$C$42, 25.7521, 25.7521) * CHOOSE(CONTROL!$C$21, $C$9, 100%, $E$9)</f>
        <v>25.752099999999999</v>
      </c>
      <c r="O587" s="10">
        <f>CHOOSE(CONTROL!$C$42, 25.8359, 25.8359) * CHOOSE(CONTROL!$C$21, $C$9, 100%, $E$9)</f>
        <v>25.835899999999999</v>
      </c>
      <c r="P587" s="10">
        <f>CHOOSE(CONTROL!$C$42, 25.7608, 25.7608) * CHOOSE(CONTROL!$C$21, $C$9, 100%, $E$9)</f>
        <v>25.7608</v>
      </c>
      <c r="Q587" s="10">
        <f>CHOOSE(CONTROL!$C$42, 26.4312, 26.4312) * CHOOSE(CONTROL!$C$21, $C$9, 100%, $E$9)</f>
        <v>26.4312</v>
      </c>
      <c r="R587" s="10">
        <f>CHOOSE(CONTROL!$C$42, 27.0842, 27.0842) * CHOOSE(CONTROL!$C$21, $C$9, 100%, $E$9)</f>
        <v>27.084199999999999</v>
      </c>
      <c r="S587" s="10">
        <f>CHOOSE(CONTROL!$C$42, 25.2434, 25.2434) * CHOOSE(CONTROL!$C$21, $C$9, 100%, $E$9)</f>
        <v>25.243400000000001</v>
      </c>
      <c r="T5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57">
        <f>(1000*CHOOSE(CONTROL!$C$42, 695, 695)*CHOOSE(CONTROL!$C$42, 0.5599, 0.5599)*CHOOSE(CONTROL!$C$42, 30, 30))/1000000</f>
        <v>11.673914999999997</v>
      </c>
      <c r="V587" s="57">
        <f>(1000*CHOOSE(CONTROL!$C$42, 500, 500)*CHOOSE(CONTROL!$C$42, 0.275, 0.275)*CHOOSE(CONTROL!$C$42, 30, 30))/1000000</f>
        <v>4.125</v>
      </c>
      <c r="W587" s="57">
        <f>(1000*CHOOSE(CONTROL!$C$42, 0.1146, 0.1146)*CHOOSE(CONTROL!$C$42, 121.5, 121.5)*CHOOSE(CONTROL!$C$42, 30, 30))/1000000</f>
        <v>0.417717</v>
      </c>
      <c r="X587" s="57">
        <f>(30*0.1790888*100000/1000000)+(30*0.2374*100000/1000000)</f>
        <v>1.2494664</v>
      </c>
      <c r="Y587" s="57"/>
      <c r="Z587" s="10"/>
      <c r="AA587" s="56"/>
      <c r="AB587" s="50">
        <f>(B587*122.58+C587*297.941+D587*89.177+E587*40.302+F587*40+G587*160+H587*0+I587*100+J587*300)/(122.58+297.941+89.177+40.302+0+40+160+100+300)</f>
        <v>26.006180039217391</v>
      </c>
      <c r="AC587" s="45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25.786153237410069</v>
      </c>
    </row>
    <row r="588" spans="1:29" ht="15.75" x14ac:dyDescent="0.25">
      <c r="A588" s="13">
        <v>58806</v>
      </c>
      <c r="B588" s="10">
        <f>CHOOSE(CONTROL!$C$42, 27.7691, 27.7691) * CHOOSE(CONTROL!$C$21, $C$9, 100%, $E$9)</f>
        <v>27.769100000000002</v>
      </c>
      <c r="C588" s="10">
        <f>CHOOSE(CONTROL!$C$42, 27.7741, 27.7741) * CHOOSE(CONTROL!$C$21, $C$9, 100%, $E$9)</f>
        <v>27.774100000000001</v>
      </c>
      <c r="D588" s="10">
        <f>CHOOSE(CONTROL!$C$42, 27.8346, 27.8346) * CHOOSE(CONTROL!$C$21, $C$9, 100%, $E$9)</f>
        <v>27.834599999999998</v>
      </c>
      <c r="E588" s="10">
        <f>CHOOSE(CONTROL!$C$42, 27.8683, 27.8683) * CHOOSE(CONTROL!$C$21, $C$9, 100%, $E$9)</f>
        <v>27.868300000000001</v>
      </c>
      <c r="F588" s="10">
        <f>CHOOSE(CONTROL!$C$42, 27.7666, 27.7666)*CHOOSE(CONTROL!$C$21, $C$9, 100%, $E$9)</f>
        <v>27.7666</v>
      </c>
      <c r="G588" s="10">
        <f>CHOOSE(CONTROL!$C$42, 27.7823, 27.7823)*CHOOSE(CONTROL!$C$21, $C$9, 100%, $E$9)</f>
        <v>27.782299999999999</v>
      </c>
      <c r="H588" s="10">
        <f>CHOOSE(CONTROL!$C$42, 27.8575, 27.8575) * CHOOSE(CONTROL!$C$21, $C$9, 100%, $E$9)</f>
        <v>27.857500000000002</v>
      </c>
      <c r="I588" s="10">
        <f>CHOOSE(CONTROL!$C$42, 27.7816, 27.7816)* CHOOSE(CONTROL!$C$21, $C$9, 100%, $E$9)</f>
        <v>27.781600000000001</v>
      </c>
      <c r="J588" s="10">
        <f>CHOOSE(CONTROL!$C$42, 27.7596, 27.7596)* CHOOSE(CONTROL!$C$21, $C$9, 100%, $E$9)</f>
        <v>27.759599999999999</v>
      </c>
      <c r="K588" s="53">
        <f>CHOOSE(CONTROL!$C$42, 27.7777, 27.7777) * CHOOSE(CONTROL!$C$21, $C$9, 100%, $E$9)</f>
        <v>27.777699999999999</v>
      </c>
      <c r="L588" s="10">
        <f>CHOOSE(CONTROL!$C$42, 28.4445, 28.4445) * CHOOSE(CONTROL!$C$21, $C$9, 100%, $E$9)</f>
        <v>28.444500000000001</v>
      </c>
      <c r="M588" s="10">
        <f>CHOOSE(CONTROL!$C$42, 27.4933, 27.4933) * CHOOSE(CONTROL!$C$21, $C$9, 100%, $E$9)</f>
        <v>27.493300000000001</v>
      </c>
      <c r="N588" s="10">
        <f>CHOOSE(CONTROL!$C$42, 27.5088, 27.5088) * CHOOSE(CONTROL!$C$21, $C$9, 100%, $E$9)</f>
        <v>27.508800000000001</v>
      </c>
      <c r="O588" s="10">
        <f>CHOOSE(CONTROL!$C$42, 27.5902, 27.5902) * CHOOSE(CONTROL!$C$21, $C$9, 100%, $E$9)</f>
        <v>27.590199999999999</v>
      </c>
      <c r="P588" s="10">
        <f>CHOOSE(CONTROL!$C$42, 27.5151, 27.5151) * CHOOSE(CONTROL!$C$21, $C$9, 100%, $E$9)</f>
        <v>27.5151</v>
      </c>
      <c r="Q588" s="10">
        <f>CHOOSE(CONTROL!$C$42, 28.1855, 28.1855) * CHOOSE(CONTROL!$C$21, $C$9, 100%, $E$9)</f>
        <v>28.185500000000001</v>
      </c>
      <c r="R588" s="10">
        <f>CHOOSE(CONTROL!$C$42, 28.843, 28.843) * CHOOSE(CONTROL!$C$21, $C$9, 100%, $E$9)</f>
        <v>28.843</v>
      </c>
      <c r="S588" s="10">
        <f>CHOOSE(CONTROL!$C$42, 26.9644, 26.9644) * CHOOSE(CONTROL!$C$21, $C$9, 100%, $E$9)</f>
        <v>26.964400000000001</v>
      </c>
      <c r="T5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57">
        <f>(1000*CHOOSE(CONTROL!$C$42, 695, 695)*CHOOSE(CONTROL!$C$42, 0.5599, 0.5599)*CHOOSE(CONTROL!$C$42, 31, 31))/1000000</f>
        <v>12.063045499999998</v>
      </c>
      <c r="V588" s="57">
        <f>(1000*CHOOSE(CONTROL!$C$42, 500, 500)*CHOOSE(CONTROL!$C$42, 0.275, 0.275)*CHOOSE(CONTROL!$C$42, 31, 31))/1000000</f>
        <v>4.2625000000000002</v>
      </c>
      <c r="W588" s="57">
        <f>(1000*CHOOSE(CONTROL!$C$42, 0.1146, 0.1146)*CHOOSE(CONTROL!$C$42, 121.5, 121.5)*CHOOSE(CONTROL!$C$42, 31, 31))/1000000</f>
        <v>0.43164089999999994</v>
      </c>
      <c r="X588" s="57">
        <f>(31*0.1790888*100000/1000000)+(31*0.2374*100000/1000000)</f>
        <v>1.2911152800000001</v>
      </c>
      <c r="Y588" s="57"/>
      <c r="Z588" s="10"/>
      <c r="AA588" s="56"/>
      <c r="AB588" s="50">
        <f>(B588*122.58+C588*297.941+D588*89.177+E588*40.302+F588*40+G588*160+H588*0+I588*100+J588*300)/(122.58+297.941+89.177+40.302+0+40+160+100+300)</f>
        <v>27.77930935382609</v>
      </c>
      <c r="AC588" s="45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27.541247482014391</v>
      </c>
    </row>
    <row r="589" spans="1:29" ht="15.75" x14ac:dyDescent="0.25">
      <c r="A589" s="13">
        <v>58837</v>
      </c>
      <c r="B589" s="10">
        <f>CHOOSE(CONTROL!$C$42, 30.0442, 30.0442) * CHOOSE(CONTROL!$C$21, $C$9, 100%, $E$9)</f>
        <v>30.0442</v>
      </c>
      <c r="C589" s="10">
        <f>CHOOSE(CONTROL!$C$42, 30.0491, 30.0491) * CHOOSE(CONTROL!$C$21, $C$9, 100%, $E$9)</f>
        <v>30.049099999999999</v>
      </c>
      <c r="D589" s="10">
        <f>CHOOSE(CONTROL!$C$42, 30.1062, 30.1062) * CHOOSE(CONTROL!$C$21, $C$9, 100%, $E$9)</f>
        <v>30.106200000000001</v>
      </c>
      <c r="E589" s="10">
        <f>CHOOSE(CONTROL!$C$42, 30.14, 30.14) * CHOOSE(CONTROL!$C$21, $C$9, 100%, $E$9)</f>
        <v>30.14</v>
      </c>
      <c r="F589" s="10">
        <f>CHOOSE(CONTROL!$C$42, 30.042, 30.042)*CHOOSE(CONTROL!$C$21, $C$9, 100%, $E$9)</f>
        <v>30.042000000000002</v>
      </c>
      <c r="G589" s="10">
        <f>CHOOSE(CONTROL!$C$42, 30.0566, 30.0566)*CHOOSE(CONTROL!$C$21, $C$9, 100%, $E$9)</f>
        <v>30.0566</v>
      </c>
      <c r="H589" s="10">
        <f>CHOOSE(CONTROL!$C$42, 30.1292, 30.1292) * CHOOSE(CONTROL!$C$21, $C$9, 100%, $E$9)</f>
        <v>30.129200000000001</v>
      </c>
      <c r="I589" s="10">
        <f>CHOOSE(CONTROL!$C$42, 30.055, 30.055)* CHOOSE(CONTROL!$C$21, $C$9, 100%, $E$9)</f>
        <v>30.055</v>
      </c>
      <c r="J589" s="10">
        <f>CHOOSE(CONTROL!$C$42, 30.035, 30.035)* CHOOSE(CONTROL!$C$21, $C$9, 100%, $E$9)</f>
        <v>30.035</v>
      </c>
      <c r="K589" s="53">
        <f>CHOOSE(CONTROL!$C$42, 30.0511, 30.0511) * CHOOSE(CONTROL!$C$21, $C$9, 100%, $E$9)</f>
        <v>30.051100000000002</v>
      </c>
      <c r="L589" s="10">
        <f>CHOOSE(CONTROL!$C$42, 30.7162, 30.7162) * CHOOSE(CONTROL!$C$21, $C$9, 100%, $E$9)</f>
        <v>30.716200000000001</v>
      </c>
      <c r="M589" s="10">
        <f>CHOOSE(CONTROL!$C$42, 29.7457, 29.7457) * CHOOSE(CONTROL!$C$21, $C$9, 100%, $E$9)</f>
        <v>29.745699999999999</v>
      </c>
      <c r="N589" s="10">
        <f>CHOOSE(CONTROL!$C$42, 29.7602, 29.7602) * CHOOSE(CONTROL!$C$21, $C$9, 100%, $E$9)</f>
        <v>29.760200000000001</v>
      </c>
      <c r="O589" s="10">
        <f>CHOOSE(CONTROL!$C$42, 29.839, 29.839) * CHOOSE(CONTROL!$C$21, $C$9, 100%, $E$9)</f>
        <v>29.838999999999999</v>
      </c>
      <c r="P589" s="10">
        <f>CHOOSE(CONTROL!$C$42, 29.7655, 29.7655) * CHOOSE(CONTROL!$C$21, $C$9, 100%, $E$9)</f>
        <v>29.765499999999999</v>
      </c>
      <c r="Q589" s="10">
        <f>CHOOSE(CONTROL!$C$42, 30.4343, 30.4343) * CHOOSE(CONTROL!$C$21, $C$9, 100%, $E$9)</f>
        <v>30.4343</v>
      </c>
      <c r="R589" s="10">
        <f>CHOOSE(CONTROL!$C$42, 31.0973, 31.0973) * CHOOSE(CONTROL!$C$21, $C$9, 100%, $E$9)</f>
        <v>31.097300000000001</v>
      </c>
      <c r="S589" s="10">
        <f>CHOOSE(CONTROL!$C$42, 29.1738, 29.1738) * CHOOSE(CONTROL!$C$21, $C$9, 100%, $E$9)</f>
        <v>29.1738</v>
      </c>
      <c r="T5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57">
        <f>(1000*CHOOSE(CONTROL!$C$42, 695, 695)*CHOOSE(CONTROL!$C$42, 0.5599, 0.5599)*CHOOSE(CONTROL!$C$42, 31, 31))/1000000</f>
        <v>12.063045499999998</v>
      </c>
      <c r="V589" s="57">
        <f>(1000*CHOOSE(CONTROL!$C$42, 500, 500)*CHOOSE(CONTROL!$C$42, 0.275, 0.275)*CHOOSE(CONTROL!$C$42, 31, 31))/1000000</f>
        <v>4.2625000000000002</v>
      </c>
      <c r="W589" s="57">
        <f>(1000*CHOOSE(CONTROL!$C$42, 0.1146, 0.1146)*CHOOSE(CONTROL!$C$42, 121.5, 121.5)*CHOOSE(CONTROL!$C$42, 31, 31))/1000000</f>
        <v>0.43164089999999994</v>
      </c>
      <c r="X589" s="57">
        <f>(31*0.1790888*100000/1000000)+(31*0.2374*100000/1000000)</f>
        <v>1.2911152800000001</v>
      </c>
      <c r="Y589" s="57"/>
      <c r="Z589" s="10"/>
      <c r="AA589" s="56"/>
      <c r="AB589" s="50">
        <f>(B589*122.58+C589*297.941+D589*89.177+E589*40.302+F589*40+G589*160+H589*0+I589*100+J589*300)/(122.58+297.941+89.177+40.302+0+40+160+100+300)</f>
        <v>30.053822449130436</v>
      </c>
      <c r="AC589" s="45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29.791670503597121</v>
      </c>
    </row>
    <row r="590" spans="1:29" ht="15.75" x14ac:dyDescent="0.25">
      <c r="A590" s="13">
        <v>58865</v>
      </c>
      <c r="B590" s="10">
        <f>CHOOSE(CONTROL!$C$42, 30.579, 30.579) * CHOOSE(CONTROL!$C$21, $C$9, 100%, $E$9)</f>
        <v>30.579000000000001</v>
      </c>
      <c r="C590" s="10">
        <f>CHOOSE(CONTROL!$C$42, 30.5839, 30.5839) * CHOOSE(CONTROL!$C$21, $C$9, 100%, $E$9)</f>
        <v>30.5839</v>
      </c>
      <c r="D590" s="10">
        <f>CHOOSE(CONTROL!$C$42, 30.641, 30.641) * CHOOSE(CONTROL!$C$21, $C$9, 100%, $E$9)</f>
        <v>30.640999999999998</v>
      </c>
      <c r="E590" s="10">
        <f>CHOOSE(CONTROL!$C$42, 30.6748, 30.6748) * CHOOSE(CONTROL!$C$21, $C$9, 100%, $E$9)</f>
        <v>30.674800000000001</v>
      </c>
      <c r="F590" s="10">
        <f>CHOOSE(CONTROL!$C$42, 30.5769, 30.5769)*CHOOSE(CONTROL!$C$21, $C$9, 100%, $E$9)</f>
        <v>30.576899999999998</v>
      </c>
      <c r="G590" s="10">
        <f>CHOOSE(CONTROL!$C$42, 30.5915, 30.5915)*CHOOSE(CONTROL!$C$21, $C$9, 100%, $E$9)</f>
        <v>30.5915</v>
      </c>
      <c r="H590" s="10">
        <f>CHOOSE(CONTROL!$C$42, 30.664, 30.664) * CHOOSE(CONTROL!$C$21, $C$9, 100%, $E$9)</f>
        <v>30.664000000000001</v>
      </c>
      <c r="I590" s="10">
        <f>CHOOSE(CONTROL!$C$42, 30.5898, 30.5898)* CHOOSE(CONTROL!$C$21, $C$9, 100%, $E$9)</f>
        <v>30.5898</v>
      </c>
      <c r="J590" s="10">
        <f>CHOOSE(CONTROL!$C$42, 30.5699, 30.5699)* CHOOSE(CONTROL!$C$21, $C$9, 100%, $E$9)</f>
        <v>30.569900000000001</v>
      </c>
      <c r="K590" s="53">
        <f>CHOOSE(CONTROL!$C$42, 30.5859, 30.5859) * CHOOSE(CONTROL!$C$21, $C$9, 100%, $E$9)</f>
        <v>30.585899999999999</v>
      </c>
      <c r="L590" s="10">
        <f>CHOOSE(CONTROL!$C$42, 31.251, 31.251) * CHOOSE(CONTROL!$C$21, $C$9, 100%, $E$9)</f>
        <v>31.251000000000001</v>
      </c>
      <c r="M590" s="10">
        <f>CHOOSE(CONTROL!$C$42, 30.2752, 30.2752) * CHOOSE(CONTROL!$C$21, $C$9, 100%, $E$9)</f>
        <v>30.275200000000002</v>
      </c>
      <c r="N590" s="10">
        <f>CHOOSE(CONTROL!$C$42, 30.2897, 30.2897) * CHOOSE(CONTROL!$C$21, $C$9, 100%, $E$9)</f>
        <v>30.2897</v>
      </c>
      <c r="O590" s="10">
        <f>CHOOSE(CONTROL!$C$42, 30.3683, 30.3683) * CHOOSE(CONTROL!$C$21, $C$9, 100%, $E$9)</f>
        <v>30.368300000000001</v>
      </c>
      <c r="P590" s="10">
        <f>CHOOSE(CONTROL!$C$42, 30.2949, 30.2949) * CHOOSE(CONTROL!$C$21, $C$9, 100%, $E$9)</f>
        <v>30.294899999999998</v>
      </c>
      <c r="Q590" s="10">
        <f>CHOOSE(CONTROL!$C$42, 30.9636, 30.9636) * CHOOSE(CONTROL!$C$21, $C$9, 100%, $E$9)</f>
        <v>30.9636</v>
      </c>
      <c r="R590" s="10">
        <f>CHOOSE(CONTROL!$C$42, 31.628, 31.628) * CHOOSE(CONTROL!$C$21, $C$9, 100%, $E$9)</f>
        <v>31.628</v>
      </c>
      <c r="S590" s="10">
        <f>CHOOSE(CONTROL!$C$42, 29.6931, 29.6931) * CHOOSE(CONTROL!$C$21, $C$9, 100%, $E$9)</f>
        <v>29.693100000000001</v>
      </c>
      <c r="T5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57">
        <f>(1000*CHOOSE(CONTROL!$C$42, 695, 695)*CHOOSE(CONTROL!$C$42, 0.5599, 0.5599)*CHOOSE(CONTROL!$C$42, 28, 28))/1000000</f>
        <v>10.895653999999999</v>
      </c>
      <c r="V590" s="57">
        <f>(1000*CHOOSE(CONTROL!$C$42, 500, 500)*CHOOSE(CONTROL!$C$42, 0.275, 0.275)*CHOOSE(CONTROL!$C$42, 28, 28))/1000000</f>
        <v>3.85</v>
      </c>
      <c r="W590" s="57">
        <f>(1000*CHOOSE(CONTROL!$C$42, 0.1146, 0.1146)*CHOOSE(CONTROL!$C$42, 121.5, 121.5)*CHOOSE(CONTROL!$C$42, 28, 28))/1000000</f>
        <v>0.38986920000000003</v>
      </c>
      <c r="X590" s="57">
        <f>(28*0.1790888*100000/1000000)+(28*0.2374*100000/1000000)</f>
        <v>1.16616864</v>
      </c>
      <c r="Y590" s="57"/>
      <c r="Z590" s="10"/>
      <c r="AA590" s="56"/>
      <c r="AB590" s="50">
        <f>(B590*122.58+C590*297.941+D590*89.177+E590*40.302+F590*40+G590*160+H590*0+I590*100+J590*300)/(122.58+297.941+89.177+40.302+0+40+160+100+300)</f>
        <v>30.588665927391304</v>
      </c>
      <c r="AC590" s="45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30.3210654676259</v>
      </c>
    </row>
    <row r="591" spans="1:29" ht="15.75" x14ac:dyDescent="0.25">
      <c r="A591" s="13">
        <v>58893</v>
      </c>
      <c r="B591" s="10">
        <f>CHOOSE(CONTROL!$C$42, 29.7109, 29.7109) * CHOOSE(CONTROL!$C$21, $C$9, 100%, $E$9)</f>
        <v>29.710899999999999</v>
      </c>
      <c r="C591" s="10">
        <f>CHOOSE(CONTROL!$C$42, 29.7158, 29.7158) * CHOOSE(CONTROL!$C$21, $C$9, 100%, $E$9)</f>
        <v>29.715800000000002</v>
      </c>
      <c r="D591" s="10">
        <f>CHOOSE(CONTROL!$C$42, 29.7729, 29.7729) * CHOOSE(CONTROL!$C$21, $C$9, 100%, $E$9)</f>
        <v>29.7729</v>
      </c>
      <c r="E591" s="10">
        <f>CHOOSE(CONTROL!$C$42, 29.8067, 29.8067) * CHOOSE(CONTROL!$C$21, $C$9, 100%, $E$9)</f>
        <v>29.806699999999999</v>
      </c>
      <c r="F591" s="10">
        <f>CHOOSE(CONTROL!$C$42, 29.7087, 29.7087)*CHOOSE(CONTROL!$C$21, $C$9, 100%, $E$9)</f>
        <v>29.7087</v>
      </c>
      <c r="G591" s="10">
        <f>CHOOSE(CONTROL!$C$42, 29.7233, 29.7233)*CHOOSE(CONTROL!$C$21, $C$9, 100%, $E$9)</f>
        <v>29.723299999999998</v>
      </c>
      <c r="H591" s="10">
        <f>CHOOSE(CONTROL!$C$42, 29.7959, 29.7959) * CHOOSE(CONTROL!$C$21, $C$9, 100%, $E$9)</f>
        <v>29.7959</v>
      </c>
      <c r="I591" s="10">
        <f>CHOOSE(CONTROL!$C$42, 29.7217, 29.7217)* CHOOSE(CONTROL!$C$21, $C$9, 100%, $E$9)</f>
        <v>29.721699999999998</v>
      </c>
      <c r="J591" s="10">
        <f>CHOOSE(CONTROL!$C$42, 29.7017, 29.7017)* CHOOSE(CONTROL!$C$21, $C$9, 100%, $E$9)</f>
        <v>29.701699999999999</v>
      </c>
      <c r="K591" s="53">
        <f>CHOOSE(CONTROL!$C$42, 29.7178, 29.7178) * CHOOSE(CONTROL!$C$21, $C$9, 100%, $E$9)</f>
        <v>29.7178</v>
      </c>
      <c r="L591" s="10">
        <f>CHOOSE(CONTROL!$C$42, 30.3829, 30.3829) * CHOOSE(CONTROL!$C$21, $C$9, 100%, $E$9)</f>
        <v>30.382899999999999</v>
      </c>
      <c r="M591" s="10">
        <f>CHOOSE(CONTROL!$C$42, 29.4158, 29.4158) * CHOOSE(CONTROL!$C$21, $C$9, 100%, $E$9)</f>
        <v>29.415800000000001</v>
      </c>
      <c r="N591" s="10">
        <f>CHOOSE(CONTROL!$C$42, 29.4302, 29.4302) * CHOOSE(CONTROL!$C$21, $C$9, 100%, $E$9)</f>
        <v>29.430199999999999</v>
      </c>
      <c r="O591" s="10">
        <f>CHOOSE(CONTROL!$C$42, 29.509, 29.509) * CHOOSE(CONTROL!$C$21, $C$9, 100%, $E$9)</f>
        <v>29.509</v>
      </c>
      <c r="P591" s="10">
        <f>CHOOSE(CONTROL!$C$42, 29.4356, 29.4356) * CHOOSE(CONTROL!$C$21, $C$9, 100%, $E$9)</f>
        <v>29.435600000000001</v>
      </c>
      <c r="Q591" s="10">
        <f>CHOOSE(CONTROL!$C$42, 30.1043, 30.1043) * CHOOSE(CONTROL!$C$21, $C$9, 100%, $E$9)</f>
        <v>30.104299999999999</v>
      </c>
      <c r="R591" s="10">
        <f>CHOOSE(CONTROL!$C$42, 30.7666, 30.7666) * CHOOSE(CONTROL!$C$21, $C$9, 100%, $E$9)</f>
        <v>30.7666</v>
      </c>
      <c r="S591" s="10">
        <f>CHOOSE(CONTROL!$C$42, 28.8501, 28.8501) * CHOOSE(CONTROL!$C$21, $C$9, 100%, $E$9)</f>
        <v>28.850100000000001</v>
      </c>
      <c r="T5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57">
        <f>(1000*CHOOSE(CONTROL!$C$42, 695, 695)*CHOOSE(CONTROL!$C$42, 0.5599, 0.5599)*CHOOSE(CONTROL!$C$42, 31, 31))/1000000</f>
        <v>12.063045499999998</v>
      </c>
      <c r="V591" s="57">
        <f>(1000*CHOOSE(CONTROL!$C$42, 500, 500)*CHOOSE(CONTROL!$C$42, 0.275, 0.275)*CHOOSE(CONTROL!$C$42, 31, 31))/1000000</f>
        <v>4.2625000000000002</v>
      </c>
      <c r="W591" s="57">
        <f>(1000*CHOOSE(CONTROL!$C$42, 0.1146, 0.1146)*CHOOSE(CONTROL!$C$42, 121.5, 121.5)*CHOOSE(CONTROL!$C$42, 31, 31))/1000000</f>
        <v>0.43164089999999994</v>
      </c>
      <c r="X591" s="57">
        <f>(31*0.1790888*100000/1000000)+(31*0.2374*100000/1000000)</f>
        <v>1.2911152800000001</v>
      </c>
      <c r="Y591" s="57"/>
      <c r="Z591" s="10"/>
      <c r="AA591" s="56"/>
      <c r="AB591" s="50">
        <f>(B591*122.58+C591*297.941+D591*89.177+E591*40.302+F591*40+G591*160+H591*0+I591*100+J591*300)/(122.58+297.941+89.177+40.302+0+40+160+100+300)</f>
        <v>29.720522449130435</v>
      </c>
      <c r="AC591" s="45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29.461719424460433</v>
      </c>
    </row>
    <row r="592" spans="1:29" ht="15.75" x14ac:dyDescent="0.25">
      <c r="A592" s="13">
        <v>58926</v>
      </c>
      <c r="B592" s="10">
        <f>CHOOSE(CONTROL!$C$42, 29.6231, 29.6231) * CHOOSE(CONTROL!$C$21, $C$9, 100%, $E$9)</f>
        <v>29.623100000000001</v>
      </c>
      <c r="C592" s="10">
        <f>CHOOSE(CONTROL!$C$42, 29.6275, 29.6275) * CHOOSE(CONTROL!$C$21, $C$9, 100%, $E$9)</f>
        <v>29.627500000000001</v>
      </c>
      <c r="D592" s="10">
        <f>CHOOSE(CONTROL!$C$42, 29.8334, 29.8334) * CHOOSE(CONTROL!$C$21, $C$9, 100%, $E$9)</f>
        <v>29.833400000000001</v>
      </c>
      <c r="E592" s="10">
        <f>CHOOSE(CONTROL!$C$42, 29.8651, 29.8651) * CHOOSE(CONTROL!$C$21, $C$9, 100%, $E$9)</f>
        <v>29.865100000000002</v>
      </c>
      <c r="F592" s="10">
        <f>CHOOSE(CONTROL!$C$42, 29.5999, 29.5999)*CHOOSE(CONTROL!$C$21, $C$9, 100%, $E$9)</f>
        <v>29.599900000000002</v>
      </c>
      <c r="G592" s="10">
        <f>CHOOSE(CONTROL!$C$42, 29.6144, 29.6144)*CHOOSE(CONTROL!$C$21, $C$9, 100%, $E$9)</f>
        <v>29.6144</v>
      </c>
      <c r="H592" s="10">
        <f>CHOOSE(CONTROL!$C$42, 29.8549, 29.8549) * CHOOSE(CONTROL!$C$21, $C$9, 100%, $E$9)</f>
        <v>29.854900000000001</v>
      </c>
      <c r="I592" s="10">
        <f>CHOOSE(CONTROL!$C$42, 29.6245, 29.6245)* CHOOSE(CONTROL!$C$21, $C$9, 100%, $E$9)</f>
        <v>29.624500000000001</v>
      </c>
      <c r="J592" s="10">
        <f>CHOOSE(CONTROL!$C$42, 29.5929, 29.5929)* CHOOSE(CONTROL!$C$21, $C$9, 100%, $E$9)</f>
        <v>29.5929</v>
      </c>
      <c r="K592" s="53">
        <f>CHOOSE(CONTROL!$C$42, 29.6207, 29.6207) * CHOOSE(CONTROL!$C$21, $C$9, 100%, $E$9)</f>
        <v>29.620699999999999</v>
      </c>
      <c r="L592" s="10">
        <f>CHOOSE(CONTROL!$C$42, 30.4419, 30.4419) * CHOOSE(CONTROL!$C$21, $C$9, 100%, $E$9)</f>
        <v>30.4419</v>
      </c>
      <c r="M592" s="10">
        <f>CHOOSE(CONTROL!$C$42, 29.3081, 29.3081) * CHOOSE(CONTROL!$C$21, $C$9, 100%, $E$9)</f>
        <v>29.3081</v>
      </c>
      <c r="N592" s="10">
        <f>CHOOSE(CONTROL!$C$42, 29.3224, 29.3224) * CHOOSE(CONTROL!$C$21, $C$9, 100%, $E$9)</f>
        <v>29.322399999999998</v>
      </c>
      <c r="O592" s="10">
        <f>CHOOSE(CONTROL!$C$42, 29.5675, 29.5675) * CHOOSE(CONTROL!$C$21, $C$9, 100%, $E$9)</f>
        <v>29.567499999999999</v>
      </c>
      <c r="P592" s="10">
        <f>CHOOSE(CONTROL!$C$42, 29.3394, 29.3394) * CHOOSE(CONTROL!$C$21, $C$9, 100%, $E$9)</f>
        <v>29.339400000000001</v>
      </c>
      <c r="Q592" s="10">
        <f>CHOOSE(CONTROL!$C$42, 30.1628, 30.1628) * CHOOSE(CONTROL!$C$21, $C$9, 100%, $E$9)</f>
        <v>30.162800000000001</v>
      </c>
      <c r="R592" s="10">
        <f>CHOOSE(CONTROL!$C$42, 30.8252, 30.8252) * CHOOSE(CONTROL!$C$21, $C$9, 100%, $E$9)</f>
        <v>30.825199999999999</v>
      </c>
      <c r="S592" s="10">
        <f>CHOOSE(CONTROL!$C$42, 28.7641, 28.7641) * CHOOSE(CONTROL!$C$21, $C$9, 100%, $E$9)</f>
        <v>28.764099999999999</v>
      </c>
      <c r="T5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57">
        <f>(1000*CHOOSE(CONTROL!$C$42, 695, 695)*CHOOSE(CONTROL!$C$42, 0.5599, 0.5599)*CHOOSE(CONTROL!$C$42, 30, 30))/1000000</f>
        <v>11.673914999999997</v>
      </c>
      <c r="V592" s="57">
        <f>(1000*CHOOSE(CONTROL!$C$42, 500, 500)*CHOOSE(CONTROL!$C$42, 0.275, 0.275)*CHOOSE(CONTROL!$C$42, 30, 30))/1000000</f>
        <v>4.125</v>
      </c>
      <c r="W592" s="57">
        <f>(1000*CHOOSE(CONTROL!$C$42, 0.1146, 0.1146)*CHOOSE(CONTROL!$C$42, 121.5, 121.5)*CHOOSE(CONTROL!$C$42, 30, 30))/1000000</f>
        <v>0.417717</v>
      </c>
      <c r="X592" s="57">
        <f>(30*0.1790888*245000/1000000)+(30*0.2374*100000/1000000)</f>
        <v>2.0285026799999999</v>
      </c>
      <c r="Y592" s="57"/>
      <c r="Z592" s="10"/>
      <c r="AA592" s="56"/>
      <c r="AB592" s="50">
        <f>(B592*141.293+C592*267.993+D592*115.016+E592*89.698+F592*40+G592*185+H592*0+I592*100+J592*300)/(141.293+267.993+115.016+89.698+0+40+185+100+300)</f>
        <v>29.651846125907994</v>
      </c>
      <c r="AC592" s="45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29.388676978417259</v>
      </c>
    </row>
    <row r="593" spans="1:29" ht="15.75" x14ac:dyDescent="0.25">
      <c r="A593" s="13">
        <v>58957</v>
      </c>
      <c r="B593" s="10">
        <f>CHOOSE(CONTROL!$C$42, 29.8859, 29.8859) * CHOOSE(CONTROL!$C$21, $C$9, 100%, $E$9)</f>
        <v>29.885899999999999</v>
      </c>
      <c r="C593" s="10">
        <f>CHOOSE(CONTROL!$C$42, 29.8938, 29.8938) * CHOOSE(CONTROL!$C$21, $C$9, 100%, $E$9)</f>
        <v>29.893799999999999</v>
      </c>
      <c r="D593" s="10">
        <f>CHOOSE(CONTROL!$C$42, 30.0966, 30.0966) * CHOOSE(CONTROL!$C$21, $C$9, 100%, $E$9)</f>
        <v>30.096599999999999</v>
      </c>
      <c r="E593" s="10">
        <f>CHOOSE(CONTROL!$C$42, 30.1277, 30.1277) * CHOOSE(CONTROL!$C$21, $C$9, 100%, $E$9)</f>
        <v>30.127700000000001</v>
      </c>
      <c r="F593" s="10">
        <f>CHOOSE(CONTROL!$C$42, 29.8616, 29.8616)*CHOOSE(CONTROL!$C$21, $C$9, 100%, $E$9)</f>
        <v>29.861599999999999</v>
      </c>
      <c r="G593" s="10">
        <f>CHOOSE(CONTROL!$C$42, 29.8766, 29.8766)*CHOOSE(CONTROL!$C$21, $C$9, 100%, $E$9)</f>
        <v>29.8766</v>
      </c>
      <c r="H593" s="10">
        <f>CHOOSE(CONTROL!$C$42, 30.1163, 30.1163) * CHOOSE(CONTROL!$C$21, $C$9, 100%, $E$9)</f>
        <v>30.116299999999999</v>
      </c>
      <c r="I593" s="10">
        <f>CHOOSE(CONTROL!$C$42, 29.886, 29.886)* CHOOSE(CONTROL!$C$21, $C$9, 100%, $E$9)</f>
        <v>29.885999999999999</v>
      </c>
      <c r="J593" s="10">
        <f>CHOOSE(CONTROL!$C$42, 29.8546, 29.8546)* CHOOSE(CONTROL!$C$21, $C$9, 100%, $E$9)</f>
        <v>29.854600000000001</v>
      </c>
      <c r="K593" s="53">
        <f>CHOOSE(CONTROL!$C$42, 29.8821, 29.8821) * CHOOSE(CONTROL!$C$21, $C$9, 100%, $E$9)</f>
        <v>29.882100000000001</v>
      </c>
      <c r="L593" s="10">
        <f>CHOOSE(CONTROL!$C$42, 30.7033, 30.7033) * CHOOSE(CONTROL!$C$21, $C$9, 100%, $E$9)</f>
        <v>30.703299999999999</v>
      </c>
      <c r="M593" s="10">
        <f>CHOOSE(CONTROL!$C$42, 29.5672, 29.5672) * CHOOSE(CONTROL!$C$21, $C$9, 100%, $E$9)</f>
        <v>29.5672</v>
      </c>
      <c r="N593" s="10">
        <f>CHOOSE(CONTROL!$C$42, 29.582, 29.582) * CHOOSE(CONTROL!$C$21, $C$9, 100%, $E$9)</f>
        <v>29.582000000000001</v>
      </c>
      <c r="O593" s="10">
        <f>CHOOSE(CONTROL!$C$42, 29.8262, 29.8262) * CHOOSE(CONTROL!$C$21, $C$9, 100%, $E$9)</f>
        <v>29.8262</v>
      </c>
      <c r="P593" s="10">
        <f>CHOOSE(CONTROL!$C$42, 29.5982, 29.5982) * CHOOSE(CONTROL!$C$21, $C$9, 100%, $E$9)</f>
        <v>29.598199999999999</v>
      </c>
      <c r="Q593" s="10">
        <f>CHOOSE(CONTROL!$C$42, 30.4215, 30.4215) * CHOOSE(CONTROL!$C$21, $C$9, 100%, $E$9)</f>
        <v>30.421500000000002</v>
      </c>
      <c r="R593" s="10">
        <f>CHOOSE(CONTROL!$C$42, 31.0846, 31.0846) * CHOOSE(CONTROL!$C$21, $C$9, 100%, $E$9)</f>
        <v>31.084599999999998</v>
      </c>
      <c r="S593" s="10">
        <f>CHOOSE(CONTROL!$C$42, 29.018, 29.018) * CHOOSE(CONTROL!$C$21, $C$9, 100%, $E$9)</f>
        <v>29.018000000000001</v>
      </c>
      <c r="T5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57">
        <f>(1000*CHOOSE(CONTROL!$C$42, 695, 695)*CHOOSE(CONTROL!$C$42, 0.5599, 0.5599)*CHOOSE(CONTROL!$C$42, 31, 31))/1000000</f>
        <v>12.063045499999998</v>
      </c>
      <c r="V593" s="57">
        <f>(1000*CHOOSE(CONTROL!$C$42, 500, 500)*CHOOSE(CONTROL!$C$42, 0.275, 0.275)*CHOOSE(CONTROL!$C$42, 31, 31))/1000000</f>
        <v>4.2625000000000002</v>
      </c>
      <c r="W593" s="57">
        <f>(1000*CHOOSE(CONTROL!$C$42, 0.1146, 0.1146)*CHOOSE(CONTROL!$C$42, 121.5, 121.5)*CHOOSE(CONTROL!$C$42, 31, 31))/1000000</f>
        <v>0.43164089999999994</v>
      </c>
      <c r="X593" s="57">
        <f>(31*0.1790888*245000/1000000)+(31*0.2374*100000/1000000)</f>
        <v>2.0961194359999999</v>
      </c>
      <c r="Y593" s="57"/>
      <c r="Z593" s="10"/>
      <c r="AA593" s="56"/>
      <c r="AB593" s="50">
        <f>(B593*194.205+C593*267.466+D593*133.845+E593*53.484+F593*40+G593*185+H593*0+I593*100+J593*300)/(194.205+267.466+133.845+53.484+0+40+185+100+300)</f>
        <v>29.910369430219781</v>
      </c>
      <c r="AC593" s="45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29.647736690647481</v>
      </c>
    </row>
    <row r="594" spans="1:29" ht="15.75" x14ac:dyDescent="0.25">
      <c r="A594" s="13">
        <v>58987</v>
      </c>
      <c r="B594" s="10">
        <f>CHOOSE(CONTROL!$C$42, 30.7335, 30.7335) * CHOOSE(CONTROL!$C$21, $C$9, 100%, $E$9)</f>
        <v>30.733499999999999</v>
      </c>
      <c r="C594" s="10">
        <f>CHOOSE(CONTROL!$C$42, 30.7414, 30.7414) * CHOOSE(CONTROL!$C$21, $C$9, 100%, $E$9)</f>
        <v>30.741399999999999</v>
      </c>
      <c r="D594" s="10">
        <f>CHOOSE(CONTROL!$C$42, 30.9442, 30.9442) * CHOOSE(CONTROL!$C$21, $C$9, 100%, $E$9)</f>
        <v>30.944199999999999</v>
      </c>
      <c r="E594" s="10">
        <f>CHOOSE(CONTROL!$C$42, 30.9753, 30.9753) * CHOOSE(CONTROL!$C$21, $C$9, 100%, $E$9)</f>
        <v>30.975300000000001</v>
      </c>
      <c r="F594" s="10">
        <f>CHOOSE(CONTROL!$C$42, 30.7098, 30.7098)*CHOOSE(CONTROL!$C$21, $C$9, 100%, $E$9)</f>
        <v>30.709800000000001</v>
      </c>
      <c r="G594" s="10">
        <f>CHOOSE(CONTROL!$C$42, 30.7249, 30.7249)*CHOOSE(CONTROL!$C$21, $C$9, 100%, $E$9)</f>
        <v>30.724900000000002</v>
      </c>
      <c r="H594" s="10">
        <f>CHOOSE(CONTROL!$C$42, 30.9639, 30.9639) * CHOOSE(CONTROL!$C$21, $C$9, 100%, $E$9)</f>
        <v>30.963899999999999</v>
      </c>
      <c r="I594" s="10">
        <f>CHOOSE(CONTROL!$C$42, 30.7336, 30.7336)* CHOOSE(CONTROL!$C$21, $C$9, 100%, $E$9)</f>
        <v>30.733599999999999</v>
      </c>
      <c r="J594" s="10">
        <f>CHOOSE(CONTROL!$C$42, 30.7028, 30.7028)* CHOOSE(CONTROL!$C$21, $C$9, 100%, $E$9)</f>
        <v>30.7028</v>
      </c>
      <c r="K594" s="53">
        <f>CHOOSE(CONTROL!$C$42, 30.7297, 30.7297) * CHOOSE(CONTROL!$C$21, $C$9, 100%, $E$9)</f>
        <v>30.729700000000001</v>
      </c>
      <c r="L594" s="10">
        <f>CHOOSE(CONTROL!$C$42, 31.5509, 31.5509) * CHOOSE(CONTROL!$C$21, $C$9, 100%, $E$9)</f>
        <v>31.550899999999999</v>
      </c>
      <c r="M594" s="10">
        <f>CHOOSE(CONTROL!$C$42, 30.4067, 30.4067) * CHOOSE(CONTROL!$C$21, $C$9, 100%, $E$9)</f>
        <v>30.406700000000001</v>
      </c>
      <c r="N594" s="10">
        <f>CHOOSE(CONTROL!$C$42, 30.4217, 30.4217) * CHOOSE(CONTROL!$C$21, $C$9, 100%, $E$9)</f>
        <v>30.421700000000001</v>
      </c>
      <c r="O594" s="10">
        <f>CHOOSE(CONTROL!$C$42, 30.6653, 30.6653) * CHOOSE(CONTROL!$C$21, $C$9, 100%, $E$9)</f>
        <v>30.665299999999998</v>
      </c>
      <c r="P594" s="10">
        <f>CHOOSE(CONTROL!$C$42, 30.4373, 30.4373) * CHOOSE(CONTROL!$C$21, $C$9, 100%, $E$9)</f>
        <v>30.4373</v>
      </c>
      <c r="Q594" s="10">
        <f>CHOOSE(CONTROL!$C$42, 31.2606, 31.2606) * CHOOSE(CONTROL!$C$21, $C$9, 100%, $E$9)</f>
        <v>31.2606</v>
      </c>
      <c r="R594" s="10">
        <f>CHOOSE(CONTROL!$C$42, 31.9257, 31.9257) * CHOOSE(CONTROL!$C$21, $C$9, 100%, $E$9)</f>
        <v>31.925699999999999</v>
      </c>
      <c r="S594" s="10">
        <f>CHOOSE(CONTROL!$C$42, 29.8411, 29.8411) * CHOOSE(CONTROL!$C$21, $C$9, 100%, $E$9)</f>
        <v>29.841100000000001</v>
      </c>
      <c r="T5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57">
        <f>(1000*CHOOSE(CONTROL!$C$42, 695, 695)*CHOOSE(CONTROL!$C$42, 0.5599, 0.5599)*CHOOSE(CONTROL!$C$42, 30, 30))/1000000</f>
        <v>11.673914999999997</v>
      </c>
      <c r="V594" s="57">
        <f>(1000*CHOOSE(CONTROL!$C$42, 500, 500)*CHOOSE(CONTROL!$C$42, 0.275, 0.275)*CHOOSE(CONTROL!$C$42, 30, 30))/1000000</f>
        <v>4.125</v>
      </c>
      <c r="W594" s="57">
        <f>(1000*CHOOSE(CONTROL!$C$42, 0.1146, 0.1146)*CHOOSE(CONTROL!$C$42, 121.5, 121.5)*CHOOSE(CONTROL!$C$42, 30, 30))/1000000</f>
        <v>0.417717</v>
      </c>
      <c r="X594" s="57">
        <f>(30*0.1790888*245000/1000000)+(30*0.2374*100000/1000000)</f>
        <v>2.0285026799999999</v>
      </c>
      <c r="Y594" s="57"/>
      <c r="Z594" s="10"/>
      <c r="AA594" s="56"/>
      <c r="AB594" s="50">
        <f>(B594*194.205+C594*267.466+D594*133.845+E594*53.484+F594*40+G594*185+H594*0+I594*100+J594*300)/(194.205+267.466+133.845+53.484+0+40+185+100+300)</f>
        <v>30.758231204160129</v>
      </c>
      <c r="AC594" s="45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30.487112949640288</v>
      </c>
    </row>
    <row r="595" spans="1:29" ht="15.75" x14ac:dyDescent="0.25">
      <c r="A595" s="13">
        <v>59018</v>
      </c>
      <c r="B595" s="10">
        <f>CHOOSE(CONTROL!$C$42, 30.144, 30.144) * CHOOSE(CONTROL!$C$21, $C$9, 100%, $E$9)</f>
        <v>30.143999999999998</v>
      </c>
      <c r="C595" s="10">
        <f>CHOOSE(CONTROL!$C$42, 30.1519, 30.1519) * CHOOSE(CONTROL!$C$21, $C$9, 100%, $E$9)</f>
        <v>30.151900000000001</v>
      </c>
      <c r="D595" s="10">
        <f>CHOOSE(CONTROL!$C$42, 30.3547, 30.3547) * CHOOSE(CONTROL!$C$21, $C$9, 100%, $E$9)</f>
        <v>30.354700000000001</v>
      </c>
      <c r="E595" s="10">
        <f>CHOOSE(CONTROL!$C$42, 30.3858, 30.3858) * CHOOSE(CONTROL!$C$21, $C$9, 100%, $E$9)</f>
        <v>30.3858</v>
      </c>
      <c r="F595" s="10">
        <f>CHOOSE(CONTROL!$C$42, 30.1208, 30.1208)*CHOOSE(CONTROL!$C$21, $C$9, 100%, $E$9)</f>
        <v>30.120799999999999</v>
      </c>
      <c r="G595" s="10">
        <f>CHOOSE(CONTROL!$C$42, 30.136, 30.136)*CHOOSE(CONTROL!$C$21, $C$9, 100%, $E$9)</f>
        <v>30.135999999999999</v>
      </c>
      <c r="H595" s="10">
        <f>CHOOSE(CONTROL!$C$42, 30.3744, 30.3744) * CHOOSE(CONTROL!$C$21, $C$9, 100%, $E$9)</f>
        <v>30.374400000000001</v>
      </c>
      <c r="I595" s="10">
        <f>CHOOSE(CONTROL!$C$42, 30.1441, 30.1441)* CHOOSE(CONTROL!$C$21, $C$9, 100%, $E$9)</f>
        <v>30.144100000000002</v>
      </c>
      <c r="J595" s="10">
        <f>CHOOSE(CONTROL!$C$42, 30.1138, 30.1138)* CHOOSE(CONTROL!$C$21, $C$9, 100%, $E$9)</f>
        <v>30.113800000000001</v>
      </c>
      <c r="K595" s="53">
        <f>CHOOSE(CONTROL!$C$42, 30.1402, 30.1402) * CHOOSE(CONTROL!$C$21, $C$9, 100%, $E$9)</f>
        <v>30.1402</v>
      </c>
      <c r="L595" s="10">
        <f>CHOOSE(CONTROL!$C$42, 30.9614, 30.9614) * CHOOSE(CONTROL!$C$21, $C$9, 100%, $E$9)</f>
        <v>30.961400000000001</v>
      </c>
      <c r="M595" s="10">
        <f>CHOOSE(CONTROL!$C$42, 29.8237, 29.8237) * CHOOSE(CONTROL!$C$21, $C$9, 100%, $E$9)</f>
        <v>29.823699999999999</v>
      </c>
      <c r="N595" s="10">
        <f>CHOOSE(CONTROL!$C$42, 29.8388, 29.8388) * CHOOSE(CONTROL!$C$21, $C$9, 100%, $E$9)</f>
        <v>29.838799999999999</v>
      </c>
      <c r="O595" s="10">
        <f>CHOOSE(CONTROL!$C$42, 30.0817, 30.0817) * CHOOSE(CONTROL!$C$21, $C$9, 100%, $E$9)</f>
        <v>30.081700000000001</v>
      </c>
      <c r="P595" s="10">
        <f>CHOOSE(CONTROL!$C$42, 29.8537, 29.8537) * CHOOSE(CONTROL!$C$21, $C$9, 100%, $E$9)</f>
        <v>29.8537</v>
      </c>
      <c r="Q595" s="10">
        <f>CHOOSE(CONTROL!$C$42, 30.677, 30.677) * CHOOSE(CONTROL!$C$21, $C$9, 100%, $E$9)</f>
        <v>30.677</v>
      </c>
      <c r="R595" s="10">
        <f>CHOOSE(CONTROL!$C$42, 31.3407, 31.3407) * CHOOSE(CONTROL!$C$21, $C$9, 100%, $E$9)</f>
        <v>31.340699999999998</v>
      </c>
      <c r="S595" s="10">
        <f>CHOOSE(CONTROL!$C$42, 29.2686, 29.2686) * CHOOSE(CONTROL!$C$21, $C$9, 100%, $E$9)</f>
        <v>29.268599999999999</v>
      </c>
      <c r="T5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57">
        <f>(1000*CHOOSE(CONTROL!$C$42, 695, 695)*CHOOSE(CONTROL!$C$42, 0.5599, 0.5599)*CHOOSE(CONTROL!$C$42, 31, 31))/1000000</f>
        <v>12.063045499999998</v>
      </c>
      <c r="V595" s="57">
        <f>(1000*CHOOSE(CONTROL!$C$42, 500, 500)*CHOOSE(CONTROL!$C$42, 0.275, 0.275)*CHOOSE(CONTROL!$C$42, 31, 31))/1000000</f>
        <v>4.2625000000000002</v>
      </c>
      <c r="W595" s="57">
        <f>(1000*CHOOSE(CONTROL!$C$42, 0.1146, 0.1146)*CHOOSE(CONTROL!$C$42, 121.5, 121.5)*CHOOSE(CONTROL!$C$42, 31, 31))/1000000</f>
        <v>0.43164089999999994</v>
      </c>
      <c r="X595" s="57">
        <f>(31*0.1790888*245000/1000000)+(31*0.2374*100000/1000000)</f>
        <v>2.0961194359999999</v>
      </c>
      <c r="Y595" s="57"/>
      <c r="Z595" s="10"/>
      <c r="AA595" s="56"/>
      <c r="AB595" s="50">
        <f>(B595*194.205+C595*267.466+D595*133.845+E595*53.484+F595*40+G595*185+H595*0+I595*100+J595*300)/(194.205+267.466+133.845+53.484+0+40+185+100+300)</f>
        <v>30.16895176930926</v>
      </c>
      <c r="AC595" s="45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29.903881294964027</v>
      </c>
    </row>
    <row r="596" spans="1:29" ht="15.75" x14ac:dyDescent="0.25">
      <c r="A596" s="13">
        <v>59049</v>
      </c>
      <c r="B596" s="10">
        <f>CHOOSE(CONTROL!$C$42, 28.6553, 28.6553) * CHOOSE(CONTROL!$C$21, $C$9, 100%, $E$9)</f>
        <v>28.6553</v>
      </c>
      <c r="C596" s="10">
        <f>CHOOSE(CONTROL!$C$42, 28.6632, 28.6632) * CHOOSE(CONTROL!$C$21, $C$9, 100%, $E$9)</f>
        <v>28.6632</v>
      </c>
      <c r="D596" s="10">
        <f>CHOOSE(CONTROL!$C$42, 28.866, 28.866) * CHOOSE(CONTROL!$C$21, $C$9, 100%, $E$9)</f>
        <v>28.866</v>
      </c>
      <c r="E596" s="10">
        <f>CHOOSE(CONTROL!$C$42, 28.8971, 28.8971) * CHOOSE(CONTROL!$C$21, $C$9, 100%, $E$9)</f>
        <v>28.897099999999998</v>
      </c>
      <c r="F596" s="10">
        <f>CHOOSE(CONTROL!$C$42, 28.6322, 28.6322)*CHOOSE(CONTROL!$C$21, $C$9, 100%, $E$9)</f>
        <v>28.632200000000001</v>
      </c>
      <c r="G596" s="10">
        <f>CHOOSE(CONTROL!$C$42, 28.6476, 28.6476)*CHOOSE(CONTROL!$C$21, $C$9, 100%, $E$9)</f>
        <v>28.647600000000001</v>
      </c>
      <c r="H596" s="10">
        <f>CHOOSE(CONTROL!$C$42, 28.8857, 28.8857) * CHOOSE(CONTROL!$C$21, $C$9, 100%, $E$9)</f>
        <v>28.8857</v>
      </c>
      <c r="I596" s="10">
        <f>CHOOSE(CONTROL!$C$42, 28.6554, 28.6554)* CHOOSE(CONTROL!$C$21, $C$9, 100%, $E$9)</f>
        <v>28.6554</v>
      </c>
      <c r="J596" s="10">
        <f>CHOOSE(CONTROL!$C$42, 28.6252, 28.6252)* CHOOSE(CONTROL!$C$21, $C$9, 100%, $E$9)</f>
        <v>28.6252</v>
      </c>
      <c r="K596" s="53">
        <f>CHOOSE(CONTROL!$C$42, 28.6515, 28.6515) * CHOOSE(CONTROL!$C$21, $C$9, 100%, $E$9)</f>
        <v>28.651499999999999</v>
      </c>
      <c r="L596" s="10">
        <f>CHOOSE(CONTROL!$C$42, 29.4727, 29.4727) * CHOOSE(CONTROL!$C$21, $C$9, 100%, $E$9)</f>
        <v>29.4727</v>
      </c>
      <c r="M596" s="10">
        <f>CHOOSE(CONTROL!$C$42, 28.3502, 28.3502) * CHOOSE(CONTROL!$C$21, $C$9, 100%, $E$9)</f>
        <v>28.350200000000001</v>
      </c>
      <c r="N596" s="10">
        <f>CHOOSE(CONTROL!$C$42, 28.3654, 28.3654) * CHOOSE(CONTROL!$C$21, $C$9, 100%, $E$9)</f>
        <v>28.365400000000001</v>
      </c>
      <c r="O596" s="10">
        <f>CHOOSE(CONTROL!$C$42, 28.6081, 28.6081) * CHOOSE(CONTROL!$C$21, $C$9, 100%, $E$9)</f>
        <v>28.6081</v>
      </c>
      <c r="P596" s="10">
        <f>CHOOSE(CONTROL!$C$42, 28.38, 28.38) * CHOOSE(CONTROL!$C$21, $C$9, 100%, $E$9)</f>
        <v>28.38</v>
      </c>
      <c r="Q596" s="10">
        <f>CHOOSE(CONTROL!$C$42, 29.2034, 29.2034) * CHOOSE(CONTROL!$C$21, $C$9, 100%, $E$9)</f>
        <v>29.203399999999998</v>
      </c>
      <c r="R596" s="10">
        <f>CHOOSE(CONTROL!$C$42, 29.8634, 29.8634) * CHOOSE(CONTROL!$C$21, $C$9, 100%, $E$9)</f>
        <v>29.863399999999999</v>
      </c>
      <c r="S596" s="10">
        <f>CHOOSE(CONTROL!$C$42, 27.8229, 27.8229) * CHOOSE(CONTROL!$C$21, $C$9, 100%, $E$9)</f>
        <v>27.822900000000001</v>
      </c>
      <c r="T5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57">
        <f>(1000*CHOOSE(CONTROL!$C$42, 695, 695)*CHOOSE(CONTROL!$C$42, 0.5599, 0.5599)*CHOOSE(CONTROL!$C$42, 31, 31))/1000000</f>
        <v>12.063045499999998</v>
      </c>
      <c r="V596" s="57">
        <f>(1000*CHOOSE(CONTROL!$C$42, 500, 500)*CHOOSE(CONTROL!$C$42, 0.275, 0.275)*CHOOSE(CONTROL!$C$42, 31, 31))/1000000</f>
        <v>4.2625000000000002</v>
      </c>
      <c r="W596" s="57">
        <f>(1000*CHOOSE(CONTROL!$C$42, 0.1146, 0.1146)*CHOOSE(CONTROL!$C$42, 121.5, 121.5)*CHOOSE(CONTROL!$C$42, 31, 31))/1000000</f>
        <v>0.43164089999999994</v>
      </c>
      <c r="X596" s="57">
        <f>(31*0.1790888*245000/1000000)+(31*0.2374*100000/1000000)</f>
        <v>2.0961194359999999</v>
      </c>
      <c r="Y596" s="57"/>
      <c r="Z596" s="10"/>
      <c r="AA596" s="56"/>
      <c r="AB596" s="50">
        <f>(B596*194.205+C596*267.466+D596*133.845+E596*53.484+F596*40+G596*185+H596*0+I596*100+J596*300)/(194.205+267.466+133.845+53.484+0+40+185+100+300)</f>
        <v>28.68032202048666</v>
      </c>
      <c r="AC596" s="45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28.43034748201439</v>
      </c>
    </row>
    <row r="597" spans="1:29" ht="15.75" x14ac:dyDescent="0.25">
      <c r="A597" s="13">
        <v>59079</v>
      </c>
      <c r="B597" s="10">
        <f>CHOOSE(CONTROL!$C$42, 26.836, 26.836) * CHOOSE(CONTROL!$C$21, $C$9, 100%, $E$9)</f>
        <v>26.835999999999999</v>
      </c>
      <c r="C597" s="10">
        <f>CHOOSE(CONTROL!$C$42, 26.8439, 26.8439) * CHOOSE(CONTROL!$C$21, $C$9, 100%, $E$9)</f>
        <v>26.843900000000001</v>
      </c>
      <c r="D597" s="10">
        <f>CHOOSE(CONTROL!$C$42, 27.0467, 27.0467) * CHOOSE(CONTROL!$C$21, $C$9, 100%, $E$9)</f>
        <v>27.046700000000001</v>
      </c>
      <c r="E597" s="10">
        <f>CHOOSE(CONTROL!$C$42, 27.0778, 27.0778) * CHOOSE(CONTROL!$C$21, $C$9, 100%, $E$9)</f>
        <v>27.0778</v>
      </c>
      <c r="F597" s="10">
        <f>CHOOSE(CONTROL!$C$42, 26.8128, 26.8128)*CHOOSE(CONTROL!$C$21, $C$9, 100%, $E$9)</f>
        <v>26.812799999999999</v>
      </c>
      <c r="G597" s="10">
        <f>CHOOSE(CONTROL!$C$42, 26.8281, 26.8281)*CHOOSE(CONTROL!$C$21, $C$9, 100%, $E$9)</f>
        <v>26.828099999999999</v>
      </c>
      <c r="H597" s="10">
        <f>CHOOSE(CONTROL!$C$42, 27.0664, 27.0664) * CHOOSE(CONTROL!$C$21, $C$9, 100%, $E$9)</f>
        <v>27.066400000000002</v>
      </c>
      <c r="I597" s="10">
        <f>CHOOSE(CONTROL!$C$42, 26.836, 26.836)* CHOOSE(CONTROL!$C$21, $C$9, 100%, $E$9)</f>
        <v>26.835999999999999</v>
      </c>
      <c r="J597" s="10">
        <f>CHOOSE(CONTROL!$C$42, 26.8058, 26.8058)* CHOOSE(CONTROL!$C$21, $C$9, 100%, $E$9)</f>
        <v>26.805800000000001</v>
      </c>
      <c r="K597" s="53">
        <f>CHOOSE(CONTROL!$C$42, 26.8322, 26.8322) * CHOOSE(CONTROL!$C$21, $C$9, 100%, $E$9)</f>
        <v>26.8322</v>
      </c>
      <c r="L597" s="10">
        <f>CHOOSE(CONTROL!$C$42, 27.6534, 27.6534) * CHOOSE(CONTROL!$C$21, $C$9, 100%, $E$9)</f>
        <v>27.653400000000001</v>
      </c>
      <c r="M597" s="10">
        <f>CHOOSE(CONTROL!$C$42, 26.5491, 26.5491) * CHOOSE(CONTROL!$C$21, $C$9, 100%, $E$9)</f>
        <v>26.549099999999999</v>
      </c>
      <c r="N597" s="10">
        <f>CHOOSE(CONTROL!$C$42, 26.5643, 26.5643) * CHOOSE(CONTROL!$C$21, $C$9, 100%, $E$9)</f>
        <v>26.564299999999999</v>
      </c>
      <c r="O597" s="10">
        <f>CHOOSE(CONTROL!$C$42, 26.8071, 26.8071) * CHOOSE(CONTROL!$C$21, $C$9, 100%, $E$9)</f>
        <v>26.807099999999998</v>
      </c>
      <c r="P597" s="10">
        <f>CHOOSE(CONTROL!$C$42, 26.5791, 26.5791) * CHOOSE(CONTROL!$C$21, $C$9, 100%, $E$9)</f>
        <v>26.5791</v>
      </c>
      <c r="Q597" s="10">
        <f>CHOOSE(CONTROL!$C$42, 27.4024, 27.4024) * CHOOSE(CONTROL!$C$21, $C$9, 100%, $E$9)</f>
        <v>27.4024</v>
      </c>
      <c r="R597" s="10">
        <f>CHOOSE(CONTROL!$C$42, 28.0579, 28.0579) * CHOOSE(CONTROL!$C$21, $C$9, 100%, $E$9)</f>
        <v>28.0579</v>
      </c>
      <c r="S597" s="10">
        <f>CHOOSE(CONTROL!$C$42, 26.0562, 26.0562) * CHOOSE(CONTROL!$C$21, $C$9, 100%, $E$9)</f>
        <v>26.0562</v>
      </c>
      <c r="T5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57">
        <f>(1000*CHOOSE(CONTROL!$C$42, 695, 695)*CHOOSE(CONTROL!$C$42, 0.5599, 0.5599)*CHOOSE(CONTROL!$C$42, 30, 30))/1000000</f>
        <v>11.673914999999997</v>
      </c>
      <c r="V597" s="57">
        <f>(1000*CHOOSE(CONTROL!$C$42, 500, 500)*CHOOSE(CONTROL!$C$42, 0.275, 0.275)*CHOOSE(CONTROL!$C$42, 30, 30))/1000000</f>
        <v>4.125</v>
      </c>
      <c r="W597" s="57">
        <f>(1000*CHOOSE(CONTROL!$C$42, 0.1146, 0.1146)*CHOOSE(CONTROL!$C$42, 121.5, 121.5)*CHOOSE(CONTROL!$C$42, 30, 30))/1000000</f>
        <v>0.417717</v>
      </c>
      <c r="X597" s="57">
        <f>(30*0.1790888*245000/1000000)+(30*0.2374*100000/1000000)</f>
        <v>2.0285026799999999</v>
      </c>
      <c r="Y597" s="57"/>
      <c r="Z597" s="10"/>
      <c r="AA597" s="56"/>
      <c r="AB597" s="50">
        <f>(B597*194.205+C597*267.466+D597*133.845+E597*53.484+F597*40+G597*185+H597*0+I597*100+J597*300)/(194.205+267.466+133.845+53.484+0+40+185+100+300)</f>
        <v>26.860958441208787</v>
      </c>
      <c r="AC597" s="45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26.629304316546762</v>
      </c>
    </row>
    <row r="598" spans="1:29" ht="15.75" x14ac:dyDescent="0.25">
      <c r="A598" s="13">
        <v>59110</v>
      </c>
      <c r="B598" s="10">
        <f>CHOOSE(CONTROL!$C$42, 26.2895, 26.2895) * CHOOSE(CONTROL!$C$21, $C$9, 100%, $E$9)</f>
        <v>26.2895</v>
      </c>
      <c r="C598" s="10">
        <f>CHOOSE(CONTROL!$C$42, 26.2947, 26.2947) * CHOOSE(CONTROL!$C$21, $C$9, 100%, $E$9)</f>
        <v>26.294699999999999</v>
      </c>
      <c r="D598" s="10">
        <f>CHOOSE(CONTROL!$C$42, 26.5024, 26.5024) * CHOOSE(CONTROL!$C$21, $C$9, 100%, $E$9)</f>
        <v>26.502400000000002</v>
      </c>
      <c r="E598" s="10">
        <f>CHOOSE(CONTROL!$C$42, 26.5312, 26.5312) * CHOOSE(CONTROL!$C$21, $C$9, 100%, $E$9)</f>
        <v>26.531199999999998</v>
      </c>
      <c r="F598" s="10">
        <f>CHOOSE(CONTROL!$C$42, 26.2682, 26.2682)*CHOOSE(CONTROL!$C$21, $C$9, 100%, $E$9)</f>
        <v>26.2682</v>
      </c>
      <c r="G598" s="10">
        <f>CHOOSE(CONTROL!$C$42, 26.2831, 26.2831)*CHOOSE(CONTROL!$C$21, $C$9, 100%, $E$9)</f>
        <v>26.283100000000001</v>
      </c>
      <c r="H598" s="10">
        <f>CHOOSE(CONTROL!$C$42, 26.5217, 26.5217) * CHOOSE(CONTROL!$C$21, $C$9, 100%, $E$9)</f>
        <v>26.521699999999999</v>
      </c>
      <c r="I598" s="10">
        <f>CHOOSE(CONTROL!$C$42, 26.2913, 26.2913)* CHOOSE(CONTROL!$C$21, $C$9, 100%, $E$9)</f>
        <v>26.2913</v>
      </c>
      <c r="J598" s="10">
        <f>CHOOSE(CONTROL!$C$42, 26.2612, 26.2612)* CHOOSE(CONTROL!$C$21, $C$9, 100%, $E$9)</f>
        <v>26.261199999999999</v>
      </c>
      <c r="K598" s="53">
        <f>CHOOSE(CONTROL!$C$42, 26.2874, 26.2874) * CHOOSE(CONTROL!$C$21, $C$9, 100%, $E$9)</f>
        <v>26.287400000000002</v>
      </c>
      <c r="L598" s="10">
        <f>CHOOSE(CONTROL!$C$42, 27.1087, 27.1087) * CHOOSE(CONTROL!$C$21, $C$9, 100%, $E$9)</f>
        <v>27.108699999999999</v>
      </c>
      <c r="M598" s="10">
        <f>CHOOSE(CONTROL!$C$42, 26.01, 26.01) * CHOOSE(CONTROL!$C$21, $C$9, 100%, $E$9)</f>
        <v>26.01</v>
      </c>
      <c r="N598" s="10">
        <f>CHOOSE(CONTROL!$C$42, 26.0248, 26.0248) * CHOOSE(CONTROL!$C$21, $C$9, 100%, $E$9)</f>
        <v>26.024799999999999</v>
      </c>
      <c r="O598" s="10">
        <f>CHOOSE(CONTROL!$C$42, 26.2678, 26.2678) * CHOOSE(CONTROL!$C$21, $C$9, 100%, $E$9)</f>
        <v>26.267800000000001</v>
      </c>
      <c r="P598" s="10">
        <f>CHOOSE(CONTROL!$C$42, 26.0398, 26.0398) * CHOOSE(CONTROL!$C$21, $C$9, 100%, $E$9)</f>
        <v>26.0398</v>
      </c>
      <c r="Q598" s="10">
        <f>CHOOSE(CONTROL!$C$42, 26.8631, 26.8631) * CHOOSE(CONTROL!$C$21, $C$9, 100%, $E$9)</f>
        <v>26.863099999999999</v>
      </c>
      <c r="R598" s="10">
        <f>CHOOSE(CONTROL!$C$42, 27.5173, 27.5173) * CHOOSE(CONTROL!$C$21, $C$9, 100%, $E$9)</f>
        <v>27.517299999999999</v>
      </c>
      <c r="S598" s="10">
        <f>CHOOSE(CONTROL!$C$42, 25.5272, 25.5272) * CHOOSE(CONTROL!$C$21, $C$9, 100%, $E$9)</f>
        <v>25.527200000000001</v>
      </c>
      <c r="T5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57">
        <f>(1000*CHOOSE(CONTROL!$C$42, 695, 695)*CHOOSE(CONTROL!$C$42, 0.5599, 0.5599)*CHOOSE(CONTROL!$C$42, 31, 31))/1000000</f>
        <v>12.063045499999998</v>
      </c>
      <c r="V598" s="57">
        <f>(1000*CHOOSE(CONTROL!$C$42, 500, 500)*CHOOSE(CONTROL!$C$42, 0.275, 0.275)*CHOOSE(CONTROL!$C$42, 31, 31))/1000000</f>
        <v>4.2625000000000002</v>
      </c>
      <c r="W598" s="57">
        <f>(1000*CHOOSE(CONTROL!$C$42, 0.1146, 0.1146)*CHOOSE(CONTROL!$C$42, 121.5, 121.5)*CHOOSE(CONTROL!$C$42, 31, 31))/1000000</f>
        <v>0.43164089999999994</v>
      </c>
      <c r="X598" s="57">
        <f>(31*0.1790888*245000/1000000)+(31*0.2374*100000/1000000)</f>
        <v>2.0961194359999999</v>
      </c>
      <c r="Y598" s="57"/>
      <c r="Z598" s="10"/>
      <c r="AA598" s="56"/>
      <c r="AB598" s="50">
        <f>(B598*131.881+C598*277.167+D598*79.08+E598*125.872+F598*40+G598*185+H598*0+I598*100+J598*300)/(131.881+277.167+79.08+125.872+0+40+185+100+300)</f>
        <v>26.320456144309929</v>
      </c>
      <c r="AC598" s="45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26.090027338129495</v>
      </c>
    </row>
    <row r="599" spans="1:29" ht="15.75" x14ac:dyDescent="0.25">
      <c r="A599" s="13">
        <v>59140</v>
      </c>
      <c r="B599" s="10">
        <f>CHOOSE(CONTROL!$C$42, 26.9816, 26.9816) * CHOOSE(CONTROL!$C$21, $C$9, 100%, $E$9)</f>
        <v>26.9816</v>
      </c>
      <c r="C599" s="10">
        <f>CHOOSE(CONTROL!$C$42, 26.9865, 26.9865) * CHOOSE(CONTROL!$C$21, $C$9, 100%, $E$9)</f>
        <v>26.986499999999999</v>
      </c>
      <c r="D599" s="10">
        <f>CHOOSE(CONTROL!$C$42, 27.047, 27.047) * CHOOSE(CONTROL!$C$21, $C$9, 100%, $E$9)</f>
        <v>27.047000000000001</v>
      </c>
      <c r="E599" s="10">
        <f>CHOOSE(CONTROL!$C$42, 27.0808, 27.0808) * CHOOSE(CONTROL!$C$21, $C$9, 100%, $E$9)</f>
        <v>27.0808</v>
      </c>
      <c r="F599" s="10">
        <f>CHOOSE(CONTROL!$C$42, 26.9772, 26.9772)*CHOOSE(CONTROL!$C$21, $C$9, 100%, $E$9)</f>
        <v>26.9772</v>
      </c>
      <c r="G599" s="10">
        <f>CHOOSE(CONTROL!$C$42, 26.9924, 26.9924)*CHOOSE(CONTROL!$C$21, $C$9, 100%, $E$9)</f>
        <v>26.9924</v>
      </c>
      <c r="H599" s="10">
        <f>CHOOSE(CONTROL!$C$42, 27.07, 27.07) * CHOOSE(CONTROL!$C$21, $C$9, 100%, $E$9)</f>
        <v>27.07</v>
      </c>
      <c r="I599" s="10">
        <f>CHOOSE(CONTROL!$C$42, 26.9941, 26.9941)* CHOOSE(CONTROL!$C$21, $C$9, 100%, $E$9)</f>
        <v>26.9941</v>
      </c>
      <c r="J599" s="10">
        <f>CHOOSE(CONTROL!$C$42, 26.9702, 26.9702)* CHOOSE(CONTROL!$C$21, $C$9, 100%, $E$9)</f>
        <v>26.970199999999998</v>
      </c>
      <c r="K599" s="53">
        <f>CHOOSE(CONTROL!$C$42, 26.9902, 26.9902) * CHOOSE(CONTROL!$C$21, $C$9, 100%, $E$9)</f>
        <v>26.990200000000002</v>
      </c>
      <c r="L599" s="10">
        <f>CHOOSE(CONTROL!$C$42, 27.657, 27.657) * CHOOSE(CONTROL!$C$21, $C$9, 100%, $E$9)</f>
        <v>27.657</v>
      </c>
      <c r="M599" s="10">
        <f>CHOOSE(CONTROL!$C$42, 26.7118, 26.7118) * CHOOSE(CONTROL!$C$21, $C$9, 100%, $E$9)</f>
        <v>26.7118</v>
      </c>
      <c r="N599" s="10">
        <f>CHOOSE(CONTROL!$C$42, 26.7269, 26.7269) * CHOOSE(CONTROL!$C$21, $C$9, 100%, $E$9)</f>
        <v>26.726900000000001</v>
      </c>
      <c r="O599" s="10">
        <f>CHOOSE(CONTROL!$C$42, 26.8106, 26.8106) * CHOOSE(CONTROL!$C$21, $C$9, 100%, $E$9)</f>
        <v>26.810600000000001</v>
      </c>
      <c r="P599" s="10">
        <f>CHOOSE(CONTROL!$C$42, 26.7355, 26.7355) * CHOOSE(CONTROL!$C$21, $C$9, 100%, $E$9)</f>
        <v>26.735499999999998</v>
      </c>
      <c r="Q599" s="10">
        <f>CHOOSE(CONTROL!$C$42, 27.4059, 27.4059) * CHOOSE(CONTROL!$C$21, $C$9, 100%, $E$9)</f>
        <v>27.405899999999999</v>
      </c>
      <c r="R599" s="10">
        <f>CHOOSE(CONTROL!$C$42, 28.0614, 28.0614) * CHOOSE(CONTROL!$C$21, $C$9, 100%, $E$9)</f>
        <v>28.061399999999999</v>
      </c>
      <c r="S599" s="10">
        <f>CHOOSE(CONTROL!$C$42, 26.1997, 26.1997) * CHOOSE(CONTROL!$C$21, $C$9, 100%, $E$9)</f>
        <v>26.1997</v>
      </c>
      <c r="T5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57">
        <f>(1000*CHOOSE(CONTROL!$C$42, 695, 695)*CHOOSE(CONTROL!$C$42, 0.5599, 0.5599)*CHOOSE(CONTROL!$C$42, 30, 30))/1000000</f>
        <v>11.673914999999997</v>
      </c>
      <c r="V599" s="57">
        <f>(1000*CHOOSE(CONTROL!$C$42, 500, 500)*CHOOSE(CONTROL!$C$42, 0.275, 0.275)*CHOOSE(CONTROL!$C$42, 30, 30))/1000000</f>
        <v>4.125</v>
      </c>
      <c r="W599" s="57">
        <f>(1000*CHOOSE(CONTROL!$C$42, 0.1146, 0.1146)*CHOOSE(CONTROL!$C$42, 121.5, 121.5)*CHOOSE(CONTROL!$C$42, 30, 30))/1000000</f>
        <v>0.417717</v>
      </c>
      <c r="X599" s="57">
        <f>(30*0.1790888*100000/1000000)+(30*0.2374*100000/1000000)</f>
        <v>1.2494664</v>
      </c>
      <c r="Y599" s="57"/>
      <c r="Z599" s="10"/>
      <c r="AA599" s="56"/>
      <c r="AB599" s="50">
        <f>(B599*122.58+C599*297.941+D599*89.177+E599*40.302+F599*40+G599*160+H599*0+I599*100+J599*300)/(122.58+297.941+89.177+40.302+0+40+160+100+300)</f>
        <v>26.990880039217387</v>
      </c>
      <c r="AC599" s="45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26.760858992805755</v>
      </c>
    </row>
    <row r="600" spans="1:29" ht="15.75" x14ac:dyDescent="0.25">
      <c r="A600" s="13">
        <v>59171</v>
      </c>
      <c r="B600" s="10">
        <f>CHOOSE(CONTROL!$C$42, 28.8209, 28.8209) * CHOOSE(CONTROL!$C$21, $C$9, 100%, $E$9)</f>
        <v>28.820900000000002</v>
      </c>
      <c r="C600" s="10">
        <f>CHOOSE(CONTROL!$C$42, 28.8259, 28.8259) * CHOOSE(CONTROL!$C$21, $C$9, 100%, $E$9)</f>
        <v>28.825900000000001</v>
      </c>
      <c r="D600" s="10">
        <f>CHOOSE(CONTROL!$C$42, 28.8864, 28.8864) * CHOOSE(CONTROL!$C$21, $C$9, 100%, $E$9)</f>
        <v>28.886399999999998</v>
      </c>
      <c r="E600" s="10">
        <f>CHOOSE(CONTROL!$C$42, 28.9202, 28.9202) * CHOOSE(CONTROL!$C$21, $C$9, 100%, $E$9)</f>
        <v>28.920200000000001</v>
      </c>
      <c r="F600" s="10">
        <f>CHOOSE(CONTROL!$C$42, 28.8184, 28.8184)*CHOOSE(CONTROL!$C$21, $C$9, 100%, $E$9)</f>
        <v>28.8184</v>
      </c>
      <c r="G600" s="10">
        <f>CHOOSE(CONTROL!$C$42, 28.8341, 28.8341)*CHOOSE(CONTROL!$C$21, $C$9, 100%, $E$9)</f>
        <v>28.834099999999999</v>
      </c>
      <c r="H600" s="10">
        <f>CHOOSE(CONTROL!$C$42, 28.9094, 28.9094) * CHOOSE(CONTROL!$C$21, $C$9, 100%, $E$9)</f>
        <v>28.909400000000002</v>
      </c>
      <c r="I600" s="10">
        <f>CHOOSE(CONTROL!$C$42, 28.8335, 28.8335)* CHOOSE(CONTROL!$C$21, $C$9, 100%, $E$9)</f>
        <v>28.833500000000001</v>
      </c>
      <c r="J600" s="10">
        <f>CHOOSE(CONTROL!$C$42, 28.8114, 28.8114)* CHOOSE(CONTROL!$C$21, $C$9, 100%, $E$9)</f>
        <v>28.811399999999999</v>
      </c>
      <c r="K600" s="53">
        <f>CHOOSE(CONTROL!$C$42, 28.8296, 28.8296) * CHOOSE(CONTROL!$C$21, $C$9, 100%, $E$9)</f>
        <v>28.829599999999999</v>
      </c>
      <c r="L600" s="10">
        <f>CHOOSE(CONTROL!$C$42, 29.4964, 29.4964) * CHOOSE(CONTROL!$C$21, $C$9, 100%, $E$9)</f>
        <v>29.496400000000001</v>
      </c>
      <c r="M600" s="10">
        <f>CHOOSE(CONTROL!$C$42, 28.5345, 28.5345) * CHOOSE(CONTROL!$C$21, $C$9, 100%, $E$9)</f>
        <v>28.534500000000001</v>
      </c>
      <c r="N600" s="10">
        <f>CHOOSE(CONTROL!$C$42, 28.55, 28.55) * CHOOSE(CONTROL!$C$21, $C$9, 100%, $E$9)</f>
        <v>28.55</v>
      </c>
      <c r="O600" s="10">
        <f>CHOOSE(CONTROL!$C$42, 28.6315, 28.6315) * CHOOSE(CONTROL!$C$21, $C$9, 100%, $E$9)</f>
        <v>28.631499999999999</v>
      </c>
      <c r="P600" s="10">
        <f>CHOOSE(CONTROL!$C$42, 28.5563, 28.5563) * CHOOSE(CONTROL!$C$21, $C$9, 100%, $E$9)</f>
        <v>28.5563</v>
      </c>
      <c r="Q600" s="10">
        <f>CHOOSE(CONTROL!$C$42, 29.2268, 29.2268) * CHOOSE(CONTROL!$C$21, $C$9, 100%, $E$9)</f>
        <v>29.226800000000001</v>
      </c>
      <c r="R600" s="10">
        <f>CHOOSE(CONTROL!$C$42, 29.8868, 29.8868) * CHOOSE(CONTROL!$C$21, $C$9, 100%, $E$9)</f>
        <v>29.886800000000001</v>
      </c>
      <c r="S600" s="10">
        <f>CHOOSE(CONTROL!$C$42, 27.9859, 27.9859) * CHOOSE(CONTROL!$C$21, $C$9, 100%, $E$9)</f>
        <v>27.985900000000001</v>
      </c>
      <c r="T6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57">
        <f>(1000*CHOOSE(CONTROL!$C$42, 695, 695)*CHOOSE(CONTROL!$C$42, 0.5599, 0.5599)*CHOOSE(CONTROL!$C$42, 31, 31))/1000000</f>
        <v>12.063045499999998</v>
      </c>
      <c r="V600" s="57">
        <f>(1000*CHOOSE(CONTROL!$C$42, 500, 500)*CHOOSE(CONTROL!$C$42, 0.275, 0.275)*CHOOSE(CONTROL!$C$42, 31, 31))/1000000</f>
        <v>4.2625000000000002</v>
      </c>
      <c r="W600" s="57">
        <f>(1000*CHOOSE(CONTROL!$C$42, 0.1146, 0.1146)*CHOOSE(CONTROL!$C$42, 121.5, 121.5)*CHOOSE(CONTROL!$C$42, 31, 31))/1000000</f>
        <v>0.43164089999999994</v>
      </c>
      <c r="X600" s="57">
        <f>(31*0.1790888*100000/1000000)+(31*0.2374*100000/1000000)</f>
        <v>1.2911152800000001</v>
      </c>
      <c r="Y600" s="57"/>
      <c r="Z600" s="10"/>
      <c r="AA600" s="56"/>
      <c r="AB600" s="50">
        <f>(B600*122.58+C600*297.941+D600*89.177+E600*40.302+F600*40+G600*160+H600*0+I600*100+J600*300)/(122.58+297.941+89.177+40.302+0+40+160+100+300)</f>
        <v>28.831121553999996</v>
      </c>
      <c r="AC600" s="45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28.582492805755397</v>
      </c>
    </row>
    <row r="601" spans="1:29" ht="15.75" x14ac:dyDescent="0.25">
      <c r="A601" s="13">
        <v>59202</v>
      </c>
      <c r="B601" s="10">
        <f>CHOOSE(CONTROL!$C$42, 31.1822, 31.1822) * CHOOSE(CONTROL!$C$21, $C$9, 100%, $E$9)</f>
        <v>31.182200000000002</v>
      </c>
      <c r="C601" s="10">
        <f>CHOOSE(CONTROL!$C$42, 31.1872, 31.1872) * CHOOSE(CONTROL!$C$21, $C$9, 100%, $E$9)</f>
        <v>31.187200000000001</v>
      </c>
      <c r="D601" s="10">
        <f>CHOOSE(CONTROL!$C$42, 31.2442, 31.2442) * CHOOSE(CONTROL!$C$21, $C$9, 100%, $E$9)</f>
        <v>31.244199999999999</v>
      </c>
      <c r="E601" s="10">
        <f>CHOOSE(CONTROL!$C$42, 31.278, 31.278) * CHOOSE(CONTROL!$C$21, $C$9, 100%, $E$9)</f>
        <v>31.277999999999999</v>
      </c>
      <c r="F601" s="10">
        <f>CHOOSE(CONTROL!$C$42, 31.18, 31.18)*CHOOSE(CONTROL!$C$21, $C$9, 100%, $E$9)</f>
        <v>31.18</v>
      </c>
      <c r="G601" s="10">
        <f>CHOOSE(CONTROL!$C$42, 31.1946, 31.1946)*CHOOSE(CONTROL!$C$21, $C$9, 100%, $E$9)</f>
        <v>31.194600000000001</v>
      </c>
      <c r="H601" s="10">
        <f>CHOOSE(CONTROL!$C$42, 31.2672, 31.2672) * CHOOSE(CONTROL!$C$21, $C$9, 100%, $E$9)</f>
        <v>31.267199999999999</v>
      </c>
      <c r="I601" s="10">
        <f>CHOOSE(CONTROL!$C$42, 31.193, 31.193)* CHOOSE(CONTROL!$C$21, $C$9, 100%, $E$9)</f>
        <v>31.193000000000001</v>
      </c>
      <c r="J601" s="10">
        <f>CHOOSE(CONTROL!$C$42, 31.173, 31.173)* CHOOSE(CONTROL!$C$21, $C$9, 100%, $E$9)</f>
        <v>31.172999999999998</v>
      </c>
      <c r="K601" s="53">
        <f>CHOOSE(CONTROL!$C$42, 31.1891, 31.1891) * CHOOSE(CONTROL!$C$21, $C$9, 100%, $E$9)</f>
        <v>31.1891</v>
      </c>
      <c r="L601" s="10">
        <f>CHOOSE(CONTROL!$C$42, 31.8542, 31.8542) * CHOOSE(CONTROL!$C$21, $C$9, 100%, $E$9)</f>
        <v>31.854199999999999</v>
      </c>
      <c r="M601" s="10">
        <f>CHOOSE(CONTROL!$C$42, 30.8723, 30.8723) * CHOOSE(CONTROL!$C$21, $C$9, 100%, $E$9)</f>
        <v>30.872299999999999</v>
      </c>
      <c r="N601" s="10">
        <f>CHOOSE(CONTROL!$C$42, 30.8867, 30.8867) * CHOOSE(CONTROL!$C$21, $C$9, 100%, $E$9)</f>
        <v>30.886700000000001</v>
      </c>
      <c r="O601" s="10">
        <f>CHOOSE(CONTROL!$C$42, 30.9655, 30.9655) * CHOOSE(CONTROL!$C$21, $C$9, 100%, $E$9)</f>
        <v>30.965499999999999</v>
      </c>
      <c r="P601" s="10">
        <f>CHOOSE(CONTROL!$C$42, 30.8921, 30.8921) * CHOOSE(CONTROL!$C$21, $C$9, 100%, $E$9)</f>
        <v>30.892099999999999</v>
      </c>
      <c r="Q601" s="10">
        <f>CHOOSE(CONTROL!$C$42, 31.5608, 31.5608) * CHOOSE(CONTROL!$C$21, $C$9, 100%, $E$9)</f>
        <v>31.5608</v>
      </c>
      <c r="R601" s="10">
        <f>CHOOSE(CONTROL!$C$42, 32.2267, 32.2267) * CHOOSE(CONTROL!$C$21, $C$9, 100%, $E$9)</f>
        <v>32.226700000000001</v>
      </c>
      <c r="S601" s="10">
        <f>CHOOSE(CONTROL!$C$42, 30.2789, 30.2789) * CHOOSE(CONTROL!$C$21, $C$9, 100%, $E$9)</f>
        <v>30.2789</v>
      </c>
      <c r="T6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57">
        <f>(1000*CHOOSE(CONTROL!$C$42, 695, 695)*CHOOSE(CONTROL!$C$42, 0.5599, 0.5599)*CHOOSE(CONTROL!$C$42, 31, 31))/1000000</f>
        <v>12.063045499999998</v>
      </c>
      <c r="V601" s="57">
        <f>(1000*CHOOSE(CONTROL!$C$42, 500, 500)*CHOOSE(CONTROL!$C$42, 0.275, 0.275)*CHOOSE(CONTROL!$C$42, 31, 31))/1000000</f>
        <v>4.2625000000000002</v>
      </c>
      <c r="W601" s="57">
        <f>(1000*CHOOSE(CONTROL!$C$42, 0.1146, 0.1146)*CHOOSE(CONTROL!$C$42, 121.5, 121.5)*CHOOSE(CONTROL!$C$42, 31, 31))/1000000</f>
        <v>0.43164089999999994</v>
      </c>
      <c r="X601" s="57">
        <f>(31*0.1790888*100000/1000000)+(31*0.2374*100000/1000000)</f>
        <v>1.2911152800000001</v>
      </c>
      <c r="Y601" s="57"/>
      <c r="Z601" s="10"/>
      <c r="AA601" s="56"/>
      <c r="AB601" s="50">
        <f>(B601*122.58+C601*297.941+D601*89.177+E601*40.302+F601*40+G601*160+H601*0+I601*100+J601*300)/(122.58+297.941+89.177+40.302+0+40+160+100+300)</f>
        <v>31.191848357043479</v>
      </c>
      <c r="AC601" s="45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30.918219424460428</v>
      </c>
    </row>
    <row r="602" spans="1:29" ht="15.75" x14ac:dyDescent="0.25">
      <c r="A602" s="13">
        <v>59230</v>
      </c>
      <c r="B602" s="10">
        <f>CHOOSE(CONTROL!$C$42, 31.7372, 31.7372) * CHOOSE(CONTROL!$C$21, $C$9, 100%, $E$9)</f>
        <v>31.737200000000001</v>
      </c>
      <c r="C602" s="10">
        <f>CHOOSE(CONTROL!$C$42, 31.7422, 31.7422) * CHOOSE(CONTROL!$C$21, $C$9, 100%, $E$9)</f>
        <v>31.7422</v>
      </c>
      <c r="D602" s="10">
        <f>CHOOSE(CONTROL!$C$42, 31.7993, 31.7993) * CHOOSE(CONTROL!$C$21, $C$9, 100%, $E$9)</f>
        <v>31.799299999999999</v>
      </c>
      <c r="E602" s="10">
        <f>CHOOSE(CONTROL!$C$42, 31.833, 31.833) * CHOOSE(CONTROL!$C$21, $C$9, 100%, $E$9)</f>
        <v>31.832999999999998</v>
      </c>
      <c r="F602" s="10">
        <f>CHOOSE(CONTROL!$C$42, 31.7352, 31.7352)*CHOOSE(CONTROL!$C$21, $C$9, 100%, $E$9)</f>
        <v>31.735199999999999</v>
      </c>
      <c r="G602" s="10">
        <f>CHOOSE(CONTROL!$C$42, 31.7498, 31.7498)*CHOOSE(CONTROL!$C$21, $C$9, 100%, $E$9)</f>
        <v>31.7498</v>
      </c>
      <c r="H602" s="10">
        <f>CHOOSE(CONTROL!$C$42, 31.8222, 31.8222) * CHOOSE(CONTROL!$C$21, $C$9, 100%, $E$9)</f>
        <v>31.822199999999999</v>
      </c>
      <c r="I602" s="10">
        <f>CHOOSE(CONTROL!$C$42, 31.748, 31.748)* CHOOSE(CONTROL!$C$21, $C$9, 100%, $E$9)</f>
        <v>31.748000000000001</v>
      </c>
      <c r="J602" s="10">
        <f>CHOOSE(CONTROL!$C$42, 31.7282, 31.7282)* CHOOSE(CONTROL!$C$21, $C$9, 100%, $E$9)</f>
        <v>31.728200000000001</v>
      </c>
      <c r="K602" s="53">
        <f>CHOOSE(CONTROL!$C$42, 31.7441, 31.7441) * CHOOSE(CONTROL!$C$21, $C$9, 100%, $E$9)</f>
        <v>31.7441</v>
      </c>
      <c r="L602" s="10">
        <f>CHOOSE(CONTROL!$C$42, 32.4092, 32.4092) * CHOOSE(CONTROL!$C$21, $C$9, 100%, $E$9)</f>
        <v>32.409199999999998</v>
      </c>
      <c r="M602" s="10">
        <f>CHOOSE(CONTROL!$C$42, 31.4218, 31.4218) * CHOOSE(CONTROL!$C$21, $C$9, 100%, $E$9)</f>
        <v>31.421800000000001</v>
      </c>
      <c r="N602" s="10">
        <f>CHOOSE(CONTROL!$C$42, 31.4363, 31.4363) * CHOOSE(CONTROL!$C$21, $C$9, 100%, $E$9)</f>
        <v>31.436299999999999</v>
      </c>
      <c r="O602" s="10">
        <f>CHOOSE(CONTROL!$C$42, 31.5149, 31.5149) * CHOOSE(CONTROL!$C$21, $C$9, 100%, $E$9)</f>
        <v>31.514900000000001</v>
      </c>
      <c r="P602" s="10">
        <f>CHOOSE(CONTROL!$C$42, 31.4415, 31.4415) * CHOOSE(CONTROL!$C$21, $C$9, 100%, $E$9)</f>
        <v>31.441500000000001</v>
      </c>
      <c r="Q602" s="10">
        <f>CHOOSE(CONTROL!$C$42, 32.1102, 32.1102) * CHOOSE(CONTROL!$C$21, $C$9, 100%, $E$9)</f>
        <v>32.110199999999999</v>
      </c>
      <c r="R602" s="10">
        <f>CHOOSE(CONTROL!$C$42, 32.7775, 32.7775) * CHOOSE(CONTROL!$C$21, $C$9, 100%, $E$9)</f>
        <v>32.777500000000003</v>
      </c>
      <c r="S602" s="10">
        <f>CHOOSE(CONTROL!$C$42, 30.8179, 30.8179) * CHOOSE(CONTROL!$C$21, $C$9, 100%, $E$9)</f>
        <v>30.817900000000002</v>
      </c>
      <c r="T6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57">
        <f>(1000*CHOOSE(CONTROL!$C$42, 695, 695)*CHOOSE(CONTROL!$C$42, 0.5599, 0.5599)*CHOOSE(CONTROL!$C$42, 28, 28))/1000000</f>
        <v>10.895653999999999</v>
      </c>
      <c r="V602" s="57">
        <f>(1000*CHOOSE(CONTROL!$C$42, 500, 500)*CHOOSE(CONTROL!$C$42, 0.275, 0.275)*CHOOSE(CONTROL!$C$42, 28, 28))/1000000</f>
        <v>3.85</v>
      </c>
      <c r="W602" s="57">
        <f>(1000*CHOOSE(CONTROL!$C$42, 0.1146, 0.1146)*CHOOSE(CONTROL!$C$42, 121.5, 121.5)*CHOOSE(CONTROL!$C$42, 28, 28))/1000000</f>
        <v>0.38986920000000003</v>
      </c>
      <c r="X602" s="57">
        <f>(28*0.1790888*100000/1000000)+(28*0.2374*100000/1000000)</f>
        <v>1.16616864</v>
      </c>
      <c r="Y602" s="57"/>
      <c r="Z602" s="10"/>
      <c r="AA602" s="56"/>
      <c r="AB602" s="50">
        <f>(B602*122.58+C602*297.941+D602*89.177+E602*40.302+F602*40+G602*160+H602*0+I602*100+J602*300)/(122.58+297.941+89.177+40.302+0+40+160+100+300)</f>
        <v>31.74694306808696</v>
      </c>
      <c r="AC602" s="45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31.467665467625899</v>
      </c>
    </row>
    <row r="603" spans="1:29" ht="15.75" x14ac:dyDescent="0.25">
      <c r="A603" s="13">
        <v>59261</v>
      </c>
      <c r="B603" s="10">
        <f>CHOOSE(CONTROL!$C$42, 30.8363, 30.8363) * CHOOSE(CONTROL!$C$21, $C$9, 100%, $E$9)</f>
        <v>30.836300000000001</v>
      </c>
      <c r="C603" s="10">
        <f>CHOOSE(CONTROL!$C$42, 30.8412, 30.8412) * CHOOSE(CONTROL!$C$21, $C$9, 100%, $E$9)</f>
        <v>30.841200000000001</v>
      </c>
      <c r="D603" s="10">
        <f>CHOOSE(CONTROL!$C$42, 30.8983, 30.8983) * CHOOSE(CONTROL!$C$21, $C$9, 100%, $E$9)</f>
        <v>30.898299999999999</v>
      </c>
      <c r="E603" s="10">
        <f>CHOOSE(CONTROL!$C$42, 30.9321, 30.9321) * CHOOSE(CONTROL!$C$21, $C$9, 100%, $E$9)</f>
        <v>30.932099999999998</v>
      </c>
      <c r="F603" s="10">
        <f>CHOOSE(CONTROL!$C$42, 30.8341, 30.8341)*CHOOSE(CONTROL!$C$21, $C$9, 100%, $E$9)</f>
        <v>30.834099999999999</v>
      </c>
      <c r="G603" s="10">
        <f>CHOOSE(CONTROL!$C$42, 30.8487, 30.8487)*CHOOSE(CONTROL!$C$21, $C$9, 100%, $E$9)</f>
        <v>30.848700000000001</v>
      </c>
      <c r="H603" s="10">
        <f>CHOOSE(CONTROL!$C$42, 30.9213, 30.9213) * CHOOSE(CONTROL!$C$21, $C$9, 100%, $E$9)</f>
        <v>30.921299999999999</v>
      </c>
      <c r="I603" s="10">
        <f>CHOOSE(CONTROL!$C$42, 30.8471, 30.8471)* CHOOSE(CONTROL!$C$21, $C$9, 100%, $E$9)</f>
        <v>30.847100000000001</v>
      </c>
      <c r="J603" s="10">
        <f>CHOOSE(CONTROL!$C$42, 30.8271, 30.8271)* CHOOSE(CONTROL!$C$21, $C$9, 100%, $E$9)</f>
        <v>30.827100000000002</v>
      </c>
      <c r="K603" s="53">
        <f>CHOOSE(CONTROL!$C$42, 30.8432, 30.8432) * CHOOSE(CONTROL!$C$21, $C$9, 100%, $E$9)</f>
        <v>30.8432</v>
      </c>
      <c r="L603" s="10">
        <f>CHOOSE(CONTROL!$C$42, 31.5083, 31.5083) * CHOOSE(CONTROL!$C$21, $C$9, 100%, $E$9)</f>
        <v>31.508299999999998</v>
      </c>
      <c r="M603" s="10">
        <f>CHOOSE(CONTROL!$C$42, 30.5298, 30.5298) * CHOOSE(CONTROL!$C$21, $C$9, 100%, $E$9)</f>
        <v>30.529800000000002</v>
      </c>
      <c r="N603" s="10">
        <f>CHOOSE(CONTROL!$C$42, 30.5443, 30.5443) * CHOOSE(CONTROL!$C$21, $C$9, 100%, $E$9)</f>
        <v>30.5443</v>
      </c>
      <c r="O603" s="10">
        <f>CHOOSE(CONTROL!$C$42, 30.6231, 30.6231) * CHOOSE(CONTROL!$C$21, $C$9, 100%, $E$9)</f>
        <v>30.623100000000001</v>
      </c>
      <c r="P603" s="10">
        <f>CHOOSE(CONTROL!$C$42, 30.5496, 30.5496) * CHOOSE(CONTROL!$C$21, $C$9, 100%, $E$9)</f>
        <v>30.549600000000002</v>
      </c>
      <c r="Q603" s="10">
        <f>CHOOSE(CONTROL!$C$42, 31.2184, 31.2184) * CHOOSE(CONTROL!$C$21, $C$9, 100%, $E$9)</f>
        <v>31.218399999999999</v>
      </c>
      <c r="R603" s="10">
        <f>CHOOSE(CONTROL!$C$42, 31.8834, 31.8834) * CHOOSE(CONTROL!$C$21, $C$9, 100%, $E$9)</f>
        <v>31.883400000000002</v>
      </c>
      <c r="S603" s="10">
        <f>CHOOSE(CONTROL!$C$42, 29.943, 29.943) * CHOOSE(CONTROL!$C$21, $C$9, 100%, $E$9)</f>
        <v>29.943000000000001</v>
      </c>
      <c r="T6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57">
        <f>(1000*CHOOSE(CONTROL!$C$42, 695, 695)*CHOOSE(CONTROL!$C$42, 0.5599, 0.5599)*CHOOSE(CONTROL!$C$42, 31, 31))/1000000</f>
        <v>12.063045499999998</v>
      </c>
      <c r="V603" s="57">
        <f>(1000*CHOOSE(CONTROL!$C$42, 500, 500)*CHOOSE(CONTROL!$C$42, 0.275, 0.275)*CHOOSE(CONTROL!$C$42, 31, 31))/1000000</f>
        <v>4.2625000000000002</v>
      </c>
      <c r="W603" s="57">
        <f>(1000*CHOOSE(CONTROL!$C$42, 0.1146, 0.1146)*CHOOSE(CONTROL!$C$42, 121.5, 121.5)*CHOOSE(CONTROL!$C$42, 31, 31))/1000000</f>
        <v>0.43164089999999994</v>
      </c>
      <c r="X603" s="57">
        <f>(31*0.1790888*100000/1000000)+(31*0.2374*100000/1000000)</f>
        <v>1.2911152800000001</v>
      </c>
      <c r="Y603" s="57"/>
      <c r="Z603" s="10"/>
      <c r="AA603" s="56"/>
      <c r="AB603" s="50">
        <f>(B603*122.58+C603*297.941+D603*89.177+E603*40.302+F603*40+G603*160+H603*0+I603*100+J603*300)/(122.58+297.941+89.177+40.302+0+40+160+100+300)</f>
        <v>30.845922449130438</v>
      </c>
      <c r="AC603" s="45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30.57577050359712</v>
      </c>
    </row>
    <row r="604" spans="1:29" ht="15.75" x14ac:dyDescent="0.25">
      <c r="A604" s="13">
        <v>59291</v>
      </c>
      <c r="B604" s="10">
        <f>CHOOSE(CONTROL!$C$42, 30.7451, 30.7451) * CHOOSE(CONTROL!$C$21, $C$9, 100%, $E$9)</f>
        <v>30.745100000000001</v>
      </c>
      <c r="C604" s="10">
        <f>CHOOSE(CONTROL!$C$42, 30.7495, 30.7495) * CHOOSE(CONTROL!$C$21, $C$9, 100%, $E$9)</f>
        <v>30.749500000000001</v>
      </c>
      <c r="D604" s="10">
        <f>CHOOSE(CONTROL!$C$42, 30.9554, 30.9554) * CHOOSE(CONTROL!$C$21, $C$9, 100%, $E$9)</f>
        <v>30.955400000000001</v>
      </c>
      <c r="E604" s="10">
        <f>CHOOSE(CONTROL!$C$42, 30.9872, 30.9872) * CHOOSE(CONTROL!$C$21, $C$9, 100%, $E$9)</f>
        <v>30.987200000000001</v>
      </c>
      <c r="F604" s="10">
        <f>CHOOSE(CONTROL!$C$42, 30.7219, 30.7219)*CHOOSE(CONTROL!$C$21, $C$9, 100%, $E$9)</f>
        <v>30.721900000000002</v>
      </c>
      <c r="G604" s="10">
        <f>CHOOSE(CONTROL!$C$42, 30.7364, 30.7364)*CHOOSE(CONTROL!$C$21, $C$9, 100%, $E$9)</f>
        <v>30.7364</v>
      </c>
      <c r="H604" s="10">
        <f>CHOOSE(CONTROL!$C$42, 30.9769, 30.9769) * CHOOSE(CONTROL!$C$21, $C$9, 100%, $E$9)</f>
        <v>30.976900000000001</v>
      </c>
      <c r="I604" s="10">
        <f>CHOOSE(CONTROL!$C$42, 30.7466, 30.7466)* CHOOSE(CONTROL!$C$21, $C$9, 100%, $E$9)</f>
        <v>30.746600000000001</v>
      </c>
      <c r="J604" s="10">
        <f>CHOOSE(CONTROL!$C$42, 30.7149, 30.7149)* CHOOSE(CONTROL!$C$21, $C$9, 100%, $E$9)</f>
        <v>30.7149</v>
      </c>
      <c r="K604" s="53">
        <f>CHOOSE(CONTROL!$C$42, 30.7427, 30.7427) * CHOOSE(CONTROL!$C$21, $C$9, 100%, $E$9)</f>
        <v>30.742699999999999</v>
      </c>
      <c r="L604" s="10">
        <f>CHOOSE(CONTROL!$C$42, 31.5639, 31.5639) * CHOOSE(CONTROL!$C$21, $C$9, 100%, $E$9)</f>
        <v>31.5639</v>
      </c>
      <c r="M604" s="10">
        <f>CHOOSE(CONTROL!$C$42, 30.4188, 30.4188) * CHOOSE(CONTROL!$C$21, $C$9, 100%, $E$9)</f>
        <v>30.418800000000001</v>
      </c>
      <c r="N604" s="10">
        <f>CHOOSE(CONTROL!$C$42, 30.4331, 30.4331) * CHOOSE(CONTROL!$C$21, $C$9, 100%, $E$9)</f>
        <v>30.4331</v>
      </c>
      <c r="O604" s="10">
        <f>CHOOSE(CONTROL!$C$42, 30.6782, 30.6782) * CHOOSE(CONTROL!$C$21, $C$9, 100%, $E$9)</f>
        <v>30.6782</v>
      </c>
      <c r="P604" s="10">
        <f>CHOOSE(CONTROL!$C$42, 30.4501, 30.4501) * CHOOSE(CONTROL!$C$21, $C$9, 100%, $E$9)</f>
        <v>30.450099999999999</v>
      </c>
      <c r="Q604" s="10">
        <f>CHOOSE(CONTROL!$C$42, 31.2735, 31.2735) * CHOOSE(CONTROL!$C$21, $C$9, 100%, $E$9)</f>
        <v>31.273499999999999</v>
      </c>
      <c r="R604" s="10">
        <f>CHOOSE(CONTROL!$C$42, 31.9386, 31.9386) * CHOOSE(CONTROL!$C$21, $C$9, 100%, $E$9)</f>
        <v>31.938600000000001</v>
      </c>
      <c r="S604" s="10">
        <f>CHOOSE(CONTROL!$C$42, 29.8537, 29.8537) * CHOOSE(CONTROL!$C$21, $C$9, 100%, $E$9)</f>
        <v>29.8537</v>
      </c>
      <c r="T6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57">
        <f>(1000*CHOOSE(CONTROL!$C$42, 695, 695)*CHOOSE(CONTROL!$C$42, 0.5599, 0.5599)*CHOOSE(CONTROL!$C$42, 30, 30))/1000000</f>
        <v>11.673914999999997</v>
      </c>
      <c r="V604" s="57">
        <f>(1000*CHOOSE(CONTROL!$C$42, 500, 500)*CHOOSE(CONTROL!$C$42, 0.275, 0.275)*CHOOSE(CONTROL!$C$42, 30, 30))/1000000</f>
        <v>4.125</v>
      </c>
      <c r="W604" s="57">
        <f>(1000*CHOOSE(CONTROL!$C$42, 0.1146, 0.1146)*CHOOSE(CONTROL!$C$42, 121.5, 121.5)*CHOOSE(CONTROL!$C$42, 30, 30))/1000000</f>
        <v>0.417717</v>
      </c>
      <c r="X604" s="57">
        <f>(30*0.1790888*245000/1000000)+(30*0.2374*100000/1000000)</f>
        <v>2.0285026799999999</v>
      </c>
      <c r="Y604" s="57"/>
      <c r="Z604" s="10"/>
      <c r="AA604" s="56"/>
      <c r="AB604" s="50">
        <f>(B604*141.293+C604*267.993+D604*115.016+E604*89.698+F604*40+G604*185+H604*0+I604*100+J604*300)/(141.293+267.993+115.016+89.698+0+40+185+100+300)</f>
        <v>30.773861436481035</v>
      </c>
      <c r="AC604" s="45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30.541696402877697</v>
      </c>
    </row>
    <row r="605" spans="1:29" ht="15.75" x14ac:dyDescent="0.25">
      <c r="A605" s="13">
        <v>59322</v>
      </c>
      <c r="B605" s="10">
        <f>CHOOSE(CONTROL!$C$42, 31.0179, 31.0179) * CHOOSE(CONTROL!$C$21, $C$9, 100%, $E$9)</f>
        <v>31.017900000000001</v>
      </c>
      <c r="C605" s="10">
        <f>CHOOSE(CONTROL!$C$42, 31.0258, 31.0258) * CHOOSE(CONTROL!$C$21, $C$9, 100%, $E$9)</f>
        <v>31.0258</v>
      </c>
      <c r="D605" s="10">
        <f>CHOOSE(CONTROL!$C$42, 31.2285, 31.2285) * CHOOSE(CONTROL!$C$21, $C$9, 100%, $E$9)</f>
        <v>31.2285</v>
      </c>
      <c r="E605" s="10">
        <f>CHOOSE(CONTROL!$C$42, 31.2596, 31.2596) * CHOOSE(CONTROL!$C$21, $C$9, 100%, $E$9)</f>
        <v>31.259599999999999</v>
      </c>
      <c r="F605" s="10">
        <f>CHOOSE(CONTROL!$C$42, 30.9936, 30.9936)*CHOOSE(CONTROL!$C$21, $C$9, 100%, $E$9)</f>
        <v>30.993600000000001</v>
      </c>
      <c r="G605" s="10">
        <f>CHOOSE(CONTROL!$C$42, 31.0086, 31.0086)*CHOOSE(CONTROL!$C$21, $C$9, 100%, $E$9)</f>
        <v>31.008600000000001</v>
      </c>
      <c r="H605" s="10">
        <f>CHOOSE(CONTROL!$C$42, 31.2483, 31.2483) * CHOOSE(CONTROL!$C$21, $C$9, 100%, $E$9)</f>
        <v>31.2483</v>
      </c>
      <c r="I605" s="10">
        <f>CHOOSE(CONTROL!$C$42, 31.0179, 31.0179)* CHOOSE(CONTROL!$C$21, $C$9, 100%, $E$9)</f>
        <v>31.017900000000001</v>
      </c>
      <c r="J605" s="10">
        <f>CHOOSE(CONTROL!$C$42, 30.9866, 30.9866)* CHOOSE(CONTROL!$C$21, $C$9, 100%, $E$9)</f>
        <v>30.986599999999999</v>
      </c>
      <c r="K605" s="53">
        <f>CHOOSE(CONTROL!$C$42, 31.014, 31.014) * CHOOSE(CONTROL!$C$21, $C$9, 100%, $E$9)</f>
        <v>31.013999999999999</v>
      </c>
      <c r="L605" s="10">
        <f>CHOOSE(CONTROL!$C$42, 31.8353, 31.8353) * CHOOSE(CONTROL!$C$21, $C$9, 100%, $E$9)</f>
        <v>31.8353</v>
      </c>
      <c r="M605" s="10">
        <f>CHOOSE(CONTROL!$C$42, 30.6877, 30.6877) * CHOOSE(CONTROL!$C$21, $C$9, 100%, $E$9)</f>
        <v>30.6877</v>
      </c>
      <c r="N605" s="10">
        <f>CHOOSE(CONTROL!$C$42, 30.7025, 30.7025) * CHOOSE(CONTROL!$C$21, $C$9, 100%, $E$9)</f>
        <v>30.702500000000001</v>
      </c>
      <c r="O605" s="10">
        <f>CHOOSE(CONTROL!$C$42, 30.9467, 30.9467) * CHOOSE(CONTROL!$C$21, $C$9, 100%, $E$9)</f>
        <v>30.9467</v>
      </c>
      <c r="P605" s="10">
        <f>CHOOSE(CONTROL!$C$42, 30.7187, 30.7187) * CHOOSE(CONTROL!$C$21, $C$9, 100%, $E$9)</f>
        <v>30.718699999999998</v>
      </c>
      <c r="Q605" s="10">
        <f>CHOOSE(CONTROL!$C$42, 31.542, 31.542) * CHOOSE(CONTROL!$C$21, $C$9, 100%, $E$9)</f>
        <v>31.542000000000002</v>
      </c>
      <c r="R605" s="10">
        <f>CHOOSE(CONTROL!$C$42, 32.2079, 32.2079) * CHOOSE(CONTROL!$C$21, $C$9, 100%, $E$9)</f>
        <v>32.207900000000002</v>
      </c>
      <c r="S605" s="10">
        <f>CHOOSE(CONTROL!$C$42, 30.1172, 30.1172) * CHOOSE(CONTROL!$C$21, $C$9, 100%, $E$9)</f>
        <v>30.1172</v>
      </c>
      <c r="T6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57">
        <f>(1000*CHOOSE(CONTROL!$C$42, 695, 695)*CHOOSE(CONTROL!$C$42, 0.5599, 0.5599)*CHOOSE(CONTROL!$C$42, 31, 31))/1000000</f>
        <v>12.063045499999998</v>
      </c>
      <c r="V605" s="57">
        <f>(1000*CHOOSE(CONTROL!$C$42, 500, 500)*CHOOSE(CONTROL!$C$42, 0.275, 0.275)*CHOOSE(CONTROL!$C$42, 31, 31))/1000000</f>
        <v>4.2625000000000002</v>
      </c>
      <c r="W605" s="57">
        <f>(1000*CHOOSE(CONTROL!$C$42, 0.1146, 0.1146)*CHOOSE(CONTROL!$C$42, 121.5, 121.5)*CHOOSE(CONTROL!$C$42, 31, 31))/1000000</f>
        <v>0.43164089999999994</v>
      </c>
      <c r="X605" s="57">
        <f>(31*0.1790888*245000/1000000)+(31*0.2374*100000/1000000)</f>
        <v>2.0961194359999999</v>
      </c>
      <c r="Y605" s="57"/>
      <c r="Z605" s="10"/>
      <c r="AA605" s="56"/>
      <c r="AB605" s="50">
        <f>(B605*194.205+C605*267.466+D605*133.845+E605*53.484+F605*40+G605*185+H605*0+I605*100+J605*300)/(194.205+267.466+133.845+53.484+0+40+185+100+300)</f>
        <v>31.042346876923077</v>
      </c>
      <c r="AC605" s="45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30.810400719424457</v>
      </c>
    </row>
    <row r="606" spans="1:29" ht="15.75" x14ac:dyDescent="0.25">
      <c r="A606" s="13">
        <v>59352</v>
      </c>
      <c r="B606" s="10">
        <f>CHOOSE(CONTROL!$C$42, 31.8976, 31.8976) * CHOOSE(CONTROL!$C$21, $C$9, 100%, $E$9)</f>
        <v>31.897600000000001</v>
      </c>
      <c r="C606" s="10">
        <f>CHOOSE(CONTROL!$C$42, 31.9055, 31.9055) * CHOOSE(CONTROL!$C$21, $C$9, 100%, $E$9)</f>
        <v>31.9055</v>
      </c>
      <c r="D606" s="10">
        <f>CHOOSE(CONTROL!$C$42, 32.1082, 32.1082) * CHOOSE(CONTROL!$C$21, $C$9, 100%, $E$9)</f>
        <v>32.108199999999997</v>
      </c>
      <c r="E606" s="10">
        <f>CHOOSE(CONTROL!$C$42, 32.1393, 32.1393) * CHOOSE(CONTROL!$C$21, $C$9, 100%, $E$9)</f>
        <v>32.139299999999999</v>
      </c>
      <c r="F606" s="10">
        <f>CHOOSE(CONTROL!$C$42, 31.8738, 31.8738)*CHOOSE(CONTROL!$C$21, $C$9, 100%, $E$9)</f>
        <v>31.873799999999999</v>
      </c>
      <c r="G606" s="10">
        <f>CHOOSE(CONTROL!$C$42, 31.8889, 31.8889)*CHOOSE(CONTROL!$C$21, $C$9, 100%, $E$9)</f>
        <v>31.8889</v>
      </c>
      <c r="H606" s="10">
        <f>CHOOSE(CONTROL!$C$42, 32.128, 32.128) * CHOOSE(CONTROL!$C$21, $C$9, 100%, $E$9)</f>
        <v>32.128</v>
      </c>
      <c r="I606" s="10">
        <f>CHOOSE(CONTROL!$C$42, 31.8976, 31.8976)* CHOOSE(CONTROL!$C$21, $C$9, 100%, $E$9)</f>
        <v>31.897600000000001</v>
      </c>
      <c r="J606" s="10">
        <f>CHOOSE(CONTROL!$C$42, 31.8668, 31.8668)* CHOOSE(CONTROL!$C$21, $C$9, 100%, $E$9)</f>
        <v>31.866800000000001</v>
      </c>
      <c r="K606" s="53">
        <f>CHOOSE(CONTROL!$C$42, 31.8937, 31.8937) * CHOOSE(CONTROL!$C$21, $C$9, 100%, $E$9)</f>
        <v>31.893699999999999</v>
      </c>
      <c r="L606" s="10">
        <f>CHOOSE(CONTROL!$C$42, 32.715, 32.715) * CHOOSE(CONTROL!$C$21, $C$9, 100%, $E$9)</f>
        <v>32.715000000000003</v>
      </c>
      <c r="M606" s="10">
        <f>CHOOSE(CONTROL!$C$42, 31.559, 31.559) * CHOOSE(CONTROL!$C$21, $C$9, 100%, $E$9)</f>
        <v>31.559000000000001</v>
      </c>
      <c r="N606" s="10">
        <f>CHOOSE(CONTROL!$C$42, 31.574, 31.574) * CHOOSE(CONTROL!$C$21, $C$9, 100%, $E$9)</f>
        <v>31.574000000000002</v>
      </c>
      <c r="O606" s="10">
        <f>CHOOSE(CONTROL!$C$42, 31.8176, 31.8176) * CHOOSE(CONTROL!$C$21, $C$9, 100%, $E$9)</f>
        <v>31.817599999999999</v>
      </c>
      <c r="P606" s="10">
        <f>CHOOSE(CONTROL!$C$42, 31.5896, 31.5896) * CHOOSE(CONTROL!$C$21, $C$9, 100%, $E$9)</f>
        <v>31.589600000000001</v>
      </c>
      <c r="Q606" s="10">
        <f>CHOOSE(CONTROL!$C$42, 32.4129, 32.4129) * CHOOSE(CONTROL!$C$21, $C$9, 100%, $E$9)</f>
        <v>32.4129</v>
      </c>
      <c r="R606" s="10">
        <f>CHOOSE(CONTROL!$C$42, 33.0809, 33.0809) * CHOOSE(CONTROL!$C$21, $C$9, 100%, $E$9)</f>
        <v>33.0809</v>
      </c>
      <c r="S606" s="10">
        <f>CHOOSE(CONTROL!$C$42, 30.9715, 30.9715) * CHOOSE(CONTROL!$C$21, $C$9, 100%, $E$9)</f>
        <v>30.971499999999999</v>
      </c>
      <c r="T6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57">
        <f>(1000*CHOOSE(CONTROL!$C$42, 695, 695)*CHOOSE(CONTROL!$C$42, 0.5599, 0.5599)*CHOOSE(CONTROL!$C$42, 30, 30))/1000000</f>
        <v>11.673914999999997</v>
      </c>
      <c r="V606" s="57">
        <f>(1000*CHOOSE(CONTROL!$C$42, 500, 500)*CHOOSE(CONTROL!$C$42, 0.275, 0.275)*CHOOSE(CONTROL!$C$42, 30, 30))/1000000</f>
        <v>4.125</v>
      </c>
      <c r="W606" s="57">
        <f>(1000*CHOOSE(CONTROL!$C$42, 0.1146, 0.1146)*CHOOSE(CONTROL!$C$42, 121.5, 121.5)*CHOOSE(CONTROL!$C$42, 30, 30))/1000000</f>
        <v>0.417717</v>
      </c>
      <c r="X606" s="57">
        <f>(30*0.1790888*245000/1000000)+(30*0.2374*100000/1000000)</f>
        <v>2.0285026799999999</v>
      </c>
      <c r="Y606" s="57"/>
      <c r="Z606" s="10"/>
      <c r="AA606" s="56"/>
      <c r="AB606" s="50">
        <f>(B606*194.205+C606*267.466+D606*133.845+E606*53.484+F606*40+G606*185+H606*0+I606*100+J606*300)/(194.205+267.466+133.845+53.484+0+40+185+100+300)</f>
        <v>31.922267442072219</v>
      </c>
      <c r="AC606" s="45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31.681473381294957</v>
      </c>
    </row>
    <row r="607" spans="1:29" ht="15.75" x14ac:dyDescent="0.25">
      <c r="A607" s="13">
        <v>59383</v>
      </c>
      <c r="B607" s="10">
        <f>CHOOSE(CONTROL!$C$42, 31.2857, 31.2857) * CHOOSE(CONTROL!$C$21, $C$9, 100%, $E$9)</f>
        <v>31.285699999999999</v>
      </c>
      <c r="C607" s="10">
        <f>CHOOSE(CONTROL!$C$42, 31.2936, 31.2936) * CHOOSE(CONTROL!$C$21, $C$9, 100%, $E$9)</f>
        <v>31.293600000000001</v>
      </c>
      <c r="D607" s="10">
        <f>CHOOSE(CONTROL!$C$42, 31.4964, 31.4964) * CHOOSE(CONTROL!$C$21, $C$9, 100%, $E$9)</f>
        <v>31.496400000000001</v>
      </c>
      <c r="E607" s="10">
        <f>CHOOSE(CONTROL!$C$42, 31.5275, 31.5275) * CHOOSE(CONTROL!$C$21, $C$9, 100%, $E$9)</f>
        <v>31.5275</v>
      </c>
      <c r="F607" s="10">
        <f>CHOOSE(CONTROL!$C$42, 31.2625, 31.2625)*CHOOSE(CONTROL!$C$21, $C$9, 100%, $E$9)</f>
        <v>31.262499999999999</v>
      </c>
      <c r="G607" s="10">
        <f>CHOOSE(CONTROL!$C$42, 31.2777, 31.2777)*CHOOSE(CONTROL!$C$21, $C$9, 100%, $E$9)</f>
        <v>31.277699999999999</v>
      </c>
      <c r="H607" s="10">
        <f>CHOOSE(CONTROL!$C$42, 31.5161, 31.5161) * CHOOSE(CONTROL!$C$21, $C$9, 100%, $E$9)</f>
        <v>31.516100000000002</v>
      </c>
      <c r="I607" s="10">
        <f>CHOOSE(CONTROL!$C$42, 31.2858, 31.2858)* CHOOSE(CONTROL!$C$21, $C$9, 100%, $E$9)</f>
        <v>31.285799999999998</v>
      </c>
      <c r="J607" s="10">
        <f>CHOOSE(CONTROL!$C$42, 31.2555, 31.2555)* CHOOSE(CONTROL!$C$21, $C$9, 100%, $E$9)</f>
        <v>31.255500000000001</v>
      </c>
      <c r="K607" s="53">
        <f>CHOOSE(CONTROL!$C$42, 31.2819, 31.2819) * CHOOSE(CONTROL!$C$21, $C$9, 100%, $E$9)</f>
        <v>31.2819</v>
      </c>
      <c r="L607" s="10">
        <f>CHOOSE(CONTROL!$C$42, 32.1031, 32.1031) * CHOOSE(CONTROL!$C$21, $C$9, 100%, $E$9)</f>
        <v>32.103099999999998</v>
      </c>
      <c r="M607" s="10">
        <f>CHOOSE(CONTROL!$C$42, 30.9539, 30.9539) * CHOOSE(CONTROL!$C$21, $C$9, 100%, $E$9)</f>
        <v>30.953900000000001</v>
      </c>
      <c r="N607" s="10">
        <f>CHOOSE(CONTROL!$C$42, 30.969, 30.969) * CHOOSE(CONTROL!$C$21, $C$9, 100%, $E$9)</f>
        <v>30.969000000000001</v>
      </c>
      <c r="O607" s="10">
        <f>CHOOSE(CONTROL!$C$42, 31.2119, 31.2119) * CHOOSE(CONTROL!$C$21, $C$9, 100%, $E$9)</f>
        <v>31.2119</v>
      </c>
      <c r="P607" s="10">
        <f>CHOOSE(CONTROL!$C$42, 30.9839, 30.9839) * CHOOSE(CONTROL!$C$21, $C$9, 100%, $E$9)</f>
        <v>30.983899999999998</v>
      </c>
      <c r="Q607" s="10">
        <f>CHOOSE(CONTROL!$C$42, 31.8072, 31.8072) * CHOOSE(CONTROL!$C$21, $C$9, 100%, $E$9)</f>
        <v>31.807200000000002</v>
      </c>
      <c r="R607" s="10">
        <f>CHOOSE(CONTROL!$C$42, 32.4737, 32.4737) * CHOOSE(CONTROL!$C$21, $C$9, 100%, $E$9)</f>
        <v>32.473700000000001</v>
      </c>
      <c r="S607" s="10">
        <f>CHOOSE(CONTROL!$C$42, 30.3773, 30.3773) * CHOOSE(CONTROL!$C$21, $C$9, 100%, $E$9)</f>
        <v>30.377300000000002</v>
      </c>
      <c r="T6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57">
        <f>(1000*CHOOSE(CONTROL!$C$42, 695, 695)*CHOOSE(CONTROL!$C$42, 0.5599, 0.5599)*CHOOSE(CONTROL!$C$42, 31, 31))/1000000</f>
        <v>12.063045499999998</v>
      </c>
      <c r="V607" s="57">
        <f>(1000*CHOOSE(CONTROL!$C$42, 500, 500)*CHOOSE(CONTROL!$C$42, 0.275, 0.275)*CHOOSE(CONTROL!$C$42, 31, 31))/1000000</f>
        <v>4.2625000000000002</v>
      </c>
      <c r="W607" s="57">
        <f>(1000*CHOOSE(CONTROL!$C$42, 0.1146, 0.1146)*CHOOSE(CONTROL!$C$42, 121.5, 121.5)*CHOOSE(CONTROL!$C$42, 31, 31))/1000000</f>
        <v>0.43164089999999994</v>
      </c>
      <c r="X607" s="57">
        <f>(31*0.1790888*245000/1000000)+(31*0.2374*100000/1000000)</f>
        <v>2.0961194359999999</v>
      </c>
      <c r="Y607" s="57"/>
      <c r="Z607" s="10"/>
      <c r="AA607" s="56"/>
      <c r="AB607" s="50">
        <f>(B607*194.205+C607*267.466+D607*133.845+E607*53.484+F607*40+G607*185+H607*0+I607*100+J607*300)/(194.205+267.466+133.845+53.484+0+40+185+100+300)</f>
        <v>31.310651769309267</v>
      </c>
      <c r="AC607" s="45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31.076020863309349</v>
      </c>
    </row>
    <row r="608" spans="1:29" ht="15.75" x14ac:dyDescent="0.25">
      <c r="A608" s="13">
        <v>59414</v>
      </c>
      <c r="B608" s="10">
        <f>CHOOSE(CONTROL!$C$42, 29.7406, 29.7406) * CHOOSE(CONTROL!$C$21, $C$9, 100%, $E$9)</f>
        <v>29.740600000000001</v>
      </c>
      <c r="C608" s="10">
        <f>CHOOSE(CONTROL!$C$42, 29.7485, 29.7485) * CHOOSE(CONTROL!$C$21, $C$9, 100%, $E$9)</f>
        <v>29.7485</v>
      </c>
      <c r="D608" s="10">
        <f>CHOOSE(CONTROL!$C$42, 29.9513, 29.9513) * CHOOSE(CONTROL!$C$21, $C$9, 100%, $E$9)</f>
        <v>29.9513</v>
      </c>
      <c r="E608" s="10">
        <f>CHOOSE(CONTROL!$C$42, 29.9824, 29.9824) * CHOOSE(CONTROL!$C$21, $C$9, 100%, $E$9)</f>
        <v>29.982399999999998</v>
      </c>
      <c r="F608" s="10">
        <f>CHOOSE(CONTROL!$C$42, 29.7176, 29.7176)*CHOOSE(CONTROL!$C$21, $C$9, 100%, $E$9)</f>
        <v>29.717600000000001</v>
      </c>
      <c r="G608" s="10">
        <f>CHOOSE(CONTROL!$C$42, 29.7329, 29.7329)*CHOOSE(CONTROL!$C$21, $C$9, 100%, $E$9)</f>
        <v>29.732900000000001</v>
      </c>
      <c r="H608" s="10">
        <f>CHOOSE(CONTROL!$C$42, 29.971, 29.971) * CHOOSE(CONTROL!$C$21, $C$9, 100%, $E$9)</f>
        <v>29.971</v>
      </c>
      <c r="I608" s="10">
        <f>CHOOSE(CONTROL!$C$42, 29.7407, 29.7407)* CHOOSE(CONTROL!$C$21, $C$9, 100%, $E$9)</f>
        <v>29.7407</v>
      </c>
      <c r="J608" s="10">
        <f>CHOOSE(CONTROL!$C$42, 29.7106, 29.7106)* CHOOSE(CONTROL!$C$21, $C$9, 100%, $E$9)</f>
        <v>29.710599999999999</v>
      </c>
      <c r="K608" s="53">
        <f>CHOOSE(CONTROL!$C$42, 29.7368, 29.7368) * CHOOSE(CONTROL!$C$21, $C$9, 100%, $E$9)</f>
        <v>29.736799999999999</v>
      </c>
      <c r="L608" s="10">
        <f>CHOOSE(CONTROL!$C$42, 30.558, 30.558) * CHOOSE(CONTROL!$C$21, $C$9, 100%, $E$9)</f>
        <v>30.558</v>
      </c>
      <c r="M608" s="10">
        <f>CHOOSE(CONTROL!$C$42, 29.4246, 29.4246) * CHOOSE(CONTROL!$C$21, $C$9, 100%, $E$9)</f>
        <v>29.424600000000002</v>
      </c>
      <c r="N608" s="10">
        <f>CHOOSE(CONTROL!$C$42, 29.4397, 29.4397) * CHOOSE(CONTROL!$C$21, $C$9, 100%, $E$9)</f>
        <v>29.439699999999998</v>
      </c>
      <c r="O608" s="10">
        <f>CHOOSE(CONTROL!$C$42, 29.6824, 29.6824) * CHOOSE(CONTROL!$C$21, $C$9, 100%, $E$9)</f>
        <v>29.682400000000001</v>
      </c>
      <c r="P608" s="10">
        <f>CHOOSE(CONTROL!$C$42, 29.4544, 29.4544) * CHOOSE(CONTROL!$C$21, $C$9, 100%, $E$9)</f>
        <v>29.4544</v>
      </c>
      <c r="Q608" s="10">
        <f>CHOOSE(CONTROL!$C$42, 30.2777, 30.2777) * CHOOSE(CONTROL!$C$21, $C$9, 100%, $E$9)</f>
        <v>30.277699999999999</v>
      </c>
      <c r="R608" s="10">
        <f>CHOOSE(CONTROL!$C$42, 30.9404, 30.9404) * CHOOSE(CONTROL!$C$21, $C$9, 100%, $E$9)</f>
        <v>30.9404</v>
      </c>
      <c r="S608" s="10">
        <f>CHOOSE(CONTROL!$C$42, 28.8769, 28.8769) * CHOOSE(CONTROL!$C$21, $C$9, 100%, $E$9)</f>
        <v>28.876899999999999</v>
      </c>
      <c r="T6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57">
        <f>(1000*CHOOSE(CONTROL!$C$42, 695, 695)*CHOOSE(CONTROL!$C$42, 0.5599, 0.5599)*CHOOSE(CONTROL!$C$42, 31, 31))/1000000</f>
        <v>12.063045499999998</v>
      </c>
      <c r="V608" s="57">
        <f>(1000*CHOOSE(CONTROL!$C$42, 500, 500)*CHOOSE(CONTROL!$C$42, 0.275, 0.275)*CHOOSE(CONTROL!$C$42, 31, 31))/1000000</f>
        <v>4.2625000000000002</v>
      </c>
      <c r="W608" s="57">
        <f>(1000*CHOOSE(CONTROL!$C$42, 0.1146, 0.1146)*CHOOSE(CONTROL!$C$42, 121.5, 121.5)*CHOOSE(CONTROL!$C$42, 31, 31))/1000000</f>
        <v>0.43164089999999994</v>
      </c>
      <c r="X608" s="57">
        <f>(31*0.1790888*245000/1000000)+(31*0.2374*100000/1000000)</f>
        <v>2.0961194359999999</v>
      </c>
      <c r="Y608" s="57"/>
      <c r="Z608" s="10"/>
      <c r="AA608" s="56"/>
      <c r="AB608" s="50">
        <f>(B608*194.205+C608*267.466+D608*133.845+E608*53.484+F608*40+G608*185+H608*0+I608*100+J608*300)/(194.205+267.466+133.845+53.484+0+40+185+100+300)</f>
        <v>29.765648708084775</v>
      </c>
      <c r="AC608" s="45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29.546601438848921</v>
      </c>
    </row>
    <row r="609" spans="1:29" ht="15.75" x14ac:dyDescent="0.25">
      <c r="A609" s="13">
        <v>59444</v>
      </c>
      <c r="B609" s="10">
        <f>CHOOSE(CONTROL!$C$42, 27.8524, 27.8524) * CHOOSE(CONTROL!$C$21, $C$9, 100%, $E$9)</f>
        <v>27.852399999999999</v>
      </c>
      <c r="C609" s="10">
        <f>CHOOSE(CONTROL!$C$42, 27.8603, 27.8603) * CHOOSE(CONTROL!$C$21, $C$9, 100%, $E$9)</f>
        <v>27.860299999999999</v>
      </c>
      <c r="D609" s="10">
        <f>CHOOSE(CONTROL!$C$42, 28.0631, 28.0631) * CHOOSE(CONTROL!$C$21, $C$9, 100%, $E$9)</f>
        <v>28.063099999999999</v>
      </c>
      <c r="E609" s="10">
        <f>CHOOSE(CONTROL!$C$42, 28.0942, 28.0942) * CHOOSE(CONTROL!$C$21, $C$9, 100%, $E$9)</f>
        <v>28.094200000000001</v>
      </c>
      <c r="F609" s="10">
        <f>CHOOSE(CONTROL!$C$42, 27.8292, 27.8292)*CHOOSE(CONTROL!$C$21, $C$9, 100%, $E$9)</f>
        <v>27.8292</v>
      </c>
      <c r="G609" s="10">
        <f>CHOOSE(CONTROL!$C$42, 27.8445, 27.8445)*CHOOSE(CONTROL!$C$21, $C$9, 100%, $E$9)</f>
        <v>27.8445</v>
      </c>
      <c r="H609" s="10">
        <f>CHOOSE(CONTROL!$C$42, 28.0828, 28.0828) * CHOOSE(CONTROL!$C$21, $C$9, 100%, $E$9)</f>
        <v>28.082799999999999</v>
      </c>
      <c r="I609" s="10">
        <f>CHOOSE(CONTROL!$C$42, 27.8525, 27.8525)* CHOOSE(CONTROL!$C$21, $C$9, 100%, $E$9)</f>
        <v>27.852499999999999</v>
      </c>
      <c r="J609" s="10">
        <f>CHOOSE(CONTROL!$C$42, 27.8222, 27.8222)* CHOOSE(CONTROL!$C$21, $C$9, 100%, $E$9)</f>
        <v>27.822199999999999</v>
      </c>
      <c r="K609" s="53">
        <f>CHOOSE(CONTROL!$C$42, 27.8486, 27.8486) * CHOOSE(CONTROL!$C$21, $C$9, 100%, $E$9)</f>
        <v>27.848600000000001</v>
      </c>
      <c r="L609" s="10">
        <f>CHOOSE(CONTROL!$C$42, 28.6698, 28.6698) * CHOOSE(CONTROL!$C$21, $C$9, 100%, $E$9)</f>
        <v>28.669799999999999</v>
      </c>
      <c r="M609" s="10">
        <f>CHOOSE(CONTROL!$C$42, 27.5553, 27.5553) * CHOOSE(CONTROL!$C$21, $C$9, 100%, $E$9)</f>
        <v>27.555299999999999</v>
      </c>
      <c r="N609" s="10">
        <f>CHOOSE(CONTROL!$C$42, 27.5704, 27.5704) * CHOOSE(CONTROL!$C$21, $C$9, 100%, $E$9)</f>
        <v>27.570399999999999</v>
      </c>
      <c r="O609" s="10">
        <f>CHOOSE(CONTROL!$C$42, 27.8133, 27.8133) * CHOOSE(CONTROL!$C$21, $C$9, 100%, $E$9)</f>
        <v>27.813300000000002</v>
      </c>
      <c r="P609" s="10">
        <f>CHOOSE(CONTROL!$C$42, 27.5852, 27.5852) * CHOOSE(CONTROL!$C$21, $C$9, 100%, $E$9)</f>
        <v>27.5852</v>
      </c>
      <c r="Q609" s="10">
        <f>CHOOSE(CONTROL!$C$42, 28.4086, 28.4086) * CHOOSE(CONTROL!$C$21, $C$9, 100%, $E$9)</f>
        <v>28.4086</v>
      </c>
      <c r="R609" s="10">
        <f>CHOOSE(CONTROL!$C$42, 29.0666, 29.0666) * CHOOSE(CONTROL!$C$21, $C$9, 100%, $E$9)</f>
        <v>29.066600000000001</v>
      </c>
      <c r="S609" s="10">
        <f>CHOOSE(CONTROL!$C$42, 27.0432, 27.0432) * CHOOSE(CONTROL!$C$21, $C$9, 100%, $E$9)</f>
        <v>27.043199999999999</v>
      </c>
      <c r="T6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57">
        <f>(1000*CHOOSE(CONTROL!$C$42, 695, 695)*CHOOSE(CONTROL!$C$42, 0.5599, 0.5599)*CHOOSE(CONTROL!$C$42, 30, 30))/1000000</f>
        <v>11.673914999999997</v>
      </c>
      <c r="V609" s="57">
        <f>(1000*CHOOSE(CONTROL!$C$42, 500, 500)*CHOOSE(CONTROL!$C$42, 0.275, 0.275)*CHOOSE(CONTROL!$C$42, 30, 30))/1000000</f>
        <v>4.125</v>
      </c>
      <c r="W609" s="57">
        <f>(1000*CHOOSE(CONTROL!$C$42, 0.1146, 0.1146)*CHOOSE(CONTROL!$C$42, 121.5, 121.5)*CHOOSE(CONTROL!$C$42, 30, 30))/1000000</f>
        <v>0.417717</v>
      </c>
      <c r="X609" s="57">
        <f>(30*0.1790888*245000/1000000)+(30*0.2374*100000/1000000)</f>
        <v>2.0285026799999999</v>
      </c>
      <c r="Y609" s="57"/>
      <c r="Z609" s="10"/>
      <c r="AA609" s="56"/>
      <c r="AB609" s="50">
        <f>(B609*194.205+C609*267.466+D609*133.845+E609*53.484+F609*40+G609*185+H609*0+I609*100+J609*300)/(194.205+267.466+133.845+53.484+0+40+185+100+300)</f>
        <v>27.877366290502355</v>
      </c>
      <c r="AC609" s="45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27.677406474820145</v>
      </c>
    </row>
    <row r="610" spans="1:29" ht="15.75" x14ac:dyDescent="0.25">
      <c r="A610" s="13">
        <v>59475</v>
      </c>
      <c r="B610" s="10">
        <f>CHOOSE(CONTROL!$C$42, 27.2852, 27.2852) * CHOOSE(CONTROL!$C$21, $C$9, 100%, $E$9)</f>
        <v>27.2852</v>
      </c>
      <c r="C610" s="10">
        <f>CHOOSE(CONTROL!$C$42, 27.2905, 27.2905) * CHOOSE(CONTROL!$C$21, $C$9, 100%, $E$9)</f>
        <v>27.290500000000002</v>
      </c>
      <c r="D610" s="10">
        <f>CHOOSE(CONTROL!$C$42, 27.4982, 27.4982) * CHOOSE(CONTROL!$C$21, $C$9, 100%, $E$9)</f>
        <v>27.498200000000001</v>
      </c>
      <c r="E610" s="10">
        <f>CHOOSE(CONTROL!$C$42, 27.527, 27.527) * CHOOSE(CONTROL!$C$21, $C$9, 100%, $E$9)</f>
        <v>27.527000000000001</v>
      </c>
      <c r="F610" s="10">
        <f>CHOOSE(CONTROL!$C$42, 27.264, 27.264)*CHOOSE(CONTROL!$C$21, $C$9, 100%, $E$9)</f>
        <v>27.263999999999999</v>
      </c>
      <c r="G610" s="10">
        <f>CHOOSE(CONTROL!$C$42, 27.2789, 27.2789)*CHOOSE(CONTROL!$C$21, $C$9, 100%, $E$9)</f>
        <v>27.2789</v>
      </c>
      <c r="H610" s="10">
        <f>CHOOSE(CONTROL!$C$42, 27.5174, 27.5174) * CHOOSE(CONTROL!$C$21, $C$9, 100%, $E$9)</f>
        <v>27.517399999999999</v>
      </c>
      <c r="I610" s="10">
        <f>CHOOSE(CONTROL!$C$42, 27.287, 27.287)* CHOOSE(CONTROL!$C$21, $C$9, 100%, $E$9)</f>
        <v>27.286999999999999</v>
      </c>
      <c r="J610" s="10">
        <f>CHOOSE(CONTROL!$C$42, 27.257, 27.257)* CHOOSE(CONTROL!$C$21, $C$9, 100%, $E$9)</f>
        <v>27.257000000000001</v>
      </c>
      <c r="K610" s="53">
        <f>CHOOSE(CONTROL!$C$42, 27.2832, 27.2832) * CHOOSE(CONTROL!$C$21, $C$9, 100%, $E$9)</f>
        <v>27.283200000000001</v>
      </c>
      <c r="L610" s="10">
        <f>CHOOSE(CONTROL!$C$42, 28.1044, 28.1044) * CHOOSE(CONTROL!$C$21, $C$9, 100%, $E$9)</f>
        <v>28.104399999999998</v>
      </c>
      <c r="M610" s="10">
        <f>CHOOSE(CONTROL!$C$42, 26.9957, 26.9957) * CHOOSE(CONTROL!$C$21, $C$9, 100%, $E$9)</f>
        <v>26.995699999999999</v>
      </c>
      <c r="N610" s="10">
        <f>CHOOSE(CONTROL!$C$42, 27.0105, 27.0105) * CHOOSE(CONTROL!$C$21, $C$9, 100%, $E$9)</f>
        <v>27.0105</v>
      </c>
      <c r="O610" s="10">
        <f>CHOOSE(CONTROL!$C$42, 27.2535, 27.2535) * CHOOSE(CONTROL!$C$21, $C$9, 100%, $E$9)</f>
        <v>27.253499999999999</v>
      </c>
      <c r="P610" s="10">
        <f>CHOOSE(CONTROL!$C$42, 27.0255, 27.0255) * CHOOSE(CONTROL!$C$21, $C$9, 100%, $E$9)</f>
        <v>27.025500000000001</v>
      </c>
      <c r="Q610" s="10">
        <f>CHOOSE(CONTROL!$C$42, 27.8488, 27.8488) * CHOOSE(CONTROL!$C$21, $C$9, 100%, $E$9)</f>
        <v>27.848800000000001</v>
      </c>
      <c r="R610" s="10">
        <f>CHOOSE(CONTROL!$C$42, 28.5055, 28.5055) * CHOOSE(CONTROL!$C$21, $C$9, 100%, $E$9)</f>
        <v>28.505500000000001</v>
      </c>
      <c r="S610" s="10">
        <f>CHOOSE(CONTROL!$C$42, 26.4942, 26.4942) * CHOOSE(CONTROL!$C$21, $C$9, 100%, $E$9)</f>
        <v>26.494199999999999</v>
      </c>
      <c r="T6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57">
        <f>(1000*CHOOSE(CONTROL!$C$42, 695, 695)*CHOOSE(CONTROL!$C$42, 0.5599, 0.5599)*CHOOSE(CONTROL!$C$42, 31, 31))/1000000</f>
        <v>12.063045499999998</v>
      </c>
      <c r="V610" s="57">
        <f>(1000*CHOOSE(CONTROL!$C$42, 500, 500)*CHOOSE(CONTROL!$C$42, 0.275, 0.275)*CHOOSE(CONTROL!$C$42, 31, 31))/1000000</f>
        <v>4.2625000000000002</v>
      </c>
      <c r="W610" s="57">
        <f>(1000*CHOOSE(CONTROL!$C$42, 0.1146, 0.1146)*CHOOSE(CONTROL!$C$42, 121.5, 121.5)*CHOOSE(CONTROL!$C$42, 31, 31))/1000000</f>
        <v>0.43164089999999994</v>
      </c>
      <c r="X610" s="57">
        <f>(31*0.1790888*245000/1000000)+(31*0.2374*100000/1000000)</f>
        <v>2.0961194359999999</v>
      </c>
      <c r="Y610" s="57"/>
      <c r="Z610" s="10"/>
      <c r="AA610" s="56"/>
      <c r="AB610" s="50">
        <f>(B610*131.881+C610*277.167+D610*79.08+E610*125.872+F610*40+G610*185+H610*0+I610*100+J610*300)/(131.881+277.167+79.08+125.872+0+40+185+100+300)</f>
        <v>27.3162374291364</v>
      </c>
      <c r="AC610" s="45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27.117684172661868</v>
      </c>
    </row>
    <row r="611" spans="1:29" ht="15.75" x14ac:dyDescent="0.25">
      <c r="A611" s="13">
        <v>59505</v>
      </c>
      <c r="B611" s="10">
        <f>CHOOSE(CONTROL!$C$42, 28.0036, 28.0036) * CHOOSE(CONTROL!$C$21, $C$9, 100%, $E$9)</f>
        <v>28.003599999999999</v>
      </c>
      <c r="C611" s="10">
        <f>CHOOSE(CONTROL!$C$42, 28.0085, 28.0085) * CHOOSE(CONTROL!$C$21, $C$9, 100%, $E$9)</f>
        <v>28.008500000000002</v>
      </c>
      <c r="D611" s="10">
        <f>CHOOSE(CONTROL!$C$42, 28.069, 28.069) * CHOOSE(CONTROL!$C$21, $C$9, 100%, $E$9)</f>
        <v>28.068999999999999</v>
      </c>
      <c r="E611" s="10">
        <f>CHOOSE(CONTROL!$C$42, 28.1028, 28.1028) * CHOOSE(CONTROL!$C$21, $C$9, 100%, $E$9)</f>
        <v>28.102799999999998</v>
      </c>
      <c r="F611" s="10">
        <f>CHOOSE(CONTROL!$C$42, 27.9992, 27.9992)*CHOOSE(CONTROL!$C$21, $C$9, 100%, $E$9)</f>
        <v>27.999199999999998</v>
      </c>
      <c r="G611" s="10">
        <f>CHOOSE(CONTROL!$C$42, 28.0144, 28.0144)*CHOOSE(CONTROL!$C$21, $C$9, 100%, $E$9)</f>
        <v>28.014399999999998</v>
      </c>
      <c r="H611" s="10">
        <f>CHOOSE(CONTROL!$C$42, 28.092, 28.092) * CHOOSE(CONTROL!$C$21, $C$9, 100%, $E$9)</f>
        <v>28.091999999999999</v>
      </c>
      <c r="I611" s="10">
        <f>CHOOSE(CONTROL!$C$42, 28.0161, 28.0161)* CHOOSE(CONTROL!$C$21, $C$9, 100%, $E$9)</f>
        <v>28.016100000000002</v>
      </c>
      <c r="J611" s="10">
        <f>CHOOSE(CONTROL!$C$42, 27.9922, 27.9922)* CHOOSE(CONTROL!$C$21, $C$9, 100%, $E$9)</f>
        <v>27.9922</v>
      </c>
      <c r="K611" s="53">
        <f>CHOOSE(CONTROL!$C$42, 28.0122, 28.0122) * CHOOSE(CONTROL!$C$21, $C$9, 100%, $E$9)</f>
        <v>28.0122</v>
      </c>
      <c r="L611" s="10">
        <f>CHOOSE(CONTROL!$C$42, 28.679, 28.679) * CHOOSE(CONTROL!$C$21, $C$9, 100%, $E$9)</f>
        <v>28.678999999999998</v>
      </c>
      <c r="M611" s="10">
        <f>CHOOSE(CONTROL!$C$42, 27.7235, 27.7235) * CHOOSE(CONTROL!$C$21, $C$9, 100%, $E$9)</f>
        <v>27.723500000000001</v>
      </c>
      <c r="N611" s="10">
        <f>CHOOSE(CONTROL!$C$42, 27.7386, 27.7386) * CHOOSE(CONTROL!$C$21, $C$9, 100%, $E$9)</f>
        <v>27.738600000000002</v>
      </c>
      <c r="O611" s="10">
        <f>CHOOSE(CONTROL!$C$42, 27.8223, 27.8223) * CHOOSE(CONTROL!$C$21, $C$9, 100%, $E$9)</f>
        <v>27.822299999999998</v>
      </c>
      <c r="P611" s="10">
        <f>CHOOSE(CONTROL!$C$42, 27.7472, 27.7472) * CHOOSE(CONTROL!$C$21, $C$9, 100%, $E$9)</f>
        <v>27.747199999999999</v>
      </c>
      <c r="Q611" s="10">
        <f>CHOOSE(CONTROL!$C$42, 28.4176, 28.4176) * CHOOSE(CONTROL!$C$21, $C$9, 100%, $E$9)</f>
        <v>28.4176</v>
      </c>
      <c r="R611" s="10">
        <f>CHOOSE(CONTROL!$C$42, 29.0757, 29.0757) * CHOOSE(CONTROL!$C$21, $C$9, 100%, $E$9)</f>
        <v>29.075700000000001</v>
      </c>
      <c r="S611" s="10">
        <f>CHOOSE(CONTROL!$C$42, 27.1921, 27.1921) * CHOOSE(CONTROL!$C$21, $C$9, 100%, $E$9)</f>
        <v>27.1921</v>
      </c>
      <c r="T6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57">
        <f>(1000*CHOOSE(CONTROL!$C$42, 695, 695)*CHOOSE(CONTROL!$C$42, 0.5599, 0.5599)*CHOOSE(CONTROL!$C$42, 30, 30))/1000000</f>
        <v>11.673914999999997</v>
      </c>
      <c r="V611" s="57">
        <f>(1000*CHOOSE(CONTROL!$C$42, 500, 500)*CHOOSE(CONTROL!$C$42, 0.275, 0.275)*CHOOSE(CONTROL!$C$42, 30, 30))/1000000</f>
        <v>4.125</v>
      </c>
      <c r="W611" s="57">
        <f>(1000*CHOOSE(CONTROL!$C$42, 0.1146, 0.1146)*CHOOSE(CONTROL!$C$42, 121.5, 121.5)*CHOOSE(CONTROL!$C$42, 30, 30))/1000000</f>
        <v>0.417717</v>
      </c>
      <c r="X611" s="57">
        <f>(30*0.1790888*100000/1000000)+(30*0.2374*100000/1000000)</f>
        <v>1.2494664</v>
      </c>
      <c r="Y611" s="57"/>
      <c r="Z611" s="10"/>
      <c r="AA611" s="56"/>
      <c r="AB611" s="50">
        <f>(B611*122.58+C611*297.941+D611*89.177+E611*40.302+F611*40+G611*160+H611*0+I611*100+J611*300)/(122.58+297.941+89.177+40.302+0+40+160+100+300)</f>
        <v>28.012880039217389</v>
      </c>
      <c r="AC611" s="45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27.772558992805759</v>
      </c>
    </row>
    <row r="612" spans="1:29" ht="15.75" x14ac:dyDescent="0.25">
      <c r="A612" s="13">
        <v>59536</v>
      </c>
      <c r="B612" s="10">
        <f>CHOOSE(CONTROL!$C$42, 29.9126, 29.9126) * CHOOSE(CONTROL!$C$21, $C$9, 100%, $E$9)</f>
        <v>29.912600000000001</v>
      </c>
      <c r="C612" s="10">
        <f>CHOOSE(CONTROL!$C$42, 29.9176, 29.9176) * CHOOSE(CONTROL!$C$21, $C$9, 100%, $E$9)</f>
        <v>29.9176</v>
      </c>
      <c r="D612" s="10">
        <f>CHOOSE(CONTROL!$C$42, 29.9781, 29.9781) * CHOOSE(CONTROL!$C$21, $C$9, 100%, $E$9)</f>
        <v>29.978100000000001</v>
      </c>
      <c r="E612" s="10">
        <f>CHOOSE(CONTROL!$C$42, 30.0119, 30.0119) * CHOOSE(CONTROL!$C$21, $C$9, 100%, $E$9)</f>
        <v>30.011900000000001</v>
      </c>
      <c r="F612" s="10">
        <f>CHOOSE(CONTROL!$C$42, 29.9101, 29.9101)*CHOOSE(CONTROL!$C$21, $C$9, 100%, $E$9)</f>
        <v>29.9101</v>
      </c>
      <c r="G612" s="10">
        <f>CHOOSE(CONTROL!$C$42, 29.9258, 29.9258)*CHOOSE(CONTROL!$C$21, $C$9, 100%, $E$9)</f>
        <v>29.925799999999999</v>
      </c>
      <c r="H612" s="10">
        <f>CHOOSE(CONTROL!$C$42, 30.0011, 30.0011) * CHOOSE(CONTROL!$C$21, $C$9, 100%, $E$9)</f>
        <v>30.001100000000001</v>
      </c>
      <c r="I612" s="10">
        <f>CHOOSE(CONTROL!$C$42, 29.9251, 29.9251)* CHOOSE(CONTROL!$C$21, $C$9, 100%, $E$9)</f>
        <v>29.9251</v>
      </c>
      <c r="J612" s="10">
        <f>CHOOSE(CONTROL!$C$42, 29.9031, 29.9031)* CHOOSE(CONTROL!$C$21, $C$9, 100%, $E$9)</f>
        <v>29.903099999999998</v>
      </c>
      <c r="K612" s="53">
        <f>CHOOSE(CONTROL!$C$42, 29.9212, 29.9212) * CHOOSE(CONTROL!$C$21, $C$9, 100%, $E$9)</f>
        <v>29.921199999999999</v>
      </c>
      <c r="L612" s="10">
        <f>CHOOSE(CONTROL!$C$42, 30.5881, 30.5881) * CHOOSE(CONTROL!$C$21, $C$9, 100%, $E$9)</f>
        <v>30.588100000000001</v>
      </c>
      <c r="M612" s="10">
        <f>CHOOSE(CONTROL!$C$42, 29.6151, 29.6151) * CHOOSE(CONTROL!$C$21, $C$9, 100%, $E$9)</f>
        <v>29.615100000000002</v>
      </c>
      <c r="N612" s="10">
        <f>CHOOSE(CONTROL!$C$42, 29.6307, 29.6307) * CHOOSE(CONTROL!$C$21, $C$9, 100%, $E$9)</f>
        <v>29.630700000000001</v>
      </c>
      <c r="O612" s="10">
        <f>CHOOSE(CONTROL!$C$42, 29.7121, 29.7121) * CHOOSE(CONTROL!$C$21, $C$9, 100%, $E$9)</f>
        <v>29.7121</v>
      </c>
      <c r="P612" s="10">
        <f>CHOOSE(CONTROL!$C$42, 29.637, 29.637) * CHOOSE(CONTROL!$C$21, $C$9, 100%, $E$9)</f>
        <v>29.637</v>
      </c>
      <c r="Q612" s="10">
        <f>CHOOSE(CONTROL!$C$42, 30.3074, 30.3074) * CHOOSE(CONTROL!$C$21, $C$9, 100%, $E$9)</f>
        <v>30.307400000000001</v>
      </c>
      <c r="R612" s="10">
        <f>CHOOSE(CONTROL!$C$42, 30.9702, 30.9702) * CHOOSE(CONTROL!$C$21, $C$9, 100%, $E$9)</f>
        <v>30.970199999999998</v>
      </c>
      <c r="S612" s="10">
        <f>CHOOSE(CONTROL!$C$42, 29.046, 29.046) * CHOOSE(CONTROL!$C$21, $C$9, 100%, $E$9)</f>
        <v>29.045999999999999</v>
      </c>
      <c r="T6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57">
        <f>(1000*CHOOSE(CONTROL!$C$42, 695, 695)*CHOOSE(CONTROL!$C$42, 0.5599, 0.5599)*CHOOSE(CONTROL!$C$42, 31, 31))/1000000</f>
        <v>12.063045499999998</v>
      </c>
      <c r="V612" s="57">
        <f>(1000*CHOOSE(CONTROL!$C$42, 500, 500)*CHOOSE(CONTROL!$C$42, 0.275, 0.275)*CHOOSE(CONTROL!$C$42, 31, 31))/1000000</f>
        <v>4.2625000000000002</v>
      </c>
      <c r="W612" s="57">
        <f>(1000*CHOOSE(CONTROL!$C$42, 0.1146, 0.1146)*CHOOSE(CONTROL!$C$42, 121.5, 121.5)*CHOOSE(CONTROL!$C$42, 31, 31))/1000000</f>
        <v>0.43164089999999994</v>
      </c>
      <c r="X612" s="57">
        <f>(31*0.1790888*100000/1000000)+(31*0.2374*100000/1000000)</f>
        <v>1.2911152800000001</v>
      </c>
      <c r="Y612" s="57"/>
      <c r="Z612" s="10"/>
      <c r="AA612" s="56"/>
      <c r="AB612" s="50">
        <f>(B612*122.58+C612*297.941+D612*89.177+E612*40.302+F612*40+G612*160+H612*0+I612*100+J612*300)/(122.58+297.941+89.177+40.302+0+40+160+100+300)</f>
        <v>29.922812858347829</v>
      </c>
      <c r="AC612" s="45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29.663112949640293</v>
      </c>
    </row>
    <row r="613" spans="1:29" ht="15.75" x14ac:dyDescent="0.25">
      <c r="A613" s="13">
        <v>59567</v>
      </c>
      <c r="B613" s="10">
        <f>CHOOSE(CONTROL!$C$42, 32.3633, 32.3633) * CHOOSE(CONTROL!$C$21, $C$9, 100%, $E$9)</f>
        <v>32.363300000000002</v>
      </c>
      <c r="C613" s="10">
        <f>CHOOSE(CONTROL!$C$42, 32.3683, 32.3683) * CHOOSE(CONTROL!$C$21, $C$9, 100%, $E$9)</f>
        <v>32.368299999999998</v>
      </c>
      <c r="D613" s="10">
        <f>CHOOSE(CONTROL!$C$42, 32.4254, 32.4254) * CHOOSE(CONTROL!$C$21, $C$9, 100%, $E$9)</f>
        <v>32.425400000000003</v>
      </c>
      <c r="E613" s="10">
        <f>CHOOSE(CONTROL!$C$42, 32.4591, 32.4591) * CHOOSE(CONTROL!$C$21, $C$9, 100%, $E$9)</f>
        <v>32.459099999999999</v>
      </c>
      <c r="F613" s="10">
        <f>CHOOSE(CONTROL!$C$42, 32.3612, 32.3612)*CHOOSE(CONTROL!$C$21, $C$9, 100%, $E$9)</f>
        <v>32.361199999999997</v>
      </c>
      <c r="G613" s="10">
        <f>CHOOSE(CONTROL!$C$42, 32.3758, 32.3758)*CHOOSE(CONTROL!$C$21, $C$9, 100%, $E$9)</f>
        <v>32.375799999999998</v>
      </c>
      <c r="H613" s="10">
        <f>CHOOSE(CONTROL!$C$42, 32.4483, 32.4483) * CHOOSE(CONTROL!$C$21, $C$9, 100%, $E$9)</f>
        <v>32.448300000000003</v>
      </c>
      <c r="I613" s="10">
        <f>CHOOSE(CONTROL!$C$42, 32.3741, 32.3741)* CHOOSE(CONTROL!$C$21, $C$9, 100%, $E$9)</f>
        <v>32.374099999999999</v>
      </c>
      <c r="J613" s="10">
        <f>CHOOSE(CONTROL!$C$42, 32.3542, 32.3542)* CHOOSE(CONTROL!$C$21, $C$9, 100%, $E$9)</f>
        <v>32.354199999999999</v>
      </c>
      <c r="K613" s="53">
        <f>CHOOSE(CONTROL!$C$42, 32.3702, 32.3702) * CHOOSE(CONTROL!$C$21, $C$9, 100%, $E$9)</f>
        <v>32.370199999999997</v>
      </c>
      <c r="L613" s="10">
        <f>CHOOSE(CONTROL!$C$42, 33.0353, 33.0353) * CHOOSE(CONTROL!$C$21, $C$9, 100%, $E$9)</f>
        <v>33.035299999999999</v>
      </c>
      <c r="M613" s="10">
        <f>CHOOSE(CONTROL!$C$42, 32.0415, 32.0415) * CHOOSE(CONTROL!$C$21, $C$9, 100%, $E$9)</f>
        <v>32.041499999999999</v>
      </c>
      <c r="N613" s="10">
        <f>CHOOSE(CONTROL!$C$42, 32.0559, 32.0559) * CHOOSE(CONTROL!$C$21, $C$9, 100%, $E$9)</f>
        <v>32.055900000000001</v>
      </c>
      <c r="O613" s="10">
        <f>CHOOSE(CONTROL!$C$42, 32.1347, 32.1347) * CHOOSE(CONTROL!$C$21, $C$9, 100%, $E$9)</f>
        <v>32.134700000000002</v>
      </c>
      <c r="P613" s="10">
        <f>CHOOSE(CONTROL!$C$42, 32.0613, 32.0613) * CHOOSE(CONTROL!$C$21, $C$9, 100%, $E$9)</f>
        <v>32.061300000000003</v>
      </c>
      <c r="Q613" s="10">
        <f>CHOOSE(CONTROL!$C$42, 32.73, 32.73) * CHOOSE(CONTROL!$C$21, $C$9, 100%, $E$9)</f>
        <v>32.729999999999997</v>
      </c>
      <c r="R613" s="10">
        <f>CHOOSE(CONTROL!$C$42, 33.3988, 33.3988) * CHOOSE(CONTROL!$C$21, $C$9, 100%, $E$9)</f>
        <v>33.398800000000001</v>
      </c>
      <c r="S613" s="10">
        <f>CHOOSE(CONTROL!$C$42, 31.4259, 31.4259) * CHOOSE(CONTROL!$C$21, $C$9, 100%, $E$9)</f>
        <v>31.425899999999999</v>
      </c>
      <c r="T6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57">
        <f>(1000*CHOOSE(CONTROL!$C$42, 695, 695)*CHOOSE(CONTROL!$C$42, 0.5599, 0.5599)*CHOOSE(CONTROL!$C$42, 31, 31))/1000000</f>
        <v>12.063045499999998</v>
      </c>
      <c r="V613" s="57">
        <f>(1000*CHOOSE(CONTROL!$C$42, 500, 500)*CHOOSE(CONTROL!$C$42, 0.275, 0.275)*CHOOSE(CONTROL!$C$42, 31, 31))/1000000</f>
        <v>4.2625000000000002</v>
      </c>
      <c r="W613" s="57">
        <f>(1000*CHOOSE(CONTROL!$C$42, 0.1146, 0.1146)*CHOOSE(CONTROL!$C$42, 121.5, 121.5)*CHOOSE(CONTROL!$C$42, 31, 31))/1000000</f>
        <v>0.43164089999999994</v>
      </c>
      <c r="X613" s="57">
        <f>(31*0.1790888*100000/1000000)+(31*0.2374*100000/1000000)</f>
        <v>1.2911152800000001</v>
      </c>
      <c r="Y613" s="57"/>
      <c r="Z613" s="10"/>
      <c r="AA613" s="56"/>
      <c r="AB613" s="50">
        <f>(B613*122.58+C613*297.941+D613*89.177+E613*40.302+F613*40+G613*160+H613*0+I613*100+J613*300)/(122.58+297.941+89.177+40.302+0+40+160+100+300)</f>
        <v>32.372999589826087</v>
      </c>
      <c r="AC613" s="45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32.087419424460428</v>
      </c>
    </row>
    <row r="614" spans="1:29" ht="15.75" x14ac:dyDescent="0.25">
      <c r="A614" s="13">
        <v>59595</v>
      </c>
      <c r="B614" s="10">
        <f>CHOOSE(CONTROL!$C$42, 32.9394, 32.9394) * CHOOSE(CONTROL!$C$21, $C$9, 100%, $E$9)</f>
        <v>32.939399999999999</v>
      </c>
      <c r="C614" s="10">
        <f>CHOOSE(CONTROL!$C$42, 32.9443, 32.9443) * CHOOSE(CONTROL!$C$21, $C$9, 100%, $E$9)</f>
        <v>32.944299999999998</v>
      </c>
      <c r="D614" s="10">
        <f>CHOOSE(CONTROL!$C$42, 33.0014, 33.0014) * CHOOSE(CONTROL!$C$21, $C$9, 100%, $E$9)</f>
        <v>33.001399999999997</v>
      </c>
      <c r="E614" s="10">
        <f>CHOOSE(CONTROL!$C$42, 33.0352, 33.0352) * CHOOSE(CONTROL!$C$21, $C$9, 100%, $E$9)</f>
        <v>33.035200000000003</v>
      </c>
      <c r="F614" s="10">
        <f>CHOOSE(CONTROL!$C$42, 32.9373, 32.9373)*CHOOSE(CONTROL!$C$21, $C$9, 100%, $E$9)</f>
        <v>32.9373</v>
      </c>
      <c r="G614" s="10">
        <f>CHOOSE(CONTROL!$C$42, 32.952, 32.952)*CHOOSE(CONTROL!$C$21, $C$9, 100%, $E$9)</f>
        <v>32.951999999999998</v>
      </c>
      <c r="H614" s="10">
        <f>CHOOSE(CONTROL!$C$42, 33.0244, 33.0244) * CHOOSE(CONTROL!$C$21, $C$9, 100%, $E$9)</f>
        <v>33.0244</v>
      </c>
      <c r="I614" s="10">
        <f>CHOOSE(CONTROL!$C$42, 32.9502, 32.9502)* CHOOSE(CONTROL!$C$21, $C$9, 100%, $E$9)</f>
        <v>32.950200000000002</v>
      </c>
      <c r="J614" s="10">
        <f>CHOOSE(CONTROL!$C$42, 32.9303, 32.9303)* CHOOSE(CONTROL!$C$21, $C$9, 100%, $E$9)</f>
        <v>32.930300000000003</v>
      </c>
      <c r="K614" s="53">
        <f>CHOOSE(CONTROL!$C$42, 32.9463, 32.9463) * CHOOSE(CONTROL!$C$21, $C$9, 100%, $E$9)</f>
        <v>32.946300000000001</v>
      </c>
      <c r="L614" s="10">
        <f>CHOOSE(CONTROL!$C$42, 33.6114, 33.6114) * CHOOSE(CONTROL!$C$21, $C$9, 100%, $E$9)</f>
        <v>33.611400000000003</v>
      </c>
      <c r="M614" s="10">
        <f>CHOOSE(CONTROL!$C$42, 32.6118, 32.6118) * CHOOSE(CONTROL!$C$21, $C$9, 100%, $E$9)</f>
        <v>32.611800000000002</v>
      </c>
      <c r="N614" s="10">
        <f>CHOOSE(CONTROL!$C$42, 32.6263, 32.6263) * CHOOSE(CONTROL!$C$21, $C$9, 100%, $E$9)</f>
        <v>32.626300000000001</v>
      </c>
      <c r="O614" s="10">
        <f>CHOOSE(CONTROL!$C$42, 32.7049, 32.7049) * CHOOSE(CONTROL!$C$21, $C$9, 100%, $E$9)</f>
        <v>32.704900000000002</v>
      </c>
      <c r="P614" s="10">
        <f>CHOOSE(CONTROL!$C$42, 32.6315, 32.6315) * CHOOSE(CONTROL!$C$21, $C$9, 100%, $E$9)</f>
        <v>32.631500000000003</v>
      </c>
      <c r="Q614" s="10">
        <f>CHOOSE(CONTROL!$C$42, 33.3002, 33.3002) * CHOOSE(CONTROL!$C$21, $C$9, 100%, $E$9)</f>
        <v>33.300199999999997</v>
      </c>
      <c r="R614" s="10">
        <f>CHOOSE(CONTROL!$C$42, 33.9705, 33.9705) * CHOOSE(CONTROL!$C$21, $C$9, 100%, $E$9)</f>
        <v>33.970500000000001</v>
      </c>
      <c r="S614" s="10">
        <f>CHOOSE(CONTROL!$C$42, 31.9853, 31.9853) * CHOOSE(CONTROL!$C$21, $C$9, 100%, $E$9)</f>
        <v>31.985299999999999</v>
      </c>
      <c r="T6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14" s="57">
        <f>(1000*CHOOSE(CONTROL!$C$42, 695, 695)*CHOOSE(CONTROL!$C$42, 0.5599, 0.5599)*CHOOSE(CONTROL!$C$42, 28, 28))/1000000</f>
        <v>10.895653999999999</v>
      </c>
      <c r="V614" s="57">
        <f>(1000*CHOOSE(CONTROL!$C$42, 500, 500)*CHOOSE(CONTROL!$C$42, 0.275, 0.275)*CHOOSE(CONTROL!$C$42, 28, 28))/1000000</f>
        <v>3.85</v>
      </c>
      <c r="W614" s="57">
        <f>(1000*CHOOSE(CONTROL!$C$42, 0.1146, 0.1146)*CHOOSE(CONTROL!$C$42, 121.5, 121.5)*CHOOSE(CONTROL!$C$42, 28, 28))/1000000</f>
        <v>0.38986920000000003</v>
      </c>
      <c r="X614" s="57">
        <f>(28*0.1790888*100000/1000000)+(28*0.2374*100000/1000000)</f>
        <v>1.16616864</v>
      </c>
      <c r="Y614" s="57"/>
      <c r="Z614" s="10"/>
      <c r="AA614" s="56"/>
      <c r="AB614" s="50">
        <f>(B614*122.58+C614*297.941+D614*89.177+E614*40.302+F614*40+G614*160+H614*0+I614*100+J614*300)/(122.58+297.941+89.177+40.302+0+40+160+100+300)</f>
        <v>32.949079840434777</v>
      </c>
      <c r="AC614" s="45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32.657665467625897</v>
      </c>
    </row>
    <row r="615" spans="1:29" ht="15.75" x14ac:dyDescent="0.25">
      <c r="A615" s="13">
        <v>59626</v>
      </c>
      <c r="B615" s="10">
        <f>CHOOSE(CONTROL!$C$42, 32.0043, 32.0043) * CHOOSE(CONTROL!$C$21, $C$9, 100%, $E$9)</f>
        <v>32.004300000000001</v>
      </c>
      <c r="C615" s="10">
        <f>CHOOSE(CONTROL!$C$42, 32.0093, 32.0093) * CHOOSE(CONTROL!$C$21, $C$9, 100%, $E$9)</f>
        <v>32.009300000000003</v>
      </c>
      <c r="D615" s="10">
        <f>CHOOSE(CONTROL!$C$42, 32.0663, 32.0663) * CHOOSE(CONTROL!$C$21, $C$9, 100%, $E$9)</f>
        <v>32.066299999999998</v>
      </c>
      <c r="E615" s="10">
        <f>CHOOSE(CONTROL!$C$42, 32.1001, 32.1001) * CHOOSE(CONTROL!$C$21, $C$9, 100%, $E$9)</f>
        <v>32.100099999999998</v>
      </c>
      <c r="F615" s="10">
        <f>CHOOSE(CONTROL!$C$42, 32.0021, 32.0021)*CHOOSE(CONTROL!$C$21, $C$9, 100%, $E$9)</f>
        <v>32.002099999999999</v>
      </c>
      <c r="G615" s="10">
        <f>CHOOSE(CONTROL!$C$42, 32.0167, 32.0167)*CHOOSE(CONTROL!$C$21, $C$9, 100%, $E$9)</f>
        <v>32.0167</v>
      </c>
      <c r="H615" s="10">
        <f>CHOOSE(CONTROL!$C$42, 32.0893, 32.0893) * CHOOSE(CONTROL!$C$21, $C$9, 100%, $E$9)</f>
        <v>32.089300000000001</v>
      </c>
      <c r="I615" s="10">
        <f>CHOOSE(CONTROL!$C$42, 32.0151, 32.0151)* CHOOSE(CONTROL!$C$21, $C$9, 100%, $E$9)</f>
        <v>32.015099999999997</v>
      </c>
      <c r="J615" s="10">
        <f>CHOOSE(CONTROL!$C$42, 31.9951, 31.9951)* CHOOSE(CONTROL!$C$21, $C$9, 100%, $E$9)</f>
        <v>31.995100000000001</v>
      </c>
      <c r="K615" s="53">
        <f>CHOOSE(CONTROL!$C$42, 32.0112, 32.0112) * CHOOSE(CONTROL!$C$21, $C$9, 100%, $E$9)</f>
        <v>32.011200000000002</v>
      </c>
      <c r="L615" s="10">
        <f>CHOOSE(CONTROL!$C$42, 32.6763, 32.6763) * CHOOSE(CONTROL!$C$21, $C$9, 100%, $E$9)</f>
        <v>32.676299999999998</v>
      </c>
      <c r="M615" s="10">
        <f>CHOOSE(CONTROL!$C$42, 31.6861, 31.6861) * CHOOSE(CONTROL!$C$21, $C$9, 100%, $E$9)</f>
        <v>31.6861</v>
      </c>
      <c r="N615" s="10">
        <f>CHOOSE(CONTROL!$C$42, 31.7005, 31.7005) * CHOOSE(CONTROL!$C$21, $C$9, 100%, $E$9)</f>
        <v>31.700500000000002</v>
      </c>
      <c r="O615" s="10">
        <f>CHOOSE(CONTROL!$C$42, 31.7793, 31.7793) * CHOOSE(CONTROL!$C$21, $C$9, 100%, $E$9)</f>
        <v>31.779299999999999</v>
      </c>
      <c r="P615" s="10">
        <f>CHOOSE(CONTROL!$C$42, 31.7059, 31.7059) * CHOOSE(CONTROL!$C$21, $C$9, 100%, $E$9)</f>
        <v>31.7059</v>
      </c>
      <c r="Q615" s="10">
        <f>CHOOSE(CONTROL!$C$42, 32.3746, 32.3746) * CHOOSE(CONTROL!$C$21, $C$9, 100%, $E$9)</f>
        <v>32.374600000000001</v>
      </c>
      <c r="R615" s="10">
        <f>CHOOSE(CONTROL!$C$42, 33.0425, 33.0425) * CHOOSE(CONTROL!$C$21, $C$9, 100%, $E$9)</f>
        <v>33.042499999999997</v>
      </c>
      <c r="S615" s="10">
        <f>CHOOSE(CONTROL!$C$42, 31.0772, 31.0772) * CHOOSE(CONTROL!$C$21, $C$9, 100%, $E$9)</f>
        <v>31.077200000000001</v>
      </c>
      <c r="T6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57">
        <f>(1000*CHOOSE(CONTROL!$C$42, 695, 695)*CHOOSE(CONTROL!$C$42, 0.5599, 0.5599)*CHOOSE(CONTROL!$C$42, 31, 31))/1000000</f>
        <v>12.063045499999998</v>
      </c>
      <c r="V615" s="57">
        <f>(1000*CHOOSE(CONTROL!$C$42, 500, 500)*CHOOSE(CONTROL!$C$42, 0.275, 0.275)*CHOOSE(CONTROL!$C$42, 31, 31))/1000000</f>
        <v>4.2625000000000002</v>
      </c>
      <c r="W615" s="57">
        <f>(1000*CHOOSE(CONTROL!$C$42, 0.1146, 0.1146)*CHOOSE(CONTROL!$C$42, 121.5, 121.5)*CHOOSE(CONTROL!$C$42, 31, 31))/1000000</f>
        <v>0.43164089999999994</v>
      </c>
      <c r="X615" s="57">
        <f>(31*0.1790888*100000/1000000)+(31*0.2374*100000/1000000)</f>
        <v>1.2911152800000001</v>
      </c>
      <c r="Y615" s="57"/>
      <c r="Z615" s="10"/>
      <c r="AA615" s="56"/>
      <c r="AB615" s="50">
        <f>(B615*122.58+C615*297.941+D615*89.177+E615*40.302+F615*40+G615*160+H615*0+I615*100+J615*300)/(122.58+297.941+89.177+40.302+0+40+160+100+300)</f>
        <v>32.013948357043482</v>
      </c>
      <c r="AC615" s="45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31.732019424460429</v>
      </c>
    </row>
    <row r="616" spans="1:29" ht="15.75" x14ac:dyDescent="0.25">
      <c r="A616" s="13">
        <v>59656</v>
      </c>
      <c r="B616" s="10">
        <f>CHOOSE(CONTROL!$C$42, 31.9097, 31.9097) * CHOOSE(CONTROL!$C$21, $C$9, 100%, $E$9)</f>
        <v>31.909700000000001</v>
      </c>
      <c r="C616" s="10">
        <f>CHOOSE(CONTROL!$C$42, 31.914, 31.914) * CHOOSE(CONTROL!$C$21, $C$9, 100%, $E$9)</f>
        <v>31.914000000000001</v>
      </c>
      <c r="D616" s="10">
        <f>CHOOSE(CONTROL!$C$42, 32.1199, 32.1199) * CHOOSE(CONTROL!$C$21, $C$9, 100%, $E$9)</f>
        <v>32.119900000000001</v>
      </c>
      <c r="E616" s="10">
        <f>CHOOSE(CONTROL!$C$42, 32.1517, 32.1517) * CHOOSE(CONTROL!$C$21, $C$9, 100%, $E$9)</f>
        <v>32.151699999999998</v>
      </c>
      <c r="F616" s="10">
        <f>CHOOSE(CONTROL!$C$42, 31.8864, 31.8864)*CHOOSE(CONTROL!$C$21, $C$9, 100%, $E$9)</f>
        <v>31.886399999999998</v>
      </c>
      <c r="G616" s="10">
        <f>CHOOSE(CONTROL!$C$42, 31.9009, 31.9009)*CHOOSE(CONTROL!$C$21, $C$9, 100%, $E$9)</f>
        <v>31.9009</v>
      </c>
      <c r="H616" s="10">
        <f>CHOOSE(CONTROL!$C$42, 32.1415, 32.1415) * CHOOSE(CONTROL!$C$21, $C$9, 100%, $E$9)</f>
        <v>32.141500000000001</v>
      </c>
      <c r="I616" s="10">
        <f>CHOOSE(CONTROL!$C$42, 31.9111, 31.9111)* CHOOSE(CONTROL!$C$21, $C$9, 100%, $E$9)</f>
        <v>31.911100000000001</v>
      </c>
      <c r="J616" s="10">
        <f>CHOOSE(CONTROL!$C$42, 31.8794, 31.8794)* CHOOSE(CONTROL!$C$21, $C$9, 100%, $E$9)</f>
        <v>31.8794</v>
      </c>
      <c r="K616" s="53">
        <f>CHOOSE(CONTROL!$C$42, 31.9072, 31.9072) * CHOOSE(CONTROL!$C$21, $C$9, 100%, $E$9)</f>
        <v>31.9072</v>
      </c>
      <c r="L616" s="10">
        <f>CHOOSE(CONTROL!$C$42, 32.7285, 32.7285) * CHOOSE(CONTROL!$C$21, $C$9, 100%, $E$9)</f>
        <v>32.728499999999997</v>
      </c>
      <c r="M616" s="10">
        <f>CHOOSE(CONTROL!$C$42, 31.5715, 31.5715) * CHOOSE(CONTROL!$C$21, $C$9, 100%, $E$9)</f>
        <v>31.5715</v>
      </c>
      <c r="N616" s="10">
        <f>CHOOSE(CONTROL!$C$42, 31.5859, 31.5859) * CHOOSE(CONTROL!$C$21, $C$9, 100%, $E$9)</f>
        <v>31.585899999999999</v>
      </c>
      <c r="O616" s="10">
        <f>CHOOSE(CONTROL!$C$42, 31.8309, 31.8309) * CHOOSE(CONTROL!$C$21, $C$9, 100%, $E$9)</f>
        <v>31.8309</v>
      </c>
      <c r="P616" s="10">
        <f>CHOOSE(CONTROL!$C$42, 31.6029, 31.6029) * CHOOSE(CONTROL!$C$21, $C$9, 100%, $E$9)</f>
        <v>31.602900000000002</v>
      </c>
      <c r="Q616" s="10">
        <f>CHOOSE(CONTROL!$C$42, 32.4262, 32.4262) * CHOOSE(CONTROL!$C$21, $C$9, 100%, $E$9)</f>
        <v>32.426200000000001</v>
      </c>
      <c r="R616" s="10">
        <f>CHOOSE(CONTROL!$C$42, 33.0943, 33.0943) * CHOOSE(CONTROL!$C$21, $C$9, 100%, $E$9)</f>
        <v>33.094299999999997</v>
      </c>
      <c r="S616" s="10">
        <f>CHOOSE(CONTROL!$C$42, 30.9846, 30.9846) * CHOOSE(CONTROL!$C$21, $C$9, 100%, $E$9)</f>
        <v>30.9846</v>
      </c>
      <c r="T6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57">
        <f>(1000*CHOOSE(CONTROL!$C$42, 695, 695)*CHOOSE(CONTROL!$C$42, 0.5599, 0.5599)*CHOOSE(CONTROL!$C$42, 30, 30))/1000000</f>
        <v>11.673914999999997</v>
      </c>
      <c r="V616" s="57">
        <f>(1000*CHOOSE(CONTROL!$C$42, 500, 500)*CHOOSE(CONTROL!$C$42, 0.275, 0.275)*CHOOSE(CONTROL!$C$42, 30, 30))/1000000</f>
        <v>4.125</v>
      </c>
      <c r="W616" s="57">
        <f>(1000*CHOOSE(CONTROL!$C$42, 0.1146, 0.1146)*CHOOSE(CONTROL!$C$42, 121.5, 121.5)*CHOOSE(CONTROL!$C$42, 30, 30))/1000000</f>
        <v>0.417717</v>
      </c>
      <c r="X616" s="57">
        <f>(30*0.1790888*245000/1000000)+(30*0.2374*100000/1000000)</f>
        <v>2.0285026799999999</v>
      </c>
      <c r="Y616" s="57"/>
      <c r="Z616" s="10"/>
      <c r="AA616" s="56"/>
      <c r="AB616" s="50">
        <f>(B616*141.293+C616*267.993+D616*115.016+E616*89.698+F616*40+G616*185+H616*0+I616*100+J616*300)/(141.293+267.993+115.016+89.698+0+40+185+100+300)</f>
        <v>31.938372840274415</v>
      </c>
      <c r="AC616" s="45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31.694416546762589</v>
      </c>
    </row>
    <row r="617" spans="1:29" ht="15.75" x14ac:dyDescent="0.25">
      <c r="A617" s="13">
        <v>59687</v>
      </c>
      <c r="B617" s="10">
        <f>CHOOSE(CONTROL!$C$42, 32.1927, 32.1927) * CHOOSE(CONTROL!$C$21, $C$9, 100%, $E$9)</f>
        <v>32.192700000000002</v>
      </c>
      <c r="C617" s="10">
        <f>CHOOSE(CONTROL!$C$42, 32.2006, 32.2006) * CHOOSE(CONTROL!$C$21, $C$9, 100%, $E$9)</f>
        <v>32.200600000000001</v>
      </c>
      <c r="D617" s="10">
        <f>CHOOSE(CONTROL!$C$42, 32.4033, 32.4033) * CHOOSE(CONTROL!$C$21, $C$9, 100%, $E$9)</f>
        <v>32.403300000000002</v>
      </c>
      <c r="E617" s="10">
        <f>CHOOSE(CONTROL!$C$42, 32.4344, 32.4344) * CHOOSE(CONTROL!$C$21, $C$9, 100%, $E$9)</f>
        <v>32.434399999999997</v>
      </c>
      <c r="F617" s="10">
        <f>CHOOSE(CONTROL!$C$42, 32.1684, 32.1684)*CHOOSE(CONTROL!$C$21, $C$9, 100%, $E$9)</f>
        <v>32.168399999999998</v>
      </c>
      <c r="G617" s="10">
        <f>CHOOSE(CONTROL!$C$42, 32.1834, 32.1834)*CHOOSE(CONTROL!$C$21, $C$9, 100%, $E$9)</f>
        <v>32.183399999999999</v>
      </c>
      <c r="H617" s="10">
        <f>CHOOSE(CONTROL!$C$42, 32.4231, 32.4231) * CHOOSE(CONTROL!$C$21, $C$9, 100%, $E$9)</f>
        <v>32.423099999999998</v>
      </c>
      <c r="I617" s="10">
        <f>CHOOSE(CONTROL!$C$42, 32.1927, 32.1927)* CHOOSE(CONTROL!$C$21, $C$9, 100%, $E$9)</f>
        <v>32.192700000000002</v>
      </c>
      <c r="J617" s="10">
        <f>CHOOSE(CONTROL!$C$42, 32.1614, 32.1614)* CHOOSE(CONTROL!$C$21, $C$9, 100%, $E$9)</f>
        <v>32.1614</v>
      </c>
      <c r="K617" s="53">
        <f>CHOOSE(CONTROL!$C$42, 32.1888, 32.1888) * CHOOSE(CONTROL!$C$21, $C$9, 100%, $E$9)</f>
        <v>32.188800000000001</v>
      </c>
      <c r="L617" s="10">
        <f>CHOOSE(CONTROL!$C$42, 33.0101, 33.0101) * CHOOSE(CONTROL!$C$21, $C$9, 100%, $E$9)</f>
        <v>33.010100000000001</v>
      </c>
      <c r="M617" s="10">
        <f>CHOOSE(CONTROL!$C$42, 31.8506, 31.8506) * CHOOSE(CONTROL!$C$21, $C$9, 100%, $E$9)</f>
        <v>31.8506</v>
      </c>
      <c r="N617" s="10">
        <f>CHOOSE(CONTROL!$C$42, 31.8655, 31.8655) * CHOOSE(CONTROL!$C$21, $C$9, 100%, $E$9)</f>
        <v>31.865500000000001</v>
      </c>
      <c r="O617" s="10">
        <f>CHOOSE(CONTROL!$C$42, 32.1097, 32.1097) * CHOOSE(CONTROL!$C$21, $C$9, 100%, $E$9)</f>
        <v>32.109699999999997</v>
      </c>
      <c r="P617" s="10">
        <f>CHOOSE(CONTROL!$C$42, 31.8817, 31.8817) * CHOOSE(CONTROL!$C$21, $C$9, 100%, $E$9)</f>
        <v>31.881699999999999</v>
      </c>
      <c r="Q617" s="10">
        <f>CHOOSE(CONTROL!$C$42, 32.705, 32.705) * CHOOSE(CONTROL!$C$21, $C$9, 100%, $E$9)</f>
        <v>32.704999999999998</v>
      </c>
      <c r="R617" s="10">
        <f>CHOOSE(CONTROL!$C$42, 33.3738, 33.3738) * CHOOSE(CONTROL!$C$21, $C$9, 100%, $E$9)</f>
        <v>33.373800000000003</v>
      </c>
      <c r="S617" s="10">
        <f>CHOOSE(CONTROL!$C$42, 31.258, 31.258) * CHOOSE(CONTROL!$C$21, $C$9, 100%, $E$9)</f>
        <v>31.257999999999999</v>
      </c>
      <c r="T6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57">
        <f>(1000*CHOOSE(CONTROL!$C$42, 695, 695)*CHOOSE(CONTROL!$C$42, 0.5599, 0.5599)*CHOOSE(CONTROL!$C$42, 31, 31))/1000000</f>
        <v>12.063045499999998</v>
      </c>
      <c r="V617" s="57">
        <f>(1000*CHOOSE(CONTROL!$C$42, 500, 500)*CHOOSE(CONTROL!$C$42, 0.275, 0.275)*CHOOSE(CONTROL!$C$42, 31, 31))/1000000</f>
        <v>4.2625000000000002</v>
      </c>
      <c r="W617" s="57">
        <f>(1000*CHOOSE(CONTROL!$C$42, 0.1146, 0.1146)*CHOOSE(CONTROL!$C$42, 121.5, 121.5)*CHOOSE(CONTROL!$C$42, 31, 31))/1000000</f>
        <v>0.43164089999999994</v>
      </c>
      <c r="X617" s="57">
        <f>(31*0.1790888*245000/1000000)+(31*0.2374*100000/1000000)</f>
        <v>2.0961194359999999</v>
      </c>
      <c r="Y617" s="57"/>
      <c r="Z617" s="10"/>
      <c r="AA617" s="56"/>
      <c r="AB617" s="50">
        <f>(B617*194.205+C617*267.466+D617*133.845+E617*53.484+F617*40+G617*185+H617*0+I617*100+J617*300)/(194.205+267.466+133.845+53.484+0+40+185+100+300)</f>
        <v>32.217146876923081</v>
      </c>
      <c r="AC617" s="45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31.973366187050352</v>
      </c>
    </row>
    <row r="618" spans="1:29" ht="15.75" x14ac:dyDescent="0.25">
      <c r="A618" s="13">
        <v>59717</v>
      </c>
      <c r="B618" s="10">
        <f>CHOOSE(CONTROL!$C$42, 33.1057, 33.1057) * CHOOSE(CONTROL!$C$21, $C$9, 100%, $E$9)</f>
        <v>33.105699999999999</v>
      </c>
      <c r="C618" s="10">
        <f>CHOOSE(CONTROL!$C$42, 33.1136, 33.1136) * CHOOSE(CONTROL!$C$21, $C$9, 100%, $E$9)</f>
        <v>33.113599999999998</v>
      </c>
      <c r="D618" s="10">
        <f>CHOOSE(CONTROL!$C$42, 33.3163, 33.3163) * CHOOSE(CONTROL!$C$21, $C$9, 100%, $E$9)</f>
        <v>33.316299999999998</v>
      </c>
      <c r="E618" s="10">
        <f>CHOOSE(CONTROL!$C$42, 33.3475, 33.3475) * CHOOSE(CONTROL!$C$21, $C$9, 100%, $E$9)</f>
        <v>33.347499999999997</v>
      </c>
      <c r="F618" s="10">
        <f>CHOOSE(CONTROL!$C$42, 33.0819, 33.0819)*CHOOSE(CONTROL!$C$21, $C$9, 100%, $E$9)</f>
        <v>33.081899999999997</v>
      </c>
      <c r="G618" s="10">
        <f>CHOOSE(CONTROL!$C$42, 33.0971, 33.0971)*CHOOSE(CONTROL!$C$21, $C$9, 100%, $E$9)</f>
        <v>33.097099999999998</v>
      </c>
      <c r="H618" s="10">
        <f>CHOOSE(CONTROL!$C$42, 33.3361, 33.3361) * CHOOSE(CONTROL!$C$21, $C$9, 100%, $E$9)</f>
        <v>33.336100000000002</v>
      </c>
      <c r="I618" s="10">
        <f>CHOOSE(CONTROL!$C$42, 33.1057, 33.1057)* CHOOSE(CONTROL!$C$21, $C$9, 100%, $E$9)</f>
        <v>33.105699999999999</v>
      </c>
      <c r="J618" s="10">
        <f>CHOOSE(CONTROL!$C$42, 33.0749, 33.0749)* CHOOSE(CONTROL!$C$21, $C$9, 100%, $E$9)</f>
        <v>33.0749</v>
      </c>
      <c r="K618" s="53">
        <f>CHOOSE(CONTROL!$C$42, 33.1018, 33.1018) * CHOOSE(CONTROL!$C$21, $C$9, 100%, $E$9)</f>
        <v>33.101799999999997</v>
      </c>
      <c r="L618" s="10">
        <f>CHOOSE(CONTROL!$C$42, 33.9231, 33.9231) * CHOOSE(CONTROL!$C$21, $C$9, 100%, $E$9)</f>
        <v>33.923099999999998</v>
      </c>
      <c r="M618" s="10">
        <f>CHOOSE(CONTROL!$C$42, 32.755, 32.755) * CHOOSE(CONTROL!$C$21, $C$9, 100%, $E$9)</f>
        <v>32.755000000000003</v>
      </c>
      <c r="N618" s="10">
        <f>CHOOSE(CONTROL!$C$42, 32.77, 32.77) * CHOOSE(CONTROL!$C$21, $C$9, 100%, $E$9)</f>
        <v>32.770000000000003</v>
      </c>
      <c r="O618" s="10">
        <f>CHOOSE(CONTROL!$C$42, 33.0135, 33.0135) * CHOOSE(CONTROL!$C$21, $C$9, 100%, $E$9)</f>
        <v>33.013500000000001</v>
      </c>
      <c r="P618" s="10">
        <f>CHOOSE(CONTROL!$C$42, 32.7855, 32.7855) * CHOOSE(CONTROL!$C$21, $C$9, 100%, $E$9)</f>
        <v>32.785499999999999</v>
      </c>
      <c r="Q618" s="10">
        <f>CHOOSE(CONTROL!$C$42, 33.6088, 33.6088) * CHOOSE(CONTROL!$C$21, $C$9, 100%, $E$9)</f>
        <v>33.608800000000002</v>
      </c>
      <c r="R618" s="10">
        <f>CHOOSE(CONTROL!$C$42, 34.2798, 34.2798) * CHOOSE(CONTROL!$C$21, $C$9, 100%, $E$9)</f>
        <v>34.279800000000002</v>
      </c>
      <c r="S618" s="10">
        <f>CHOOSE(CONTROL!$C$42, 32.1447, 32.1447) * CHOOSE(CONTROL!$C$21, $C$9, 100%, $E$9)</f>
        <v>32.1447</v>
      </c>
      <c r="T6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57">
        <f>(1000*CHOOSE(CONTROL!$C$42, 695, 695)*CHOOSE(CONTROL!$C$42, 0.5599, 0.5599)*CHOOSE(CONTROL!$C$42, 30, 30))/1000000</f>
        <v>11.673914999999997</v>
      </c>
      <c r="V618" s="57">
        <f>(1000*CHOOSE(CONTROL!$C$42, 500, 500)*CHOOSE(CONTROL!$C$42, 0.275, 0.275)*CHOOSE(CONTROL!$C$42, 30, 30))/1000000</f>
        <v>4.125</v>
      </c>
      <c r="W618" s="57">
        <f>(1000*CHOOSE(CONTROL!$C$42, 0.1146, 0.1146)*CHOOSE(CONTROL!$C$42, 121.5, 121.5)*CHOOSE(CONTROL!$C$42, 30, 30))/1000000</f>
        <v>0.417717</v>
      </c>
      <c r="X618" s="57">
        <f>(30*0.1790888*245000/1000000)+(30*0.2374*100000/1000000)</f>
        <v>2.0285026799999999</v>
      </c>
      <c r="Y618" s="57"/>
      <c r="Z618" s="10"/>
      <c r="AA618" s="56"/>
      <c r="AB618" s="50">
        <f>(B618*194.205+C618*267.466+D618*133.845+E618*53.484+F618*40+G618*185+H618*0+I618*100+J618*300)/(194.205+267.466+133.845+53.484+0+40+185+100+300)</f>
        <v>33.13038616138148</v>
      </c>
      <c r="AC618" s="45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32.877413669064751</v>
      </c>
    </row>
    <row r="619" spans="1:29" ht="15.75" x14ac:dyDescent="0.25">
      <c r="A619" s="13">
        <v>59748</v>
      </c>
      <c r="B619" s="10">
        <f>CHOOSE(CONTROL!$C$42, 32.4707, 32.4707) * CHOOSE(CONTROL!$C$21, $C$9, 100%, $E$9)</f>
        <v>32.470700000000001</v>
      </c>
      <c r="C619" s="10">
        <f>CHOOSE(CONTROL!$C$42, 32.4786, 32.4786) * CHOOSE(CONTROL!$C$21, $C$9, 100%, $E$9)</f>
        <v>32.4786</v>
      </c>
      <c r="D619" s="10">
        <f>CHOOSE(CONTROL!$C$42, 32.6813, 32.6813) * CHOOSE(CONTROL!$C$21, $C$9, 100%, $E$9)</f>
        <v>32.6813</v>
      </c>
      <c r="E619" s="10">
        <f>CHOOSE(CONTROL!$C$42, 32.7125, 32.7125) * CHOOSE(CONTROL!$C$21, $C$9, 100%, $E$9)</f>
        <v>32.712499999999999</v>
      </c>
      <c r="F619" s="10">
        <f>CHOOSE(CONTROL!$C$42, 32.4474, 32.4474)*CHOOSE(CONTROL!$C$21, $C$9, 100%, $E$9)</f>
        <v>32.447400000000002</v>
      </c>
      <c r="G619" s="10">
        <f>CHOOSE(CONTROL!$C$42, 32.4627, 32.4627)*CHOOSE(CONTROL!$C$21, $C$9, 100%, $E$9)</f>
        <v>32.462699999999998</v>
      </c>
      <c r="H619" s="10">
        <f>CHOOSE(CONTROL!$C$42, 32.7011, 32.7011) * CHOOSE(CONTROL!$C$21, $C$9, 100%, $E$9)</f>
        <v>32.701099999999997</v>
      </c>
      <c r="I619" s="10">
        <f>CHOOSE(CONTROL!$C$42, 32.4707, 32.4707)* CHOOSE(CONTROL!$C$21, $C$9, 100%, $E$9)</f>
        <v>32.470700000000001</v>
      </c>
      <c r="J619" s="10">
        <f>CHOOSE(CONTROL!$C$42, 32.4404, 32.4404)* CHOOSE(CONTROL!$C$21, $C$9, 100%, $E$9)</f>
        <v>32.440399999999997</v>
      </c>
      <c r="K619" s="53">
        <f>CHOOSE(CONTROL!$C$42, 32.4668, 32.4668) * CHOOSE(CONTROL!$C$21, $C$9, 100%, $E$9)</f>
        <v>32.466799999999999</v>
      </c>
      <c r="L619" s="10">
        <f>CHOOSE(CONTROL!$C$42, 33.2881, 33.2881) * CHOOSE(CONTROL!$C$21, $C$9, 100%, $E$9)</f>
        <v>33.2881</v>
      </c>
      <c r="M619" s="10">
        <f>CHOOSE(CONTROL!$C$42, 32.1269, 32.1269) * CHOOSE(CONTROL!$C$21, $C$9, 100%, $E$9)</f>
        <v>32.126899999999999</v>
      </c>
      <c r="N619" s="10">
        <f>CHOOSE(CONTROL!$C$42, 32.142, 32.142) * CHOOSE(CONTROL!$C$21, $C$9, 100%, $E$9)</f>
        <v>32.142000000000003</v>
      </c>
      <c r="O619" s="10">
        <f>CHOOSE(CONTROL!$C$42, 32.3849, 32.3849) * CHOOSE(CONTROL!$C$21, $C$9, 100%, $E$9)</f>
        <v>32.384900000000002</v>
      </c>
      <c r="P619" s="10">
        <f>CHOOSE(CONTROL!$C$42, 32.1569, 32.1569) * CHOOSE(CONTROL!$C$21, $C$9, 100%, $E$9)</f>
        <v>32.1569</v>
      </c>
      <c r="Q619" s="10">
        <f>CHOOSE(CONTROL!$C$42, 32.9802, 32.9802) * CHOOSE(CONTROL!$C$21, $C$9, 100%, $E$9)</f>
        <v>32.980200000000004</v>
      </c>
      <c r="R619" s="10">
        <f>CHOOSE(CONTROL!$C$42, 33.6497, 33.6497) * CHOOSE(CONTROL!$C$21, $C$9, 100%, $E$9)</f>
        <v>33.649700000000003</v>
      </c>
      <c r="S619" s="10">
        <f>CHOOSE(CONTROL!$C$42, 31.528, 31.528) * CHOOSE(CONTROL!$C$21, $C$9, 100%, $E$9)</f>
        <v>31.527999999999999</v>
      </c>
      <c r="T6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57">
        <f>(1000*CHOOSE(CONTROL!$C$42, 695, 695)*CHOOSE(CONTROL!$C$42, 0.5599, 0.5599)*CHOOSE(CONTROL!$C$42, 31, 31))/1000000</f>
        <v>12.063045499999998</v>
      </c>
      <c r="V619" s="57">
        <f>(1000*CHOOSE(CONTROL!$C$42, 500, 500)*CHOOSE(CONTROL!$C$42, 0.275, 0.275)*CHOOSE(CONTROL!$C$42, 31, 31))/1000000</f>
        <v>4.2625000000000002</v>
      </c>
      <c r="W619" s="57">
        <f>(1000*CHOOSE(CONTROL!$C$42, 0.1146, 0.1146)*CHOOSE(CONTROL!$C$42, 121.5, 121.5)*CHOOSE(CONTROL!$C$42, 31, 31))/1000000</f>
        <v>0.43164089999999994</v>
      </c>
      <c r="X619" s="57">
        <f>(31*0.1790888*245000/1000000)+(31*0.2374*100000/1000000)</f>
        <v>2.0961194359999999</v>
      </c>
      <c r="Y619" s="57"/>
      <c r="Z619" s="10"/>
      <c r="AA619" s="56"/>
      <c r="AB619" s="50">
        <f>(B619*194.205+C619*267.466+D619*133.845+E619*53.484+F619*40+G619*185+H619*0+I619*100+J619*300)/(194.205+267.466+133.845+53.484+0+40+185+100+300)</f>
        <v>32.49560672653061</v>
      </c>
      <c r="AC619" s="45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32.249020863309354</v>
      </c>
    </row>
    <row r="620" spans="1:29" ht="15.75" x14ac:dyDescent="0.25">
      <c r="A620" s="13">
        <v>59779</v>
      </c>
      <c r="B620" s="10">
        <f>CHOOSE(CONTROL!$C$42, 30.867, 30.867) * CHOOSE(CONTROL!$C$21, $C$9, 100%, $E$9)</f>
        <v>30.867000000000001</v>
      </c>
      <c r="C620" s="10">
        <f>CHOOSE(CONTROL!$C$42, 30.875, 30.875) * CHOOSE(CONTROL!$C$21, $C$9, 100%, $E$9)</f>
        <v>30.875</v>
      </c>
      <c r="D620" s="10">
        <f>CHOOSE(CONTROL!$C$42, 31.0777, 31.0777) * CHOOSE(CONTROL!$C$21, $C$9, 100%, $E$9)</f>
        <v>31.0777</v>
      </c>
      <c r="E620" s="10">
        <f>CHOOSE(CONTROL!$C$42, 31.1088, 31.1088) * CHOOSE(CONTROL!$C$21, $C$9, 100%, $E$9)</f>
        <v>31.108799999999999</v>
      </c>
      <c r="F620" s="10">
        <f>CHOOSE(CONTROL!$C$42, 30.844, 30.844)*CHOOSE(CONTROL!$C$21, $C$9, 100%, $E$9)</f>
        <v>30.844000000000001</v>
      </c>
      <c r="G620" s="10">
        <f>CHOOSE(CONTROL!$C$42, 30.8593, 30.8593)*CHOOSE(CONTROL!$C$21, $C$9, 100%, $E$9)</f>
        <v>30.859300000000001</v>
      </c>
      <c r="H620" s="10">
        <f>CHOOSE(CONTROL!$C$42, 31.0975, 31.0975) * CHOOSE(CONTROL!$C$21, $C$9, 100%, $E$9)</f>
        <v>31.0975</v>
      </c>
      <c r="I620" s="10">
        <f>CHOOSE(CONTROL!$C$42, 30.8671, 30.8671)* CHOOSE(CONTROL!$C$21, $C$9, 100%, $E$9)</f>
        <v>30.867100000000001</v>
      </c>
      <c r="J620" s="10">
        <f>CHOOSE(CONTROL!$C$42, 30.837, 30.837)* CHOOSE(CONTROL!$C$21, $C$9, 100%, $E$9)</f>
        <v>30.837</v>
      </c>
      <c r="K620" s="53">
        <f>CHOOSE(CONTROL!$C$42, 30.8632, 30.8632) * CHOOSE(CONTROL!$C$21, $C$9, 100%, $E$9)</f>
        <v>30.863199999999999</v>
      </c>
      <c r="L620" s="10">
        <f>CHOOSE(CONTROL!$C$42, 31.6845, 31.6845) * CHOOSE(CONTROL!$C$21, $C$9, 100%, $E$9)</f>
        <v>31.6845</v>
      </c>
      <c r="M620" s="10">
        <f>CHOOSE(CONTROL!$C$42, 30.5396, 30.5396) * CHOOSE(CONTROL!$C$21, $C$9, 100%, $E$9)</f>
        <v>30.5396</v>
      </c>
      <c r="N620" s="10">
        <f>CHOOSE(CONTROL!$C$42, 30.5548, 30.5548) * CHOOSE(CONTROL!$C$21, $C$9, 100%, $E$9)</f>
        <v>30.5548</v>
      </c>
      <c r="O620" s="10">
        <f>CHOOSE(CONTROL!$C$42, 30.7975, 30.7975) * CHOOSE(CONTROL!$C$21, $C$9, 100%, $E$9)</f>
        <v>30.797499999999999</v>
      </c>
      <c r="P620" s="10">
        <f>CHOOSE(CONTROL!$C$42, 30.5694, 30.5694) * CHOOSE(CONTROL!$C$21, $C$9, 100%, $E$9)</f>
        <v>30.569400000000002</v>
      </c>
      <c r="Q620" s="10">
        <f>CHOOSE(CONTROL!$C$42, 31.3928, 31.3928) * CHOOSE(CONTROL!$C$21, $C$9, 100%, $E$9)</f>
        <v>31.392800000000001</v>
      </c>
      <c r="R620" s="10">
        <f>CHOOSE(CONTROL!$C$42, 32.0582, 32.0582) * CHOOSE(CONTROL!$C$21, $C$9, 100%, $E$9)</f>
        <v>32.058199999999999</v>
      </c>
      <c r="S620" s="10">
        <f>CHOOSE(CONTROL!$C$42, 29.9707, 29.9707) * CHOOSE(CONTROL!$C$21, $C$9, 100%, $E$9)</f>
        <v>29.970700000000001</v>
      </c>
      <c r="T6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57">
        <f>(1000*CHOOSE(CONTROL!$C$42, 695, 695)*CHOOSE(CONTROL!$C$42, 0.5599, 0.5599)*CHOOSE(CONTROL!$C$42, 31, 31))/1000000</f>
        <v>12.063045499999998</v>
      </c>
      <c r="V620" s="57">
        <f>(1000*CHOOSE(CONTROL!$C$42, 500, 500)*CHOOSE(CONTROL!$C$42, 0.275, 0.275)*CHOOSE(CONTROL!$C$42, 31, 31))/1000000</f>
        <v>4.2625000000000002</v>
      </c>
      <c r="W620" s="57">
        <f>(1000*CHOOSE(CONTROL!$C$42, 0.1146, 0.1146)*CHOOSE(CONTROL!$C$42, 121.5, 121.5)*CHOOSE(CONTROL!$C$42, 31, 31))/1000000</f>
        <v>0.43164089999999994</v>
      </c>
      <c r="X620" s="57">
        <f>(31*0.1790888*245000/1000000)+(31*0.2374*100000/1000000)</f>
        <v>2.0961194359999999</v>
      </c>
      <c r="Y620" s="57"/>
      <c r="Z620" s="10"/>
      <c r="AA620" s="56"/>
      <c r="AB620" s="50">
        <f>(B620*194.205+C620*267.466+D620*133.845+E620*53.484+F620*40+G620*185+H620*0+I620*100+J620*300)/(194.205+267.466+133.845+53.484+0+40+185+100+300)</f>
        <v>30.892069702276295</v>
      </c>
      <c r="AC620" s="45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30.661652517985605</v>
      </c>
    </row>
    <row r="621" spans="1:29" ht="15.75" x14ac:dyDescent="0.25">
      <c r="A621" s="13">
        <v>59809</v>
      </c>
      <c r="B621" s="10">
        <f>CHOOSE(CONTROL!$C$42, 28.9073, 28.9073) * CHOOSE(CONTROL!$C$21, $C$9, 100%, $E$9)</f>
        <v>28.907299999999999</v>
      </c>
      <c r="C621" s="10">
        <f>CHOOSE(CONTROL!$C$42, 28.9152, 28.9152) * CHOOSE(CONTROL!$C$21, $C$9, 100%, $E$9)</f>
        <v>28.915199999999999</v>
      </c>
      <c r="D621" s="10">
        <f>CHOOSE(CONTROL!$C$42, 29.118, 29.118) * CHOOSE(CONTROL!$C$21, $C$9, 100%, $E$9)</f>
        <v>29.117999999999999</v>
      </c>
      <c r="E621" s="10">
        <f>CHOOSE(CONTROL!$C$42, 29.1491, 29.1491) * CHOOSE(CONTROL!$C$21, $C$9, 100%, $E$9)</f>
        <v>29.149100000000001</v>
      </c>
      <c r="F621" s="10">
        <f>CHOOSE(CONTROL!$C$42, 28.8841, 28.8841)*CHOOSE(CONTROL!$C$21, $C$9, 100%, $E$9)</f>
        <v>28.8841</v>
      </c>
      <c r="G621" s="10">
        <f>CHOOSE(CONTROL!$C$42, 28.8994, 28.8994)*CHOOSE(CONTROL!$C$21, $C$9, 100%, $E$9)</f>
        <v>28.8994</v>
      </c>
      <c r="H621" s="10">
        <f>CHOOSE(CONTROL!$C$42, 29.1377, 29.1377) * CHOOSE(CONTROL!$C$21, $C$9, 100%, $E$9)</f>
        <v>29.137699999999999</v>
      </c>
      <c r="I621" s="10">
        <f>CHOOSE(CONTROL!$C$42, 28.9074, 28.9074)* CHOOSE(CONTROL!$C$21, $C$9, 100%, $E$9)</f>
        <v>28.907399999999999</v>
      </c>
      <c r="J621" s="10">
        <f>CHOOSE(CONTROL!$C$42, 28.8771, 28.8771)* CHOOSE(CONTROL!$C$21, $C$9, 100%, $E$9)</f>
        <v>28.877099999999999</v>
      </c>
      <c r="K621" s="53">
        <f>CHOOSE(CONTROL!$C$42, 28.9035, 28.9035) * CHOOSE(CONTROL!$C$21, $C$9, 100%, $E$9)</f>
        <v>28.903500000000001</v>
      </c>
      <c r="L621" s="10">
        <f>CHOOSE(CONTROL!$C$42, 29.7247, 29.7247) * CHOOSE(CONTROL!$C$21, $C$9, 100%, $E$9)</f>
        <v>29.724699999999999</v>
      </c>
      <c r="M621" s="10">
        <f>CHOOSE(CONTROL!$C$42, 28.5995, 28.5995) * CHOOSE(CONTROL!$C$21, $C$9, 100%, $E$9)</f>
        <v>28.599499999999999</v>
      </c>
      <c r="N621" s="10">
        <f>CHOOSE(CONTROL!$C$42, 28.6147, 28.6147) * CHOOSE(CONTROL!$C$21, $C$9, 100%, $E$9)</f>
        <v>28.614699999999999</v>
      </c>
      <c r="O621" s="10">
        <f>CHOOSE(CONTROL!$C$42, 28.8575, 28.8575) * CHOOSE(CONTROL!$C$21, $C$9, 100%, $E$9)</f>
        <v>28.857500000000002</v>
      </c>
      <c r="P621" s="10">
        <f>CHOOSE(CONTROL!$C$42, 28.6295, 28.6295) * CHOOSE(CONTROL!$C$21, $C$9, 100%, $E$9)</f>
        <v>28.6295</v>
      </c>
      <c r="Q621" s="10">
        <f>CHOOSE(CONTROL!$C$42, 29.4528, 29.4528) * CHOOSE(CONTROL!$C$21, $C$9, 100%, $E$9)</f>
        <v>29.4528</v>
      </c>
      <c r="R621" s="10">
        <f>CHOOSE(CONTROL!$C$42, 30.1134, 30.1134) * CHOOSE(CONTROL!$C$21, $C$9, 100%, $E$9)</f>
        <v>30.113399999999999</v>
      </c>
      <c r="S621" s="10">
        <f>CHOOSE(CONTROL!$C$42, 28.0677, 28.0677) * CHOOSE(CONTROL!$C$21, $C$9, 100%, $E$9)</f>
        <v>28.067699999999999</v>
      </c>
      <c r="T6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57">
        <f>(1000*CHOOSE(CONTROL!$C$42, 695, 695)*CHOOSE(CONTROL!$C$42, 0.5599, 0.5599)*CHOOSE(CONTROL!$C$42, 30, 30))/1000000</f>
        <v>11.673914999999997</v>
      </c>
      <c r="V621" s="57">
        <f>(1000*CHOOSE(CONTROL!$C$42, 500, 500)*CHOOSE(CONTROL!$C$42, 0.275, 0.275)*CHOOSE(CONTROL!$C$42, 30, 30))/1000000</f>
        <v>4.125</v>
      </c>
      <c r="W621" s="57">
        <f>(1000*CHOOSE(CONTROL!$C$42, 0.1146, 0.1146)*CHOOSE(CONTROL!$C$42, 121.5, 121.5)*CHOOSE(CONTROL!$C$42, 30, 30))/1000000</f>
        <v>0.417717</v>
      </c>
      <c r="X621" s="57">
        <f>(30*0.1790888*245000/1000000)+(30*0.2374*100000/1000000)</f>
        <v>2.0285026799999999</v>
      </c>
      <c r="Y621" s="57"/>
      <c r="Z621" s="10"/>
      <c r="AA621" s="56"/>
      <c r="AB621" s="50">
        <f>(B621*194.205+C621*267.466+D621*133.845+E621*53.484+F621*40+G621*185+H621*0+I621*100+J621*300)/(194.205+267.466+133.845+53.484+0+40+185+100+300)</f>
        <v>28.932266290502351</v>
      </c>
      <c r="AC621" s="45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28.721626618705038</v>
      </c>
    </row>
    <row r="622" spans="1:29" ht="15.75" x14ac:dyDescent="0.25">
      <c r="A622" s="13">
        <v>59840</v>
      </c>
      <c r="B622" s="10">
        <f>CHOOSE(CONTROL!$C$42, 28.3187, 28.3187) * CHOOSE(CONTROL!$C$21, $C$9, 100%, $E$9)</f>
        <v>28.3187</v>
      </c>
      <c r="C622" s="10">
        <f>CHOOSE(CONTROL!$C$42, 28.3239, 28.3239) * CHOOSE(CONTROL!$C$21, $C$9, 100%, $E$9)</f>
        <v>28.323899999999998</v>
      </c>
      <c r="D622" s="10">
        <f>CHOOSE(CONTROL!$C$42, 28.5316, 28.5316) * CHOOSE(CONTROL!$C$21, $C$9, 100%, $E$9)</f>
        <v>28.531600000000001</v>
      </c>
      <c r="E622" s="10">
        <f>CHOOSE(CONTROL!$C$42, 28.5604, 28.5604) * CHOOSE(CONTROL!$C$21, $C$9, 100%, $E$9)</f>
        <v>28.560400000000001</v>
      </c>
      <c r="F622" s="10">
        <f>CHOOSE(CONTROL!$C$42, 28.2975, 28.2975)*CHOOSE(CONTROL!$C$21, $C$9, 100%, $E$9)</f>
        <v>28.297499999999999</v>
      </c>
      <c r="G622" s="10">
        <f>CHOOSE(CONTROL!$C$42, 28.3124, 28.3124)*CHOOSE(CONTROL!$C$21, $C$9, 100%, $E$9)</f>
        <v>28.3124</v>
      </c>
      <c r="H622" s="10">
        <f>CHOOSE(CONTROL!$C$42, 28.5509, 28.5509) * CHOOSE(CONTROL!$C$21, $C$9, 100%, $E$9)</f>
        <v>28.550899999999999</v>
      </c>
      <c r="I622" s="10">
        <f>CHOOSE(CONTROL!$C$42, 28.3205, 28.3205)* CHOOSE(CONTROL!$C$21, $C$9, 100%, $E$9)</f>
        <v>28.320499999999999</v>
      </c>
      <c r="J622" s="10">
        <f>CHOOSE(CONTROL!$C$42, 28.2905, 28.2905)* CHOOSE(CONTROL!$C$21, $C$9, 100%, $E$9)</f>
        <v>28.290500000000002</v>
      </c>
      <c r="K622" s="53">
        <f>CHOOSE(CONTROL!$C$42, 28.3166, 28.3166) * CHOOSE(CONTROL!$C$21, $C$9, 100%, $E$9)</f>
        <v>28.316600000000001</v>
      </c>
      <c r="L622" s="10">
        <f>CHOOSE(CONTROL!$C$42, 29.1379, 29.1379) * CHOOSE(CONTROL!$C$21, $C$9, 100%, $E$9)</f>
        <v>29.137899999999998</v>
      </c>
      <c r="M622" s="10">
        <f>CHOOSE(CONTROL!$C$42, 28.0188, 28.0188) * CHOOSE(CONTROL!$C$21, $C$9, 100%, $E$9)</f>
        <v>28.018799999999999</v>
      </c>
      <c r="N622" s="10">
        <f>CHOOSE(CONTROL!$C$42, 28.0336, 28.0336) * CHOOSE(CONTROL!$C$21, $C$9, 100%, $E$9)</f>
        <v>28.0336</v>
      </c>
      <c r="O622" s="10">
        <f>CHOOSE(CONTROL!$C$42, 28.2766, 28.2766) * CHOOSE(CONTROL!$C$21, $C$9, 100%, $E$9)</f>
        <v>28.276599999999998</v>
      </c>
      <c r="P622" s="10">
        <f>CHOOSE(CONTROL!$C$42, 28.0486, 28.0486) * CHOOSE(CONTROL!$C$21, $C$9, 100%, $E$9)</f>
        <v>28.0486</v>
      </c>
      <c r="Q622" s="10">
        <f>CHOOSE(CONTROL!$C$42, 28.8719, 28.8719) * CHOOSE(CONTROL!$C$21, $C$9, 100%, $E$9)</f>
        <v>28.8719</v>
      </c>
      <c r="R622" s="10">
        <f>CHOOSE(CONTROL!$C$42, 29.5311, 29.5311) * CHOOSE(CONTROL!$C$21, $C$9, 100%, $E$9)</f>
        <v>29.531099999999999</v>
      </c>
      <c r="S622" s="10">
        <f>CHOOSE(CONTROL!$C$42, 27.4978, 27.4978) * CHOOSE(CONTROL!$C$21, $C$9, 100%, $E$9)</f>
        <v>27.497800000000002</v>
      </c>
      <c r="T6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57">
        <f>(1000*CHOOSE(CONTROL!$C$42, 695, 695)*CHOOSE(CONTROL!$C$42, 0.5599, 0.5599)*CHOOSE(CONTROL!$C$42, 31, 31))/1000000</f>
        <v>12.063045499999998</v>
      </c>
      <c r="V622" s="57">
        <f>(1000*CHOOSE(CONTROL!$C$42, 500, 500)*CHOOSE(CONTROL!$C$42, 0.275, 0.275)*CHOOSE(CONTROL!$C$42, 31, 31))/1000000</f>
        <v>4.2625000000000002</v>
      </c>
      <c r="W622" s="57">
        <f>(1000*CHOOSE(CONTROL!$C$42, 0.1146, 0.1146)*CHOOSE(CONTROL!$C$42, 121.5, 121.5)*CHOOSE(CONTROL!$C$42, 31, 31))/1000000</f>
        <v>0.43164089999999994</v>
      </c>
      <c r="X622" s="57">
        <f>(31*0.1790888*245000/1000000)+(31*0.2374*100000/1000000)</f>
        <v>2.0961194359999999</v>
      </c>
      <c r="Y622" s="57"/>
      <c r="Z622" s="10"/>
      <c r="AA622" s="56"/>
      <c r="AB622" s="50">
        <f>(B622*131.881+C622*277.167+D622*79.08+E622*125.872+F622*40+G622*185+H622*0+I622*100+J622*300)/(131.881+277.167+79.08+125.872+0+40+185+100+300)</f>
        <v>28.349698517191285</v>
      </c>
      <c r="AC622" s="45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28.140784172661871</v>
      </c>
    </row>
    <row r="623" spans="1:29" ht="15.75" x14ac:dyDescent="0.25">
      <c r="A623" s="13">
        <v>59870</v>
      </c>
      <c r="B623" s="10">
        <f>CHOOSE(CONTROL!$C$42, 29.0643, 29.0643) * CHOOSE(CONTROL!$C$21, $C$9, 100%, $E$9)</f>
        <v>29.064299999999999</v>
      </c>
      <c r="C623" s="10">
        <f>CHOOSE(CONTROL!$C$42, 29.0692, 29.0692) * CHOOSE(CONTROL!$C$21, $C$9, 100%, $E$9)</f>
        <v>29.069199999999999</v>
      </c>
      <c r="D623" s="10">
        <f>CHOOSE(CONTROL!$C$42, 29.1297, 29.1297) * CHOOSE(CONTROL!$C$21, $C$9, 100%, $E$9)</f>
        <v>29.1297</v>
      </c>
      <c r="E623" s="10">
        <f>CHOOSE(CONTROL!$C$42, 29.1635, 29.1635) * CHOOSE(CONTROL!$C$21, $C$9, 100%, $E$9)</f>
        <v>29.163499999999999</v>
      </c>
      <c r="F623" s="10">
        <f>CHOOSE(CONTROL!$C$42, 29.0599, 29.0599)*CHOOSE(CONTROL!$C$21, $C$9, 100%, $E$9)</f>
        <v>29.059899999999999</v>
      </c>
      <c r="G623" s="10">
        <f>CHOOSE(CONTROL!$C$42, 29.0751, 29.0751)*CHOOSE(CONTROL!$C$21, $C$9, 100%, $E$9)</f>
        <v>29.075099999999999</v>
      </c>
      <c r="H623" s="10">
        <f>CHOOSE(CONTROL!$C$42, 29.1527, 29.1527) * CHOOSE(CONTROL!$C$21, $C$9, 100%, $E$9)</f>
        <v>29.152699999999999</v>
      </c>
      <c r="I623" s="10">
        <f>CHOOSE(CONTROL!$C$42, 29.0768, 29.0768)* CHOOSE(CONTROL!$C$21, $C$9, 100%, $E$9)</f>
        <v>29.076799999999999</v>
      </c>
      <c r="J623" s="10">
        <f>CHOOSE(CONTROL!$C$42, 29.0529, 29.0529)* CHOOSE(CONTROL!$C$21, $C$9, 100%, $E$9)</f>
        <v>29.052900000000001</v>
      </c>
      <c r="K623" s="53">
        <f>CHOOSE(CONTROL!$C$42, 29.0729, 29.0729) * CHOOSE(CONTROL!$C$21, $C$9, 100%, $E$9)</f>
        <v>29.072900000000001</v>
      </c>
      <c r="L623" s="10">
        <f>CHOOSE(CONTROL!$C$42, 29.7397, 29.7397) * CHOOSE(CONTROL!$C$21, $C$9, 100%, $E$9)</f>
        <v>29.739699999999999</v>
      </c>
      <c r="M623" s="10">
        <f>CHOOSE(CONTROL!$C$42, 28.7735, 28.7735) * CHOOSE(CONTROL!$C$21, $C$9, 100%, $E$9)</f>
        <v>28.773499999999999</v>
      </c>
      <c r="N623" s="10">
        <f>CHOOSE(CONTROL!$C$42, 28.7886, 28.7886) * CHOOSE(CONTROL!$C$21, $C$9, 100%, $E$9)</f>
        <v>28.788599999999999</v>
      </c>
      <c r="O623" s="10">
        <f>CHOOSE(CONTROL!$C$42, 28.8723, 28.8723) * CHOOSE(CONTROL!$C$21, $C$9, 100%, $E$9)</f>
        <v>28.872299999999999</v>
      </c>
      <c r="P623" s="10">
        <f>CHOOSE(CONTROL!$C$42, 28.7972, 28.7972) * CHOOSE(CONTROL!$C$21, $C$9, 100%, $E$9)</f>
        <v>28.7972</v>
      </c>
      <c r="Q623" s="10">
        <f>CHOOSE(CONTROL!$C$42, 29.4676, 29.4676) * CHOOSE(CONTROL!$C$21, $C$9, 100%, $E$9)</f>
        <v>29.467600000000001</v>
      </c>
      <c r="R623" s="10">
        <f>CHOOSE(CONTROL!$C$42, 30.1283, 30.1283) * CHOOSE(CONTROL!$C$21, $C$9, 100%, $E$9)</f>
        <v>30.128299999999999</v>
      </c>
      <c r="S623" s="10">
        <f>CHOOSE(CONTROL!$C$42, 28.2222, 28.2222) * CHOOSE(CONTROL!$C$21, $C$9, 100%, $E$9)</f>
        <v>28.222200000000001</v>
      </c>
      <c r="T6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57">
        <f>(1000*CHOOSE(CONTROL!$C$42, 695, 695)*CHOOSE(CONTROL!$C$42, 0.5599, 0.5599)*CHOOSE(CONTROL!$C$42, 30, 30))/1000000</f>
        <v>11.673914999999997</v>
      </c>
      <c r="V623" s="57">
        <f>(1000*CHOOSE(CONTROL!$C$42, 500, 500)*CHOOSE(CONTROL!$C$42, 0.275, 0.275)*CHOOSE(CONTROL!$C$42, 30, 30))/1000000</f>
        <v>4.125</v>
      </c>
      <c r="W623" s="57">
        <f>(1000*CHOOSE(CONTROL!$C$42, 0.1146, 0.1146)*CHOOSE(CONTROL!$C$42, 121.5, 121.5)*CHOOSE(CONTROL!$C$42, 30, 30))/1000000</f>
        <v>0.417717</v>
      </c>
      <c r="X623" s="57">
        <f>(30*0.1790888*100000/1000000)+(30*0.2374*100000/1000000)</f>
        <v>1.2494664</v>
      </c>
      <c r="Y623" s="57"/>
      <c r="Z623" s="10"/>
      <c r="AA623" s="56"/>
      <c r="AB623" s="50">
        <f>(B623*122.58+C623*297.941+D623*89.177+E623*40.302+F623*40+G623*160+H623*0+I623*100+J623*300)/(122.58+297.941+89.177+40.302+0+40+160+100+300)</f>
        <v>29.07358003921739</v>
      </c>
      <c r="AC623" s="45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28.822558992805757</v>
      </c>
    </row>
    <row r="624" spans="1:29" ht="15.75" x14ac:dyDescent="0.25">
      <c r="A624" s="13">
        <v>59901</v>
      </c>
      <c r="B624" s="10">
        <f>CHOOSE(CONTROL!$C$42, 31.0457, 31.0457) * CHOOSE(CONTROL!$C$21, $C$9, 100%, $E$9)</f>
        <v>31.0457</v>
      </c>
      <c r="C624" s="10">
        <f>CHOOSE(CONTROL!$C$42, 31.0506, 31.0506) * CHOOSE(CONTROL!$C$21, $C$9, 100%, $E$9)</f>
        <v>31.050599999999999</v>
      </c>
      <c r="D624" s="10">
        <f>CHOOSE(CONTROL!$C$42, 31.1111, 31.1111) * CHOOSE(CONTROL!$C$21, $C$9, 100%, $E$9)</f>
        <v>31.1111</v>
      </c>
      <c r="E624" s="10">
        <f>CHOOSE(CONTROL!$C$42, 31.1449, 31.1449) * CHOOSE(CONTROL!$C$21, $C$9, 100%, $E$9)</f>
        <v>31.1449</v>
      </c>
      <c r="F624" s="10">
        <f>CHOOSE(CONTROL!$C$42, 31.0431, 31.0431)*CHOOSE(CONTROL!$C$21, $C$9, 100%, $E$9)</f>
        <v>31.043099999999999</v>
      </c>
      <c r="G624" s="10">
        <f>CHOOSE(CONTROL!$C$42, 31.0588, 31.0588)*CHOOSE(CONTROL!$C$21, $C$9, 100%, $E$9)</f>
        <v>31.058800000000002</v>
      </c>
      <c r="H624" s="10">
        <f>CHOOSE(CONTROL!$C$42, 31.1341, 31.1341) * CHOOSE(CONTROL!$C$21, $C$9, 100%, $E$9)</f>
        <v>31.1341</v>
      </c>
      <c r="I624" s="10">
        <f>CHOOSE(CONTROL!$C$42, 31.0582, 31.0582)* CHOOSE(CONTROL!$C$21, $C$9, 100%, $E$9)</f>
        <v>31.058199999999999</v>
      </c>
      <c r="J624" s="10">
        <f>CHOOSE(CONTROL!$C$42, 31.0361, 31.0361)* CHOOSE(CONTROL!$C$21, $C$9, 100%, $E$9)</f>
        <v>31.036100000000001</v>
      </c>
      <c r="K624" s="53">
        <f>CHOOSE(CONTROL!$C$42, 31.0543, 31.0543) * CHOOSE(CONTROL!$C$21, $C$9, 100%, $E$9)</f>
        <v>31.054300000000001</v>
      </c>
      <c r="L624" s="10">
        <f>CHOOSE(CONTROL!$C$42, 31.7211, 31.7211) * CHOOSE(CONTROL!$C$21, $C$9, 100%, $E$9)</f>
        <v>31.7211</v>
      </c>
      <c r="M624" s="10">
        <f>CHOOSE(CONTROL!$C$42, 30.7367, 30.7367) * CHOOSE(CONTROL!$C$21, $C$9, 100%, $E$9)</f>
        <v>30.736699999999999</v>
      </c>
      <c r="N624" s="10">
        <f>CHOOSE(CONTROL!$C$42, 30.7523, 30.7523) * CHOOSE(CONTROL!$C$21, $C$9, 100%, $E$9)</f>
        <v>30.752300000000002</v>
      </c>
      <c r="O624" s="10">
        <f>CHOOSE(CONTROL!$C$42, 30.8337, 30.8337) * CHOOSE(CONTROL!$C$21, $C$9, 100%, $E$9)</f>
        <v>30.8337</v>
      </c>
      <c r="P624" s="10">
        <f>CHOOSE(CONTROL!$C$42, 30.7586, 30.7586) * CHOOSE(CONTROL!$C$21, $C$9, 100%, $E$9)</f>
        <v>30.758600000000001</v>
      </c>
      <c r="Q624" s="10">
        <f>CHOOSE(CONTROL!$C$42, 31.429, 31.429) * CHOOSE(CONTROL!$C$21, $C$9, 100%, $E$9)</f>
        <v>31.428999999999998</v>
      </c>
      <c r="R624" s="10">
        <f>CHOOSE(CONTROL!$C$42, 32.0946, 32.0946) * CHOOSE(CONTROL!$C$21, $C$9, 100%, $E$9)</f>
        <v>32.0946</v>
      </c>
      <c r="S624" s="10">
        <f>CHOOSE(CONTROL!$C$42, 30.1463, 30.1463) * CHOOSE(CONTROL!$C$21, $C$9, 100%, $E$9)</f>
        <v>30.1463</v>
      </c>
      <c r="T6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57">
        <f>(1000*CHOOSE(CONTROL!$C$42, 695, 695)*CHOOSE(CONTROL!$C$42, 0.5599, 0.5599)*CHOOSE(CONTROL!$C$42, 31, 31))/1000000</f>
        <v>12.063045499999998</v>
      </c>
      <c r="V624" s="57">
        <f>(1000*CHOOSE(CONTROL!$C$42, 500, 500)*CHOOSE(CONTROL!$C$42, 0.275, 0.275)*CHOOSE(CONTROL!$C$42, 31, 31))/1000000</f>
        <v>4.2625000000000002</v>
      </c>
      <c r="W624" s="57">
        <f>(1000*CHOOSE(CONTROL!$C$42, 0.1146, 0.1146)*CHOOSE(CONTROL!$C$42, 121.5, 121.5)*CHOOSE(CONTROL!$C$42, 31, 31))/1000000</f>
        <v>0.43164089999999994</v>
      </c>
      <c r="X624" s="57">
        <f>(31*0.1790888*100000/1000000)+(31*0.2374*100000/1000000)</f>
        <v>1.2911152800000001</v>
      </c>
      <c r="Y624" s="57"/>
      <c r="Z624" s="10"/>
      <c r="AA624" s="56"/>
      <c r="AB624" s="50">
        <f>(B624*122.58+C624*297.941+D624*89.177+E624*40.302+F624*40+G624*160+H624*0+I624*100+J624*300)/(122.58+297.941+89.177+40.302+0+40+160+100+300)</f>
        <v>31.055832213130433</v>
      </c>
      <c r="AC624" s="45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30.784712949640291</v>
      </c>
    </row>
    <row r="625" spans="1:29" ht="15.75" x14ac:dyDescent="0.25">
      <c r="A625" s="13">
        <v>59932</v>
      </c>
      <c r="B625" s="10">
        <f>CHOOSE(CONTROL!$C$42, 33.5892, 33.5892) * CHOOSE(CONTROL!$C$21, $C$9, 100%, $E$9)</f>
        <v>33.589199999999998</v>
      </c>
      <c r="C625" s="10">
        <f>CHOOSE(CONTROL!$C$42, 33.5942, 33.5942) * CHOOSE(CONTROL!$C$21, $C$9, 100%, $E$9)</f>
        <v>33.594200000000001</v>
      </c>
      <c r="D625" s="10">
        <f>CHOOSE(CONTROL!$C$42, 33.6512, 33.6512) * CHOOSE(CONTROL!$C$21, $C$9, 100%, $E$9)</f>
        <v>33.651200000000003</v>
      </c>
      <c r="E625" s="10">
        <f>CHOOSE(CONTROL!$C$42, 33.685, 33.685) * CHOOSE(CONTROL!$C$21, $C$9, 100%, $E$9)</f>
        <v>33.685000000000002</v>
      </c>
      <c r="F625" s="10">
        <f>CHOOSE(CONTROL!$C$42, 33.587, 33.587)*CHOOSE(CONTROL!$C$21, $C$9, 100%, $E$9)</f>
        <v>33.587000000000003</v>
      </c>
      <c r="G625" s="10">
        <f>CHOOSE(CONTROL!$C$42, 33.6016, 33.6016)*CHOOSE(CONTROL!$C$21, $C$9, 100%, $E$9)</f>
        <v>33.601599999999998</v>
      </c>
      <c r="H625" s="10">
        <f>CHOOSE(CONTROL!$C$42, 33.6742, 33.6742) * CHOOSE(CONTROL!$C$21, $C$9, 100%, $E$9)</f>
        <v>33.674199999999999</v>
      </c>
      <c r="I625" s="10">
        <f>CHOOSE(CONTROL!$C$42, 33.6, 33.6)* CHOOSE(CONTROL!$C$21, $C$9, 100%, $E$9)</f>
        <v>33.6</v>
      </c>
      <c r="J625" s="10">
        <f>CHOOSE(CONTROL!$C$42, 33.58, 33.58)* CHOOSE(CONTROL!$C$21, $C$9, 100%, $E$9)</f>
        <v>33.58</v>
      </c>
      <c r="K625" s="53">
        <f>CHOOSE(CONTROL!$C$42, 33.5961, 33.5961) * CHOOSE(CONTROL!$C$21, $C$9, 100%, $E$9)</f>
        <v>33.5961</v>
      </c>
      <c r="L625" s="10">
        <f>CHOOSE(CONTROL!$C$42, 34.2612, 34.2612) * CHOOSE(CONTROL!$C$21, $C$9, 100%, $E$9)</f>
        <v>34.261200000000002</v>
      </c>
      <c r="M625" s="10">
        <f>CHOOSE(CONTROL!$C$42, 33.255, 33.255) * CHOOSE(CONTROL!$C$21, $C$9, 100%, $E$9)</f>
        <v>33.255000000000003</v>
      </c>
      <c r="N625" s="10">
        <f>CHOOSE(CONTROL!$C$42, 33.2694, 33.2694) * CHOOSE(CONTROL!$C$21, $C$9, 100%, $E$9)</f>
        <v>33.269399999999997</v>
      </c>
      <c r="O625" s="10">
        <f>CHOOSE(CONTROL!$C$42, 33.3482, 33.3482) * CHOOSE(CONTROL!$C$21, $C$9, 100%, $E$9)</f>
        <v>33.348199999999999</v>
      </c>
      <c r="P625" s="10">
        <f>CHOOSE(CONTROL!$C$42, 33.2748, 33.2748) * CHOOSE(CONTROL!$C$21, $C$9, 100%, $E$9)</f>
        <v>33.274799999999999</v>
      </c>
      <c r="Q625" s="10">
        <f>CHOOSE(CONTROL!$C$42, 33.9435, 33.9435) * CHOOSE(CONTROL!$C$21, $C$9, 100%, $E$9)</f>
        <v>33.9435</v>
      </c>
      <c r="R625" s="10">
        <f>CHOOSE(CONTROL!$C$42, 34.6154, 34.6154) * CHOOSE(CONTROL!$C$21, $C$9, 100%, $E$9)</f>
        <v>34.615400000000001</v>
      </c>
      <c r="S625" s="10">
        <f>CHOOSE(CONTROL!$C$42, 32.6163, 32.6163) * CHOOSE(CONTROL!$C$21, $C$9, 100%, $E$9)</f>
        <v>32.616300000000003</v>
      </c>
      <c r="T6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57">
        <f>(1000*CHOOSE(CONTROL!$C$42, 695, 695)*CHOOSE(CONTROL!$C$42, 0.5599, 0.5599)*CHOOSE(CONTROL!$C$42, 31, 31))/1000000</f>
        <v>12.063045499999998</v>
      </c>
      <c r="V625" s="57">
        <f>(1000*CHOOSE(CONTROL!$C$42, 500, 500)*CHOOSE(CONTROL!$C$42, 0.275, 0.275)*CHOOSE(CONTROL!$C$42, 31, 31))/1000000</f>
        <v>4.2625000000000002</v>
      </c>
      <c r="W625" s="57">
        <f>(1000*CHOOSE(CONTROL!$C$42, 0.1146, 0.1146)*CHOOSE(CONTROL!$C$42, 121.5, 121.5)*CHOOSE(CONTROL!$C$42, 31, 31))/1000000</f>
        <v>0.43164089999999994</v>
      </c>
      <c r="X625" s="57">
        <f>(31*0.1790888*100000/1000000)+(31*0.2374*100000/1000000)</f>
        <v>1.2911152800000001</v>
      </c>
      <c r="Y625" s="57"/>
      <c r="Z625" s="10"/>
      <c r="AA625" s="56"/>
      <c r="AB625" s="50">
        <f>(B625*122.58+C625*297.941+D625*89.177+E625*40.302+F625*40+G625*160+H625*0+I625*100+J625*300)/(122.58+297.941+89.177+40.302+0+40+160+100+300)</f>
        <v>33.598848357043472</v>
      </c>
      <c r="AC625" s="45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33.300919424460432</v>
      </c>
    </row>
    <row r="626" spans="1:29" ht="15.75" x14ac:dyDescent="0.25">
      <c r="A626" s="13">
        <v>59961</v>
      </c>
      <c r="B626" s="10">
        <f>CHOOSE(CONTROL!$C$42, 34.1871, 34.1871) * CHOOSE(CONTROL!$C$21, $C$9, 100%, $E$9)</f>
        <v>34.187100000000001</v>
      </c>
      <c r="C626" s="10">
        <f>CHOOSE(CONTROL!$C$42, 34.192, 34.192) * CHOOSE(CONTROL!$C$21, $C$9, 100%, $E$9)</f>
        <v>34.192</v>
      </c>
      <c r="D626" s="10">
        <f>CHOOSE(CONTROL!$C$42, 34.2491, 34.2491) * CHOOSE(CONTROL!$C$21, $C$9, 100%, $E$9)</f>
        <v>34.249099999999999</v>
      </c>
      <c r="E626" s="10">
        <f>CHOOSE(CONTROL!$C$42, 34.2829, 34.2829) * CHOOSE(CONTROL!$C$21, $C$9, 100%, $E$9)</f>
        <v>34.282899999999998</v>
      </c>
      <c r="F626" s="10">
        <f>CHOOSE(CONTROL!$C$42, 34.185, 34.185)*CHOOSE(CONTROL!$C$21, $C$9, 100%, $E$9)</f>
        <v>34.185000000000002</v>
      </c>
      <c r="G626" s="10">
        <f>CHOOSE(CONTROL!$C$42, 34.1997, 34.1997)*CHOOSE(CONTROL!$C$21, $C$9, 100%, $E$9)</f>
        <v>34.1997</v>
      </c>
      <c r="H626" s="10">
        <f>CHOOSE(CONTROL!$C$42, 34.2721, 34.2721) * CHOOSE(CONTROL!$C$21, $C$9, 100%, $E$9)</f>
        <v>34.272100000000002</v>
      </c>
      <c r="I626" s="10">
        <f>CHOOSE(CONTROL!$C$42, 34.1979, 34.1979)* CHOOSE(CONTROL!$C$21, $C$9, 100%, $E$9)</f>
        <v>34.197899999999997</v>
      </c>
      <c r="J626" s="10">
        <f>CHOOSE(CONTROL!$C$42, 34.178, 34.178)* CHOOSE(CONTROL!$C$21, $C$9, 100%, $E$9)</f>
        <v>34.177999999999997</v>
      </c>
      <c r="K626" s="53">
        <f>CHOOSE(CONTROL!$C$42, 34.194, 34.194) * CHOOSE(CONTROL!$C$21, $C$9, 100%, $E$9)</f>
        <v>34.194000000000003</v>
      </c>
      <c r="L626" s="10">
        <f>CHOOSE(CONTROL!$C$42, 34.8591, 34.8591) * CHOOSE(CONTROL!$C$21, $C$9, 100%, $E$9)</f>
        <v>34.859099999999998</v>
      </c>
      <c r="M626" s="10">
        <f>CHOOSE(CONTROL!$C$42, 33.8469, 33.8469) * CHOOSE(CONTROL!$C$21, $C$9, 100%, $E$9)</f>
        <v>33.846899999999998</v>
      </c>
      <c r="N626" s="10">
        <f>CHOOSE(CONTROL!$C$42, 33.8614, 33.8614) * CHOOSE(CONTROL!$C$21, $C$9, 100%, $E$9)</f>
        <v>33.861400000000003</v>
      </c>
      <c r="O626" s="10">
        <f>CHOOSE(CONTROL!$C$42, 33.94, 33.94) * CHOOSE(CONTROL!$C$21, $C$9, 100%, $E$9)</f>
        <v>33.94</v>
      </c>
      <c r="P626" s="10">
        <f>CHOOSE(CONTROL!$C$42, 33.8666, 33.8666) * CHOOSE(CONTROL!$C$21, $C$9, 100%, $E$9)</f>
        <v>33.866599999999998</v>
      </c>
      <c r="Q626" s="10">
        <f>CHOOSE(CONTROL!$C$42, 34.5353, 34.5353) * CHOOSE(CONTROL!$C$21, $C$9, 100%, $E$9)</f>
        <v>34.535299999999999</v>
      </c>
      <c r="R626" s="10">
        <f>CHOOSE(CONTROL!$C$42, 35.2087, 35.2087) * CHOOSE(CONTROL!$C$21, $C$9, 100%, $E$9)</f>
        <v>35.2087</v>
      </c>
      <c r="S626" s="10">
        <f>CHOOSE(CONTROL!$C$42, 33.1969, 33.1969) * CHOOSE(CONTROL!$C$21, $C$9, 100%, $E$9)</f>
        <v>33.196899999999999</v>
      </c>
      <c r="T62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26" s="57">
        <f>(1000*CHOOSE(CONTROL!$C$42, 695, 695)*CHOOSE(CONTROL!$C$42, 0.5599, 0.5599)*CHOOSE(CONTROL!$C$42, 29, 29))/1000000</f>
        <v>11.284784499999999</v>
      </c>
      <c r="V626" s="57">
        <f>(1000*CHOOSE(CONTROL!$C$42, 500, 500)*CHOOSE(CONTROL!$C$42, 0.275, 0.275)*CHOOSE(CONTROL!$C$42, 29, 29))/1000000</f>
        <v>3.9874999999999998</v>
      </c>
      <c r="W626" s="57">
        <f>(1000*CHOOSE(CONTROL!$C$42, 0.1146, 0.1146)*CHOOSE(CONTROL!$C$42, 121.5, 121.5)*CHOOSE(CONTROL!$C$42, 29, 29))/1000000</f>
        <v>0.40379309999999996</v>
      </c>
      <c r="X626" s="57">
        <f>(29*0.1790888*100000/1000000)+(29*0.2374*100000/1000000)</f>
        <v>1.2078175199999999</v>
      </c>
      <c r="Y626" s="57"/>
      <c r="Z626" s="10"/>
      <c r="AA626" s="56"/>
      <c r="AB626" s="50">
        <f>(B626*122.58+C626*297.941+D626*89.177+E626*40.302+F626*40+G626*160+H626*0+I626*100+J626*300)/(122.58+297.941+89.177+40.302+0+40+160+100+300)</f>
        <v>34.196779840434779</v>
      </c>
      <c r="AC626" s="45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33.8927654676259</v>
      </c>
    </row>
    <row r="627" spans="1:29" ht="15.75" x14ac:dyDescent="0.25">
      <c r="A627" s="13">
        <v>59992</v>
      </c>
      <c r="B627" s="10">
        <f>CHOOSE(CONTROL!$C$42, 33.2166, 33.2166) * CHOOSE(CONTROL!$C$21, $C$9, 100%, $E$9)</f>
        <v>33.2166</v>
      </c>
      <c r="C627" s="10">
        <f>CHOOSE(CONTROL!$C$42, 33.2215, 33.2215) * CHOOSE(CONTROL!$C$21, $C$9, 100%, $E$9)</f>
        <v>33.221499999999999</v>
      </c>
      <c r="D627" s="10">
        <f>CHOOSE(CONTROL!$C$42, 33.2786, 33.2786) * CHOOSE(CONTROL!$C$21, $C$9, 100%, $E$9)</f>
        <v>33.278599999999997</v>
      </c>
      <c r="E627" s="10">
        <f>CHOOSE(CONTROL!$C$42, 33.3124, 33.3124) * CHOOSE(CONTROL!$C$21, $C$9, 100%, $E$9)</f>
        <v>33.312399999999997</v>
      </c>
      <c r="F627" s="10">
        <f>CHOOSE(CONTROL!$C$42, 33.2144, 33.2144)*CHOOSE(CONTROL!$C$21, $C$9, 100%, $E$9)</f>
        <v>33.214399999999998</v>
      </c>
      <c r="G627" s="10">
        <f>CHOOSE(CONTROL!$C$42, 33.229, 33.229)*CHOOSE(CONTROL!$C$21, $C$9, 100%, $E$9)</f>
        <v>33.228999999999999</v>
      </c>
      <c r="H627" s="10">
        <f>CHOOSE(CONTROL!$C$42, 33.3016, 33.3016) * CHOOSE(CONTROL!$C$21, $C$9, 100%, $E$9)</f>
        <v>33.301600000000001</v>
      </c>
      <c r="I627" s="10">
        <f>CHOOSE(CONTROL!$C$42, 33.2274, 33.2274)* CHOOSE(CONTROL!$C$21, $C$9, 100%, $E$9)</f>
        <v>33.227400000000003</v>
      </c>
      <c r="J627" s="10">
        <f>CHOOSE(CONTROL!$C$42, 33.2074, 33.2074)* CHOOSE(CONTROL!$C$21, $C$9, 100%, $E$9)</f>
        <v>33.2074</v>
      </c>
      <c r="K627" s="53">
        <f>CHOOSE(CONTROL!$C$42, 33.2235, 33.2235) * CHOOSE(CONTROL!$C$21, $C$9, 100%, $E$9)</f>
        <v>33.223500000000001</v>
      </c>
      <c r="L627" s="10">
        <f>CHOOSE(CONTROL!$C$42, 33.8886, 33.8886) * CHOOSE(CONTROL!$C$21, $C$9, 100%, $E$9)</f>
        <v>33.888599999999997</v>
      </c>
      <c r="M627" s="10">
        <f>CHOOSE(CONTROL!$C$42, 32.8861, 32.8861) * CHOOSE(CONTROL!$C$21, $C$9, 100%, $E$9)</f>
        <v>32.886099999999999</v>
      </c>
      <c r="N627" s="10">
        <f>CHOOSE(CONTROL!$C$42, 32.9006, 32.9006) * CHOOSE(CONTROL!$C$21, $C$9, 100%, $E$9)</f>
        <v>32.900599999999997</v>
      </c>
      <c r="O627" s="10">
        <f>CHOOSE(CONTROL!$C$42, 32.9793, 32.9793) * CHOOSE(CONTROL!$C$21, $C$9, 100%, $E$9)</f>
        <v>32.979300000000002</v>
      </c>
      <c r="P627" s="10">
        <f>CHOOSE(CONTROL!$C$42, 32.9059, 32.9059) * CHOOSE(CONTROL!$C$21, $C$9, 100%, $E$9)</f>
        <v>32.905900000000003</v>
      </c>
      <c r="Q627" s="10">
        <f>CHOOSE(CONTROL!$C$42, 33.5746, 33.5746) * CHOOSE(CONTROL!$C$21, $C$9, 100%, $E$9)</f>
        <v>33.574599999999997</v>
      </c>
      <c r="R627" s="10">
        <f>CHOOSE(CONTROL!$C$42, 34.2456, 34.2456) * CHOOSE(CONTROL!$C$21, $C$9, 100%, $E$9)</f>
        <v>34.245600000000003</v>
      </c>
      <c r="S627" s="10">
        <f>CHOOSE(CONTROL!$C$42, 32.2545, 32.2545) * CHOOSE(CONTROL!$C$21, $C$9, 100%, $E$9)</f>
        <v>32.2545</v>
      </c>
      <c r="T6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57">
        <f>(1000*CHOOSE(CONTROL!$C$42, 695, 695)*CHOOSE(CONTROL!$C$42, 0.5599, 0.5599)*CHOOSE(CONTROL!$C$42, 31, 31))/1000000</f>
        <v>12.063045499999998</v>
      </c>
      <c r="V627" s="57">
        <f>(1000*CHOOSE(CONTROL!$C$42, 500, 500)*CHOOSE(CONTROL!$C$42, 0.275, 0.275)*CHOOSE(CONTROL!$C$42, 31, 31))/1000000</f>
        <v>4.2625000000000002</v>
      </c>
      <c r="W627" s="57">
        <f>(1000*CHOOSE(CONTROL!$C$42, 0.1146, 0.1146)*CHOOSE(CONTROL!$C$42, 121.5, 121.5)*CHOOSE(CONTROL!$C$42, 31, 31))/1000000</f>
        <v>0.43164089999999994</v>
      </c>
      <c r="X627" s="57">
        <f>(31*0.1790888*100000/1000000)+(31*0.2374*100000/1000000)</f>
        <v>1.2911152800000001</v>
      </c>
      <c r="Y627" s="57"/>
      <c r="Z627" s="10"/>
      <c r="AA627" s="56"/>
      <c r="AB627" s="50">
        <f>(B627*122.58+C627*297.941+D627*89.177+E627*40.302+F627*40+G627*160+H627*0+I627*100+J627*300)/(122.58+297.941+89.177+40.302+0+40+160+100+300)</f>
        <v>33.226222449130439</v>
      </c>
      <c r="AC627" s="45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32.932025179856119</v>
      </c>
    </row>
    <row r="628" spans="1:29" ht="15.75" x14ac:dyDescent="0.25">
      <c r="A628" s="13">
        <v>60022</v>
      </c>
      <c r="B628" s="10">
        <f>CHOOSE(CONTROL!$C$42, 33.1183, 33.1183) * CHOOSE(CONTROL!$C$21, $C$9, 100%, $E$9)</f>
        <v>33.118299999999998</v>
      </c>
      <c r="C628" s="10">
        <f>CHOOSE(CONTROL!$C$42, 33.1227, 33.1227) * CHOOSE(CONTROL!$C$21, $C$9, 100%, $E$9)</f>
        <v>33.122700000000002</v>
      </c>
      <c r="D628" s="10">
        <f>CHOOSE(CONTROL!$C$42, 33.3285, 33.3285) * CHOOSE(CONTROL!$C$21, $C$9, 100%, $E$9)</f>
        <v>33.328499999999998</v>
      </c>
      <c r="E628" s="10">
        <f>CHOOSE(CONTROL!$C$42, 33.3603, 33.3603) * CHOOSE(CONTROL!$C$21, $C$9, 100%, $E$9)</f>
        <v>33.360300000000002</v>
      </c>
      <c r="F628" s="10">
        <f>CHOOSE(CONTROL!$C$42, 33.0951, 33.0951)*CHOOSE(CONTROL!$C$21, $C$9, 100%, $E$9)</f>
        <v>33.095100000000002</v>
      </c>
      <c r="G628" s="10">
        <f>CHOOSE(CONTROL!$C$42, 33.1096, 33.1096)*CHOOSE(CONTROL!$C$21, $C$9, 100%, $E$9)</f>
        <v>33.1096</v>
      </c>
      <c r="H628" s="10">
        <f>CHOOSE(CONTROL!$C$42, 33.3501, 33.3501) * CHOOSE(CONTROL!$C$21, $C$9, 100%, $E$9)</f>
        <v>33.350099999999998</v>
      </c>
      <c r="I628" s="10">
        <f>CHOOSE(CONTROL!$C$42, 33.1197, 33.1197)* CHOOSE(CONTROL!$C$21, $C$9, 100%, $E$9)</f>
        <v>33.119700000000002</v>
      </c>
      <c r="J628" s="10">
        <f>CHOOSE(CONTROL!$C$42, 33.0881, 33.0881)* CHOOSE(CONTROL!$C$21, $C$9, 100%, $E$9)</f>
        <v>33.088099999999997</v>
      </c>
      <c r="K628" s="53">
        <f>CHOOSE(CONTROL!$C$42, 33.1158, 33.1158) * CHOOSE(CONTROL!$C$21, $C$9, 100%, $E$9)</f>
        <v>33.1158</v>
      </c>
      <c r="L628" s="10">
        <f>CHOOSE(CONTROL!$C$42, 33.9371, 33.9371) * CHOOSE(CONTROL!$C$21, $C$9, 100%, $E$9)</f>
        <v>33.937100000000001</v>
      </c>
      <c r="M628" s="10">
        <f>CHOOSE(CONTROL!$C$42, 32.768, 32.768) * CHOOSE(CONTROL!$C$21, $C$9, 100%, $E$9)</f>
        <v>32.768000000000001</v>
      </c>
      <c r="N628" s="10">
        <f>CHOOSE(CONTROL!$C$42, 32.7824, 32.7824) * CHOOSE(CONTROL!$C$21, $C$9, 100%, $E$9)</f>
        <v>32.782400000000003</v>
      </c>
      <c r="O628" s="10">
        <f>CHOOSE(CONTROL!$C$42, 33.0274, 33.0274) * CHOOSE(CONTROL!$C$21, $C$9, 100%, $E$9)</f>
        <v>33.0274</v>
      </c>
      <c r="P628" s="10">
        <f>CHOOSE(CONTROL!$C$42, 32.7994, 32.7994) * CHOOSE(CONTROL!$C$21, $C$9, 100%, $E$9)</f>
        <v>32.799399999999999</v>
      </c>
      <c r="Q628" s="10">
        <f>CHOOSE(CONTROL!$C$42, 33.6227, 33.6227) * CHOOSE(CONTROL!$C$21, $C$9, 100%, $E$9)</f>
        <v>33.622700000000002</v>
      </c>
      <c r="R628" s="10">
        <f>CHOOSE(CONTROL!$C$42, 34.2937, 34.2937) * CHOOSE(CONTROL!$C$21, $C$9, 100%, $E$9)</f>
        <v>34.293700000000001</v>
      </c>
      <c r="S628" s="10">
        <f>CHOOSE(CONTROL!$C$42, 32.1583, 32.1583) * CHOOSE(CONTROL!$C$21, $C$9, 100%, $E$9)</f>
        <v>32.158299999999997</v>
      </c>
      <c r="T6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57">
        <f>(1000*CHOOSE(CONTROL!$C$42, 695, 695)*CHOOSE(CONTROL!$C$42, 0.5599, 0.5599)*CHOOSE(CONTROL!$C$42, 30, 30))/1000000</f>
        <v>11.673914999999997</v>
      </c>
      <c r="V628" s="57">
        <f>(1000*CHOOSE(CONTROL!$C$42, 500, 500)*CHOOSE(CONTROL!$C$42, 0.275, 0.275)*CHOOSE(CONTROL!$C$42, 30, 30))/1000000</f>
        <v>4.125</v>
      </c>
      <c r="W628" s="57">
        <f>(1000*CHOOSE(CONTROL!$C$42, 0.1146, 0.1146)*CHOOSE(CONTROL!$C$42, 121.5, 121.5)*CHOOSE(CONTROL!$C$42, 30, 30))/1000000</f>
        <v>0.417717</v>
      </c>
      <c r="X628" s="57">
        <f>(30*0.1790888*245000/1000000)+(30*0.2374*100000/1000000)</f>
        <v>2.0285026799999999</v>
      </c>
      <c r="Y628" s="57"/>
      <c r="Z628" s="10"/>
      <c r="AA628" s="56"/>
      <c r="AB628" s="50">
        <f>(B628*141.293+C628*267.993+D628*115.016+E628*89.698+F628*40+G628*185+H628*0+I628*100+J628*300)/(141.293+267.993+115.016+89.698+0+40+185+100+300)</f>
        <v>33.147036842937858</v>
      </c>
      <c r="AC628" s="45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32.89091654676259</v>
      </c>
    </row>
    <row r="629" spans="1:29" ht="15.75" x14ac:dyDescent="0.25">
      <c r="A629" s="13">
        <v>60053</v>
      </c>
      <c r="B629" s="10">
        <f>CHOOSE(CONTROL!$C$42, 33.412, 33.412) * CHOOSE(CONTROL!$C$21, $C$9, 100%, $E$9)</f>
        <v>33.411999999999999</v>
      </c>
      <c r="C629" s="10">
        <f>CHOOSE(CONTROL!$C$42, 33.4199, 33.4199) * CHOOSE(CONTROL!$C$21, $C$9, 100%, $E$9)</f>
        <v>33.419899999999998</v>
      </c>
      <c r="D629" s="10">
        <f>CHOOSE(CONTROL!$C$42, 33.6226, 33.6226) * CHOOSE(CONTROL!$C$21, $C$9, 100%, $E$9)</f>
        <v>33.622599999999998</v>
      </c>
      <c r="E629" s="10">
        <f>CHOOSE(CONTROL!$C$42, 33.6538, 33.6538) * CHOOSE(CONTROL!$C$21, $C$9, 100%, $E$9)</f>
        <v>33.653799999999997</v>
      </c>
      <c r="F629" s="10">
        <f>CHOOSE(CONTROL!$C$42, 33.3877, 33.3877)*CHOOSE(CONTROL!$C$21, $C$9, 100%, $E$9)</f>
        <v>33.387700000000002</v>
      </c>
      <c r="G629" s="10">
        <f>CHOOSE(CONTROL!$C$42, 33.4027, 33.4027)*CHOOSE(CONTROL!$C$21, $C$9, 100%, $E$9)</f>
        <v>33.402700000000003</v>
      </c>
      <c r="H629" s="10">
        <f>CHOOSE(CONTROL!$C$42, 33.6424, 33.6424) * CHOOSE(CONTROL!$C$21, $C$9, 100%, $E$9)</f>
        <v>33.642400000000002</v>
      </c>
      <c r="I629" s="10">
        <f>CHOOSE(CONTROL!$C$42, 33.412, 33.412)* CHOOSE(CONTROL!$C$21, $C$9, 100%, $E$9)</f>
        <v>33.411999999999999</v>
      </c>
      <c r="J629" s="10">
        <f>CHOOSE(CONTROL!$C$42, 33.3807, 33.3807)* CHOOSE(CONTROL!$C$21, $C$9, 100%, $E$9)</f>
        <v>33.380699999999997</v>
      </c>
      <c r="K629" s="53">
        <f>CHOOSE(CONTROL!$C$42, 33.4081, 33.4081) * CHOOSE(CONTROL!$C$21, $C$9, 100%, $E$9)</f>
        <v>33.408099999999997</v>
      </c>
      <c r="L629" s="10">
        <f>CHOOSE(CONTROL!$C$42, 34.2294, 34.2294) * CHOOSE(CONTROL!$C$21, $C$9, 100%, $E$9)</f>
        <v>34.229399999999998</v>
      </c>
      <c r="M629" s="10">
        <f>CHOOSE(CONTROL!$C$42, 33.0576, 33.0576) * CHOOSE(CONTROL!$C$21, $C$9, 100%, $E$9)</f>
        <v>33.057600000000001</v>
      </c>
      <c r="N629" s="10">
        <f>CHOOSE(CONTROL!$C$42, 33.0725, 33.0725) * CHOOSE(CONTROL!$C$21, $C$9, 100%, $E$9)</f>
        <v>33.072499999999998</v>
      </c>
      <c r="O629" s="10">
        <f>CHOOSE(CONTROL!$C$42, 33.3167, 33.3167) * CHOOSE(CONTROL!$C$21, $C$9, 100%, $E$9)</f>
        <v>33.316699999999997</v>
      </c>
      <c r="P629" s="10">
        <f>CHOOSE(CONTROL!$C$42, 33.0887, 33.0887) * CHOOSE(CONTROL!$C$21, $C$9, 100%, $E$9)</f>
        <v>33.088700000000003</v>
      </c>
      <c r="Q629" s="10">
        <f>CHOOSE(CONTROL!$C$42, 33.912, 33.912) * CHOOSE(CONTROL!$C$21, $C$9, 100%, $E$9)</f>
        <v>33.911999999999999</v>
      </c>
      <c r="R629" s="10">
        <f>CHOOSE(CONTROL!$C$42, 34.5838, 34.5838) * CHOOSE(CONTROL!$C$21, $C$9, 100%, $E$9)</f>
        <v>34.583799999999997</v>
      </c>
      <c r="S629" s="10">
        <f>CHOOSE(CONTROL!$C$42, 32.4421, 32.4421) * CHOOSE(CONTROL!$C$21, $C$9, 100%, $E$9)</f>
        <v>32.442100000000003</v>
      </c>
      <c r="T6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57">
        <f>(1000*CHOOSE(CONTROL!$C$42, 695, 695)*CHOOSE(CONTROL!$C$42, 0.5599, 0.5599)*CHOOSE(CONTROL!$C$42, 31, 31))/1000000</f>
        <v>12.063045499999998</v>
      </c>
      <c r="V629" s="57">
        <f>(1000*CHOOSE(CONTROL!$C$42, 500, 500)*CHOOSE(CONTROL!$C$42, 0.275, 0.275)*CHOOSE(CONTROL!$C$42, 31, 31))/1000000</f>
        <v>4.2625000000000002</v>
      </c>
      <c r="W629" s="57">
        <f>(1000*CHOOSE(CONTROL!$C$42, 0.1146, 0.1146)*CHOOSE(CONTROL!$C$42, 121.5, 121.5)*CHOOSE(CONTROL!$C$42, 31, 31))/1000000</f>
        <v>0.43164089999999994</v>
      </c>
      <c r="X629" s="57">
        <f>(31*0.1790888*245000/1000000)+(31*0.2374*100000/1000000)</f>
        <v>2.0961194359999999</v>
      </c>
      <c r="Y629" s="57"/>
      <c r="Z629" s="10"/>
      <c r="AA629" s="56"/>
      <c r="AB629" s="50">
        <f>(B629*194.205+C629*267.466+D629*133.845+E629*53.484+F629*40+G629*185+H629*0+I629*100+J629*300)/(194.205+267.466+133.845+53.484+0+40+185+100+300)</f>
        <v>33.436451075039251</v>
      </c>
      <c r="AC629" s="45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33.180366187050353</v>
      </c>
    </row>
    <row r="630" spans="1:29" ht="15.75" x14ac:dyDescent="0.25">
      <c r="A630" s="13">
        <v>60083</v>
      </c>
      <c r="B630" s="10">
        <f>CHOOSE(CONTROL!$C$42, 34.3596, 34.3596) * CHOOSE(CONTROL!$C$21, $C$9, 100%, $E$9)</f>
        <v>34.3596</v>
      </c>
      <c r="C630" s="10">
        <f>CHOOSE(CONTROL!$C$42, 34.3675, 34.3675) * CHOOSE(CONTROL!$C$21, $C$9, 100%, $E$9)</f>
        <v>34.3675</v>
      </c>
      <c r="D630" s="10">
        <f>CHOOSE(CONTROL!$C$42, 34.5702, 34.5702) * CHOOSE(CONTROL!$C$21, $C$9, 100%, $E$9)</f>
        <v>34.5702</v>
      </c>
      <c r="E630" s="10">
        <f>CHOOSE(CONTROL!$C$42, 34.6014, 34.6014) * CHOOSE(CONTROL!$C$21, $C$9, 100%, $E$9)</f>
        <v>34.601399999999998</v>
      </c>
      <c r="F630" s="10">
        <f>CHOOSE(CONTROL!$C$42, 34.3358, 34.3358)*CHOOSE(CONTROL!$C$21, $C$9, 100%, $E$9)</f>
        <v>34.335799999999999</v>
      </c>
      <c r="G630" s="10">
        <f>CHOOSE(CONTROL!$C$42, 34.351, 34.351)*CHOOSE(CONTROL!$C$21, $C$9, 100%, $E$9)</f>
        <v>34.350999999999999</v>
      </c>
      <c r="H630" s="10">
        <f>CHOOSE(CONTROL!$C$42, 34.59, 34.59) * CHOOSE(CONTROL!$C$21, $C$9, 100%, $E$9)</f>
        <v>34.590000000000003</v>
      </c>
      <c r="I630" s="10">
        <f>CHOOSE(CONTROL!$C$42, 34.3596, 34.3596)* CHOOSE(CONTROL!$C$21, $C$9, 100%, $E$9)</f>
        <v>34.3596</v>
      </c>
      <c r="J630" s="10">
        <f>CHOOSE(CONTROL!$C$42, 34.3288, 34.3288)* CHOOSE(CONTROL!$C$21, $C$9, 100%, $E$9)</f>
        <v>34.328800000000001</v>
      </c>
      <c r="K630" s="53">
        <f>CHOOSE(CONTROL!$C$42, 34.3557, 34.3557) * CHOOSE(CONTROL!$C$21, $C$9, 100%, $E$9)</f>
        <v>34.355699999999999</v>
      </c>
      <c r="L630" s="10">
        <f>CHOOSE(CONTROL!$C$42, 35.177, 35.177) * CHOOSE(CONTROL!$C$21, $C$9, 100%, $E$9)</f>
        <v>35.177</v>
      </c>
      <c r="M630" s="10">
        <f>CHOOSE(CONTROL!$C$42, 33.9962, 33.9962) * CHOOSE(CONTROL!$C$21, $C$9, 100%, $E$9)</f>
        <v>33.996200000000002</v>
      </c>
      <c r="N630" s="10">
        <f>CHOOSE(CONTROL!$C$42, 34.0112, 34.0112) * CHOOSE(CONTROL!$C$21, $C$9, 100%, $E$9)</f>
        <v>34.011200000000002</v>
      </c>
      <c r="O630" s="10">
        <f>CHOOSE(CONTROL!$C$42, 34.2548, 34.2548) * CHOOSE(CONTROL!$C$21, $C$9, 100%, $E$9)</f>
        <v>34.254800000000003</v>
      </c>
      <c r="P630" s="10">
        <f>CHOOSE(CONTROL!$C$42, 34.0267, 34.0267) * CHOOSE(CONTROL!$C$21, $C$9, 100%, $E$9)</f>
        <v>34.026699999999998</v>
      </c>
      <c r="Q630" s="10">
        <f>CHOOSE(CONTROL!$C$42, 34.8501, 34.8501) * CHOOSE(CONTROL!$C$21, $C$9, 100%, $E$9)</f>
        <v>34.850099999999998</v>
      </c>
      <c r="R630" s="10">
        <f>CHOOSE(CONTROL!$C$42, 35.5242, 35.5242) * CHOOSE(CONTROL!$C$21, $C$9, 100%, $E$9)</f>
        <v>35.5242</v>
      </c>
      <c r="S630" s="10">
        <f>CHOOSE(CONTROL!$C$42, 33.3623, 33.3623) * CHOOSE(CONTROL!$C$21, $C$9, 100%, $E$9)</f>
        <v>33.362299999999998</v>
      </c>
      <c r="T6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57">
        <f>(1000*CHOOSE(CONTROL!$C$42, 695, 695)*CHOOSE(CONTROL!$C$42, 0.5599, 0.5599)*CHOOSE(CONTROL!$C$42, 30, 30))/1000000</f>
        <v>11.673914999999997</v>
      </c>
      <c r="V630" s="57">
        <f>(1000*CHOOSE(CONTROL!$C$42, 500, 500)*CHOOSE(CONTROL!$C$42, 0.275, 0.275)*CHOOSE(CONTROL!$C$42, 30, 30))/1000000</f>
        <v>4.125</v>
      </c>
      <c r="W630" s="57">
        <f>(1000*CHOOSE(CONTROL!$C$42, 0.1146, 0.1146)*CHOOSE(CONTROL!$C$42, 121.5, 121.5)*CHOOSE(CONTROL!$C$42, 30, 30))/1000000</f>
        <v>0.417717</v>
      </c>
      <c r="X630" s="57">
        <f>(30*0.1790888*245000/1000000)+(30*0.2374*100000/1000000)</f>
        <v>2.0285026799999999</v>
      </c>
      <c r="Y630" s="57"/>
      <c r="Z630" s="10"/>
      <c r="AA630" s="56"/>
      <c r="AB630" s="50">
        <f>(B630*194.205+C630*267.466+D630*133.845+E630*53.484+F630*40+G630*185+H630*0+I630*100+J630*300)/(194.205+267.466+133.845+53.484+0+40+185+100+300)</f>
        <v>34.384286161381475</v>
      </c>
      <c r="AC630" s="45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34.118658992805756</v>
      </c>
    </row>
    <row r="631" spans="1:29" ht="15.75" x14ac:dyDescent="0.25">
      <c r="A631" s="13">
        <v>60114</v>
      </c>
      <c r="B631" s="10">
        <f>CHOOSE(CONTROL!$C$42, 33.7005, 33.7005) * CHOOSE(CONTROL!$C$21, $C$9, 100%, $E$9)</f>
        <v>33.700499999999998</v>
      </c>
      <c r="C631" s="10">
        <f>CHOOSE(CONTROL!$C$42, 33.7084, 33.7084) * CHOOSE(CONTROL!$C$21, $C$9, 100%, $E$9)</f>
        <v>33.708399999999997</v>
      </c>
      <c r="D631" s="10">
        <f>CHOOSE(CONTROL!$C$42, 33.9112, 33.9112) * CHOOSE(CONTROL!$C$21, $C$9, 100%, $E$9)</f>
        <v>33.911200000000001</v>
      </c>
      <c r="E631" s="10">
        <f>CHOOSE(CONTROL!$C$42, 33.9423, 33.9423) * CHOOSE(CONTROL!$C$21, $C$9, 100%, $E$9)</f>
        <v>33.942300000000003</v>
      </c>
      <c r="F631" s="10">
        <f>CHOOSE(CONTROL!$C$42, 33.6773, 33.6773)*CHOOSE(CONTROL!$C$21, $C$9, 100%, $E$9)</f>
        <v>33.677300000000002</v>
      </c>
      <c r="G631" s="10">
        <f>CHOOSE(CONTROL!$C$42, 33.6925, 33.6925)*CHOOSE(CONTROL!$C$21, $C$9, 100%, $E$9)</f>
        <v>33.692500000000003</v>
      </c>
      <c r="H631" s="10">
        <f>CHOOSE(CONTROL!$C$42, 33.9309, 33.9309) * CHOOSE(CONTROL!$C$21, $C$9, 100%, $E$9)</f>
        <v>33.930900000000001</v>
      </c>
      <c r="I631" s="10">
        <f>CHOOSE(CONTROL!$C$42, 33.7005, 33.7005)* CHOOSE(CONTROL!$C$21, $C$9, 100%, $E$9)</f>
        <v>33.700499999999998</v>
      </c>
      <c r="J631" s="10">
        <f>CHOOSE(CONTROL!$C$42, 33.6703, 33.6703)* CHOOSE(CONTROL!$C$21, $C$9, 100%, $E$9)</f>
        <v>33.670299999999997</v>
      </c>
      <c r="K631" s="53">
        <f>CHOOSE(CONTROL!$C$42, 33.6967, 33.6967) * CHOOSE(CONTROL!$C$21, $C$9, 100%, $E$9)</f>
        <v>33.6967</v>
      </c>
      <c r="L631" s="10">
        <f>CHOOSE(CONTROL!$C$42, 34.5179, 34.5179) * CHOOSE(CONTROL!$C$21, $C$9, 100%, $E$9)</f>
        <v>34.517899999999997</v>
      </c>
      <c r="M631" s="10">
        <f>CHOOSE(CONTROL!$C$42, 33.3443, 33.3443) * CHOOSE(CONTROL!$C$21, $C$9, 100%, $E$9)</f>
        <v>33.344299999999997</v>
      </c>
      <c r="N631" s="10">
        <f>CHOOSE(CONTROL!$C$42, 33.3594, 33.3594) * CHOOSE(CONTROL!$C$21, $C$9, 100%, $E$9)</f>
        <v>33.359400000000001</v>
      </c>
      <c r="O631" s="10">
        <f>CHOOSE(CONTROL!$C$42, 33.6023, 33.6023) * CHOOSE(CONTROL!$C$21, $C$9, 100%, $E$9)</f>
        <v>33.6023</v>
      </c>
      <c r="P631" s="10">
        <f>CHOOSE(CONTROL!$C$42, 33.3743, 33.3743) * CHOOSE(CONTROL!$C$21, $C$9, 100%, $E$9)</f>
        <v>33.374299999999998</v>
      </c>
      <c r="Q631" s="10">
        <f>CHOOSE(CONTROL!$C$42, 34.1976, 34.1976) * CHOOSE(CONTROL!$C$21, $C$9, 100%, $E$9)</f>
        <v>34.197600000000001</v>
      </c>
      <c r="R631" s="10">
        <f>CHOOSE(CONTROL!$C$42, 34.8701, 34.8701) * CHOOSE(CONTROL!$C$21, $C$9, 100%, $E$9)</f>
        <v>34.870100000000001</v>
      </c>
      <c r="S631" s="10">
        <f>CHOOSE(CONTROL!$C$42, 32.7223, 32.7223) * CHOOSE(CONTROL!$C$21, $C$9, 100%, $E$9)</f>
        <v>32.722299999999997</v>
      </c>
      <c r="T6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57">
        <f>(1000*CHOOSE(CONTROL!$C$42, 695, 695)*CHOOSE(CONTROL!$C$42, 0.5599, 0.5599)*CHOOSE(CONTROL!$C$42, 31, 31))/1000000</f>
        <v>12.063045499999998</v>
      </c>
      <c r="V631" s="57">
        <f>(1000*CHOOSE(CONTROL!$C$42, 500, 500)*CHOOSE(CONTROL!$C$42, 0.275, 0.275)*CHOOSE(CONTROL!$C$42, 31, 31))/1000000</f>
        <v>4.2625000000000002</v>
      </c>
      <c r="W631" s="57">
        <f>(1000*CHOOSE(CONTROL!$C$42, 0.1146, 0.1146)*CHOOSE(CONTROL!$C$42, 121.5, 121.5)*CHOOSE(CONTROL!$C$42, 31, 31))/1000000</f>
        <v>0.43164089999999994</v>
      </c>
      <c r="X631" s="57">
        <f>(31*0.1790888*245000/1000000)+(31*0.2374*100000/1000000)</f>
        <v>2.0961194359999999</v>
      </c>
      <c r="Y631" s="57"/>
      <c r="Z631" s="10"/>
      <c r="AA631" s="56"/>
      <c r="AB631" s="50">
        <f>(B631*194.205+C631*267.466+D631*133.845+E631*53.484+F631*40+G631*185+H631*0+I631*100+J631*300)/(194.205+267.466+133.845+53.484+0+40+185+100+300)</f>
        <v>33.725443920015692</v>
      </c>
      <c r="AC631" s="45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33.466420863309352</v>
      </c>
    </row>
    <row r="632" spans="1:29" ht="15.75" x14ac:dyDescent="0.25">
      <c r="A632" s="13">
        <v>60145</v>
      </c>
      <c r="B632" s="10">
        <f>CHOOSE(CONTROL!$C$42, 32.0361, 32.0361) * CHOOSE(CONTROL!$C$21, $C$9, 100%, $E$9)</f>
        <v>32.036099999999998</v>
      </c>
      <c r="C632" s="10">
        <f>CHOOSE(CONTROL!$C$42, 32.0441, 32.0441) * CHOOSE(CONTROL!$C$21, $C$9, 100%, $E$9)</f>
        <v>32.0441</v>
      </c>
      <c r="D632" s="10">
        <f>CHOOSE(CONTROL!$C$42, 32.2468, 32.2468) * CHOOSE(CONTROL!$C$21, $C$9, 100%, $E$9)</f>
        <v>32.2468</v>
      </c>
      <c r="E632" s="10">
        <f>CHOOSE(CONTROL!$C$42, 32.2779, 32.2779) * CHOOSE(CONTROL!$C$21, $C$9, 100%, $E$9)</f>
        <v>32.277900000000002</v>
      </c>
      <c r="F632" s="10">
        <f>CHOOSE(CONTROL!$C$42, 32.0131, 32.0131)*CHOOSE(CONTROL!$C$21, $C$9, 100%, $E$9)</f>
        <v>32.013100000000001</v>
      </c>
      <c r="G632" s="10">
        <f>CHOOSE(CONTROL!$C$42, 32.0284, 32.0284)*CHOOSE(CONTROL!$C$21, $C$9, 100%, $E$9)</f>
        <v>32.028399999999998</v>
      </c>
      <c r="H632" s="10">
        <f>CHOOSE(CONTROL!$C$42, 32.2666, 32.2666) * CHOOSE(CONTROL!$C$21, $C$9, 100%, $E$9)</f>
        <v>32.266599999999997</v>
      </c>
      <c r="I632" s="10">
        <f>CHOOSE(CONTROL!$C$42, 32.0362, 32.0362)* CHOOSE(CONTROL!$C$21, $C$9, 100%, $E$9)</f>
        <v>32.036200000000001</v>
      </c>
      <c r="J632" s="10">
        <f>CHOOSE(CONTROL!$C$42, 32.0061, 32.0061)* CHOOSE(CONTROL!$C$21, $C$9, 100%, $E$9)</f>
        <v>32.006100000000004</v>
      </c>
      <c r="K632" s="53">
        <f>CHOOSE(CONTROL!$C$42, 32.0323, 32.0323) * CHOOSE(CONTROL!$C$21, $C$9, 100%, $E$9)</f>
        <v>32.032299999999999</v>
      </c>
      <c r="L632" s="10">
        <f>CHOOSE(CONTROL!$C$42, 32.8536, 32.8536) * CHOOSE(CONTROL!$C$21, $C$9, 100%, $E$9)</f>
        <v>32.8536</v>
      </c>
      <c r="M632" s="10">
        <f>CHOOSE(CONTROL!$C$42, 31.6969, 31.6969) * CHOOSE(CONTROL!$C$21, $C$9, 100%, $E$9)</f>
        <v>31.696899999999999</v>
      </c>
      <c r="N632" s="10">
        <f>CHOOSE(CONTROL!$C$42, 31.7121, 31.7121) * CHOOSE(CONTROL!$C$21, $C$9, 100%, $E$9)</f>
        <v>31.7121</v>
      </c>
      <c r="O632" s="10">
        <f>CHOOSE(CONTROL!$C$42, 31.9548, 31.9548) * CHOOSE(CONTROL!$C$21, $C$9, 100%, $E$9)</f>
        <v>31.954799999999999</v>
      </c>
      <c r="P632" s="10">
        <f>CHOOSE(CONTROL!$C$42, 31.7267, 31.7267) * CHOOSE(CONTROL!$C$21, $C$9, 100%, $E$9)</f>
        <v>31.726700000000001</v>
      </c>
      <c r="Q632" s="10">
        <f>CHOOSE(CONTROL!$C$42, 32.5501, 32.5501) * CHOOSE(CONTROL!$C$21, $C$9, 100%, $E$9)</f>
        <v>32.5501</v>
      </c>
      <c r="R632" s="10">
        <f>CHOOSE(CONTROL!$C$42, 33.2184, 33.2184) * CHOOSE(CONTROL!$C$21, $C$9, 100%, $E$9)</f>
        <v>33.218400000000003</v>
      </c>
      <c r="S632" s="10">
        <f>CHOOSE(CONTROL!$C$42, 31.106, 31.106) * CHOOSE(CONTROL!$C$21, $C$9, 100%, $E$9)</f>
        <v>31.106000000000002</v>
      </c>
      <c r="T6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57">
        <f>(1000*CHOOSE(CONTROL!$C$42, 695, 695)*CHOOSE(CONTROL!$C$42, 0.5599, 0.5599)*CHOOSE(CONTROL!$C$42, 31, 31))/1000000</f>
        <v>12.063045499999998</v>
      </c>
      <c r="V632" s="57">
        <f>(1000*CHOOSE(CONTROL!$C$42, 500, 500)*CHOOSE(CONTROL!$C$42, 0.275, 0.275)*CHOOSE(CONTROL!$C$42, 31, 31))/1000000</f>
        <v>4.2625000000000002</v>
      </c>
      <c r="W632" s="57">
        <f>(1000*CHOOSE(CONTROL!$C$42, 0.1146, 0.1146)*CHOOSE(CONTROL!$C$42, 121.5, 121.5)*CHOOSE(CONTROL!$C$42, 31, 31))/1000000</f>
        <v>0.43164089999999994</v>
      </c>
      <c r="X632" s="57">
        <f>(31*0.1790888*245000/1000000)+(31*0.2374*100000/1000000)</f>
        <v>2.0961194359999999</v>
      </c>
      <c r="Y632" s="57"/>
      <c r="Z632" s="10"/>
      <c r="AA632" s="56"/>
      <c r="AB632" s="50">
        <f>(B632*194.205+C632*267.466+D632*133.845+E632*53.484+F632*40+G632*185+H632*0+I632*100+J632*300)/(194.205+267.466+133.845+53.484+0+40+185+100+300)</f>
        <v>32.061169702276302</v>
      </c>
      <c r="AC632" s="45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31.818952517985611</v>
      </c>
    </row>
    <row r="633" spans="1:29" ht="15.75" x14ac:dyDescent="0.25">
      <c r="A633" s="13">
        <v>60175</v>
      </c>
      <c r="B633" s="10">
        <f>CHOOSE(CONTROL!$C$42, 30.0022, 30.0022) * CHOOSE(CONTROL!$C$21, $C$9, 100%, $E$9)</f>
        <v>30.002199999999998</v>
      </c>
      <c r="C633" s="10">
        <f>CHOOSE(CONTROL!$C$42, 30.0101, 30.0101) * CHOOSE(CONTROL!$C$21, $C$9, 100%, $E$9)</f>
        <v>30.010100000000001</v>
      </c>
      <c r="D633" s="10">
        <f>CHOOSE(CONTROL!$C$42, 30.2128, 30.2128) * CHOOSE(CONTROL!$C$21, $C$9, 100%, $E$9)</f>
        <v>30.212800000000001</v>
      </c>
      <c r="E633" s="10">
        <f>CHOOSE(CONTROL!$C$42, 30.244, 30.244) * CHOOSE(CONTROL!$C$21, $C$9, 100%, $E$9)</f>
        <v>30.244</v>
      </c>
      <c r="F633" s="10">
        <f>CHOOSE(CONTROL!$C$42, 29.979, 29.979)*CHOOSE(CONTROL!$C$21, $C$9, 100%, $E$9)</f>
        <v>29.978999999999999</v>
      </c>
      <c r="G633" s="10">
        <f>CHOOSE(CONTROL!$C$42, 29.9943, 29.9943)*CHOOSE(CONTROL!$C$21, $C$9, 100%, $E$9)</f>
        <v>29.994299999999999</v>
      </c>
      <c r="H633" s="10">
        <f>CHOOSE(CONTROL!$C$42, 30.2326, 30.2326) * CHOOSE(CONTROL!$C$21, $C$9, 100%, $E$9)</f>
        <v>30.232600000000001</v>
      </c>
      <c r="I633" s="10">
        <f>CHOOSE(CONTROL!$C$42, 30.0022, 30.0022)* CHOOSE(CONTROL!$C$21, $C$9, 100%, $E$9)</f>
        <v>30.002199999999998</v>
      </c>
      <c r="J633" s="10">
        <f>CHOOSE(CONTROL!$C$42, 29.972, 29.972)* CHOOSE(CONTROL!$C$21, $C$9, 100%, $E$9)</f>
        <v>29.972000000000001</v>
      </c>
      <c r="K633" s="53">
        <f>CHOOSE(CONTROL!$C$42, 29.9983, 29.9983) * CHOOSE(CONTROL!$C$21, $C$9, 100%, $E$9)</f>
        <v>29.9983</v>
      </c>
      <c r="L633" s="10">
        <f>CHOOSE(CONTROL!$C$42, 30.8196, 30.8196) * CHOOSE(CONTROL!$C$21, $C$9, 100%, $E$9)</f>
        <v>30.819600000000001</v>
      </c>
      <c r="M633" s="10">
        <f>CHOOSE(CONTROL!$C$42, 29.6834, 29.6834) * CHOOSE(CONTROL!$C$21, $C$9, 100%, $E$9)</f>
        <v>29.683399999999999</v>
      </c>
      <c r="N633" s="10">
        <f>CHOOSE(CONTROL!$C$42, 29.6985, 29.6985) * CHOOSE(CONTROL!$C$21, $C$9, 100%, $E$9)</f>
        <v>29.698499999999999</v>
      </c>
      <c r="O633" s="10">
        <f>CHOOSE(CONTROL!$C$42, 29.9413, 29.9413) * CHOOSE(CONTROL!$C$21, $C$9, 100%, $E$9)</f>
        <v>29.941299999999998</v>
      </c>
      <c r="P633" s="10">
        <f>CHOOSE(CONTROL!$C$42, 29.7133, 29.7133) * CHOOSE(CONTROL!$C$21, $C$9, 100%, $E$9)</f>
        <v>29.7133</v>
      </c>
      <c r="Q633" s="10">
        <f>CHOOSE(CONTROL!$C$42, 30.5366, 30.5366) * CHOOSE(CONTROL!$C$21, $C$9, 100%, $E$9)</f>
        <v>30.5366</v>
      </c>
      <c r="R633" s="10">
        <f>CHOOSE(CONTROL!$C$42, 31.2, 31.2) * CHOOSE(CONTROL!$C$21, $C$9, 100%, $E$9)</f>
        <v>31.2</v>
      </c>
      <c r="S633" s="10">
        <f>CHOOSE(CONTROL!$C$42, 29.1309, 29.1309) * CHOOSE(CONTROL!$C$21, $C$9, 100%, $E$9)</f>
        <v>29.1309</v>
      </c>
      <c r="T6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57">
        <f>(1000*CHOOSE(CONTROL!$C$42, 695, 695)*CHOOSE(CONTROL!$C$42, 0.5599, 0.5599)*CHOOSE(CONTROL!$C$42, 30, 30))/1000000</f>
        <v>11.673914999999997</v>
      </c>
      <c r="V633" s="57">
        <f>(1000*CHOOSE(CONTROL!$C$42, 500, 500)*CHOOSE(CONTROL!$C$42, 0.275, 0.275)*CHOOSE(CONTROL!$C$42, 30, 30))/1000000</f>
        <v>4.125</v>
      </c>
      <c r="W633" s="57">
        <f>(1000*CHOOSE(CONTROL!$C$42, 0.1146, 0.1146)*CHOOSE(CONTROL!$C$42, 121.5, 121.5)*CHOOSE(CONTROL!$C$42, 30, 30))/1000000</f>
        <v>0.417717</v>
      </c>
      <c r="X633" s="57">
        <f>(30*0.1790888*245000/1000000)+(30*0.2374*100000/1000000)</f>
        <v>2.0285026799999999</v>
      </c>
      <c r="Y633" s="57"/>
      <c r="Z633" s="10"/>
      <c r="AA633" s="56"/>
      <c r="AB633" s="50">
        <f>(B633*194.205+C633*267.466+D633*133.845+E633*53.484+F633*40+G633*185+H633*0+I633*100+J633*300)/(194.205+267.466+133.845+53.484+0+40+185+100+300)</f>
        <v>30.027147935321821</v>
      </c>
      <c r="AC633" s="45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29.805461151079136</v>
      </c>
    </row>
    <row r="634" spans="1:29" ht="15.75" x14ac:dyDescent="0.25">
      <c r="A634" s="13">
        <v>60206</v>
      </c>
      <c r="B634" s="10">
        <f>CHOOSE(CONTROL!$C$42, 29.3914, 29.3914) * CHOOSE(CONTROL!$C$21, $C$9, 100%, $E$9)</f>
        <v>29.391400000000001</v>
      </c>
      <c r="C634" s="10">
        <f>CHOOSE(CONTROL!$C$42, 29.3966, 29.3966) * CHOOSE(CONTROL!$C$21, $C$9, 100%, $E$9)</f>
        <v>29.396599999999999</v>
      </c>
      <c r="D634" s="10">
        <f>CHOOSE(CONTROL!$C$42, 29.6043, 29.6043) * CHOOSE(CONTROL!$C$21, $C$9, 100%, $E$9)</f>
        <v>29.604299999999999</v>
      </c>
      <c r="E634" s="10">
        <f>CHOOSE(CONTROL!$C$42, 29.6331, 29.6331) * CHOOSE(CONTROL!$C$21, $C$9, 100%, $E$9)</f>
        <v>29.633099999999999</v>
      </c>
      <c r="F634" s="10">
        <f>CHOOSE(CONTROL!$C$42, 29.3701, 29.3701)*CHOOSE(CONTROL!$C$21, $C$9, 100%, $E$9)</f>
        <v>29.370100000000001</v>
      </c>
      <c r="G634" s="10">
        <f>CHOOSE(CONTROL!$C$42, 29.385, 29.385)*CHOOSE(CONTROL!$C$21, $C$9, 100%, $E$9)</f>
        <v>29.385000000000002</v>
      </c>
      <c r="H634" s="10">
        <f>CHOOSE(CONTROL!$C$42, 29.6235, 29.6235) * CHOOSE(CONTROL!$C$21, $C$9, 100%, $E$9)</f>
        <v>29.6235</v>
      </c>
      <c r="I634" s="10">
        <f>CHOOSE(CONTROL!$C$42, 29.3932, 29.3932)* CHOOSE(CONTROL!$C$21, $C$9, 100%, $E$9)</f>
        <v>29.3932</v>
      </c>
      <c r="J634" s="10">
        <f>CHOOSE(CONTROL!$C$42, 29.3631, 29.3631)* CHOOSE(CONTROL!$C$21, $C$9, 100%, $E$9)</f>
        <v>29.363099999999999</v>
      </c>
      <c r="K634" s="53">
        <f>CHOOSE(CONTROL!$C$42, 29.3893, 29.3893) * CHOOSE(CONTROL!$C$21, $C$9, 100%, $E$9)</f>
        <v>29.389299999999999</v>
      </c>
      <c r="L634" s="10">
        <f>CHOOSE(CONTROL!$C$42, 30.2105, 30.2105) * CHOOSE(CONTROL!$C$21, $C$9, 100%, $E$9)</f>
        <v>30.2105</v>
      </c>
      <c r="M634" s="10">
        <f>CHOOSE(CONTROL!$C$42, 29.0806, 29.0806) * CHOOSE(CONTROL!$C$21, $C$9, 100%, $E$9)</f>
        <v>29.0806</v>
      </c>
      <c r="N634" s="10">
        <f>CHOOSE(CONTROL!$C$42, 29.0954, 29.0954) * CHOOSE(CONTROL!$C$21, $C$9, 100%, $E$9)</f>
        <v>29.095400000000001</v>
      </c>
      <c r="O634" s="10">
        <f>CHOOSE(CONTROL!$C$42, 29.3384, 29.3384) * CHOOSE(CONTROL!$C$21, $C$9, 100%, $E$9)</f>
        <v>29.3384</v>
      </c>
      <c r="P634" s="10">
        <f>CHOOSE(CONTROL!$C$42, 29.1104, 29.1104) * CHOOSE(CONTROL!$C$21, $C$9, 100%, $E$9)</f>
        <v>29.110399999999998</v>
      </c>
      <c r="Q634" s="10">
        <f>CHOOSE(CONTROL!$C$42, 29.9337, 29.9337) * CHOOSE(CONTROL!$C$21, $C$9, 100%, $E$9)</f>
        <v>29.933700000000002</v>
      </c>
      <c r="R634" s="10">
        <f>CHOOSE(CONTROL!$C$42, 30.5956, 30.5956) * CHOOSE(CONTROL!$C$21, $C$9, 100%, $E$9)</f>
        <v>30.595600000000001</v>
      </c>
      <c r="S634" s="10">
        <f>CHOOSE(CONTROL!$C$42, 28.5394, 28.5394) * CHOOSE(CONTROL!$C$21, $C$9, 100%, $E$9)</f>
        <v>28.539400000000001</v>
      </c>
      <c r="T6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57">
        <f>(1000*CHOOSE(CONTROL!$C$42, 695, 695)*CHOOSE(CONTROL!$C$42, 0.5599, 0.5599)*CHOOSE(CONTROL!$C$42, 31, 31))/1000000</f>
        <v>12.063045499999998</v>
      </c>
      <c r="V634" s="57">
        <f>(1000*CHOOSE(CONTROL!$C$42, 500, 500)*CHOOSE(CONTROL!$C$42, 0.275, 0.275)*CHOOSE(CONTROL!$C$42, 31, 31))/1000000</f>
        <v>4.2625000000000002</v>
      </c>
      <c r="W634" s="57">
        <f>(1000*CHOOSE(CONTROL!$C$42, 0.1146, 0.1146)*CHOOSE(CONTROL!$C$42, 121.5, 121.5)*CHOOSE(CONTROL!$C$42, 31, 31))/1000000</f>
        <v>0.43164089999999994</v>
      </c>
      <c r="X634" s="57">
        <f>(31*0.1790888*245000/1000000)+(31*0.2374*100000/1000000)</f>
        <v>2.0961194359999999</v>
      </c>
      <c r="Y634" s="57"/>
      <c r="Z634" s="10"/>
      <c r="AA634" s="56"/>
      <c r="AB634" s="50">
        <f>(B634*131.881+C634*277.167+D634*79.08+E634*125.872+F634*40+G634*185+H634*0+I634*100+J634*300)/(131.881+277.167+79.08+125.872+0+40+185+100+300)</f>
        <v>29.422356144309926</v>
      </c>
      <c r="AC634" s="45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29.202584172661872</v>
      </c>
    </row>
    <row r="635" spans="1:29" ht="15.75" x14ac:dyDescent="0.25">
      <c r="A635" s="13">
        <v>60236</v>
      </c>
      <c r="B635" s="10">
        <f>CHOOSE(CONTROL!$C$42, 30.1652, 30.1652) * CHOOSE(CONTROL!$C$21, $C$9, 100%, $E$9)</f>
        <v>30.165199999999999</v>
      </c>
      <c r="C635" s="10">
        <f>CHOOSE(CONTROL!$C$42, 30.1701, 30.1701) * CHOOSE(CONTROL!$C$21, $C$9, 100%, $E$9)</f>
        <v>30.170100000000001</v>
      </c>
      <c r="D635" s="10">
        <f>CHOOSE(CONTROL!$C$42, 30.2306, 30.2306) * CHOOSE(CONTROL!$C$21, $C$9, 100%, $E$9)</f>
        <v>30.230599999999999</v>
      </c>
      <c r="E635" s="10">
        <f>CHOOSE(CONTROL!$C$42, 30.2644, 30.2644) * CHOOSE(CONTROL!$C$21, $C$9, 100%, $E$9)</f>
        <v>30.264399999999998</v>
      </c>
      <c r="F635" s="10">
        <f>CHOOSE(CONTROL!$C$42, 30.1608, 30.1608)*CHOOSE(CONTROL!$C$21, $C$9, 100%, $E$9)</f>
        <v>30.160799999999998</v>
      </c>
      <c r="G635" s="10">
        <f>CHOOSE(CONTROL!$C$42, 30.176, 30.176)*CHOOSE(CONTROL!$C$21, $C$9, 100%, $E$9)</f>
        <v>30.175999999999998</v>
      </c>
      <c r="H635" s="10">
        <f>CHOOSE(CONTROL!$C$42, 30.2536, 30.2536) * CHOOSE(CONTROL!$C$21, $C$9, 100%, $E$9)</f>
        <v>30.253599999999999</v>
      </c>
      <c r="I635" s="10">
        <f>CHOOSE(CONTROL!$C$42, 30.1777, 30.1777)* CHOOSE(CONTROL!$C$21, $C$9, 100%, $E$9)</f>
        <v>30.177700000000002</v>
      </c>
      <c r="J635" s="10">
        <f>CHOOSE(CONTROL!$C$42, 30.1538, 30.1538)* CHOOSE(CONTROL!$C$21, $C$9, 100%, $E$9)</f>
        <v>30.1538</v>
      </c>
      <c r="K635" s="53">
        <f>CHOOSE(CONTROL!$C$42, 30.1738, 30.1738) * CHOOSE(CONTROL!$C$21, $C$9, 100%, $E$9)</f>
        <v>30.1738</v>
      </c>
      <c r="L635" s="10">
        <f>CHOOSE(CONTROL!$C$42, 30.8406, 30.8406) * CHOOSE(CONTROL!$C$21, $C$9, 100%, $E$9)</f>
        <v>30.840599999999998</v>
      </c>
      <c r="M635" s="10">
        <f>CHOOSE(CONTROL!$C$42, 29.8633, 29.8633) * CHOOSE(CONTROL!$C$21, $C$9, 100%, $E$9)</f>
        <v>29.863299999999999</v>
      </c>
      <c r="N635" s="10">
        <f>CHOOSE(CONTROL!$C$42, 29.8784, 29.8784) * CHOOSE(CONTROL!$C$21, $C$9, 100%, $E$9)</f>
        <v>29.878399999999999</v>
      </c>
      <c r="O635" s="10">
        <f>CHOOSE(CONTROL!$C$42, 29.9621, 29.9621) * CHOOSE(CONTROL!$C$21, $C$9, 100%, $E$9)</f>
        <v>29.9621</v>
      </c>
      <c r="P635" s="10">
        <f>CHOOSE(CONTROL!$C$42, 29.887, 29.887) * CHOOSE(CONTROL!$C$21, $C$9, 100%, $E$9)</f>
        <v>29.887</v>
      </c>
      <c r="Q635" s="10">
        <f>CHOOSE(CONTROL!$C$42, 30.5574, 30.5574) * CHOOSE(CONTROL!$C$21, $C$9, 100%, $E$9)</f>
        <v>30.557400000000001</v>
      </c>
      <c r="R635" s="10">
        <f>CHOOSE(CONTROL!$C$42, 31.2208, 31.2208) * CHOOSE(CONTROL!$C$21, $C$9, 100%, $E$9)</f>
        <v>31.220800000000001</v>
      </c>
      <c r="S635" s="10">
        <f>CHOOSE(CONTROL!$C$42, 29.2913, 29.2913) * CHOOSE(CONTROL!$C$21, $C$9, 100%, $E$9)</f>
        <v>29.2913</v>
      </c>
      <c r="T6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57">
        <f>(1000*CHOOSE(CONTROL!$C$42, 695, 695)*CHOOSE(CONTROL!$C$42, 0.5599, 0.5599)*CHOOSE(CONTROL!$C$42, 30, 30))/1000000</f>
        <v>11.673914999999997</v>
      </c>
      <c r="V635" s="57">
        <f>(1000*CHOOSE(CONTROL!$C$42, 500, 500)*CHOOSE(CONTROL!$C$42, 0.275, 0.275)*CHOOSE(CONTROL!$C$42, 30, 30))/1000000</f>
        <v>4.125</v>
      </c>
      <c r="W635" s="57">
        <f>(1000*CHOOSE(CONTROL!$C$42, 0.1146, 0.1146)*CHOOSE(CONTROL!$C$42, 121.5, 121.5)*CHOOSE(CONTROL!$C$42, 30, 30))/1000000</f>
        <v>0.417717</v>
      </c>
      <c r="X635" s="57">
        <f>(30*0.1790888*100000/1000000)+(30*0.2374*100000/1000000)</f>
        <v>1.2494664</v>
      </c>
      <c r="Y635" s="57"/>
      <c r="Z635" s="10"/>
      <c r="AA635" s="56"/>
      <c r="AB635" s="50">
        <f>(B635*122.58+C635*297.941+D635*89.177+E635*40.302+F635*40+G635*160+H635*0+I635*100+J635*300)/(122.58+297.941+89.177+40.302+0+40+160+100+300)</f>
        <v>30.174480039217389</v>
      </c>
      <c r="AC635" s="45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29.912358992805753</v>
      </c>
    </row>
    <row r="636" spans="1:29" ht="15.75" x14ac:dyDescent="0.25">
      <c r="A636" s="13">
        <v>60267</v>
      </c>
      <c r="B636" s="10">
        <f>CHOOSE(CONTROL!$C$42, 32.2216, 32.2216) * CHOOSE(CONTROL!$C$21, $C$9, 100%, $E$9)</f>
        <v>32.221600000000002</v>
      </c>
      <c r="C636" s="10">
        <f>CHOOSE(CONTROL!$C$42, 32.2266, 32.2266) * CHOOSE(CONTROL!$C$21, $C$9, 100%, $E$9)</f>
        <v>32.226599999999998</v>
      </c>
      <c r="D636" s="10">
        <f>CHOOSE(CONTROL!$C$42, 32.2871, 32.2871) * CHOOSE(CONTROL!$C$21, $C$9, 100%, $E$9)</f>
        <v>32.287100000000002</v>
      </c>
      <c r="E636" s="10">
        <f>CHOOSE(CONTROL!$C$42, 32.3208, 32.3208) * CHOOSE(CONTROL!$C$21, $C$9, 100%, $E$9)</f>
        <v>32.320799999999998</v>
      </c>
      <c r="F636" s="10">
        <f>CHOOSE(CONTROL!$C$42, 32.2191, 32.2191)*CHOOSE(CONTROL!$C$21, $C$9, 100%, $E$9)</f>
        <v>32.219099999999997</v>
      </c>
      <c r="G636" s="10">
        <f>CHOOSE(CONTROL!$C$42, 32.2348, 32.2348)*CHOOSE(CONTROL!$C$21, $C$9, 100%, $E$9)</f>
        <v>32.2348</v>
      </c>
      <c r="H636" s="10">
        <f>CHOOSE(CONTROL!$C$42, 32.31, 32.31) * CHOOSE(CONTROL!$C$21, $C$9, 100%, $E$9)</f>
        <v>32.31</v>
      </c>
      <c r="I636" s="10">
        <f>CHOOSE(CONTROL!$C$42, 32.2341, 32.2341)* CHOOSE(CONTROL!$C$21, $C$9, 100%, $E$9)</f>
        <v>32.234099999999998</v>
      </c>
      <c r="J636" s="10">
        <f>CHOOSE(CONTROL!$C$42, 32.2121, 32.2121)* CHOOSE(CONTROL!$C$21, $C$9, 100%, $E$9)</f>
        <v>32.2121</v>
      </c>
      <c r="K636" s="53">
        <f>CHOOSE(CONTROL!$C$42, 32.2302, 32.2302) * CHOOSE(CONTROL!$C$21, $C$9, 100%, $E$9)</f>
        <v>32.230200000000004</v>
      </c>
      <c r="L636" s="10">
        <f>CHOOSE(CONTROL!$C$42, 32.897, 32.897) * CHOOSE(CONTROL!$C$21, $C$9, 100%, $E$9)</f>
        <v>32.896999999999998</v>
      </c>
      <c r="M636" s="10">
        <f>CHOOSE(CONTROL!$C$42, 31.9008, 31.9008) * CHOOSE(CONTROL!$C$21, $C$9, 100%, $E$9)</f>
        <v>31.9008</v>
      </c>
      <c r="N636" s="10">
        <f>CHOOSE(CONTROL!$C$42, 31.9164, 31.9164) * CHOOSE(CONTROL!$C$21, $C$9, 100%, $E$9)</f>
        <v>31.916399999999999</v>
      </c>
      <c r="O636" s="10">
        <f>CHOOSE(CONTROL!$C$42, 31.9978, 31.9978) * CHOOSE(CONTROL!$C$21, $C$9, 100%, $E$9)</f>
        <v>31.997800000000002</v>
      </c>
      <c r="P636" s="10">
        <f>CHOOSE(CONTROL!$C$42, 31.9227, 31.9227) * CHOOSE(CONTROL!$C$21, $C$9, 100%, $E$9)</f>
        <v>31.922699999999999</v>
      </c>
      <c r="Q636" s="10">
        <f>CHOOSE(CONTROL!$C$42, 32.5931, 32.5931) * CHOOSE(CONTROL!$C$21, $C$9, 100%, $E$9)</f>
        <v>32.5931</v>
      </c>
      <c r="R636" s="10">
        <f>CHOOSE(CONTROL!$C$42, 33.2616, 33.2616) * CHOOSE(CONTROL!$C$21, $C$9, 100%, $E$9)</f>
        <v>33.261600000000001</v>
      </c>
      <c r="S636" s="10">
        <f>CHOOSE(CONTROL!$C$42, 31.2883, 31.2883) * CHOOSE(CONTROL!$C$21, $C$9, 100%, $E$9)</f>
        <v>31.2883</v>
      </c>
      <c r="T6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57">
        <f>(1000*CHOOSE(CONTROL!$C$42, 695, 695)*CHOOSE(CONTROL!$C$42, 0.5599, 0.5599)*CHOOSE(CONTROL!$C$42, 31, 31))/1000000</f>
        <v>12.063045499999998</v>
      </c>
      <c r="V636" s="57">
        <f>(1000*CHOOSE(CONTROL!$C$42, 500, 500)*CHOOSE(CONTROL!$C$42, 0.275, 0.275)*CHOOSE(CONTROL!$C$42, 31, 31))/1000000</f>
        <v>4.2625000000000002</v>
      </c>
      <c r="W636" s="57">
        <f>(1000*CHOOSE(CONTROL!$C$42, 0.1146, 0.1146)*CHOOSE(CONTROL!$C$42, 121.5, 121.5)*CHOOSE(CONTROL!$C$42, 31, 31))/1000000</f>
        <v>0.43164089999999994</v>
      </c>
      <c r="X636" s="57">
        <f>(31*0.1790888*100000/1000000)+(31*0.2374*100000/1000000)</f>
        <v>1.2911152800000001</v>
      </c>
      <c r="Y636" s="57"/>
      <c r="Z636" s="10"/>
      <c r="AA636" s="56"/>
      <c r="AB636" s="50">
        <f>(B636*122.58+C636*297.941+D636*89.177+E636*40.302+F636*40+G636*160+H636*0+I636*100+J636*300)/(122.58+297.941+89.177+40.302+0+40+160+100+300)</f>
        <v>32.231809353826087</v>
      </c>
      <c r="AC636" s="45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31.948812949640288</v>
      </c>
    </row>
    <row r="637" spans="1:29" ht="15.75" x14ac:dyDescent="0.25">
      <c r="A637" s="13">
        <v>60298</v>
      </c>
      <c r="B637" s="10">
        <f>CHOOSE(CONTROL!$C$42, 34.8615, 34.8615) * CHOOSE(CONTROL!$C$21, $C$9, 100%, $E$9)</f>
        <v>34.861499999999999</v>
      </c>
      <c r="C637" s="10">
        <f>CHOOSE(CONTROL!$C$42, 34.8665, 34.8665) * CHOOSE(CONTROL!$C$21, $C$9, 100%, $E$9)</f>
        <v>34.866500000000002</v>
      </c>
      <c r="D637" s="10">
        <f>CHOOSE(CONTROL!$C$42, 34.9235, 34.9235) * CHOOSE(CONTROL!$C$21, $C$9, 100%, $E$9)</f>
        <v>34.923499999999997</v>
      </c>
      <c r="E637" s="10">
        <f>CHOOSE(CONTROL!$C$42, 34.9573, 34.9573) * CHOOSE(CONTROL!$C$21, $C$9, 100%, $E$9)</f>
        <v>34.957299999999996</v>
      </c>
      <c r="F637" s="10">
        <f>CHOOSE(CONTROL!$C$42, 34.8593, 34.8593)*CHOOSE(CONTROL!$C$21, $C$9, 100%, $E$9)</f>
        <v>34.859299999999998</v>
      </c>
      <c r="G637" s="10">
        <f>CHOOSE(CONTROL!$C$42, 34.8739, 34.8739)*CHOOSE(CONTROL!$C$21, $C$9, 100%, $E$9)</f>
        <v>34.873899999999999</v>
      </c>
      <c r="H637" s="10">
        <f>CHOOSE(CONTROL!$C$42, 34.9465, 34.9465) * CHOOSE(CONTROL!$C$21, $C$9, 100%, $E$9)</f>
        <v>34.9465</v>
      </c>
      <c r="I637" s="10">
        <f>CHOOSE(CONTROL!$C$42, 34.8723, 34.8723)* CHOOSE(CONTROL!$C$21, $C$9, 100%, $E$9)</f>
        <v>34.872300000000003</v>
      </c>
      <c r="J637" s="10">
        <f>CHOOSE(CONTROL!$C$42, 34.8523, 34.8523)* CHOOSE(CONTROL!$C$21, $C$9, 100%, $E$9)</f>
        <v>34.8523</v>
      </c>
      <c r="K637" s="53">
        <f>CHOOSE(CONTROL!$C$42, 34.8684, 34.8684) * CHOOSE(CONTROL!$C$21, $C$9, 100%, $E$9)</f>
        <v>34.868400000000001</v>
      </c>
      <c r="L637" s="10">
        <f>CHOOSE(CONTROL!$C$42, 35.5335, 35.5335) * CHOOSE(CONTROL!$C$21, $C$9, 100%, $E$9)</f>
        <v>35.533499999999997</v>
      </c>
      <c r="M637" s="10">
        <f>CHOOSE(CONTROL!$C$42, 34.5144, 34.5144) * CHOOSE(CONTROL!$C$21, $C$9, 100%, $E$9)</f>
        <v>34.514400000000002</v>
      </c>
      <c r="N637" s="10">
        <f>CHOOSE(CONTROL!$C$42, 34.5289, 34.5289) * CHOOSE(CONTROL!$C$21, $C$9, 100%, $E$9)</f>
        <v>34.5289</v>
      </c>
      <c r="O637" s="10">
        <f>CHOOSE(CONTROL!$C$42, 34.6077, 34.6077) * CHOOSE(CONTROL!$C$21, $C$9, 100%, $E$9)</f>
        <v>34.607700000000001</v>
      </c>
      <c r="P637" s="10">
        <f>CHOOSE(CONTROL!$C$42, 34.5343, 34.5343) * CHOOSE(CONTROL!$C$21, $C$9, 100%, $E$9)</f>
        <v>34.534300000000002</v>
      </c>
      <c r="Q637" s="10">
        <f>CHOOSE(CONTROL!$C$42, 35.203, 35.203) * CHOOSE(CONTROL!$C$21, $C$9, 100%, $E$9)</f>
        <v>35.203000000000003</v>
      </c>
      <c r="R637" s="10">
        <f>CHOOSE(CONTROL!$C$42, 35.878, 35.878) * CHOOSE(CONTROL!$C$21, $C$9, 100%, $E$9)</f>
        <v>35.878</v>
      </c>
      <c r="S637" s="10">
        <f>CHOOSE(CONTROL!$C$42, 33.8519, 33.8519) * CHOOSE(CONTROL!$C$21, $C$9, 100%, $E$9)</f>
        <v>33.851900000000001</v>
      </c>
      <c r="T6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57">
        <f>(1000*CHOOSE(CONTROL!$C$42, 695, 695)*CHOOSE(CONTROL!$C$42, 0.5599, 0.5599)*CHOOSE(CONTROL!$C$42, 31, 31))/1000000</f>
        <v>12.063045499999998</v>
      </c>
      <c r="V637" s="57">
        <f>(1000*CHOOSE(CONTROL!$C$42, 500, 500)*CHOOSE(CONTROL!$C$42, 0.275, 0.275)*CHOOSE(CONTROL!$C$42, 31, 31))/1000000</f>
        <v>4.2625000000000002</v>
      </c>
      <c r="W637" s="57">
        <f>(1000*CHOOSE(CONTROL!$C$42, 0.1146, 0.1146)*CHOOSE(CONTROL!$C$42, 121.5, 121.5)*CHOOSE(CONTROL!$C$42, 31, 31))/1000000</f>
        <v>0.43164089999999994</v>
      </c>
      <c r="X637" s="57">
        <f>(31*0.1790888*100000/1000000)+(31*0.2374*100000/1000000)</f>
        <v>1.2911152800000001</v>
      </c>
      <c r="Y637" s="57"/>
      <c r="Z637" s="10"/>
      <c r="AA637" s="56"/>
      <c r="AB637" s="50">
        <f>(B637*122.58+C637*297.941+D637*89.177+E637*40.302+F637*40+G637*160+H637*0+I637*100+J637*300)/(122.58+297.941+89.177+40.302+0+40+160+100+300)</f>
        <v>34.871148357043481</v>
      </c>
      <c r="AC637" s="45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34.560384892086333</v>
      </c>
    </row>
    <row r="638" spans="1:29" ht="15.75" x14ac:dyDescent="0.25">
      <c r="A638" s="13">
        <v>60326</v>
      </c>
      <c r="B638" s="10">
        <f>CHOOSE(CONTROL!$C$42, 35.482, 35.482) * CHOOSE(CONTROL!$C$21, $C$9, 100%, $E$9)</f>
        <v>35.481999999999999</v>
      </c>
      <c r="C638" s="10">
        <f>CHOOSE(CONTROL!$C$42, 35.487, 35.487) * CHOOSE(CONTROL!$C$21, $C$9, 100%, $E$9)</f>
        <v>35.487000000000002</v>
      </c>
      <c r="D638" s="10">
        <f>CHOOSE(CONTROL!$C$42, 35.5441, 35.5441) * CHOOSE(CONTROL!$C$21, $C$9, 100%, $E$9)</f>
        <v>35.5441</v>
      </c>
      <c r="E638" s="10">
        <f>CHOOSE(CONTROL!$C$42, 35.5778, 35.5778) * CHOOSE(CONTROL!$C$21, $C$9, 100%, $E$9)</f>
        <v>35.577800000000003</v>
      </c>
      <c r="F638" s="10">
        <f>CHOOSE(CONTROL!$C$42, 35.48, 35.48)*CHOOSE(CONTROL!$C$21, $C$9, 100%, $E$9)</f>
        <v>35.479999999999997</v>
      </c>
      <c r="G638" s="10">
        <f>CHOOSE(CONTROL!$C$42, 35.4946, 35.4946)*CHOOSE(CONTROL!$C$21, $C$9, 100%, $E$9)</f>
        <v>35.494599999999998</v>
      </c>
      <c r="H638" s="10">
        <f>CHOOSE(CONTROL!$C$42, 35.567, 35.567) * CHOOSE(CONTROL!$C$21, $C$9, 100%, $E$9)</f>
        <v>35.567</v>
      </c>
      <c r="I638" s="10">
        <f>CHOOSE(CONTROL!$C$42, 35.4928, 35.4928)* CHOOSE(CONTROL!$C$21, $C$9, 100%, $E$9)</f>
        <v>35.492800000000003</v>
      </c>
      <c r="J638" s="10">
        <f>CHOOSE(CONTROL!$C$42, 35.473, 35.473)* CHOOSE(CONTROL!$C$21, $C$9, 100%, $E$9)</f>
        <v>35.472999999999999</v>
      </c>
      <c r="K638" s="53">
        <f>CHOOSE(CONTROL!$C$42, 35.489, 35.489) * CHOOSE(CONTROL!$C$21, $C$9, 100%, $E$9)</f>
        <v>35.488999999999997</v>
      </c>
      <c r="L638" s="10">
        <f>CHOOSE(CONTROL!$C$42, 36.154, 36.154) * CHOOSE(CONTROL!$C$21, $C$9, 100%, $E$9)</f>
        <v>36.154000000000003</v>
      </c>
      <c r="M638" s="10">
        <f>CHOOSE(CONTROL!$C$42, 35.1288, 35.1288) * CHOOSE(CONTROL!$C$21, $C$9, 100%, $E$9)</f>
        <v>35.128799999999998</v>
      </c>
      <c r="N638" s="10">
        <f>CHOOSE(CONTROL!$C$42, 35.1433, 35.1433) * CHOOSE(CONTROL!$C$21, $C$9, 100%, $E$9)</f>
        <v>35.143300000000004</v>
      </c>
      <c r="O638" s="10">
        <f>CHOOSE(CONTROL!$C$42, 35.2219, 35.2219) * CHOOSE(CONTROL!$C$21, $C$9, 100%, $E$9)</f>
        <v>35.221899999999998</v>
      </c>
      <c r="P638" s="10">
        <f>CHOOSE(CONTROL!$C$42, 35.1485, 35.1485) * CHOOSE(CONTROL!$C$21, $C$9, 100%, $E$9)</f>
        <v>35.148499999999999</v>
      </c>
      <c r="Q638" s="10">
        <f>CHOOSE(CONTROL!$C$42, 35.8172, 35.8172) * CHOOSE(CONTROL!$C$21, $C$9, 100%, $E$9)</f>
        <v>35.8172</v>
      </c>
      <c r="R638" s="10">
        <f>CHOOSE(CONTROL!$C$42, 36.4938, 36.4938) * CHOOSE(CONTROL!$C$21, $C$9, 100%, $E$9)</f>
        <v>36.4938</v>
      </c>
      <c r="S638" s="10">
        <f>CHOOSE(CONTROL!$C$42, 34.4545, 34.4545) * CHOOSE(CONTROL!$C$21, $C$9, 100%, $E$9)</f>
        <v>34.454500000000003</v>
      </c>
      <c r="T6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57">
        <f>(1000*CHOOSE(CONTROL!$C$42, 695, 695)*CHOOSE(CONTROL!$C$42, 0.5599, 0.5599)*CHOOSE(CONTROL!$C$42, 28, 28))/1000000</f>
        <v>10.895653999999999</v>
      </c>
      <c r="V638" s="57">
        <f>(1000*CHOOSE(CONTROL!$C$42, 500, 500)*CHOOSE(CONTROL!$C$42, 0.275, 0.275)*CHOOSE(CONTROL!$C$42, 28, 28))/1000000</f>
        <v>3.85</v>
      </c>
      <c r="W638" s="57">
        <f>(1000*CHOOSE(CONTROL!$C$42, 0.1146, 0.1146)*CHOOSE(CONTROL!$C$42, 121.5, 121.5)*CHOOSE(CONTROL!$C$42, 28, 28))/1000000</f>
        <v>0.38986920000000003</v>
      </c>
      <c r="X638" s="57">
        <f>(28*0.1790888*100000/1000000)+(28*0.2374*100000/1000000)</f>
        <v>1.16616864</v>
      </c>
      <c r="Y638" s="57"/>
      <c r="Z638" s="10"/>
      <c r="AA638" s="56"/>
      <c r="AB638" s="50">
        <f>(B638*122.58+C638*297.941+D638*89.177+E638*40.302+F638*40+G638*160+H638*0+I638*100+J638*300)/(122.58+297.941+89.177+40.302+0+40+160+100+300)</f>
        <v>35.491743068086954</v>
      </c>
      <c r="AC638" s="45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35.1746654676259</v>
      </c>
    </row>
    <row r="639" spans="1:29" ht="15.75" x14ac:dyDescent="0.25">
      <c r="A639" s="13">
        <v>60357</v>
      </c>
      <c r="B639" s="10">
        <f>CHOOSE(CONTROL!$C$42, 34.4748, 34.4748) * CHOOSE(CONTROL!$C$21, $C$9, 100%, $E$9)</f>
        <v>34.474800000000002</v>
      </c>
      <c r="C639" s="10">
        <f>CHOOSE(CONTROL!$C$42, 34.4797, 34.4797) * CHOOSE(CONTROL!$C$21, $C$9, 100%, $E$9)</f>
        <v>34.479700000000001</v>
      </c>
      <c r="D639" s="10">
        <f>CHOOSE(CONTROL!$C$42, 34.5368, 34.5368) * CHOOSE(CONTROL!$C$21, $C$9, 100%, $E$9)</f>
        <v>34.536799999999999</v>
      </c>
      <c r="E639" s="10">
        <f>CHOOSE(CONTROL!$C$42, 34.5706, 34.5706) * CHOOSE(CONTROL!$C$21, $C$9, 100%, $E$9)</f>
        <v>34.570599999999999</v>
      </c>
      <c r="F639" s="10">
        <f>CHOOSE(CONTROL!$C$42, 34.4726, 34.4726)*CHOOSE(CONTROL!$C$21, $C$9, 100%, $E$9)</f>
        <v>34.4726</v>
      </c>
      <c r="G639" s="10">
        <f>CHOOSE(CONTROL!$C$42, 34.4872, 34.4872)*CHOOSE(CONTROL!$C$21, $C$9, 100%, $E$9)</f>
        <v>34.487200000000001</v>
      </c>
      <c r="H639" s="10">
        <f>CHOOSE(CONTROL!$C$42, 34.5598, 34.5598) * CHOOSE(CONTROL!$C$21, $C$9, 100%, $E$9)</f>
        <v>34.559800000000003</v>
      </c>
      <c r="I639" s="10">
        <f>CHOOSE(CONTROL!$C$42, 34.4856, 34.4856)* CHOOSE(CONTROL!$C$21, $C$9, 100%, $E$9)</f>
        <v>34.485599999999998</v>
      </c>
      <c r="J639" s="10">
        <f>CHOOSE(CONTROL!$C$42, 34.4656, 34.4656)* CHOOSE(CONTROL!$C$21, $C$9, 100%, $E$9)</f>
        <v>34.465600000000002</v>
      </c>
      <c r="K639" s="53">
        <f>CHOOSE(CONTROL!$C$42, 34.4817, 34.4817) * CHOOSE(CONTROL!$C$21, $C$9, 100%, $E$9)</f>
        <v>34.481699999999996</v>
      </c>
      <c r="L639" s="10">
        <f>CHOOSE(CONTROL!$C$42, 35.1468, 35.1468) * CHOOSE(CONTROL!$C$21, $C$9, 100%, $E$9)</f>
        <v>35.146799999999999</v>
      </c>
      <c r="M639" s="10">
        <f>CHOOSE(CONTROL!$C$42, 34.1316, 34.1316) * CHOOSE(CONTROL!$C$21, $C$9, 100%, $E$9)</f>
        <v>34.131599999999999</v>
      </c>
      <c r="N639" s="10">
        <f>CHOOSE(CONTROL!$C$42, 34.1461, 34.1461) * CHOOSE(CONTROL!$C$21, $C$9, 100%, $E$9)</f>
        <v>34.146099999999997</v>
      </c>
      <c r="O639" s="10">
        <f>CHOOSE(CONTROL!$C$42, 34.2248, 34.2248) * CHOOSE(CONTROL!$C$21, $C$9, 100%, $E$9)</f>
        <v>34.224800000000002</v>
      </c>
      <c r="P639" s="10">
        <f>CHOOSE(CONTROL!$C$42, 34.1514, 34.1514) * CHOOSE(CONTROL!$C$21, $C$9, 100%, $E$9)</f>
        <v>34.151400000000002</v>
      </c>
      <c r="Q639" s="10">
        <f>CHOOSE(CONTROL!$C$42, 34.8201, 34.8201) * CHOOSE(CONTROL!$C$21, $C$9, 100%, $E$9)</f>
        <v>34.820099999999996</v>
      </c>
      <c r="R639" s="10">
        <f>CHOOSE(CONTROL!$C$42, 35.4942, 35.4942) * CHOOSE(CONTROL!$C$21, $C$9, 100%, $E$9)</f>
        <v>35.494199999999999</v>
      </c>
      <c r="S639" s="10">
        <f>CHOOSE(CONTROL!$C$42, 33.4763, 33.4763) * CHOOSE(CONTROL!$C$21, $C$9, 100%, $E$9)</f>
        <v>33.476300000000002</v>
      </c>
      <c r="T6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57">
        <f>(1000*CHOOSE(CONTROL!$C$42, 695, 695)*CHOOSE(CONTROL!$C$42, 0.5599, 0.5599)*CHOOSE(CONTROL!$C$42, 31, 31))/1000000</f>
        <v>12.063045499999998</v>
      </c>
      <c r="V639" s="57">
        <f>(1000*CHOOSE(CONTROL!$C$42, 500, 500)*CHOOSE(CONTROL!$C$42, 0.275, 0.275)*CHOOSE(CONTROL!$C$42, 31, 31))/1000000</f>
        <v>4.2625000000000002</v>
      </c>
      <c r="W639" s="57">
        <f>(1000*CHOOSE(CONTROL!$C$42, 0.1146, 0.1146)*CHOOSE(CONTROL!$C$42, 121.5, 121.5)*CHOOSE(CONTROL!$C$42, 31, 31))/1000000</f>
        <v>0.43164089999999994</v>
      </c>
      <c r="X639" s="57">
        <f>(31*0.1790888*100000/1000000)+(31*0.2374*100000/1000000)</f>
        <v>1.2911152800000001</v>
      </c>
      <c r="Y639" s="57"/>
      <c r="Z639" s="10"/>
      <c r="AA639" s="56"/>
      <c r="AB639" s="50">
        <f>(B639*122.58+C639*297.941+D639*89.177+E639*40.302+F639*40+G639*160+H639*0+I639*100+J639*300)/(122.58+297.941+89.177+40.302+0+40+160+100+300)</f>
        <v>34.484422449130435</v>
      </c>
      <c r="AC639" s="45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34.177525179856111</v>
      </c>
    </row>
    <row r="640" spans="1:29" ht="15.75" x14ac:dyDescent="0.25">
      <c r="A640" s="13">
        <v>60387</v>
      </c>
      <c r="B640" s="10">
        <f>CHOOSE(CONTROL!$C$42, 34.3727, 34.3727) * CHOOSE(CONTROL!$C$21, $C$9, 100%, $E$9)</f>
        <v>34.372700000000002</v>
      </c>
      <c r="C640" s="10">
        <f>CHOOSE(CONTROL!$C$42, 34.3771, 34.3771) * CHOOSE(CONTROL!$C$21, $C$9, 100%, $E$9)</f>
        <v>34.377099999999999</v>
      </c>
      <c r="D640" s="10">
        <f>CHOOSE(CONTROL!$C$42, 34.583, 34.583) * CHOOSE(CONTROL!$C$21, $C$9, 100%, $E$9)</f>
        <v>34.582999999999998</v>
      </c>
      <c r="E640" s="10">
        <f>CHOOSE(CONTROL!$C$42, 34.6148, 34.6148) * CHOOSE(CONTROL!$C$21, $C$9, 100%, $E$9)</f>
        <v>34.614800000000002</v>
      </c>
      <c r="F640" s="10">
        <f>CHOOSE(CONTROL!$C$42, 34.3495, 34.3495)*CHOOSE(CONTROL!$C$21, $C$9, 100%, $E$9)</f>
        <v>34.349499999999999</v>
      </c>
      <c r="G640" s="10">
        <f>CHOOSE(CONTROL!$C$42, 34.364, 34.364)*CHOOSE(CONTROL!$C$21, $C$9, 100%, $E$9)</f>
        <v>34.363999999999997</v>
      </c>
      <c r="H640" s="10">
        <f>CHOOSE(CONTROL!$C$42, 34.6045, 34.6045) * CHOOSE(CONTROL!$C$21, $C$9, 100%, $E$9)</f>
        <v>34.604500000000002</v>
      </c>
      <c r="I640" s="10">
        <f>CHOOSE(CONTROL!$C$42, 34.3742, 34.3742)* CHOOSE(CONTROL!$C$21, $C$9, 100%, $E$9)</f>
        <v>34.374200000000002</v>
      </c>
      <c r="J640" s="10">
        <f>CHOOSE(CONTROL!$C$42, 34.3425, 34.3425)* CHOOSE(CONTROL!$C$21, $C$9, 100%, $E$9)</f>
        <v>34.342500000000001</v>
      </c>
      <c r="K640" s="53">
        <f>CHOOSE(CONTROL!$C$42, 34.3703, 34.3703) * CHOOSE(CONTROL!$C$21, $C$9, 100%, $E$9)</f>
        <v>34.3703</v>
      </c>
      <c r="L640" s="10">
        <f>CHOOSE(CONTROL!$C$42, 35.1915, 35.1915) * CHOOSE(CONTROL!$C$21, $C$9, 100%, $E$9)</f>
        <v>35.191499999999998</v>
      </c>
      <c r="M640" s="10">
        <f>CHOOSE(CONTROL!$C$42, 34.0097, 34.0097) * CHOOSE(CONTROL!$C$21, $C$9, 100%, $E$9)</f>
        <v>34.009700000000002</v>
      </c>
      <c r="N640" s="10">
        <f>CHOOSE(CONTROL!$C$42, 34.0241, 34.0241) * CHOOSE(CONTROL!$C$21, $C$9, 100%, $E$9)</f>
        <v>34.024099999999997</v>
      </c>
      <c r="O640" s="10">
        <f>CHOOSE(CONTROL!$C$42, 34.2691, 34.2691) * CHOOSE(CONTROL!$C$21, $C$9, 100%, $E$9)</f>
        <v>34.269100000000002</v>
      </c>
      <c r="P640" s="10">
        <f>CHOOSE(CONTROL!$C$42, 34.0411, 34.0411) * CHOOSE(CONTROL!$C$21, $C$9, 100%, $E$9)</f>
        <v>34.0411</v>
      </c>
      <c r="Q640" s="10">
        <f>CHOOSE(CONTROL!$C$42, 34.8644, 34.8644) * CHOOSE(CONTROL!$C$21, $C$9, 100%, $E$9)</f>
        <v>34.864400000000003</v>
      </c>
      <c r="R640" s="10">
        <f>CHOOSE(CONTROL!$C$42, 35.5386, 35.5386) * CHOOSE(CONTROL!$C$21, $C$9, 100%, $E$9)</f>
        <v>35.538600000000002</v>
      </c>
      <c r="S640" s="10">
        <f>CHOOSE(CONTROL!$C$42, 33.3765, 33.3765) * CHOOSE(CONTROL!$C$21, $C$9, 100%, $E$9)</f>
        <v>33.3765</v>
      </c>
      <c r="T6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57">
        <f>(1000*CHOOSE(CONTROL!$C$42, 695, 695)*CHOOSE(CONTROL!$C$42, 0.5599, 0.5599)*CHOOSE(CONTROL!$C$42, 30, 30))/1000000</f>
        <v>11.673914999999997</v>
      </c>
      <c r="V640" s="57">
        <f>(1000*CHOOSE(CONTROL!$C$42, 500, 500)*CHOOSE(CONTROL!$C$42, 0.275, 0.275)*CHOOSE(CONTROL!$C$42, 30, 30))/1000000</f>
        <v>4.125</v>
      </c>
      <c r="W640" s="57">
        <f>(1000*CHOOSE(CONTROL!$C$42, 0.1146, 0.1146)*CHOOSE(CONTROL!$C$42, 121.5, 121.5)*CHOOSE(CONTROL!$C$42, 30, 30))/1000000</f>
        <v>0.417717</v>
      </c>
      <c r="X640" s="57">
        <f>(30*0.1790888*245000/1000000)+(30*0.2374*100000/1000000)</f>
        <v>2.0285026799999999</v>
      </c>
      <c r="Y640" s="57"/>
      <c r="Z640" s="10"/>
      <c r="AA640" s="56"/>
      <c r="AB640" s="50">
        <f>(B640*141.293+C640*267.993+D640*115.016+E640*89.698+F640*40+G640*185+H640*0+I640*100+J640*300)/(141.293+267.993+115.016+89.698+0+40+185+100+300)</f>
        <v>34.401461436481028</v>
      </c>
      <c r="AC640" s="45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34.132616546762591</v>
      </c>
    </row>
    <row r="641" spans="1:29" ht="15.75" x14ac:dyDescent="0.25">
      <c r="A641" s="13">
        <v>60418</v>
      </c>
      <c r="B641" s="10">
        <f>CHOOSE(CONTROL!$C$42, 34.6775, 34.6775) * CHOOSE(CONTROL!$C$21, $C$9, 100%, $E$9)</f>
        <v>34.677500000000002</v>
      </c>
      <c r="C641" s="10">
        <f>CHOOSE(CONTROL!$C$42, 34.6854, 34.6854) * CHOOSE(CONTROL!$C$21, $C$9, 100%, $E$9)</f>
        <v>34.685400000000001</v>
      </c>
      <c r="D641" s="10">
        <f>CHOOSE(CONTROL!$C$42, 34.8881, 34.8881) * CHOOSE(CONTROL!$C$21, $C$9, 100%, $E$9)</f>
        <v>34.888100000000001</v>
      </c>
      <c r="E641" s="10">
        <f>CHOOSE(CONTROL!$C$42, 34.9192, 34.9192) * CHOOSE(CONTROL!$C$21, $C$9, 100%, $E$9)</f>
        <v>34.919199999999996</v>
      </c>
      <c r="F641" s="10">
        <f>CHOOSE(CONTROL!$C$42, 34.6532, 34.6532)*CHOOSE(CONTROL!$C$21, $C$9, 100%, $E$9)</f>
        <v>34.653199999999998</v>
      </c>
      <c r="G641" s="10">
        <f>CHOOSE(CONTROL!$C$42, 34.6682, 34.6682)*CHOOSE(CONTROL!$C$21, $C$9, 100%, $E$9)</f>
        <v>34.668199999999999</v>
      </c>
      <c r="H641" s="10">
        <f>CHOOSE(CONTROL!$C$42, 34.9079, 34.9079) * CHOOSE(CONTROL!$C$21, $C$9, 100%, $E$9)</f>
        <v>34.907899999999998</v>
      </c>
      <c r="I641" s="10">
        <f>CHOOSE(CONTROL!$C$42, 34.6775, 34.6775)* CHOOSE(CONTROL!$C$21, $C$9, 100%, $E$9)</f>
        <v>34.677500000000002</v>
      </c>
      <c r="J641" s="10">
        <f>CHOOSE(CONTROL!$C$42, 34.6462, 34.6462)* CHOOSE(CONTROL!$C$21, $C$9, 100%, $E$9)</f>
        <v>34.6462</v>
      </c>
      <c r="K641" s="53">
        <f>CHOOSE(CONTROL!$C$42, 34.6736, 34.6736) * CHOOSE(CONTROL!$C$21, $C$9, 100%, $E$9)</f>
        <v>34.6736</v>
      </c>
      <c r="L641" s="10">
        <f>CHOOSE(CONTROL!$C$42, 35.4949, 35.4949) * CHOOSE(CONTROL!$C$21, $C$9, 100%, $E$9)</f>
        <v>35.494900000000001</v>
      </c>
      <c r="M641" s="10">
        <f>CHOOSE(CONTROL!$C$42, 34.3104, 34.3104) * CHOOSE(CONTROL!$C$21, $C$9, 100%, $E$9)</f>
        <v>34.310400000000001</v>
      </c>
      <c r="N641" s="10">
        <f>CHOOSE(CONTROL!$C$42, 34.3252, 34.3252) * CHOOSE(CONTROL!$C$21, $C$9, 100%, $E$9)</f>
        <v>34.325200000000002</v>
      </c>
      <c r="O641" s="10">
        <f>CHOOSE(CONTROL!$C$42, 34.5694, 34.5694) * CHOOSE(CONTROL!$C$21, $C$9, 100%, $E$9)</f>
        <v>34.569400000000002</v>
      </c>
      <c r="P641" s="10">
        <f>CHOOSE(CONTROL!$C$42, 34.3414, 34.3414) * CHOOSE(CONTROL!$C$21, $C$9, 100%, $E$9)</f>
        <v>34.3414</v>
      </c>
      <c r="Q641" s="10">
        <f>CHOOSE(CONTROL!$C$42, 35.1647, 35.1647) * CHOOSE(CONTROL!$C$21, $C$9, 100%, $E$9)</f>
        <v>35.164700000000003</v>
      </c>
      <c r="R641" s="10">
        <f>CHOOSE(CONTROL!$C$42, 35.8396, 35.8396) * CHOOSE(CONTROL!$C$21, $C$9, 100%, $E$9)</f>
        <v>35.839599999999997</v>
      </c>
      <c r="S641" s="10">
        <f>CHOOSE(CONTROL!$C$42, 33.671, 33.671) * CHOOSE(CONTROL!$C$21, $C$9, 100%, $E$9)</f>
        <v>33.670999999999999</v>
      </c>
      <c r="T6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57">
        <f>(1000*CHOOSE(CONTROL!$C$42, 695, 695)*CHOOSE(CONTROL!$C$42, 0.5599, 0.5599)*CHOOSE(CONTROL!$C$42, 31, 31))/1000000</f>
        <v>12.063045499999998</v>
      </c>
      <c r="V641" s="57">
        <f>(1000*CHOOSE(CONTROL!$C$42, 500, 500)*CHOOSE(CONTROL!$C$42, 0.275, 0.275)*CHOOSE(CONTROL!$C$42, 31, 31))/1000000</f>
        <v>4.2625000000000002</v>
      </c>
      <c r="W641" s="57">
        <f>(1000*CHOOSE(CONTROL!$C$42, 0.1146, 0.1146)*CHOOSE(CONTROL!$C$42, 121.5, 121.5)*CHOOSE(CONTROL!$C$42, 31, 31))/1000000</f>
        <v>0.43164089999999994</v>
      </c>
      <c r="X641" s="57">
        <f>(31*0.1790888*245000/1000000)+(31*0.2374*100000/1000000)</f>
        <v>2.0961194359999999</v>
      </c>
      <c r="Y641" s="57"/>
      <c r="Z641" s="10"/>
      <c r="AA641" s="56"/>
      <c r="AB641" s="50">
        <f>(B641*194.205+C641*267.466+D641*133.845+E641*53.484+F641*40+G641*185+H641*0+I641*100+J641*300)/(194.205+267.466+133.845+53.484+0+40+185+100+300)</f>
        <v>34.701946876923074</v>
      </c>
      <c r="AC641" s="45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34.433100719424459</v>
      </c>
    </row>
    <row r="642" spans="1:29" ht="15.75" x14ac:dyDescent="0.25">
      <c r="A642" s="13">
        <v>60448</v>
      </c>
      <c r="B642" s="10">
        <f>CHOOSE(CONTROL!$C$42, 35.661, 35.661) * CHOOSE(CONTROL!$C$21, $C$9, 100%, $E$9)</f>
        <v>35.661000000000001</v>
      </c>
      <c r="C642" s="10">
        <f>CHOOSE(CONTROL!$C$42, 35.6689, 35.6689) * CHOOSE(CONTROL!$C$21, $C$9, 100%, $E$9)</f>
        <v>35.668900000000001</v>
      </c>
      <c r="D642" s="10">
        <f>CHOOSE(CONTROL!$C$42, 35.8716, 35.8716) * CHOOSE(CONTROL!$C$21, $C$9, 100%, $E$9)</f>
        <v>35.871600000000001</v>
      </c>
      <c r="E642" s="10">
        <f>CHOOSE(CONTROL!$C$42, 35.9028, 35.9028) * CHOOSE(CONTROL!$C$21, $C$9, 100%, $E$9)</f>
        <v>35.902799999999999</v>
      </c>
      <c r="F642" s="10">
        <f>CHOOSE(CONTROL!$C$42, 35.6372, 35.6372)*CHOOSE(CONTROL!$C$21, $C$9, 100%, $E$9)</f>
        <v>35.6372</v>
      </c>
      <c r="G642" s="10">
        <f>CHOOSE(CONTROL!$C$42, 35.6524, 35.6524)*CHOOSE(CONTROL!$C$21, $C$9, 100%, $E$9)</f>
        <v>35.6524</v>
      </c>
      <c r="H642" s="10">
        <f>CHOOSE(CONTROL!$C$42, 35.8914, 35.8914) * CHOOSE(CONTROL!$C$21, $C$9, 100%, $E$9)</f>
        <v>35.891399999999997</v>
      </c>
      <c r="I642" s="10">
        <f>CHOOSE(CONTROL!$C$42, 35.661, 35.661)* CHOOSE(CONTROL!$C$21, $C$9, 100%, $E$9)</f>
        <v>35.661000000000001</v>
      </c>
      <c r="J642" s="10">
        <f>CHOOSE(CONTROL!$C$42, 35.6302, 35.6302)* CHOOSE(CONTROL!$C$21, $C$9, 100%, $E$9)</f>
        <v>35.630200000000002</v>
      </c>
      <c r="K642" s="53">
        <f>CHOOSE(CONTROL!$C$42, 35.6571, 35.6571) * CHOOSE(CONTROL!$C$21, $C$9, 100%, $E$9)</f>
        <v>35.6571</v>
      </c>
      <c r="L642" s="10">
        <f>CHOOSE(CONTROL!$C$42, 36.4784, 36.4784) * CHOOSE(CONTROL!$C$21, $C$9, 100%, $E$9)</f>
        <v>36.478400000000001</v>
      </c>
      <c r="M642" s="10">
        <f>CHOOSE(CONTROL!$C$42, 35.2845, 35.2845) * CHOOSE(CONTROL!$C$21, $C$9, 100%, $E$9)</f>
        <v>35.284500000000001</v>
      </c>
      <c r="N642" s="10">
        <f>CHOOSE(CONTROL!$C$42, 35.2995, 35.2995) * CHOOSE(CONTROL!$C$21, $C$9, 100%, $E$9)</f>
        <v>35.299500000000002</v>
      </c>
      <c r="O642" s="10">
        <f>CHOOSE(CONTROL!$C$42, 35.543, 35.543) * CHOOSE(CONTROL!$C$21, $C$9, 100%, $E$9)</f>
        <v>35.542999999999999</v>
      </c>
      <c r="P642" s="10">
        <f>CHOOSE(CONTROL!$C$42, 35.315, 35.315) * CHOOSE(CONTROL!$C$21, $C$9, 100%, $E$9)</f>
        <v>35.314999999999998</v>
      </c>
      <c r="Q642" s="10">
        <f>CHOOSE(CONTROL!$C$42, 36.1383, 36.1383) * CHOOSE(CONTROL!$C$21, $C$9, 100%, $E$9)</f>
        <v>36.138300000000001</v>
      </c>
      <c r="R642" s="10">
        <f>CHOOSE(CONTROL!$C$42, 36.8157, 36.8157) * CHOOSE(CONTROL!$C$21, $C$9, 100%, $E$9)</f>
        <v>36.8157</v>
      </c>
      <c r="S642" s="10">
        <f>CHOOSE(CONTROL!$C$42, 34.6261, 34.6261) * CHOOSE(CONTROL!$C$21, $C$9, 100%, $E$9)</f>
        <v>34.626100000000001</v>
      </c>
      <c r="T6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57">
        <f>(1000*CHOOSE(CONTROL!$C$42, 695, 695)*CHOOSE(CONTROL!$C$42, 0.5599, 0.5599)*CHOOSE(CONTROL!$C$42, 30, 30))/1000000</f>
        <v>11.673914999999997</v>
      </c>
      <c r="V642" s="57">
        <f>(1000*CHOOSE(CONTROL!$C$42, 500, 500)*CHOOSE(CONTROL!$C$42, 0.275, 0.275)*CHOOSE(CONTROL!$C$42, 30, 30))/1000000</f>
        <v>4.125</v>
      </c>
      <c r="W642" s="57">
        <f>(1000*CHOOSE(CONTROL!$C$42, 0.1146, 0.1146)*CHOOSE(CONTROL!$C$42, 121.5, 121.5)*CHOOSE(CONTROL!$C$42, 30, 30))/1000000</f>
        <v>0.417717</v>
      </c>
      <c r="X642" s="57">
        <f>(30*0.1790888*245000/1000000)+(30*0.2374*100000/1000000)</f>
        <v>2.0285026799999999</v>
      </c>
      <c r="Y642" s="57"/>
      <c r="Z642" s="10"/>
      <c r="AA642" s="56"/>
      <c r="AB642" s="50">
        <f>(B642*194.205+C642*267.466+D642*133.845+E642*53.484+F642*40+G642*185+H642*0+I642*100+J642*300)/(194.205+267.466+133.845+53.484+0+40+185+100+300)</f>
        <v>35.685686161381483</v>
      </c>
      <c r="AC642" s="45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35.40691366906475</v>
      </c>
    </row>
    <row r="643" spans="1:29" ht="15.75" x14ac:dyDescent="0.25">
      <c r="A643" s="13">
        <v>60479</v>
      </c>
      <c r="B643" s="10">
        <f>CHOOSE(CONTROL!$C$42, 34.9769, 34.9769) * CHOOSE(CONTROL!$C$21, $C$9, 100%, $E$9)</f>
        <v>34.976900000000001</v>
      </c>
      <c r="C643" s="10">
        <f>CHOOSE(CONTROL!$C$42, 34.9849, 34.9849) * CHOOSE(CONTROL!$C$21, $C$9, 100%, $E$9)</f>
        <v>34.984900000000003</v>
      </c>
      <c r="D643" s="10">
        <f>CHOOSE(CONTROL!$C$42, 35.1876, 35.1876) * CHOOSE(CONTROL!$C$21, $C$9, 100%, $E$9)</f>
        <v>35.187600000000003</v>
      </c>
      <c r="E643" s="10">
        <f>CHOOSE(CONTROL!$C$42, 35.2187, 35.2187) * CHOOSE(CONTROL!$C$21, $C$9, 100%, $E$9)</f>
        <v>35.218699999999998</v>
      </c>
      <c r="F643" s="10">
        <f>CHOOSE(CONTROL!$C$42, 34.9537, 34.9537)*CHOOSE(CONTROL!$C$21, $C$9, 100%, $E$9)</f>
        <v>34.953699999999998</v>
      </c>
      <c r="G643" s="10">
        <f>CHOOSE(CONTROL!$C$42, 34.969, 34.969)*CHOOSE(CONTROL!$C$21, $C$9, 100%, $E$9)</f>
        <v>34.969000000000001</v>
      </c>
      <c r="H643" s="10">
        <f>CHOOSE(CONTROL!$C$42, 35.2074, 35.2074) * CHOOSE(CONTROL!$C$21, $C$9, 100%, $E$9)</f>
        <v>35.2074</v>
      </c>
      <c r="I643" s="10">
        <f>CHOOSE(CONTROL!$C$42, 34.977, 34.977)* CHOOSE(CONTROL!$C$21, $C$9, 100%, $E$9)</f>
        <v>34.976999999999997</v>
      </c>
      <c r="J643" s="10">
        <f>CHOOSE(CONTROL!$C$42, 34.9467, 34.9467)* CHOOSE(CONTROL!$C$21, $C$9, 100%, $E$9)</f>
        <v>34.9467</v>
      </c>
      <c r="K643" s="53">
        <f>CHOOSE(CONTROL!$C$42, 34.9731, 34.9731) * CHOOSE(CONTROL!$C$21, $C$9, 100%, $E$9)</f>
        <v>34.973100000000002</v>
      </c>
      <c r="L643" s="10">
        <f>CHOOSE(CONTROL!$C$42, 35.7944, 35.7944) * CHOOSE(CONTROL!$C$21, $C$9, 100%, $E$9)</f>
        <v>35.794400000000003</v>
      </c>
      <c r="M643" s="10">
        <f>CHOOSE(CONTROL!$C$42, 34.6078, 34.6078) * CHOOSE(CONTROL!$C$21, $C$9, 100%, $E$9)</f>
        <v>34.607799999999997</v>
      </c>
      <c r="N643" s="10">
        <f>CHOOSE(CONTROL!$C$42, 34.623, 34.623) * CHOOSE(CONTROL!$C$21, $C$9, 100%, $E$9)</f>
        <v>34.622999999999998</v>
      </c>
      <c r="O643" s="10">
        <f>CHOOSE(CONTROL!$C$42, 34.8659, 34.8659) * CHOOSE(CONTROL!$C$21, $C$9, 100%, $E$9)</f>
        <v>34.865900000000003</v>
      </c>
      <c r="P643" s="10">
        <f>CHOOSE(CONTROL!$C$42, 34.6379, 34.6379) * CHOOSE(CONTROL!$C$21, $C$9, 100%, $E$9)</f>
        <v>34.637900000000002</v>
      </c>
      <c r="Q643" s="10">
        <f>CHOOSE(CONTROL!$C$42, 35.4612, 35.4612) * CHOOSE(CONTROL!$C$21, $C$9, 100%, $E$9)</f>
        <v>35.461199999999998</v>
      </c>
      <c r="R643" s="10">
        <f>CHOOSE(CONTROL!$C$42, 36.1368, 36.1368) * CHOOSE(CONTROL!$C$21, $C$9, 100%, $E$9)</f>
        <v>36.136800000000001</v>
      </c>
      <c r="S643" s="10">
        <f>CHOOSE(CONTROL!$C$42, 33.9619, 33.9619) * CHOOSE(CONTROL!$C$21, $C$9, 100%, $E$9)</f>
        <v>33.9619</v>
      </c>
      <c r="T6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57">
        <f>(1000*CHOOSE(CONTROL!$C$42, 695, 695)*CHOOSE(CONTROL!$C$42, 0.5599, 0.5599)*CHOOSE(CONTROL!$C$42, 31, 31))/1000000</f>
        <v>12.063045499999998</v>
      </c>
      <c r="V643" s="57">
        <f>(1000*CHOOSE(CONTROL!$C$42, 500, 500)*CHOOSE(CONTROL!$C$42, 0.275, 0.275)*CHOOSE(CONTROL!$C$42, 31, 31))/1000000</f>
        <v>4.2625000000000002</v>
      </c>
      <c r="W643" s="57">
        <f>(1000*CHOOSE(CONTROL!$C$42, 0.1146, 0.1146)*CHOOSE(CONTROL!$C$42, 121.5, 121.5)*CHOOSE(CONTROL!$C$42, 31, 31))/1000000</f>
        <v>0.43164089999999994</v>
      </c>
      <c r="X643" s="57">
        <f>(31*0.1790888*245000/1000000)+(31*0.2374*100000/1000000)</f>
        <v>2.0961194359999999</v>
      </c>
      <c r="Y643" s="57"/>
      <c r="Z643" s="10"/>
      <c r="AA643" s="56"/>
      <c r="AB643" s="50">
        <f>(B643*194.205+C643*267.466+D643*133.845+E643*53.484+F643*40+G643*185+H643*0+I643*100+J643*300)/(194.205+267.466+133.845+53.484+0+40+185+100+300)</f>
        <v>35.001887284693879</v>
      </c>
      <c r="AC643" s="45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34.729986330935255</v>
      </c>
    </row>
    <row r="644" spans="1:29" ht="15.75" x14ac:dyDescent="0.25">
      <c r="A644" s="13">
        <v>60510</v>
      </c>
      <c r="B644" s="10">
        <f>CHOOSE(CONTROL!$C$42, 33.2495, 33.2495) * CHOOSE(CONTROL!$C$21, $C$9, 100%, $E$9)</f>
        <v>33.249499999999998</v>
      </c>
      <c r="C644" s="10">
        <f>CHOOSE(CONTROL!$C$42, 33.2574, 33.2574) * CHOOSE(CONTROL!$C$21, $C$9, 100%, $E$9)</f>
        <v>33.257399999999997</v>
      </c>
      <c r="D644" s="10">
        <f>CHOOSE(CONTROL!$C$42, 33.4602, 33.4602) * CHOOSE(CONTROL!$C$21, $C$9, 100%, $E$9)</f>
        <v>33.4602</v>
      </c>
      <c r="E644" s="10">
        <f>CHOOSE(CONTROL!$C$42, 33.4913, 33.4913) * CHOOSE(CONTROL!$C$21, $C$9, 100%, $E$9)</f>
        <v>33.491300000000003</v>
      </c>
      <c r="F644" s="10">
        <f>CHOOSE(CONTROL!$C$42, 33.2265, 33.2265)*CHOOSE(CONTROL!$C$21, $C$9, 100%, $E$9)</f>
        <v>33.226500000000001</v>
      </c>
      <c r="G644" s="10">
        <f>CHOOSE(CONTROL!$C$42, 33.2418, 33.2418)*CHOOSE(CONTROL!$C$21, $C$9, 100%, $E$9)</f>
        <v>33.241799999999998</v>
      </c>
      <c r="H644" s="10">
        <f>CHOOSE(CONTROL!$C$42, 33.4799, 33.4799) * CHOOSE(CONTROL!$C$21, $C$9, 100%, $E$9)</f>
        <v>33.479900000000001</v>
      </c>
      <c r="I644" s="10">
        <f>CHOOSE(CONTROL!$C$42, 33.2496, 33.2496)* CHOOSE(CONTROL!$C$21, $C$9, 100%, $E$9)</f>
        <v>33.249600000000001</v>
      </c>
      <c r="J644" s="10">
        <f>CHOOSE(CONTROL!$C$42, 33.2195, 33.2195)* CHOOSE(CONTROL!$C$21, $C$9, 100%, $E$9)</f>
        <v>33.219499999999996</v>
      </c>
      <c r="K644" s="53">
        <f>CHOOSE(CONTROL!$C$42, 33.2457, 33.2457) * CHOOSE(CONTROL!$C$21, $C$9, 100%, $E$9)</f>
        <v>33.245699999999999</v>
      </c>
      <c r="L644" s="10">
        <f>CHOOSE(CONTROL!$C$42, 34.0669, 34.0669) * CHOOSE(CONTROL!$C$21, $C$9, 100%, $E$9)</f>
        <v>34.066899999999997</v>
      </c>
      <c r="M644" s="10">
        <f>CHOOSE(CONTROL!$C$42, 32.898, 32.898) * CHOOSE(CONTROL!$C$21, $C$9, 100%, $E$9)</f>
        <v>32.898000000000003</v>
      </c>
      <c r="N644" s="10">
        <f>CHOOSE(CONTROL!$C$42, 32.9132, 32.9132) * CHOOSE(CONTROL!$C$21, $C$9, 100%, $E$9)</f>
        <v>32.913200000000003</v>
      </c>
      <c r="O644" s="10">
        <f>CHOOSE(CONTROL!$C$42, 33.1559, 33.1559) * CHOOSE(CONTROL!$C$21, $C$9, 100%, $E$9)</f>
        <v>33.155900000000003</v>
      </c>
      <c r="P644" s="10">
        <f>CHOOSE(CONTROL!$C$42, 32.9279, 32.9279) * CHOOSE(CONTROL!$C$21, $C$9, 100%, $E$9)</f>
        <v>32.927900000000001</v>
      </c>
      <c r="Q644" s="10">
        <f>CHOOSE(CONTROL!$C$42, 33.7512, 33.7512) * CHOOSE(CONTROL!$C$21, $C$9, 100%, $E$9)</f>
        <v>33.751199999999997</v>
      </c>
      <c r="R644" s="10">
        <f>CHOOSE(CONTROL!$C$42, 34.4226, 34.4226) * CHOOSE(CONTROL!$C$21, $C$9, 100%, $E$9)</f>
        <v>34.422600000000003</v>
      </c>
      <c r="S644" s="10">
        <f>CHOOSE(CONTROL!$C$42, 32.2844, 32.2844) * CHOOSE(CONTROL!$C$21, $C$9, 100%, $E$9)</f>
        <v>32.284399999999998</v>
      </c>
      <c r="T6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57">
        <f>(1000*CHOOSE(CONTROL!$C$42, 695, 695)*CHOOSE(CONTROL!$C$42, 0.5599, 0.5599)*CHOOSE(CONTROL!$C$42, 31, 31))/1000000</f>
        <v>12.063045499999998</v>
      </c>
      <c r="V644" s="57">
        <f>(1000*CHOOSE(CONTROL!$C$42, 500, 500)*CHOOSE(CONTROL!$C$42, 0.275, 0.275)*CHOOSE(CONTROL!$C$42, 31, 31))/1000000</f>
        <v>4.2625000000000002</v>
      </c>
      <c r="W644" s="57">
        <f>(1000*CHOOSE(CONTROL!$C$42, 0.1146, 0.1146)*CHOOSE(CONTROL!$C$42, 121.5, 121.5)*CHOOSE(CONTROL!$C$42, 31, 31))/1000000</f>
        <v>0.43164089999999994</v>
      </c>
      <c r="X644" s="57">
        <f>(31*0.1790888*245000/1000000)+(31*0.2374*100000/1000000)</f>
        <v>2.0961194359999999</v>
      </c>
      <c r="Y644" s="57"/>
      <c r="Z644" s="10"/>
      <c r="AA644" s="56"/>
      <c r="AB644" s="50">
        <f>(B644*194.205+C644*267.466+D644*133.845+E644*53.484+F644*40+G644*185+H644*0+I644*100+J644*300)/(194.205+267.466+133.845+53.484+0+40+185+100+300)</f>
        <v>33.274548708084772</v>
      </c>
      <c r="AC644" s="45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33.020066906474824</v>
      </c>
    </row>
    <row r="645" spans="1:29" ht="15.75" x14ac:dyDescent="0.25">
      <c r="A645" s="13">
        <v>60540</v>
      </c>
      <c r="B645" s="10">
        <f>CHOOSE(CONTROL!$C$42, 31.1385, 31.1385) * CHOOSE(CONTROL!$C$21, $C$9, 100%, $E$9)</f>
        <v>31.138500000000001</v>
      </c>
      <c r="C645" s="10">
        <f>CHOOSE(CONTROL!$C$42, 31.1465, 31.1465) * CHOOSE(CONTROL!$C$21, $C$9, 100%, $E$9)</f>
        <v>31.1465</v>
      </c>
      <c r="D645" s="10">
        <f>CHOOSE(CONTROL!$C$42, 31.3492, 31.3492) * CHOOSE(CONTROL!$C$21, $C$9, 100%, $E$9)</f>
        <v>31.3492</v>
      </c>
      <c r="E645" s="10">
        <f>CHOOSE(CONTROL!$C$42, 31.3803, 31.3803) * CHOOSE(CONTROL!$C$21, $C$9, 100%, $E$9)</f>
        <v>31.380299999999998</v>
      </c>
      <c r="F645" s="10">
        <f>CHOOSE(CONTROL!$C$42, 31.1153, 31.1153)*CHOOSE(CONTROL!$C$21, $C$9, 100%, $E$9)</f>
        <v>31.115300000000001</v>
      </c>
      <c r="G645" s="10">
        <f>CHOOSE(CONTROL!$C$42, 31.1306, 31.1306)*CHOOSE(CONTROL!$C$21, $C$9, 100%, $E$9)</f>
        <v>31.130600000000001</v>
      </c>
      <c r="H645" s="10">
        <f>CHOOSE(CONTROL!$C$42, 31.369, 31.369) * CHOOSE(CONTROL!$C$21, $C$9, 100%, $E$9)</f>
        <v>31.369</v>
      </c>
      <c r="I645" s="10">
        <f>CHOOSE(CONTROL!$C$42, 31.1386, 31.1386)* CHOOSE(CONTROL!$C$21, $C$9, 100%, $E$9)</f>
        <v>31.1386</v>
      </c>
      <c r="J645" s="10">
        <f>CHOOSE(CONTROL!$C$42, 31.1083, 31.1083)* CHOOSE(CONTROL!$C$21, $C$9, 100%, $E$9)</f>
        <v>31.1083</v>
      </c>
      <c r="K645" s="53">
        <f>CHOOSE(CONTROL!$C$42, 31.1347, 31.1347) * CHOOSE(CONTROL!$C$21, $C$9, 100%, $E$9)</f>
        <v>31.134699999999999</v>
      </c>
      <c r="L645" s="10">
        <f>CHOOSE(CONTROL!$C$42, 31.956, 31.956) * CHOOSE(CONTROL!$C$21, $C$9, 100%, $E$9)</f>
        <v>31.956</v>
      </c>
      <c r="M645" s="10">
        <f>CHOOSE(CONTROL!$C$42, 30.8082, 30.8082) * CHOOSE(CONTROL!$C$21, $C$9, 100%, $E$9)</f>
        <v>30.808199999999999</v>
      </c>
      <c r="N645" s="10">
        <f>CHOOSE(CONTROL!$C$42, 30.8234, 30.8234) * CHOOSE(CONTROL!$C$21, $C$9, 100%, $E$9)</f>
        <v>30.823399999999999</v>
      </c>
      <c r="O645" s="10">
        <f>CHOOSE(CONTROL!$C$42, 31.0662, 31.0662) * CHOOSE(CONTROL!$C$21, $C$9, 100%, $E$9)</f>
        <v>31.066199999999998</v>
      </c>
      <c r="P645" s="10">
        <f>CHOOSE(CONTROL!$C$42, 30.8382, 30.8382) * CHOOSE(CONTROL!$C$21, $C$9, 100%, $E$9)</f>
        <v>30.838200000000001</v>
      </c>
      <c r="Q645" s="10">
        <f>CHOOSE(CONTROL!$C$42, 31.6615, 31.6615) * CHOOSE(CONTROL!$C$21, $C$9, 100%, $E$9)</f>
        <v>31.6615</v>
      </c>
      <c r="R645" s="10">
        <f>CHOOSE(CONTROL!$C$42, 32.3277, 32.3277) * CHOOSE(CONTROL!$C$21, $C$9, 100%, $E$9)</f>
        <v>32.3277</v>
      </c>
      <c r="S645" s="10">
        <f>CHOOSE(CONTROL!$C$42, 30.2344, 30.2344) * CHOOSE(CONTROL!$C$21, $C$9, 100%, $E$9)</f>
        <v>30.234400000000001</v>
      </c>
      <c r="T6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57">
        <f>(1000*CHOOSE(CONTROL!$C$42, 695, 695)*CHOOSE(CONTROL!$C$42, 0.5599, 0.5599)*CHOOSE(CONTROL!$C$42, 30, 30))/1000000</f>
        <v>11.673914999999997</v>
      </c>
      <c r="V645" s="57">
        <f>(1000*CHOOSE(CONTROL!$C$42, 500, 500)*CHOOSE(CONTROL!$C$42, 0.275, 0.275)*CHOOSE(CONTROL!$C$42, 30, 30))/1000000</f>
        <v>4.125</v>
      </c>
      <c r="W645" s="57">
        <f>(1000*CHOOSE(CONTROL!$C$42, 0.1146, 0.1146)*CHOOSE(CONTROL!$C$42, 121.5, 121.5)*CHOOSE(CONTROL!$C$42, 30, 30))/1000000</f>
        <v>0.417717</v>
      </c>
      <c r="X645" s="57">
        <f>(30*0.1790888*245000/1000000)+(30*0.2374*100000/1000000)</f>
        <v>2.0285026799999999</v>
      </c>
      <c r="Y645" s="57"/>
      <c r="Z645" s="10"/>
      <c r="AA645" s="56"/>
      <c r="AB645" s="50">
        <f>(B645*194.205+C645*267.466+D645*133.845+E645*53.484+F645*40+G645*185+H645*0+I645*100+J645*300)/(194.205+267.466+133.845+53.484+0+40+185+100+300)</f>
        <v>31.163487284693883</v>
      </c>
      <c r="AC645" s="45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30.930326618705031</v>
      </c>
    </row>
    <row r="646" spans="1:29" ht="15.75" x14ac:dyDescent="0.25">
      <c r="A646" s="13">
        <v>60571</v>
      </c>
      <c r="B646" s="10">
        <f>CHOOSE(CONTROL!$C$42, 30.5046, 30.5046) * CHOOSE(CONTROL!$C$21, $C$9, 100%, $E$9)</f>
        <v>30.5046</v>
      </c>
      <c r="C646" s="10">
        <f>CHOOSE(CONTROL!$C$42, 30.5099, 30.5099) * CHOOSE(CONTROL!$C$21, $C$9, 100%, $E$9)</f>
        <v>30.509899999999998</v>
      </c>
      <c r="D646" s="10">
        <f>CHOOSE(CONTROL!$C$42, 30.7176, 30.7176) * CHOOSE(CONTROL!$C$21, $C$9, 100%, $E$9)</f>
        <v>30.717600000000001</v>
      </c>
      <c r="E646" s="10">
        <f>CHOOSE(CONTROL!$C$42, 30.7464, 30.7464) * CHOOSE(CONTROL!$C$21, $C$9, 100%, $E$9)</f>
        <v>30.746400000000001</v>
      </c>
      <c r="F646" s="10">
        <f>CHOOSE(CONTROL!$C$42, 30.4834, 30.4834)*CHOOSE(CONTROL!$C$21, $C$9, 100%, $E$9)</f>
        <v>30.4834</v>
      </c>
      <c r="G646" s="10">
        <f>CHOOSE(CONTROL!$C$42, 30.4983, 30.4983)*CHOOSE(CONTROL!$C$21, $C$9, 100%, $E$9)</f>
        <v>30.4983</v>
      </c>
      <c r="H646" s="10">
        <f>CHOOSE(CONTROL!$C$42, 30.7368, 30.7368) * CHOOSE(CONTROL!$C$21, $C$9, 100%, $E$9)</f>
        <v>30.736799999999999</v>
      </c>
      <c r="I646" s="10">
        <f>CHOOSE(CONTROL!$C$42, 30.5064, 30.5064)* CHOOSE(CONTROL!$C$21, $C$9, 100%, $E$9)</f>
        <v>30.506399999999999</v>
      </c>
      <c r="J646" s="10">
        <f>CHOOSE(CONTROL!$C$42, 30.4764, 30.4764)* CHOOSE(CONTROL!$C$21, $C$9, 100%, $E$9)</f>
        <v>30.476400000000002</v>
      </c>
      <c r="K646" s="53">
        <f>CHOOSE(CONTROL!$C$42, 30.5025, 30.5025) * CHOOSE(CONTROL!$C$21, $C$9, 100%, $E$9)</f>
        <v>30.502500000000001</v>
      </c>
      <c r="L646" s="10">
        <f>CHOOSE(CONTROL!$C$42, 31.3238, 31.3238) * CHOOSE(CONTROL!$C$21, $C$9, 100%, $E$9)</f>
        <v>31.323799999999999</v>
      </c>
      <c r="M646" s="10">
        <f>CHOOSE(CONTROL!$C$42, 30.1826, 30.1826) * CHOOSE(CONTROL!$C$21, $C$9, 100%, $E$9)</f>
        <v>30.182600000000001</v>
      </c>
      <c r="N646" s="10">
        <f>CHOOSE(CONTROL!$C$42, 30.1974, 30.1974) * CHOOSE(CONTROL!$C$21, $C$9, 100%, $E$9)</f>
        <v>30.197399999999998</v>
      </c>
      <c r="O646" s="10">
        <f>CHOOSE(CONTROL!$C$42, 30.4405, 30.4405) * CHOOSE(CONTROL!$C$21, $C$9, 100%, $E$9)</f>
        <v>30.4405</v>
      </c>
      <c r="P646" s="10">
        <f>CHOOSE(CONTROL!$C$42, 30.2124, 30.2124) * CHOOSE(CONTROL!$C$21, $C$9, 100%, $E$9)</f>
        <v>30.212399999999999</v>
      </c>
      <c r="Q646" s="10">
        <f>CHOOSE(CONTROL!$C$42, 31.0358, 31.0358) * CHOOSE(CONTROL!$C$21, $C$9, 100%, $E$9)</f>
        <v>31.035799999999998</v>
      </c>
      <c r="R646" s="10">
        <f>CHOOSE(CONTROL!$C$42, 31.7003, 31.7003) * CHOOSE(CONTROL!$C$21, $C$9, 100%, $E$9)</f>
        <v>31.700299999999999</v>
      </c>
      <c r="S646" s="10">
        <f>CHOOSE(CONTROL!$C$42, 29.6205, 29.6205) * CHOOSE(CONTROL!$C$21, $C$9, 100%, $E$9)</f>
        <v>29.6205</v>
      </c>
      <c r="T6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57">
        <f>(1000*CHOOSE(CONTROL!$C$42, 695, 695)*CHOOSE(CONTROL!$C$42, 0.5599, 0.5599)*CHOOSE(CONTROL!$C$42, 31, 31))/1000000</f>
        <v>12.063045499999998</v>
      </c>
      <c r="V646" s="57">
        <f>(1000*CHOOSE(CONTROL!$C$42, 500, 500)*CHOOSE(CONTROL!$C$42, 0.275, 0.275)*CHOOSE(CONTROL!$C$42, 31, 31))/1000000</f>
        <v>4.2625000000000002</v>
      </c>
      <c r="W646" s="57">
        <f>(1000*CHOOSE(CONTROL!$C$42, 0.1146, 0.1146)*CHOOSE(CONTROL!$C$42, 121.5, 121.5)*CHOOSE(CONTROL!$C$42, 31, 31))/1000000</f>
        <v>0.43164089999999994</v>
      </c>
      <c r="X646" s="57">
        <f>(31*0.1790888*245000/1000000)+(31*0.2374*100000/1000000)</f>
        <v>2.0961194359999999</v>
      </c>
      <c r="Y646" s="57"/>
      <c r="Z646" s="10"/>
      <c r="AA646" s="56"/>
      <c r="AB646" s="50">
        <f>(B646*131.881+C646*277.167+D646*79.08+E646*125.872+F646*40+G646*185+H646*0+I646*100+J646*300)/(131.881+277.167+79.08+125.872+0+40+185+100+300)</f>
        <v>30.535637429136401</v>
      </c>
      <c r="AC646" s="45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30.304629496402875</v>
      </c>
    </row>
    <row r="647" spans="1:29" ht="15.75" x14ac:dyDescent="0.25">
      <c r="A647" s="13">
        <v>60601</v>
      </c>
      <c r="B647" s="10">
        <f>CHOOSE(CONTROL!$C$42, 31.3078, 31.3078) * CHOOSE(CONTROL!$C$21, $C$9, 100%, $E$9)</f>
        <v>31.3078</v>
      </c>
      <c r="C647" s="10">
        <f>CHOOSE(CONTROL!$C$42, 31.3127, 31.3127) * CHOOSE(CONTROL!$C$21, $C$9, 100%, $E$9)</f>
        <v>31.3127</v>
      </c>
      <c r="D647" s="10">
        <f>CHOOSE(CONTROL!$C$42, 31.3732, 31.3732) * CHOOSE(CONTROL!$C$21, $C$9, 100%, $E$9)</f>
        <v>31.373200000000001</v>
      </c>
      <c r="E647" s="10">
        <f>CHOOSE(CONTROL!$C$42, 31.407, 31.407) * CHOOSE(CONTROL!$C$21, $C$9, 100%, $E$9)</f>
        <v>31.407</v>
      </c>
      <c r="F647" s="10">
        <f>CHOOSE(CONTROL!$C$42, 31.3034, 31.3034)*CHOOSE(CONTROL!$C$21, $C$9, 100%, $E$9)</f>
        <v>31.3034</v>
      </c>
      <c r="G647" s="10">
        <f>CHOOSE(CONTROL!$C$42, 31.3186, 31.3186)*CHOOSE(CONTROL!$C$21, $C$9, 100%, $E$9)</f>
        <v>31.3186</v>
      </c>
      <c r="H647" s="10">
        <f>CHOOSE(CONTROL!$C$42, 31.3962, 31.3962) * CHOOSE(CONTROL!$C$21, $C$9, 100%, $E$9)</f>
        <v>31.3962</v>
      </c>
      <c r="I647" s="10">
        <f>CHOOSE(CONTROL!$C$42, 31.3203, 31.3203)* CHOOSE(CONTROL!$C$21, $C$9, 100%, $E$9)</f>
        <v>31.3203</v>
      </c>
      <c r="J647" s="10">
        <f>CHOOSE(CONTROL!$C$42, 31.2964, 31.2964)* CHOOSE(CONTROL!$C$21, $C$9, 100%, $E$9)</f>
        <v>31.296399999999998</v>
      </c>
      <c r="K647" s="53">
        <f>CHOOSE(CONTROL!$C$42, 31.3164, 31.3164) * CHOOSE(CONTROL!$C$21, $C$9, 100%, $E$9)</f>
        <v>31.316400000000002</v>
      </c>
      <c r="L647" s="10">
        <f>CHOOSE(CONTROL!$C$42, 31.9832, 31.9832) * CHOOSE(CONTROL!$C$21, $C$9, 100%, $E$9)</f>
        <v>31.9832</v>
      </c>
      <c r="M647" s="10">
        <f>CHOOSE(CONTROL!$C$42, 30.9944, 30.9944) * CHOOSE(CONTROL!$C$21, $C$9, 100%, $E$9)</f>
        <v>30.994399999999999</v>
      </c>
      <c r="N647" s="10">
        <f>CHOOSE(CONTROL!$C$42, 31.0095, 31.0095) * CHOOSE(CONTROL!$C$21, $C$9, 100%, $E$9)</f>
        <v>31.009499999999999</v>
      </c>
      <c r="O647" s="10">
        <f>CHOOSE(CONTROL!$C$42, 31.0932, 31.0932) * CHOOSE(CONTROL!$C$21, $C$9, 100%, $E$9)</f>
        <v>31.0932</v>
      </c>
      <c r="P647" s="10">
        <f>CHOOSE(CONTROL!$C$42, 31.0181, 31.0181) * CHOOSE(CONTROL!$C$21, $C$9, 100%, $E$9)</f>
        <v>31.0181</v>
      </c>
      <c r="Q647" s="10">
        <f>CHOOSE(CONTROL!$C$42, 31.6885, 31.6885) * CHOOSE(CONTROL!$C$21, $C$9, 100%, $E$9)</f>
        <v>31.688500000000001</v>
      </c>
      <c r="R647" s="10">
        <f>CHOOSE(CONTROL!$C$42, 32.3547, 32.3547) * CHOOSE(CONTROL!$C$21, $C$9, 100%, $E$9)</f>
        <v>32.354700000000001</v>
      </c>
      <c r="S647" s="10">
        <f>CHOOSE(CONTROL!$C$42, 30.4008, 30.4008) * CHOOSE(CONTROL!$C$21, $C$9, 100%, $E$9)</f>
        <v>30.4008</v>
      </c>
      <c r="T6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57">
        <f>(1000*CHOOSE(CONTROL!$C$42, 695, 695)*CHOOSE(CONTROL!$C$42, 0.5599, 0.5599)*CHOOSE(CONTROL!$C$42, 30, 30))/1000000</f>
        <v>11.673914999999997</v>
      </c>
      <c r="V647" s="57">
        <f>(1000*CHOOSE(CONTROL!$C$42, 500, 500)*CHOOSE(CONTROL!$C$42, 0.275, 0.275)*CHOOSE(CONTROL!$C$42, 30, 30))/1000000</f>
        <v>4.125</v>
      </c>
      <c r="W647" s="57">
        <f>(1000*CHOOSE(CONTROL!$C$42, 0.1146, 0.1146)*CHOOSE(CONTROL!$C$42, 121.5, 121.5)*CHOOSE(CONTROL!$C$42, 30, 30))/1000000</f>
        <v>0.417717</v>
      </c>
      <c r="X647" s="57">
        <f>(30*0.1790888*100000/1000000)+(30*0.2374*100000/1000000)</f>
        <v>1.2494664</v>
      </c>
      <c r="Y647" s="57"/>
      <c r="Z647" s="10"/>
      <c r="AA647" s="56"/>
      <c r="AB647" s="50">
        <f>(B647*122.58+C647*297.941+D647*89.177+E647*40.302+F647*40+G647*160+H647*0+I647*100+J647*300)/(122.58+297.941+89.177+40.302+0+40+160+100+300)</f>
        <v>31.317080039217387</v>
      </c>
      <c r="AC647" s="45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31.043458992805757</v>
      </c>
    </row>
    <row r="648" spans="1:29" ht="15.75" x14ac:dyDescent="0.25">
      <c r="A648" s="13">
        <v>60632</v>
      </c>
      <c r="B648" s="10">
        <f>CHOOSE(CONTROL!$C$42, 33.4421, 33.4421) * CHOOSE(CONTROL!$C$21, $C$9, 100%, $E$9)</f>
        <v>33.442100000000003</v>
      </c>
      <c r="C648" s="10">
        <f>CHOOSE(CONTROL!$C$42, 33.4471, 33.4471) * CHOOSE(CONTROL!$C$21, $C$9, 100%, $E$9)</f>
        <v>33.447099999999999</v>
      </c>
      <c r="D648" s="10">
        <f>CHOOSE(CONTROL!$C$42, 33.5076, 33.5076) * CHOOSE(CONTROL!$C$21, $C$9, 100%, $E$9)</f>
        <v>33.507599999999996</v>
      </c>
      <c r="E648" s="10">
        <f>CHOOSE(CONTROL!$C$42, 33.5414, 33.5414) * CHOOSE(CONTROL!$C$21, $C$9, 100%, $E$9)</f>
        <v>33.541400000000003</v>
      </c>
      <c r="F648" s="10">
        <f>CHOOSE(CONTROL!$C$42, 33.4396, 33.4396)*CHOOSE(CONTROL!$C$21, $C$9, 100%, $E$9)</f>
        <v>33.439599999999999</v>
      </c>
      <c r="G648" s="10">
        <f>CHOOSE(CONTROL!$C$42, 33.4553, 33.4553)*CHOOSE(CONTROL!$C$21, $C$9, 100%, $E$9)</f>
        <v>33.455300000000001</v>
      </c>
      <c r="H648" s="10">
        <f>CHOOSE(CONTROL!$C$42, 33.5305, 33.5305) * CHOOSE(CONTROL!$C$21, $C$9, 100%, $E$9)</f>
        <v>33.530500000000004</v>
      </c>
      <c r="I648" s="10">
        <f>CHOOSE(CONTROL!$C$42, 33.4546, 33.4546)* CHOOSE(CONTROL!$C$21, $C$9, 100%, $E$9)</f>
        <v>33.454599999999999</v>
      </c>
      <c r="J648" s="10">
        <f>CHOOSE(CONTROL!$C$42, 33.4326, 33.4326)* CHOOSE(CONTROL!$C$21, $C$9, 100%, $E$9)</f>
        <v>33.432600000000001</v>
      </c>
      <c r="K648" s="53">
        <f>CHOOSE(CONTROL!$C$42, 33.4507, 33.4507) * CHOOSE(CONTROL!$C$21, $C$9, 100%, $E$9)</f>
        <v>33.450699999999998</v>
      </c>
      <c r="L648" s="10">
        <f>CHOOSE(CONTROL!$C$42, 34.1175, 34.1175) * CHOOSE(CONTROL!$C$21, $C$9, 100%, $E$9)</f>
        <v>34.1175</v>
      </c>
      <c r="M648" s="10">
        <f>CHOOSE(CONTROL!$C$42, 33.109, 33.109) * CHOOSE(CONTROL!$C$21, $C$9, 100%, $E$9)</f>
        <v>33.109000000000002</v>
      </c>
      <c r="N648" s="10">
        <f>CHOOSE(CONTROL!$C$42, 33.1246, 33.1246) * CHOOSE(CONTROL!$C$21, $C$9, 100%, $E$9)</f>
        <v>33.124600000000001</v>
      </c>
      <c r="O648" s="10">
        <f>CHOOSE(CONTROL!$C$42, 33.206, 33.206) * CHOOSE(CONTROL!$C$21, $C$9, 100%, $E$9)</f>
        <v>33.206000000000003</v>
      </c>
      <c r="P648" s="10">
        <f>CHOOSE(CONTROL!$C$42, 33.1309, 33.1309) * CHOOSE(CONTROL!$C$21, $C$9, 100%, $E$9)</f>
        <v>33.130899999999997</v>
      </c>
      <c r="Q648" s="10">
        <f>CHOOSE(CONTROL!$C$42, 33.8013, 33.8013) * CHOOSE(CONTROL!$C$21, $C$9, 100%, $E$9)</f>
        <v>33.801299999999998</v>
      </c>
      <c r="R648" s="10">
        <f>CHOOSE(CONTROL!$C$42, 34.4728, 34.4728) * CHOOSE(CONTROL!$C$21, $C$9, 100%, $E$9)</f>
        <v>34.472799999999999</v>
      </c>
      <c r="S648" s="10">
        <f>CHOOSE(CONTROL!$C$42, 32.4735, 32.4735) * CHOOSE(CONTROL!$C$21, $C$9, 100%, $E$9)</f>
        <v>32.473500000000001</v>
      </c>
      <c r="T6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57">
        <f>(1000*CHOOSE(CONTROL!$C$42, 695, 695)*CHOOSE(CONTROL!$C$42, 0.5599, 0.5599)*CHOOSE(CONTROL!$C$42, 31, 31))/1000000</f>
        <v>12.063045499999998</v>
      </c>
      <c r="V648" s="57">
        <f>(1000*CHOOSE(CONTROL!$C$42, 500, 500)*CHOOSE(CONTROL!$C$42, 0.275, 0.275)*CHOOSE(CONTROL!$C$42, 31, 31))/1000000</f>
        <v>4.2625000000000002</v>
      </c>
      <c r="W648" s="57">
        <f>(1000*CHOOSE(CONTROL!$C$42, 0.1146, 0.1146)*CHOOSE(CONTROL!$C$42, 121.5, 121.5)*CHOOSE(CONTROL!$C$42, 31, 31))/1000000</f>
        <v>0.43164089999999994</v>
      </c>
      <c r="X648" s="57">
        <f>(31*0.1790888*100000/1000000)+(31*0.2374*100000/1000000)</f>
        <v>1.2911152800000001</v>
      </c>
      <c r="Y648" s="57"/>
      <c r="Z648" s="10"/>
      <c r="AA648" s="56"/>
      <c r="AB648" s="50">
        <f>(B648*122.58+C648*297.941+D648*89.177+E648*40.302+F648*40+G648*160+H648*0+I648*100+J648*300)/(122.58+297.941+89.177+40.302+0+40+160+100+300)</f>
        <v>33.452312858347824</v>
      </c>
      <c r="AC648" s="45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33.15701294964029</v>
      </c>
    </row>
    <row r="649" spans="1:29" ht="15.75" x14ac:dyDescent="0.25">
      <c r="A649" s="13">
        <v>60663</v>
      </c>
      <c r="B649" s="10">
        <f>CHOOSE(CONTROL!$C$42, 36.182, 36.182) * CHOOSE(CONTROL!$C$21, $C$9, 100%, $E$9)</f>
        <v>36.182000000000002</v>
      </c>
      <c r="C649" s="10">
        <f>CHOOSE(CONTROL!$C$42, 36.187, 36.187) * CHOOSE(CONTROL!$C$21, $C$9, 100%, $E$9)</f>
        <v>36.186999999999998</v>
      </c>
      <c r="D649" s="10">
        <f>CHOOSE(CONTROL!$C$42, 36.244, 36.244) * CHOOSE(CONTROL!$C$21, $C$9, 100%, $E$9)</f>
        <v>36.244</v>
      </c>
      <c r="E649" s="10">
        <f>CHOOSE(CONTROL!$C$42, 36.2778, 36.2778) * CHOOSE(CONTROL!$C$21, $C$9, 100%, $E$9)</f>
        <v>36.277799999999999</v>
      </c>
      <c r="F649" s="10">
        <f>CHOOSE(CONTROL!$C$42, 36.1798, 36.1798)*CHOOSE(CONTROL!$C$21, $C$9, 100%, $E$9)</f>
        <v>36.1798</v>
      </c>
      <c r="G649" s="10">
        <f>CHOOSE(CONTROL!$C$42, 36.1945, 36.1945)*CHOOSE(CONTROL!$C$21, $C$9, 100%, $E$9)</f>
        <v>36.194499999999998</v>
      </c>
      <c r="H649" s="10">
        <f>CHOOSE(CONTROL!$C$42, 36.267, 36.267) * CHOOSE(CONTROL!$C$21, $C$9, 100%, $E$9)</f>
        <v>36.267000000000003</v>
      </c>
      <c r="I649" s="10">
        <f>CHOOSE(CONTROL!$C$42, 36.1928, 36.1928)* CHOOSE(CONTROL!$C$21, $C$9, 100%, $E$9)</f>
        <v>36.192799999999998</v>
      </c>
      <c r="J649" s="10">
        <f>CHOOSE(CONTROL!$C$42, 36.1728, 36.1728)* CHOOSE(CONTROL!$C$21, $C$9, 100%, $E$9)</f>
        <v>36.172800000000002</v>
      </c>
      <c r="K649" s="53">
        <f>CHOOSE(CONTROL!$C$42, 36.1889, 36.1889) * CHOOSE(CONTROL!$C$21, $C$9, 100%, $E$9)</f>
        <v>36.188899999999997</v>
      </c>
      <c r="L649" s="10">
        <f>CHOOSE(CONTROL!$C$42, 36.854, 36.854) * CHOOSE(CONTROL!$C$21, $C$9, 100%, $E$9)</f>
        <v>36.853999999999999</v>
      </c>
      <c r="M649" s="10">
        <f>CHOOSE(CONTROL!$C$42, 35.8216, 35.8216) * CHOOSE(CONTROL!$C$21, $C$9, 100%, $E$9)</f>
        <v>35.821599999999997</v>
      </c>
      <c r="N649" s="10">
        <f>CHOOSE(CONTROL!$C$42, 35.8361, 35.8361) * CHOOSE(CONTROL!$C$21, $C$9, 100%, $E$9)</f>
        <v>35.836100000000002</v>
      </c>
      <c r="O649" s="10">
        <f>CHOOSE(CONTROL!$C$42, 35.9148, 35.9148) * CHOOSE(CONTROL!$C$21, $C$9, 100%, $E$9)</f>
        <v>35.9148</v>
      </c>
      <c r="P649" s="10">
        <f>CHOOSE(CONTROL!$C$42, 35.8414, 35.8414) * CHOOSE(CONTROL!$C$21, $C$9, 100%, $E$9)</f>
        <v>35.8414</v>
      </c>
      <c r="Q649" s="10">
        <f>CHOOSE(CONTROL!$C$42, 36.5101, 36.5101) * CHOOSE(CONTROL!$C$21, $C$9, 100%, $E$9)</f>
        <v>36.510100000000001</v>
      </c>
      <c r="R649" s="10">
        <f>CHOOSE(CONTROL!$C$42, 37.1884, 37.1884) * CHOOSE(CONTROL!$C$21, $C$9, 100%, $E$9)</f>
        <v>37.188400000000001</v>
      </c>
      <c r="S649" s="10">
        <f>CHOOSE(CONTROL!$C$42, 35.1342, 35.1342) * CHOOSE(CONTROL!$C$21, $C$9, 100%, $E$9)</f>
        <v>35.1342</v>
      </c>
      <c r="T6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57">
        <f>(1000*CHOOSE(CONTROL!$C$42, 695, 695)*CHOOSE(CONTROL!$C$42, 0.5599, 0.5599)*CHOOSE(CONTROL!$C$42, 31, 31))/1000000</f>
        <v>12.063045499999998</v>
      </c>
      <c r="V649" s="57">
        <f>(1000*CHOOSE(CONTROL!$C$42, 500, 500)*CHOOSE(CONTROL!$C$42, 0.275, 0.275)*CHOOSE(CONTROL!$C$42, 31, 31))/1000000</f>
        <v>4.2625000000000002</v>
      </c>
      <c r="W649" s="57">
        <f>(1000*CHOOSE(CONTROL!$C$42, 0.1146, 0.1146)*CHOOSE(CONTROL!$C$42, 121.5, 121.5)*CHOOSE(CONTROL!$C$42, 31, 31))/1000000</f>
        <v>0.43164089999999994</v>
      </c>
      <c r="X649" s="57">
        <f>(31*0.1790888*100000/1000000)+(31*0.2374*100000/1000000)</f>
        <v>1.2911152800000001</v>
      </c>
      <c r="Y649" s="57"/>
      <c r="Z649" s="10"/>
      <c r="AA649" s="56"/>
      <c r="AB649" s="50">
        <f>(B649*122.58+C649*297.941+D649*89.177+E649*40.302+F649*40+G649*160+H649*0+I649*100+J649*300)/(122.58+297.941+89.177+40.302+0+40+160+100+300)</f>
        <v>36.191662270086958</v>
      </c>
      <c r="AC649" s="45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35.867525179856116</v>
      </c>
    </row>
    <row r="650" spans="1:29" ht="15.75" x14ac:dyDescent="0.25">
      <c r="A650" s="13">
        <v>60691</v>
      </c>
      <c r="B650" s="10">
        <f>CHOOSE(CONTROL!$C$42, 36.8261, 36.8261) * CHOOSE(CONTROL!$C$21, $C$9, 100%, $E$9)</f>
        <v>36.826099999999997</v>
      </c>
      <c r="C650" s="10">
        <f>CHOOSE(CONTROL!$C$42, 36.831, 36.831) * CHOOSE(CONTROL!$C$21, $C$9, 100%, $E$9)</f>
        <v>36.831000000000003</v>
      </c>
      <c r="D650" s="10">
        <f>CHOOSE(CONTROL!$C$42, 36.8881, 36.8881) * CHOOSE(CONTROL!$C$21, $C$9, 100%, $E$9)</f>
        <v>36.888100000000001</v>
      </c>
      <c r="E650" s="10">
        <f>CHOOSE(CONTROL!$C$42, 36.9219, 36.9219) * CHOOSE(CONTROL!$C$21, $C$9, 100%, $E$9)</f>
        <v>36.921900000000001</v>
      </c>
      <c r="F650" s="10">
        <f>CHOOSE(CONTROL!$C$42, 36.824, 36.824)*CHOOSE(CONTROL!$C$21, $C$9, 100%, $E$9)</f>
        <v>36.823999999999998</v>
      </c>
      <c r="G650" s="10">
        <f>CHOOSE(CONTROL!$C$42, 36.8386, 36.8386)*CHOOSE(CONTROL!$C$21, $C$9, 100%, $E$9)</f>
        <v>36.8386</v>
      </c>
      <c r="H650" s="10">
        <f>CHOOSE(CONTROL!$C$42, 36.9111, 36.9111) * CHOOSE(CONTROL!$C$21, $C$9, 100%, $E$9)</f>
        <v>36.911099999999998</v>
      </c>
      <c r="I650" s="10">
        <f>CHOOSE(CONTROL!$C$42, 36.8369, 36.8369)* CHOOSE(CONTROL!$C$21, $C$9, 100%, $E$9)</f>
        <v>36.8369</v>
      </c>
      <c r="J650" s="10">
        <f>CHOOSE(CONTROL!$C$42, 36.817, 36.817)* CHOOSE(CONTROL!$C$21, $C$9, 100%, $E$9)</f>
        <v>36.817</v>
      </c>
      <c r="K650" s="53">
        <f>CHOOSE(CONTROL!$C$42, 36.833, 36.833) * CHOOSE(CONTROL!$C$21, $C$9, 100%, $E$9)</f>
        <v>36.832999999999998</v>
      </c>
      <c r="L650" s="10">
        <f>CHOOSE(CONTROL!$C$42, 37.4981, 37.4981) * CHOOSE(CONTROL!$C$21, $C$9, 100%, $E$9)</f>
        <v>37.498100000000001</v>
      </c>
      <c r="M650" s="10">
        <f>CHOOSE(CONTROL!$C$42, 36.4593, 36.4593) * CHOOSE(CONTROL!$C$21, $C$9, 100%, $E$9)</f>
        <v>36.459299999999999</v>
      </c>
      <c r="N650" s="10">
        <f>CHOOSE(CONTROL!$C$42, 36.4738, 36.4738) * CHOOSE(CONTROL!$C$21, $C$9, 100%, $E$9)</f>
        <v>36.473799999999997</v>
      </c>
      <c r="O650" s="10">
        <f>CHOOSE(CONTROL!$C$42, 36.5524, 36.5524) * CHOOSE(CONTROL!$C$21, $C$9, 100%, $E$9)</f>
        <v>36.552399999999999</v>
      </c>
      <c r="P650" s="10">
        <f>CHOOSE(CONTROL!$C$42, 36.479, 36.479) * CHOOSE(CONTROL!$C$21, $C$9, 100%, $E$9)</f>
        <v>36.478999999999999</v>
      </c>
      <c r="Q650" s="10">
        <f>CHOOSE(CONTROL!$C$42, 37.1477, 37.1477) * CHOOSE(CONTROL!$C$21, $C$9, 100%, $E$9)</f>
        <v>37.1477</v>
      </c>
      <c r="R650" s="10">
        <f>CHOOSE(CONTROL!$C$42, 37.8276, 37.8276) * CHOOSE(CONTROL!$C$21, $C$9, 100%, $E$9)</f>
        <v>37.827599999999997</v>
      </c>
      <c r="S650" s="10">
        <f>CHOOSE(CONTROL!$C$42, 35.7597, 35.7597) * CHOOSE(CONTROL!$C$21, $C$9, 100%, $E$9)</f>
        <v>35.759700000000002</v>
      </c>
      <c r="T6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57">
        <f>(1000*CHOOSE(CONTROL!$C$42, 695, 695)*CHOOSE(CONTROL!$C$42, 0.5599, 0.5599)*CHOOSE(CONTROL!$C$42, 28, 28))/1000000</f>
        <v>10.895653999999999</v>
      </c>
      <c r="V650" s="57">
        <f>(1000*CHOOSE(CONTROL!$C$42, 500, 500)*CHOOSE(CONTROL!$C$42, 0.275, 0.275)*CHOOSE(CONTROL!$C$42, 28, 28))/1000000</f>
        <v>3.85</v>
      </c>
      <c r="W650" s="57">
        <f>(1000*CHOOSE(CONTROL!$C$42, 0.1146, 0.1146)*CHOOSE(CONTROL!$C$42, 121.5, 121.5)*CHOOSE(CONTROL!$C$42, 28, 28))/1000000</f>
        <v>0.38986920000000003</v>
      </c>
      <c r="X650" s="57">
        <f>(28*0.1790888*100000/1000000)+(28*0.2374*100000/1000000)</f>
        <v>1.16616864</v>
      </c>
      <c r="Y650" s="57"/>
      <c r="Z650" s="10"/>
      <c r="AA650" s="56"/>
      <c r="AB650" s="50">
        <f>(B650*122.58+C650*297.941+D650*89.177+E650*40.302+F650*40+G650*160+H650*0+I650*100+J650*300)/(122.58+297.941+89.177+40.302+0+40+160+100+300)</f>
        <v>36.8357659273913</v>
      </c>
      <c r="AC650" s="45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36.505165467625901</v>
      </c>
    </row>
    <row r="651" spans="1:29" ht="15.75" x14ac:dyDescent="0.25">
      <c r="A651" s="13">
        <v>60722</v>
      </c>
      <c r="B651" s="10">
        <f>CHOOSE(CONTROL!$C$42, 35.7806, 35.7806) * CHOOSE(CONTROL!$C$21, $C$9, 100%, $E$9)</f>
        <v>35.7806</v>
      </c>
      <c r="C651" s="10">
        <f>CHOOSE(CONTROL!$C$42, 35.7856, 35.7856) * CHOOSE(CONTROL!$C$21, $C$9, 100%, $E$9)</f>
        <v>35.785600000000002</v>
      </c>
      <c r="D651" s="10">
        <f>CHOOSE(CONTROL!$C$42, 35.8426, 35.8426) * CHOOSE(CONTROL!$C$21, $C$9, 100%, $E$9)</f>
        <v>35.842599999999997</v>
      </c>
      <c r="E651" s="10">
        <f>CHOOSE(CONTROL!$C$42, 35.8764, 35.8764) * CHOOSE(CONTROL!$C$21, $C$9, 100%, $E$9)</f>
        <v>35.876399999999997</v>
      </c>
      <c r="F651" s="10">
        <f>CHOOSE(CONTROL!$C$42, 35.7784, 35.7784)*CHOOSE(CONTROL!$C$21, $C$9, 100%, $E$9)</f>
        <v>35.778399999999998</v>
      </c>
      <c r="G651" s="10">
        <f>CHOOSE(CONTROL!$C$42, 35.793, 35.793)*CHOOSE(CONTROL!$C$21, $C$9, 100%, $E$9)</f>
        <v>35.792999999999999</v>
      </c>
      <c r="H651" s="10">
        <f>CHOOSE(CONTROL!$C$42, 35.8656, 35.8656) * CHOOSE(CONTROL!$C$21, $C$9, 100%, $E$9)</f>
        <v>35.865600000000001</v>
      </c>
      <c r="I651" s="10">
        <f>CHOOSE(CONTROL!$C$42, 35.7914, 35.7914)* CHOOSE(CONTROL!$C$21, $C$9, 100%, $E$9)</f>
        <v>35.791400000000003</v>
      </c>
      <c r="J651" s="10">
        <f>CHOOSE(CONTROL!$C$42, 35.7714, 35.7714)* CHOOSE(CONTROL!$C$21, $C$9, 100%, $E$9)</f>
        <v>35.7714</v>
      </c>
      <c r="K651" s="53">
        <f>CHOOSE(CONTROL!$C$42, 35.7875, 35.7875) * CHOOSE(CONTROL!$C$21, $C$9, 100%, $E$9)</f>
        <v>35.787500000000001</v>
      </c>
      <c r="L651" s="10">
        <f>CHOOSE(CONTROL!$C$42, 36.4526, 36.4526) * CHOOSE(CONTROL!$C$21, $C$9, 100%, $E$9)</f>
        <v>36.452599999999997</v>
      </c>
      <c r="M651" s="10">
        <f>CHOOSE(CONTROL!$C$42, 35.4243, 35.4243) * CHOOSE(CONTROL!$C$21, $C$9, 100%, $E$9)</f>
        <v>35.424300000000002</v>
      </c>
      <c r="N651" s="10">
        <f>CHOOSE(CONTROL!$C$42, 35.4387, 35.4387) * CHOOSE(CONTROL!$C$21, $C$9, 100%, $E$9)</f>
        <v>35.438699999999997</v>
      </c>
      <c r="O651" s="10">
        <f>CHOOSE(CONTROL!$C$42, 35.5175, 35.5175) * CHOOSE(CONTROL!$C$21, $C$9, 100%, $E$9)</f>
        <v>35.517499999999998</v>
      </c>
      <c r="P651" s="10">
        <f>CHOOSE(CONTROL!$C$42, 35.4441, 35.4441) * CHOOSE(CONTROL!$C$21, $C$9, 100%, $E$9)</f>
        <v>35.444099999999999</v>
      </c>
      <c r="Q651" s="10">
        <f>CHOOSE(CONTROL!$C$42, 36.1128, 36.1128) * CHOOSE(CONTROL!$C$21, $C$9, 100%, $E$9)</f>
        <v>36.1128</v>
      </c>
      <c r="R651" s="10">
        <f>CHOOSE(CONTROL!$C$42, 36.7901, 36.7901) * CHOOSE(CONTROL!$C$21, $C$9, 100%, $E$9)</f>
        <v>36.790100000000002</v>
      </c>
      <c r="S651" s="10">
        <f>CHOOSE(CONTROL!$C$42, 34.7444, 34.7444) * CHOOSE(CONTROL!$C$21, $C$9, 100%, $E$9)</f>
        <v>34.744399999999999</v>
      </c>
      <c r="T6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57">
        <f>(1000*CHOOSE(CONTROL!$C$42, 695, 695)*CHOOSE(CONTROL!$C$42, 0.5599, 0.5599)*CHOOSE(CONTROL!$C$42, 31, 31))/1000000</f>
        <v>12.063045499999998</v>
      </c>
      <c r="V651" s="57">
        <f>(1000*CHOOSE(CONTROL!$C$42, 500, 500)*CHOOSE(CONTROL!$C$42, 0.275, 0.275)*CHOOSE(CONTROL!$C$42, 31, 31))/1000000</f>
        <v>4.2625000000000002</v>
      </c>
      <c r="W651" s="57">
        <f>(1000*CHOOSE(CONTROL!$C$42, 0.1146, 0.1146)*CHOOSE(CONTROL!$C$42, 121.5, 121.5)*CHOOSE(CONTROL!$C$42, 31, 31))/1000000</f>
        <v>0.43164089999999994</v>
      </c>
      <c r="X651" s="57">
        <f>(31*0.1790888*100000/1000000)+(31*0.2374*100000/1000000)</f>
        <v>1.2911152800000001</v>
      </c>
      <c r="Y651" s="57"/>
      <c r="Z651" s="10"/>
      <c r="AA651" s="56"/>
      <c r="AB651" s="50">
        <f>(B651*122.58+C651*297.941+D651*89.177+E651*40.302+F651*40+G651*160+H651*0+I651*100+J651*300)/(122.58+297.941+89.177+40.302+0+40+160+100+300)</f>
        <v>35.790248357043474</v>
      </c>
      <c r="AC651" s="45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35.470219424460431</v>
      </c>
    </row>
    <row r="652" spans="1:29" ht="15.75" x14ac:dyDescent="0.25">
      <c r="A652" s="13">
        <v>60752</v>
      </c>
      <c r="B652" s="10">
        <f>CHOOSE(CONTROL!$C$42, 35.6747, 35.6747) * CHOOSE(CONTROL!$C$21, $C$9, 100%, $E$9)</f>
        <v>35.674700000000001</v>
      </c>
      <c r="C652" s="10">
        <f>CHOOSE(CONTROL!$C$42, 35.679, 35.679) * CHOOSE(CONTROL!$C$21, $C$9, 100%, $E$9)</f>
        <v>35.679000000000002</v>
      </c>
      <c r="D652" s="10">
        <f>CHOOSE(CONTROL!$C$42, 35.8849, 35.8849) * CHOOSE(CONTROL!$C$21, $C$9, 100%, $E$9)</f>
        <v>35.884900000000002</v>
      </c>
      <c r="E652" s="10">
        <f>CHOOSE(CONTROL!$C$42, 35.9167, 35.9167) * CHOOSE(CONTROL!$C$21, $C$9, 100%, $E$9)</f>
        <v>35.916699999999999</v>
      </c>
      <c r="F652" s="10">
        <f>CHOOSE(CONTROL!$C$42, 35.6514, 35.6514)*CHOOSE(CONTROL!$C$21, $C$9, 100%, $E$9)</f>
        <v>35.651400000000002</v>
      </c>
      <c r="G652" s="10">
        <f>CHOOSE(CONTROL!$C$42, 35.666, 35.666)*CHOOSE(CONTROL!$C$21, $C$9, 100%, $E$9)</f>
        <v>35.665999999999997</v>
      </c>
      <c r="H652" s="10">
        <f>CHOOSE(CONTROL!$C$42, 35.9065, 35.9065) * CHOOSE(CONTROL!$C$21, $C$9, 100%, $E$9)</f>
        <v>35.906500000000001</v>
      </c>
      <c r="I652" s="10">
        <f>CHOOSE(CONTROL!$C$42, 35.6761, 35.6761)* CHOOSE(CONTROL!$C$21, $C$9, 100%, $E$9)</f>
        <v>35.676099999999998</v>
      </c>
      <c r="J652" s="10">
        <f>CHOOSE(CONTROL!$C$42, 35.6444, 35.6444)* CHOOSE(CONTROL!$C$21, $C$9, 100%, $E$9)</f>
        <v>35.644399999999997</v>
      </c>
      <c r="K652" s="53">
        <f>CHOOSE(CONTROL!$C$42, 35.6722, 35.6722) * CHOOSE(CONTROL!$C$21, $C$9, 100%, $E$9)</f>
        <v>35.672199999999997</v>
      </c>
      <c r="L652" s="10">
        <f>CHOOSE(CONTROL!$C$42, 36.4935, 36.4935) * CHOOSE(CONTROL!$C$21, $C$9, 100%, $E$9)</f>
        <v>36.493499999999997</v>
      </c>
      <c r="M652" s="10">
        <f>CHOOSE(CONTROL!$C$42, 35.2986, 35.2986) * CHOOSE(CONTROL!$C$21, $C$9, 100%, $E$9)</f>
        <v>35.2986</v>
      </c>
      <c r="N652" s="10">
        <f>CHOOSE(CONTROL!$C$42, 35.3129, 35.3129) * CHOOSE(CONTROL!$C$21, $C$9, 100%, $E$9)</f>
        <v>35.312899999999999</v>
      </c>
      <c r="O652" s="10">
        <f>CHOOSE(CONTROL!$C$42, 35.558, 35.558) * CHOOSE(CONTROL!$C$21, $C$9, 100%, $E$9)</f>
        <v>35.558</v>
      </c>
      <c r="P652" s="10">
        <f>CHOOSE(CONTROL!$C$42, 35.3299, 35.3299) * CHOOSE(CONTROL!$C$21, $C$9, 100%, $E$9)</f>
        <v>35.329900000000002</v>
      </c>
      <c r="Q652" s="10">
        <f>CHOOSE(CONTROL!$C$42, 36.1533, 36.1533) * CHOOSE(CONTROL!$C$21, $C$9, 100%, $E$9)</f>
        <v>36.153300000000002</v>
      </c>
      <c r="R652" s="10">
        <f>CHOOSE(CONTROL!$C$42, 36.8306, 36.8306) * CHOOSE(CONTROL!$C$21, $C$9, 100%, $E$9)</f>
        <v>36.830599999999997</v>
      </c>
      <c r="S652" s="10">
        <f>CHOOSE(CONTROL!$C$42, 34.6408, 34.6408) * CHOOSE(CONTROL!$C$21, $C$9, 100%, $E$9)</f>
        <v>34.640799999999999</v>
      </c>
      <c r="T6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57">
        <f>(1000*CHOOSE(CONTROL!$C$42, 695, 695)*CHOOSE(CONTROL!$C$42, 0.5599, 0.5599)*CHOOSE(CONTROL!$C$42, 30, 30))/1000000</f>
        <v>11.673914999999997</v>
      </c>
      <c r="V652" s="57">
        <f>(1000*CHOOSE(CONTROL!$C$42, 500, 500)*CHOOSE(CONTROL!$C$42, 0.275, 0.275)*CHOOSE(CONTROL!$C$42, 30, 30))/1000000</f>
        <v>4.125</v>
      </c>
      <c r="W652" s="57">
        <f>(1000*CHOOSE(CONTROL!$C$42, 0.1146, 0.1146)*CHOOSE(CONTROL!$C$42, 121.5, 121.5)*CHOOSE(CONTROL!$C$42, 30, 30))/1000000</f>
        <v>0.417717</v>
      </c>
      <c r="X652" s="57">
        <f>(30*0.1790888*245000/1000000)+(30*0.2374*100000/1000000)</f>
        <v>2.0285026799999999</v>
      </c>
      <c r="Y652" s="57"/>
      <c r="Z652" s="10"/>
      <c r="AA652" s="56"/>
      <c r="AB652" s="50">
        <f>(B652*141.293+C652*267.993+D652*115.016+E652*89.698+F652*40+G652*185+H652*0+I652*100+J652*300)/(141.293+267.993+115.016+89.698+0+40+185+100+300)</f>
        <v>35.703387771670698</v>
      </c>
      <c r="AC652" s="45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35.4214964028777</v>
      </c>
    </row>
    <row r="653" spans="1:29" ht="15.75" x14ac:dyDescent="0.25">
      <c r="A653" s="13">
        <v>60783</v>
      </c>
      <c r="B653" s="10">
        <f>CHOOSE(CONTROL!$C$42, 35.9909, 35.9909) * CHOOSE(CONTROL!$C$21, $C$9, 100%, $E$9)</f>
        <v>35.990900000000003</v>
      </c>
      <c r="C653" s="10">
        <f>CHOOSE(CONTROL!$C$42, 35.9988, 35.9988) * CHOOSE(CONTROL!$C$21, $C$9, 100%, $E$9)</f>
        <v>35.998800000000003</v>
      </c>
      <c r="D653" s="10">
        <f>CHOOSE(CONTROL!$C$42, 36.2016, 36.2016) * CHOOSE(CONTROL!$C$21, $C$9, 100%, $E$9)</f>
        <v>36.201599999999999</v>
      </c>
      <c r="E653" s="10">
        <f>CHOOSE(CONTROL!$C$42, 36.2327, 36.2327) * CHOOSE(CONTROL!$C$21, $C$9, 100%, $E$9)</f>
        <v>36.232700000000001</v>
      </c>
      <c r="F653" s="10">
        <f>CHOOSE(CONTROL!$C$42, 35.9666, 35.9666)*CHOOSE(CONTROL!$C$21, $C$9, 100%, $E$9)</f>
        <v>35.9666</v>
      </c>
      <c r="G653" s="10">
        <f>CHOOSE(CONTROL!$C$42, 35.9816, 35.9816)*CHOOSE(CONTROL!$C$21, $C$9, 100%, $E$9)</f>
        <v>35.9816</v>
      </c>
      <c r="H653" s="10">
        <f>CHOOSE(CONTROL!$C$42, 36.2213, 36.2213) * CHOOSE(CONTROL!$C$21, $C$9, 100%, $E$9)</f>
        <v>36.221299999999999</v>
      </c>
      <c r="I653" s="10">
        <f>CHOOSE(CONTROL!$C$42, 35.9909, 35.9909)* CHOOSE(CONTROL!$C$21, $C$9, 100%, $E$9)</f>
        <v>35.990900000000003</v>
      </c>
      <c r="J653" s="10">
        <f>CHOOSE(CONTROL!$C$42, 35.9596, 35.9596)* CHOOSE(CONTROL!$C$21, $C$9, 100%, $E$9)</f>
        <v>35.959600000000002</v>
      </c>
      <c r="K653" s="53">
        <f>CHOOSE(CONTROL!$C$42, 35.9871, 35.9871) * CHOOSE(CONTROL!$C$21, $C$9, 100%, $E$9)</f>
        <v>35.987099999999998</v>
      </c>
      <c r="L653" s="10">
        <f>CHOOSE(CONTROL!$C$42, 36.8083, 36.8083) * CHOOSE(CONTROL!$C$21, $C$9, 100%, $E$9)</f>
        <v>36.808300000000003</v>
      </c>
      <c r="M653" s="10">
        <f>CHOOSE(CONTROL!$C$42, 35.6106, 35.6106) * CHOOSE(CONTROL!$C$21, $C$9, 100%, $E$9)</f>
        <v>35.610599999999998</v>
      </c>
      <c r="N653" s="10">
        <f>CHOOSE(CONTROL!$C$42, 35.6254, 35.6254) * CHOOSE(CONTROL!$C$21, $C$9, 100%, $E$9)</f>
        <v>35.625399999999999</v>
      </c>
      <c r="O653" s="10">
        <f>CHOOSE(CONTROL!$C$42, 35.8696, 35.8696) * CHOOSE(CONTROL!$C$21, $C$9, 100%, $E$9)</f>
        <v>35.869599999999998</v>
      </c>
      <c r="P653" s="10">
        <f>CHOOSE(CONTROL!$C$42, 35.6416, 35.6416) * CHOOSE(CONTROL!$C$21, $C$9, 100%, $E$9)</f>
        <v>35.641599999999997</v>
      </c>
      <c r="Q653" s="10">
        <f>CHOOSE(CONTROL!$C$42, 36.4649, 36.4649) * CHOOSE(CONTROL!$C$21, $C$9, 100%, $E$9)</f>
        <v>36.4649</v>
      </c>
      <c r="R653" s="10">
        <f>CHOOSE(CONTROL!$C$42, 37.1431, 37.1431) * CHOOSE(CONTROL!$C$21, $C$9, 100%, $E$9)</f>
        <v>37.143099999999997</v>
      </c>
      <c r="S653" s="10">
        <f>CHOOSE(CONTROL!$C$42, 34.9465, 34.9465) * CHOOSE(CONTROL!$C$21, $C$9, 100%, $E$9)</f>
        <v>34.9465</v>
      </c>
      <c r="T6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57">
        <f>(1000*CHOOSE(CONTROL!$C$42, 695, 695)*CHOOSE(CONTROL!$C$42, 0.5599, 0.5599)*CHOOSE(CONTROL!$C$42, 31, 31))/1000000</f>
        <v>12.063045499999998</v>
      </c>
      <c r="V653" s="57">
        <f>(1000*CHOOSE(CONTROL!$C$42, 500, 500)*CHOOSE(CONTROL!$C$42, 0.275, 0.275)*CHOOSE(CONTROL!$C$42, 31, 31))/1000000</f>
        <v>4.2625000000000002</v>
      </c>
      <c r="W653" s="57">
        <f>(1000*CHOOSE(CONTROL!$C$42, 0.1146, 0.1146)*CHOOSE(CONTROL!$C$42, 121.5, 121.5)*CHOOSE(CONTROL!$C$42, 31, 31))/1000000</f>
        <v>0.43164089999999994</v>
      </c>
      <c r="X653" s="57">
        <f>(31*0.1790888*245000/1000000)+(31*0.2374*100000/1000000)</f>
        <v>2.0961194359999999</v>
      </c>
      <c r="Y653" s="57"/>
      <c r="Z653" s="10"/>
      <c r="AA653" s="56"/>
      <c r="AB653" s="50">
        <f>(B653*194.205+C653*267.466+D653*133.845+E653*53.484+F653*40+G653*185+H653*0+I653*100+J653*300)/(194.205+267.466+133.845+53.484+0+40+185+100+300)</f>
        <v>36.015361580926225</v>
      </c>
      <c r="AC653" s="45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35.733300719424456</v>
      </c>
    </row>
    <row r="654" spans="1:29" ht="15.75" x14ac:dyDescent="0.25">
      <c r="A654" s="13">
        <v>60813</v>
      </c>
      <c r="B654" s="10">
        <f>CHOOSE(CONTROL!$C$42, 37.0117, 37.0117) * CHOOSE(CONTROL!$C$21, $C$9, 100%, $E$9)</f>
        <v>37.011699999999998</v>
      </c>
      <c r="C654" s="10">
        <f>CHOOSE(CONTROL!$C$42, 37.0196, 37.0196) * CHOOSE(CONTROL!$C$21, $C$9, 100%, $E$9)</f>
        <v>37.019599999999997</v>
      </c>
      <c r="D654" s="10">
        <f>CHOOSE(CONTROL!$C$42, 37.2223, 37.2223) * CHOOSE(CONTROL!$C$21, $C$9, 100%, $E$9)</f>
        <v>37.222299999999997</v>
      </c>
      <c r="E654" s="10">
        <f>CHOOSE(CONTROL!$C$42, 37.2535, 37.2535) * CHOOSE(CONTROL!$C$21, $C$9, 100%, $E$9)</f>
        <v>37.253500000000003</v>
      </c>
      <c r="F654" s="10">
        <f>CHOOSE(CONTROL!$C$42, 36.9879, 36.9879)*CHOOSE(CONTROL!$C$21, $C$9, 100%, $E$9)</f>
        <v>36.987900000000003</v>
      </c>
      <c r="G654" s="10">
        <f>CHOOSE(CONTROL!$C$42, 37.0031, 37.0031)*CHOOSE(CONTROL!$C$21, $C$9, 100%, $E$9)</f>
        <v>37.003100000000003</v>
      </c>
      <c r="H654" s="10">
        <f>CHOOSE(CONTROL!$C$42, 37.2421, 37.2421) * CHOOSE(CONTROL!$C$21, $C$9, 100%, $E$9)</f>
        <v>37.242100000000001</v>
      </c>
      <c r="I654" s="10">
        <f>CHOOSE(CONTROL!$C$42, 37.0117, 37.0117)* CHOOSE(CONTROL!$C$21, $C$9, 100%, $E$9)</f>
        <v>37.011699999999998</v>
      </c>
      <c r="J654" s="10">
        <f>CHOOSE(CONTROL!$C$42, 36.9809, 36.9809)* CHOOSE(CONTROL!$C$21, $C$9, 100%, $E$9)</f>
        <v>36.980899999999998</v>
      </c>
      <c r="K654" s="53">
        <f>CHOOSE(CONTROL!$C$42, 37.0078, 37.0078) * CHOOSE(CONTROL!$C$21, $C$9, 100%, $E$9)</f>
        <v>37.007800000000003</v>
      </c>
      <c r="L654" s="10">
        <f>CHOOSE(CONTROL!$C$42, 37.8291, 37.8291) * CHOOSE(CONTROL!$C$21, $C$9, 100%, $E$9)</f>
        <v>37.829099999999997</v>
      </c>
      <c r="M654" s="10">
        <f>CHOOSE(CONTROL!$C$42, 36.6215, 36.6215) * CHOOSE(CONTROL!$C$21, $C$9, 100%, $E$9)</f>
        <v>36.621499999999997</v>
      </c>
      <c r="N654" s="10">
        <f>CHOOSE(CONTROL!$C$42, 36.6365, 36.6365) * CHOOSE(CONTROL!$C$21, $C$9, 100%, $E$9)</f>
        <v>36.636499999999998</v>
      </c>
      <c r="O654" s="10">
        <f>CHOOSE(CONTROL!$C$42, 36.8801, 36.8801) * CHOOSE(CONTROL!$C$21, $C$9, 100%, $E$9)</f>
        <v>36.880099999999999</v>
      </c>
      <c r="P654" s="10">
        <f>CHOOSE(CONTROL!$C$42, 36.6521, 36.6521) * CHOOSE(CONTROL!$C$21, $C$9, 100%, $E$9)</f>
        <v>36.652099999999997</v>
      </c>
      <c r="Q654" s="10">
        <f>CHOOSE(CONTROL!$C$42, 37.4754, 37.4754) * CHOOSE(CONTROL!$C$21, $C$9, 100%, $E$9)</f>
        <v>37.4754</v>
      </c>
      <c r="R654" s="10">
        <f>CHOOSE(CONTROL!$C$42, 38.1561, 38.1561) * CHOOSE(CONTROL!$C$21, $C$9, 100%, $E$9)</f>
        <v>38.156100000000002</v>
      </c>
      <c r="S654" s="10">
        <f>CHOOSE(CONTROL!$C$42, 35.9378, 35.9378) * CHOOSE(CONTROL!$C$21, $C$9, 100%, $E$9)</f>
        <v>35.937800000000003</v>
      </c>
      <c r="T6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57">
        <f>(1000*CHOOSE(CONTROL!$C$42, 695, 695)*CHOOSE(CONTROL!$C$42, 0.5599, 0.5599)*CHOOSE(CONTROL!$C$42, 30, 30))/1000000</f>
        <v>11.673914999999997</v>
      </c>
      <c r="V654" s="57">
        <f>(1000*CHOOSE(CONTROL!$C$42, 500, 500)*CHOOSE(CONTROL!$C$42, 0.275, 0.275)*CHOOSE(CONTROL!$C$42, 30, 30))/1000000</f>
        <v>4.125</v>
      </c>
      <c r="W654" s="57">
        <f>(1000*CHOOSE(CONTROL!$C$42, 0.1146, 0.1146)*CHOOSE(CONTROL!$C$42, 121.5, 121.5)*CHOOSE(CONTROL!$C$42, 30, 30))/1000000</f>
        <v>0.417717</v>
      </c>
      <c r="X654" s="57">
        <f>(30*0.1790888*245000/1000000)+(30*0.2374*100000/1000000)</f>
        <v>2.0285026799999999</v>
      </c>
      <c r="Y654" s="57"/>
      <c r="Z654" s="10"/>
      <c r="AA654" s="56"/>
      <c r="AB654" s="50">
        <f>(B654*194.205+C654*267.466+D654*133.845+E654*53.484+F654*40+G654*185+H654*0+I654*100+J654*300)/(194.205+267.466+133.845+53.484+0+40+185+100+300)</f>
        <v>37.036386161381472</v>
      </c>
      <c r="AC654" s="45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36.743973381294957</v>
      </c>
    </row>
    <row r="655" spans="1:29" ht="15.75" x14ac:dyDescent="0.25">
      <c r="A655" s="13">
        <v>60844</v>
      </c>
      <c r="B655" s="10">
        <f>CHOOSE(CONTROL!$C$42, 36.3017, 36.3017) * CHOOSE(CONTROL!$C$21, $C$9, 100%, $E$9)</f>
        <v>36.301699999999997</v>
      </c>
      <c r="C655" s="10">
        <f>CHOOSE(CONTROL!$C$42, 36.3096, 36.3096) * CHOOSE(CONTROL!$C$21, $C$9, 100%, $E$9)</f>
        <v>36.309600000000003</v>
      </c>
      <c r="D655" s="10">
        <f>CHOOSE(CONTROL!$C$42, 36.5124, 36.5124) * CHOOSE(CONTROL!$C$21, $C$9, 100%, $E$9)</f>
        <v>36.5124</v>
      </c>
      <c r="E655" s="10">
        <f>CHOOSE(CONTROL!$C$42, 36.5435, 36.5435) * CHOOSE(CONTROL!$C$21, $C$9, 100%, $E$9)</f>
        <v>36.543500000000002</v>
      </c>
      <c r="F655" s="10">
        <f>CHOOSE(CONTROL!$C$42, 36.2785, 36.2785)*CHOOSE(CONTROL!$C$21, $C$9, 100%, $E$9)</f>
        <v>36.278500000000001</v>
      </c>
      <c r="G655" s="10">
        <f>CHOOSE(CONTROL!$C$42, 36.2937, 36.2937)*CHOOSE(CONTROL!$C$21, $C$9, 100%, $E$9)</f>
        <v>36.293700000000001</v>
      </c>
      <c r="H655" s="10">
        <f>CHOOSE(CONTROL!$C$42, 36.5321, 36.5321) * CHOOSE(CONTROL!$C$21, $C$9, 100%, $E$9)</f>
        <v>36.5321</v>
      </c>
      <c r="I655" s="10">
        <f>CHOOSE(CONTROL!$C$42, 36.3018, 36.3018)* CHOOSE(CONTROL!$C$21, $C$9, 100%, $E$9)</f>
        <v>36.3018</v>
      </c>
      <c r="J655" s="10">
        <f>CHOOSE(CONTROL!$C$42, 36.2715, 36.2715)* CHOOSE(CONTROL!$C$21, $C$9, 100%, $E$9)</f>
        <v>36.271500000000003</v>
      </c>
      <c r="K655" s="53">
        <f>CHOOSE(CONTROL!$C$42, 36.2979, 36.2979) * CHOOSE(CONTROL!$C$21, $C$9, 100%, $E$9)</f>
        <v>36.297899999999998</v>
      </c>
      <c r="L655" s="10">
        <f>CHOOSE(CONTROL!$C$42, 37.1191, 37.1191) * CHOOSE(CONTROL!$C$21, $C$9, 100%, $E$9)</f>
        <v>37.119100000000003</v>
      </c>
      <c r="M655" s="10">
        <f>CHOOSE(CONTROL!$C$42, 35.9193, 35.9193) * CHOOSE(CONTROL!$C$21, $C$9, 100%, $E$9)</f>
        <v>35.9193</v>
      </c>
      <c r="N655" s="10">
        <f>CHOOSE(CONTROL!$C$42, 35.9344, 35.9344) * CHOOSE(CONTROL!$C$21, $C$9, 100%, $E$9)</f>
        <v>35.934399999999997</v>
      </c>
      <c r="O655" s="10">
        <f>CHOOSE(CONTROL!$C$42, 36.1773, 36.1773) * CHOOSE(CONTROL!$C$21, $C$9, 100%, $E$9)</f>
        <v>36.177300000000002</v>
      </c>
      <c r="P655" s="10">
        <f>CHOOSE(CONTROL!$C$42, 35.9493, 35.9493) * CHOOSE(CONTROL!$C$21, $C$9, 100%, $E$9)</f>
        <v>35.949300000000001</v>
      </c>
      <c r="Q655" s="10">
        <f>CHOOSE(CONTROL!$C$42, 36.7726, 36.7726) * CHOOSE(CONTROL!$C$21, $C$9, 100%, $E$9)</f>
        <v>36.772599999999997</v>
      </c>
      <c r="R655" s="10">
        <f>CHOOSE(CONTROL!$C$42, 37.4515, 37.4515) * CHOOSE(CONTROL!$C$21, $C$9, 100%, $E$9)</f>
        <v>37.451500000000003</v>
      </c>
      <c r="S655" s="10">
        <f>CHOOSE(CONTROL!$C$42, 35.2484, 35.2484) * CHOOSE(CONTROL!$C$21, $C$9, 100%, $E$9)</f>
        <v>35.248399999999997</v>
      </c>
      <c r="T6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57">
        <f>(1000*CHOOSE(CONTROL!$C$42, 695, 695)*CHOOSE(CONTROL!$C$42, 0.5599, 0.5599)*CHOOSE(CONTROL!$C$42, 31, 31))/1000000</f>
        <v>12.063045499999998</v>
      </c>
      <c r="V655" s="57">
        <f>(1000*CHOOSE(CONTROL!$C$42, 500, 500)*CHOOSE(CONTROL!$C$42, 0.275, 0.275)*CHOOSE(CONTROL!$C$42, 31, 31))/1000000</f>
        <v>4.2625000000000002</v>
      </c>
      <c r="W655" s="57">
        <f>(1000*CHOOSE(CONTROL!$C$42, 0.1146, 0.1146)*CHOOSE(CONTROL!$C$42, 121.5, 121.5)*CHOOSE(CONTROL!$C$42, 31, 31))/1000000</f>
        <v>0.43164089999999994</v>
      </c>
      <c r="X655" s="57">
        <f>(31*0.1790888*245000/1000000)+(31*0.2374*100000/1000000)</f>
        <v>2.0961194359999999</v>
      </c>
      <c r="Y655" s="57"/>
      <c r="Z655" s="10"/>
      <c r="AA655" s="56"/>
      <c r="AB655" s="50">
        <f>(B655*194.205+C655*267.466+D655*133.845+E655*53.484+F655*40+G655*185+H655*0+I655*100+J655*300)/(194.205+267.466+133.845+53.484+0+40+185+100+300)</f>
        <v>36.326651769309258</v>
      </c>
      <c r="AC655" s="45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36.041420863309348</v>
      </c>
    </row>
    <row r="656" spans="1:29" ht="15.75" x14ac:dyDescent="0.25">
      <c r="A656" s="13">
        <v>60875</v>
      </c>
      <c r="B656" s="10">
        <f>CHOOSE(CONTROL!$C$42, 34.5089, 34.5089) * CHOOSE(CONTROL!$C$21, $C$9, 100%, $E$9)</f>
        <v>34.508899999999997</v>
      </c>
      <c r="C656" s="10">
        <f>CHOOSE(CONTROL!$C$42, 34.5168, 34.5168) * CHOOSE(CONTROL!$C$21, $C$9, 100%, $E$9)</f>
        <v>34.516800000000003</v>
      </c>
      <c r="D656" s="10">
        <f>CHOOSE(CONTROL!$C$42, 34.7195, 34.7195) * CHOOSE(CONTROL!$C$21, $C$9, 100%, $E$9)</f>
        <v>34.719499999999996</v>
      </c>
      <c r="E656" s="10">
        <f>CHOOSE(CONTROL!$C$42, 34.7506, 34.7506) * CHOOSE(CONTROL!$C$21, $C$9, 100%, $E$9)</f>
        <v>34.750599999999999</v>
      </c>
      <c r="F656" s="10">
        <f>CHOOSE(CONTROL!$C$42, 34.4858, 34.4858)*CHOOSE(CONTROL!$C$21, $C$9, 100%, $E$9)</f>
        <v>34.485799999999998</v>
      </c>
      <c r="G656" s="10">
        <f>CHOOSE(CONTROL!$C$42, 34.5011, 34.5011)*CHOOSE(CONTROL!$C$21, $C$9, 100%, $E$9)</f>
        <v>34.501100000000001</v>
      </c>
      <c r="H656" s="10">
        <f>CHOOSE(CONTROL!$C$42, 34.7393, 34.7393) * CHOOSE(CONTROL!$C$21, $C$9, 100%, $E$9)</f>
        <v>34.7393</v>
      </c>
      <c r="I656" s="10">
        <f>CHOOSE(CONTROL!$C$42, 34.5089, 34.5089)* CHOOSE(CONTROL!$C$21, $C$9, 100%, $E$9)</f>
        <v>34.508899999999997</v>
      </c>
      <c r="J656" s="10">
        <f>CHOOSE(CONTROL!$C$42, 34.4788, 34.4788)* CHOOSE(CONTROL!$C$21, $C$9, 100%, $E$9)</f>
        <v>34.4788</v>
      </c>
      <c r="K656" s="53">
        <f>CHOOSE(CONTROL!$C$42, 34.505, 34.505) * CHOOSE(CONTROL!$C$21, $C$9, 100%, $E$9)</f>
        <v>34.505000000000003</v>
      </c>
      <c r="L656" s="10">
        <f>CHOOSE(CONTROL!$C$42, 35.3263, 35.3263) * CHOOSE(CONTROL!$C$21, $C$9, 100%, $E$9)</f>
        <v>35.326300000000003</v>
      </c>
      <c r="M656" s="10">
        <f>CHOOSE(CONTROL!$C$42, 34.1447, 34.1447) * CHOOSE(CONTROL!$C$21, $C$9, 100%, $E$9)</f>
        <v>34.1447</v>
      </c>
      <c r="N656" s="10">
        <f>CHOOSE(CONTROL!$C$42, 34.1598, 34.1598) * CHOOSE(CONTROL!$C$21, $C$9, 100%, $E$9)</f>
        <v>34.159799999999997</v>
      </c>
      <c r="O656" s="10">
        <f>CHOOSE(CONTROL!$C$42, 34.4025, 34.4025) * CHOOSE(CONTROL!$C$21, $C$9, 100%, $E$9)</f>
        <v>34.402500000000003</v>
      </c>
      <c r="P656" s="10">
        <f>CHOOSE(CONTROL!$C$42, 34.1745, 34.1745) * CHOOSE(CONTROL!$C$21, $C$9, 100%, $E$9)</f>
        <v>34.174500000000002</v>
      </c>
      <c r="Q656" s="10">
        <f>CHOOSE(CONTROL!$C$42, 34.9978, 34.9978) * CHOOSE(CONTROL!$C$21, $C$9, 100%, $E$9)</f>
        <v>34.997799999999998</v>
      </c>
      <c r="R656" s="10">
        <f>CHOOSE(CONTROL!$C$42, 35.6723, 35.6723) * CHOOSE(CONTROL!$C$21, $C$9, 100%, $E$9)</f>
        <v>35.6723</v>
      </c>
      <c r="S656" s="10">
        <f>CHOOSE(CONTROL!$C$42, 33.5073, 33.5073) * CHOOSE(CONTROL!$C$21, $C$9, 100%, $E$9)</f>
        <v>33.507300000000001</v>
      </c>
      <c r="T6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57">
        <f>(1000*CHOOSE(CONTROL!$C$42, 695, 695)*CHOOSE(CONTROL!$C$42, 0.5599, 0.5599)*CHOOSE(CONTROL!$C$42, 31, 31))/1000000</f>
        <v>12.063045499999998</v>
      </c>
      <c r="V656" s="57">
        <f>(1000*CHOOSE(CONTROL!$C$42, 500, 500)*CHOOSE(CONTROL!$C$42, 0.275, 0.275)*CHOOSE(CONTROL!$C$42, 31, 31))/1000000</f>
        <v>4.2625000000000002</v>
      </c>
      <c r="W656" s="57">
        <f>(1000*CHOOSE(CONTROL!$C$42, 0.1146, 0.1146)*CHOOSE(CONTROL!$C$42, 121.5, 121.5)*CHOOSE(CONTROL!$C$42, 31, 31))/1000000</f>
        <v>0.43164089999999994</v>
      </c>
      <c r="X656" s="57">
        <f>(31*0.1790888*245000/1000000)+(31*0.2374*100000/1000000)</f>
        <v>2.0961194359999999</v>
      </c>
      <c r="Y656" s="57"/>
      <c r="Z656" s="10"/>
      <c r="AA656" s="56"/>
      <c r="AB656" s="50">
        <f>(B656*194.205+C656*267.466+D656*133.845+E656*53.484+F656*40+G656*185+H656*0+I656*100+J656*300)/(194.205+267.466+133.845+53.484+0+40+185+100+300)</f>
        <v>34.53388494599686</v>
      </c>
      <c r="AC656" s="45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34.266701438848926</v>
      </c>
    </row>
    <row r="657" spans="1:29" ht="15.75" x14ac:dyDescent="0.25">
      <c r="A657" s="13">
        <v>60905</v>
      </c>
      <c r="B657" s="10">
        <f>CHOOSE(CONTROL!$C$42, 32.3179, 32.3179) * CHOOSE(CONTROL!$C$21, $C$9, 100%, $E$9)</f>
        <v>32.317900000000002</v>
      </c>
      <c r="C657" s="10">
        <f>CHOOSE(CONTROL!$C$42, 32.3258, 32.3258) * CHOOSE(CONTROL!$C$21, $C$9, 100%, $E$9)</f>
        <v>32.325800000000001</v>
      </c>
      <c r="D657" s="10">
        <f>CHOOSE(CONTROL!$C$42, 32.5286, 32.5286) * CHOOSE(CONTROL!$C$21, $C$9, 100%, $E$9)</f>
        <v>32.528599999999997</v>
      </c>
      <c r="E657" s="10">
        <f>CHOOSE(CONTROL!$C$42, 32.5597, 32.5597) * CHOOSE(CONTROL!$C$21, $C$9, 100%, $E$9)</f>
        <v>32.559699999999999</v>
      </c>
      <c r="F657" s="10">
        <f>CHOOSE(CONTROL!$C$42, 32.2947, 32.2947)*CHOOSE(CONTROL!$C$21, $C$9, 100%, $E$9)</f>
        <v>32.294699999999999</v>
      </c>
      <c r="G657" s="10">
        <f>CHOOSE(CONTROL!$C$42, 32.31, 32.31)*CHOOSE(CONTROL!$C$21, $C$9, 100%, $E$9)</f>
        <v>32.31</v>
      </c>
      <c r="H657" s="10">
        <f>CHOOSE(CONTROL!$C$42, 32.5483, 32.5483) * CHOOSE(CONTROL!$C$21, $C$9, 100%, $E$9)</f>
        <v>32.548299999999998</v>
      </c>
      <c r="I657" s="10">
        <f>CHOOSE(CONTROL!$C$42, 32.318, 32.318)* CHOOSE(CONTROL!$C$21, $C$9, 100%, $E$9)</f>
        <v>32.317999999999998</v>
      </c>
      <c r="J657" s="10">
        <f>CHOOSE(CONTROL!$C$42, 32.2877, 32.2877)* CHOOSE(CONTROL!$C$21, $C$9, 100%, $E$9)</f>
        <v>32.287700000000001</v>
      </c>
      <c r="K657" s="53">
        <f>CHOOSE(CONTROL!$C$42, 32.3141, 32.3141) * CHOOSE(CONTROL!$C$21, $C$9, 100%, $E$9)</f>
        <v>32.314100000000003</v>
      </c>
      <c r="L657" s="10">
        <f>CHOOSE(CONTROL!$C$42, 33.1353, 33.1353) * CHOOSE(CONTROL!$C$21, $C$9, 100%, $E$9)</f>
        <v>33.135300000000001</v>
      </c>
      <c r="M657" s="10">
        <f>CHOOSE(CONTROL!$C$42, 31.9757, 31.9757) * CHOOSE(CONTROL!$C$21, $C$9, 100%, $E$9)</f>
        <v>31.9757</v>
      </c>
      <c r="N657" s="10">
        <f>CHOOSE(CONTROL!$C$42, 31.9909, 31.9909) * CHOOSE(CONTROL!$C$21, $C$9, 100%, $E$9)</f>
        <v>31.9909</v>
      </c>
      <c r="O657" s="10">
        <f>CHOOSE(CONTROL!$C$42, 32.2337, 32.2337) * CHOOSE(CONTROL!$C$21, $C$9, 100%, $E$9)</f>
        <v>32.233699999999999</v>
      </c>
      <c r="P657" s="10">
        <f>CHOOSE(CONTROL!$C$42, 32.0057, 32.0057) * CHOOSE(CONTROL!$C$21, $C$9, 100%, $E$9)</f>
        <v>32.005699999999997</v>
      </c>
      <c r="Q657" s="10">
        <f>CHOOSE(CONTROL!$C$42, 32.829, 32.829) * CHOOSE(CONTROL!$C$21, $C$9, 100%, $E$9)</f>
        <v>32.829000000000001</v>
      </c>
      <c r="R657" s="10">
        <f>CHOOSE(CONTROL!$C$42, 33.4981, 33.4981) * CHOOSE(CONTROL!$C$21, $C$9, 100%, $E$9)</f>
        <v>33.498100000000001</v>
      </c>
      <c r="S657" s="10">
        <f>CHOOSE(CONTROL!$C$42, 31.3797, 31.3797) * CHOOSE(CONTROL!$C$21, $C$9, 100%, $E$9)</f>
        <v>31.3797</v>
      </c>
      <c r="T6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57">
        <f>(1000*CHOOSE(CONTROL!$C$42, 695, 695)*CHOOSE(CONTROL!$C$42, 0.5599, 0.5599)*CHOOSE(CONTROL!$C$42, 30, 30))/1000000</f>
        <v>11.673914999999997</v>
      </c>
      <c r="V657" s="57">
        <f>(1000*CHOOSE(CONTROL!$C$42, 500, 500)*CHOOSE(CONTROL!$C$42, 0.275, 0.275)*CHOOSE(CONTROL!$C$42, 30, 30))/1000000</f>
        <v>4.125</v>
      </c>
      <c r="W657" s="57">
        <f>(1000*CHOOSE(CONTROL!$C$42, 0.1146, 0.1146)*CHOOSE(CONTROL!$C$42, 121.5, 121.5)*CHOOSE(CONTROL!$C$42, 30, 30))/1000000</f>
        <v>0.417717</v>
      </c>
      <c r="X657" s="57">
        <f>(30*0.1790888*245000/1000000)+(30*0.2374*100000/1000000)</f>
        <v>2.0285026799999999</v>
      </c>
      <c r="Y657" s="57"/>
      <c r="Z657" s="10"/>
      <c r="AA657" s="56"/>
      <c r="AB657" s="50">
        <f>(B657*194.205+C657*267.466+D657*133.845+E657*53.484+F657*40+G657*185+H657*0+I657*100+J657*300)/(194.205+267.466+133.845+53.484+0+40+185+100+300)</f>
        <v>32.342866290502357</v>
      </c>
      <c r="AC657" s="45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32.097826618705035</v>
      </c>
    </row>
    <row r="658" spans="1:29" ht="15.75" x14ac:dyDescent="0.25">
      <c r="A658" s="13">
        <v>60936</v>
      </c>
      <c r="B658" s="10">
        <f>CHOOSE(CONTROL!$C$42, 31.6601, 31.6601) * CHOOSE(CONTROL!$C$21, $C$9, 100%, $E$9)</f>
        <v>31.6601</v>
      </c>
      <c r="C658" s="10">
        <f>CHOOSE(CONTROL!$C$42, 31.6653, 31.6653) * CHOOSE(CONTROL!$C$21, $C$9, 100%, $E$9)</f>
        <v>31.665299999999998</v>
      </c>
      <c r="D658" s="10">
        <f>CHOOSE(CONTROL!$C$42, 31.873, 31.873) * CHOOSE(CONTROL!$C$21, $C$9, 100%, $E$9)</f>
        <v>31.873000000000001</v>
      </c>
      <c r="E658" s="10">
        <f>CHOOSE(CONTROL!$C$42, 31.9018, 31.9018) * CHOOSE(CONTROL!$C$21, $C$9, 100%, $E$9)</f>
        <v>31.901800000000001</v>
      </c>
      <c r="F658" s="10">
        <f>CHOOSE(CONTROL!$C$42, 31.6388, 31.6388)*CHOOSE(CONTROL!$C$21, $C$9, 100%, $E$9)</f>
        <v>31.6388</v>
      </c>
      <c r="G658" s="10">
        <f>CHOOSE(CONTROL!$C$42, 31.6537, 31.6537)*CHOOSE(CONTROL!$C$21, $C$9, 100%, $E$9)</f>
        <v>31.653700000000001</v>
      </c>
      <c r="H658" s="10">
        <f>CHOOSE(CONTROL!$C$42, 31.8923, 31.8923) * CHOOSE(CONTROL!$C$21, $C$9, 100%, $E$9)</f>
        <v>31.892299999999999</v>
      </c>
      <c r="I658" s="10">
        <f>CHOOSE(CONTROL!$C$42, 31.6619, 31.6619)* CHOOSE(CONTROL!$C$21, $C$9, 100%, $E$9)</f>
        <v>31.661899999999999</v>
      </c>
      <c r="J658" s="10">
        <f>CHOOSE(CONTROL!$C$42, 31.6318, 31.6318)* CHOOSE(CONTROL!$C$21, $C$9, 100%, $E$9)</f>
        <v>31.631799999999998</v>
      </c>
      <c r="K658" s="53">
        <f>CHOOSE(CONTROL!$C$42, 31.658, 31.658) * CHOOSE(CONTROL!$C$21, $C$9, 100%, $E$9)</f>
        <v>31.658000000000001</v>
      </c>
      <c r="L658" s="10">
        <f>CHOOSE(CONTROL!$C$42, 32.4793, 32.4793) * CHOOSE(CONTROL!$C$21, $C$9, 100%, $E$9)</f>
        <v>32.479300000000002</v>
      </c>
      <c r="M658" s="10">
        <f>CHOOSE(CONTROL!$C$42, 31.3264, 31.3264) * CHOOSE(CONTROL!$C$21, $C$9, 100%, $E$9)</f>
        <v>31.3264</v>
      </c>
      <c r="N658" s="10">
        <f>CHOOSE(CONTROL!$C$42, 31.3412, 31.3412) * CHOOSE(CONTROL!$C$21, $C$9, 100%, $E$9)</f>
        <v>31.341200000000001</v>
      </c>
      <c r="O658" s="10">
        <f>CHOOSE(CONTROL!$C$42, 31.5842, 31.5842) * CHOOSE(CONTROL!$C$21, $C$9, 100%, $E$9)</f>
        <v>31.584199999999999</v>
      </c>
      <c r="P658" s="10">
        <f>CHOOSE(CONTROL!$C$42, 31.3562, 31.3562) * CHOOSE(CONTROL!$C$21, $C$9, 100%, $E$9)</f>
        <v>31.356200000000001</v>
      </c>
      <c r="Q658" s="10">
        <f>CHOOSE(CONTROL!$C$42, 32.1795, 32.1795) * CHOOSE(CONTROL!$C$21, $C$9, 100%, $E$9)</f>
        <v>32.179499999999997</v>
      </c>
      <c r="R658" s="10">
        <f>CHOOSE(CONTROL!$C$42, 32.847, 32.847) * CHOOSE(CONTROL!$C$21, $C$9, 100%, $E$9)</f>
        <v>32.847000000000001</v>
      </c>
      <c r="S658" s="10">
        <f>CHOOSE(CONTROL!$C$42, 30.7426, 30.7426) * CHOOSE(CONTROL!$C$21, $C$9, 100%, $E$9)</f>
        <v>30.742599999999999</v>
      </c>
      <c r="T6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57">
        <f>(1000*CHOOSE(CONTROL!$C$42, 695, 695)*CHOOSE(CONTROL!$C$42, 0.5599, 0.5599)*CHOOSE(CONTROL!$C$42, 31, 31))/1000000</f>
        <v>12.063045499999998</v>
      </c>
      <c r="V658" s="57">
        <f>(1000*CHOOSE(CONTROL!$C$42, 500, 500)*CHOOSE(CONTROL!$C$42, 0.275, 0.275)*CHOOSE(CONTROL!$C$42, 31, 31))/1000000</f>
        <v>4.2625000000000002</v>
      </c>
      <c r="W658" s="57">
        <f>(1000*CHOOSE(CONTROL!$C$42, 0.1146, 0.1146)*CHOOSE(CONTROL!$C$42, 121.5, 121.5)*CHOOSE(CONTROL!$C$42, 31, 31))/1000000</f>
        <v>0.43164089999999994</v>
      </c>
      <c r="X658" s="57">
        <f>(31*0.1790888*245000/1000000)+(31*0.2374*100000/1000000)</f>
        <v>2.0961194359999999</v>
      </c>
      <c r="Y658" s="57"/>
      <c r="Z658" s="10"/>
      <c r="AA658" s="56"/>
      <c r="AB658" s="50">
        <f>(B658*131.881+C658*277.167+D658*79.08+E658*125.872+F658*40+G658*185+H658*0+I658*100+J658*300)/(131.881+277.167+79.08+125.872+0+40+185+100+300)</f>
        <v>31.691056144309922</v>
      </c>
      <c r="AC658" s="45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31.448384172661864</v>
      </c>
    </row>
    <row r="659" spans="1:29" ht="15.75" x14ac:dyDescent="0.25">
      <c r="A659" s="13">
        <v>60966</v>
      </c>
      <c r="B659" s="10">
        <f>CHOOSE(CONTROL!$C$42, 32.4937, 32.4937) * CHOOSE(CONTROL!$C$21, $C$9, 100%, $E$9)</f>
        <v>32.493699999999997</v>
      </c>
      <c r="C659" s="10">
        <f>CHOOSE(CONTROL!$C$42, 32.4986, 32.4986) * CHOOSE(CONTROL!$C$21, $C$9, 100%, $E$9)</f>
        <v>32.498600000000003</v>
      </c>
      <c r="D659" s="10">
        <f>CHOOSE(CONTROL!$C$42, 32.5591, 32.5591) * CHOOSE(CONTROL!$C$21, $C$9, 100%, $E$9)</f>
        <v>32.559100000000001</v>
      </c>
      <c r="E659" s="10">
        <f>CHOOSE(CONTROL!$C$42, 32.5929, 32.5929) * CHOOSE(CONTROL!$C$21, $C$9, 100%, $E$9)</f>
        <v>32.5929</v>
      </c>
      <c r="F659" s="10">
        <f>CHOOSE(CONTROL!$C$42, 32.4893, 32.4893)*CHOOSE(CONTROL!$C$21, $C$9, 100%, $E$9)</f>
        <v>32.4893</v>
      </c>
      <c r="G659" s="10">
        <f>CHOOSE(CONTROL!$C$42, 32.5045, 32.5045)*CHOOSE(CONTROL!$C$21, $C$9, 100%, $E$9)</f>
        <v>32.5045</v>
      </c>
      <c r="H659" s="10">
        <f>CHOOSE(CONTROL!$C$42, 32.5821, 32.5821) * CHOOSE(CONTROL!$C$21, $C$9, 100%, $E$9)</f>
        <v>32.582099999999997</v>
      </c>
      <c r="I659" s="10">
        <f>CHOOSE(CONTROL!$C$42, 32.5062, 32.5062)* CHOOSE(CONTROL!$C$21, $C$9, 100%, $E$9)</f>
        <v>32.5062</v>
      </c>
      <c r="J659" s="10">
        <f>CHOOSE(CONTROL!$C$42, 32.4823, 32.4823)* CHOOSE(CONTROL!$C$21, $C$9, 100%, $E$9)</f>
        <v>32.482300000000002</v>
      </c>
      <c r="K659" s="53">
        <f>CHOOSE(CONTROL!$C$42, 32.5023, 32.5023) * CHOOSE(CONTROL!$C$21, $C$9, 100%, $E$9)</f>
        <v>32.502299999999998</v>
      </c>
      <c r="L659" s="10">
        <f>CHOOSE(CONTROL!$C$42, 33.1691, 33.1691) * CHOOSE(CONTROL!$C$21, $C$9, 100%, $E$9)</f>
        <v>33.1691</v>
      </c>
      <c r="M659" s="10">
        <f>CHOOSE(CONTROL!$C$42, 32.1683, 32.1683) * CHOOSE(CONTROL!$C$21, $C$9, 100%, $E$9)</f>
        <v>32.168300000000002</v>
      </c>
      <c r="N659" s="10">
        <f>CHOOSE(CONTROL!$C$42, 32.1834, 32.1834) * CHOOSE(CONTROL!$C$21, $C$9, 100%, $E$9)</f>
        <v>32.183399999999999</v>
      </c>
      <c r="O659" s="10">
        <f>CHOOSE(CONTROL!$C$42, 32.2671, 32.2671) * CHOOSE(CONTROL!$C$21, $C$9, 100%, $E$9)</f>
        <v>32.267099999999999</v>
      </c>
      <c r="P659" s="10">
        <f>CHOOSE(CONTROL!$C$42, 32.192, 32.192) * CHOOSE(CONTROL!$C$21, $C$9, 100%, $E$9)</f>
        <v>32.192</v>
      </c>
      <c r="Q659" s="10">
        <f>CHOOSE(CONTROL!$C$42, 32.8624, 32.8624) * CHOOSE(CONTROL!$C$21, $C$9, 100%, $E$9)</f>
        <v>32.862400000000001</v>
      </c>
      <c r="R659" s="10">
        <f>CHOOSE(CONTROL!$C$42, 33.5316, 33.5316) * CHOOSE(CONTROL!$C$21, $C$9, 100%, $E$9)</f>
        <v>33.531599999999997</v>
      </c>
      <c r="S659" s="10">
        <f>CHOOSE(CONTROL!$C$42, 31.5525, 31.5525) * CHOOSE(CONTROL!$C$21, $C$9, 100%, $E$9)</f>
        <v>31.552499999999998</v>
      </c>
      <c r="T6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57">
        <f>(1000*CHOOSE(CONTROL!$C$42, 695, 695)*CHOOSE(CONTROL!$C$42, 0.5599, 0.5599)*CHOOSE(CONTROL!$C$42, 30, 30))/1000000</f>
        <v>11.673914999999997</v>
      </c>
      <c r="V659" s="57">
        <f>(1000*CHOOSE(CONTROL!$C$42, 500, 500)*CHOOSE(CONTROL!$C$42, 0.275, 0.275)*CHOOSE(CONTROL!$C$42, 30, 30))/1000000</f>
        <v>4.125</v>
      </c>
      <c r="W659" s="57">
        <f>(1000*CHOOSE(CONTROL!$C$42, 0.1146, 0.1146)*CHOOSE(CONTROL!$C$42, 121.5, 121.5)*CHOOSE(CONTROL!$C$42, 30, 30))/1000000</f>
        <v>0.417717</v>
      </c>
      <c r="X659" s="57">
        <f>(30*0.1790888*100000/1000000)+(30*0.2374*100000/1000000)</f>
        <v>1.2494664</v>
      </c>
      <c r="Y659" s="57"/>
      <c r="Z659" s="10"/>
      <c r="AA659" s="56"/>
      <c r="AB659" s="50">
        <f>(B659*122.58+C659*297.941+D659*89.177+E659*40.302+F659*40+G659*160+H659*0+I659*100+J659*300)/(122.58+297.941+89.177+40.302+0+40+160+100+300)</f>
        <v>32.502980039217391</v>
      </c>
      <c r="AC659" s="45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32.217358992805764</v>
      </c>
    </row>
    <row r="660" spans="1:29" ht="15.75" x14ac:dyDescent="0.25">
      <c r="A660" s="13">
        <v>60997</v>
      </c>
      <c r="B660" s="10">
        <f>CHOOSE(CONTROL!$C$42, 34.7089, 34.7089) * CHOOSE(CONTROL!$C$21, $C$9, 100%, $E$9)</f>
        <v>34.7089</v>
      </c>
      <c r="C660" s="10">
        <f>CHOOSE(CONTROL!$C$42, 34.7138, 34.7138) * CHOOSE(CONTROL!$C$21, $C$9, 100%, $E$9)</f>
        <v>34.713799999999999</v>
      </c>
      <c r="D660" s="10">
        <f>CHOOSE(CONTROL!$C$42, 34.7743, 34.7743) * CHOOSE(CONTROL!$C$21, $C$9, 100%, $E$9)</f>
        <v>34.774299999999997</v>
      </c>
      <c r="E660" s="10">
        <f>CHOOSE(CONTROL!$C$42, 34.8081, 34.8081) * CHOOSE(CONTROL!$C$21, $C$9, 100%, $E$9)</f>
        <v>34.808100000000003</v>
      </c>
      <c r="F660" s="10">
        <f>CHOOSE(CONTROL!$C$42, 34.7063, 34.7063)*CHOOSE(CONTROL!$C$21, $C$9, 100%, $E$9)</f>
        <v>34.706299999999999</v>
      </c>
      <c r="G660" s="10">
        <f>CHOOSE(CONTROL!$C$42, 34.722, 34.722)*CHOOSE(CONTROL!$C$21, $C$9, 100%, $E$9)</f>
        <v>34.722000000000001</v>
      </c>
      <c r="H660" s="10">
        <f>CHOOSE(CONTROL!$C$42, 34.7973, 34.7973) * CHOOSE(CONTROL!$C$21, $C$9, 100%, $E$9)</f>
        <v>34.7973</v>
      </c>
      <c r="I660" s="10">
        <f>CHOOSE(CONTROL!$C$42, 34.7214, 34.7214)* CHOOSE(CONTROL!$C$21, $C$9, 100%, $E$9)</f>
        <v>34.721400000000003</v>
      </c>
      <c r="J660" s="10">
        <f>CHOOSE(CONTROL!$C$42, 34.6993, 34.6993)* CHOOSE(CONTROL!$C$21, $C$9, 100%, $E$9)</f>
        <v>34.699300000000001</v>
      </c>
      <c r="K660" s="53">
        <f>CHOOSE(CONTROL!$C$42, 34.7175, 34.7175) * CHOOSE(CONTROL!$C$21, $C$9, 100%, $E$9)</f>
        <v>34.717500000000001</v>
      </c>
      <c r="L660" s="10">
        <f>CHOOSE(CONTROL!$C$42, 35.3843, 35.3843) * CHOOSE(CONTROL!$C$21, $C$9, 100%, $E$9)</f>
        <v>35.384300000000003</v>
      </c>
      <c r="M660" s="10">
        <f>CHOOSE(CONTROL!$C$42, 34.363, 34.363) * CHOOSE(CONTROL!$C$21, $C$9, 100%, $E$9)</f>
        <v>34.363</v>
      </c>
      <c r="N660" s="10">
        <f>CHOOSE(CONTROL!$C$42, 34.3785, 34.3785) * CHOOSE(CONTROL!$C$21, $C$9, 100%, $E$9)</f>
        <v>34.378500000000003</v>
      </c>
      <c r="O660" s="10">
        <f>CHOOSE(CONTROL!$C$42, 34.4599, 34.4599) * CHOOSE(CONTROL!$C$21, $C$9, 100%, $E$9)</f>
        <v>34.459899999999998</v>
      </c>
      <c r="P660" s="10">
        <f>CHOOSE(CONTROL!$C$42, 34.3848, 34.3848) * CHOOSE(CONTROL!$C$21, $C$9, 100%, $E$9)</f>
        <v>34.384799999999998</v>
      </c>
      <c r="Q660" s="10">
        <f>CHOOSE(CONTROL!$C$42, 35.0552, 35.0552) * CHOOSE(CONTROL!$C$21, $C$9, 100%, $E$9)</f>
        <v>35.055199999999999</v>
      </c>
      <c r="R660" s="10">
        <f>CHOOSE(CONTROL!$C$42, 35.7299, 35.7299) * CHOOSE(CONTROL!$C$21, $C$9, 100%, $E$9)</f>
        <v>35.729900000000001</v>
      </c>
      <c r="S660" s="10">
        <f>CHOOSE(CONTROL!$C$42, 33.7036, 33.7036) * CHOOSE(CONTROL!$C$21, $C$9, 100%, $E$9)</f>
        <v>33.703600000000002</v>
      </c>
      <c r="T6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57">
        <f>(1000*CHOOSE(CONTROL!$C$42, 695, 695)*CHOOSE(CONTROL!$C$42, 0.5599, 0.5599)*CHOOSE(CONTROL!$C$42, 31, 31))/1000000</f>
        <v>12.063045499999998</v>
      </c>
      <c r="V660" s="57">
        <f>(1000*CHOOSE(CONTROL!$C$42, 500, 500)*CHOOSE(CONTROL!$C$42, 0.275, 0.275)*CHOOSE(CONTROL!$C$42, 31, 31))/1000000</f>
        <v>4.2625000000000002</v>
      </c>
      <c r="W660" s="57">
        <f>(1000*CHOOSE(CONTROL!$C$42, 0.1146, 0.1146)*CHOOSE(CONTROL!$C$42, 121.5, 121.5)*CHOOSE(CONTROL!$C$42, 31, 31))/1000000</f>
        <v>0.43164089999999994</v>
      </c>
      <c r="X660" s="57">
        <f>(31*0.1790888*100000/1000000)+(31*0.2374*100000/1000000)</f>
        <v>1.2911152800000001</v>
      </c>
      <c r="Y660" s="57"/>
      <c r="Z660" s="10"/>
      <c r="AA660" s="56"/>
      <c r="AB660" s="50">
        <f>(B660*122.58+C660*297.941+D660*89.177+E660*40.302+F660*40+G660*160+H660*0+I660*100+J660*300)/(122.58+297.941+89.177+40.302+0+40+160+100+300)</f>
        <v>34.719032213130433</v>
      </c>
      <c r="AC660" s="45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34.410947482014386</v>
      </c>
    </row>
    <row r="661" spans="1:29" ht="15.75" x14ac:dyDescent="0.25">
      <c r="A661" s="13">
        <v>61028</v>
      </c>
      <c r="B661" s="10">
        <f>CHOOSE(CONTROL!$C$42, 37.5526, 37.5526) * CHOOSE(CONTROL!$C$21, $C$9, 100%, $E$9)</f>
        <v>37.552599999999998</v>
      </c>
      <c r="C661" s="10">
        <f>CHOOSE(CONTROL!$C$42, 37.5575, 37.5575) * CHOOSE(CONTROL!$C$21, $C$9, 100%, $E$9)</f>
        <v>37.557499999999997</v>
      </c>
      <c r="D661" s="10">
        <f>CHOOSE(CONTROL!$C$42, 37.6146, 37.6146) * CHOOSE(CONTROL!$C$21, $C$9, 100%, $E$9)</f>
        <v>37.614600000000003</v>
      </c>
      <c r="E661" s="10">
        <f>CHOOSE(CONTROL!$C$42, 37.6484, 37.6484) * CHOOSE(CONTROL!$C$21, $C$9, 100%, $E$9)</f>
        <v>37.648400000000002</v>
      </c>
      <c r="F661" s="10">
        <f>CHOOSE(CONTROL!$C$42, 37.5504, 37.5504)*CHOOSE(CONTROL!$C$21, $C$9, 100%, $E$9)</f>
        <v>37.550400000000003</v>
      </c>
      <c r="G661" s="10">
        <f>CHOOSE(CONTROL!$C$42, 37.565, 37.565)*CHOOSE(CONTROL!$C$21, $C$9, 100%, $E$9)</f>
        <v>37.564999999999998</v>
      </c>
      <c r="H661" s="10">
        <f>CHOOSE(CONTROL!$C$42, 37.6375, 37.6375) * CHOOSE(CONTROL!$C$21, $C$9, 100%, $E$9)</f>
        <v>37.637500000000003</v>
      </c>
      <c r="I661" s="10">
        <f>CHOOSE(CONTROL!$C$42, 37.5633, 37.5633)* CHOOSE(CONTROL!$C$21, $C$9, 100%, $E$9)</f>
        <v>37.563299999999998</v>
      </c>
      <c r="J661" s="10">
        <f>CHOOSE(CONTROL!$C$42, 37.5434, 37.5434)* CHOOSE(CONTROL!$C$21, $C$9, 100%, $E$9)</f>
        <v>37.543399999999998</v>
      </c>
      <c r="K661" s="53">
        <f>CHOOSE(CONTROL!$C$42, 37.5595, 37.5595) * CHOOSE(CONTROL!$C$21, $C$9, 100%, $E$9)</f>
        <v>37.5595</v>
      </c>
      <c r="L661" s="10">
        <f>CHOOSE(CONTROL!$C$42, 38.2245, 38.2245) * CHOOSE(CONTROL!$C$21, $C$9, 100%, $E$9)</f>
        <v>38.224499999999999</v>
      </c>
      <c r="M661" s="10">
        <f>CHOOSE(CONTROL!$C$42, 37.1783, 37.1783) * CHOOSE(CONTROL!$C$21, $C$9, 100%, $E$9)</f>
        <v>37.1783</v>
      </c>
      <c r="N661" s="10">
        <f>CHOOSE(CONTROL!$C$42, 37.1928, 37.1928) * CHOOSE(CONTROL!$C$21, $C$9, 100%, $E$9)</f>
        <v>37.192799999999998</v>
      </c>
      <c r="O661" s="10">
        <f>CHOOSE(CONTROL!$C$42, 37.2715, 37.2715) * CHOOSE(CONTROL!$C$21, $C$9, 100%, $E$9)</f>
        <v>37.271500000000003</v>
      </c>
      <c r="P661" s="10">
        <f>CHOOSE(CONTROL!$C$42, 37.1981, 37.1981) * CHOOSE(CONTROL!$C$21, $C$9, 100%, $E$9)</f>
        <v>37.198099999999997</v>
      </c>
      <c r="Q661" s="10">
        <f>CHOOSE(CONTROL!$C$42, 37.8668, 37.8668) * CHOOSE(CONTROL!$C$21, $C$9, 100%, $E$9)</f>
        <v>37.866799999999998</v>
      </c>
      <c r="R661" s="10">
        <f>CHOOSE(CONTROL!$C$42, 38.5485, 38.5485) * CHOOSE(CONTROL!$C$21, $C$9, 100%, $E$9)</f>
        <v>38.548499999999997</v>
      </c>
      <c r="S661" s="10">
        <f>CHOOSE(CONTROL!$C$42, 36.4651, 36.4651) * CHOOSE(CONTROL!$C$21, $C$9, 100%, $E$9)</f>
        <v>36.4651</v>
      </c>
      <c r="T6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57">
        <f>(1000*CHOOSE(CONTROL!$C$42, 695, 695)*CHOOSE(CONTROL!$C$42, 0.5599, 0.5599)*CHOOSE(CONTROL!$C$42, 31, 31))/1000000</f>
        <v>12.063045499999998</v>
      </c>
      <c r="V661" s="57">
        <f>(1000*CHOOSE(CONTROL!$C$42, 500, 500)*CHOOSE(CONTROL!$C$42, 0.275, 0.275)*CHOOSE(CONTROL!$C$42, 31, 31))/1000000</f>
        <v>4.2625000000000002</v>
      </c>
      <c r="W661" s="57">
        <f>(1000*CHOOSE(CONTROL!$C$42, 0.1146, 0.1146)*CHOOSE(CONTROL!$C$42, 121.5, 121.5)*CHOOSE(CONTROL!$C$42, 31, 31))/1000000</f>
        <v>0.43164089999999994</v>
      </c>
      <c r="X661" s="57">
        <f>(31*0.1790888*100000/1000000)+(31*0.2374*100000/1000000)</f>
        <v>1.2911152800000001</v>
      </c>
      <c r="Y661" s="57"/>
      <c r="Z661" s="10"/>
      <c r="AA661" s="56"/>
      <c r="AB661" s="50">
        <f>(B661*122.58+C661*297.941+D661*89.177+E661*40.302+F661*40+G661*160+H661*0+I661*100+J661*300)/(122.58+297.941+89.177+40.302+0+40+160+100+300)</f>
        <v>37.562213753478254</v>
      </c>
      <c r="AC661" s="45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37.224225179856113</v>
      </c>
    </row>
    <row r="662" spans="1:29" ht="15.75" x14ac:dyDescent="0.25">
      <c r="A662" s="13">
        <v>61056</v>
      </c>
      <c r="B662" s="10">
        <f>CHOOSE(CONTROL!$C$42, 38.221, 38.221) * CHOOSE(CONTROL!$C$21, $C$9, 100%, $E$9)</f>
        <v>38.220999999999997</v>
      </c>
      <c r="C662" s="10">
        <f>CHOOSE(CONTROL!$C$42, 38.2259, 38.2259) * CHOOSE(CONTROL!$C$21, $C$9, 100%, $E$9)</f>
        <v>38.225900000000003</v>
      </c>
      <c r="D662" s="10">
        <f>CHOOSE(CONTROL!$C$42, 38.283, 38.283) * CHOOSE(CONTROL!$C$21, $C$9, 100%, $E$9)</f>
        <v>38.283000000000001</v>
      </c>
      <c r="E662" s="10">
        <f>CHOOSE(CONTROL!$C$42, 38.3168, 38.3168) * CHOOSE(CONTROL!$C$21, $C$9, 100%, $E$9)</f>
        <v>38.316800000000001</v>
      </c>
      <c r="F662" s="10">
        <f>CHOOSE(CONTROL!$C$42, 38.2189, 38.2189)*CHOOSE(CONTROL!$C$21, $C$9, 100%, $E$9)</f>
        <v>38.218899999999998</v>
      </c>
      <c r="G662" s="10">
        <f>CHOOSE(CONTROL!$C$42, 38.2336, 38.2336)*CHOOSE(CONTROL!$C$21, $C$9, 100%, $E$9)</f>
        <v>38.233600000000003</v>
      </c>
      <c r="H662" s="10">
        <f>CHOOSE(CONTROL!$C$42, 38.306, 38.306) * CHOOSE(CONTROL!$C$21, $C$9, 100%, $E$9)</f>
        <v>38.305999999999997</v>
      </c>
      <c r="I662" s="10">
        <f>CHOOSE(CONTROL!$C$42, 38.2318, 38.2318)* CHOOSE(CONTROL!$C$21, $C$9, 100%, $E$9)</f>
        <v>38.2318</v>
      </c>
      <c r="J662" s="10">
        <f>CHOOSE(CONTROL!$C$42, 38.2119, 38.2119)* CHOOSE(CONTROL!$C$21, $C$9, 100%, $E$9)</f>
        <v>38.2119</v>
      </c>
      <c r="K662" s="53">
        <f>CHOOSE(CONTROL!$C$42, 38.2279, 38.2279) * CHOOSE(CONTROL!$C$21, $C$9, 100%, $E$9)</f>
        <v>38.227899999999998</v>
      </c>
      <c r="L662" s="10">
        <f>CHOOSE(CONTROL!$C$42, 38.893, 38.893) * CHOOSE(CONTROL!$C$21, $C$9, 100%, $E$9)</f>
        <v>38.893000000000001</v>
      </c>
      <c r="M662" s="10">
        <f>CHOOSE(CONTROL!$C$42, 37.8401, 37.8401) * CHOOSE(CONTROL!$C$21, $C$9, 100%, $E$9)</f>
        <v>37.8401</v>
      </c>
      <c r="N662" s="10">
        <f>CHOOSE(CONTROL!$C$42, 37.8546, 37.8546) * CHOOSE(CONTROL!$C$21, $C$9, 100%, $E$9)</f>
        <v>37.854599999999998</v>
      </c>
      <c r="O662" s="10">
        <f>CHOOSE(CONTROL!$C$42, 37.9332, 37.9332) * CHOOSE(CONTROL!$C$21, $C$9, 100%, $E$9)</f>
        <v>37.933199999999999</v>
      </c>
      <c r="P662" s="10">
        <f>CHOOSE(CONTROL!$C$42, 37.8598, 37.8598) * CHOOSE(CONTROL!$C$21, $C$9, 100%, $E$9)</f>
        <v>37.8598</v>
      </c>
      <c r="Q662" s="10">
        <f>CHOOSE(CONTROL!$C$42, 38.5285, 38.5285) * CHOOSE(CONTROL!$C$21, $C$9, 100%, $E$9)</f>
        <v>38.528500000000001</v>
      </c>
      <c r="R662" s="10">
        <f>CHOOSE(CONTROL!$C$42, 39.2119, 39.2119) * CHOOSE(CONTROL!$C$21, $C$9, 100%, $E$9)</f>
        <v>39.2119</v>
      </c>
      <c r="S662" s="10">
        <f>CHOOSE(CONTROL!$C$42, 37.1143, 37.1143) * CHOOSE(CONTROL!$C$21, $C$9, 100%, $E$9)</f>
        <v>37.1143</v>
      </c>
      <c r="T6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62" s="57">
        <f>(1000*CHOOSE(CONTROL!$C$42, 695, 695)*CHOOSE(CONTROL!$C$42, 0.5599, 0.5599)*CHOOSE(CONTROL!$C$42, 28, 28))/1000000</f>
        <v>10.895653999999999</v>
      </c>
      <c r="V662" s="57">
        <f>(1000*CHOOSE(CONTROL!$C$42, 500, 500)*CHOOSE(CONTROL!$C$42, 0.275, 0.275)*CHOOSE(CONTROL!$C$42, 28, 28))/1000000</f>
        <v>3.85</v>
      </c>
      <c r="W662" s="57">
        <f>(1000*CHOOSE(CONTROL!$C$42, 0.1146, 0.1146)*CHOOSE(CONTROL!$C$42, 121.5, 121.5)*CHOOSE(CONTROL!$C$42, 28, 28))/1000000</f>
        <v>0.38986920000000003</v>
      </c>
      <c r="X662" s="57">
        <f>(28*0.1790888*100000/1000000)+(28*0.2374*100000/1000000)</f>
        <v>1.16616864</v>
      </c>
      <c r="Y662" s="57"/>
      <c r="Z662" s="10"/>
      <c r="AA662" s="56"/>
      <c r="AB662" s="50">
        <f>(B662*122.58+C662*297.941+D662*89.177+E662*40.302+F662*40+G662*160+H662*0+I662*100+J662*300)/(122.58+297.941+89.177+40.302+0+40+160+100+300)</f>
        <v>38.230679840434789</v>
      </c>
      <c r="AC662" s="45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37.885965467625901</v>
      </c>
    </row>
    <row r="663" spans="1:29" ht="15.75" x14ac:dyDescent="0.25">
      <c r="A663" s="13">
        <v>61087</v>
      </c>
      <c r="B663" s="10">
        <f>CHOOSE(CONTROL!$C$42, 37.136, 37.136) * CHOOSE(CONTROL!$C$21, $C$9, 100%, $E$9)</f>
        <v>37.136000000000003</v>
      </c>
      <c r="C663" s="10">
        <f>CHOOSE(CONTROL!$C$42, 37.1409, 37.1409) * CHOOSE(CONTROL!$C$21, $C$9, 100%, $E$9)</f>
        <v>37.140900000000002</v>
      </c>
      <c r="D663" s="10">
        <f>CHOOSE(CONTROL!$C$42, 37.198, 37.198) * CHOOSE(CONTROL!$C$21, $C$9, 100%, $E$9)</f>
        <v>37.198</v>
      </c>
      <c r="E663" s="10">
        <f>CHOOSE(CONTROL!$C$42, 37.2318, 37.2318) * CHOOSE(CONTROL!$C$21, $C$9, 100%, $E$9)</f>
        <v>37.2318</v>
      </c>
      <c r="F663" s="10">
        <f>CHOOSE(CONTROL!$C$42, 37.1338, 37.1338)*CHOOSE(CONTROL!$C$21, $C$9, 100%, $E$9)</f>
        <v>37.133800000000001</v>
      </c>
      <c r="G663" s="10">
        <f>CHOOSE(CONTROL!$C$42, 37.1484, 37.1484)*CHOOSE(CONTROL!$C$21, $C$9, 100%, $E$9)</f>
        <v>37.148400000000002</v>
      </c>
      <c r="H663" s="10">
        <f>CHOOSE(CONTROL!$C$42, 37.2209, 37.2209) * CHOOSE(CONTROL!$C$21, $C$9, 100%, $E$9)</f>
        <v>37.2209</v>
      </c>
      <c r="I663" s="10">
        <f>CHOOSE(CONTROL!$C$42, 37.1467, 37.1467)* CHOOSE(CONTROL!$C$21, $C$9, 100%, $E$9)</f>
        <v>37.146700000000003</v>
      </c>
      <c r="J663" s="10">
        <f>CHOOSE(CONTROL!$C$42, 37.1268, 37.1268)* CHOOSE(CONTROL!$C$21, $C$9, 100%, $E$9)</f>
        <v>37.126800000000003</v>
      </c>
      <c r="K663" s="53">
        <f>CHOOSE(CONTROL!$C$42, 37.1429, 37.1429) * CHOOSE(CONTROL!$C$21, $C$9, 100%, $E$9)</f>
        <v>37.142899999999997</v>
      </c>
      <c r="L663" s="10">
        <f>CHOOSE(CONTROL!$C$42, 37.8079, 37.8079) * CHOOSE(CONTROL!$C$21, $C$9, 100%, $E$9)</f>
        <v>37.807899999999997</v>
      </c>
      <c r="M663" s="10">
        <f>CHOOSE(CONTROL!$C$42, 36.7659, 36.7659) * CHOOSE(CONTROL!$C$21, $C$9, 100%, $E$9)</f>
        <v>36.765900000000002</v>
      </c>
      <c r="N663" s="10">
        <f>CHOOSE(CONTROL!$C$42, 36.7804, 36.7804) * CHOOSE(CONTROL!$C$21, $C$9, 100%, $E$9)</f>
        <v>36.7804</v>
      </c>
      <c r="O663" s="10">
        <f>CHOOSE(CONTROL!$C$42, 36.8592, 36.8592) * CHOOSE(CONTROL!$C$21, $C$9, 100%, $E$9)</f>
        <v>36.859200000000001</v>
      </c>
      <c r="P663" s="10">
        <f>CHOOSE(CONTROL!$C$42, 36.7857, 36.7857) * CHOOSE(CONTROL!$C$21, $C$9, 100%, $E$9)</f>
        <v>36.785699999999999</v>
      </c>
      <c r="Q663" s="10">
        <f>CHOOSE(CONTROL!$C$42, 37.4545, 37.4545) * CHOOSE(CONTROL!$C$21, $C$9, 100%, $E$9)</f>
        <v>37.454500000000003</v>
      </c>
      <c r="R663" s="10">
        <f>CHOOSE(CONTROL!$C$42, 38.1351, 38.1351) * CHOOSE(CONTROL!$C$21, $C$9, 100%, $E$9)</f>
        <v>38.135100000000001</v>
      </c>
      <c r="S663" s="10">
        <f>CHOOSE(CONTROL!$C$42, 36.0606, 36.0606) * CHOOSE(CONTROL!$C$21, $C$9, 100%, $E$9)</f>
        <v>36.060600000000001</v>
      </c>
      <c r="T6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57">
        <f>(1000*CHOOSE(CONTROL!$C$42, 695, 695)*CHOOSE(CONTROL!$C$42, 0.5599, 0.5599)*CHOOSE(CONTROL!$C$42, 31, 31))/1000000</f>
        <v>12.063045499999998</v>
      </c>
      <c r="V663" s="57">
        <f>(1000*CHOOSE(CONTROL!$C$42, 500, 500)*CHOOSE(CONTROL!$C$42, 0.275, 0.275)*CHOOSE(CONTROL!$C$42, 31, 31))/1000000</f>
        <v>4.2625000000000002</v>
      </c>
      <c r="W663" s="57">
        <f>(1000*CHOOSE(CONTROL!$C$42, 0.1146, 0.1146)*CHOOSE(CONTROL!$C$42, 121.5, 121.5)*CHOOSE(CONTROL!$C$42, 31, 31))/1000000</f>
        <v>0.43164089999999994</v>
      </c>
      <c r="X663" s="57">
        <f>(31*0.1790888*100000/1000000)+(31*0.2374*100000/1000000)</f>
        <v>1.2911152800000001</v>
      </c>
      <c r="Y663" s="57"/>
      <c r="Z663" s="10"/>
      <c r="AA663" s="56"/>
      <c r="AB663" s="50">
        <f>(B663*122.58+C663*297.941+D663*89.177+E663*40.302+F663*40+G663*160+H663*0+I663*100+J663*300)/(122.58+297.941+89.177+40.302+0+40+160+100+300)</f>
        <v>37.145613753478258</v>
      </c>
      <c r="AC663" s="45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36.81187050359712</v>
      </c>
    </row>
    <row r="664" spans="1:29" ht="15.75" x14ac:dyDescent="0.25">
      <c r="A664" s="13">
        <v>61117</v>
      </c>
      <c r="B664" s="10">
        <f>CHOOSE(CONTROL!$C$42, 37.0259, 37.0259) * CHOOSE(CONTROL!$C$21, $C$9, 100%, $E$9)</f>
        <v>37.0259</v>
      </c>
      <c r="C664" s="10">
        <f>CHOOSE(CONTROL!$C$42, 37.0303, 37.0303) * CHOOSE(CONTROL!$C$21, $C$9, 100%, $E$9)</f>
        <v>37.030299999999997</v>
      </c>
      <c r="D664" s="10">
        <f>CHOOSE(CONTROL!$C$42, 37.2362, 37.2362) * CHOOSE(CONTROL!$C$21, $C$9, 100%, $E$9)</f>
        <v>37.236199999999997</v>
      </c>
      <c r="E664" s="10">
        <f>CHOOSE(CONTROL!$C$42, 37.268, 37.268) * CHOOSE(CONTROL!$C$21, $C$9, 100%, $E$9)</f>
        <v>37.268000000000001</v>
      </c>
      <c r="F664" s="10">
        <f>CHOOSE(CONTROL!$C$42, 37.0027, 37.0027)*CHOOSE(CONTROL!$C$21, $C$9, 100%, $E$9)</f>
        <v>37.002699999999997</v>
      </c>
      <c r="G664" s="10">
        <f>CHOOSE(CONTROL!$C$42, 37.0172, 37.0172)*CHOOSE(CONTROL!$C$21, $C$9, 100%, $E$9)</f>
        <v>37.017200000000003</v>
      </c>
      <c r="H664" s="10">
        <f>CHOOSE(CONTROL!$C$42, 37.2578, 37.2578) * CHOOSE(CONTROL!$C$21, $C$9, 100%, $E$9)</f>
        <v>37.257800000000003</v>
      </c>
      <c r="I664" s="10">
        <f>CHOOSE(CONTROL!$C$42, 37.0274, 37.0274)* CHOOSE(CONTROL!$C$21, $C$9, 100%, $E$9)</f>
        <v>37.0274</v>
      </c>
      <c r="J664" s="10">
        <f>CHOOSE(CONTROL!$C$42, 36.9957, 36.9957)* CHOOSE(CONTROL!$C$21, $C$9, 100%, $E$9)</f>
        <v>36.995699999999999</v>
      </c>
      <c r="K664" s="53">
        <f>CHOOSE(CONTROL!$C$42, 37.0235, 37.0235) * CHOOSE(CONTROL!$C$21, $C$9, 100%, $E$9)</f>
        <v>37.023499999999999</v>
      </c>
      <c r="L664" s="10">
        <f>CHOOSE(CONTROL!$C$42, 37.8448, 37.8448) * CHOOSE(CONTROL!$C$21, $C$9, 100%, $E$9)</f>
        <v>37.844799999999999</v>
      </c>
      <c r="M664" s="10">
        <f>CHOOSE(CONTROL!$C$42, 36.6362, 36.6362) * CHOOSE(CONTROL!$C$21, $C$9, 100%, $E$9)</f>
        <v>36.636200000000002</v>
      </c>
      <c r="N664" s="10">
        <f>CHOOSE(CONTROL!$C$42, 36.6506, 36.6506) * CHOOSE(CONTROL!$C$21, $C$9, 100%, $E$9)</f>
        <v>36.650599999999997</v>
      </c>
      <c r="O664" s="10">
        <f>CHOOSE(CONTROL!$C$42, 36.8956, 36.8956) * CHOOSE(CONTROL!$C$21, $C$9, 100%, $E$9)</f>
        <v>36.895600000000002</v>
      </c>
      <c r="P664" s="10">
        <f>CHOOSE(CONTROL!$C$42, 36.6676, 36.6676) * CHOOSE(CONTROL!$C$21, $C$9, 100%, $E$9)</f>
        <v>36.6676</v>
      </c>
      <c r="Q664" s="10">
        <f>CHOOSE(CONTROL!$C$42, 37.4909, 37.4909) * CHOOSE(CONTROL!$C$21, $C$9, 100%, $E$9)</f>
        <v>37.490900000000003</v>
      </c>
      <c r="R664" s="10">
        <f>CHOOSE(CONTROL!$C$42, 38.1716, 38.1716) * CHOOSE(CONTROL!$C$21, $C$9, 100%, $E$9)</f>
        <v>38.171599999999998</v>
      </c>
      <c r="S664" s="10">
        <f>CHOOSE(CONTROL!$C$42, 35.953, 35.953) * CHOOSE(CONTROL!$C$21, $C$9, 100%, $E$9)</f>
        <v>35.953000000000003</v>
      </c>
      <c r="T6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57">
        <f>(1000*CHOOSE(CONTROL!$C$42, 695, 695)*CHOOSE(CONTROL!$C$42, 0.5599, 0.5599)*CHOOSE(CONTROL!$C$42, 30, 30))/1000000</f>
        <v>11.673914999999997</v>
      </c>
      <c r="V664" s="57">
        <f>(1000*CHOOSE(CONTROL!$C$42, 500, 500)*CHOOSE(CONTROL!$C$42, 0.275, 0.275)*CHOOSE(CONTROL!$C$42, 30, 30))/1000000</f>
        <v>4.125</v>
      </c>
      <c r="W664" s="57">
        <f>(1000*CHOOSE(CONTROL!$C$42, 0.1146, 0.1146)*CHOOSE(CONTROL!$C$42, 121.5, 121.5)*CHOOSE(CONTROL!$C$42, 30, 30))/1000000</f>
        <v>0.417717</v>
      </c>
      <c r="X664" s="57">
        <f>(30*0.1790888*245000/1000000)+(30*0.2374*100000/1000000)</f>
        <v>2.0285026799999999</v>
      </c>
      <c r="Y664" s="57"/>
      <c r="Z664" s="10"/>
      <c r="AA664" s="56"/>
      <c r="AB664" s="50">
        <f>(B664*141.293+C664*267.993+D664*115.016+E664*89.698+F664*40+G664*185+H664*0+I664*100+J664*300)/(141.293+267.993+115.016+89.698+0+40+185+100+300)</f>
        <v>37.054661436481027</v>
      </c>
      <c r="AC664" s="45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36.759116546762591</v>
      </c>
    </row>
    <row r="665" spans="1:29" ht="15.75" x14ac:dyDescent="0.25">
      <c r="A665" s="13">
        <v>61148</v>
      </c>
      <c r="B665" s="10">
        <f>CHOOSE(CONTROL!$C$42, 37.3541, 37.3541) * CHOOSE(CONTROL!$C$21, $C$9, 100%, $E$9)</f>
        <v>37.354100000000003</v>
      </c>
      <c r="C665" s="10">
        <f>CHOOSE(CONTROL!$C$42, 37.362, 37.362) * CHOOSE(CONTROL!$C$21, $C$9, 100%, $E$9)</f>
        <v>37.362000000000002</v>
      </c>
      <c r="D665" s="10">
        <f>CHOOSE(CONTROL!$C$42, 37.5647, 37.5647) * CHOOSE(CONTROL!$C$21, $C$9, 100%, $E$9)</f>
        <v>37.564700000000002</v>
      </c>
      <c r="E665" s="10">
        <f>CHOOSE(CONTROL!$C$42, 37.5959, 37.5959) * CHOOSE(CONTROL!$C$21, $C$9, 100%, $E$9)</f>
        <v>37.5959</v>
      </c>
      <c r="F665" s="10">
        <f>CHOOSE(CONTROL!$C$42, 37.3298, 37.3298)*CHOOSE(CONTROL!$C$21, $C$9, 100%, $E$9)</f>
        <v>37.329799999999999</v>
      </c>
      <c r="G665" s="10">
        <f>CHOOSE(CONTROL!$C$42, 37.3448, 37.3448)*CHOOSE(CONTROL!$C$21, $C$9, 100%, $E$9)</f>
        <v>37.344799999999999</v>
      </c>
      <c r="H665" s="10">
        <f>CHOOSE(CONTROL!$C$42, 37.5845, 37.5845) * CHOOSE(CONTROL!$C$21, $C$9, 100%, $E$9)</f>
        <v>37.584499999999998</v>
      </c>
      <c r="I665" s="10">
        <f>CHOOSE(CONTROL!$C$42, 37.3541, 37.3541)* CHOOSE(CONTROL!$C$21, $C$9, 100%, $E$9)</f>
        <v>37.354100000000003</v>
      </c>
      <c r="J665" s="10">
        <f>CHOOSE(CONTROL!$C$42, 37.3228, 37.3228)* CHOOSE(CONTROL!$C$21, $C$9, 100%, $E$9)</f>
        <v>37.322800000000001</v>
      </c>
      <c r="K665" s="53">
        <f>CHOOSE(CONTROL!$C$42, 37.3502, 37.3502) * CHOOSE(CONTROL!$C$21, $C$9, 100%, $E$9)</f>
        <v>37.350200000000001</v>
      </c>
      <c r="L665" s="10">
        <f>CHOOSE(CONTROL!$C$42, 38.1715, 38.1715) * CHOOSE(CONTROL!$C$21, $C$9, 100%, $E$9)</f>
        <v>38.171500000000002</v>
      </c>
      <c r="M665" s="10">
        <f>CHOOSE(CONTROL!$C$42, 36.96, 36.96) * CHOOSE(CONTROL!$C$21, $C$9, 100%, $E$9)</f>
        <v>36.96</v>
      </c>
      <c r="N665" s="10">
        <f>CHOOSE(CONTROL!$C$42, 36.9748, 36.9748) * CHOOSE(CONTROL!$C$21, $C$9, 100%, $E$9)</f>
        <v>36.974800000000002</v>
      </c>
      <c r="O665" s="10">
        <f>CHOOSE(CONTROL!$C$42, 37.219, 37.219) * CHOOSE(CONTROL!$C$21, $C$9, 100%, $E$9)</f>
        <v>37.219000000000001</v>
      </c>
      <c r="P665" s="10">
        <f>CHOOSE(CONTROL!$C$42, 36.991, 36.991) * CHOOSE(CONTROL!$C$21, $C$9, 100%, $E$9)</f>
        <v>36.991</v>
      </c>
      <c r="Q665" s="10">
        <f>CHOOSE(CONTROL!$C$42, 37.8143, 37.8143) * CHOOSE(CONTROL!$C$21, $C$9, 100%, $E$9)</f>
        <v>37.814300000000003</v>
      </c>
      <c r="R665" s="10">
        <f>CHOOSE(CONTROL!$C$42, 38.4959, 38.4959) * CHOOSE(CONTROL!$C$21, $C$9, 100%, $E$9)</f>
        <v>38.495899999999999</v>
      </c>
      <c r="S665" s="10">
        <f>CHOOSE(CONTROL!$C$42, 36.2703, 36.2703) * CHOOSE(CONTROL!$C$21, $C$9, 100%, $E$9)</f>
        <v>36.270299999999999</v>
      </c>
      <c r="T6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57">
        <f>(1000*CHOOSE(CONTROL!$C$42, 695, 695)*CHOOSE(CONTROL!$C$42, 0.5599, 0.5599)*CHOOSE(CONTROL!$C$42, 31, 31))/1000000</f>
        <v>12.063045499999998</v>
      </c>
      <c r="V665" s="57">
        <f>(1000*CHOOSE(CONTROL!$C$42, 500, 500)*CHOOSE(CONTROL!$C$42, 0.275, 0.275)*CHOOSE(CONTROL!$C$42, 31, 31))/1000000</f>
        <v>4.2625000000000002</v>
      </c>
      <c r="W665" s="57">
        <f>(1000*CHOOSE(CONTROL!$C$42, 0.1146, 0.1146)*CHOOSE(CONTROL!$C$42, 121.5, 121.5)*CHOOSE(CONTROL!$C$42, 31, 31))/1000000</f>
        <v>0.43164089999999994</v>
      </c>
      <c r="X665" s="57">
        <f>(31*0.1790888*245000/1000000)+(31*0.2374*100000/1000000)</f>
        <v>2.0961194359999999</v>
      </c>
      <c r="Y665" s="57"/>
      <c r="Z665" s="10"/>
      <c r="AA665" s="56"/>
      <c r="AB665" s="50">
        <f>(B665*194.205+C665*267.466+D665*133.845+E665*53.484+F665*40+G665*185+H665*0+I665*100+J665*300)/(194.205+267.466+133.845+53.484+0+40+185+100+300)</f>
        <v>37.37855107503924</v>
      </c>
      <c r="AC665" s="45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37.082700719424459</v>
      </c>
    </row>
    <row r="666" spans="1:29" ht="15.75" x14ac:dyDescent="0.25">
      <c r="A666" s="13">
        <v>61178</v>
      </c>
      <c r="B666" s="10">
        <f>CHOOSE(CONTROL!$C$42, 38.4135, 38.4135) * CHOOSE(CONTROL!$C$21, $C$9, 100%, $E$9)</f>
        <v>38.413499999999999</v>
      </c>
      <c r="C666" s="10">
        <f>CHOOSE(CONTROL!$C$42, 38.4215, 38.4215) * CHOOSE(CONTROL!$C$21, $C$9, 100%, $E$9)</f>
        <v>38.421500000000002</v>
      </c>
      <c r="D666" s="10">
        <f>CHOOSE(CONTROL!$C$42, 38.6242, 38.6242) * CHOOSE(CONTROL!$C$21, $C$9, 100%, $E$9)</f>
        <v>38.624200000000002</v>
      </c>
      <c r="E666" s="10">
        <f>CHOOSE(CONTROL!$C$42, 38.6553, 38.6553) * CHOOSE(CONTROL!$C$21, $C$9, 100%, $E$9)</f>
        <v>38.655299999999997</v>
      </c>
      <c r="F666" s="10">
        <f>CHOOSE(CONTROL!$C$42, 38.3898, 38.3898)*CHOOSE(CONTROL!$C$21, $C$9, 100%, $E$9)</f>
        <v>38.389800000000001</v>
      </c>
      <c r="G666" s="10">
        <f>CHOOSE(CONTROL!$C$42, 38.4049, 38.4049)*CHOOSE(CONTROL!$C$21, $C$9, 100%, $E$9)</f>
        <v>38.404899999999998</v>
      </c>
      <c r="H666" s="10">
        <f>CHOOSE(CONTROL!$C$42, 38.644, 38.644) * CHOOSE(CONTROL!$C$21, $C$9, 100%, $E$9)</f>
        <v>38.643999999999998</v>
      </c>
      <c r="I666" s="10">
        <f>CHOOSE(CONTROL!$C$42, 38.4136, 38.4136)* CHOOSE(CONTROL!$C$21, $C$9, 100%, $E$9)</f>
        <v>38.413600000000002</v>
      </c>
      <c r="J666" s="10">
        <f>CHOOSE(CONTROL!$C$42, 38.3828, 38.3828)* CHOOSE(CONTROL!$C$21, $C$9, 100%, $E$9)</f>
        <v>38.382800000000003</v>
      </c>
      <c r="K666" s="53">
        <f>CHOOSE(CONTROL!$C$42, 38.4097, 38.4097) * CHOOSE(CONTROL!$C$21, $C$9, 100%, $E$9)</f>
        <v>38.409700000000001</v>
      </c>
      <c r="L666" s="10">
        <f>CHOOSE(CONTROL!$C$42, 39.231, 39.231) * CHOOSE(CONTROL!$C$21, $C$9, 100%, $E$9)</f>
        <v>39.231000000000002</v>
      </c>
      <c r="M666" s="10">
        <f>CHOOSE(CONTROL!$C$42, 38.0093, 38.0093) * CHOOSE(CONTROL!$C$21, $C$9, 100%, $E$9)</f>
        <v>38.009300000000003</v>
      </c>
      <c r="N666" s="10">
        <f>CHOOSE(CONTROL!$C$42, 38.0242, 38.0242) * CHOOSE(CONTROL!$C$21, $C$9, 100%, $E$9)</f>
        <v>38.0242</v>
      </c>
      <c r="O666" s="10">
        <f>CHOOSE(CONTROL!$C$42, 38.2678, 38.2678) * CHOOSE(CONTROL!$C$21, $C$9, 100%, $E$9)</f>
        <v>38.267800000000001</v>
      </c>
      <c r="P666" s="10">
        <f>CHOOSE(CONTROL!$C$42, 38.0398, 38.0398) * CHOOSE(CONTROL!$C$21, $C$9, 100%, $E$9)</f>
        <v>38.0398</v>
      </c>
      <c r="Q666" s="10">
        <f>CHOOSE(CONTROL!$C$42, 38.8631, 38.8631) * CHOOSE(CONTROL!$C$21, $C$9, 100%, $E$9)</f>
        <v>38.863100000000003</v>
      </c>
      <c r="R666" s="10">
        <f>CHOOSE(CONTROL!$C$42, 39.5473, 39.5473) * CHOOSE(CONTROL!$C$21, $C$9, 100%, $E$9)</f>
        <v>39.5473</v>
      </c>
      <c r="S666" s="10">
        <f>CHOOSE(CONTROL!$C$42, 37.2991, 37.2991) * CHOOSE(CONTROL!$C$21, $C$9, 100%, $E$9)</f>
        <v>37.299100000000003</v>
      </c>
      <c r="T6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57">
        <f>(1000*CHOOSE(CONTROL!$C$42, 695, 695)*CHOOSE(CONTROL!$C$42, 0.5599, 0.5599)*CHOOSE(CONTROL!$C$42, 30, 30))/1000000</f>
        <v>11.673914999999997</v>
      </c>
      <c r="V666" s="57">
        <f>(1000*CHOOSE(CONTROL!$C$42, 500, 500)*CHOOSE(CONTROL!$C$42, 0.275, 0.275)*CHOOSE(CONTROL!$C$42, 30, 30))/1000000</f>
        <v>4.125</v>
      </c>
      <c r="W666" s="57">
        <f>(1000*CHOOSE(CONTROL!$C$42, 0.1146, 0.1146)*CHOOSE(CONTROL!$C$42, 121.5, 121.5)*CHOOSE(CONTROL!$C$42, 30, 30))/1000000</f>
        <v>0.417717</v>
      </c>
      <c r="X666" s="57">
        <f>(30*0.1790888*245000/1000000)+(30*0.2374*100000/1000000)</f>
        <v>2.0285026799999999</v>
      </c>
      <c r="Y666" s="57"/>
      <c r="Z666" s="10"/>
      <c r="AA666" s="56"/>
      <c r="AB666" s="50">
        <f>(B666*194.205+C666*267.466+D666*133.845+E666*53.484+F666*40+G666*185+H666*0+I666*100+J666*300)/(194.205+267.466+133.845+53.484+0+40+185+100+300)</f>
        <v>38.438252198351648</v>
      </c>
      <c r="AC666" s="45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38.131707913669068</v>
      </c>
    </row>
    <row r="667" spans="1:29" ht="15.75" x14ac:dyDescent="0.25">
      <c r="A667" s="13">
        <v>61209</v>
      </c>
      <c r="B667" s="10">
        <f>CHOOSE(CONTROL!$C$42, 37.6767, 37.6767) * CHOOSE(CONTROL!$C$21, $C$9, 100%, $E$9)</f>
        <v>37.676699999999997</v>
      </c>
      <c r="C667" s="10">
        <f>CHOOSE(CONTROL!$C$42, 37.6846, 37.6846) * CHOOSE(CONTROL!$C$21, $C$9, 100%, $E$9)</f>
        <v>37.684600000000003</v>
      </c>
      <c r="D667" s="10">
        <f>CHOOSE(CONTROL!$C$42, 37.8873, 37.8873) * CHOOSE(CONTROL!$C$21, $C$9, 100%, $E$9)</f>
        <v>37.887300000000003</v>
      </c>
      <c r="E667" s="10">
        <f>CHOOSE(CONTROL!$C$42, 37.9185, 37.9185) * CHOOSE(CONTROL!$C$21, $C$9, 100%, $E$9)</f>
        <v>37.918500000000002</v>
      </c>
      <c r="F667" s="10">
        <f>CHOOSE(CONTROL!$C$42, 37.6534, 37.6534)*CHOOSE(CONTROL!$C$21, $C$9, 100%, $E$9)</f>
        <v>37.653399999999998</v>
      </c>
      <c r="G667" s="10">
        <f>CHOOSE(CONTROL!$C$42, 37.6687, 37.6687)*CHOOSE(CONTROL!$C$21, $C$9, 100%, $E$9)</f>
        <v>37.668700000000001</v>
      </c>
      <c r="H667" s="10">
        <f>CHOOSE(CONTROL!$C$42, 37.9071, 37.9071) * CHOOSE(CONTROL!$C$21, $C$9, 100%, $E$9)</f>
        <v>37.9071</v>
      </c>
      <c r="I667" s="10">
        <f>CHOOSE(CONTROL!$C$42, 37.6767, 37.6767)* CHOOSE(CONTROL!$C$21, $C$9, 100%, $E$9)</f>
        <v>37.676699999999997</v>
      </c>
      <c r="J667" s="10">
        <f>CHOOSE(CONTROL!$C$42, 37.6464, 37.6464)* CHOOSE(CONTROL!$C$21, $C$9, 100%, $E$9)</f>
        <v>37.6464</v>
      </c>
      <c r="K667" s="53">
        <f>CHOOSE(CONTROL!$C$42, 37.6728, 37.6728) * CHOOSE(CONTROL!$C$21, $C$9, 100%, $E$9)</f>
        <v>37.672800000000002</v>
      </c>
      <c r="L667" s="10">
        <f>CHOOSE(CONTROL!$C$42, 38.4941, 38.4941) * CHOOSE(CONTROL!$C$21, $C$9, 100%, $E$9)</f>
        <v>38.494100000000003</v>
      </c>
      <c r="M667" s="10">
        <f>CHOOSE(CONTROL!$C$42, 37.2804, 37.2804) * CHOOSE(CONTROL!$C$21, $C$9, 100%, $E$9)</f>
        <v>37.2804</v>
      </c>
      <c r="N667" s="10">
        <f>CHOOSE(CONTROL!$C$42, 37.2955, 37.2955) * CHOOSE(CONTROL!$C$21, $C$9, 100%, $E$9)</f>
        <v>37.295499999999997</v>
      </c>
      <c r="O667" s="10">
        <f>CHOOSE(CONTROL!$C$42, 37.5384, 37.5384) * CHOOSE(CONTROL!$C$21, $C$9, 100%, $E$9)</f>
        <v>37.538400000000003</v>
      </c>
      <c r="P667" s="10">
        <f>CHOOSE(CONTROL!$C$42, 37.3104, 37.3104) * CHOOSE(CONTROL!$C$21, $C$9, 100%, $E$9)</f>
        <v>37.310400000000001</v>
      </c>
      <c r="Q667" s="10">
        <f>CHOOSE(CONTROL!$C$42, 38.1337, 38.1337) * CHOOSE(CONTROL!$C$21, $C$9, 100%, $E$9)</f>
        <v>38.133699999999997</v>
      </c>
      <c r="R667" s="10">
        <f>CHOOSE(CONTROL!$C$42, 38.816, 38.816) * CHOOSE(CONTROL!$C$21, $C$9, 100%, $E$9)</f>
        <v>38.816000000000003</v>
      </c>
      <c r="S667" s="10">
        <f>CHOOSE(CONTROL!$C$42, 36.5836, 36.5836) * CHOOSE(CONTROL!$C$21, $C$9, 100%, $E$9)</f>
        <v>36.583599999999997</v>
      </c>
      <c r="T6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57">
        <f>(1000*CHOOSE(CONTROL!$C$42, 695, 695)*CHOOSE(CONTROL!$C$42, 0.5599, 0.5599)*CHOOSE(CONTROL!$C$42, 31, 31))/1000000</f>
        <v>12.063045499999998</v>
      </c>
      <c r="V667" s="57">
        <f>(1000*CHOOSE(CONTROL!$C$42, 500, 500)*CHOOSE(CONTROL!$C$42, 0.275, 0.275)*CHOOSE(CONTROL!$C$42, 31, 31))/1000000</f>
        <v>4.2625000000000002</v>
      </c>
      <c r="W667" s="57">
        <f>(1000*CHOOSE(CONTROL!$C$42, 0.1146, 0.1146)*CHOOSE(CONTROL!$C$42, 121.5, 121.5)*CHOOSE(CONTROL!$C$42, 31, 31))/1000000</f>
        <v>0.43164089999999994</v>
      </c>
      <c r="X667" s="57">
        <f>(31*0.1790888*245000/1000000)+(31*0.2374*100000/1000000)</f>
        <v>2.0961194359999999</v>
      </c>
      <c r="Y667" s="57"/>
      <c r="Z667" s="10"/>
      <c r="AA667" s="56"/>
      <c r="AB667" s="50">
        <f>(B667*194.205+C667*267.466+D667*133.845+E667*53.484+F667*40+G667*185+H667*0+I667*100+J667*300)/(194.205+267.466+133.845+53.484+0+40+185+100+300)</f>
        <v>37.701606726530606</v>
      </c>
      <c r="AC667" s="45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37.402520863309356</v>
      </c>
    </row>
    <row r="668" spans="1:29" ht="15.75" x14ac:dyDescent="0.25">
      <c r="A668" s="13">
        <v>61240</v>
      </c>
      <c r="B668" s="10">
        <f>CHOOSE(CONTROL!$C$42, 35.8159, 35.8159) * CHOOSE(CONTROL!$C$21, $C$9, 100%, $E$9)</f>
        <v>35.815899999999999</v>
      </c>
      <c r="C668" s="10">
        <f>CHOOSE(CONTROL!$C$42, 35.8238, 35.8238) * CHOOSE(CONTROL!$C$21, $C$9, 100%, $E$9)</f>
        <v>35.823799999999999</v>
      </c>
      <c r="D668" s="10">
        <f>CHOOSE(CONTROL!$C$42, 36.0266, 36.0266) * CHOOSE(CONTROL!$C$21, $C$9, 100%, $E$9)</f>
        <v>36.026600000000002</v>
      </c>
      <c r="E668" s="10">
        <f>CHOOSE(CONTROL!$C$42, 36.0577, 36.0577) * CHOOSE(CONTROL!$C$21, $C$9, 100%, $E$9)</f>
        <v>36.057699999999997</v>
      </c>
      <c r="F668" s="10">
        <f>CHOOSE(CONTROL!$C$42, 35.7928, 35.7928)*CHOOSE(CONTROL!$C$21, $C$9, 100%, $E$9)</f>
        <v>35.7928</v>
      </c>
      <c r="G668" s="10">
        <f>CHOOSE(CONTROL!$C$42, 35.8082, 35.8082)*CHOOSE(CONTROL!$C$21, $C$9, 100%, $E$9)</f>
        <v>35.808199999999999</v>
      </c>
      <c r="H668" s="10">
        <f>CHOOSE(CONTROL!$C$42, 36.0463, 36.0463) * CHOOSE(CONTROL!$C$21, $C$9, 100%, $E$9)</f>
        <v>36.046300000000002</v>
      </c>
      <c r="I668" s="10">
        <f>CHOOSE(CONTROL!$C$42, 35.8159, 35.8159)* CHOOSE(CONTROL!$C$21, $C$9, 100%, $E$9)</f>
        <v>35.815899999999999</v>
      </c>
      <c r="J668" s="10">
        <f>CHOOSE(CONTROL!$C$42, 35.7858, 35.7858)* CHOOSE(CONTROL!$C$21, $C$9, 100%, $E$9)</f>
        <v>35.785800000000002</v>
      </c>
      <c r="K668" s="53">
        <f>CHOOSE(CONTROL!$C$42, 35.8121, 35.8121) * CHOOSE(CONTROL!$C$21, $C$9, 100%, $E$9)</f>
        <v>35.812100000000001</v>
      </c>
      <c r="L668" s="10">
        <f>CHOOSE(CONTROL!$C$42, 36.6333, 36.6333) * CHOOSE(CONTROL!$C$21, $C$9, 100%, $E$9)</f>
        <v>36.633299999999998</v>
      </c>
      <c r="M668" s="10">
        <f>CHOOSE(CONTROL!$C$42, 35.4385, 35.4385) * CHOOSE(CONTROL!$C$21, $C$9, 100%, $E$9)</f>
        <v>35.438499999999998</v>
      </c>
      <c r="N668" s="10">
        <f>CHOOSE(CONTROL!$C$42, 35.4537, 35.4537) * CHOOSE(CONTROL!$C$21, $C$9, 100%, $E$9)</f>
        <v>35.453699999999998</v>
      </c>
      <c r="O668" s="10">
        <f>CHOOSE(CONTROL!$C$42, 35.6964, 35.6964) * CHOOSE(CONTROL!$C$21, $C$9, 100%, $E$9)</f>
        <v>35.696399999999997</v>
      </c>
      <c r="P668" s="10">
        <f>CHOOSE(CONTROL!$C$42, 35.4684, 35.4684) * CHOOSE(CONTROL!$C$21, $C$9, 100%, $E$9)</f>
        <v>35.468400000000003</v>
      </c>
      <c r="Q668" s="10">
        <f>CHOOSE(CONTROL!$C$42, 36.2917, 36.2917) * CHOOSE(CONTROL!$C$21, $C$9, 100%, $E$9)</f>
        <v>36.291699999999999</v>
      </c>
      <c r="R668" s="10">
        <f>CHOOSE(CONTROL!$C$42, 36.9694, 36.9694) * CHOOSE(CONTROL!$C$21, $C$9, 100%, $E$9)</f>
        <v>36.9694</v>
      </c>
      <c r="S668" s="10">
        <f>CHOOSE(CONTROL!$C$42, 34.7766, 34.7766) * CHOOSE(CONTROL!$C$21, $C$9, 100%, $E$9)</f>
        <v>34.776600000000002</v>
      </c>
      <c r="T6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57">
        <f>(1000*CHOOSE(CONTROL!$C$42, 695, 695)*CHOOSE(CONTROL!$C$42, 0.5599, 0.5599)*CHOOSE(CONTROL!$C$42, 31, 31))/1000000</f>
        <v>12.063045499999998</v>
      </c>
      <c r="V668" s="57">
        <f>(1000*CHOOSE(CONTROL!$C$42, 500, 500)*CHOOSE(CONTROL!$C$42, 0.275, 0.275)*CHOOSE(CONTROL!$C$42, 31, 31))/1000000</f>
        <v>4.2625000000000002</v>
      </c>
      <c r="W668" s="57">
        <f>(1000*CHOOSE(CONTROL!$C$42, 0.1146, 0.1146)*CHOOSE(CONTROL!$C$42, 121.5, 121.5)*CHOOSE(CONTROL!$C$42, 31, 31))/1000000</f>
        <v>0.43164089999999994</v>
      </c>
      <c r="X668" s="57">
        <f>(31*0.1790888*245000/1000000)+(31*0.2374*100000/1000000)</f>
        <v>2.0961194359999999</v>
      </c>
      <c r="Y668" s="57"/>
      <c r="Z668" s="10"/>
      <c r="AA668" s="56"/>
      <c r="AB668" s="50">
        <f>(B668*194.205+C668*267.466+D668*133.845+E668*53.484+F668*40+G668*185+H668*0+I668*100+J668*300)/(194.205+267.466+133.845+53.484+0+40+185+100+300)</f>
        <v>35.840914171193091</v>
      </c>
      <c r="AC668" s="45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35.560566906474818</v>
      </c>
    </row>
    <row r="669" spans="1:29" ht="15.75" x14ac:dyDescent="0.25">
      <c r="A669" s="13">
        <v>61270</v>
      </c>
      <c r="B669" s="10">
        <f>CHOOSE(CONTROL!$C$42, 33.542, 33.542) * CHOOSE(CONTROL!$C$21, $C$9, 100%, $E$9)</f>
        <v>33.542000000000002</v>
      </c>
      <c r="C669" s="10">
        <f>CHOOSE(CONTROL!$C$42, 33.5499, 33.5499) * CHOOSE(CONTROL!$C$21, $C$9, 100%, $E$9)</f>
        <v>33.549900000000001</v>
      </c>
      <c r="D669" s="10">
        <f>CHOOSE(CONTROL!$C$42, 33.7526, 33.7526) * CHOOSE(CONTROL!$C$21, $C$9, 100%, $E$9)</f>
        <v>33.752600000000001</v>
      </c>
      <c r="E669" s="10">
        <f>CHOOSE(CONTROL!$C$42, 33.7838, 33.7838) * CHOOSE(CONTROL!$C$21, $C$9, 100%, $E$9)</f>
        <v>33.783799999999999</v>
      </c>
      <c r="F669" s="10">
        <f>CHOOSE(CONTROL!$C$42, 33.5188, 33.5188)*CHOOSE(CONTROL!$C$21, $C$9, 100%, $E$9)</f>
        <v>33.518799999999999</v>
      </c>
      <c r="G669" s="10">
        <f>CHOOSE(CONTROL!$C$42, 33.5341, 33.5341)*CHOOSE(CONTROL!$C$21, $C$9, 100%, $E$9)</f>
        <v>33.534100000000002</v>
      </c>
      <c r="H669" s="10">
        <f>CHOOSE(CONTROL!$C$42, 33.7724, 33.7724) * CHOOSE(CONTROL!$C$21, $C$9, 100%, $E$9)</f>
        <v>33.772399999999998</v>
      </c>
      <c r="I669" s="10">
        <f>CHOOSE(CONTROL!$C$42, 33.542, 33.542)* CHOOSE(CONTROL!$C$21, $C$9, 100%, $E$9)</f>
        <v>33.542000000000002</v>
      </c>
      <c r="J669" s="10">
        <f>CHOOSE(CONTROL!$C$42, 33.5118, 33.5118)* CHOOSE(CONTROL!$C$21, $C$9, 100%, $E$9)</f>
        <v>33.511800000000001</v>
      </c>
      <c r="K669" s="53">
        <f>CHOOSE(CONTROL!$C$42, 33.5381, 33.5381) * CHOOSE(CONTROL!$C$21, $C$9, 100%, $E$9)</f>
        <v>33.5381</v>
      </c>
      <c r="L669" s="10">
        <f>CHOOSE(CONTROL!$C$42, 34.3594, 34.3594) * CHOOSE(CONTROL!$C$21, $C$9, 100%, $E$9)</f>
        <v>34.359400000000001</v>
      </c>
      <c r="M669" s="10">
        <f>CHOOSE(CONTROL!$C$42, 33.1874, 33.1874) * CHOOSE(CONTROL!$C$21, $C$9, 100%, $E$9)</f>
        <v>33.187399999999997</v>
      </c>
      <c r="N669" s="10">
        <f>CHOOSE(CONTROL!$C$42, 33.2026, 33.2026) * CHOOSE(CONTROL!$C$21, $C$9, 100%, $E$9)</f>
        <v>33.202599999999997</v>
      </c>
      <c r="O669" s="10">
        <f>CHOOSE(CONTROL!$C$42, 33.4454, 33.4454) * CHOOSE(CONTROL!$C$21, $C$9, 100%, $E$9)</f>
        <v>33.445399999999999</v>
      </c>
      <c r="P669" s="10">
        <f>CHOOSE(CONTROL!$C$42, 33.2174, 33.2174) * CHOOSE(CONTROL!$C$21, $C$9, 100%, $E$9)</f>
        <v>33.217399999999998</v>
      </c>
      <c r="Q669" s="10">
        <f>CHOOSE(CONTROL!$C$42, 34.0407, 34.0407) * CHOOSE(CONTROL!$C$21, $C$9, 100%, $E$9)</f>
        <v>34.040700000000001</v>
      </c>
      <c r="R669" s="10">
        <f>CHOOSE(CONTROL!$C$42, 34.7128, 34.7128) * CHOOSE(CONTROL!$C$21, $C$9, 100%, $E$9)</f>
        <v>34.712800000000001</v>
      </c>
      <c r="S669" s="10">
        <f>CHOOSE(CONTROL!$C$42, 32.5684, 32.5684) * CHOOSE(CONTROL!$C$21, $C$9, 100%, $E$9)</f>
        <v>32.568399999999997</v>
      </c>
      <c r="T6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57">
        <f>(1000*CHOOSE(CONTROL!$C$42, 695, 695)*CHOOSE(CONTROL!$C$42, 0.5599, 0.5599)*CHOOSE(CONTROL!$C$42, 30, 30))/1000000</f>
        <v>11.673914999999997</v>
      </c>
      <c r="V669" s="57">
        <f>(1000*CHOOSE(CONTROL!$C$42, 500, 500)*CHOOSE(CONTROL!$C$42, 0.275, 0.275)*CHOOSE(CONTROL!$C$42, 30, 30))/1000000</f>
        <v>4.125</v>
      </c>
      <c r="W669" s="57">
        <f>(1000*CHOOSE(CONTROL!$C$42, 0.1146, 0.1146)*CHOOSE(CONTROL!$C$42, 121.5, 121.5)*CHOOSE(CONTROL!$C$42, 30, 30))/1000000</f>
        <v>0.417717</v>
      </c>
      <c r="X669" s="57">
        <f>(30*0.1790888*245000/1000000)+(30*0.2374*100000/1000000)</f>
        <v>2.0285026799999999</v>
      </c>
      <c r="Y669" s="57"/>
      <c r="Z669" s="10"/>
      <c r="AA669" s="56"/>
      <c r="AB669" s="50">
        <f>(B669*194.205+C669*267.466+D669*133.845+E669*53.484+F669*40+G669*185+H669*0+I669*100+J669*300)/(194.205+267.466+133.845+53.484+0+40+185+100+300)</f>
        <v>33.566947935321821</v>
      </c>
      <c r="AC669" s="45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33.309526618705036</v>
      </c>
    </row>
    <row r="670" spans="1:29" ht="15.75" x14ac:dyDescent="0.25">
      <c r="A670" s="13">
        <v>61301</v>
      </c>
      <c r="B670" s="10">
        <f>CHOOSE(CONTROL!$C$42, 32.8593, 32.8593) * CHOOSE(CONTROL!$C$21, $C$9, 100%, $E$9)</f>
        <v>32.859299999999998</v>
      </c>
      <c r="C670" s="10">
        <f>CHOOSE(CONTROL!$C$42, 32.8645, 32.8645) * CHOOSE(CONTROL!$C$21, $C$9, 100%, $E$9)</f>
        <v>32.8645</v>
      </c>
      <c r="D670" s="10">
        <f>CHOOSE(CONTROL!$C$42, 33.0722, 33.0722) * CHOOSE(CONTROL!$C$21, $C$9, 100%, $E$9)</f>
        <v>33.072200000000002</v>
      </c>
      <c r="E670" s="10">
        <f>CHOOSE(CONTROL!$C$42, 33.101, 33.101) * CHOOSE(CONTROL!$C$21, $C$9, 100%, $E$9)</f>
        <v>33.100999999999999</v>
      </c>
      <c r="F670" s="10">
        <f>CHOOSE(CONTROL!$C$42, 32.838, 32.838)*CHOOSE(CONTROL!$C$21, $C$9, 100%, $E$9)</f>
        <v>32.838000000000001</v>
      </c>
      <c r="G670" s="10">
        <f>CHOOSE(CONTROL!$C$42, 32.853, 32.853)*CHOOSE(CONTROL!$C$21, $C$9, 100%, $E$9)</f>
        <v>32.853000000000002</v>
      </c>
      <c r="H670" s="10">
        <f>CHOOSE(CONTROL!$C$42, 33.0915, 33.0915) * CHOOSE(CONTROL!$C$21, $C$9, 100%, $E$9)</f>
        <v>33.091500000000003</v>
      </c>
      <c r="I670" s="10">
        <f>CHOOSE(CONTROL!$C$42, 32.8611, 32.8611)* CHOOSE(CONTROL!$C$21, $C$9, 100%, $E$9)</f>
        <v>32.8611</v>
      </c>
      <c r="J670" s="10">
        <f>CHOOSE(CONTROL!$C$42, 32.831, 32.831)* CHOOSE(CONTROL!$C$21, $C$9, 100%, $E$9)</f>
        <v>32.831000000000003</v>
      </c>
      <c r="K670" s="53">
        <f>CHOOSE(CONTROL!$C$42, 32.8572, 32.8572) * CHOOSE(CONTROL!$C$21, $C$9, 100%, $E$9)</f>
        <v>32.857199999999999</v>
      </c>
      <c r="L670" s="10">
        <f>CHOOSE(CONTROL!$C$42, 33.6785, 33.6785) * CHOOSE(CONTROL!$C$21, $C$9, 100%, $E$9)</f>
        <v>33.6785</v>
      </c>
      <c r="M670" s="10">
        <f>CHOOSE(CONTROL!$C$42, 32.5135, 32.5135) * CHOOSE(CONTROL!$C$21, $C$9, 100%, $E$9)</f>
        <v>32.513500000000001</v>
      </c>
      <c r="N670" s="10">
        <f>CHOOSE(CONTROL!$C$42, 32.5283, 32.5283) * CHOOSE(CONTROL!$C$21, $C$9, 100%, $E$9)</f>
        <v>32.528300000000002</v>
      </c>
      <c r="O670" s="10">
        <f>CHOOSE(CONTROL!$C$42, 32.7714, 32.7714) * CHOOSE(CONTROL!$C$21, $C$9, 100%, $E$9)</f>
        <v>32.7714</v>
      </c>
      <c r="P670" s="10">
        <f>CHOOSE(CONTROL!$C$42, 32.5433, 32.5433) * CHOOSE(CONTROL!$C$21, $C$9, 100%, $E$9)</f>
        <v>32.543300000000002</v>
      </c>
      <c r="Q670" s="10">
        <f>CHOOSE(CONTROL!$C$42, 33.3667, 33.3667) * CHOOSE(CONTROL!$C$21, $C$9, 100%, $E$9)</f>
        <v>33.366700000000002</v>
      </c>
      <c r="R670" s="10">
        <f>CHOOSE(CONTROL!$C$42, 34.0371, 34.0371) * CHOOSE(CONTROL!$C$21, $C$9, 100%, $E$9)</f>
        <v>34.037100000000002</v>
      </c>
      <c r="S670" s="10">
        <f>CHOOSE(CONTROL!$C$42, 31.9071, 31.9071) * CHOOSE(CONTROL!$C$21, $C$9, 100%, $E$9)</f>
        <v>31.9071</v>
      </c>
      <c r="T6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57">
        <f>(1000*CHOOSE(CONTROL!$C$42, 695, 695)*CHOOSE(CONTROL!$C$42, 0.5599, 0.5599)*CHOOSE(CONTROL!$C$42, 31, 31))/1000000</f>
        <v>12.063045499999998</v>
      </c>
      <c r="V670" s="57">
        <f>(1000*CHOOSE(CONTROL!$C$42, 500, 500)*CHOOSE(CONTROL!$C$42, 0.275, 0.275)*CHOOSE(CONTROL!$C$42, 31, 31))/1000000</f>
        <v>4.2625000000000002</v>
      </c>
      <c r="W670" s="57">
        <f>(1000*CHOOSE(CONTROL!$C$42, 0.1146, 0.1146)*CHOOSE(CONTROL!$C$42, 121.5, 121.5)*CHOOSE(CONTROL!$C$42, 31, 31))/1000000</f>
        <v>0.43164089999999994</v>
      </c>
      <c r="X670" s="57">
        <f>(31*0.1790888*245000/1000000)+(31*0.2374*100000/1000000)</f>
        <v>2.0961194359999999</v>
      </c>
      <c r="Y670" s="57"/>
      <c r="Z670" s="10"/>
      <c r="AA670" s="56"/>
      <c r="AB670" s="50">
        <f>(B670*131.881+C670*277.167+D670*79.08+E670*125.872+F670*40+G670*185+H670*0+I670*100+J670*300)/(131.881+277.167+79.08+125.872+0+40+185+100+300)</f>
        <v>32.89027107570621</v>
      </c>
      <c r="AC670" s="45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32.635529496402874</v>
      </c>
    </row>
    <row r="671" spans="1:29" ht="15.75" x14ac:dyDescent="0.25">
      <c r="A671" s="13">
        <v>61331</v>
      </c>
      <c r="B671" s="10">
        <f>CHOOSE(CONTROL!$C$42, 33.7245, 33.7245) * CHOOSE(CONTROL!$C$21, $C$9, 100%, $E$9)</f>
        <v>33.724499999999999</v>
      </c>
      <c r="C671" s="10">
        <f>CHOOSE(CONTROL!$C$42, 33.7294, 33.7294) * CHOOSE(CONTROL!$C$21, $C$9, 100%, $E$9)</f>
        <v>33.729399999999998</v>
      </c>
      <c r="D671" s="10">
        <f>CHOOSE(CONTROL!$C$42, 33.7899, 33.7899) * CHOOSE(CONTROL!$C$21, $C$9, 100%, $E$9)</f>
        <v>33.789900000000003</v>
      </c>
      <c r="E671" s="10">
        <f>CHOOSE(CONTROL!$C$42, 33.8237, 33.8237) * CHOOSE(CONTROL!$C$21, $C$9, 100%, $E$9)</f>
        <v>33.823700000000002</v>
      </c>
      <c r="F671" s="10">
        <f>CHOOSE(CONTROL!$C$42, 33.7201, 33.7201)*CHOOSE(CONTROL!$C$21, $C$9, 100%, $E$9)</f>
        <v>33.720100000000002</v>
      </c>
      <c r="G671" s="10">
        <f>CHOOSE(CONTROL!$C$42, 33.7353, 33.7353)*CHOOSE(CONTROL!$C$21, $C$9, 100%, $E$9)</f>
        <v>33.735300000000002</v>
      </c>
      <c r="H671" s="10">
        <f>CHOOSE(CONTROL!$C$42, 33.8129, 33.8129) * CHOOSE(CONTROL!$C$21, $C$9, 100%, $E$9)</f>
        <v>33.812899999999999</v>
      </c>
      <c r="I671" s="10">
        <f>CHOOSE(CONTROL!$C$42, 33.737, 33.737)* CHOOSE(CONTROL!$C$21, $C$9, 100%, $E$9)</f>
        <v>33.737000000000002</v>
      </c>
      <c r="J671" s="10">
        <f>CHOOSE(CONTROL!$C$42, 33.7131, 33.7131)* CHOOSE(CONTROL!$C$21, $C$9, 100%, $E$9)</f>
        <v>33.713099999999997</v>
      </c>
      <c r="K671" s="53">
        <f>CHOOSE(CONTROL!$C$42, 33.7331, 33.7331) * CHOOSE(CONTROL!$C$21, $C$9, 100%, $E$9)</f>
        <v>33.7331</v>
      </c>
      <c r="L671" s="10">
        <f>CHOOSE(CONTROL!$C$42, 34.3999, 34.3999) * CHOOSE(CONTROL!$C$21, $C$9, 100%, $E$9)</f>
        <v>34.399900000000002</v>
      </c>
      <c r="M671" s="10">
        <f>CHOOSE(CONTROL!$C$42, 33.3867, 33.3867) * CHOOSE(CONTROL!$C$21, $C$9, 100%, $E$9)</f>
        <v>33.386699999999998</v>
      </c>
      <c r="N671" s="10">
        <f>CHOOSE(CONTROL!$C$42, 33.4018, 33.4018) * CHOOSE(CONTROL!$C$21, $C$9, 100%, $E$9)</f>
        <v>33.401800000000001</v>
      </c>
      <c r="O671" s="10">
        <f>CHOOSE(CONTROL!$C$42, 33.4855, 33.4855) * CHOOSE(CONTROL!$C$21, $C$9, 100%, $E$9)</f>
        <v>33.485500000000002</v>
      </c>
      <c r="P671" s="10">
        <f>CHOOSE(CONTROL!$C$42, 33.4104, 33.4104) * CHOOSE(CONTROL!$C$21, $C$9, 100%, $E$9)</f>
        <v>33.410400000000003</v>
      </c>
      <c r="Q671" s="10">
        <f>CHOOSE(CONTROL!$C$42, 34.0808, 34.0808) * CHOOSE(CONTROL!$C$21, $C$9, 100%, $E$9)</f>
        <v>34.080800000000004</v>
      </c>
      <c r="R671" s="10">
        <f>CHOOSE(CONTROL!$C$42, 34.753, 34.753) * CHOOSE(CONTROL!$C$21, $C$9, 100%, $E$9)</f>
        <v>34.753</v>
      </c>
      <c r="S671" s="10">
        <f>CHOOSE(CONTROL!$C$42, 32.7477, 32.7477) * CHOOSE(CONTROL!$C$21, $C$9, 100%, $E$9)</f>
        <v>32.747700000000002</v>
      </c>
      <c r="T6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57">
        <f>(1000*CHOOSE(CONTROL!$C$42, 695, 695)*CHOOSE(CONTROL!$C$42, 0.5599, 0.5599)*CHOOSE(CONTROL!$C$42, 30, 30))/1000000</f>
        <v>11.673914999999997</v>
      </c>
      <c r="V671" s="57">
        <f>(1000*CHOOSE(CONTROL!$C$42, 500, 500)*CHOOSE(CONTROL!$C$42, 0.275, 0.275)*CHOOSE(CONTROL!$C$42, 30, 30))/1000000</f>
        <v>4.125</v>
      </c>
      <c r="W671" s="57">
        <f>(1000*CHOOSE(CONTROL!$C$42, 0.1146, 0.1146)*CHOOSE(CONTROL!$C$42, 121.5, 121.5)*CHOOSE(CONTROL!$C$42, 30, 30))/1000000</f>
        <v>0.417717</v>
      </c>
      <c r="X671" s="57">
        <f>(30*0.1790888*100000/1000000)+(30*0.2374*100000/1000000)</f>
        <v>1.2494664</v>
      </c>
      <c r="Y671" s="57"/>
      <c r="Z671" s="10"/>
      <c r="AA671" s="56"/>
      <c r="AB671" s="50">
        <f>(B671*122.58+C671*297.941+D671*89.177+E671*40.302+F671*40+G671*160+H671*0+I671*100+J671*300)/(122.58+297.941+89.177+40.302+0+40+160+100+300)</f>
        <v>33.733780039217393</v>
      </c>
      <c r="AC671" s="45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33.435758992805759</v>
      </c>
    </row>
    <row r="672" spans="1:29" ht="15.75" x14ac:dyDescent="0.25">
      <c r="A672" s="13">
        <v>61362</v>
      </c>
      <c r="B672" s="10">
        <f>CHOOSE(CONTROL!$C$42, 36.0236, 36.0236) * CHOOSE(CONTROL!$C$21, $C$9, 100%, $E$9)</f>
        <v>36.023600000000002</v>
      </c>
      <c r="C672" s="10">
        <f>CHOOSE(CONTROL!$C$42, 36.0285, 36.0285) * CHOOSE(CONTROL!$C$21, $C$9, 100%, $E$9)</f>
        <v>36.028500000000001</v>
      </c>
      <c r="D672" s="10">
        <f>CHOOSE(CONTROL!$C$42, 36.089, 36.089) * CHOOSE(CONTROL!$C$21, $C$9, 100%, $E$9)</f>
        <v>36.088999999999999</v>
      </c>
      <c r="E672" s="10">
        <f>CHOOSE(CONTROL!$C$42, 36.1228, 36.1228) * CHOOSE(CONTROL!$C$21, $C$9, 100%, $E$9)</f>
        <v>36.122799999999998</v>
      </c>
      <c r="F672" s="10">
        <f>CHOOSE(CONTROL!$C$42, 36.021, 36.021)*CHOOSE(CONTROL!$C$21, $C$9, 100%, $E$9)</f>
        <v>36.021000000000001</v>
      </c>
      <c r="G672" s="10">
        <f>CHOOSE(CONTROL!$C$42, 36.0367, 36.0367)*CHOOSE(CONTROL!$C$21, $C$9, 100%, $E$9)</f>
        <v>36.036700000000003</v>
      </c>
      <c r="H672" s="10">
        <f>CHOOSE(CONTROL!$C$42, 36.112, 36.112) * CHOOSE(CONTROL!$C$21, $C$9, 100%, $E$9)</f>
        <v>36.112000000000002</v>
      </c>
      <c r="I672" s="10">
        <f>CHOOSE(CONTROL!$C$42, 36.0361, 36.0361)* CHOOSE(CONTROL!$C$21, $C$9, 100%, $E$9)</f>
        <v>36.036099999999998</v>
      </c>
      <c r="J672" s="10">
        <f>CHOOSE(CONTROL!$C$42, 36.014, 36.014)* CHOOSE(CONTROL!$C$21, $C$9, 100%, $E$9)</f>
        <v>36.014000000000003</v>
      </c>
      <c r="K672" s="53">
        <f>CHOOSE(CONTROL!$C$42, 36.0322, 36.0322) * CHOOSE(CONTROL!$C$21, $C$9, 100%, $E$9)</f>
        <v>36.032200000000003</v>
      </c>
      <c r="L672" s="10">
        <f>CHOOSE(CONTROL!$C$42, 36.699, 36.699) * CHOOSE(CONTROL!$C$21, $C$9, 100%, $E$9)</f>
        <v>36.698999999999998</v>
      </c>
      <c r="M672" s="10">
        <f>CHOOSE(CONTROL!$C$42, 35.6644, 35.6644) * CHOOSE(CONTROL!$C$21, $C$9, 100%, $E$9)</f>
        <v>35.664400000000001</v>
      </c>
      <c r="N672" s="10">
        <f>CHOOSE(CONTROL!$C$42, 35.68, 35.68) * CHOOSE(CONTROL!$C$21, $C$9, 100%, $E$9)</f>
        <v>35.68</v>
      </c>
      <c r="O672" s="10">
        <f>CHOOSE(CONTROL!$C$42, 35.7614, 35.7614) * CHOOSE(CONTROL!$C$21, $C$9, 100%, $E$9)</f>
        <v>35.761400000000002</v>
      </c>
      <c r="P672" s="10">
        <f>CHOOSE(CONTROL!$C$42, 35.6863, 35.6863) * CHOOSE(CONTROL!$C$21, $C$9, 100%, $E$9)</f>
        <v>35.686300000000003</v>
      </c>
      <c r="Q672" s="10">
        <f>CHOOSE(CONTROL!$C$42, 36.3567, 36.3567) * CHOOSE(CONTROL!$C$21, $C$9, 100%, $E$9)</f>
        <v>36.356699999999996</v>
      </c>
      <c r="R672" s="10">
        <f>CHOOSE(CONTROL!$C$42, 37.0346, 37.0346) * CHOOSE(CONTROL!$C$21, $C$9, 100%, $E$9)</f>
        <v>37.034599999999998</v>
      </c>
      <c r="S672" s="10">
        <f>CHOOSE(CONTROL!$C$42, 34.9804, 34.9804) * CHOOSE(CONTROL!$C$21, $C$9, 100%, $E$9)</f>
        <v>34.980400000000003</v>
      </c>
      <c r="T6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57">
        <f>(1000*CHOOSE(CONTROL!$C$42, 695, 695)*CHOOSE(CONTROL!$C$42, 0.5599, 0.5599)*CHOOSE(CONTROL!$C$42, 31, 31))/1000000</f>
        <v>12.063045499999998</v>
      </c>
      <c r="V672" s="57">
        <f>(1000*CHOOSE(CONTROL!$C$42, 500, 500)*CHOOSE(CONTROL!$C$42, 0.275, 0.275)*CHOOSE(CONTROL!$C$42, 31, 31))/1000000</f>
        <v>4.2625000000000002</v>
      </c>
      <c r="W672" s="57">
        <f>(1000*CHOOSE(CONTROL!$C$42, 0.1146, 0.1146)*CHOOSE(CONTROL!$C$42, 121.5, 121.5)*CHOOSE(CONTROL!$C$42, 31, 31))/1000000</f>
        <v>0.43164089999999994</v>
      </c>
      <c r="X672" s="57">
        <f>(31*0.1790888*100000/1000000)+(31*0.2374*100000/1000000)</f>
        <v>1.2911152800000001</v>
      </c>
      <c r="Y672" s="57"/>
      <c r="Z672" s="10"/>
      <c r="AA672" s="56"/>
      <c r="AB672" s="50">
        <f>(B672*122.58+C672*297.941+D672*89.177+E672*40.302+F672*40+G672*160+H672*0+I672*100+J672*300)/(122.58+297.941+89.177+40.302+0+40+160+100+300)</f>
        <v>36.033732213130435</v>
      </c>
      <c r="AC672" s="45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35.712412949640296</v>
      </c>
    </row>
    <row r="673" spans="1:29" ht="15.75" x14ac:dyDescent="0.25">
      <c r="A673" s="13">
        <v>61393</v>
      </c>
      <c r="B673" s="10">
        <f>CHOOSE(CONTROL!$C$42, 38.975, 38.975) * CHOOSE(CONTROL!$C$21, $C$9, 100%, $E$9)</f>
        <v>38.975000000000001</v>
      </c>
      <c r="C673" s="10">
        <f>CHOOSE(CONTROL!$C$42, 38.98, 38.98) * CHOOSE(CONTROL!$C$21, $C$9, 100%, $E$9)</f>
        <v>38.979999999999997</v>
      </c>
      <c r="D673" s="10">
        <f>CHOOSE(CONTROL!$C$42, 39.037, 39.037) * CHOOSE(CONTROL!$C$21, $C$9, 100%, $E$9)</f>
        <v>39.036999999999999</v>
      </c>
      <c r="E673" s="10">
        <f>CHOOSE(CONTROL!$C$42, 39.0708, 39.0708) * CHOOSE(CONTROL!$C$21, $C$9, 100%, $E$9)</f>
        <v>39.070799999999998</v>
      </c>
      <c r="F673" s="10">
        <f>CHOOSE(CONTROL!$C$42, 38.9728, 38.9728)*CHOOSE(CONTROL!$C$21, $C$9, 100%, $E$9)</f>
        <v>38.972799999999999</v>
      </c>
      <c r="G673" s="10">
        <f>CHOOSE(CONTROL!$C$42, 38.9874, 38.9874)*CHOOSE(CONTROL!$C$21, $C$9, 100%, $E$9)</f>
        <v>38.987400000000001</v>
      </c>
      <c r="H673" s="10">
        <f>CHOOSE(CONTROL!$C$42, 39.06, 39.06) * CHOOSE(CONTROL!$C$21, $C$9, 100%, $E$9)</f>
        <v>39.06</v>
      </c>
      <c r="I673" s="10">
        <f>CHOOSE(CONTROL!$C$42, 38.9858, 38.9858)* CHOOSE(CONTROL!$C$21, $C$9, 100%, $E$9)</f>
        <v>38.985799999999998</v>
      </c>
      <c r="J673" s="10">
        <f>CHOOSE(CONTROL!$C$42, 38.9658, 38.9658)* CHOOSE(CONTROL!$C$21, $C$9, 100%, $E$9)</f>
        <v>38.965800000000002</v>
      </c>
      <c r="K673" s="53">
        <f>CHOOSE(CONTROL!$C$42, 38.9819, 38.9819) * CHOOSE(CONTROL!$C$21, $C$9, 100%, $E$9)</f>
        <v>38.981900000000003</v>
      </c>
      <c r="L673" s="10">
        <f>CHOOSE(CONTROL!$C$42, 39.647, 39.647) * CHOOSE(CONTROL!$C$21, $C$9, 100%, $E$9)</f>
        <v>39.646999999999998</v>
      </c>
      <c r="M673" s="10">
        <f>CHOOSE(CONTROL!$C$42, 38.5864, 38.5864) * CHOOSE(CONTROL!$C$21, $C$9, 100%, $E$9)</f>
        <v>38.586399999999998</v>
      </c>
      <c r="N673" s="10">
        <f>CHOOSE(CONTROL!$C$42, 38.6009, 38.6009) * CHOOSE(CONTROL!$C$21, $C$9, 100%, $E$9)</f>
        <v>38.600900000000003</v>
      </c>
      <c r="O673" s="10">
        <f>CHOOSE(CONTROL!$C$42, 38.6796, 38.6796) * CHOOSE(CONTROL!$C$21, $C$9, 100%, $E$9)</f>
        <v>38.679600000000001</v>
      </c>
      <c r="P673" s="10">
        <f>CHOOSE(CONTROL!$C$42, 38.6062, 38.6062) * CHOOSE(CONTROL!$C$21, $C$9, 100%, $E$9)</f>
        <v>38.606200000000001</v>
      </c>
      <c r="Q673" s="10">
        <f>CHOOSE(CONTROL!$C$42, 39.2749, 39.2749) * CHOOSE(CONTROL!$C$21, $C$9, 100%, $E$9)</f>
        <v>39.274900000000002</v>
      </c>
      <c r="R673" s="10">
        <f>CHOOSE(CONTROL!$C$42, 39.9601, 39.9601) * CHOOSE(CONTROL!$C$21, $C$9, 100%, $E$9)</f>
        <v>39.960099999999997</v>
      </c>
      <c r="S673" s="10">
        <f>CHOOSE(CONTROL!$C$42, 37.8465, 37.8465) * CHOOSE(CONTROL!$C$21, $C$9, 100%, $E$9)</f>
        <v>37.846499999999999</v>
      </c>
      <c r="T6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57">
        <f>(1000*CHOOSE(CONTROL!$C$42, 695, 695)*CHOOSE(CONTROL!$C$42, 0.5599, 0.5599)*CHOOSE(CONTROL!$C$42, 31, 31))/1000000</f>
        <v>12.063045499999998</v>
      </c>
      <c r="V673" s="57">
        <f>(1000*CHOOSE(CONTROL!$C$42, 500, 500)*CHOOSE(CONTROL!$C$42, 0.275, 0.275)*CHOOSE(CONTROL!$C$42, 31, 31))/1000000</f>
        <v>4.2625000000000002</v>
      </c>
      <c r="W673" s="57">
        <f>(1000*CHOOSE(CONTROL!$C$42, 0.1146, 0.1146)*CHOOSE(CONTROL!$C$42, 121.5, 121.5)*CHOOSE(CONTROL!$C$42, 31, 31))/1000000</f>
        <v>0.43164089999999994</v>
      </c>
      <c r="X673" s="57">
        <f>(31*0.1790888*100000/1000000)+(31*0.2374*100000/1000000)</f>
        <v>1.2911152800000001</v>
      </c>
      <c r="Y673" s="57"/>
      <c r="Z673" s="10"/>
      <c r="AA673" s="56"/>
      <c r="AB673" s="50">
        <f>(B673*122.58+C673*297.941+D673*89.177+E673*40.302+F673*40+G673*160+H673*0+I673*100+J673*300)/(122.58+297.941+89.177+40.302+0+40+160+100+300)</f>
        <v>38.984648357043483</v>
      </c>
      <c r="AC673" s="45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38.63232517985611</v>
      </c>
    </row>
    <row r="674" spans="1:29" ht="15.75" x14ac:dyDescent="0.25">
      <c r="A674" s="13">
        <v>61422</v>
      </c>
      <c r="B674" s="10">
        <f>CHOOSE(CONTROL!$C$42, 39.6688, 39.6688) * CHOOSE(CONTROL!$C$21, $C$9, 100%, $E$9)</f>
        <v>39.668799999999997</v>
      </c>
      <c r="C674" s="10">
        <f>CHOOSE(CONTROL!$C$42, 39.6737, 39.6737) * CHOOSE(CONTROL!$C$21, $C$9, 100%, $E$9)</f>
        <v>39.673699999999997</v>
      </c>
      <c r="D674" s="10">
        <f>CHOOSE(CONTROL!$C$42, 39.7308, 39.7308) * CHOOSE(CONTROL!$C$21, $C$9, 100%, $E$9)</f>
        <v>39.730800000000002</v>
      </c>
      <c r="E674" s="10">
        <f>CHOOSE(CONTROL!$C$42, 39.7646, 39.7646) * CHOOSE(CONTROL!$C$21, $C$9, 100%, $E$9)</f>
        <v>39.764600000000002</v>
      </c>
      <c r="F674" s="10">
        <f>CHOOSE(CONTROL!$C$42, 39.6667, 39.6667)*CHOOSE(CONTROL!$C$21, $C$9, 100%, $E$9)</f>
        <v>39.666699999999999</v>
      </c>
      <c r="G674" s="10">
        <f>CHOOSE(CONTROL!$C$42, 39.6813, 39.6813)*CHOOSE(CONTROL!$C$21, $C$9, 100%, $E$9)</f>
        <v>39.6813</v>
      </c>
      <c r="H674" s="10">
        <f>CHOOSE(CONTROL!$C$42, 39.7538, 39.7538) * CHOOSE(CONTROL!$C$21, $C$9, 100%, $E$9)</f>
        <v>39.753799999999998</v>
      </c>
      <c r="I674" s="10">
        <f>CHOOSE(CONTROL!$C$42, 39.6796, 39.6796)* CHOOSE(CONTROL!$C$21, $C$9, 100%, $E$9)</f>
        <v>39.679600000000001</v>
      </c>
      <c r="J674" s="10">
        <f>CHOOSE(CONTROL!$C$42, 39.6597, 39.6597)* CHOOSE(CONTROL!$C$21, $C$9, 100%, $E$9)</f>
        <v>39.659700000000001</v>
      </c>
      <c r="K674" s="53">
        <f>CHOOSE(CONTROL!$C$42, 39.6757, 39.6757) * CHOOSE(CONTROL!$C$21, $C$9, 100%, $E$9)</f>
        <v>39.675699999999999</v>
      </c>
      <c r="L674" s="10">
        <f>CHOOSE(CONTROL!$C$42, 40.3408, 40.3408) * CHOOSE(CONTROL!$C$21, $C$9, 100%, $E$9)</f>
        <v>40.340800000000002</v>
      </c>
      <c r="M674" s="10">
        <f>CHOOSE(CONTROL!$C$42, 39.2733, 39.2733) * CHOOSE(CONTROL!$C$21, $C$9, 100%, $E$9)</f>
        <v>39.273299999999999</v>
      </c>
      <c r="N674" s="10">
        <f>CHOOSE(CONTROL!$C$42, 39.2878, 39.2878) * CHOOSE(CONTROL!$C$21, $C$9, 100%, $E$9)</f>
        <v>39.287799999999997</v>
      </c>
      <c r="O674" s="10">
        <f>CHOOSE(CONTROL!$C$42, 39.3664, 39.3664) * CHOOSE(CONTROL!$C$21, $C$9, 100%, $E$9)</f>
        <v>39.366399999999999</v>
      </c>
      <c r="P674" s="10">
        <f>CHOOSE(CONTROL!$C$42, 39.293, 39.293) * CHOOSE(CONTROL!$C$21, $C$9, 100%, $E$9)</f>
        <v>39.292999999999999</v>
      </c>
      <c r="Q674" s="10">
        <f>CHOOSE(CONTROL!$C$42, 39.9617, 39.9617) * CHOOSE(CONTROL!$C$21, $C$9, 100%, $E$9)</f>
        <v>39.9617</v>
      </c>
      <c r="R674" s="10">
        <f>CHOOSE(CONTROL!$C$42, 40.6486, 40.6486) * CHOOSE(CONTROL!$C$21, $C$9, 100%, $E$9)</f>
        <v>40.648600000000002</v>
      </c>
      <c r="S674" s="10">
        <f>CHOOSE(CONTROL!$C$42, 38.5202, 38.5202) * CHOOSE(CONTROL!$C$21, $C$9, 100%, $E$9)</f>
        <v>38.520200000000003</v>
      </c>
      <c r="T67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74" s="57">
        <f>(1000*CHOOSE(CONTROL!$C$42, 695, 695)*CHOOSE(CONTROL!$C$42, 0.5599, 0.5599)*CHOOSE(CONTROL!$C$42, 29, 29))/1000000</f>
        <v>11.284784499999999</v>
      </c>
      <c r="V674" s="57">
        <f>(1000*CHOOSE(CONTROL!$C$42, 500, 500)*CHOOSE(CONTROL!$C$42, 0.275, 0.275)*CHOOSE(CONTROL!$C$42, 29, 29))/1000000</f>
        <v>3.9874999999999998</v>
      </c>
      <c r="W674" s="57">
        <f>(1000*CHOOSE(CONTROL!$C$42, 0.1146, 0.1146)*CHOOSE(CONTROL!$C$42, 121.5, 121.5)*CHOOSE(CONTROL!$C$42, 29, 29))/1000000</f>
        <v>0.40379309999999996</v>
      </c>
      <c r="X674" s="57">
        <f>(29*0.1790888*100000/1000000)+(29*0.2374*100000/1000000)</f>
        <v>1.2078175199999999</v>
      </c>
      <c r="Y674" s="57"/>
      <c r="Z674" s="10"/>
      <c r="AA674" s="56"/>
      <c r="AB674" s="50">
        <f>(B674*122.58+C674*297.941+D674*89.177+E674*40.302+F674*40+G674*160+H674*0+I674*100+J674*300)/(122.58+297.941+89.177+40.302+0+40+160+100+300)</f>
        <v>39.678465927391294</v>
      </c>
      <c r="AC674" s="45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39.319165467625901</v>
      </c>
    </row>
    <row r="675" spans="1:29" ht="15.75" x14ac:dyDescent="0.25">
      <c r="A675" s="13">
        <v>61453</v>
      </c>
      <c r="B675" s="10">
        <f>CHOOSE(CONTROL!$C$42, 38.5426, 38.5426) * CHOOSE(CONTROL!$C$21, $C$9, 100%, $E$9)</f>
        <v>38.5426</v>
      </c>
      <c r="C675" s="10">
        <f>CHOOSE(CONTROL!$C$42, 38.5476, 38.5476) * CHOOSE(CONTROL!$C$21, $C$9, 100%, $E$9)</f>
        <v>38.547600000000003</v>
      </c>
      <c r="D675" s="10">
        <f>CHOOSE(CONTROL!$C$42, 38.6046, 38.6046) * CHOOSE(CONTROL!$C$21, $C$9, 100%, $E$9)</f>
        <v>38.604599999999998</v>
      </c>
      <c r="E675" s="10">
        <f>CHOOSE(CONTROL!$C$42, 38.6384, 38.6384) * CHOOSE(CONTROL!$C$21, $C$9, 100%, $E$9)</f>
        <v>38.638399999999997</v>
      </c>
      <c r="F675" s="10">
        <f>CHOOSE(CONTROL!$C$42, 38.5404, 38.5404)*CHOOSE(CONTROL!$C$21, $C$9, 100%, $E$9)</f>
        <v>38.540399999999998</v>
      </c>
      <c r="G675" s="10">
        <f>CHOOSE(CONTROL!$C$42, 38.555, 38.555)*CHOOSE(CONTROL!$C$21, $C$9, 100%, $E$9)</f>
        <v>38.555</v>
      </c>
      <c r="H675" s="10">
        <f>CHOOSE(CONTROL!$C$42, 38.6276, 38.6276) * CHOOSE(CONTROL!$C$21, $C$9, 100%, $E$9)</f>
        <v>38.627600000000001</v>
      </c>
      <c r="I675" s="10">
        <f>CHOOSE(CONTROL!$C$42, 38.5534, 38.5534)* CHOOSE(CONTROL!$C$21, $C$9, 100%, $E$9)</f>
        <v>38.553400000000003</v>
      </c>
      <c r="J675" s="10">
        <f>CHOOSE(CONTROL!$C$42, 38.5334, 38.5334)* CHOOSE(CONTROL!$C$21, $C$9, 100%, $E$9)</f>
        <v>38.5334</v>
      </c>
      <c r="K675" s="53">
        <f>CHOOSE(CONTROL!$C$42, 38.5495, 38.5495) * CHOOSE(CONTROL!$C$21, $C$9, 100%, $E$9)</f>
        <v>38.549500000000002</v>
      </c>
      <c r="L675" s="10">
        <f>CHOOSE(CONTROL!$C$42, 39.2146, 39.2146) * CHOOSE(CONTROL!$C$21, $C$9, 100%, $E$9)</f>
        <v>39.214599999999997</v>
      </c>
      <c r="M675" s="10">
        <f>CHOOSE(CONTROL!$C$42, 38.1584, 38.1584) * CHOOSE(CONTROL!$C$21, $C$9, 100%, $E$9)</f>
        <v>38.1584</v>
      </c>
      <c r="N675" s="10">
        <f>CHOOSE(CONTROL!$C$42, 38.1729, 38.1729) * CHOOSE(CONTROL!$C$21, $C$9, 100%, $E$9)</f>
        <v>38.172899999999998</v>
      </c>
      <c r="O675" s="10">
        <f>CHOOSE(CONTROL!$C$42, 38.2516, 38.2516) * CHOOSE(CONTROL!$C$21, $C$9, 100%, $E$9)</f>
        <v>38.251600000000003</v>
      </c>
      <c r="P675" s="10">
        <f>CHOOSE(CONTROL!$C$42, 38.1782, 38.1782) * CHOOSE(CONTROL!$C$21, $C$9, 100%, $E$9)</f>
        <v>38.178199999999997</v>
      </c>
      <c r="Q675" s="10">
        <f>CHOOSE(CONTROL!$C$42, 38.8469, 38.8469) * CHOOSE(CONTROL!$C$21, $C$9, 100%, $E$9)</f>
        <v>38.846899999999998</v>
      </c>
      <c r="R675" s="10">
        <f>CHOOSE(CONTROL!$C$42, 39.531, 39.531) * CHOOSE(CONTROL!$C$21, $C$9, 100%, $E$9)</f>
        <v>39.530999999999999</v>
      </c>
      <c r="S675" s="10">
        <f>CHOOSE(CONTROL!$C$42, 37.4266, 37.4266) * CHOOSE(CONTROL!$C$21, $C$9, 100%, $E$9)</f>
        <v>37.426600000000001</v>
      </c>
      <c r="T6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57">
        <f>(1000*CHOOSE(CONTROL!$C$42, 695, 695)*CHOOSE(CONTROL!$C$42, 0.5599, 0.5599)*CHOOSE(CONTROL!$C$42, 31, 31))/1000000</f>
        <v>12.063045499999998</v>
      </c>
      <c r="V675" s="57">
        <f>(1000*CHOOSE(CONTROL!$C$42, 500, 500)*CHOOSE(CONTROL!$C$42, 0.275, 0.275)*CHOOSE(CONTROL!$C$42, 31, 31))/1000000</f>
        <v>4.2625000000000002</v>
      </c>
      <c r="W675" s="57">
        <f>(1000*CHOOSE(CONTROL!$C$42, 0.1146, 0.1146)*CHOOSE(CONTROL!$C$42, 121.5, 121.5)*CHOOSE(CONTROL!$C$42, 31, 31))/1000000</f>
        <v>0.43164089999999994</v>
      </c>
      <c r="X675" s="57">
        <f>(31*0.1790888*100000/1000000)+(31*0.2374*100000/1000000)</f>
        <v>1.2911152800000001</v>
      </c>
      <c r="Y675" s="57"/>
      <c r="Z675" s="10"/>
      <c r="AA675" s="56"/>
      <c r="AB675" s="50">
        <f>(B675*122.58+C675*297.941+D675*89.177+E675*40.302+F675*40+G675*160+H675*0+I675*100+J675*300)/(122.58+297.941+89.177+40.302+0+40+160+100+300)</f>
        <v>38.552248357043474</v>
      </c>
      <c r="AC675" s="45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38.20432517985612</v>
      </c>
    </row>
    <row r="676" spans="1:29" ht="15.75" x14ac:dyDescent="0.25">
      <c r="A676" s="13">
        <v>61483</v>
      </c>
      <c r="B676" s="10">
        <f>CHOOSE(CONTROL!$C$42, 38.4284, 38.4284) * CHOOSE(CONTROL!$C$21, $C$9, 100%, $E$9)</f>
        <v>38.428400000000003</v>
      </c>
      <c r="C676" s="10">
        <f>CHOOSE(CONTROL!$C$42, 38.4328, 38.4328) * CHOOSE(CONTROL!$C$21, $C$9, 100%, $E$9)</f>
        <v>38.4328</v>
      </c>
      <c r="D676" s="10">
        <f>CHOOSE(CONTROL!$C$42, 38.6386, 38.6386) * CHOOSE(CONTROL!$C$21, $C$9, 100%, $E$9)</f>
        <v>38.638599999999997</v>
      </c>
      <c r="E676" s="10">
        <f>CHOOSE(CONTROL!$C$42, 38.6704, 38.6704) * CHOOSE(CONTROL!$C$21, $C$9, 100%, $E$9)</f>
        <v>38.670400000000001</v>
      </c>
      <c r="F676" s="10">
        <f>CHOOSE(CONTROL!$C$42, 38.4052, 38.4052)*CHOOSE(CONTROL!$C$21, $C$9, 100%, $E$9)</f>
        <v>38.405200000000001</v>
      </c>
      <c r="G676" s="10">
        <f>CHOOSE(CONTROL!$C$42, 38.4197, 38.4197)*CHOOSE(CONTROL!$C$21, $C$9, 100%, $E$9)</f>
        <v>38.419699999999999</v>
      </c>
      <c r="H676" s="10">
        <f>CHOOSE(CONTROL!$C$42, 38.6602, 38.6602) * CHOOSE(CONTROL!$C$21, $C$9, 100%, $E$9)</f>
        <v>38.660200000000003</v>
      </c>
      <c r="I676" s="10">
        <f>CHOOSE(CONTROL!$C$42, 38.4298, 38.4298)* CHOOSE(CONTROL!$C$21, $C$9, 100%, $E$9)</f>
        <v>38.4298</v>
      </c>
      <c r="J676" s="10">
        <f>CHOOSE(CONTROL!$C$42, 38.3982, 38.3982)* CHOOSE(CONTROL!$C$21, $C$9, 100%, $E$9)</f>
        <v>38.398200000000003</v>
      </c>
      <c r="K676" s="53">
        <f>CHOOSE(CONTROL!$C$42, 38.4259, 38.4259) * CHOOSE(CONTROL!$C$21, $C$9, 100%, $E$9)</f>
        <v>38.425899999999999</v>
      </c>
      <c r="L676" s="10">
        <f>CHOOSE(CONTROL!$C$42, 39.2472, 39.2472) * CHOOSE(CONTROL!$C$21, $C$9, 100%, $E$9)</f>
        <v>39.247199999999999</v>
      </c>
      <c r="M676" s="10">
        <f>CHOOSE(CONTROL!$C$42, 38.0245, 38.0245) * CHOOSE(CONTROL!$C$21, $C$9, 100%, $E$9)</f>
        <v>38.024500000000003</v>
      </c>
      <c r="N676" s="10">
        <f>CHOOSE(CONTROL!$C$42, 38.0389, 38.0389) * CHOOSE(CONTROL!$C$21, $C$9, 100%, $E$9)</f>
        <v>38.038899999999998</v>
      </c>
      <c r="O676" s="10">
        <f>CHOOSE(CONTROL!$C$42, 38.2839, 38.2839) * CHOOSE(CONTROL!$C$21, $C$9, 100%, $E$9)</f>
        <v>38.283900000000003</v>
      </c>
      <c r="P676" s="10">
        <f>CHOOSE(CONTROL!$C$42, 38.0559, 38.0559) * CHOOSE(CONTROL!$C$21, $C$9, 100%, $E$9)</f>
        <v>38.055900000000001</v>
      </c>
      <c r="Q676" s="10">
        <f>CHOOSE(CONTROL!$C$42, 38.8792, 38.8792) * CHOOSE(CONTROL!$C$21, $C$9, 100%, $E$9)</f>
        <v>38.879199999999997</v>
      </c>
      <c r="R676" s="10">
        <f>CHOOSE(CONTROL!$C$42, 39.5634, 39.5634) * CHOOSE(CONTROL!$C$21, $C$9, 100%, $E$9)</f>
        <v>39.563400000000001</v>
      </c>
      <c r="S676" s="10">
        <f>CHOOSE(CONTROL!$C$42, 37.3149, 37.3149) * CHOOSE(CONTROL!$C$21, $C$9, 100%, $E$9)</f>
        <v>37.314900000000002</v>
      </c>
      <c r="T6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57">
        <f>(1000*CHOOSE(CONTROL!$C$42, 695, 695)*CHOOSE(CONTROL!$C$42, 0.5599, 0.5599)*CHOOSE(CONTROL!$C$42, 30, 30))/1000000</f>
        <v>11.673914999999997</v>
      </c>
      <c r="V676" s="57">
        <f>(1000*CHOOSE(CONTROL!$C$42, 500, 500)*CHOOSE(CONTROL!$C$42, 0.275, 0.275)*CHOOSE(CONTROL!$C$42, 30, 30))/1000000</f>
        <v>4.125</v>
      </c>
      <c r="W676" s="57">
        <f>(1000*CHOOSE(CONTROL!$C$42, 0.1146, 0.1146)*CHOOSE(CONTROL!$C$42, 121.5, 121.5)*CHOOSE(CONTROL!$C$42, 30, 30))/1000000</f>
        <v>0.417717</v>
      </c>
      <c r="X676" s="57">
        <f>(30*0.1790888*245000/1000000)+(30*0.2374*100000/1000000)</f>
        <v>2.0285026799999999</v>
      </c>
      <c r="Y676" s="57"/>
      <c r="Z676" s="10"/>
      <c r="AA676" s="56"/>
      <c r="AB676" s="50">
        <f>(B676*141.293+C676*267.993+D676*115.016+E676*89.698+F676*40+G676*185+H676*0+I676*100+J676*300)/(141.293+267.993+115.016+89.698+0+40+185+100+300)</f>
        <v>38.45713684293785</v>
      </c>
      <c r="AC676" s="45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38.147416546762592</v>
      </c>
    </row>
    <row r="677" spans="1:29" ht="15.75" x14ac:dyDescent="0.25">
      <c r="A677" s="13">
        <v>61514</v>
      </c>
      <c r="B677" s="10">
        <f>CHOOSE(CONTROL!$C$42, 38.7689, 38.7689) * CHOOSE(CONTROL!$C$21, $C$9, 100%, $E$9)</f>
        <v>38.768900000000002</v>
      </c>
      <c r="C677" s="10">
        <f>CHOOSE(CONTROL!$C$42, 38.7768, 38.7768) * CHOOSE(CONTROL!$C$21, $C$9, 100%, $E$9)</f>
        <v>38.776800000000001</v>
      </c>
      <c r="D677" s="10">
        <f>CHOOSE(CONTROL!$C$42, 38.9796, 38.9796) * CHOOSE(CONTROL!$C$21, $C$9, 100%, $E$9)</f>
        <v>38.979599999999998</v>
      </c>
      <c r="E677" s="10">
        <f>CHOOSE(CONTROL!$C$42, 39.0107, 39.0107) * CHOOSE(CONTROL!$C$21, $C$9, 100%, $E$9)</f>
        <v>39.0107</v>
      </c>
      <c r="F677" s="10">
        <f>CHOOSE(CONTROL!$C$42, 38.7446, 38.7446)*CHOOSE(CONTROL!$C$21, $C$9, 100%, $E$9)</f>
        <v>38.744599999999998</v>
      </c>
      <c r="G677" s="10">
        <f>CHOOSE(CONTROL!$C$42, 38.7597, 38.7597)*CHOOSE(CONTROL!$C$21, $C$9, 100%, $E$9)</f>
        <v>38.759700000000002</v>
      </c>
      <c r="H677" s="10">
        <f>CHOOSE(CONTROL!$C$42, 38.9993, 38.9993) * CHOOSE(CONTROL!$C$21, $C$9, 100%, $E$9)</f>
        <v>38.999299999999998</v>
      </c>
      <c r="I677" s="10">
        <f>CHOOSE(CONTROL!$C$42, 38.769, 38.769)* CHOOSE(CONTROL!$C$21, $C$9, 100%, $E$9)</f>
        <v>38.768999999999998</v>
      </c>
      <c r="J677" s="10">
        <f>CHOOSE(CONTROL!$C$42, 38.7376, 38.7376)* CHOOSE(CONTROL!$C$21, $C$9, 100%, $E$9)</f>
        <v>38.7376</v>
      </c>
      <c r="K677" s="53">
        <f>CHOOSE(CONTROL!$C$42, 38.7651, 38.7651) * CHOOSE(CONTROL!$C$21, $C$9, 100%, $E$9)</f>
        <v>38.765099999999997</v>
      </c>
      <c r="L677" s="10">
        <f>CHOOSE(CONTROL!$C$42, 39.5863, 39.5863) * CHOOSE(CONTROL!$C$21, $C$9, 100%, $E$9)</f>
        <v>39.586300000000001</v>
      </c>
      <c r="M677" s="10">
        <f>CHOOSE(CONTROL!$C$42, 38.3605, 38.3605) * CHOOSE(CONTROL!$C$21, $C$9, 100%, $E$9)</f>
        <v>38.360500000000002</v>
      </c>
      <c r="N677" s="10">
        <f>CHOOSE(CONTROL!$C$42, 38.3754, 38.3754) * CHOOSE(CONTROL!$C$21, $C$9, 100%, $E$9)</f>
        <v>38.375399999999999</v>
      </c>
      <c r="O677" s="10">
        <f>CHOOSE(CONTROL!$C$42, 38.6196, 38.6196) * CHOOSE(CONTROL!$C$21, $C$9, 100%, $E$9)</f>
        <v>38.619599999999998</v>
      </c>
      <c r="P677" s="10">
        <f>CHOOSE(CONTROL!$C$42, 38.3916, 38.3916) * CHOOSE(CONTROL!$C$21, $C$9, 100%, $E$9)</f>
        <v>38.391599999999997</v>
      </c>
      <c r="Q677" s="10">
        <f>CHOOSE(CONTROL!$C$42, 39.2149, 39.2149) * CHOOSE(CONTROL!$C$21, $C$9, 100%, $E$9)</f>
        <v>39.2149</v>
      </c>
      <c r="R677" s="10">
        <f>CHOOSE(CONTROL!$C$42, 39.8999, 39.8999) * CHOOSE(CONTROL!$C$21, $C$9, 100%, $E$9)</f>
        <v>39.899900000000002</v>
      </c>
      <c r="S677" s="10">
        <f>CHOOSE(CONTROL!$C$42, 37.6443, 37.6443) * CHOOSE(CONTROL!$C$21, $C$9, 100%, $E$9)</f>
        <v>37.644300000000001</v>
      </c>
      <c r="T6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57">
        <f>(1000*CHOOSE(CONTROL!$C$42, 695, 695)*CHOOSE(CONTROL!$C$42, 0.5599, 0.5599)*CHOOSE(CONTROL!$C$42, 31, 31))/1000000</f>
        <v>12.063045499999998</v>
      </c>
      <c r="V677" s="57">
        <f>(1000*CHOOSE(CONTROL!$C$42, 500, 500)*CHOOSE(CONTROL!$C$42, 0.275, 0.275)*CHOOSE(CONTROL!$C$42, 31, 31))/1000000</f>
        <v>4.2625000000000002</v>
      </c>
      <c r="W677" s="57">
        <f>(1000*CHOOSE(CONTROL!$C$42, 0.1146, 0.1146)*CHOOSE(CONTROL!$C$42, 121.5, 121.5)*CHOOSE(CONTROL!$C$42, 31, 31))/1000000</f>
        <v>0.43164089999999994</v>
      </c>
      <c r="X677" s="57">
        <f>(31*0.1790888*245000/1000000)+(31*0.2374*100000/1000000)</f>
        <v>2.0961194359999999</v>
      </c>
      <c r="Y677" s="57"/>
      <c r="Z677" s="10"/>
      <c r="AA677" s="56"/>
      <c r="AB677" s="50">
        <f>(B677*194.205+C677*267.466+D677*133.845+E677*53.484+F677*40+G677*185+H677*0+I677*100+J677*300)/(194.205+267.466+133.845+53.484+0+40+185+100+300)</f>
        <v>38.793383951412871</v>
      </c>
      <c r="AC677" s="45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38.483266187050361</v>
      </c>
    </row>
    <row r="678" spans="1:29" ht="15.75" x14ac:dyDescent="0.25">
      <c r="A678" s="13">
        <v>61544</v>
      </c>
      <c r="B678" s="10">
        <f>CHOOSE(CONTROL!$C$42, 39.8685, 39.8685) * CHOOSE(CONTROL!$C$21, $C$9, 100%, $E$9)</f>
        <v>39.868499999999997</v>
      </c>
      <c r="C678" s="10">
        <f>CHOOSE(CONTROL!$C$42, 39.8764, 39.8764) * CHOOSE(CONTROL!$C$21, $C$9, 100%, $E$9)</f>
        <v>39.876399999999997</v>
      </c>
      <c r="D678" s="10">
        <f>CHOOSE(CONTROL!$C$42, 40.0792, 40.0792) * CHOOSE(CONTROL!$C$21, $C$9, 100%, $E$9)</f>
        <v>40.0792</v>
      </c>
      <c r="E678" s="10">
        <f>CHOOSE(CONTROL!$C$42, 40.1103, 40.1103) * CHOOSE(CONTROL!$C$21, $C$9, 100%, $E$9)</f>
        <v>40.110300000000002</v>
      </c>
      <c r="F678" s="10">
        <f>CHOOSE(CONTROL!$C$42, 39.8447, 39.8447)*CHOOSE(CONTROL!$C$21, $C$9, 100%, $E$9)</f>
        <v>39.844700000000003</v>
      </c>
      <c r="G678" s="10">
        <f>CHOOSE(CONTROL!$C$42, 39.8599, 39.8599)*CHOOSE(CONTROL!$C$21, $C$9, 100%, $E$9)</f>
        <v>39.859900000000003</v>
      </c>
      <c r="H678" s="10">
        <f>CHOOSE(CONTROL!$C$42, 40.0989, 40.0989) * CHOOSE(CONTROL!$C$21, $C$9, 100%, $E$9)</f>
        <v>40.0989</v>
      </c>
      <c r="I678" s="10">
        <f>CHOOSE(CONTROL!$C$42, 39.8685, 39.8685)* CHOOSE(CONTROL!$C$21, $C$9, 100%, $E$9)</f>
        <v>39.868499999999997</v>
      </c>
      <c r="J678" s="10">
        <f>CHOOSE(CONTROL!$C$42, 39.8377, 39.8377)* CHOOSE(CONTROL!$C$21, $C$9, 100%, $E$9)</f>
        <v>39.837699999999998</v>
      </c>
      <c r="K678" s="53">
        <f>CHOOSE(CONTROL!$C$42, 39.8647, 39.8647) * CHOOSE(CONTROL!$C$21, $C$9, 100%, $E$9)</f>
        <v>39.864699999999999</v>
      </c>
      <c r="L678" s="10">
        <f>CHOOSE(CONTROL!$C$42, 40.6859, 40.6859) * CHOOSE(CONTROL!$C$21, $C$9, 100%, $E$9)</f>
        <v>40.685899999999997</v>
      </c>
      <c r="M678" s="10">
        <f>CHOOSE(CONTROL!$C$42, 39.4495, 39.4495) * CHOOSE(CONTROL!$C$21, $C$9, 100%, $E$9)</f>
        <v>39.4495</v>
      </c>
      <c r="N678" s="10">
        <f>CHOOSE(CONTROL!$C$42, 39.4645, 39.4645) * CHOOSE(CONTROL!$C$21, $C$9, 100%, $E$9)</f>
        <v>39.464500000000001</v>
      </c>
      <c r="O678" s="10">
        <f>CHOOSE(CONTROL!$C$42, 39.7081, 39.7081) * CHOOSE(CONTROL!$C$21, $C$9, 100%, $E$9)</f>
        <v>39.708100000000002</v>
      </c>
      <c r="P678" s="10">
        <f>CHOOSE(CONTROL!$C$42, 39.4801, 39.4801) * CHOOSE(CONTROL!$C$21, $C$9, 100%, $E$9)</f>
        <v>39.4801</v>
      </c>
      <c r="Q678" s="10">
        <f>CHOOSE(CONTROL!$C$42, 40.3034, 40.3034) * CHOOSE(CONTROL!$C$21, $C$9, 100%, $E$9)</f>
        <v>40.303400000000003</v>
      </c>
      <c r="R678" s="10">
        <f>CHOOSE(CONTROL!$C$42, 40.9911, 40.9911) * CHOOSE(CONTROL!$C$21, $C$9, 100%, $E$9)</f>
        <v>40.991100000000003</v>
      </c>
      <c r="S678" s="10">
        <f>CHOOSE(CONTROL!$C$42, 38.7121, 38.7121) * CHOOSE(CONTROL!$C$21, $C$9, 100%, $E$9)</f>
        <v>38.7121</v>
      </c>
      <c r="T6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57">
        <f>(1000*CHOOSE(CONTROL!$C$42, 695, 695)*CHOOSE(CONTROL!$C$42, 0.5599, 0.5599)*CHOOSE(CONTROL!$C$42, 30, 30))/1000000</f>
        <v>11.673914999999997</v>
      </c>
      <c r="V678" s="57">
        <f>(1000*CHOOSE(CONTROL!$C$42, 500, 500)*CHOOSE(CONTROL!$C$42, 0.275, 0.275)*CHOOSE(CONTROL!$C$42, 30, 30))/1000000</f>
        <v>4.125</v>
      </c>
      <c r="W678" s="57">
        <f>(1000*CHOOSE(CONTROL!$C$42, 0.1146, 0.1146)*CHOOSE(CONTROL!$C$42, 121.5, 121.5)*CHOOSE(CONTROL!$C$42, 30, 30))/1000000</f>
        <v>0.417717</v>
      </c>
      <c r="X678" s="57">
        <f>(30*0.1790888*245000/1000000)+(30*0.2374*100000/1000000)</f>
        <v>2.0285026799999999</v>
      </c>
      <c r="Y678" s="57"/>
      <c r="Z678" s="10"/>
      <c r="AA678" s="56"/>
      <c r="AB678" s="50">
        <f>(B678*194.205+C678*267.466+D678*133.845+E678*53.484+F678*40+G678*185+H678*0+I678*100+J678*300)/(194.205+267.466+133.845+53.484+0+40+185+100+300)</f>
        <v>39.893196667268441</v>
      </c>
      <c r="AC678" s="45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39.571973381294967</v>
      </c>
    </row>
    <row r="679" spans="1:29" ht="15.75" x14ac:dyDescent="0.25">
      <c r="A679" s="13">
        <v>61575</v>
      </c>
      <c r="B679" s="10">
        <f>CHOOSE(CONTROL!$C$42, 39.1037, 39.1037) * CHOOSE(CONTROL!$C$21, $C$9, 100%, $E$9)</f>
        <v>39.103700000000003</v>
      </c>
      <c r="C679" s="10">
        <f>CHOOSE(CONTROL!$C$42, 39.1117, 39.1117) * CHOOSE(CONTROL!$C$21, $C$9, 100%, $E$9)</f>
        <v>39.111699999999999</v>
      </c>
      <c r="D679" s="10">
        <f>CHOOSE(CONTROL!$C$42, 39.3144, 39.3144) * CHOOSE(CONTROL!$C$21, $C$9, 100%, $E$9)</f>
        <v>39.314399999999999</v>
      </c>
      <c r="E679" s="10">
        <f>CHOOSE(CONTROL!$C$42, 39.3455, 39.3455) * CHOOSE(CONTROL!$C$21, $C$9, 100%, $E$9)</f>
        <v>39.345500000000001</v>
      </c>
      <c r="F679" s="10">
        <f>CHOOSE(CONTROL!$C$42, 39.0805, 39.0805)*CHOOSE(CONTROL!$C$21, $C$9, 100%, $E$9)</f>
        <v>39.080500000000001</v>
      </c>
      <c r="G679" s="10">
        <f>CHOOSE(CONTROL!$C$42, 39.0958, 39.0958)*CHOOSE(CONTROL!$C$21, $C$9, 100%, $E$9)</f>
        <v>39.095799999999997</v>
      </c>
      <c r="H679" s="10">
        <f>CHOOSE(CONTROL!$C$42, 39.3342, 39.3342) * CHOOSE(CONTROL!$C$21, $C$9, 100%, $E$9)</f>
        <v>39.334200000000003</v>
      </c>
      <c r="I679" s="10">
        <f>CHOOSE(CONTROL!$C$42, 39.1038, 39.1038)* CHOOSE(CONTROL!$C$21, $C$9, 100%, $E$9)</f>
        <v>39.1038</v>
      </c>
      <c r="J679" s="10">
        <f>CHOOSE(CONTROL!$C$42, 39.0735, 39.0735)* CHOOSE(CONTROL!$C$21, $C$9, 100%, $E$9)</f>
        <v>39.073500000000003</v>
      </c>
      <c r="K679" s="53">
        <f>CHOOSE(CONTROL!$C$42, 39.0999, 39.0999) * CHOOSE(CONTROL!$C$21, $C$9, 100%, $E$9)</f>
        <v>39.099899999999998</v>
      </c>
      <c r="L679" s="10">
        <f>CHOOSE(CONTROL!$C$42, 39.9212, 39.9212) * CHOOSE(CONTROL!$C$21, $C$9, 100%, $E$9)</f>
        <v>39.921199999999999</v>
      </c>
      <c r="M679" s="10">
        <f>CHOOSE(CONTROL!$C$42, 38.693, 38.693) * CHOOSE(CONTROL!$C$21, $C$9, 100%, $E$9)</f>
        <v>38.692999999999998</v>
      </c>
      <c r="N679" s="10">
        <f>CHOOSE(CONTROL!$C$42, 38.7081, 38.7081) * CHOOSE(CONTROL!$C$21, $C$9, 100%, $E$9)</f>
        <v>38.708100000000002</v>
      </c>
      <c r="O679" s="10">
        <f>CHOOSE(CONTROL!$C$42, 38.951, 38.951) * CHOOSE(CONTROL!$C$21, $C$9, 100%, $E$9)</f>
        <v>38.951000000000001</v>
      </c>
      <c r="P679" s="10">
        <f>CHOOSE(CONTROL!$C$42, 38.723, 38.723) * CHOOSE(CONTROL!$C$21, $C$9, 100%, $E$9)</f>
        <v>38.722999999999999</v>
      </c>
      <c r="Q679" s="10">
        <f>CHOOSE(CONTROL!$C$42, 39.5463, 39.5463) * CHOOSE(CONTROL!$C$21, $C$9, 100%, $E$9)</f>
        <v>39.546300000000002</v>
      </c>
      <c r="R679" s="10">
        <f>CHOOSE(CONTROL!$C$42, 40.2322, 40.2322) * CHOOSE(CONTROL!$C$21, $C$9, 100%, $E$9)</f>
        <v>40.232199999999999</v>
      </c>
      <c r="S679" s="10">
        <f>CHOOSE(CONTROL!$C$42, 37.9694, 37.9694) * CHOOSE(CONTROL!$C$21, $C$9, 100%, $E$9)</f>
        <v>37.9694</v>
      </c>
      <c r="T6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57">
        <f>(1000*CHOOSE(CONTROL!$C$42, 695, 695)*CHOOSE(CONTROL!$C$42, 0.5599, 0.5599)*CHOOSE(CONTROL!$C$42, 31, 31))/1000000</f>
        <v>12.063045499999998</v>
      </c>
      <c r="V679" s="57">
        <f>(1000*CHOOSE(CONTROL!$C$42, 500, 500)*CHOOSE(CONTROL!$C$42, 0.275, 0.275)*CHOOSE(CONTROL!$C$42, 31, 31))/1000000</f>
        <v>4.2625000000000002</v>
      </c>
      <c r="W679" s="57">
        <f>(1000*CHOOSE(CONTROL!$C$42, 0.1146, 0.1146)*CHOOSE(CONTROL!$C$42, 121.5, 121.5)*CHOOSE(CONTROL!$C$42, 31, 31))/1000000</f>
        <v>0.43164089999999994</v>
      </c>
      <c r="X679" s="57">
        <f>(31*0.1790888*245000/1000000)+(31*0.2374*100000/1000000)</f>
        <v>2.0961194359999999</v>
      </c>
      <c r="Y679" s="57"/>
      <c r="Z679" s="10"/>
      <c r="AA679" s="56"/>
      <c r="AB679" s="50">
        <f>(B679*194.205+C679*267.466+D679*133.845+E679*53.484+F679*40+G679*185+H679*0+I679*100+J679*300)/(194.205+267.466+133.845+53.484+0+40+185+100+300)</f>
        <v>39.128687284693882</v>
      </c>
      <c r="AC679" s="45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38.815120863309353</v>
      </c>
    </row>
    <row r="680" spans="1:29" ht="15.75" x14ac:dyDescent="0.25">
      <c r="A680" s="13">
        <v>61606</v>
      </c>
      <c r="B680" s="10">
        <f>CHOOSE(CONTROL!$C$42, 37.1725, 37.1725) * CHOOSE(CONTROL!$C$21, $C$9, 100%, $E$9)</f>
        <v>37.172499999999999</v>
      </c>
      <c r="C680" s="10">
        <f>CHOOSE(CONTROL!$C$42, 37.1804, 37.1804) * CHOOSE(CONTROL!$C$21, $C$9, 100%, $E$9)</f>
        <v>37.180399999999999</v>
      </c>
      <c r="D680" s="10">
        <f>CHOOSE(CONTROL!$C$42, 37.3831, 37.3831) * CHOOSE(CONTROL!$C$21, $C$9, 100%, $E$9)</f>
        <v>37.383099999999999</v>
      </c>
      <c r="E680" s="10">
        <f>CHOOSE(CONTROL!$C$42, 37.4143, 37.4143) * CHOOSE(CONTROL!$C$21, $C$9, 100%, $E$9)</f>
        <v>37.414299999999997</v>
      </c>
      <c r="F680" s="10">
        <f>CHOOSE(CONTROL!$C$42, 37.1494, 37.1494)*CHOOSE(CONTROL!$C$21, $C$9, 100%, $E$9)</f>
        <v>37.1494</v>
      </c>
      <c r="G680" s="10">
        <f>CHOOSE(CONTROL!$C$42, 37.1647, 37.1647)*CHOOSE(CONTROL!$C$21, $C$9, 100%, $E$9)</f>
        <v>37.164700000000003</v>
      </c>
      <c r="H680" s="10">
        <f>CHOOSE(CONTROL!$C$42, 37.4029, 37.4029) * CHOOSE(CONTROL!$C$21, $C$9, 100%, $E$9)</f>
        <v>37.402900000000002</v>
      </c>
      <c r="I680" s="10">
        <f>CHOOSE(CONTROL!$C$42, 37.1725, 37.1725)* CHOOSE(CONTROL!$C$21, $C$9, 100%, $E$9)</f>
        <v>37.172499999999999</v>
      </c>
      <c r="J680" s="10">
        <f>CHOOSE(CONTROL!$C$42, 37.1424, 37.1424)* CHOOSE(CONTROL!$C$21, $C$9, 100%, $E$9)</f>
        <v>37.142400000000002</v>
      </c>
      <c r="K680" s="53">
        <f>CHOOSE(CONTROL!$C$42, 37.1686, 37.1686) * CHOOSE(CONTROL!$C$21, $C$9, 100%, $E$9)</f>
        <v>37.168599999999998</v>
      </c>
      <c r="L680" s="10">
        <f>CHOOSE(CONTROL!$C$42, 37.9899, 37.9899) * CHOOSE(CONTROL!$C$21, $C$9, 100%, $E$9)</f>
        <v>37.989899999999999</v>
      </c>
      <c r="M680" s="10">
        <f>CHOOSE(CONTROL!$C$42, 36.7814, 36.7814) * CHOOSE(CONTROL!$C$21, $C$9, 100%, $E$9)</f>
        <v>36.781399999999998</v>
      </c>
      <c r="N680" s="10">
        <f>CHOOSE(CONTROL!$C$42, 36.7966, 36.7966) * CHOOSE(CONTROL!$C$21, $C$9, 100%, $E$9)</f>
        <v>36.796599999999998</v>
      </c>
      <c r="O680" s="10">
        <f>CHOOSE(CONTROL!$C$42, 37.0393, 37.0393) * CHOOSE(CONTROL!$C$21, $C$9, 100%, $E$9)</f>
        <v>37.039299999999997</v>
      </c>
      <c r="P680" s="10">
        <f>CHOOSE(CONTROL!$C$42, 36.8112, 36.8112) * CHOOSE(CONTROL!$C$21, $C$9, 100%, $E$9)</f>
        <v>36.811199999999999</v>
      </c>
      <c r="Q680" s="10">
        <f>CHOOSE(CONTROL!$C$42, 37.6346, 37.6346) * CHOOSE(CONTROL!$C$21, $C$9, 100%, $E$9)</f>
        <v>37.634599999999999</v>
      </c>
      <c r="R680" s="10">
        <f>CHOOSE(CONTROL!$C$42, 38.3156, 38.3156) * CHOOSE(CONTROL!$C$21, $C$9, 100%, $E$9)</f>
        <v>38.315600000000003</v>
      </c>
      <c r="S680" s="10">
        <f>CHOOSE(CONTROL!$C$42, 36.0939, 36.0939) * CHOOSE(CONTROL!$C$21, $C$9, 100%, $E$9)</f>
        <v>36.093899999999998</v>
      </c>
      <c r="T6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57">
        <f>(1000*CHOOSE(CONTROL!$C$42, 695, 695)*CHOOSE(CONTROL!$C$42, 0.5599, 0.5599)*CHOOSE(CONTROL!$C$42, 31, 31))/1000000</f>
        <v>12.063045499999998</v>
      </c>
      <c r="V680" s="57">
        <f>(1000*CHOOSE(CONTROL!$C$42, 500, 500)*CHOOSE(CONTROL!$C$42, 0.275, 0.275)*CHOOSE(CONTROL!$C$42, 31, 31))/1000000</f>
        <v>4.2625000000000002</v>
      </c>
      <c r="W680" s="57">
        <f>(1000*CHOOSE(CONTROL!$C$42, 0.1146, 0.1146)*CHOOSE(CONTROL!$C$42, 121.5, 121.5)*CHOOSE(CONTROL!$C$42, 31, 31))/1000000</f>
        <v>0.43164089999999994</v>
      </c>
      <c r="X680" s="57">
        <f>(31*0.1790888*245000/1000000)+(31*0.2374*100000/1000000)</f>
        <v>2.0961194359999999</v>
      </c>
      <c r="Y680" s="57"/>
      <c r="Z680" s="10"/>
      <c r="AA680" s="56"/>
      <c r="AB680" s="50">
        <f>(B680*194.205+C680*267.466+D680*133.845+E680*53.484+F680*40+G680*185+H680*0+I680*100+J680*300)/(194.205+267.466+133.845+53.484+0+40+185+100+300)</f>
        <v>37.197489144113028</v>
      </c>
      <c r="AC680" s="45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36.903452517985606</v>
      </c>
    </row>
    <row r="681" spans="1:29" ht="15.75" x14ac:dyDescent="0.25">
      <c r="A681" s="13">
        <v>61636</v>
      </c>
      <c r="B681" s="10">
        <f>CHOOSE(CONTROL!$C$42, 34.8124, 34.8124) * CHOOSE(CONTROL!$C$21, $C$9, 100%, $E$9)</f>
        <v>34.812399999999997</v>
      </c>
      <c r="C681" s="10">
        <f>CHOOSE(CONTROL!$C$42, 34.8204, 34.8204) * CHOOSE(CONTROL!$C$21, $C$9, 100%, $E$9)</f>
        <v>34.820399999999999</v>
      </c>
      <c r="D681" s="10">
        <f>CHOOSE(CONTROL!$C$42, 35.0231, 35.0231) * CHOOSE(CONTROL!$C$21, $C$9, 100%, $E$9)</f>
        <v>35.023099999999999</v>
      </c>
      <c r="E681" s="10">
        <f>CHOOSE(CONTROL!$C$42, 35.0542, 35.0542) * CHOOSE(CONTROL!$C$21, $C$9, 100%, $E$9)</f>
        <v>35.054200000000002</v>
      </c>
      <c r="F681" s="10">
        <f>CHOOSE(CONTROL!$C$42, 34.7892, 34.7892)*CHOOSE(CONTROL!$C$21, $C$9, 100%, $E$9)</f>
        <v>34.789200000000001</v>
      </c>
      <c r="G681" s="10">
        <f>CHOOSE(CONTROL!$C$42, 34.8045, 34.8045)*CHOOSE(CONTROL!$C$21, $C$9, 100%, $E$9)</f>
        <v>34.804499999999997</v>
      </c>
      <c r="H681" s="10">
        <f>CHOOSE(CONTROL!$C$42, 35.0429, 35.0429) * CHOOSE(CONTROL!$C$21, $C$9, 100%, $E$9)</f>
        <v>35.042900000000003</v>
      </c>
      <c r="I681" s="10">
        <f>CHOOSE(CONTROL!$C$42, 34.8125, 34.8125)* CHOOSE(CONTROL!$C$21, $C$9, 100%, $E$9)</f>
        <v>34.8125</v>
      </c>
      <c r="J681" s="10">
        <f>CHOOSE(CONTROL!$C$42, 34.7822, 34.7822)* CHOOSE(CONTROL!$C$21, $C$9, 100%, $E$9)</f>
        <v>34.782200000000003</v>
      </c>
      <c r="K681" s="53">
        <f>CHOOSE(CONTROL!$C$42, 34.8086, 34.8086) * CHOOSE(CONTROL!$C$21, $C$9, 100%, $E$9)</f>
        <v>34.808599999999998</v>
      </c>
      <c r="L681" s="10">
        <f>CHOOSE(CONTROL!$C$42, 35.6299, 35.6299) * CHOOSE(CONTROL!$C$21, $C$9, 100%, $E$9)</f>
        <v>35.629899999999999</v>
      </c>
      <c r="M681" s="10">
        <f>CHOOSE(CONTROL!$C$42, 34.4451, 34.4451) * CHOOSE(CONTROL!$C$21, $C$9, 100%, $E$9)</f>
        <v>34.445099999999996</v>
      </c>
      <c r="N681" s="10">
        <f>CHOOSE(CONTROL!$C$42, 34.4602, 34.4602) * CHOOSE(CONTROL!$C$21, $C$9, 100%, $E$9)</f>
        <v>34.4602</v>
      </c>
      <c r="O681" s="10">
        <f>CHOOSE(CONTROL!$C$42, 34.703, 34.703) * CHOOSE(CONTROL!$C$21, $C$9, 100%, $E$9)</f>
        <v>34.703000000000003</v>
      </c>
      <c r="P681" s="10">
        <f>CHOOSE(CONTROL!$C$42, 34.475, 34.475) * CHOOSE(CONTROL!$C$21, $C$9, 100%, $E$9)</f>
        <v>34.475000000000001</v>
      </c>
      <c r="Q681" s="10">
        <f>CHOOSE(CONTROL!$C$42, 35.2983, 35.2983) * CHOOSE(CONTROL!$C$21, $C$9, 100%, $E$9)</f>
        <v>35.298299999999998</v>
      </c>
      <c r="R681" s="10">
        <f>CHOOSE(CONTROL!$C$42, 35.9736, 35.9736) * CHOOSE(CONTROL!$C$21, $C$9, 100%, $E$9)</f>
        <v>35.973599999999998</v>
      </c>
      <c r="S681" s="10">
        <f>CHOOSE(CONTROL!$C$42, 33.8021, 33.8021) * CHOOSE(CONTROL!$C$21, $C$9, 100%, $E$9)</f>
        <v>33.802100000000003</v>
      </c>
      <c r="T6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57">
        <f>(1000*CHOOSE(CONTROL!$C$42, 695, 695)*CHOOSE(CONTROL!$C$42, 0.5599, 0.5599)*CHOOSE(CONTROL!$C$42, 30, 30))/1000000</f>
        <v>11.673914999999997</v>
      </c>
      <c r="V681" s="57">
        <f>(1000*CHOOSE(CONTROL!$C$42, 500, 500)*CHOOSE(CONTROL!$C$42, 0.275, 0.275)*CHOOSE(CONTROL!$C$42, 30, 30))/1000000</f>
        <v>4.125</v>
      </c>
      <c r="W681" s="57">
        <f>(1000*CHOOSE(CONTROL!$C$42, 0.1146, 0.1146)*CHOOSE(CONTROL!$C$42, 121.5, 121.5)*CHOOSE(CONTROL!$C$42, 30, 30))/1000000</f>
        <v>0.417717</v>
      </c>
      <c r="X681" s="57">
        <f>(30*0.1790888*245000/1000000)+(30*0.2374*100000/1000000)</f>
        <v>2.0285026799999999</v>
      </c>
      <c r="Y681" s="57"/>
      <c r="Z681" s="10"/>
      <c r="AA681" s="56"/>
      <c r="AB681" s="50">
        <f>(B681*194.205+C681*267.466+D681*133.845+E681*53.484+F681*40+G681*185+H681*0+I681*100+J681*300)/(194.205+267.466+133.845+53.484+0+40+185+100+300)</f>
        <v>34.837387284693875</v>
      </c>
      <c r="AC681" s="45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34.567161151079134</v>
      </c>
    </row>
    <row r="682" spans="1:29" ht="15.75" x14ac:dyDescent="0.25">
      <c r="A682" s="13">
        <v>61667</v>
      </c>
      <c r="B682" s="10">
        <f>CHOOSE(CONTROL!$C$42, 34.1039, 34.1039) * CHOOSE(CONTROL!$C$21, $C$9, 100%, $E$9)</f>
        <v>34.103900000000003</v>
      </c>
      <c r="C682" s="10">
        <f>CHOOSE(CONTROL!$C$42, 34.1092, 34.1092) * CHOOSE(CONTROL!$C$21, $C$9, 100%, $E$9)</f>
        <v>34.109200000000001</v>
      </c>
      <c r="D682" s="10">
        <f>CHOOSE(CONTROL!$C$42, 34.3169, 34.3169) * CHOOSE(CONTROL!$C$21, $C$9, 100%, $E$9)</f>
        <v>34.316899999999997</v>
      </c>
      <c r="E682" s="10">
        <f>CHOOSE(CONTROL!$C$42, 34.3457, 34.3457) * CHOOSE(CONTROL!$C$21, $C$9, 100%, $E$9)</f>
        <v>34.345700000000001</v>
      </c>
      <c r="F682" s="10">
        <f>CHOOSE(CONTROL!$C$42, 34.0827, 34.0827)*CHOOSE(CONTROL!$C$21, $C$9, 100%, $E$9)</f>
        <v>34.082700000000003</v>
      </c>
      <c r="G682" s="10">
        <f>CHOOSE(CONTROL!$C$42, 34.0976, 34.0976)*CHOOSE(CONTROL!$C$21, $C$9, 100%, $E$9)</f>
        <v>34.0976</v>
      </c>
      <c r="H682" s="10">
        <f>CHOOSE(CONTROL!$C$42, 34.3361, 34.3361) * CHOOSE(CONTROL!$C$21, $C$9, 100%, $E$9)</f>
        <v>34.336100000000002</v>
      </c>
      <c r="I682" s="10">
        <f>CHOOSE(CONTROL!$C$42, 34.1057, 34.1057)* CHOOSE(CONTROL!$C$21, $C$9, 100%, $E$9)</f>
        <v>34.105699999999999</v>
      </c>
      <c r="J682" s="10">
        <f>CHOOSE(CONTROL!$C$42, 34.0757, 34.0757)* CHOOSE(CONTROL!$C$21, $C$9, 100%, $E$9)</f>
        <v>34.075699999999998</v>
      </c>
      <c r="K682" s="53">
        <f>CHOOSE(CONTROL!$C$42, 34.1019, 34.1019) * CHOOSE(CONTROL!$C$21, $C$9, 100%, $E$9)</f>
        <v>34.101900000000001</v>
      </c>
      <c r="L682" s="10">
        <f>CHOOSE(CONTROL!$C$42, 34.9231, 34.9231) * CHOOSE(CONTROL!$C$21, $C$9, 100%, $E$9)</f>
        <v>34.923099999999998</v>
      </c>
      <c r="M682" s="10">
        <f>CHOOSE(CONTROL!$C$42, 33.7456, 33.7456) * CHOOSE(CONTROL!$C$21, $C$9, 100%, $E$9)</f>
        <v>33.745600000000003</v>
      </c>
      <c r="N682" s="10">
        <f>CHOOSE(CONTROL!$C$42, 33.7604, 33.7604) * CHOOSE(CONTROL!$C$21, $C$9, 100%, $E$9)</f>
        <v>33.760399999999997</v>
      </c>
      <c r="O682" s="10">
        <f>CHOOSE(CONTROL!$C$42, 34.0034, 34.0034) * CHOOSE(CONTROL!$C$21, $C$9, 100%, $E$9)</f>
        <v>34.003399999999999</v>
      </c>
      <c r="P682" s="10">
        <f>CHOOSE(CONTROL!$C$42, 33.7754, 33.7754) * CHOOSE(CONTROL!$C$21, $C$9, 100%, $E$9)</f>
        <v>33.775399999999998</v>
      </c>
      <c r="Q682" s="10">
        <f>CHOOSE(CONTROL!$C$42, 34.5987, 34.5987) * CHOOSE(CONTROL!$C$21, $C$9, 100%, $E$9)</f>
        <v>34.598700000000001</v>
      </c>
      <c r="R682" s="10">
        <f>CHOOSE(CONTROL!$C$42, 35.2722, 35.2722) * CHOOSE(CONTROL!$C$21, $C$9, 100%, $E$9)</f>
        <v>35.272199999999998</v>
      </c>
      <c r="S682" s="10">
        <f>CHOOSE(CONTROL!$C$42, 33.1158, 33.1158) * CHOOSE(CONTROL!$C$21, $C$9, 100%, $E$9)</f>
        <v>33.1158</v>
      </c>
      <c r="T6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57">
        <f>(1000*CHOOSE(CONTROL!$C$42, 695, 695)*CHOOSE(CONTROL!$C$42, 0.5599, 0.5599)*CHOOSE(CONTROL!$C$42, 31, 31))/1000000</f>
        <v>12.063045499999998</v>
      </c>
      <c r="V682" s="57">
        <f>(1000*CHOOSE(CONTROL!$C$42, 500, 500)*CHOOSE(CONTROL!$C$42, 0.275, 0.275)*CHOOSE(CONTROL!$C$42, 31, 31))/1000000</f>
        <v>4.2625000000000002</v>
      </c>
      <c r="W682" s="57">
        <f>(1000*CHOOSE(CONTROL!$C$42, 0.1146, 0.1146)*CHOOSE(CONTROL!$C$42, 121.5, 121.5)*CHOOSE(CONTROL!$C$42, 31, 31))/1000000</f>
        <v>0.43164089999999994</v>
      </c>
      <c r="X682" s="57">
        <f>(31*0.1790888*245000/1000000)+(31*0.2374*100000/1000000)</f>
        <v>2.0961194359999999</v>
      </c>
      <c r="Y682" s="57"/>
      <c r="Z682" s="10"/>
      <c r="AA682" s="56"/>
      <c r="AB682" s="50">
        <f>(B682*131.881+C682*277.167+D682*79.08+E682*125.872+F682*40+G682*185+H682*0+I682*100+J682*300)/(131.881+277.167+79.08+125.872+0+40+185+100+300)</f>
        <v>34.1349374291364</v>
      </c>
      <c r="AC682" s="45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33.867584172661871</v>
      </c>
    </row>
    <row r="683" spans="1:29" ht="15.75" x14ac:dyDescent="0.25">
      <c r="A683" s="13">
        <v>61697</v>
      </c>
      <c r="B683" s="10">
        <f>CHOOSE(CONTROL!$C$42, 35.0019, 35.0019) * CHOOSE(CONTROL!$C$21, $C$9, 100%, $E$9)</f>
        <v>35.001899999999999</v>
      </c>
      <c r="C683" s="10">
        <f>CHOOSE(CONTROL!$C$42, 35.0069, 35.0069) * CHOOSE(CONTROL!$C$21, $C$9, 100%, $E$9)</f>
        <v>35.006900000000002</v>
      </c>
      <c r="D683" s="10">
        <f>CHOOSE(CONTROL!$C$42, 35.0674, 35.0674) * CHOOSE(CONTROL!$C$21, $C$9, 100%, $E$9)</f>
        <v>35.067399999999999</v>
      </c>
      <c r="E683" s="10">
        <f>CHOOSE(CONTROL!$C$42, 35.1011, 35.1011) * CHOOSE(CONTROL!$C$21, $C$9, 100%, $E$9)</f>
        <v>35.101100000000002</v>
      </c>
      <c r="F683" s="10">
        <f>CHOOSE(CONTROL!$C$42, 34.9975, 34.9975)*CHOOSE(CONTROL!$C$21, $C$9, 100%, $E$9)</f>
        <v>34.997500000000002</v>
      </c>
      <c r="G683" s="10">
        <f>CHOOSE(CONTROL!$C$42, 35.0127, 35.0127)*CHOOSE(CONTROL!$C$21, $C$9, 100%, $E$9)</f>
        <v>35.012700000000002</v>
      </c>
      <c r="H683" s="10">
        <f>CHOOSE(CONTROL!$C$42, 35.0903, 35.0903) * CHOOSE(CONTROL!$C$21, $C$9, 100%, $E$9)</f>
        <v>35.090299999999999</v>
      </c>
      <c r="I683" s="10">
        <f>CHOOSE(CONTROL!$C$42, 35.0144, 35.0144)* CHOOSE(CONTROL!$C$21, $C$9, 100%, $E$9)</f>
        <v>35.014400000000002</v>
      </c>
      <c r="J683" s="10">
        <f>CHOOSE(CONTROL!$C$42, 34.9905, 34.9905)* CHOOSE(CONTROL!$C$21, $C$9, 100%, $E$9)</f>
        <v>34.990499999999997</v>
      </c>
      <c r="K683" s="53">
        <f>CHOOSE(CONTROL!$C$42, 35.0105, 35.0105) * CHOOSE(CONTROL!$C$21, $C$9, 100%, $E$9)</f>
        <v>35.0105</v>
      </c>
      <c r="L683" s="10">
        <f>CHOOSE(CONTROL!$C$42, 35.6773, 35.6773) * CHOOSE(CONTROL!$C$21, $C$9, 100%, $E$9)</f>
        <v>35.677300000000002</v>
      </c>
      <c r="M683" s="10">
        <f>CHOOSE(CONTROL!$C$42, 34.6512, 34.6512) * CHOOSE(CONTROL!$C$21, $C$9, 100%, $E$9)</f>
        <v>34.651200000000003</v>
      </c>
      <c r="N683" s="10">
        <f>CHOOSE(CONTROL!$C$42, 34.6663, 34.6663) * CHOOSE(CONTROL!$C$21, $C$9, 100%, $E$9)</f>
        <v>34.6663</v>
      </c>
      <c r="O683" s="10">
        <f>CHOOSE(CONTROL!$C$42, 34.75, 34.75) * CHOOSE(CONTROL!$C$21, $C$9, 100%, $E$9)</f>
        <v>34.75</v>
      </c>
      <c r="P683" s="10">
        <f>CHOOSE(CONTROL!$C$42, 34.6749, 34.6749) * CHOOSE(CONTROL!$C$21, $C$9, 100%, $E$9)</f>
        <v>34.674900000000001</v>
      </c>
      <c r="Q683" s="10">
        <f>CHOOSE(CONTROL!$C$42, 35.3453, 35.3453) * CHOOSE(CONTROL!$C$21, $C$9, 100%, $E$9)</f>
        <v>35.345300000000002</v>
      </c>
      <c r="R683" s="10">
        <f>CHOOSE(CONTROL!$C$42, 36.0207, 36.0207) * CHOOSE(CONTROL!$C$21, $C$9, 100%, $E$9)</f>
        <v>36.020699999999998</v>
      </c>
      <c r="S683" s="10">
        <f>CHOOSE(CONTROL!$C$42, 33.9882, 33.9882) * CHOOSE(CONTROL!$C$21, $C$9, 100%, $E$9)</f>
        <v>33.988199999999999</v>
      </c>
      <c r="T6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57">
        <f>(1000*CHOOSE(CONTROL!$C$42, 695, 695)*CHOOSE(CONTROL!$C$42, 0.5599, 0.5599)*CHOOSE(CONTROL!$C$42, 30, 30))/1000000</f>
        <v>11.673914999999997</v>
      </c>
      <c r="V683" s="57">
        <f>(1000*CHOOSE(CONTROL!$C$42, 500, 500)*CHOOSE(CONTROL!$C$42, 0.275, 0.275)*CHOOSE(CONTROL!$C$42, 30, 30))/1000000</f>
        <v>4.125</v>
      </c>
      <c r="W683" s="57">
        <f>(1000*CHOOSE(CONTROL!$C$42, 0.1146, 0.1146)*CHOOSE(CONTROL!$C$42, 121.5, 121.5)*CHOOSE(CONTROL!$C$42, 30, 30))/1000000</f>
        <v>0.417717</v>
      </c>
      <c r="X683" s="57">
        <f>(30*0.1790888*100000/1000000)+(30*0.2374*100000/1000000)</f>
        <v>1.2494664</v>
      </c>
      <c r="Y683" s="57"/>
      <c r="Z683" s="10"/>
      <c r="AA683" s="56"/>
      <c r="AB683" s="50">
        <f>(B683*122.58+C683*297.941+D683*89.177+E683*40.302+F683*40+G683*160+H683*0+I683*100+J683*300)/(122.58+297.941+89.177+40.302+0+40+160+100+300)</f>
        <v>35.011213701652174</v>
      </c>
      <c r="AC683" s="45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34.700258992805765</v>
      </c>
    </row>
    <row r="684" spans="1:29" ht="15.75" x14ac:dyDescent="0.25">
      <c r="A684" s="13">
        <v>61728</v>
      </c>
      <c r="B684" s="10">
        <f>CHOOSE(CONTROL!$C$42, 37.3881, 37.3881) * CHOOSE(CONTROL!$C$21, $C$9, 100%, $E$9)</f>
        <v>37.388100000000001</v>
      </c>
      <c r="C684" s="10">
        <f>CHOOSE(CONTROL!$C$42, 37.3931, 37.3931) * CHOOSE(CONTROL!$C$21, $C$9, 100%, $E$9)</f>
        <v>37.393099999999997</v>
      </c>
      <c r="D684" s="10">
        <f>CHOOSE(CONTROL!$C$42, 37.4536, 37.4536) * CHOOSE(CONTROL!$C$21, $C$9, 100%, $E$9)</f>
        <v>37.453600000000002</v>
      </c>
      <c r="E684" s="10">
        <f>CHOOSE(CONTROL!$C$42, 37.4873, 37.4873) * CHOOSE(CONTROL!$C$21, $C$9, 100%, $E$9)</f>
        <v>37.487299999999998</v>
      </c>
      <c r="F684" s="10">
        <f>CHOOSE(CONTROL!$C$42, 37.3856, 37.3856)*CHOOSE(CONTROL!$C$21, $C$9, 100%, $E$9)</f>
        <v>37.385599999999997</v>
      </c>
      <c r="G684" s="10">
        <f>CHOOSE(CONTROL!$C$42, 37.4013, 37.4013)*CHOOSE(CONTROL!$C$21, $C$9, 100%, $E$9)</f>
        <v>37.401299999999999</v>
      </c>
      <c r="H684" s="10">
        <f>CHOOSE(CONTROL!$C$42, 37.4765, 37.4765) * CHOOSE(CONTROL!$C$21, $C$9, 100%, $E$9)</f>
        <v>37.476500000000001</v>
      </c>
      <c r="I684" s="10">
        <f>CHOOSE(CONTROL!$C$42, 37.4006, 37.4006)* CHOOSE(CONTROL!$C$21, $C$9, 100%, $E$9)</f>
        <v>37.400599999999997</v>
      </c>
      <c r="J684" s="10">
        <f>CHOOSE(CONTROL!$C$42, 37.3786, 37.3786)* CHOOSE(CONTROL!$C$21, $C$9, 100%, $E$9)</f>
        <v>37.378599999999999</v>
      </c>
      <c r="K684" s="53">
        <f>CHOOSE(CONTROL!$C$42, 37.3967, 37.3967) * CHOOSE(CONTROL!$C$21, $C$9, 100%, $E$9)</f>
        <v>37.396700000000003</v>
      </c>
      <c r="L684" s="10">
        <f>CHOOSE(CONTROL!$C$42, 38.0635, 38.0635) * CHOOSE(CONTROL!$C$21, $C$9, 100%, $E$9)</f>
        <v>38.063499999999998</v>
      </c>
      <c r="M684" s="10">
        <f>CHOOSE(CONTROL!$C$42, 37.0152, 37.0152) * CHOOSE(CONTROL!$C$21, $C$9, 100%, $E$9)</f>
        <v>37.0152</v>
      </c>
      <c r="N684" s="10">
        <f>CHOOSE(CONTROL!$C$42, 37.0307, 37.0307) * CHOOSE(CONTROL!$C$21, $C$9, 100%, $E$9)</f>
        <v>37.030700000000003</v>
      </c>
      <c r="O684" s="10">
        <f>CHOOSE(CONTROL!$C$42, 37.1122, 37.1122) * CHOOSE(CONTROL!$C$21, $C$9, 100%, $E$9)</f>
        <v>37.112200000000001</v>
      </c>
      <c r="P684" s="10">
        <f>CHOOSE(CONTROL!$C$42, 37.0371, 37.0371) * CHOOSE(CONTROL!$C$21, $C$9, 100%, $E$9)</f>
        <v>37.037100000000002</v>
      </c>
      <c r="Q684" s="10">
        <f>CHOOSE(CONTROL!$C$42, 37.7075, 37.7075) * CHOOSE(CONTROL!$C$21, $C$9, 100%, $E$9)</f>
        <v>37.707500000000003</v>
      </c>
      <c r="R684" s="10">
        <f>CHOOSE(CONTROL!$C$42, 38.3887, 38.3887) * CHOOSE(CONTROL!$C$21, $C$9, 100%, $E$9)</f>
        <v>38.3887</v>
      </c>
      <c r="S684" s="10">
        <f>CHOOSE(CONTROL!$C$42, 36.3055, 36.3055) * CHOOSE(CONTROL!$C$21, $C$9, 100%, $E$9)</f>
        <v>36.305500000000002</v>
      </c>
      <c r="T6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57">
        <f>(1000*CHOOSE(CONTROL!$C$42, 695, 695)*CHOOSE(CONTROL!$C$42, 0.5599, 0.5599)*CHOOSE(CONTROL!$C$42, 31, 31))/1000000</f>
        <v>12.063045499999998</v>
      </c>
      <c r="V684" s="57">
        <f>(1000*CHOOSE(CONTROL!$C$42, 500, 500)*CHOOSE(CONTROL!$C$42, 0.275, 0.275)*CHOOSE(CONTROL!$C$42, 31, 31))/1000000</f>
        <v>4.2625000000000002</v>
      </c>
      <c r="W684" s="57">
        <f>(1000*CHOOSE(CONTROL!$C$42, 0.1146, 0.1146)*CHOOSE(CONTROL!$C$42, 121.5, 121.5)*CHOOSE(CONTROL!$C$42, 31, 31))/1000000</f>
        <v>0.43164089999999994</v>
      </c>
      <c r="X684" s="57">
        <f>(31*0.1790888*100000/1000000)+(31*0.2374*100000/1000000)</f>
        <v>1.2911152800000001</v>
      </c>
      <c r="Y684" s="57"/>
      <c r="Z684" s="10"/>
      <c r="AA684" s="56"/>
      <c r="AB684" s="50">
        <f>(B684*122.58+C684*297.941+D684*89.177+E684*40.302+F684*40+G684*160+H684*0+I684*100+J684*300)/(122.58+297.941+89.177+40.302+0+40+160+100+300)</f>
        <v>37.398309353826086</v>
      </c>
      <c r="AC684" s="45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37.063207194244605</v>
      </c>
    </row>
    <row r="685" spans="1:29" ht="15.75" x14ac:dyDescent="0.25">
      <c r="A685" s="13">
        <v>61759</v>
      </c>
      <c r="B685" s="10">
        <f>CHOOSE(CONTROL!$C$42, 40.4513, 40.4513) * CHOOSE(CONTROL!$C$21, $C$9, 100%, $E$9)</f>
        <v>40.451300000000003</v>
      </c>
      <c r="C685" s="10">
        <f>CHOOSE(CONTROL!$C$42, 40.4563, 40.4563) * CHOOSE(CONTROL!$C$21, $C$9, 100%, $E$9)</f>
        <v>40.456299999999999</v>
      </c>
      <c r="D685" s="10">
        <f>CHOOSE(CONTROL!$C$42, 40.5134, 40.5134) * CHOOSE(CONTROL!$C$21, $C$9, 100%, $E$9)</f>
        <v>40.513399999999997</v>
      </c>
      <c r="E685" s="10">
        <f>CHOOSE(CONTROL!$C$42, 40.5471, 40.5471) * CHOOSE(CONTROL!$C$21, $C$9, 100%, $E$9)</f>
        <v>40.5471</v>
      </c>
      <c r="F685" s="10">
        <f>CHOOSE(CONTROL!$C$42, 40.4492, 40.4492)*CHOOSE(CONTROL!$C$21, $C$9, 100%, $E$9)</f>
        <v>40.449199999999998</v>
      </c>
      <c r="G685" s="10">
        <f>CHOOSE(CONTROL!$C$42, 40.4638, 40.4638)*CHOOSE(CONTROL!$C$21, $C$9, 100%, $E$9)</f>
        <v>40.463799999999999</v>
      </c>
      <c r="H685" s="10">
        <f>CHOOSE(CONTROL!$C$42, 40.5363, 40.5363) * CHOOSE(CONTROL!$C$21, $C$9, 100%, $E$9)</f>
        <v>40.536299999999997</v>
      </c>
      <c r="I685" s="10">
        <f>CHOOSE(CONTROL!$C$42, 40.4621, 40.4621)* CHOOSE(CONTROL!$C$21, $C$9, 100%, $E$9)</f>
        <v>40.4621</v>
      </c>
      <c r="J685" s="10">
        <f>CHOOSE(CONTROL!$C$42, 40.4422, 40.4422)* CHOOSE(CONTROL!$C$21, $C$9, 100%, $E$9)</f>
        <v>40.4422</v>
      </c>
      <c r="K685" s="53">
        <f>CHOOSE(CONTROL!$C$42, 40.4582, 40.4582) * CHOOSE(CONTROL!$C$21, $C$9, 100%, $E$9)</f>
        <v>40.458199999999998</v>
      </c>
      <c r="L685" s="10">
        <f>CHOOSE(CONTROL!$C$42, 41.1233, 41.1233) * CHOOSE(CONTROL!$C$21, $C$9, 100%, $E$9)</f>
        <v>41.1233</v>
      </c>
      <c r="M685" s="10">
        <f>CHOOSE(CONTROL!$C$42, 40.0479, 40.0479) * CHOOSE(CONTROL!$C$21, $C$9, 100%, $E$9)</f>
        <v>40.047899999999998</v>
      </c>
      <c r="N685" s="10">
        <f>CHOOSE(CONTROL!$C$42, 40.0623, 40.0623) * CHOOSE(CONTROL!$C$21, $C$9, 100%, $E$9)</f>
        <v>40.0623</v>
      </c>
      <c r="O685" s="10">
        <f>CHOOSE(CONTROL!$C$42, 40.1411, 40.1411) * CHOOSE(CONTROL!$C$21, $C$9, 100%, $E$9)</f>
        <v>40.141100000000002</v>
      </c>
      <c r="P685" s="10">
        <f>CHOOSE(CONTROL!$C$42, 40.0677, 40.0677) * CHOOSE(CONTROL!$C$21, $C$9, 100%, $E$9)</f>
        <v>40.067700000000002</v>
      </c>
      <c r="Q685" s="10">
        <f>CHOOSE(CONTROL!$C$42, 40.7364, 40.7364) * CHOOSE(CONTROL!$C$21, $C$9, 100%, $E$9)</f>
        <v>40.736400000000003</v>
      </c>
      <c r="R685" s="10">
        <f>CHOOSE(CONTROL!$C$42, 41.4252, 41.4252) * CHOOSE(CONTROL!$C$21, $C$9, 100%, $E$9)</f>
        <v>41.425199999999997</v>
      </c>
      <c r="S685" s="10">
        <f>CHOOSE(CONTROL!$C$42, 39.2802, 39.2802) * CHOOSE(CONTROL!$C$21, $C$9, 100%, $E$9)</f>
        <v>39.280200000000001</v>
      </c>
      <c r="T6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57">
        <f>(1000*CHOOSE(CONTROL!$C$42, 695, 695)*CHOOSE(CONTROL!$C$42, 0.5599, 0.5599)*CHOOSE(CONTROL!$C$42, 31, 31))/1000000</f>
        <v>12.063045499999998</v>
      </c>
      <c r="V685" s="57">
        <f>(1000*CHOOSE(CONTROL!$C$42, 500, 500)*CHOOSE(CONTROL!$C$42, 0.275, 0.275)*CHOOSE(CONTROL!$C$42, 31, 31))/1000000</f>
        <v>4.2625000000000002</v>
      </c>
      <c r="W685" s="57">
        <f>(1000*CHOOSE(CONTROL!$C$42, 0.1146, 0.1146)*CHOOSE(CONTROL!$C$42, 121.5, 121.5)*CHOOSE(CONTROL!$C$42, 31, 31))/1000000</f>
        <v>0.43164089999999994</v>
      </c>
      <c r="X685" s="57">
        <f>(31*0.1790888*100000/1000000)+(31*0.2374*100000/1000000)</f>
        <v>1.2911152800000001</v>
      </c>
      <c r="Y685" s="57"/>
      <c r="Z685" s="10"/>
      <c r="AA685" s="56"/>
      <c r="AB685" s="50">
        <f>(B685*122.58+C685*297.941+D685*89.177+E685*40.302+F685*40+G685*160+H685*0+I685*100+J685*300)/(122.58+297.941+89.177+40.302+0+40+160+100+300)</f>
        <v>40.460999589826081</v>
      </c>
      <c r="AC685" s="45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40.093819424460435</v>
      </c>
    </row>
    <row r="686" spans="1:29" ht="15.75" x14ac:dyDescent="0.25">
      <c r="A686" s="13">
        <v>61787</v>
      </c>
      <c r="B686" s="10">
        <f>CHOOSE(CONTROL!$C$42, 41.1714, 41.1714) * CHOOSE(CONTROL!$C$21, $C$9, 100%, $E$9)</f>
        <v>41.171399999999998</v>
      </c>
      <c r="C686" s="10">
        <f>CHOOSE(CONTROL!$C$42, 41.1763, 41.1763) * CHOOSE(CONTROL!$C$21, $C$9, 100%, $E$9)</f>
        <v>41.176299999999998</v>
      </c>
      <c r="D686" s="10">
        <f>CHOOSE(CONTROL!$C$42, 41.2334, 41.2334) * CHOOSE(CONTROL!$C$21, $C$9, 100%, $E$9)</f>
        <v>41.233400000000003</v>
      </c>
      <c r="E686" s="10">
        <f>CHOOSE(CONTROL!$C$42, 41.2672, 41.2672) * CHOOSE(CONTROL!$C$21, $C$9, 100%, $E$9)</f>
        <v>41.267200000000003</v>
      </c>
      <c r="F686" s="10">
        <f>CHOOSE(CONTROL!$C$42, 41.1693, 41.1693)*CHOOSE(CONTROL!$C$21, $C$9, 100%, $E$9)</f>
        <v>41.1693</v>
      </c>
      <c r="G686" s="10">
        <f>CHOOSE(CONTROL!$C$42, 41.184, 41.184)*CHOOSE(CONTROL!$C$21, $C$9, 100%, $E$9)</f>
        <v>41.183999999999997</v>
      </c>
      <c r="H686" s="10">
        <f>CHOOSE(CONTROL!$C$42, 41.2564, 41.2564) * CHOOSE(CONTROL!$C$21, $C$9, 100%, $E$9)</f>
        <v>41.256399999999999</v>
      </c>
      <c r="I686" s="10">
        <f>CHOOSE(CONTROL!$C$42, 41.1822, 41.1822)* CHOOSE(CONTROL!$C$21, $C$9, 100%, $E$9)</f>
        <v>41.182200000000002</v>
      </c>
      <c r="J686" s="10">
        <f>CHOOSE(CONTROL!$C$42, 41.1623, 41.1623)* CHOOSE(CONTROL!$C$21, $C$9, 100%, $E$9)</f>
        <v>41.162300000000002</v>
      </c>
      <c r="K686" s="53">
        <f>CHOOSE(CONTROL!$C$42, 41.1783, 41.1783) * CHOOSE(CONTROL!$C$21, $C$9, 100%, $E$9)</f>
        <v>41.1783</v>
      </c>
      <c r="L686" s="10">
        <f>CHOOSE(CONTROL!$C$42, 41.8434, 41.8434) * CHOOSE(CONTROL!$C$21, $C$9, 100%, $E$9)</f>
        <v>41.843400000000003</v>
      </c>
      <c r="M686" s="10">
        <f>CHOOSE(CONTROL!$C$42, 40.7607, 40.7607) * CHOOSE(CONTROL!$C$21, $C$9, 100%, $E$9)</f>
        <v>40.7607</v>
      </c>
      <c r="N686" s="10">
        <f>CHOOSE(CONTROL!$C$42, 40.7752, 40.7752) * CHOOSE(CONTROL!$C$21, $C$9, 100%, $E$9)</f>
        <v>40.775199999999998</v>
      </c>
      <c r="O686" s="10">
        <f>CHOOSE(CONTROL!$C$42, 40.8539, 40.8539) * CHOOSE(CONTROL!$C$21, $C$9, 100%, $E$9)</f>
        <v>40.853900000000003</v>
      </c>
      <c r="P686" s="10">
        <f>CHOOSE(CONTROL!$C$42, 40.7804, 40.7804) * CHOOSE(CONTROL!$C$21, $C$9, 100%, $E$9)</f>
        <v>40.7804</v>
      </c>
      <c r="Q686" s="10">
        <f>CHOOSE(CONTROL!$C$42, 41.4492, 41.4492) * CHOOSE(CONTROL!$C$21, $C$9, 100%, $E$9)</f>
        <v>41.449199999999998</v>
      </c>
      <c r="R686" s="10">
        <f>CHOOSE(CONTROL!$C$42, 42.1398, 42.1398) * CHOOSE(CONTROL!$C$21, $C$9, 100%, $E$9)</f>
        <v>42.139800000000001</v>
      </c>
      <c r="S686" s="10">
        <f>CHOOSE(CONTROL!$C$42, 39.9794, 39.9794) * CHOOSE(CONTROL!$C$21, $C$9, 100%, $E$9)</f>
        <v>39.979399999999998</v>
      </c>
      <c r="T6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57">
        <f>(1000*CHOOSE(CONTROL!$C$42, 695, 695)*CHOOSE(CONTROL!$C$42, 0.5599, 0.5599)*CHOOSE(CONTROL!$C$42, 28, 28))/1000000</f>
        <v>10.895653999999999</v>
      </c>
      <c r="V686" s="57">
        <f>(1000*CHOOSE(CONTROL!$C$42, 500, 500)*CHOOSE(CONTROL!$C$42, 0.275, 0.275)*CHOOSE(CONTROL!$C$42, 28, 28))/1000000</f>
        <v>3.85</v>
      </c>
      <c r="W686" s="57">
        <f>(1000*CHOOSE(CONTROL!$C$42, 0.1146, 0.1146)*CHOOSE(CONTROL!$C$42, 121.5, 121.5)*CHOOSE(CONTROL!$C$42, 28, 28))/1000000</f>
        <v>0.38986920000000003</v>
      </c>
      <c r="X686" s="57">
        <f>(28*0.1790888*100000/1000000)+(28*0.2374*100000/1000000)</f>
        <v>1.16616864</v>
      </c>
      <c r="Y686" s="57"/>
      <c r="Z686" s="10"/>
      <c r="AA686" s="56"/>
      <c r="AB686" s="50">
        <f>(B686*122.58+C686*297.941+D686*89.177+E686*40.302+F686*40+G686*160+H686*0+I686*100+J686*300)/(122.58+297.941+89.177+40.302+0+40+160+100+300)</f>
        <v>41.181079840434784</v>
      </c>
      <c r="AC686" s="45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40.806610791366907</v>
      </c>
    </row>
    <row r="687" spans="1:29" ht="15.75" x14ac:dyDescent="0.25">
      <c r="A687" s="13">
        <v>61818</v>
      </c>
      <c r="B687" s="10">
        <f>CHOOSE(CONTROL!$C$42, 40.0026, 40.0026) * CHOOSE(CONTROL!$C$21, $C$9, 100%, $E$9)</f>
        <v>40.002600000000001</v>
      </c>
      <c r="C687" s="10">
        <f>CHOOSE(CONTROL!$C$42, 40.0075, 40.0075) * CHOOSE(CONTROL!$C$21, $C$9, 100%, $E$9)</f>
        <v>40.0075</v>
      </c>
      <c r="D687" s="10">
        <f>CHOOSE(CONTROL!$C$42, 40.0646, 40.0646) * CHOOSE(CONTROL!$C$21, $C$9, 100%, $E$9)</f>
        <v>40.064599999999999</v>
      </c>
      <c r="E687" s="10">
        <f>CHOOSE(CONTROL!$C$42, 40.0984, 40.0984) * CHOOSE(CONTROL!$C$21, $C$9, 100%, $E$9)</f>
        <v>40.098399999999998</v>
      </c>
      <c r="F687" s="10">
        <f>CHOOSE(CONTROL!$C$42, 40.0004, 40.0004)*CHOOSE(CONTROL!$C$21, $C$9, 100%, $E$9)</f>
        <v>40.000399999999999</v>
      </c>
      <c r="G687" s="10">
        <f>CHOOSE(CONTROL!$C$42, 40.015, 40.015)*CHOOSE(CONTROL!$C$21, $C$9, 100%, $E$9)</f>
        <v>40.015000000000001</v>
      </c>
      <c r="H687" s="10">
        <f>CHOOSE(CONTROL!$C$42, 40.0876, 40.0876) * CHOOSE(CONTROL!$C$21, $C$9, 100%, $E$9)</f>
        <v>40.087600000000002</v>
      </c>
      <c r="I687" s="10">
        <f>CHOOSE(CONTROL!$C$42, 40.0134, 40.0134)* CHOOSE(CONTROL!$C$21, $C$9, 100%, $E$9)</f>
        <v>40.013399999999997</v>
      </c>
      <c r="J687" s="10">
        <f>CHOOSE(CONTROL!$C$42, 39.9934, 39.9934)* CHOOSE(CONTROL!$C$21, $C$9, 100%, $E$9)</f>
        <v>39.993400000000001</v>
      </c>
      <c r="K687" s="53">
        <f>CHOOSE(CONTROL!$C$42, 40.0095, 40.0095) * CHOOSE(CONTROL!$C$21, $C$9, 100%, $E$9)</f>
        <v>40.009500000000003</v>
      </c>
      <c r="L687" s="10">
        <f>CHOOSE(CONTROL!$C$42, 40.6746, 40.6746) * CHOOSE(CONTROL!$C$21, $C$9, 100%, $E$9)</f>
        <v>40.674599999999998</v>
      </c>
      <c r="M687" s="10">
        <f>CHOOSE(CONTROL!$C$42, 39.6036, 39.6036) * CHOOSE(CONTROL!$C$21, $C$9, 100%, $E$9)</f>
        <v>39.6036</v>
      </c>
      <c r="N687" s="10">
        <f>CHOOSE(CONTROL!$C$42, 39.6181, 39.6181) * CHOOSE(CONTROL!$C$21, $C$9, 100%, $E$9)</f>
        <v>39.618099999999998</v>
      </c>
      <c r="O687" s="10">
        <f>CHOOSE(CONTROL!$C$42, 39.6968, 39.6968) * CHOOSE(CONTROL!$C$21, $C$9, 100%, $E$9)</f>
        <v>39.696800000000003</v>
      </c>
      <c r="P687" s="10">
        <f>CHOOSE(CONTROL!$C$42, 39.6234, 39.6234) * CHOOSE(CONTROL!$C$21, $C$9, 100%, $E$9)</f>
        <v>39.623399999999997</v>
      </c>
      <c r="Q687" s="10">
        <f>CHOOSE(CONTROL!$C$42, 40.2921, 40.2921) * CHOOSE(CONTROL!$C$21, $C$9, 100%, $E$9)</f>
        <v>40.292099999999998</v>
      </c>
      <c r="R687" s="10">
        <f>CHOOSE(CONTROL!$C$42, 40.9799, 40.9799) * CHOOSE(CONTROL!$C$21, $C$9, 100%, $E$9)</f>
        <v>40.979900000000001</v>
      </c>
      <c r="S687" s="10">
        <f>CHOOSE(CONTROL!$C$42, 38.8444, 38.8444) * CHOOSE(CONTROL!$C$21, $C$9, 100%, $E$9)</f>
        <v>38.8444</v>
      </c>
      <c r="T6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57">
        <f>(1000*CHOOSE(CONTROL!$C$42, 695, 695)*CHOOSE(CONTROL!$C$42, 0.5599, 0.5599)*CHOOSE(CONTROL!$C$42, 31, 31))/1000000</f>
        <v>12.063045499999998</v>
      </c>
      <c r="V687" s="57">
        <f>(1000*CHOOSE(CONTROL!$C$42, 500, 500)*CHOOSE(CONTROL!$C$42, 0.275, 0.275)*CHOOSE(CONTROL!$C$42, 31, 31))/1000000</f>
        <v>4.2625000000000002</v>
      </c>
      <c r="W687" s="57">
        <f>(1000*CHOOSE(CONTROL!$C$42, 0.1146, 0.1146)*CHOOSE(CONTROL!$C$42, 121.5, 121.5)*CHOOSE(CONTROL!$C$42, 31, 31))/1000000</f>
        <v>0.43164089999999994</v>
      </c>
      <c r="X687" s="57">
        <f>(31*0.1790888*100000/1000000)+(31*0.2374*100000/1000000)</f>
        <v>1.2911152800000001</v>
      </c>
      <c r="Y687" s="57"/>
      <c r="Z687" s="10"/>
      <c r="AA687" s="56"/>
      <c r="AB687" s="50">
        <f>(B687*122.58+C687*297.941+D687*89.177+E687*40.302+F687*40+G687*160+H687*0+I687*100+J687*300)/(122.58+297.941+89.177+40.302+0+40+160+100+300)</f>
        <v>40.012222449130434</v>
      </c>
      <c r="AC687" s="45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39.64952517985612</v>
      </c>
    </row>
    <row r="688" spans="1:29" ht="15.75" x14ac:dyDescent="0.25">
      <c r="A688" s="13">
        <v>61848</v>
      </c>
      <c r="B688" s="10">
        <f>CHOOSE(CONTROL!$C$42, 39.884, 39.884) * CHOOSE(CONTROL!$C$21, $C$9, 100%, $E$9)</f>
        <v>39.884</v>
      </c>
      <c r="C688" s="10">
        <f>CHOOSE(CONTROL!$C$42, 39.8884, 39.8884) * CHOOSE(CONTROL!$C$21, $C$9, 100%, $E$9)</f>
        <v>39.888399999999997</v>
      </c>
      <c r="D688" s="10">
        <f>CHOOSE(CONTROL!$C$42, 40.0942, 40.0942) * CHOOSE(CONTROL!$C$21, $C$9, 100%, $E$9)</f>
        <v>40.094200000000001</v>
      </c>
      <c r="E688" s="10">
        <f>CHOOSE(CONTROL!$C$42, 40.126, 40.126) * CHOOSE(CONTROL!$C$21, $C$9, 100%, $E$9)</f>
        <v>40.125999999999998</v>
      </c>
      <c r="F688" s="10">
        <f>CHOOSE(CONTROL!$C$42, 39.8607, 39.8607)*CHOOSE(CONTROL!$C$21, $C$9, 100%, $E$9)</f>
        <v>39.860700000000001</v>
      </c>
      <c r="G688" s="10">
        <f>CHOOSE(CONTROL!$C$42, 39.8753, 39.8753)*CHOOSE(CONTROL!$C$21, $C$9, 100%, $E$9)</f>
        <v>39.875300000000003</v>
      </c>
      <c r="H688" s="10">
        <f>CHOOSE(CONTROL!$C$42, 40.1158, 40.1158) * CHOOSE(CONTROL!$C$21, $C$9, 100%, $E$9)</f>
        <v>40.1158</v>
      </c>
      <c r="I688" s="10">
        <f>CHOOSE(CONTROL!$C$42, 39.8854, 39.8854)* CHOOSE(CONTROL!$C$21, $C$9, 100%, $E$9)</f>
        <v>39.885399999999997</v>
      </c>
      <c r="J688" s="10">
        <f>CHOOSE(CONTROL!$C$42, 39.8537, 39.8537)* CHOOSE(CONTROL!$C$21, $C$9, 100%, $E$9)</f>
        <v>39.853700000000003</v>
      </c>
      <c r="K688" s="53">
        <f>CHOOSE(CONTROL!$C$42, 39.8815, 39.8815) * CHOOSE(CONTROL!$C$21, $C$9, 100%, $E$9)</f>
        <v>39.881500000000003</v>
      </c>
      <c r="L688" s="10">
        <f>CHOOSE(CONTROL!$C$42, 40.7028, 40.7028) * CHOOSE(CONTROL!$C$21, $C$9, 100%, $E$9)</f>
        <v>40.702800000000003</v>
      </c>
      <c r="M688" s="10">
        <f>CHOOSE(CONTROL!$C$42, 39.4654, 39.4654) * CHOOSE(CONTROL!$C$21, $C$9, 100%, $E$9)</f>
        <v>39.465400000000002</v>
      </c>
      <c r="N688" s="10">
        <f>CHOOSE(CONTROL!$C$42, 39.4798, 39.4798) * CHOOSE(CONTROL!$C$21, $C$9, 100%, $E$9)</f>
        <v>39.479799999999997</v>
      </c>
      <c r="O688" s="10">
        <f>CHOOSE(CONTROL!$C$42, 39.7248, 39.7248) * CHOOSE(CONTROL!$C$21, $C$9, 100%, $E$9)</f>
        <v>39.724800000000002</v>
      </c>
      <c r="P688" s="10">
        <f>CHOOSE(CONTROL!$C$42, 39.4968, 39.4968) * CHOOSE(CONTROL!$C$21, $C$9, 100%, $E$9)</f>
        <v>39.4968</v>
      </c>
      <c r="Q688" s="10">
        <f>CHOOSE(CONTROL!$C$42, 40.3201, 40.3201) * CHOOSE(CONTROL!$C$21, $C$9, 100%, $E$9)</f>
        <v>40.320099999999996</v>
      </c>
      <c r="R688" s="10">
        <f>CHOOSE(CONTROL!$C$42, 41.0079, 41.0079) * CHOOSE(CONTROL!$C$21, $C$9, 100%, $E$9)</f>
        <v>41.007899999999999</v>
      </c>
      <c r="S688" s="10">
        <f>CHOOSE(CONTROL!$C$42, 38.7284, 38.7284) * CHOOSE(CONTROL!$C$21, $C$9, 100%, $E$9)</f>
        <v>38.728400000000001</v>
      </c>
      <c r="T6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57">
        <f>(1000*CHOOSE(CONTROL!$C$42, 695, 695)*CHOOSE(CONTROL!$C$42, 0.5599, 0.5599)*CHOOSE(CONTROL!$C$42, 30, 30))/1000000</f>
        <v>11.673914999999997</v>
      </c>
      <c r="V688" s="57">
        <f>(1000*CHOOSE(CONTROL!$C$42, 500, 500)*CHOOSE(CONTROL!$C$42, 0.275, 0.275)*CHOOSE(CONTROL!$C$42, 30, 30))/1000000</f>
        <v>4.125</v>
      </c>
      <c r="W688" s="57">
        <f>(1000*CHOOSE(CONTROL!$C$42, 0.1146, 0.1146)*CHOOSE(CONTROL!$C$42, 121.5, 121.5)*CHOOSE(CONTROL!$C$42, 30, 30))/1000000</f>
        <v>0.417717</v>
      </c>
      <c r="X688" s="57">
        <f>(30*0.1790888*245000/1000000)+(30*0.2374*100000/1000000)</f>
        <v>2.0285026799999999</v>
      </c>
      <c r="Y688" s="57"/>
      <c r="Z688" s="10"/>
      <c r="AA688" s="56"/>
      <c r="AB688" s="50">
        <f>(B688*141.293+C688*267.993+D688*115.016+E688*89.698+F688*40+G688*185+H688*0+I688*100+J688*300)/(141.293+267.993+115.016+89.698+0+40+185+100+300)</f>
        <v>39.912709401452787</v>
      </c>
      <c r="AC688" s="45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39.588316546762584</v>
      </c>
    </row>
    <row r="689" spans="1:29" ht="15.75" x14ac:dyDescent="0.25">
      <c r="A689" s="13">
        <v>61879</v>
      </c>
      <c r="B689" s="10">
        <f>CHOOSE(CONTROL!$C$42, 40.2374, 40.2374) * CHOOSE(CONTROL!$C$21, $C$9, 100%, $E$9)</f>
        <v>40.237400000000001</v>
      </c>
      <c r="C689" s="10">
        <f>CHOOSE(CONTROL!$C$42, 40.2453, 40.2453) * CHOOSE(CONTROL!$C$21, $C$9, 100%, $E$9)</f>
        <v>40.2453</v>
      </c>
      <c r="D689" s="10">
        <f>CHOOSE(CONTROL!$C$42, 40.448, 40.448) * CHOOSE(CONTROL!$C$21, $C$9, 100%, $E$9)</f>
        <v>40.448</v>
      </c>
      <c r="E689" s="10">
        <f>CHOOSE(CONTROL!$C$42, 40.4791, 40.4791) * CHOOSE(CONTROL!$C$21, $C$9, 100%, $E$9)</f>
        <v>40.479100000000003</v>
      </c>
      <c r="F689" s="10">
        <f>CHOOSE(CONTROL!$C$42, 40.2131, 40.2131)*CHOOSE(CONTROL!$C$21, $C$9, 100%, $E$9)</f>
        <v>40.213099999999997</v>
      </c>
      <c r="G689" s="10">
        <f>CHOOSE(CONTROL!$C$42, 40.2281, 40.2281)*CHOOSE(CONTROL!$C$21, $C$9, 100%, $E$9)</f>
        <v>40.228099999999998</v>
      </c>
      <c r="H689" s="10">
        <f>CHOOSE(CONTROL!$C$42, 40.4678, 40.4678) * CHOOSE(CONTROL!$C$21, $C$9, 100%, $E$9)</f>
        <v>40.467799999999997</v>
      </c>
      <c r="I689" s="10">
        <f>CHOOSE(CONTROL!$C$42, 40.2374, 40.2374)* CHOOSE(CONTROL!$C$21, $C$9, 100%, $E$9)</f>
        <v>40.237400000000001</v>
      </c>
      <c r="J689" s="10">
        <f>CHOOSE(CONTROL!$C$42, 40.2061, 40.2061)* CHOOSE(CONTROL!$C$21, $C$9, 100%, $E$9)</f>
        <v>40.206099999999999</v>
      </c>
      <c r="K689" s="53">
        <f>CHOOSE(CONTROL!$C$42, 40.2335, 40.2335) * CHOOSE(CONTROL!$C$21, $C$9, 100%, $E$9)</f>
        <v>40.233499999999999</v>
      </c>
      <c r="L689" s="10">
        <f>CHOOSE(CONTROL!$C$42, 41.0548, 41.0548) * CHOOSE(CONTROL!$C$21, $C$9, 100%, $E$9)</f>
        <v>41.0548</v>
      </c>
      <c r="M689" s="10">
        <f>CHOOSE(CONTROL!$C$42, 39.8142, 39.8142) * CHOOSE(CONTROL!$C$21, $C$9, 100%, $E$9)</f>
        <v>39.8142</v>
      </c>
      <c r="N689" s="10">
        <f>CHOOSE(CONTROL!$C$42, 39.829, 39.829) * CHOOSE(CONTROL!$C$21, $C$9, 100%, $E$9)</f>
        <v>39.829000000000001</v>
      </c>
      <c r="O689" s="10">
        <f>CHOOSE(CONTROL!$C$42, 40.0732, 40.0732) * CHOOSE(CONTROL!$C$21, $C$9, 100%, $E$9)</f>
        <v>40.0732</v>
      </c>
      <c r="P689" s="10">
        <f>CHOOSE(CONTROL!$C$42, 39.8452, 39.8452) * CHOOSE(CONTROL!$C$21, $C$9, 100%, $E$9)</f>
        <v>39.845199999999998</v>
      </c>
      <c r="Q689" s="10">
        <f>CHOOSE(CONTROL!$C$42, 40.6685, 40.6685) * CHOOSE(CONTROL!$C$21, $C$9, 100%, $E$9)</f>
        <v>40.668500000000002</v>
      </c>
      <c r="R689" s="10">
        <f>CHOOSE(CONTROL!$C$42, 41.3572, 41.3572) * CHOOSE(CONTROL!$C$21, $C$9, 100%, $E$9)</f>
        <v>41.357199999999999</v>
      </c>
      <c r="S689" s="10">
        <f>CHOOSE(CONTROL!$C$42, 39.0703, 39.0703) * CHOOSE(CONTROL!$C$21, $C$9, 100%, $E$9)</f>
        <v>39.070300000000003</v>
      </c>
      <c r="T6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57">
        <f>(1000*CHOOSE(CONTROL!$C$42, 695, 695)*CHOOSE(CONTROL!$C$42, 0.5599, 0.5599)*CHOOSE(CONTROL!$C$42, 31, 31))/1000000</f>
        <v>12.063045499999998</v>
      </c>
      <c r="V689" s="57">
        <f>(1000*CHOOSE(CONTROL!$C$42, 500, 500)*CHOOSE(CONTROL!$C$42, 0.275, 0.275)*CHOOSE(CONTROL!$C$42, 31, 31))/1000000</f>
        <v>4.2625000000000002</v>
      </c>
      <c r="W689" s="57">
        <f>(1000*CHOOSE(CONTROL!$C$42, 0.1146, 0.1146)*CHOOSE(CONTROL!$C$42, 121.5, 121.5)*CHOOSE(CONTROL!$C$42, 31, 31))/1000000</f>
        <v>0.43164089999999994</v>
      </c>
      <c r="X689" s="57">
        <f>(31*0.1790888*245000/1000000)+(31*0.2374*100000/1000000)</f>
        <v>2.0961194359999999</v>
      </c>
      <c r="Y689" s="57"/>
      <c r="Z689" s="10"/>
      <c r="AA689" s="56"/>
      <c r="AB689" s="50">
        <f>(B689*194.205+C689*267.466+D689*133.845+E689*53.484+F689*40+G689*185+H689*0+I689*100+J689*300)/(194.205+267.466+133.845+53.484+0+40+185+100+300)</f>
        <v>40.26184687692308</v>
      </c>
      <c r="AC689" s="45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39.936900719424457</v>
      </c>
    </row>
    <row r="690" spans="1:29" ht="15.75" x14ac:dyDescent="0.25">
      <c r="A690" s="13">
        <v>61909</v>
      </c>
      <c r="B690" s="10">
        <f>CHOOSE(CONTROL!$C$42, 41.3786, 41.3786) * CHOOSE(CONTROL!$C$21, $C$9, 100%, $E$9)</f>
        <v>41.378599999999999</v>
      </c>
      <c r="C690" s="10">
        <f>CHOOSE(CONTROL!$C$42, 41.3865, 41.3865) * CHOOSE(CONTROL!$C$21, $C$9, 100%, $E$9)</f>
        <v>41.386499999999998</v>
      </c>
      <c r="D690" s="10">
        <f>CHOOSE(CONTROL!$C$42, 41.5892, 41.5892) * CHOOSE(CONTROL!$C$21, $C$9, 100%, $E$9)</f>
        <v>41.589199999999998</v>
      </c>
      <c r="E690" s="10">
        <f>CHOOSE(CONTROL!$C$42, 41.6204, 41.6204) * CHOOSE(CONTROL!$C$21, $C$9, 100%, $E$9)</f>
        <v>41.620399999999997</v>
      </c>
      <c r="F690" s="10">
        <f>CHOOSE(CONTROL!$C$42, 41.3548, 41.3548)*CHOOSE(CONTROL!$C$21, $C$9, 100%, $E$9)</f>
        <v>41.354799999999997</v>
      </c>
      <c r="G690" s="10">
        <f>CHOOSE(CONTROL!$C$42, 41.37, 41.37)*CHOOSE(CONTROL!$C$21, $C$9, 100%, $E$9)</f>
        <v>41.37</v>
      </c>
      <c r="H690" s="10">
        <f>CHOOSE(CONTROL!$C$42, 41.609, 41.609) * CHOOSE(CONTROL!$C$21, $C$9, 100%, $E$9)</f>
        <v>41.609000000000002</v>
      </c>
      <c r="I690" s="10">
        <f>CHOOSE(CONTROL!$C$42, 41.3786, 41.3786)* CHOOSE(CONTROL!$C$21, $C$9, 100%, $E$9)</f>
        <v>41.378599999999999</v>
      </c>
      <c r="J690" s="10">
        <f>CHOOSE(CONTROL!$C$42, 41.3478, 41.3478)* CHOOSE(CONTROL!$C$21, $C$9, 100%, $E$9)</f>
        <v>41.347799999999999</v>
      </c>
      <c r="K690" s="53">
        <f>CHOOSE(CONTROL!$C$42, 41.3747, 41.3747) * CHOOSE(CONTROL!$C$21, $C$9, 100%, $E$9)</f>
        <v>41.374699999999997</v>
      </c>
      <c r="L690" s="10">
        <f>CHOOSE(CONTROL!$C$42, 42.196, 42.196) * CHOOSE(CONTROL!$C$21, $C$9, 100%, $E$9)</f>
        <v>42.195999999999998</v>
      </c>
      <c r="M690" s="10">
        <f>CHOOSE(CONTROL!$C$42, 40.9444, 40.9444) * CHOOSE(CONTROL!$C$21, $C$9, 100%, $E$9)</f>
        <v>40.944400000000002</v>
      </c>
      <c r="N690" s="10">
        <f>CHOOSE(CONTROL!$C$42, 40.9594, 40.9594) * CHOOSE(CONTROL!$C$21, $C$9, 100%, $E$9)</f>
        <v>40.959400000000002</v>
      </c>
      <c r="O690" s="10">
        <f>CHOOSE(CONTROL!$C$42, 41.2029, 41.2029) * CHOOSE(CONTROL!$C$21, $C$9, 100%, $E$9)</f>
        <v>41.2029</v>
      </c>
      <c r="P690" s="10">
        <f>CHOOSE(CONTROL!$C$42, 40.9749, 40.9749) * CHOOSE(CONTROL!$C$21, $C$9, 100%, $E$9)</f>
        <v>40.974899999999998</v>
      </c>
      <c r="Q690" s="10">
        <f>CHOOSE(CONTROL!$C$42, 41.7982, 41.7982) * CHOOSE(CONTROL!$C$21, $C$9, 100%, $E$9)</f>
        <v>41.798200000000001</v>
      </c>
      <c r="R690" s="10">
        <f>CHOOSE(CONTROL!$C$42, 42.4897, 42.4897) * CHOOSE(CONTROL!$C$21, $C$9, 100%, $E$9)</f>
        <v>42.489699999999999</v>
      </c>
      <c r="S690" s="10">
        <f>CHOOSE(CONTROL!$C$42, 40.1785, 40.1785) * CHOOSE(CONTROL!$C$21, $C$9, 100%, $E$9)</f>
        <v>40.1785</v>
      </c>
      <c r="T6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57">
        <f>(1000*CHOOSE(CONTROL!$C$42, 695, 695)*CHOOSE(CONTROL!$C$42, 0.5599, 0.5599)*CHOOSE(CONTROL!$C$42, 30, 30))/1000000</f>
        <v>11.673914999999997</v>
      </c>
      <c r="V690" s="57">
        <f>(1000*CHOOSE(CONTROL!$C$42, 500, 500)*CHOOSE(CONTROL!$C$42, 0.275, 0.275)*CHOOSE(CONTROL!$C$42, 30, 30))/1000000</f>
        <v>4.125</v>
      </c>
      <c r="W690" s="57">
        <f>(1000*CHOOSE(CONTROL!$C$42, 0.1146, 0.1146)*CHOOSE(CONTROL!$C$42, 121.5, 121.5)*CHOOSE(CONTROL!$C$42, 30, 30))/1000000</f>
        <v>0.417717</v>
      </c>
      <c r="X690" s="57">
        <f>(30*0.1790888*245000/1000000)+(30*0.2374*100000/1000000)</f>
        <v>2.0285026799999999</v>
      </c>
      <c r="Y690" s="57"/>
      <c r="Z690" s="10"/>
      <c r="AA690" s="56"/>
      <c r="AB690" s="50">
        <f>(B690*194.205+C690*267.466+D690*133.845+E690*53.484+F690*40+G690*185+H690*0+I690*100+J690*300)/(194.205+267.466+133.845+53.484+0+40+185+100+300)</f>
        <v>41.403286161381473</v>
      </c>
      <c r="AC690" s="45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41.06681366906475</v>
      </c>
    </row>
    <row r="691" spans="1:29" ht="15.75" x14ac:dyDescent="0.25">
      <c r="A691" s="13">
        <v>61940</v>
      </c>
      <c r="B691" s="10">
        <f>CHOOSE(CONTROL!$C$42, 40.5849, 40.5849) * CHOOSE(CONTROL!$C$21, $C$9, 100%, $E$9)</f>
        <v>40.584899999999998</v>
      </c>
      <c r="C691" s="10">
        <f>CHOOSE(CONTROL!$C$42, 40.5928, 40.5928) * CHOOSE(CONTROL!$C$21, $C$9, 100%, $E$9)</f>
        <v>40.592799999999997</v>
      </c>
      <c r="D691" s="10">
        <f>CHOOSE(CONTROL!$C$42, 40.7955, 40.7955) * CHOOSE(CONTROL!$C$21, $C$9, 100%, $E$9)</f>
        <v>40.795499999999997</v>
      </c>
      <c r="E691" s="10">
        <f>CHOOSE(CONTROL!$C$42, 40.8266, 40.8266) * CHOOSE(CONTROL!$C$21, $C$9, 100%, $E$9)</f>
        <v>40.826599999999999</v>
      </c>
      <c r="F691" s="10">
        <f>CHOOSE(CONTROL!$C$42, 40.5616, 40.5616)*CHOOSE(CONTROL!$C$21, $C$9, 100%, $E$9)</f>
        <v>40.561599999999999</v>
      </c>
      <c r="G691" s="10">
        <f>CHOOSE(CONTROL!$C$42, 40.5769, 40.5769)*CHOOSE(CONTROL!$C$21, $C$9, 100%, $E$9)</f>
        <v>40.576900000000002</v>
      </c>
      <c r="H691" s="10">
        <f>CHOOSE(CONTROL!$C$42, 40.8153, 40.8153) * CHOOSE(CONTROL!$C$21, $C$9, 100%, $E$9)</f>
        <v>40.815300000000001</v>
      </c>
      <c r="I691" s="10">
        <f>CHOOSE(CONTROL!$C$42, 40.5849, 40.5849)* CHOOSE(CONTROL!$C$21, $C$9, 100%, $E$9)</f>
        <v>40.584899999999998</v>
      </c>
      <c r="J691" s="10">
        <f>CHOOSE(CONTROL!$C$42, 40.5546, 40.5546)* CHOOSE(CONTROL!$C$21, $C$9, 100%, $E$9)</f>
        <v>40.554600000000001</v>
      </c>
      <c r="K691" s="53">
        <f>CHOOSE(CONTROL!$C$42, 40.581, 40.581) * CHOOSE(CONTROL!$C$21, $C$9, 100%, $E$9)</f>
        <v>40.581000000000003</v>
      </c>
      <c r="L691" s="10">
        <f>CHOOSE(CONTROL!$C$42, 41.4023, 41.4023) * CHOOSE(CONTROL!$C$21, $C$9, 100%, $E$9)</f>
        <v>41.402299999999997</v>
      </c>
      <c r="M691" s="10">
        <f>CHOOSE(CONTROL!$C$42, 40.1592, 40.1592) * CHOOSE(CONTROL!$C$21, $C$9, 100%, $E$9)</f>
        <v>40.159199999999998</v>
      </c>
      <c r="N691" s="10">
        <f>CHOOSE(CONTROL!$C$42, 40.1743, 40.1743) * CHOOSE(CONTROL!$C$21, $C$9, 100%, $E$9)</f>
        <v>40.174300000000002</v>
      </c>
      <c r="O691" s="10">
        <f>CHOOSE(CONTROL!$C$42, 40.4172, 40.4172) * CHOOSE(CONTROL!$C$21, $C$9, 100%, $E$9)</f>
        <v>40.417200000000001</v>
      </c>
      <c r="P691" s="10">
        <f>CHOOSE(CONTROL!$C$42, 40.1892, 40.1892) * CHOOSE(CONTROL!$C$21, $C$9, 100%, $E$9)</f>
        <v>40.1892</v>
      </c>
      <c r="Q691" s="10">
        <f>CHOOSE(CONTROL!$C$42, 41.0125, 41.0125) * CHOOSE(CONTROL!$C$21, $C$9, 100%, $E$9)</f>
        <v>41.012500000000003</v>
      </c>
      <c r="R691" s="10">
        <f>CHOOSE(CONTROL!$C$42, 41.702, 41.702) * CHOOSE(CONTROL!$C$21, $C$9, 100%, $E$9)</f>
        <v>41.701999999999998</v>
      </c>
      <c r="S691" s="10">
        <f>CHOOSE(CONTROL!$C$42, 39.4077, 39.4077) * CHOOSE(CONTROL!$C$21, $C$9, 100%, $E$9)</f>
        <v>39.407699999999998</v>
      </c>
      <c r="T6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57">
        <f>(1000*CHOOSE(CONTROL!$C$42, 695, 695)*CHOOSE(CONTROL!$C$42, 0.5599, 0.5599)*CHOOSE(CONTROL!$C$42, 31, 31))/1000000</f>
        <v>12.063045499999998</v>
      </c>
      <c r="V691" s="57">
        <f>(1000*CHOOSE(CONTROL!$C$42, 500, 500)*CHOOSE(CONTROL!$C$42, 0.275, 0.275)*CHOOSE(CONTROL!$C$42, 31, 31))/1000000</f>
        <v>4.2625000000000002</v>
      </c>
      <c r="W691" s="57">
        <f>(1000*CHOOSE(CONTROL!$C$42, 0.1146, 0.1146)*CHOOSE(CONTROL!$C$42, 121.5, 121.5)*CHOOSE(CONTROL!$C$42, 31, 31))/1000000</f>
        <v>0.43164089999999994</v>
      </c>
      <c r="X691" s="57">
        <f>(31*0.1790888*245000/1000000)+(31*0.2374*100000/1000000)</f>
        <v>2.0961194359999999</v>
      </c>
      <c r="Y691" s="57"/>
      <c r="Z691" s="10"/>
      <c r="AA691" s="56"/>
      <c r="AB691" s="50">
        <f>(B691*194.205+C691*267.466+D691*133.845+E691*53.484+F691*40+G691*185+H691*0+I691*100+J691*300)/(194.205+267.466+133.845+53.484+0+40+185+100+300)</f>
        <v>40.609802528414441</v>
      </c>
      <c r="AC691" s="45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40.281320863309347</v>
      </c>
    </row>
    <row r="692" spans="1:29" ht="15.75" x14ac:dyDescent="0.25">
      <c r="A692" s="13">
        <v>61971</v>
      </c>
      <c r="B692" s="10">
        <f>CHOOSE(CONTROL!$C$42, 38.5804, 38.5804) * CHOOSE(CONTROL!$C$21, $C$9, 100%, $E$9)</f>
        <v>38.580399999999997</v>
      </c>
      <c r="C692" s="10">
        <f>CHOOSE(CONTROL!$C$42, 38.5883, 38.5883) * CHOOSE(CONTROL!$C$21, $C$9, 100%, $E$9)</f>
        <v>38.588299999999997</v>
      </c>
      <c r="D692" s="10">
        <f>CHOOSE(CONTROL!$C$42, 38.7911, 38.7911) * CHOOSE(CONTROL!$C$21, $C$9, 100%, $E$9)</f>
        <v>38.7911</v>
      </c>
      <c r="E692" s="10">
        <f>CHOOSE(CONTROL!$C$42, 38.8222, 38.8222) * CHOOSE(CONTROL!$C$21, $C$9, 100%, $E$9)</f>
        <v>38.822200000000002</v>
      </c>
      <c r="F692" s="10">
        <f>CHOOSE(CONTROL!$C$42, 38.5574, 38.5574)*CHOOSE(CONTROL!$C$21, $C$9, 100%, $E$9)</f>
        <v>38.557400000000001</v>
      </c>
      <c r="G692" s="10">
        <f>CHOOSE(CONTROL!$C$42, 38.5727, 38.5727)*CHOOSE(CONTROL!$C$21, $C$9, 100%, $E$9)</f>
        <v>38.572699999999998</v>
      </c>
      <c r="H692" s="10">
        <f>CHOOSE(CONTROL!$C$42, 38.8108, 38.8108) * CHOOSE(CONTROL!$C$21, $C$9, 100%, $E$9)</f>
        <v>38.8108</v>
      </c>
      <c r="I692" s="10">
        <f>CHOOSE(CONTROL!$C$42, 38.5805, 38.5805)* CHOOSE(CONTROL!$C$21, $C$9, 100%, $E$9)</f>
        <v>38.580500000000001</v>
      </c>
      <c r="J692" s="10">
        <f>CHOOSE(CONTROL!$C$42, 38.5504, 38.5504)* CHOOSE(CONTROL!$C$21, $C$9, 100%, $E$9)</f>
        <v>38.550400000000003</v>
      </c>
      <c r="K692" s="53">
        <f>CHOOSE(CONTROL!$C$42, 38.5766, 38.5766) * CHOOSE(CONTROL!$C$21, $C$9, 100%, $E$9)</f>
        <v>38.576599999999999</v>
      </c>
      <c r="L692" s="10">
        <f>CHOOSE(CONTROL!$C$42, 39.3978, 39.3978) * CHOOSE(CONTROL!$C$21, $C$9, 100%, $E$9)</f>
        <v>39.397799999999997</v>
      </c>
      <c r="M692" s="10">
        <f>CHOOSE(CONTROL!$C$42, 38.1752, 38.1752) * CHOOSE(CONTROL!$C$21, $C$9, 100%, $E$9)</f>
        <v>38.175199999999997</v>
      </c>
      <c r="N692" s="10">
        <f>CHOOSE(CONTROL!$C$42, 38.1903, 38.1903) * CHOOSE(CONTROL!$C$21, $C$9, 100%, $E$9)</f>
        <v>38.190300000000001</v>
      </c>
      <c r="O692" s="10">
        <f>CHOOSE(CONTROL!$C$42, 38.433, 38.433) * CHOOSE(CONTROL!$C$21, $C$9, 100%, $E$9)</f>
        <v>38.433</v>
      </c>
      <c r="P692" s="10">
        <f>CHOOSE(CONTROL!$C$42, 38.205, 38.205) * CHOOSE(CONTROL!$C$21, $C$9, 100%, $E$9)</f>
        <v>38.204999999999998</v>
      </c>
      <c r="Q692" s="10">
        <f>CHOOSE(CONTROL!$C$42, 39.0283, 39.0283) * CHOOSE(CONTROL!$C$21, $C$9, 100%, $E$9)</f>
        <v>39.028300000000002</v>
      </c>
      <c r="R692" s="10">
        <f>CHOOSE(CONTROL!$C$42, 39.7129, 39.7129) * CHOOSE(CONTROL!$C$21, $C$9, 100%, $E$9)</f>
        <v>39.712899999999998</v>
      </c>
      <c r="S692" s="10">
        <f>CHOOSE(CONTROL!$C$42, 37.4612, 37.4612) * CHOOSE(CONTROL!$C$21, $C$9, 100%, $E$9)</f>
        <v>37.461199999999998</v>
      </c>
      <c r="T6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57">
        <f>(1000*CHOOSE(CONTROL!$C$42, 695, 695)*CHOOSE(CONTROL!$C$42, 0.5599, 0.5599)*CHOOSE(CONTROL!$C$42, 31, 31))/1000000</f>
        <v>12.063045499999998</v>
      </c>
      <c r="V692" s="57">
        <f>(1000*CHOOSE(CONTROL!$C$42, 500, 500)*CHOOSE(CONTROL!$C$42, 0.275, 0.275)*CHOOSE(CONTROL!$C$42, 31, 31))/1000000</f>
        <v>4.2625000000000002</v>
      </c>
      <c r="W692" s="57">
        <f>(1000*CHOOSE(CONTROL!$C$42, 0.1146, 0.1146)*CHOOSE(CONTROL!$C$42, 121.5, 121.5)*CHOOSE(CONTROL!$C$42, 31, 31))/1000000</f>
        <v>0.43164089999999994</v>
      </c>
      <c r="X692" s="57">
        <f>(31*0.1790888*245000/1000000)+(31*0.2374*100000/1000000)</f>
        <v>2.0961194359999999</v>
      </c>
      <c r="Y692" s="57"/>
      <c r="Z692" s="10"/>
      <c r="AA692" s="56"/>
      <c r="AB692" s="50">
        <f>(B692*194.205+C692*267.466+D692*133.845+E692*53.484+F692*40+G692*185+H692*0+I692*100+J692*300)/(194.205+267.466+133.845+53.484+0+40+185+100+300)</f>
        <v>38.605448708084779</v>
      </c>
      <c r="AC692" s="45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38.297201438848923</v>
      </c>
    </row>
    <row r="693" spans="1:29" ht="15.75" x14ac:dyDescent="0.25">
      <c r="A693" s="13">
        <v>62001</v>
      </c>
      <c r="B693" s="10">
        <f>CHOOSE(CONTROL!$C$42, 36.131, 36.131) * CHOOSE(CONTROL!$C$21, $C$9, 100%, $E$9)</f>
        <v>36.131</v>
      </c>
      <c r="C693" s="10">
        <f>CHOOSE(CONTROL!$C$42, 36.1389, 36.1389) * CHOOSE(CONTROL!$C$21, $C$9, 100%, $E$9)</f>
        <v>36.1389</v>
      </c>
      <c r="D693" s="10">
        <f>CHOOSE(CONTROL!$C$42, 36.3417, 36.3417) * CHOOSE(CONTROL!$C$21, $C$9, 100%, $E$9)</f>
        <v>36.341700000000003</v>
      </c>
      <c r="E693" s="10">
        <f>CHOOSE(CONTROL!$C$42, 36.3728, 36.3728) * CHOOSE(CONTROL!$C$21, $C$9, 100%, $E$9)</f>
        <v>36.372799999999998</v>
      </c>
      <c r="F693" s="10">
        <f>CHOOSE(CONTROL!$C$42, 36.1078, 36.1078)*CHOOSE(CONTROL!$C$21, $C$9, 100%, $E$9)</f>
        <v>36.107799999999997</v>
      </c>
      <c r="G693" s="10">
        <f>CHOOSE(CONTROL!$C$42, 36.1231, 36.1231)*CHOOSE(CONTROL!$C$21, $C$9, 100%, $E$9)</f>
        <v>36.123100000000001</v>
      </c>
      <c r="H693" s="10">
        <f>CHOOSE(CONTROL!$C$42, 36.3614, 36.3614) * CHOOSE(CONTROL!$C$21, $C$9, 100%, $E$9)</f>
        <v>36.361400000000003</v>
      </c>
      <c r="I693" s="10">
        <f>CHOOSE(CONTROL!$C$42, 36.131, 36.131)* CHOOSE(CONTROL!$C$21, $C$9, 100%, $E$9)</f>
        <v>36.131</v>
      </c>
      <c r="J693" s="10">
        <f>CHOOSE(CONTROL!$C$42, 36.1008, 36.1008)* CHOOSE(CONTROL!$C$21, $C$9, 100%, $E$9)</f>
        <v>36.1008</v>
      </c>
      <c r="K693" s="53">
        <f>CHOOSE(CONTROL!$C$42, 36.1271, 36.1271) * CHOOSE(CONTROL!$C$21, $C$9, 100%, $E$9)</f>
        <v>36.127099999999999</v>
      </c>
      <c r="L693" s="10">
        <f>CHOOSE(CONTROL!$C$42, 36.9484, 36.9484) * CHOOSE(CONTROL!$C$21, $C$9, 100%, $E$9)</f>
        <v>36.948399999999999</v>
      </c>
      <c r="M693" s="10">
        <f>CHOOSE(CONTROL!$C$42, 35.7503, 35.7503) * CHOOSE(CONTROL!$C$21, $C$9, 100%, $E$9)</f>
        <v>35.750300000000003</v>
      </c>
      <c r="N693" s="10">
        <f>CHOOSE(CONTROL!$C$42, 35.7654, 35.7654) * CHOOSE(CONTROL!$C$21, $C$9, 100%, $E$9)</f>
        <v>35.7654</v>
      </c>
      <c r="O693" s="10">
        <f>CHOOSE(CONTROL!$C$42, 36.0083, 36.0083) * CHOOSE(CONTROL!$C$21, $C$9, 100%, $E$9)</f>
        <v>36.008299999999998</v>
      </c>
      <c r="P693" s="10">
        <f>CHOOSE(CONTROL!$C$42, 35.7803, 35.7803) * CHOOSE(CONTROL!$C$21, $C$9, 100%, $E$9)</f>
        <v>35.780299999999997</v>
      </c>
      <c r="Q693" s="10">
        <f>CHOOSE(CONTROL!$C$42, 36.6036, 36.6036) * CHOOSE(CONTROL!$C$21, $C$9, 100%, $E$9)</f>
        <v>36.6036</v>
      </c>
      <c r="R693" s="10">
        <f>CHOOSE(CONTROL!$C$42, 37.2821, 37.2821) * CHOOSE(CONTROL!$C$21, $C$9, 100%, $E$9)</f>
        <v>37.2821</v>
      </c>
      <c r="S693" s="10">
        <f>CHOOSE(CONTROL!$C$42, 35.0826, 35.0826) * CHOOSE(CONTROL!$C$21, $C$9, 100%, $E$9)</f>
        <v>35.082599999999999</v>
      </c>
      <c r="T6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57">
        <f>(1000*CHOOSE(CONTROL!$C$42, 695, 695)*CHOOSE(CONTROL!$C$42, 0.5599, 0.5599)*CHOOSE(CONTROL!$C$42, 30, 30))/1000000</f>
        <v>11.673914999999997</v>
      </c>
      <c r="V693" s="57">
        <f>(1000*CHOOSE(CONTROL!$C$42, 500, 500)*CHOOSE(CONTROL!$C$42, 0.275, 0.275)*CHOOSE(CONTROL!$C$42, 30, 30))/1000000</f>
        <v>4.125</v>
      </c>
      <c r="W693" s="57">
        <f>(1000*CHOOSE(CONTROL!$C$42, 0.1146, 0.1146)*CHOOSE(CONTROL!$C$42, 121.5, 121.5)*CHOOSE(CONTROL!$C$42, 30, 30))/1000000</f>
        <v>0.417717</v>
      </c>
      <c r="X693" s="57">
        <f>(30*0.1790888*245000/1000000)+(30*0.2374*100000/1000000)</f>
        <v>2.0285026799999999</v>
      </c>
      <c r="Y693" s="57"/>
      <c r="Z693" s="10"/>
      <c r="AA693" s="56"/>
      <c r="AB693" s="50">
        <f>(B693*194.205+C693*267.466+D693*133.845+E693*53.484+F693*40+G693*185+H693*0+I693*100+J693*300)/(194.205+267.466+133.845+53.484+0+40+185+100+300)</f>
        <v>36.155958441208796</v>
      </c>
      <c r="AC693" s="45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35.872420863309351</v>
      </c>
    </row>
    <row r="694" spans="1:29" ht="15.75" x14ac:dyDescent="0.25">
      <c r="A694" s="13">
        <v>62032</v>
      </c>
      <c r="B694" s="10">
        <f>CHOOSE(CONTROL!$C$42, 35.3957, 35.3957) * CHOOSE(CONTROL!$C$21, $C$9, 100%, $E$9)</f>
        <v>35.395699999999998</v>
      </c>
      <c r="C694" s="10">
        <f>CHOOSE(CONTROL!$C$42, 35.401, 35.401) * CHOOSE(CONTROL!$C$21, $C$9, 100%, $E$9)</f>
        <v>35.401000000000003</v>
      </c>
      <c r="D694" s="10">
        <f>CHOOSE(CONTROL!$C$42, 35.6087, 35.6087) * CHOOSE(CONTROL!$C$21, $C$9, 100%, $E$9)</f>
        <v>35.608699999999999</v>
      </c>
      <c r="E694" s="10">
        <f>CHOOSE(CONTROL!$C$42, 35.6375, 35.6375) * CHOOSE(CONTROL!$C$21, $C$9, 100%, $E$9)</f>
        <v>35.637500000000003</v>
      </c>
      <c r="F694" s="10">
        <f>CHOOSE(CONTROL!$C$42, 35.3745, 35.3745)*CHOOSE(CONTROL!$C$21, $C$9, 100%, $E$9)</f>
        <v>35.374499999999998</v>
      </c>
      <c r="G694" s="10">
        <f>CHOOSE(CONTROL!$C$42, 35.3894, 35.3894)*CHOOSE(CONTROL!$C$21, $C$9, 100%, $E$9)</f>
        <v>35.389400000000002</v>
      </c>
      <c r="H694" s="10">
        <f>CHOOSE(CONTROL!$C$42, 35.6279, 35.6279) * CHOOSE(CONTROL!$C$21, $C$9, 100%, $E$9)</f>
        <v>35.627899999999997</v>
      </c>
      <c r="I694" s="10">
        <f>CHOOSE(CONTROL!$C$42, 35.3975, 35.3975)* CHOOSE(CONTROL!$C$21, $C$9, 100%, $E$9)</f>
        <v>35.397500000000001</v>
      </c>
      <c r="J694" s="10">
        <f>CHOOSE(CONTROL!$C$42, 35.3675, 35.3675)* CHOOSE(CONTROL!$C$21, $C$9, 100%, $E$9)</f>
        <v>35.3675</v>
      </c>
      <c r="K694" s="53">
        <f>CHOOSE(CONTROL!$C$42, 35.3936, 35.3936) * CHOOSE(CONTROL!$C$21, $C$9, 100%, $E$9)</f>
        <v>35.393599999999999</v>
      </c>
      <c r="L694" s="10">
        <f>CHOOSE(CONTROL!$C$42, 36.2149, 36.2149) * CHOOSE(CONTROL!$C$21, $C$9, 100%, $E$9)</f>
        <v>36.2149</v>
      </c>
      <c r="M694" s="10">
        <f>CHOOSE(CONTROL!$C$42, 35.0244, 35.0244) * CHOOSE(CONTROL!$C$21, $C$9, 100%, $E$9)</f>
        <v>35.0244</v>
      </c>
      <c r="N694" s="10">
        <f>CHOOSE(CONTROL!$C$42, 35.0392, 35.0392) * CHOOSE(CONTROL!$C$21, $C$9, 100%, $E$9)</f>
        <v>35.039200000000001</v>
      </c>
      <c r="O694" s="10">
        <f>CHOOSE(CONTROL!$C$42, 35.2822, 35.2822) * CHOOSE(CONTROL!$C$21, $C$9, 100%, $E$9)</f>
        <v>35.282200000000003</v>
      </c>
      <c r="P694" s="10">
        <f>CHOOSE(CONTROL!$C$42, 35.0542, 35.0542) * CHOOSE(CONTROL!$C$21, $C$9, 100%, $E$9)</f>
        <v>35.054200000000002</v>
      </c>
      <c r="Q694" s="10">
        <f>CHOOSE(CONTROL!$C$42, 35.8775, 35.8775) * CHOOSE(CONTROL!$C$21, $C$9, 100%, $E$9)</f>
        <v>35.877499999999998</v>
      </c>
      <c r="R694" s="10">
        <f>CHOOSE(CONTROL!$C$42, 36.5542, 36.5542) * CHOOSE(CONTROL!$C$21, $C$9, 100%, $E$9)</f>
        <v>36.554200000000002</v>
      </c>
      <c r="S694" s="10">
        <f>CHOOSE(CONTROL!$C$42, 34.3703, 34.3703) * CHOOSE(CONTROL!$C$21, $C$9, 100%, $E$9)</f>
        <v>34.3703</v>
      </c>
      <c r="T6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57">
        <f>(1000*CHOOSE(CONTROL!$C$42, 695, 695)*CHOOSE(CONTROL!$C$42, 0.5599, 0.5599)*CHOOSE(CONTROL!$C$42, 31, 31))/1000000</f>
        <v>12.063045499999998</v>
      </c>
      <c r="V694" s="57">
        <f>(1000*CHOOSE(CONTROL!$C$42, 500, 500)*CHOOSE(CONTROL!$C$42, 0.275, 0.275)*CHOOSE(CONTROL!$C$42, 31, 31))/1000000</f>
        <v>4.2625000000000002</v>
      </c>
      <c r="W694" s="57">
        <f>(1000*CHOOSE(CONTROL!$C$42, 0.1146, 0.1146)*CHOOSE(CONTROL!$C$42, 121.5, 121.5)*CHOOSE(CONTROL!$C$42, 31, 31))/1000000</f>
        <v>0.43164089999999994</v>
      </c>
      <c r="X694" s="57">
        <f>(31*0.1790888*245000/1000000)+(31*0.2374*100000/1000000)</f>
        <v>2.0961194359999999</v>
      </c>
      <c r="Y694" s="57"/>
      <c r="Z694" s="10"/>
      <c r="AA694" s="56"/>
      <c r="AB694" s="50">
        <f>(B694*131.881+C694*277.167+D694*79.08+E694*125.872+F694*40+G694*185+H694*0+I694*100+J694*300)/(131.881+277.167+79.08+125.872+0+40+185+100+300)</f>
        <v>35.426737429136402</v>
      </c>
      <c r="AC694" s="45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35.146384172661875</v>
      </c>
    </row>
    <row r="695" spans="1:29" ht="15.75" x14ac:dyDescent="0.25">
      <c r="A695" s="13">
        <v>62062</v>
      </c>
      <c r="B695" s="10">
        <f>CHOOSE(CONTROL!$C$42, 36.3277, 36.3277) * CHOOSE(CONTROL!$C$21, $C$9, 100%, $E$9)</f>
        <v>36.3277</v>
      </c>
      <c r="C695" s="10">
        <f>CHOOSE(CONTROL!$C$42, 36.3327, 36.3327) * CHOOSE(CONTROL!$C$21, $C$9, 100%, $E$9)</f>
        <v>36.332700000000003</v>
      </c>
      <c r="D695" s="10">
        <f>CHOOSE(CONTROL!$C$42, 36.3932, 36.3932) * CHOOSE(CONTROL!$C$21, $C$9, 100%, $E$9)</f>
        <v>36.3932</v>
      </c>
      <c r="E695" s="10">
        <f>CHOOSE(CONTROL!$C$42, 36.427, 36.427) * CHOOSE(CONTROL!$C$21, $C$9, 100%, $E$9)</f>
        <v>36.427</v>
      </c>
      <c r="F695" s="10">
        <f>CHOOSE(CONTROL!$C$42, 36.3234, 36.3234)*CHOOSE(CONTROL!$C$21, $C$9, 100%, $E$9)</f>
        <v>36.323399999999999</v>
      </c>
      <c r="G695" s="10">
        <f>CHOOSE(CONTROL!$C$42, 36.3386, 36.3386)*CHOOSE(CONTROL!$C$21, $C$9, 100%, $E$9)</f>
        <v>36.3386</v>
      </c>
      <c r="H695" s="10">
        <f>CHOOSE(CONTROL!$C$42, 36.4162, 36.4162) * CHOOSE(CONTROL!$C$21, $C$9, 100%, $E$9)</f>
        <v>36.416200000000003</v>
      </c>
      <c r="I695" s="10">
        <f>CHOOSE(CONTROL!$C$42, 36.3402, 36.3402)* CHOOSE(CONTROL!$C$21, $C$9, 100%, $E$9)</f>
        <v>36.340200000000003</v>
      </c>
      <c r="J695" s="10">
        <f>CHOOSE(CONTROL!$C$42, 36.3164, 36.3164)* CHOOSE(CONTROL!$C$21, $C$9, 100%, $E$9)</f>
        <v>36.316400000000002</v>
      </c>
      <c r="K695" s="53">
        <f>CHOOSE(CONTROL!$C$42, 36.3364, 36.3364) * CHOOSE(CONTROL!$C$21, $C$9, 100%, $E$9)</f>
        <v>36.336399999999998</v>
      </c>
      <c r="L695" s="10">
        <f>CHOOSE(CONTROL!$C$42, 37.0032, 37.0032) * CHOOSE(CONTROL!$C$21, $C$9, 100%, $E$9)</f>
        <v>37.0032</v>
      </c>
      <c r="M695" s="10">
        <f>CHOOSE(CONTROL!$C$42, 35.9637, 35.9637) * CHOOSE(CONTROL!$C$21, $C$9, 100%, $E$9)</f>
        <v>35.963700000000003</v>
      </c>
      <c r="N695" s="10">
        <f>CHOOSE(CONTROL!$C$42, 35.9788, 35.9788) * CHOOSE(CONTROL!$C$21, $C$9, 100%, $E$9)</f>
        <v>35.9788</v>
      </c>
      <c r="O695" s="10">
        <f>CHOOSE(CONTROL!$C$42, 36.0625, 36.0625) * CHOOSE(CONTROL!$C$21, $C$9, 100%, $E$9)</f>
        <v>36.0625</v>
      </c>
      <c r="P695" s="10">
        <f>CHOOSE(CONTROL!$C$42, 35.9874, 35.9874) * CHOOSE(CONTROL!$C$21, $C$9, 100%, $E$9)</f>
        <v>35.987400000000001</v>
      </c>
      <c r="Q695" s="10">
        <f>CHOOSE(CONTROL!$C$42, 36.6578, 36.6578) * CHOOSE(CONTROL!$C$21, $C$9, 100%, $E$9)</f>
        <v>36.657800000000002</v>
      </c>
      <c r="R695" s="10">
        <f>CHOOSE(CONTROL!$C$42, 37.3364, 37.3364) * CHOOSE(CONTROL!$C$21, $C$9, 100%, $E$9)</f>
        <v>37.336399999999998</v>
      </c>
      <c r="S695" s="10">
        <f>CHOOSE(CONTROL!$C$42, 35.2757, 35.2757) * CHOOSE(CONTROL!$C$21, $C$9, 100%, $E$9)</f>
        <v>35.275700000000001</v>
      </c>
      <c r="T6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57">
        <f>(1000*CHOOSE(CONTROL!$C$42, 695, 695)*CHOOSE(CONTROL!$C$42, 0.5599, 0.5599)*CHOOSE(CONTROL!$C$42, 30, 30))/1000000</f>
        <v>11.673914999999997</v>
      </c>
      <c r="V695" s="57">
        <f>(1000*CHOOSE(CONTROL!$C$42, 500, 500)*CHOOSE(CONTROL!$C$42, 0.275, 0.275)*CHOOSE(CONTROL!$C$42, 30, 30))/1000000</f>
        <v>4.125</v>
      </c>
      <c r="W695" s="57">
        <f>(1000*CHOOSE(CONTROL!$C$42, 0.1146, 0.1146)*CHOOSE(CONTROL!$C$42, 121.5, 121.5)*CHOOSE(CONTROL!$C$42, 30, 30))/1000000</f>
        <v>0.417717</v>
      </c>
      <c r="X695" s="57">
        <f>(30*0.1790888*100000/1000000)+(30*0.2374*100000/1000000)</f>
        <v>1.2494664</v>
      </c>
      <c r="Y695" s="57"/>
      <c r="Z695" s="10"/>
      <c r="AA695" s="56"/>
      <c r="AB695" s="50">
        <f>(B695*122.58+C695*297.941+D695*89.177+E695*40.302+F695*40+G695*160+H695*0+I695*100+J695*300)/(122.58+297.941+89.177+40.302+0+40+160+100+300)</f>
        <v>36.337060684434789</v>
      </c>
      <c r="AC695" s="45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36.012758992805765</v>
      </c>
    </row>
    <row r="696" spans="1:29" ht="15.75" x14ac:dyDescent="0.25">
      <c r="A696" s="13">
        <v>62093</v>
      </c>
      <c r="B696" s="10">
        <f>CHOOSE(CONTROL!$C$42, 38.8043, 38.8043) * CHOOSE(CONTROL!$C$21, $C$9, 100%, $E$9)</f>
        <v>38.804299999999998</v>
      </c>
      <c r="C696" s="10">
        <f>CHOOSE(CONTROL!$C$42, 38.8093, 38.8093) * CHOOSE(CONTROL!$C$21, $C$9, 100%, $E$9)</f>
        <v>38.8093</v>
      </c>
      <c r="D696" s="10">
        <f>CHOOSE(CONTROL!$C$42, 38.8698, 38.8698) * CHOOSE(CONTROL!$C$21, $C$9, 100%, $E$9)</f>
        <v>38.869799999999998</v>
      </c>
      <c r="E696" s="10">
        <f>CHOOSE(CONTROL!$C$42, 38.9036, 38.9036) * CHOOSE(CONTROL!$C$21, $C$9, 100%, $E$9)</f>
        <v>38.903599999999997</v>
      </c>
      <c r="F696" s="10">
        <f>CHOOSE(CONTROL!$C$42, 38.8018, 38.8018)*CHOOSE(CONTROL!$C$21, $C$9, 100%, $E$9)</f>
        <v>38.8018</v>
      </c>
      <c r="G696" s="10">
        <f>CHOOSE(CONTROL!$C$42, 38.8175, 38.8175)*CHOOSE(CONTROL!$C$21, $C$9, 100%, $E$9)</f>
        <v>38.817500000000003</v>
      </c>
      <c r="H696" s="10">
        <f>CHOOSE(CONTROL!$C$42, 38.8928, 38.8928) * CHOOSE(CONTROL!$C$21, $C$9, 100%, $E$9)</f>
        <v>38.892800000000001</v>
      </c>
      <c r="I696" s="10">
        <f>CHOOSE(CONTROL!$C$42, 38.8168, 38.8168)* CHOOSE(CONTROL!$C$21, $C$9, 100%, $E$9)</f>
        <v>38.816800000000001</v>
      </c>
      <c r="J696" s="10">
        <f>CHOOSE(CONTROL!$C$42, 38.7948, 38.7948)* CHOOSE(CONTROL!$C$21, $C$9, 100%, $E$9)</f>
        <v>38.794800000000002</v>
      </c>
      <c r="K696" s="53">
        <f>CHOOSE(CONTROL!$C$42, 38.813, 38.813) * CHOOSE(CONTROL!$C$21, $C$9, 100%, $E$9)</f>
        <v>38.813000000000002</v>
      </c>
      <c r="L696" s="10">
        <f>CHOOSE(CONTROL!$C$42, 39.4798, 39.4798) * CHOOSE(CONTROL!$C$21, $C$9, 100%, $E$9)</f>
        <v>39.479799999999997</v>
      </c>
      <c r="M696" s="10">
        <f>CHOOSE(CONTROL!$C$42, 38.4171, 38.4171) * CHOOSE(CONTROL!$C$21, $C$9, 100%, $E$9)</f>
        <v>38.417099999999998</v>
      </c>
      <c r="N696" s="10">
        <f>CHOOSE(CONTROL!$C$42, 38.4327, 38.4327) * CHOOSE(CONTROL!$C$21, $C$9, 100%, $E$9)</f>
        <v>38.432699999999997</v>
      </c>
      <c r="O696" s="10">
        <f>CHOOSE(CONTROL!$C$42, 38.5141, 38.5141) * CHOOSE(CONTROL!$C$21, $C$9, 100%, $E$9)</f>
        <v>38.514099999999999</v>
      </c>
      <c r="P696" s="10">
        <f>CHOOSE(CONTROL!$C$42, 38.439, 38.439) * CHOOSE(CONTROL!$C$21, $C$9, 100%, $E$9)</f>
        <v>38.439</v>
      </c>
      <c r="Q696" s="10">
        <f>CHOOSE(CONTROL!$C$42, 39.1094, 39.1094) * CHOOSE(CONTROL!$C$21, $C$9, 100%, $E$9)</f>
        <v>39.109400000000001</v>
      </c>
      <c r="R696" s="10">
        <f>CHOOSE(CONTROL!$C$42, 39.7942, 39.7942) * CHOOSE(CONTROL!$C$21, $C$9, 100%, $E$9)</f>
        <v>39.794199999999996</v>
      </c>
      <c r="S696" s="10">
        <f>CHOOSE(CONTROL!$C$42, 37.6808, 37.6808) * CHOOSE(CONTROL!$C$21, $C$9, 100%, $E$9)</f>
        <v>37.680799999999998</v>
      </c>
      <c r="T6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57">
        <f>(1000*CHOOSE(CONTROL!$C$42, 695, 695)*CHOOSE(CONTROL!$C$42, 0.5599, 0.5599)*CHOOSE(CONTROL!$C$42, 31, 31))/1000000</f>
        <v>12.063045499999998</v>
      </c>
      <c r="V696" s="57">
        <f>(1000*CHOOSE(CONTROL!$C$42, 500, 500)*CHOOSE(CONTROL!$C$42, 0.275, 0.275)*CHOOSE(CONTROL!$C$42, 31, 31))/1000000</f>
        <v>4.2625000000000002</v>
      </c>
      <c r="W696" s="57">
        <f>(1000*CHOOSE(CONTROL!$C$42, 0.1146, 0.1146)*CHOOSE(CONTROL!$C$42, 121.5, 121.5)*CHOOSE(CONTROL!$C$42, 31, 31))/1000000</f>
        <v>0.43164089999999994</v>
      </c>
      <c r="X696" s="57">
        <f>(31*0.1790888*100000/1000000)+(31*0.2374*100000/1000000)</f>
        <v>1.2911152800000001</v>
      </c>
      <c r="Y696" s="57"/>
      <c r="Z696" s="10"/>
      <c r="AA696" s="56"/>
      <c r="AB696" s="50">
        <f>(B696*122.58+C696*297.941+D696*89.177+E696*40.302+F696*40+G696*160+H696*0+I696*100+J696*300)/(122.58+297.941+89.177+40.302+0+40+160+100+300)</f>
        <v>38.814512858347825</v>
      </c>
      <c r="AC696" s="45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38.465112949640286</v>
      </c>
    </row>
    <row r="697" spans="1:29" ht="15.75" x14ac:dyDescent="0.25">
      <c r="A697" s="13">
        <v>62124</v>
      </c>
      <c r="B697" s="10">
        <f>CHOOSE(CONTROL!$C$42, 41.9836, 41.9836) * CHOOSE(CONTROL!$C$21, $C$9, 100%, $E$9)</f>
        <v>41.983600000000003</v>
      </c>
      <c r="C697" s="10">
        <f>CHOOSE(CONTROL!$C$42, 41.9886, 41.9886) * CHOOSE(CONTROL!$C$21, $C$9, 100%, $E$9)</f>
        <v>41.988599999999998</v>
      </c>
      <c r="D697" s="10">
        <f>CHOOSE(CONTROL!$C$42, 42.0456, 42.0456) * CHOOSE(CONTROL!$C$21, $C$9, 100%, $E$9)</f>
        <v>42.0456</v>
      </c>
      <c r="E697" s="10">
        <f>CHOOSE(CONTROL!$C$42, 42.0794, 42.0794) * CHOOSE(CONTROL!$C$21, $C$9, 100%, $E$9)</f>
        <v>42.0794</v>
      </c>
      <c r="F697" s="10">
        <f>CHOOSE(CONTROL!$C$42, 41.9814, 41.9814)*CHOOSE(CONTROL!$C$21, $C$9, 100%, $E$9)</f>
        <v>41.981400000000001</v>
      </c>
      <c r="G697" s="10">
        <f>CHOOSE(CONTROL!$C$42, 41.996, 41.996)*CHOOSE(CONTROL!$C$21, $C$9, 100%, $E$9)</f>
        <v>41.996000000000002</v>
      </c>
      <c r="H697" s="10">
        <f>CHOOSE(CONTROL!$C$42, 42.0686, 42.0686) * CHOOSE(CONTROL!$C$21, $C$9, 100%, $E$9)</f>
        <v>42.068600000000004</v>
      </c>
      <c r="I697" s="10">
        <f>CHOOSE(CONTROL!$C$42, 41.9944, 41.9944)* CHOOSE(CONTROL!$C$21, $C$9, 100%, $E$9)</f>
        <v>41.994399999999999</v>
      </c>
      <c r="J697" s="10">
        <f>CHOOSE(CONTROL!$C$42, 41.9744, 41.9744)* CHOOSE(CONTROL!$C$21, $C$9, 100%, $E$9)</f>
        <v>41.974400000000003</v>
      </c>
      <c r="K697" s="53">
        <f>CHOOSE(CONTROL!$C$42, 41.9905, 41.9905) * CHOOSE(CONTROL!$C$21, $C$9, 100%, $E$9)</f>
        <v>41.990499999999997</v>
      </c>
      <c r="L697" s="10">
        <f>CHOOSE(CONTROL!$C$42, 42.6556, 42.6556) * CHOOSE(CONTROL!$C$21, $C$9, 100%, $E$9)</f>
        <v>42.6556</v>
      </c>
      <c r="M697" s="10">
        <f>CHOOSE(CONTROL!$C$42, 41.5646, 41.5646) * CHOOSE(CONTROL!$C$21, $C$9, 100%, $E$9)</f>
        <v>41.564599999999999</v>
      </c>
      <c r="N697" s="10">
        <f>CHOOSE(CONTROL!$C$42, 41.5791, 41.5791) * CHOOSE(CONTROL!$C$21, $C$9, 100%, $E$9)</f>
        <v>41.579099999999997</v>
      </c>
      <c r="O697" s="10">
        <f>CHOOSE(CONTROL!$C$42, 41.6579, 41.6579) * CHOOSE(CONTROL!$C$21, $C$9, 100%, $E$9)</f>
        <v>41.657899999999998</v>
      </c>
      <c r="P697" s="10">
        <f>CHOOSE(CONTROL!$C$42, 41.5845, 41.5845) * CHOOSE(CONTROL!$C$21, $C$9, 100%, $E$9)</f>
        <v>41.584499999999998</v>
      </c>
      <c r="Q697" s="10">
        <f>CHOOSE(CONTROL!$C$42, 42.2532, 42.2532) * CHOOSE(CONTROL!$C$21, $C$9, 100%, $E$9)</f>
        <v>42.2532</v>
      </c>
      <c r="R697" s="10">
        <f>CHOOSE(CONTROL!$C$42, 42.9458, 42.9458) * CHOOSE(CONTROL!$C$21, $C$9, 100%, $E$9)</f>
        <v>42.945799999999998</v>
      </c>
      <c r="S697" s="10">
        <f>CHOOSE(CONTROL!$C$42, 40.7681, 40.7681) * CHOOSE(CONTROL!$C$21, $C$9, 100%, $E$9)</f>
        <v>40.768099999999997</v>
      </c>
      <c r="T6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57">
        <f>(1000*CHOOSE(CONTROL!$C$42, 695, 695)*CHOOSE(CONTROL!$C$42, 0.5599, 0.5599)*CHOOSE(CONTROL!$C$42, 31, 31))/1000000</f>
        <v>12.063045499999998</v>
      </c>
      <c r="V697" s="57">
        <f>(1000*CHOOSE(CONTROL!$C$42, 500, 500)*CHOOSE(CONTROL!$C$42, 0.275, 0.275)*CHOOSE(CONTROL!$C$42, 31, 31))/1000000</f>
        <v>4.2625000000000002</v>
      </c>
      <c r="W697" s="57">
        <f>(1000*CHOOSE(CONTROL!$C$42, 0.1146, 0.1146)*CHOOSE(CONTROL!$C$42, 121.5, 121.5)*CHOOSE(CONTROL!$C$42, 31, 31))/1000000</f>
        <v>0.43164089999999994</v>
      </c>
      <c r="X697" s="57">
        <f>(31*0.1790888*100000/1000000)+(31*0.2374*100000/1000000)</f>
        <v>1.2911152800000001</v>
      </c>
      <c r="Y697" s="57"/>
      <c r="Z697" s="10"/>
      <c r="AA697" s="56"/>
      <c r="AB697" s="50">
        <f>(B697*122.58+C697*297.941+D697*89.177+E697*40.302+F697*40+G697*160+H697*0+I697*100+J697*300)/(122.58+297.941+89.177+40.302+0+40+160+100+300)</f>
        <v>41.993248357043477</v>
      </c>
      <c r="AC697" s="45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41.610584892086329</v>
      </c>
    </row>
    <row r="698" spans="1:29" ht="15.75" x14ac:dyDescent="0.25">
      <c r="A698" s="13">
        <v>62152</v>
      </c>
      <c r="B698" s="10">
        <f>CHOOSE(CONTROL!$C$42, 42.7309, 42.7309) * CHOOSE(CONTROL!$C$21, $C$9, 100%, $E$9)</f>
        <v>42.730899999999998</v>
      </c>
      <c r="C698" s="10">
        <f>CHOOSE(CONTROL!$C$42, 42.7359, 42.7359) * CHOOSE(CONTROL!$C$21, $C$9, 100%, $E$9)</f>
        <v>42.735900000000001</v>
      </c>
      <c r="D698" s="10">
        <f>CHOOSE(CONTROL!$C$42, 42.7929, 42.7929) * CHOOSE(CONTROL!$C$21, $C$9, 100%, $E$9)</f>
        <v>42.792900000000003</v>
      </c>
      <c r="E698" s="10">
        <f>CHOOSE(CONTROL!$C$42, 42.8267, 42.8267) * CHOOSE(CONTROL!$C$21, $C$9, 100%, $E$9)</f>
        <v>42.826700000000002</v>
      </c>
      <c r="F698" s="10">
        <f>CHOOSE(CONTROL!$C$42, 42.7289, 42.7289)*CHOOSE(CONTROL!$C$21, $C$9, 100%, $E$9)</f>
        <v>42.728900000000003</v>
      </c>
      <c r="G698" s="10">
        <f>CHOOSE(CONTROL!$C$42, 42.7435, 42.7435)*CHOOSE(CONTROL!$C$21, $C$9, 100%, $E$9)</f>
        <v>42.743499999999997</v>
      </c>
      <c r="H698" s="10">
        <f>CHOOSE(CONTROL!$C$42, 42.8159, 42.8159) * CHOOSE(CONTROL!$C$21, $C$9, 100%, $E$9)</f>
        <v>42.815899999999999</v>
      </c>
      <c r="I698" s="10">
        <f>CHOOSE(CONTROL!$C$42, 42.7417, 42.7417)* CHOOSE(CONTROL!$C$21, $C$9, 100%, $E$9)</f>
        <v>42.741700000000002</v>
      </c>
      <c r="J698" s="10">
        <f>CHOOSE(CONTROL!$C$42, 42.7219, 42.7219)* CHOOSE(CONTROL!$C$21, $C$9, 100%, $E$9)</f>
        <v>42.721899999999998</v>
      </c>
      <c r="K698" s="53">
        <f>CHOOSE(CONTROL!$C$42, 42.7378, 42.7378) * CHOOSE(CONTROL!$C$21, $C$9, 100%, $E$9)</f>
        <v>42.7378</v>
      </c>
      <c r="L698" s="10">
        <f>CHOOSE(CONTROL!$C$42, 43.4029, 43.4029) * CHOOSE(CONTROL!$C$21, $C$9, 100%, $E$9)</f>
        <v>43.402900000000002</v>
      </c>
      <c r="M698" s="10">
        <f>CHOOSE(CONTROL!$C$42, 42.3045, 42.3045) * CHOOSE(CONTROL!$C$21, $C$9, 100%, $E$9)</f>
        <v>42.304499999999997</v>
      </c>
      <c r="N698" s="10">
        <f>CHOOSE(CONTROL!$C$42, 42.319, 42.319) * CHOOSE(CONTROL!$C$21, $C$9, 100%, $E$9)</f>
        <v>42.319000000000003</v>
      </c>
      <c r="O698" s="10">
        <f>CHOOSE(CONTROL!$C$42, 42.3977, 42.3977) * CHOOSE(CONTROL!$C$21, $C$9, 100%, $E$9)</f>
        <v>42.3977</v>
      </c>
      <c r="P698" s="10">
        <f>CHOOSE(CONTROL!$C$42, 42.3242, 42.3242) * CHOOSE(CONTROL!$C$21, $C$9, 100%, $E$9)</f>
        <v>42.324199999999998</v>
      </c>
      <c r="Q698" s="10">
        <f>CHOOSE(CONTROL!$C$42, 42.993, 42.993) * CHOOSE(CONTROL!$C$21, $C$9, 100%, $E$9)</f>
        <v>42.993000000000002</v>
      </c>
      <c r="R698" s="10">
        <f>CHOOSE(CONTROL!$C$42, 43.6874, 43.6874) * CHOOSE(CONTROL!$C$21, $C$9, 100%, $E$9)</f>
        <v>43.687399999999997</v>
      </c>
      <c r="S698" s="10">
        <f>CHOOSE(CONTROL!$C$42, 41.4939, 41.4939) * CHOOSE(CONTROL!$C$21, $C$9, 100%, $E$9)</f>
        <v>41.493899999999996</v>
      </c>
      <c r="T6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57">
        <f>(1000*CHOOSE(CONTROL!$C$42, 695, 695)*CHOOSE(CONTROL!$C$42, 0.5599, 0.5599)*CHOOSE(CONTROL!$C$42, 28, 28))/1000000</f>
        <v>10.895653999999999</v>
      </c>
      <c r="V698" s="57">
        <f>(1000*CHOOSE(CONTROL!$C$42, 500, 500)*CHOOSE(CONTROL!$C$42, 0.275, 0.275)*CHOOSE(CONTROL!$C$42, 28, 28))/1000000</f>
        <v>3.85</v>
      </c>
      <c r="W698" s="57">
        <f>(1000*CHOOSE(CONTROL!$C$42, 0.1146, 0.1146)*CHOOSE(CONTROL!$C$42, 121.5, 121.5)*CHOOSE(CONTROL!$C$42, 28, 28))/1000000</f>
        <v>0.38986920000000003</v>
      </c>
      <c r="X698" s="57">
        <f>(28*0.1790888*100000/1000000)+(28*0.2374*100000/1000000)</f>
        <v>1.16616864</v>
      </c>
      <c r="Y698" s="57"/>
      <c r="Z698" s="10"/>
      <c r="AA698" s="56"/>
      <c r="AB698" s="50">
        <f>(B698*122.58+C698*297.941+D698*89.177+E698*40.302+F698*40+G698*160+H698*0+I698*100+J698*300)/(122.58+297.941+89.177+40.302+0+40+160+100+300)</f>
        <v>42.740635313565214</v>
      </c>
      <c r="AC698" s="45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42.350410791366905</v>
      </c>
    </row>
    <row r="699" spans="1:29" ht="15.75" x14ac:dyDescent="0.25">
      <c r="A699" s="13">
        <v>62183</v>
      </c>
      <c r="B699" s="10">
        <f>CHOOSE(CONTROL!$C$42, 41.5178, 41.5178) * CHOOSE(CONTROL!$C$21, $C$9, 100%, $E$9)</f>
        <v>41.517800000000001</v>
      </c>
      <c r="C699" s="10">
        <f>CHOOSE(CONTROL!$C$42, 41.5228, 41.5228) * CHOOSE(CONTROL!$C$21, $C$9, 100%, $E$9)</f>
        <v>41.522799999999997</v>
      </c>
      <c r="D699" s="10">
        <f>CHOOSE(CONTROL!$C$42, 41.5799, 41.5799) * CHOOSE(CONTROL!$C$21, $C$9, 100%, $E$9)</f>
        <v>41.579900000000002</v>
      </c>
      <c r="E699" s="10">
        <f>CHOOSE(CONTROL!$C$42, 41.6136, 41.6136) * CHOOSE(CONTROL!$C$21, $C$9, 100%, $E$9)</f>
        <v>41.613599999999998</v>
      </c>
      <c r="F699" s="10">
        <f>CHOOSE(CONTROL!$C$42, 41.5156, 41.5156)*CHOOSE(CONTROL!$C$21, $C$9, 100%, $E$9)</f>
        <v>41.515599999999999</v>
      </c>
      <c r="G699" s="10">
        <f>CHOOSE(CONTROL!$C$42, 41.5303, 41.5303)*CHOOSE(CONTROL!$C$21, $C$9, 100%, $E$9)</f>
        <v>41.530299999999997</v>
      </c>
      <c r="H699" s="10">
        <f>CHOOSE(CONTROL!$C$42, 41.6028, 41.6028) * CHOOSE(CONTROL!$C$21, $C$9, 100%, $E$9)</f>
        <v>41.602800000000002</v>
      </c>
      <c r="I699" s="10">
        <f>CHOOSE(CONTROL!$C$42, 41.5286, 41.5286)* CHOOSE(CONTROL!$C$21, $C$9, 100%, $E$9)</f>
        <v>41.528599999999997</v>
      </c>
      <c r="J699" s="10">
        <f>CHOOSE(CONTROL!$C$42, 41.5086, 41.5086)* CHOOSE(CONTROL!$C$21, $C$9, 100%, $E$9)</f>
        <v>41.508600000000001</v>
      </c>
      <c r="K699" s="53">
        <f>CHOOSE(CONTROL!$C$42, 41.5247, 41.5247) * CHOOSE(CONTROL!$C$21, $C$9, 100%, $E$9)</f>
        <v>41.524700000000003</v>
      </c>
      <c r="L699" s="10">
        <f>CHOOSE(CONTROL!$C$42, 42.1898, 42.1898) * CHOOSE(CONTROL!$C$21, $C$9, 100%, $E$9)</f>
        <v>42.189799999999998</v>
      </c>
      <c r="M699" s="10">
        <f>CHOOSE(CONTROL!$C$42, 41.1036, 41.1036) * CHOOSE(CONTROL!$C$21, $C$9, 100%, $E$9)</f>
        <v>41.1036</v>
      </c>
      <c r="N699" s="10">
        <f>CHOOSE(CONTROL!$C$42, 41.118, 41.118) * CHOOSE(CONTROL!$C$21, $C$9, 100%, $E$9)</f>
        <v>41.118000000000002</v>
      </c>
      <c r="O699" s="10">
        <f>CHOOSE(CONTROL!$C$42, 41.1968, 41.1968) * CHOOSE(CONTROL!$C$21, $C$9, 100%, $E$9)</f>
        <v>41.196800000000003</v>
      </c>
      <c r="P699" s="10">
        <f>CHOOSE(CONTROL!$C$42, 41.1234, 41.1234) * CHOOSE(CONTROL!$C$21, $C$9, 100%, $E$9)</f>
        <v>41.123399999999997</v>
      </c>
      <c r="Q699" s="10">
        <f>CHOOSE(CONTROL!$C$42, 41.7921, 41.7921) * CHOOSE(CONTROL!$C$21, $C$9, 100%, $E$9)</f>
        <v>41.792099999999998</v>
      </c>
      <c r="R699" s="10">
        <f>CHOOSE(CONTROL!$C$42, 42.4836, 42.4836) * CHOOSE(CONTROL!$C$21, $C$9, 100%, $E$9)</f>
        <v>42.483600000000003</v>
      </c>
      <c r="S699" s="10">
        <f>CHOOSE(CONTROL!$C$42, 40.3158, 40.3158) * CHOOSE(CONTROL!$C$21, $C$9, 100%, $E$9)</f>
        <v>40.315800000000003</v>
      </c>
      <c r="T6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57">
        <f>(1000*CHOOSE(CONTROL!$C$42, 695, 695)*CHOOSE(CONTROL!$C$42, 0.5599, 0.5599)*CHOOSE(CONTROL!$C$42, 31, 31))/1000000</f>
        <v>12.063045499999998</v>
      </c>
      <c r="V699" s="57">
        <f>(1000*CHOOSE(CONTROL!$C$42, 500, 500)*CHOOSE(CONTROL!$C$42, 0.275, 0.275)*CHOOSE(CONTROL!$C$42, 31, 31))/1000000</f>
        <v>4.2625000000000002</v>
      </c>
      <c r="W699" s="57">
        <f>(1000*CHOOSE(CONTROL!$C$42, 0.1146, 0.1146)*CHOOSE(CONTROL!$C$42, 121.5, 121.5)*CHOOSE(CONTROL!$C$42, 31, 31))/1000000</f>
        <v>0.43164089999999994</v>
      </c>
      <c r="X699" s="57">
        <f>(31*0.1790888*100000/1000000)+(31*0.2374*100000/1000000)</f>
        <v>1.2911152800000001</v>
      </c>
      <c r="Y699" s="57"/>
      <c r="Z699" s="10"/>
      <c r="AA699" s="56"/>
      <c r="AB699" s="50">
        <f>(B699*122.58+C699*297.941+D699*89.177+E699*40.302+F699*40+G699*160+H699*0+I699*100+J699*300)/(122.58+297.941+89.177+40.302+0+40+160+100+300)</f>
        <v>41.527470024608697</v>
      </c>
      <c r="AC699" s="45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41.149519424460436</v>
      </c>
    </row>
    <row r="700" spans="1:29" ht="15.75" x14ac:dyDescent="0.25">
      <c r="A700" s="13">
        <v>62213</v>
      </c>
      <c r="B700" s="10">
        <f>CHOOSE(CONTROL!$C$42, 41.3947, 41.3947) * CHOOSE(CONTROL!$C$21, $C$9, 100%, $E$9)</f>
        <v>41.3947</v>
      </c>
      <c r="C700" s="10">
        <f>CHOOSE(CONTROL!$C$42, 41.3991, 41.3991) * CHOOSE(CONTROL!$C$21, $C$9, 100%, $E$9)</f>
        <v>41.399099999999997</v>
      </c>
      <c r="D700" s="10">
        <f>CHOOSE(CONTROL!$C$42, 41.605, 41.605) * CHOOSE(CONTROL!$C$21, $C$9, 100%, $E$9)</f>
        <v>41.604999999999997</v>
      </c>
      <c r="E700" s="10">
        <f>CHOOSE(CONTROL!$C$42, 41.6367, 41.6367) * CHOOSE(CONTROL!$C$21, $C$9, 100%, $E$9)</f>
        <v>41.636699999999998</v>
      </c>
      <c r="F700" s="10">
        <f>CHOOSE(CONTROL!$C$42, 41.3715, 41.3715)*CHOOSE(CONTROL!$C$21, $C$9, 100%, $E$9)</f>
        <v>41.371499999999997</v>
      </c>
      <c r="G700" s="10">
        <f>CHOOSE(CONTROL!$C$42, 41.386, 41.386)*CHOOSE(CONTROL!$C$21, $C$9, 100%, $E$9)</f>
        <v>41.386000000000003</v>
      </c>
      <c r="H700" s="10">
        <f>CHOOSE(CONTROL!$C$42, 41.6265, 41.6265) * CHOOSE(CONTROL!$C$21, $C$9, 100%, $E$9)</f>
        <v>41.6265</v>
      </c>
      <c r="I700" s="10">
        <f>CHOOSE(CONTROL!$C$42, 41.3961, 41.3961)* CHOOSE(CONTROL!$C$21, $C$9, 100%, $E$9)</f>
        <v>41.396099999999997</v>
      </c>
      <c r="J700" s="10">
        <f>CHOOSE(CONTROL!$C$42, 41.3645, 41.3645)* CHOOSE(CONTROL!$C$21, $C$9, 100%, $E$9)</f>
        <v>41.3645</v>
      </c>
      <c r="K700" s="53">
        <f>CHOOSE(CONTROL!$C$42, 41.3922, 41.3922) * CHOOSE(CONTROL!$C$21, $C$9, 100%, $E$9)</f>
        <v>41.392200000000003</v>
      </c>
      <c r="L700" s="10">
        <f>CHOOSE(CONTROL!$C$42, 42.2135, 42.2135) * CHOOSE(CONTROL!$C$21, $C$9, 100%, $E$9)</f>
        <v>42.213500000000003</v>
      </c>
      <c r="M700" s="10">
        <f>CHOOSE(CONTROL!$C$42, 40.9609, 40.9609) * CHOOSE(CONTROL!$C$21, $C$9, 100%, $E$9)</f>
        <v>40.960900000000002</v>
      </c>
      <c r="N700" s="10">
        <f>CHOOSE(CONTROL!$C$42, 40.9752, 40.9752) * CHOOSE(CONTROL!$C$21, $C$9, 100%, $E$9)</f>
        <v>40.975200000000001</v>
      </c>
      <c r="O700" s="10">
        <f>CHOOSE(CONTROL!$C$42, 41.2203, 41.2203) * CHOOSE(CONTROL!$C$21, $C$9, 100%, $E$9)</f>
        <v>41.220300000000002</v>
      </c>
      <c r="P700" s="10">
        <f>CHOOSE(CONTROL!$C$42, 40.9922, 40.9922) * CHOOSE(CONTROL!$C$21, $C$9, 100%, $E$9)</f>
        <v>40.992199999999997</v>
      </c>
      <c r="Q700" s="10">
        <f>CHOOSE(CONTROL!$C$42, 41.8156, 41.8156) * CHOOSE(CONTROL!$C$21, $C$9, 100%, $E$9)</f>
        <v>41.815600000000003</v>
      </c>
      <c r="R700" s="10">
        <f>CHOOSE(CONTROL!$C$42, 42.5071, 42.5071) * CHOOSE(CONTROL!$C$21, $C$9, 100%, $E$9)</f>
        <v>42.507100000000001</v>
      </c>
      <c r="S700" s="10">
        <f>CHOOSE(CONTROL!$C$42, 40.1955, 40.1955) * CHOOSE(CONTROL!$C$21, $C$9, 100%, $E$9)</f>
        <v>40.195500000000003</v>
      </c>
      <c r="T7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57">
        <f>(1000*CHOOSE(CONTROL!$C$42, 695, 695)*CHOOSE(CONTROL!$C$42, 0.5599, 0.5599)*CHOOSE(CONTROL!$C$42, 30, 30))/1000000</f>
        <v>11.673914999999997</v>
      </c>
      <c r="V700" s="57">
        <f>(1000*CHOOSE(CONTROL!$C$42, 500, 500)*CHOOSE(CONTROL!$C$42, 0.275, 0.275)*CHOOSE(CONTROL!$C$42, 30, 30))/1000000</f>
        <v>4.125</v>
      </c>
      <c r="W700" s="57">
        <f>(1000*CHOOSE(CONTROL!$C$42, 0.1146, 0.1146)*CHOOSE(CONTROL!$C$42, 121.5, 121.5)*CHOOSE(CONTROL!$C$42, 30, 30))/1000000</f>
        <v>0.417717</v>
      </c>
      <c r="X700" s="57">
        <f>(30*0.1790888*245000/1000000)+(30*0.2374*100000/1000000)</f>
        <v>2.0285026799999999</v>
      </c>
      <c r="Y700" s="57"/>
      <c r="Z700" s="10"/>
      <c r="AA700" s="56"/>
      <c r="AB700" s="50">
        <f>(B700*141.293+C700*267.993+D700*115.016+E700*89.698+F700*40+G700*185+H700*0+I700*100+J700*300)/(141.293+267.993+115.016+89.698+0+40+185+100+300)</f>
        <v>41.423446125907986</v>
      </c>
      <c r="AC700" s="45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41.083796402877695</v>
      </c>
    </row>
    <row r="701" spans="1:29" ht="15.75" x14ac:dyDescent="0.25">
      <c r="A701" s="13">
        <v>62244</v>
      </c>
      <c r="B701" s="10">
        <f>CHOOSE(CONTROL!$C$42, 41.7614, 41.7614) * CHOOSE(CONTROL!$C$21, $C$9, 100%, $E$9)</f>
        <v>41.761400000000002</v>
      </c>
      <c r="C701" s="10">
        <f>CHOOSE(CONTROL!$C$42, 41.7693, 41.7693) * CHOOSE(CONTROL!$C$21, $C$9, 100%, $E$9)</f>
        <v>41.769300000000001</v>
      </c>
      <c r="D701" s="10">
        <f>CHOOSE(CONTROL!$C$42, 41.9721, 41.9721) * CHOOSE(CONTROL!$C$21, $C$9, 100%, $E$9)</f>
        <v>41.972099999999998</v>
      </c>
      <c r="E701" s="10">
        <f>CHOOSE(CONTROL!$C$42, 42.0032, 42.0032) * CHOOSE(CONTROL!$C$21, $C$9, 100%, $E$9)</f>
        <v>42.0032</v>
      </c>
      <c r="F701" s="10">
        <f>CHOOSE(CONTROL!$C$42, 41.7371, 41.7371)*CHOOSE(CONTROL!$C$21, $C$9, 100%, $E$9)</f>
        <v>41.737099999999998</v>
      </c>
      <c r="G701" s="10">
        <f>CHOOSE(CONTROL!$C$42, 41.7521, 41.7521)*CHOOSE(CONTROL!$C$21, $C$9, 100%, $E$9)</f>
        <v>41.752099999999999</v>
      </c>
      <c r="H701" s="10">
        <f>CHOOSE(CONTROL!$C$42, 41.9918, 41.9918) * CHOOSE(CONTROL!$C$21, $C$9, 100%, $E$9)</f>
        <v>41.991799999999998</v>
      </c>
      <c r="I701" s="10">
        <f>CHOOSE(CONTROL!$C$42, 41.7615, 41.7615)* CHOOSE(CONTROL!$C$21, $C$9, 100%, $E$9)</f>
        <v>41.761499999999998</v>
      </c>
      <c r="J701" s="10">
        <f>CHOOSE(CONTROL!$C$42, 41.7301, 41.7301)* CHOOSE(CONTROL!$C$21, $C$9, 100%, $E$9)</f>
        <v>41.7301</v>
      </c>
      <c r="K701" s="53">
        <f>CHOOSE(CONTROL!$C$42, 41.7576, 41.7576) * CHOOSE(CONTROL!$C$21, $C$9, 100%, $E$9)</f>
        <v>41.757599999999996</v>
      </c>
      <c r="L701" s="10">
        <f>CHOOSE(CONTROL!$C$42, 42.5788, 42.5788) * CHOOSE(CONTROL!$C$21, $C$9, 100%, $E$9)</f>
        <v>42.578800000000001</v>
      </c>
      <c r="M701" s="10">
        <f>CHOOSE(CONTROL!$C$42, 41.3228, 41.3228) * CHOOSE(CONTROL!$C$21, $C$9, 100%, $E$9)</f>
        <v>41.322800000000001</v>
      </c>
      <c r="N701" s="10">
        <f>CHOOSE(CONTROL!$C$42, 41.3377, 41.3377) * CHOOSE(CONTROL!$C$21, $C$9, 100%, $E$9)</f>
        <v>41.337699999999998</v>
      </c>
      <c r="O701" s="10">
        <f>CHOOSE(CONTROL!$C$42, 41.5819, 41.5819) * CHOOSE(CONTROL!$C$21, $C$9, 100%, $E$9)</f>
        <v>41.581899999999997</v>
      </c>
      <c r="P701" s="10">
        <f>CHOOSE(CONTROL!$C$42, 41.3539, 41.3539) * CHOOSE(CONTROL!$C$21, $C$9, 100%, $E$9)</f>
        <v>41.353900000000003</v>
      </c>
      <c r="Q701" s="10">
        <f>CHOOSE(CONTROL!$C$42, 42.1772, 42.1772) * CHOOSE(CONTROL!$C$21, $C$9, 100%, $E$9)</f>
        <v>42.177199999999999</v>
      </c>
      <c r="R701" s="10">
        <f>CHOOSE(CONTROL!$C$42, 42.8696, 42.8696) * CHOOSE(CONTROL!$C$21, $C$9, 100%, $E$9)</f>
        <v>42.869599999999998</v>
      </c>
      <c r="S701" s="10">
        <f>CHOOSE(CONTROL!$C$42, 40.5503, 40.5503) * CHOOSE(CONTROL!$C$21, $C$9, 100%, $E$9)</f>
        <v>40.5503</v>
      </c>
      <c r="T7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57">
        <f>(1000*CHOOSE(CONTROL!$C$42, 695, 695)*CHOOSE(CONTROL!$C$42, 0.5599, 0.5599)*CHOOSE(CONTROL!$C$42, 31, 31))/1000000</f>
        <v>12.063045499999998</v>
      </c>
      <c r="V701" s="57">
        <f>(1000*CHOOSE(CONTROL!$C$42, 500, 500)*CHOOSE(CONTROL!$C$42, 0.275, 0.275)*CHOOSE(CONTROL!$C$42, 31, 31))/1000000</f>
        <v>4.2625000000000002</v>
      </c>
      <c r="W701" s="57">
        <f>(1000*CHOOSE(CONTROL!$C$42, 0.1146, 0.1146)*CHOOSE(CONTROL!$C$42, 121.5, 121.5)*CHOOSE(CONTROL!$C$42, 31, 31))/1000000</f>
        <v>0.43164089999999994</v>
      </c>
      <c r="X701" s="57">
        <f>(31*0.1790888*245000/1000000)+(31*0.2374*100000/1000000)</f>
        <v>2.0961194359999999</v>
      </c>
      <c r="Y701" s="57"/>
      <c r="Z701" s="10"/>
      <c r="AA701" s="56"/>
      <c r="AB701" s="50">
        <f>(B701*194.205+C701*267.466+D701*133.845+E701*53.484+F701*40+G701*185+H701*0+I701*100+J701*300)/(194.205+267.466+133.845+53.484+0+40+185+100+300)</f>
        <v>41.785869430219783</v>
      </c>
      <c r="AC701" s="45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41.44556618705036</v>
      </c>
    </row>
    <row r="702" spans="1:29" ht="15.75" x14ac:dyDescent="0.25">
      <c r="A702" s="13">
        <v>62274</v>
      </c>
      <c r="B702" s="10">
        <f>CHOOSE(CONTROL!$C$42, 42.9459, 42.9459) * CHOOSE(CONTROL!$C$21, $C$9, 100%, $E$9)</f>
        <v>42.945900000000002</v>
      </c>
      <c r="C702" s="10">
        <f>CHOOSE(CONTROL!$C$42, 42.9538, 42.9538) * CHOOSE(CONTROL!$C$21, $C$9, 100%, $E$9)</f>
        <v>42.953800000000001</v>
      </c>
      <c r="D702" s="10">
        <f>CHOOSE(CONTROL!$C$42, 43.1565, 43.1565) * CHOOSE(CONTROL!$C$21, $C$9, 100%, $E$9)</f>
        <v>43.156500000000001</v>
      </c>
      <c r="E702" s="10">
        <f>CHOOSE(CONTROL!$C$42, 43.1877, 43.1877) * CHOOSE(CONTROL!$C$21, $C$9, 100%, $E$9)</f>
        <v>43.1877</v>
      </c>
      <c r="F702" s="10">
        <f>CHOOSE(CONTROL!$C$42, 42.9221, 42.9221)*CHOOSE(CONTROL!$C$21, $C$9, 100%, $E$9)</f>
        <v>42.9221</v>
      </c>
      <c r="G702" s="10">
        <f>CHOOSE(CONTROL!$C$42, 42.9373, 42.9373)*CHOOSE(CONTROL!$C$21, $C$9, 100%, $E$9)</f>
        <v>42.9373</v>
      </c>
      <c r="H702" s="10">
        <f>CHOOSE(CONTROL!$C$42, 43.1763, 43.1763) * CHOOSE(CONTROL!$C$21, $C$9, 100%, $E$9)</f>
        <v>43.176299999999998</v>
      </c>
      <c r="I702" s="10">
        <f>CHOOSE(CONTROL!$C$42, 42.9459, 42.9459)* CHOOSE(CONTROL!$C$21, $C$9, 100%, $E$9)</f>
        <v>42.945900000000002</v>
      </c>
      <c r="J702" s="10">
        <f>CHOOSE(CONTROL!$C$42, 42.9151, 42.9151)* CHOOSE(CONTROL!$C$21, $C$9, 100%, $E$9)</f>
        <v>42.915100000000002</v>
      </c>
      <c r="K702" s="53">
        <f>CHOOSE(CONTROL!$C$42, 42.942, 42.942) * CHOOSE(CONTROL!$C$21, $C$9, 100%, $E$9)</f>
        <v>42.942</v>
      </c>
      <c r="L702" s="10">
        <f>CHOOSE(CONTROL!$C$42, 43.7633, 43.7633) * CHOOSE(CONTROL!$C$21, $C$9, 100%, $E$9)</f>
        <v>43.763300000000001</v>
      </c>
      <c r="M702" s="10">
        <f>CHOOSE(CONTROL!$C$42, 42.4959, 42.4959) * CHOOSE(CONTROL!$C$21, $C$9, 100%, $E$9)</f>
        <v>42.495899999999999</v>
      </c>
      <c r="N702" s="10">
        <f>CHOOSE(CONTROL!$C$42, 42.5108, 42.5108) * CHOOSE(CONTROL!$C$21, $C$9, 100%, $E$9)</f>
        <v>42.510800000000003</v>
      </c>
      <c r="O702" s="10">
        <f>CHOOSE(CONTROL!$C$42, 42.7544, 42.7544) * CHOOSE(CONTROL!$C$21, $C$9, 100%, $E$9)</f>
        <v>42.754399999999997</v>
      </c>
      <c r="P702" s="10">
        <f>CHOOSE(CONTROL!$C$42, 42.5264, 42.5264) * CHOOSE(CONTROL!$C$21, $C$9, 100%, $E$9)</f>
        <v>42.526400000000002</v>
      </c>
      <c r="Q702" s="10">
        <f>CHOOSE(CONTROL!$C$42, 43.3497, 43.3497) * CHOOSE(CONTROL!$C$21, $C$9, 100%, $E$9)</f>
        <v>43.349699999999999</v>
      </c>
      <c r="R702" s="10">
        <f>CHOOSE(CONTROL!$C$42, 44.0451, 44.0451) * CHOOSE(CONTROL!$C$21, $C$9, 100%, $E$9)</f>
        <v>44.045099999999998</v>
      </c>
      <c r="S702" s="10">
        <f>CHOOSE(CONTROL!$C$42, 41.7005, 41.7005) * CHOOSE(CONTROL!$C$21, $C$9, 100%, $E$9)</f>
        <v>41.700499999999998</v>
      </c>
      <c r="T7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57">
        <f>(1000*CHOOSE(CONTROL!$C$42, 695, 695)*CHOOSE(CONTROL!$C$42, 0.5599, 0.5599)*CHOOSE(CONTROL!$C$42, 30, 30))/1000000</f>
        <v>11.673914999999997</v>
      </c>
      <c r="V702" s="57">
        <f>(1000*CHOOSE(CONTROL!$C$42, 500, 500)*CHOOSE(CONTROL!$C$42, 0.275, 0.275)*CHOOSE(CONTROL!$C$42, 30, 30))/1000000</f>
        <v>4.125</v>
      </c>
      <c r="W702" s="57">
        <f>(1000*CHOOSE(CONTROL!$C$42, 0.1146, 0.1146)*CHOOSE(CONTROL!$C$42, 121.5, 121.5)*CHOOSE(CONTROL!$C$42, 30, 30))/1000000</f>
        <v>0.417717</v>
      </c>
      <c r="X702" s="57">
        <f>(30*0.1790888*245000/1000000)+(30*0.2374*100000/1000000)</f>
        <v>2.0285026799999999</v>
      </c>
      <c r="Y702" s="57"/>
      <c r="Z702" s="10"/>
      <c r="AA702" s="56"/>
      <c r="AB702" s="50">
        <f>(B702*194.205+C702*267.466+D702*133.845+E702*53.484+F702*40+G702*185+H702*0+I702*100+J702*300)/(194.205+267.466+133.845+53.484+0+40+185+100+300)</f>
        <v>42.970586161381469</v>
      </c>
      <c r="AC702" s="45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42.618307913669064</v>
      </c>
    </row>
    <row r="703" spans="1:29" ht="15.75" x14ac:dyDescent="0.25">
      <c r="A703" s="13">
        <v>62305</v>
      </c>
      <c r="B703" s="10">
        <f>CHOOSE(CONTROL!$C$42, 42.1221, 42.1221) * CHOOSE(CONTROL!$C$21, $C$9, 100%, $E$9)</f>
        <v>42.122100000000003</v>
      </c>
      <c r="C703" s="10">
        <f>CHOOSE(CONTROL!$C$42, 42.13, 42.13) * CHOOSE(CONTROL!$C$21, $C$9, 100%, $E$9)</f>
        <v>42.13</v>
      </c>
      <c r="D703" s="10">
        <f>CHOOSE(CONTROL!$C$42, 42.3327, 42.3327) * CHOOSE(CONTROL!$C$21, $C$9, 100%, $E$9)</f>
        <v>42.332700000000003</v>
      </c>
      <c r="E703" s="10">
        <f>CHOOSE(CONTROL!$C$42, 42.3639, 42.3639) * CHOOSE(CONTROL!$C$21, $C$9, 100%, $E$9)</f>
        <v>42.363900000000001</v>
      </c>
      <c r="F703" s="10">
        <f>CHOOSE(CONTROL!$C$42, 42.0988, 42.0988)*CHOOSE(CONTROL!$C$21, $C$9, 100%, $E$9)</f>
        <v>42.098799999999997</v>
      </c>
      <c r="G703" s="10">
        <f>CHOOSE(CONTROL!$C$42, 42.1141, 42.1141)*CHOOSE(CONTROL!$C$21, $C$9, 100%, $E$9)</f>
        <v>42.114100000000001</v>
      </c>
      <c r="H703" s="10">
        <f>CHOOSE(CONTROL!$C$42, 42.3525, 42.3525) * CHOOSE(CONTROL!$C$21, $C$9, 100%, $E$9)</f>
        <v>42.352499999999999</v>
      </c>
      <c r="I703" s="10">
        <f>CHOOSE(CONTROL!$C$42, 42.1221, 42.1221)* CHOOSE(CONTROL!$C$21, $C$9, 100%, $E$9)</f>
        <v>42.122100000000003</v>
      </c>
      <c r="J703" s="10">
        <f>CHOOSE(CONTROL!$C$42, 42.0918, 42.0918)* CHOOSE(CONTROL!$C$21, $C$9, 100%, $E$9)</f>
        <v>42.091799999999999</v>
      </c>
      <c r="K703" s="53">
        <f>CHOOSE(CONTROL!$C$42, 42.1182, 42.1182) * CHOOSE(CONTROL!$C$21, $C$9, 100%, $E$9)</f>
        <v>42.118200000000002</v>
      </c>
      <c r="L703" s="10">
        <f>CHOOSE(CONTROL!$C$42, 42.9395, 42.9395) * CHOOSE(CONTROL!$C$21, $C$9, 100%, $E$9)</f>
        <v>42.939500000000002</v>
      </c>
      <c r="M703" s="10">
        <f>CHOOSE(CONTROL!$C$42, 41.6809, 41.6809) * CHOOSE(CONTROL!$C$21, $C$9, 100%, $E$9)</f>
        <v>41.680900000000001</v>
      </c>
      <c r="N703" s="10">
        <f>CHOOSE(CONTROL!$C$42, 41.696, 41.696) * CHOOSE(CONTROL!$C$21, $C$9, 100%, $E$9)</f>
        <v>41.695999999999998</v>
      </c>
      <c r="O703" s="10">
        <f>CHOOSE(CONTROL!$C$42, 41.9389, 41.9389) * CHOOSE(CONTROL!$C$21, $C$9, 100%, $E$9)</f>
        <v>41.938899999999997</v>
      </c>
      <c r="P703" s="10">
        <f>CHOOSE(CONTROL!$C$42, 41.7109, 41.7109) * CHOOSE(CONTROL!$C$21, $C$9, 100%, $E$9)</f>
        <v>41.710900000000002</v>
      </c>
      <c r="Q703" s="10">
        <f>CHOOSE(CONTROL!$C$42, 42.5342, 42.5342) * CHOOSE(CONTROL!$C$21, $C$9, 100%, $E$9)</f>
        <v>42.534199999999998</v>
      </c>
      <c r="R703" s="10">
        <f>CHOOSE(CONTROL!$C$42, 43.2276, 43.2276) * CHOOSE(CONTROL!$C$21, $C$9, 100%, $E$9)</f>
        <v>43.227600000000002</v>
      </c>
      <c r="S703" s="10">
        <f>CHOOSE(CONTROL!$C$42, 40.9005, 40.9005) * CHOOSE(CONTROL!$C$21, $C$9, 100%, $E$9)</f>
        <v>40.900500000000001</v>
      </c>
      <c r="T7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57">
        <f>(1000*CHOOSE(CONTROL!$C$42, 695, 695)*CHOOSE(CONTROL!$C$42, 0.5599, 0.5599)*CHOOSE(CONTROL!$C$42, 31, 31))/1000000</f>
        <v>12.063045499999998</v>
      </c>
      <c r="V703" s="57">
        <f>(1000*CHOOSE(CONTROL!$C$42, 500, 500)*CHOOSE(CONTROL!$C$42, 0.275, 0.275)*CHOOSE(CONTROL!$C$42, 31, 31))/1000000</f>
        <v>4.2625000000000002</v>
      </c>
      <c r="W703" s="57">
        <f>(1000*CHOOSE(CONTROL!$C$42, 0.1146, 0.1146)*CHOOSE(CONTROL!$C$42, 121.5, 121.5)*CHOOSE(CONTROL!$C$42, 31, 31))/1000000</f>
        <v>0.43164089999999994</v>
      </c>
      <c r="X703" s="57">
        <f>(31*0.1790888*245000/1000000)+(31*0.2374*100000/1000000)</f>
        <v>2.0961194359999999</v>
      </c>
      <c r="Y703" s="57"/>
      <c r="Z703" s="10"/>
      <c r="AA703" s="56"/>
      <c r="AB703" s="50">
        <f>(B703*194.205+C703*267.466+D703*133.845+E703*53.484+F703*40+G703*185+H703*0+I703*100+J703*300)/(194.205+267.466+133.845+53.484+0+40+185+100+300)</f>
        <v>42.147006726530613</v>
      </c>
      <c r="AC703" s="45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41.803020863309349</v>
      </c>
    </row>
    <row r="704" spans="1:29" ht="15.75" x14ac:dyDescent="0.25">
      <c r="A704" s="13">
        <v>62336</v>
      </c>
      <c r="B704" s="10">
        <f>CHOOSE(CONTROL!$C$42, 40.0417, 40.0417) * CHOOSE(CONTROL!$C$21, $C$9, 100%, $E$9)</f>
        <v>40.041699999999999</v>
      </c>
      <c r="C704" s="10">
        <f>CHOOSE(CONTROL!$C$42, 40.0496, 40.0496) * CHOOSE(CONTROL!$C$21, $C$9, 100%, $E$9)</f>
        <v>40.049599999999998</v>
      </c>
      <c r="D704" s="10">
        <f>CHOOSE(CONTROL!$C$42, 40.2524, 40.2524) * CHOOSE(CONTROL!$C$21, $C$9, 100%, $E$9)</f>
        <v>40.252400000000002</v>
      </c>
      <c r="E704" s="10">
        <f>CHOOSE(CONTROL!$C$42, 40.2835, 40.2835) * CHOOSE(CONTROL!$C$21, $C$9, 100%, $E$9)</f>
        <v>40.283499999999997</v>
      </c>
      <c r="F704" s="10">
        <f>CHOOSE(CONTROL!$C$42, 40.0187, 40.0187)*CHOOSE(CONTROL!$C$21, $C$9, 100%, $E$9)</f>
        <v>40.018700000000003</v>
      </c>
      <c r="G704" s="10">
        <f>CHOOSE(CONTROL!$C$42, 40.034, 40.034)*CHOOSE(CONTROL!$C$21, $C$9, 100%, $E$9)</f>
        <v>40.033999999999999</v>
      </c>
      <c r="H704" s="10">
        <f>CHOOSE(CONTROL!$C$42, 40.2721, 40.2721) * CHOOSE(CONTROL!$C$21, $C$9, 100%, $E$9)</f>
        <v>40.272100000000002</v>
      </c>
      <c r="I704" s="10">
        <f>CHOOSE(CONTROL!$C$42, 40.0418, 40.0418)* CHOOSE(CONTROL!$C$21, $C$9, 100%, $E$9)</f>
        <v>40.041800000000002</v>
      </c>
      <c r="J704" s="10">
        <f>CHOOSE(CONTROL!$C$42, 40.0117, 40.0117)* CHOOSE(CONTROL!$C$21, $C$9, 100%, $E$9)</f>
        <v>40.011699999999998</v>
      </c>
      <c r="K704" s="53">
        <f>CHOOSE(CONTROL!$C$42, 40.0379, 40.0379) * CHOOSE(CONTROL!$C$21, $C$9, 100%, $E$9)</f>
        <v>40.0379</v>
      </c>
      <c r="L704" s="10">
        <f>CHOOSE(CONTROL!$C$42, 40.8591, 40.8591) * CHOOSE(CONTROL!$C$21, $C$9, 100%, $E$9)</f>
        <v>40.859099999999998</v>
      </c>
      <c r="M704" s="10">
        <f>CHOOSE(CONTROL!$C$42, 39.6217, 39.6217) * CHOOSE(CONTROL!$C$21, $C$9, 100%, $E$9)</f>
        <v>39.621699999999997</v>
      </c>
      <c r="N704" s="10">
        <f>CHOOSE(CONTROL!$C$42, 39.6369, 39.6369) * CHOOSE(CONTROL!$C$21, $C$9, 100%, $E$9)</f>
        <v>39.636899999999997</v>
      </c>
      <c r="O704" s="10">
        <f>CHOOSE(CONTROL!$C$42, 39.8796, 39.8796) * CHOOSE(CONTROL!$C$21, $C$9, 100%, $E$9)</f>
        <v>39.879600000000003</v>
      </c>
      <c r="P704" s="10">
        <f>CHOOSE(CONTROL!$C$42, 39.6515, 39.6515) * CHOOSE(CONTROL!$C$21, $C$9, 100%, $E$9)</f>
        <v>39.651499999999999</v>
      </c>
      <c r="Q704" s="10">
        <f>CHOOSE(CONTROL!$C$42, 40.4749, 40.4749) * CHOOSE(CONTROL!$C$21, $C$9, 100%, $E$9)</f>
        <v>40.474899999999998</v>
      </c>
      <c r="R704" s="10">
        <f>CHOOSE(CONTROL!$C$42, 41.163, 41.163) * CHOOSE(CONTROL!$C$21, $C$9, 100%, $E$9)</f>
        <v>41.162999999999997</v>
      </c>
      <c r="S704" s="10">
        <f>CHOOSE(CONTROL!$C$42, 38.8803, 38.8803) * CHOOSE(CONTROL!$C$21, $C$9, 100%, $E$9)</f>
        <v>38.880299999999998</v>
      </c>
      <c r="T7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57">
        <f>(1000*CHOOSE(CONTROL!$C$42, 695, 695)*CHOOSE(CONTROL!$C$42, 0.5599, 0.5599)*CHOOSE(CONTROL!$C$42, 31, 31))/1000000</f>
        <v>12.063045499999998</v>
      </c>
      <c r="V704" s="57">
        <f>(1000*CHOOSE(CONTROL!$C$42, 500, 500)*CHOOSE(CONTROL!$C$42, 0.275, 0.275)*CHOOSE(CONTROL!$C$42, 31, 31))/1000000</f>
        <v>4.2625000000000002</v>
      </c>
      <c r="W704" s="57">
        <f>(1000*CHOOSE(CONTROL!$C$42, 0.1146, 0.1146)*CHOOSE(CONTROL!$C$42, 121.5, 121.5)*CHOOSE(CONTROL!$C$42, 31, 31))/1000000</f>
        <v>0.43164089999999994</v>
      </c>
      <c r="X704" s="57">
        <f>(31*0.1790888*245000/1000000)+(31*0.2374*100000/1000000)</f>
        <v>2.0961194359999999</v>
      </c>
      <c r="Y704" s="57"/>
      <c r="Z704" s="10"/>
      <c r="AA704" s="56"/>
      <c r="AB704" s="50">
        <f>(B704*194.205+C704*267.466+D704*133.845+E704*53.484+F704*40+G704*185+H704*0+I704*100+J704*300)/(194.205+267.466+133.845+53.484+0+40+185+100+300)</f>
        <v>40.066748708084766</v>
      </c>
      <c r="AC704" s="45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39.743752517985619</v>
      </c>
    </row>
    <row r="705" spans="1:29" ht="15.75" x14ac:dyDescent="0.25">
      <c r="A705" s="13">
        <v>62366</v>
      </c>
      <c r="B705" s="10">
        <f>CHOOSE(CONTROL!$C$42, 37.4995, 37.4995) * CHOOSE(CONTROL!$C$21, $C$9, 100%, $E$9)</f>
        <v>37.499499999999998</v>
      </c>
      <c r="C705" s="10">
        <f>CHOOSE(CONTROL!$C$42, 37.5074, 37.5074) * CHOOSE(CONTROL!$C$21, $C$9, 100%, $E$9)</f>
        <v>37.507399999999997</v>
      </c>
      <c r="D705" s="10">
        <f>CHOOSE(CONTROL!$C$42, 37.7102, 37.7102) * CHOOSE(CONTROL!$C$21, $C$9, 100%, $E$9)</f>
        <v>37.7102</v>
      </c>
      <c r="E705" s="10">
        <f>CHOOSE(CONTROL!$C$42, 37.7413, 37.7413) * CHOOSE(CONTROL!$C$21, $C$9, 100%, $E$9)</f>
        <v>37.741300000000003</v>
      </c>
      <c r="F705" s="10">
        <f>CHOOSE(CONTROL!$C$42, 37.4763, 37.4763)*CHOOSE(CONTROL!$C$21, $C$9, 100%, $E$9)</f>
        <v>37.476300000000002</v>
      </c>
      <c r="G705" s="10">
        <f>CHOOSE(CONTROL!$C$42, 37.4916, 37.4916)*CHOOSE(CONTROL!$C$21, $C$9, 100%, $E$9)</f>
        <v>37.491599999999998</v>
      </c>
      <c r="H705" s="10">
        <f>CHOOSE(CONTROL!$C$42, 37.7299, 37.7299) * CHOOSE(CONTROL!$C$21, $C$9, 100%, $E$9)</f>
        <v>37.729900000000001</v>
      </c>
      <c r="I705" s="10">
        <f>CHOOSE(CONTROL!$C$42, 37.4996, 37.4996)* CHOOSE(CONTROL!$C$21, $C$9, 100%, $E$9)</f>
        <v>37.499600000000001</v>
      </c>
      <c r="J705" s="10">
        <f>CHOOSE(CONTROL!$C$42, 37.4693, 37.4693)* CHOOSE(CONTROL!$C$21, $C$9, 100%, $E$9)</f>
        <v>37.469299999999997</v>
      </c>
      <c r="K705" s="53">
        <f>CHOOSE(CONTROL!$C$42, 37.4957, 37.4957) * CHOOSE(CONTROL!$C$21, $C$9, 100%, $E$9)</f>
        <v>37.495699999999999</v>
      </c>
      <c r="L705" s="10">
        <f>CHOOSE(CONTROL!$C$42, 38.3169, 38.3169) * CHOOSE(CONTROL!$C$21, $C$9, 100%, $E$9)</f>
        <v>38.316899999999997</v>
      </c>
      <c r="M705" s="10">
        <f>CHOOSE(CONTROL!$C$42, 37.105, 37.105) * CHOOSE(CONTROL!$C$21, $C$9, 100%, $E$9)</f>
        <v>37.104999999999997</v>
      </c>
      <c r="N705" s="10">
        <f>CHOOSE(CONTROL!$C$42, 37.1202, 37.1202) * CHOOSE(CONTROL!$C$21, $C$9, 100%, $E$9)</f>
        <v>37.120199999999997</v>
      </c>
      <c r="O705" s="10">
        <f>CHOOSE(CONTROL!$C$42, 37.363, 37.363) * CHOOSE(CONTROL!$C$21, $C$9, 100%, $E$9)</f>
        <v>37.363</v>
      </c>
      <c r="P705" s="10">
        <f>CHOOSE(CONTROL!$C$42, 37.135, 37.135) * CHOOSE(CONTROL!$C$21, $C$9, 100%, $E$9)</f>
        <v>37.134999999999998</v>
      </c>
      <c r="Q705" s="10">
        <f>CHOOSE(CONTROL!$C$42, 37.9583, 37.9583) * CHOOSE(CONTROL!$C$21, $C$9, 100%, $E$9)</f>
        <v>37.958300000000001</v>
      </c>
      <c r="R705" s="10">
        <f>CHOOSE(CONTROL!$C$42, 38.6402, 38.6402) * CHOOSE(CONTROL!$C$21, $C$9, 100%, $E$9)</f>
        <v>38.6402</v>
      </c>
      <c r="S705" s="10">
        <f>CHOOSE(CONTROL!$C$42, 36.4115, 36.4115) * CHOOSE(CONTROL!$C$21, $C$9, 100%, $E$9)</f>
        <v>36.411499999999997</v>
      </c>
      <c r="T7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57">
        <f>(1000*CHOOSE(CONTROL!$C$42, 695, 695)*CHOOSE(CONTROL!$C$42, 0.5599, 0.5599)*CHOOSE(CONTROL!$C$42, 30, 30))/1000000</f>
        <v>11.673914999999997</v>
      </c>
      <c r="V705" s="57">
        <f>(1000*CHOOSE(CONTROL!$C$42, 500, 500)*CHOOSE(CONTROL!$C$42, 0.275, 0.275)*CHOOSE(CONTROL!$C$42, 30, 30))/1000000</f>
        <v>4.125</v>
      </c>
      <c r="W705" s="57">
        <f>(1000*CHOOSE(CONTROL!$C$42, 0.1146, 0.1146)*CHOOSE(CONTROL!$C$42, 121.5, 121.5)*CHOOSE(CONTROL!$C$42, 30, 30))/1000000</f>
        <v>0.417717</v>
      </c>
      <c r="X705" s="57">
        <f>(30*0.1790888*245000/1000000)+(30*0.2374*100000/1000000)</f>
        <v>2.0285026799999999</v>
      </c>
      <c r="Y705" s="57"/>
      <c r="Z705" s="10"/>
      <c r="AA705" s="56"/>
      <c r="AB705" s="50">
        <f>(B705*194.205+C705*267.466+D705*133.845+E705*53.484+F705*40+G705*185+H705*0+I705*100+J705*300)/(194.205+267.466+133.845+53.484+0+40+185+100+300)</f>
        <v>37.52446629050236</v>
      </c>
      <c r="AC705" s="45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37.227126618705029</v>
      </c>
    </row>
    <row r="706" spans="1:29" ht="15.75" x14ac:dyDescent="0.25">
      <c r="A706" s="13">
        <v>62397</v>
      </c>
      <c r="B706" s="10">
        <f>CHOOSE(CONTROL!$C$42, 36.7365, 36.7365) * CHOOSE(CONTROL!$C$21, $C$9, 100%, $E$9)</f>
        <v>36.736499999999999</v>
      </c>
      <c r="C706" s="10">
        <f>CHOOSE(CONTROL!$C$42, 36.7417, 36.7417) * CHOOSE(CONTROL!$C$21, $C$9, 100%, $E$9)</f>
        <v>36.741700000000002</v>
      </c>
      <c r="D706" s="10">
        <f>CHOOSE(CONTROL!$C$42, 36.9494, 36.9494) * CHOOSE(CONTROL!$C$21, $C$9, 100%, $E$9)</f>
        <v>36.949399999999997</v>
      </c>
      <c r="E706" s="10">
        <f>CHOOSE(CONTROL!$C$42, 36.9782, 36.9782) * CHOOSE(CONTROL!$C$21, $C$9, 100%, $E$9)</f>
        <v>36.978200000000001</v>
      </c>
      <c r="F706" s="10">
        <f>CHOOSE(CONTROL!$C$42, 36.7152, 36.7152)*CHOOSE(CONTROL!$C$21, $C$9, 100%, $E$9)</f>
        <v>36.715200000000003</v>
      </c>
      <c r="G706" s="10">
        <f>CHOOSE(CONTROL!$C$42, 36.7301, 36.7301)*CHOOSE(CONTROL!$C$21, $C$9, 100%, $E$9)</f>
        <v>36.7301</v>
      </c>
      <c r="H706" s="10">
        <f>CHOOSE(CONTROL!$C$42, 36.9686, 36.9686) * CHOOSE(CONTROL!$C$21, $C$9, 100%, $E$9)</f>
        <v>36.968600000000002</v>
      </c>
      <c r="I706" s="10">
        <f>CHOOSE(CONTROL!$C$42, 36.7383, 36.7383)* CHOOSE(CONTROL!$C$21, $C$9, 100%, $E$9)</f>
        <v>36.738300000000002</v>
      </c>
      <c r="J706" s="10">
        <f>CHOOSE(CONTROL!$C$42, 36.7082, 36.7082)* CHOOSE(CONTROL!$C$21, $C$9, 100%, $E$9)</f>
        <v>36.708199999999998</v>
      </c>
      <c r="K706" s="53">
        <f>CHOOSE(CONTROL!$C$42, 36.7344, 36.7344) * CHOOSE(CONTROL!$C$21, $C$9, 100%, $E$9)</f>
        <v>36.734400000000001</v>
      </c>
      <c r="L706" s="10">
        <f>CHOOSE(CONTROL!$C$42, 37.5556, 37.5556) * CHOOSE(CONTROL!$C$21, $C$9, 100%, $E$9)</f>
        <v>37.555599999999998</v>
      </c>
      <c r="M706" s="10">
        <f>CHOOSE(CONTROL!$C$42, 36.3516, 36.3516) * CHOOSE(CONTROL!$C$21, $C$9, 100%, $E$9)</f>
        <v>36.351599999999998</v>
      </c>
      <c r="N706" s="10">
        <f>CHOOSE(CONTROL!$C$42, 36.3664, 36.3664) * CHOOSE(CONTROL!$C$21, $C$9, 100%, $E$9)</f>
        <v>36.366399999999999</v>
      </c>
      <c r="O706" s="10">
        <f>CHOOSE(CONTROL!$C$42, 36.6094, 36.6094) * CHOOSE(CONTROL!$C$21, $C$9, 100%, $E$9)</f>
        <v>36.609400000000001</v>
      </c>
      <c r="P706" s="10">
        <f>CHOOSE(CONTROL!$C$42, 36.3814, 36.3814) * CHOOSE(CONTROL!$C$21, $C$9, 100%, $E$9)</f>
        <v>36.381399999999999</v>
      </c>
      <c r="Q706" s="10">
        <f>CHOOSE(CONTROL!$C$42, 37.2047, 37.2047) * CHOOSE(CONTROL!$C$21, $C$9, 100%, $E$9)</f>
        <v>37.204700000000003</v>
      </c>
      <c r="R706" s="10">
        <f>CHOOSE(CONTROL!$C$42, 37.8847, 37.8847) * CHOOSE(CONTROL!$C$21, $C$9, 100%, $E$9)</f>
        <v>37.884700000000002</v>
      </c>
      <c r="S706" s="10">
        <f>CHOOSE(CONTROL!$C$42, 35.6722, 35.6722) * CHOOSE(CONTROL!$C$21, $C$9, 100%, $E$9)</f>
        <v>35.672199999999997</v>
      </c>
      <c r="T7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57">
        <f>(1000*CHOOSE(CONTROL!$C$42, 695, 695)*CHOOSE(CONTROL!$C$42, 0.5599, 0.5599)*CHOOSE(CONTROL!$C$42, 31, 31))/1000000</f>
        <v>12.063045499999998</v>
      </c>
      <c r="V706" s="57">
        <f>(1000*CHOOSE(CONTROL!$C$42, 500, 500)*CHOOSE(CONTROL!$C$42, 0.275, 0.275)*CHOOSE(CONTROL!$C$42, 31, 31))/1000000</f>
        <v>4.2625000000000002</v>
      </c>
      <c r="W706" s="57">
        <f>(1000*CHOOSE(CONTROL!$C$42, 0.1146, 0.1146)*CHOOSE(CONTROL!$C$42, 121.5, 121.5)*CHOOSE(CONTROL!$C$42, 31, 31))/1000000</f>
        <v>0.43164089999999994</v>
      </c>
      <c r="X706" s="57">
        <f>(31*0.1790888*245000/1000000)+(31*0.2374*100000/1000000)</f>
        <v>2.0961194359999999</v>
      </c>
      <c r="Y706" s="57"/>
      <c r="Z706" s="10"/>
      <c r="AA706" s="56"/>
      <c r="AB706" s="50">
        <f>(B706*131.881+C706*277.167+D706*79.08+E706*125.872+F706*40+G706*185+H706*0+I706*100+J706*300)/(131.881+277.167+79.08+125.872+0+40+185+100+300)</f>
        <v>36.767456144309925</v>
      </c>
      <c r="AC706" s="45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36.473584172661873</v>
      </c>
    </row>
    <row r="707" spans="1:29" ht="15.75" x14ac:dyDescent="0.25">
      <c r="A707" s="13">
        <v>62427</v>
      </c>
      <c r="B707" s="10">
        <f>CHOOSE(CONTROL!$C$42, 37.7038, 37.7038) * CHOOSE(CONTROL!$C$21, $C$9, 100%, $E$9)</f>
        <v>37.703800000000001</v>
      </c>
      <c r="C707" s="10">
        <f>CHOOSE(CONTROL!$C$42, 37.7087, 37.7087) * CHOOSE(CONTROL!$C$21, $C$9, 100%, $E$9)</f>
        <v>37.7087</v>
      </c>
      <c r="D707" s="10">
        <f>CHOOSE(CONTROL!$C$42, 37.7692, 37.7692) * CHOOSE(CONTROL!$C$21, $C$9, 100%, $E$9)</f>
        <v>37.769199999999998</v>
      </c>
      <c r="E707" s="10">
        <f>CHOOSE(CONTROL!$C$42, 37.803, 37.803) * CHOOSE(CONTROL!$C$21, $C$9, 100%, $E$9)</f>
        <v>37.802999999999997</v>
      </c>
      <c r="F707" s="10">
        <f>CHOOSE(CONTROL!$C$42, 37.6994, 37.6994)*CHOOSE(CONTROL!$C$21, $C$9, 100%, $E$9)</f>
        <v>37.699399999999997</v>
      </c>
      <c r="G707" s="10">
        <f>CHOOSE(CONTROL!$C$42, 37.7146, 37.7146)*CHOOSE(CONTROL!$C$21, $C$9, 100%, $E$9)</f>
        <v>37.714599999999997</v>
      </c>
      <c r="H707" s="10">
        <f>CHOOSE(CONTROL!$C$42, 37.7922, 37.7922) * CHOOSE(CONTROL!$C$21, $C$9, 100%, $E$9)</f>
        <v>37.792200000000001</v>
      </c>
      <c r="I707" s="10">
        <f>CHOOSE(CONTROL!$C$42, 37.7163, 37.7163)* CHOOSE(CONTROL!$C$21, $C$9, 100%, $E$9)</f>
        <v>37.716299999999997</v>
      </c>
      <c r="J707" s="10">
        <f>CHOOSE(CONTROL!$C$42, 37.6924, 37.6924)* CHOOSE(CONTROL!$C$21, $C$9, 100%, $E$9)</f>
        <v>37.692399999999999</v>
      </c>
      <c r="K707" s="53">
        <f>CHOOSE(CONTROL!$C$42, 37.7124, 37.7124) * CHOOSE(CONTROL!$C$21, $C$9, 100%, $E$9)</f>
        <v>37.712400000000002</v>
      </c>
      <c r="L707" s="10">
        <f>CHOOSE(CONTROL!$C$42, 38.3792, 38.3792) * CHOOSE(CONTROL!$C$21, $C$9, 100%, $E$9)</f>
        <v>38.379199999999997</v>
      </c>
      <c r="M707" s="10">
        <f>CHOOSE(CONTROL!$C$42, 37.3259, 37.3259) * CHOOSE(CONTROL!$C$21, $C$9, 100%, $E$9)</f>
        <v>37.325899999999997</v>
      </c>
      <c r="N707" s="10">
        <f>CHOOSE(CONTROL!$C$42, 37.3409, 37.3409) * CHOOSE(CONTROL!$C$21, $C$9, 100%, $E$9)</f>
        <v>37.340899999999998</v>
      </c>
      <c r="O707" s="10">
        <f>CHOOSE(CONTROL!$C$42, 37.4246, 37.4246) * CHOOSE(CONTROL!$C$21, $C$9, 100%, $E$9)</f>
        <v>37.424599999999998</v>
      </c>
      <c r="P707" s="10">
        <f>CHOOSE(CONTROL!$C$42, 37.3495, 37.3495) * CHOOSE(CONTROL!$C$21, $C$9, 100%, $E$9)</f>
        <v>37.349499999999999</v>
      </c>
      <c r="Q707" s="10">
        <f>CHOOSE(CONTROL!$C$42, 38.0199, 38.0199) * CHOOSE(CONTROL!$C$21, $C$9, 100%, $E$9)</f>
        <v>38.0199</v>
      </c>
      <c r="R707" s="10">
        <f>CHOOSE(CONTROL!$C$42, 38.702, 38.702) * CHOOSE(CONTROL!$C$21, $C$9, 100%, $E$9)</f>
        <v>38.701999999999998</v>
      </c>
      <c r="S707" s="10">
        <f>CHOOSE(CONTROL!$C$42, 36.612, 36.612) * CHOOSE(CONTROL!$C$21, $C$9, 100%, $E$9)</f>
        <v>36.612000000000002</v>
      </c>
      <c r="T7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57">
        <f>(1000*CHOOSE(CONTROL!$C$42, 695, 695)*CHOOSE(CONTROL!$C$42, 0.5599, 0.5599)*CHOOSE(CONTROL!$C$42, 30, 30))/1000000</f>
        <v>11.673914999999997</v>
      </c>
      <c r="V707" s="57">
        <f>(1000*CHOOSE(CONTROL!$C$42, 500, 500)*CHOOSE(CONTROL!$C$42, 0.275, 0.275)*CHOOSE(CONTROL!$C$42, 30, 30))/1000000</f>
        <v>4.125</v>
      </c>
      <c r="W707" s="57">
        <f>(1000*CHOOSE(CONTROL!$C$42, 0.1146, 0.1146)*CHOOSE(CONTROL!$C$42, 121.5, 121.5)*CHOOSE(CONTROL!$C$42, 30, 30))/1000000</f>
        <v>0.417717</v>
      </c>
      <c r="X707" s="57">
        <f>(30*0.1790888*100000/1000000)+(30*0.2374*100000/1000000)</f>
        <v>1.2494664</v>
      </c>
      <c r="Y707" s="57"/>
      <c r="Z707" s="10"/>
      <c r="AA707" s="56"/>
      <c r="AB707" s="50">
        <f>(B707*122.58+C707*297.941+D707*89.177+E707*40.302+F707*40+G707*160+H707*0+I707*100+J707*300)/(122.58+297.941+89.177+40.302+0+40+160+100+300)</f>
        <v>37.713080039217388</v>
      </c>
      <c r="AC707" s="45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37.374893525179857</v>
      </c>
    </row>
    <row r="708" spans="1:29" ht="15.75" x14ac:dyDescent="0.25">
      <c r="A708" s="13">
        <v>62458</v>
      </c>
      <c r="B708" s="10">
        <f>CHOOSE(CONTROL!$C$42, 40.2742, 40.2742) * CHOOSE(CONTROL!$C$21, $C$9, 100%, $E$9)</f>
        <v>40.2742</v>
      </c>
      <c r="C708" s="10">
        <f>CHOOSE(CONTROL!$C$42, 40.2792, 40.2792) * CHOOSE(CONTROL!$C$21, $C$9, 100%, $E$9)</f>
        <v>40.279200000000003</v>
      </c>
      <c r="D708" s="10">
        <f>CHOOSE(CONTROL!$C$42, 40.3397, 40.3397) * CHOOSE(CONTROL!$C$21, $C$9, 100%, $E$9)</f>
        <v>40.339700000000001</v>
      </c>
      <c r="E708" s="10">
        <f>CHOOSE(CONTROL!$C$42, 40.3734, 40.3734) * CHOOSE(CONTROL!$C$21, $C$9, 100%, $E$9)</f>
        <v>40.373399999999997</v>
      </c>
      <c r="F708" s="10">
        <f>CHOOSE(CONTROL!$C$42, 40.2717, 40.2717)*CHOOSE(CONTROL!$C$21, $C$9, 100%, $E$9)</f>
        <v>40.271700000000003</v>
      </c>
      <c r="G708" s="10">
        <f>CHOOSE(CONTROL!$C$42, 40.2874, 40.2874)*CHOOSE(CONTROL!$C$21, $C$9, 100%, $E$9)</f>
        <v>40.287399999999998</v>
      </c>
      <c r="H708" s="10">
        <f>CHOOSE(CONTROL!$C$42, 40.3626, 40.3626) * CHOOSE(CONTROL!$C$21, $C$9, 100%, $E$9)</f>
        <v>40.3626</v>
      </c>
      <c r="I708" s="10">
        <f>CHOOSE(CONTROL!$C$42, 40.2867, 40.2867)* CHOOSE(CONTROL!$C$21, $C$9, 100%, $E$9)</f>
        <v>40.286700000000003</v>
      </c>
      <c r="J708" s="10">
        <f>CHOOSE(CONTROL!$C$42, 40.2647, 40.2647)* CHOOSE(CONTROL!$C$21, $C$9, 100%, $E$9)</f>
        <v>40.264699999999998</v>
      </c>
      <c r="K708" s="53">
        <f>CHOOSE(CONTROL!$C$42, 40.2828, 40.2828) * CHOOSE(CONTROL!$C$21, $C$9, 100%, $E$9)</f>
        <v>40.282800000000002</v>
      </c>
      <c r="L708" s="10">
        <f>CHOOSE(CONTROL!$C$42, 40.9496, 40.9496) * CHOOSE(CONTROL!$C$21, $C$9, 100%, $E$9)</f>
        <v>40.949599999999997</v>
      </c>
      <c r="M708" s="10">
        <f>CHOOSE(CONTROL!$C$42, 39.8721, 39.8721) * CHOOSE(CONTROL!$C$21, $C$9, 100%, $E$9)</f>
        <v>39.872100000000003</v>
      </c>
      <c r="N708" s="10">
        <f>CHOOSE(CONTROL!$C$42, 39.8877, 39.8877) * CHOOSE(CONTROL!$C$21, $C$9, 100%, $E$9)</f>
        <v>39.887700000000002</v>
      </c>
      <c r="O708" s="10">
        <f>CHOOSE(CONTROL!$C$42, 39.9691, 39.9691) * CHOOSE(CONTROL!$C$21, $C$9, 100%, $E$9)</f>
        <v>39.969099999999997</v>
      </c>
      <c r="P708" s="10">
        <f>CHOOSE(CONTROL!$C$42, 39.894, 39.894) * CHOOSE(CONTROL!$C$21, $C$9, 100%, $E$9)</f>
        <v>39.893999999999998</v>
      </c>
      <c r="Q708" s="10">
        <f>CHOOSE(CONTROL!$C$42, 40.5644, 40.5644) * CHOOSE(CONTROL!$C$21, $C$9, 100%, $E$9)</f>
        <v>40.564399999999999</v>
      </c>
      <c r="R708" s="10">
        <f>CHOOSE(CONTROL!$C$42, 41.2528, 41.2528) * CHOOSE(CONTROL!$C$21, $C$9, 100%, $E$9)</f>
        <v>41.252800000000001</v>
      </c>
      <c r="S708" s="10">
        <f>CHOOSE(CONTROL!$C$42, 39.1081, 39.1081) * CHOOSE(CONTROL!$C$21, $C$9, 100%, $E$9)</f>
        <v>39.1081</v>
      </c>
      <c r="T7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57">
        <f>(1000*CHOOSE(CONTROL!$C$42, 695, 695)*CHOOSE(CONTROL!$C$42, 0.5599, 0.5599)*CHOOSE(CONTROL!$C$42, 31, 31))/1000000</f>
        <v>12.063045499999998</v>
      </c>
      <c r="V708" s="57">
        <f>(1000*CHOOSE(CONTROL!$C$42, 500, 500)*CHOOSE(CONTROL!$C$42, 0.275, 0.275)*CHOOSE(CONTROL!$C$42, 31, 31))/1000000</f>
        <v>4.2625000000000002</v>
      </c>
      <c r="W708" s="57">
        <f>(1000*CHOOSE(CONTROL!$C$42, 0.1146, 0.1146)*CHOOSE(CONTROL!$C$42, 121.5, 121.5)*CHOOSE(CONTROL!$C$42, 31, 31))/1000000</f>
        <v>0.43164089999999994</v>
      </c>
      <c r="X708" s="57">
        <f>(31*0.1790888*100000/1000000)+(31*0.2374*100000/1000000)</f>
        <v>1.2911152800000001</v>
      </c>
      <c r="Y708" s="57"/>
      <c r="Z708" s="10"/>
      <c r="AA708" s="56"/>
      <c r="AB708" s="50">
        <f>(B708*122.58+C708*297.941+D708*89.177+E708*40.302+F708*40+G708*160+H708*0+I708*100+J708*300)/(122.58+297.941+89.177+40.302+0+40+160+100+300)</f>
        <v>40.284409353826092</v>
      </c>
      <c r="AC708" s="45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39.920112949640284</v>
      </c>
    </row>
    <row r="709" spans="1:29" ht="15.75" x14ac:dyDescent="0.25">
      <c r="A709" s="13">
        <v>62489</v>
      </c>
      <c r="B709" s="10">
        <f>CHOOSE(CONTROL!$C$42, 43.5739, 43.5739) * CHOOSE(CONTROL!$C$21, $C$9, 100%, $E$9)</f>
        <v>43.573900000000002</v>
      </c>
      <c r="C709" s="10">
        <f>CHOOSE(CONTROL!$C$42, 43.5789, 43.5789) * CHOOSE(CONTROL!$C$21, $C$9, 100%, $E$9)</f>
        <v>43.578899999999997</v>
      </c>
      <c r="D709" s="10">
        <f>CHOOSE(CONTROL!$C$42, 43.6359, 43.6359) * CHOOSE(CONTROL!$C$21, $C$9, 100%, $E$9)</f>
        <v>43.635899999999999</v>
      </c>
      <c r="E709" s="10">
        <f>CHOOSE(CONTROL!$C$42, 43.6697, 43.6697) * CHOOSE(CONTROL!$C$21, $C$9, 100%, $E$9)</f>
        <v>43.669699999999999</v>
      </c>
      <c r="F709" s="10">
        <f>CHOOSE(CONTROL!$C$42, 43.5717, 43.5717)*CHOOSE(CONTROL!$C$21, $C$9, 100%, $E$9)</f>
        <v>43.5717</v>
      </c>
      <c r="G709" s="10">
        <f>CHOOSE(CONTROL!$C$42, 43.5863, 43.5863)*CHOOSE(CONTROL!$C$21, $C$9, 100%, $E$9)</f>
        <v>43.586300000000001</v>
      </c>
      <c r="H709" s="10">
        <f>CHOOSE(CONTROL!$C$42, 43.6589, 43.6589) * CHOOSE(CONTROL!$C$21, $C$9, 100%, $E$9)</f>
        <v>43.658900000000003</v>
      </c>
      <c r="I709" s="10">
        <f>CHOOSE(CONTROL!$C$42, 43.5847, 43.5847)* CHOOSE(CONTROL!$C$21, $C$9, 100%, $E$9)</f>
        <v>43.584699999999998</v>
      </c>
      <c r="J709" s="10">
        <f>CHOOSE(CONTROL!$C$42, 43.5647, 43.5647)* CHOOSE(CONTROL!$C$21, $C$9, 100%, $E$9)</f>
        <v>43.564700000000002</v>
      </c>
      <c r="K709" s="53">
        <f>CHOOSE(CONTROL!$C$42, 43.5808, 43.5808) * CHOOSE(CONTROL!$C$21, $C$9, 100%, $E$9)</f>
        <v>43.580800000000004</v>
      </c>
      <c r="L709" s="10">
        <f>CHOOSE(CONTROL!$C$42, 44.2459, 44.2459) * CHOOSE(CONTROL!$C$21, $C$9, 100%, $E$9)</f>
        <v>44.245899999999999</v>
      </c>
      <c r="M709" s="10">
        <f>CHOOSE(CONTROL!$C$42, 43.1389, 43.1389) * CHOOSE(CONTROL!$C$21, $C$9, 100%, $E$9)</f>
        <v>43.1389</v>
      </c>
      <c r="N709" s="10">
        <f>CHOOSE(CONTROL!$C$42, 43.1534, 43.1534) * CHOOSE(CONTROL!$C$21, $C$9, 100%, $E$9)</f>
        <v>43.153399999999998</v>
      </c>
      <c r="O709" s="10">
        <f>CHOOSE(CONTROL!$C$42, 43.2321, 43.2321) * CHOOSE(CONTROL!$C$21, $C$9, 100%, $E$9)</f>
        <v>43.232100000000003</v>
      </c>
      <c r="P709" s="10">
        <f>CHOOSE(CONTROL!$C$42, 43.1587, 43.1587) * CHOOSE(CONTROL!$C$21, $C$9, 100%, $E$9)</f>
        <v>43.158700000000003</v>
      </c>
      <c r="Q709" s="10">
        <f>CHOOSE(CONTROL!$C$42, 43.8274, 43.8274) * CHOOSE(CONTROL!$C$21, $C$9, 100%, $E$9)</f>
        <v>43.827399999999997</v>
      </c>
      <c r="R709" s="10">
        <f>CHOOSE(CONTROL!$C$42, 44.524, 44.524) * CHOOSE(CONTROL!$C$21, $C$9, 100%, $E$9)</f>
        <v>44.524000000000001</v>
      </c>
      <c r="S709" s="10">
        <f>CHOOSE(CONTROL!$C$42, 42.3125, 42.3125) * CHOOSE(CONTROL!$C$21, $C$9, 100%, $E$9)</f>
        <v>42.3125</v>
      </c>
      <c r="T7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57">
        <f>(1000*CHOOSE(CONTROL!$C$42, 695, 695)*CHOOSE(CONTROL!$C$42, 0.5599, 0.5599)*CHOOSE(CONTROL!$C$42, 31, 31))/1000000</f>
        <v>12.063045499999998</v>
      </c>
      <c r="V709" s="57">
        <f>(1000*CHOOSE(CONTROL!$C$42, 500, 500)*CHOOSE(CONTROL!$C$42, 0.275, 0.275)*CHOOSE(CONTROL!$C$42, 31, 31))/1000000</f>
        <v>4.2625000000000002</v>
      </c>
      <c r="W709" s="57">
        <f>(1000*CHOOSE(CONTROL!$C$42, 0.1146, 0.1146)*CHOOSE(CONTROL!$C$42, 121.5, 121.5)*CHOOSE(CONTROL!$C$42, 31, 31))/1000000</f>
        <v>0.43164089999999994</v>
      </c>
      <c r="X709" s="57">
        <f>(31*0.1790888*100000/1000000)+(31*0.2374*100000/1000000)</f>
        <v>1.2911152800000001</v>
      </c>
      <c r="Y709" s="57"/>
      <c r="Z709" s="10"/>
      <c r="AA709" s="56"/>
      <c r="AB709" s="50">
        <f>(B709*122.58+C709*297.941+D709*89.177+E709*40.302+F709*40+G709*160+H709*0+I709*100+J709*300)/(122.58+297.941+89.177+40.302+0+40+160+100+300)</f>
        <v>43.583548357043476</v>
      </c>
      <c r="AC709" s="45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43.184825179856112</v>
      </c>
    </row>
    <row r="710" spans="1:29" ht="15.75" x14ac:dyDescent="0.25">
      <c r="A710" s="13">
        <v>62517</v>
      </c>
      <c r="B710" s="10">
        <f>CHOOSE(CONTROL!$C$42, 44.3495, 44.3495) * CHOOSE(CONTROL!$C$21, $C$9, 100%, $E$9)</f>
        <v>44.349499999999999</v>
      </c>
      <c r="C710" s="10">
        <f>CHOOSE(CONTROL!$C$42, 44.3545, 44.3545) * CHOOSE(CONTROL!$C$21, $C$9, 100%, $E$9)</f>
        <v>44.354500000000002</v>
      </c>
      <c r="D710" s="10">
        <f>CHOOSE(CONTROL!$C$42, 44.4116, 44.4116) * CHOOSE(CONTROL!$C$21, $C$9, 100%, $E$9)</f>
        <v>44.4116</v>
      </c>
      <c r="E710" s="10">
        <f>CHOOSE(CONTROL!$C$42, 44.4453, 44.4453) * CHOOSE(CONTROL!$C$21, $C$9, 100%, $E$9)</f>
        <v>44.445300000000003</v>
      </c>
      <c r="F710" s="10">
        <f>CHOOSE(CONTROL!$C$42, 44.3475, 44.3475)*CHOOSE(CONTROL!$C$21, $C$9, 100%, $E$9)</f>
        <v>44.347499999999997</v>
      </c>
      <c r="G710" s="10">
        <f>CHOOSE(CONTROL!$C$42, 44.3621, 44.3621)*CHOOSE(CONTROL!$C$21, $C$9, 100%, $E$9)</f>
        <v>44.362099999999998</v>
      </c>
      <c r="H710" s="10">
        <f>CHOOSE(CONTROL!$C$42, 44.4345, 44.4345) * CHOOSE(CONTROL!$C$21, $C$9, 100%, $E$9)</f>
        <v>44.4345</v>
      </c>
      <c r="I710" s="10">
        <f>CHOOSE(CONTROL!$C$42, 44.3603, 44.3603)* CHOOSE(CONTROL!$C$21, $C$9, 100%, $E$9)</f>
        <v>44.360300000000002</v>
      </c>
      <c r="J710" s="10">
        <f>CHOOSE(CONTROL!$C$42, 44.3405, 44.3405)* CHOOSE(CONTROL!$C$21, $C$9, 100%, $E$9)</f>
        <v>44.340499999999999</v>
      </c>
      <c r="K710" s="53">
        <f>CHOOSE(CONTROL!$C$42, 44.3564, 44.3564) * CHOOSE(CONTROL!$C$21, $C$9, 100%, $E$9)</f>
        <v>44.356400000000001</v>
      </c>
      <c r="L710" s="10">
        <f>CHOOSE(CONTROL!$C$42, 45.0215, 45.0215) * CHOOSE(CONTROL!$C$21, $C$9, 100%, $E$9)</f>
        <v>45.021500000000003</v>
      </c>
      <c r="M710" s="10">
        <f>CHOOSE(CONTROL!$C$42, 43.9068, 43.9068) * CHOOSE(CONTROL!$C$21, $C$9, 100%, $E$9)</f>
        <v>43.906799999999997</v>
      </c>
      <c r="N710" s="10">
        <f>CHOOSE(CONTROL!$C$42, 43.9213, 43.9213) * CHOOSE(CONTROL!$C$21, $C$9, 100%, $E$9)</f>
        <v>43.921300000000002</v>
      </c>
      <c r="O710" s="10">
        <f>CHOOSE(CONTROL!$C$42, 43.9999, 43.9999) * CHOOSE(CONTROL!$C$21, $C$9, 100%, $E$9)</f>
        <v>43.999899999999997</v>
      </c>
      <c r="P710" s="10">
        <f>CHOOSE(CONTROL!$C$42, 43.9265, 43.9265) * CHOOSE(CONTROL!$C$21, $C$9, 100%, $E$9)</f>
        <v>43.926499999999997</v>
      </c>
      <c r="Q710" s="10">
        <f>CHOOSE(CONTROL!$C$42, 44.5952, 44.5952) * CHOOSE(CONTROL!$C$21, $C$9, 100%, $E$9)</f>
        <v>44.595199999999998</v>
      </c>
      <c r="R710" s="10">
        <f>CHOOSE(CONTROL!$C$42, 45.2937, 45.2937) * CHOOSE(CONTROL!$C$21, $C$9, 100%, $E$9)</f>
        <v>45.293700000000001</v>
      </c>
      <c r="S710" s="10">
        <f>CHOOSE(CONTROL!$C$42, 43.0657, 43.0657) * CHOOSE(CONTROL!$C$21, $C$9, 100%, $E$9)</f>
        <v>43.0657</v>
      </c>
      <c r="T7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10" s="57">
        <f>(1000*CHOOSE(CONTROL!$C$42, 695, 695)*CHOOSE(CONTROL!$C$42, 0.5599, 0.5599)*CHOOSE(CONTROL!$C$42, 28, 28))/1000000</f>
        <v>10.895653999999999</v>
      </c>
      <c r="V710" s="57">
        <f>(1000*CHOOSE(CONTROL!$C$42, 500, 500)*CHOOSE(CONTROL!$C$42, 0.275, 0.275)*CHOOSE(CONTROL!$C$42, 28, 28))/1000000</f>
        <v>3.85</v>
      </c>
      <c r="W710" s="57">
        <f>(1000*CHOOSE(CONTROL!$C$42, 0.1146, 0.1146)*CHOOSE(CONTROL!$C$42, 121.5, 121.5)*CHOOSE(CONTROL!$C$42, 28, 28))/1000000</f>
        <v>0.38986920000000003</v>
      </c>
      <c r="X710" s="57">
        <f>(28*0.1790888*100000/1000000)+(28*0.2374*100000/1000000)</f>
        <v>1.16616864</v>
      </c>
      <c r="Y710" s="57"/>
      <c r="Z710" s="10"/>
      <c r="AA710" s="56"/>
      <c r="AB710" s="50">
        <f>(B710*122.58+C710*297.941+D710*89.177+E710*40.302+F710*40+G710*160+H710*0+I710*100+J710*300)/(122.58+297.941+89.177+40.302+0+40+160+100+300)</f>
        <v>44.359243068086954</v>
      </c>
      <c r="AC710" s="45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43.952665467625899</v>
      </c>
    </row>
    <row r="711" spans="1:29" ht="15.75" x14ac:dyDescent="0.25">
      <c r="A711" s="13">
        <v>62548</v>
      </c>
      <c r="B711" s="10">
        <f>CHOOSE(CONTROL!$C$42, 43.0905, 43.0905) * CHOOSE(CONTROL!$C$21, $C$9, 100%, $E$9)</f>
        <v>43.090499999999999</v>
      </c>
      <c r="C711" s="10">
        <f>CHOOSE(CONTROL!$C$42, 43.0955, 43.0955) * CHOOSE(CONTROL!$C$21, $C$9, 100%, $E$9)</f>
        <v>43.095500000000001</v>
      </c>
      <c r="D711" s="10">
        <f>CHOOSE(CONTROL!$C$42, 43.1525, 43.1525) * CHOOSE(CONTROL!$C$21, $C$9, 100%, $E$9)</f>
        <v>43.152500000000003</v>
      </c>
      <c r="E711" s="10">
        <f>CHOOSE(CONTROL!$C$42, 43.1863, 43.1863) * CHOOSE(CONTROL!$C$21, $C$9, 100%, $E$9)</f>
        <v>43.186300000000003</v>
      </c>
      <c r="F711" s="10">
        <f>CHOOSE(CONTROL!$C$42, 43.0883, 43.0883)*CHOOSE(CONTROL!$C$21, $C$9, 100%, $E$9)</f>
        <v>43.088299999999997</v>
      </c>
      <c r="G711" s="10">
        <f>CHOOSE(CONTROL!$C$42, 43.1029, 43.1029)*CHOOSE(CONTROL!$C$21, $C$9, 100%, $E$9)</f>
        <v>43.102899999999998</v>
      </c>
      <c r="H711" s="10">
        <f>CHOOSE(CONTROL!$C$42, 43.1755, 43.1755) * CHOOSE(CONTROL!$C$21, $C$9, 100%, $E$9)</f>
        <v>43.1755</v>
      </c>
      <c r="I711" s="10">
        <f>CHOOSE(CONTROL!$C$42, 43.1013, 43.1013)* CHOOSE(CONTROL!$C$21, $C$9, 100%, $E$9)</f>
        <v>43.101300000000002</v>
      </c>
      <c r="J711" s="10">
        <f>CHOOSE(CONTROL!$C$42, 43.0813, 43.0813)* CHOOSE(CONTROL!$C$21, $C$9, 100%, $E$9)</f>
        <v>43.081299999999999</v>
      </c>
      <c r="K711" s="53">
        <f>CHOOSE(CONTROL!$C$42, 43.0974, 43.0974) * CHOOSE(CONTROL!$C$21, $C$9, 100%, $E$9)</f>
        <v>43.0974</v>
      </c>
      <c r="L711" s="10">
        <f>CHOOSE(CONTROL!$C$42, 43.7625, 43.7625) * CHOOSE(CONTROL!$C$21, $C$9, 100%, $E$9)</f>
        <v>43.762500000000003</v>
      </c>
      <c r="M711" s="10">
        <f>CHOOSE(CONTROL!$C$42, 42.6604, 42.6604) * CHOOSE(CONTROL!$C$21, $C$9, 100%, $E$9)</f>
        <v>42.660400000000003</v>
      </c>
      <c r="N711" s="10">
        <f>CHOOSE(CONTROL!$C$42, 42.6748, 42.6748) * CHOOSE(CONTROL!$C$21, $C$9, 100%, $E$9)</f>
        <v>42.674799999999998</v>
      </c>
      <c r="O711" s="10">
        <f>CHOOSE(CONTROL!$C$42, 42.7536, 42.7536) * CHOOSE(CONTROL!$C$21, $C$9, 100%, $E$9)</f>
        <v>42.753599999999999</v>
      </c>
      <c r="P711" s="10">
        <f>CHOOSE(CONTROL!$C$42, 42.6802, 42.6802) * CHOOSE(CONTROL!$C$21, $C$9, 100%, $E$9)</f>
        <v>42.680199999999999</v>
      </c>
      <c r="Q711" s="10">
        <f>CHOOSE(CONTROL!$C$42, 43.3489, 43.3489) * CHOOSE(CONTROL!$C$21, $C$9, 100%, $E$9)</f>
        <v>43.3489</v>
      </c>
      <c r="R711" s="10">
        <f>CHOOSE(CONTROL!$C$42, 44.0443, 44.0443) * CHOOSE(CONTROL!$C$21, $C$9, 100%, $E$9)</f>
        <v>44.0443</v>
      </c>
      <c r="S711" s="10">
        <f>CHOOSE(CONTROL!$C$42, 41.843, 41.843) * CHOOSE(CONTROL!$C$21, $C$9, 100%, $E$9)</f>
        <v>41.843000000000004</v>
      </c>
      <c r="T7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57">
        <f>(1000*CHOOSE(CONTROL!$C$42, 695, 695)*CHOOSE(CONTROL!$C$42, 0.5599, 0.5599)*CHOOSE(CONTROL!$C$42, 31, 31))/1000000</f>
        <v>12.063045499999998</v>
      </c>
      <c r="V711" s="57">
        <f>(1000*CHOOSE(CONTROL!$C$42, 500, 500)*CHOOSE(CONTROL!$C$42, 0.275, 0.275)*CHOOSE(CONTROL!$C$42, 31, 31))/1000000</f>
        <v>4.2625000000000002</v>
      </c>
      <c r="W711" s="57">
        <f>(1000*CHOOSE(CONTROL!$C$42, 0.1146, 0.1146)*CHOOSE(CONTROL!$C$42, 121.5, 121.5)*CHOOSE(CONTROL!$C$42, 31, 31))/1000000</f>
        <v>0.43164089999999994</v>
      </c>
      <c r="X711" s="57">
        <f>(31*0.1790888*100000/1000000)+(31*0.2374*100000/1000000)</f>
        <v>1.2911152800000001</v>
      </c>
      <c r="Y711" s="57"/>
      <c r="Z711" s="10"/>
      <c r="AA711" s="56"/>
      <c r="AB711" s="50">
        <f>(B711*122.58+C711*297.941+D711*89.177+E711*40.302+F711*40+G711*160+H711*0+I711*100+J711*300)/(122.58+297.941+89.177+40.302+0+40+160+100+300)</f>
        <v>43.10014835704348</v>
      </c>
      <c r="AC711" s="45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42.706319424460439</v>
      </c>
    </row>
    <row r="712" spans="1:29" ht="15.75" x14ac:dyDescent="0.25">
      <c r="A712" s="13">
        <v>62578</v>
      </c>
      <c r="B712" s="10">
        <f>CHOOSE(CONTROL!$C$42, 42.9627, 42.9627) * CHOOSE(CONTROL!$C$21, $C$9, 100%, $E$9)</f>
        <v>42.962699999999998</v>
      </c>
      <c r="C712" s="10">
        <f>CHOOSE(CONTROL!$C$42, 42.967, 42.967) * CHOOSE(CONTROL!$C$21, $C$9, 100%, $E$9)</f>
        <v>42.966999999999999</v>
      </c>
      <c r="D712" s="10">
        <f>CHOOSE(CONTROL!$C$42, 43.1729, 43.1729) * CHOOSE(CONTROL!$C$21, $C$9, 100%, $E$9)</f>
        <v>43.172899999999998</v>
      </c>
      <c r="E712" s="10">
        <f>CHOOSE(CONTROL!$C$42, 43.2047, 43.2047) * CHOOSE(CONTROL!$C$21, $C$9, 100%, $E$9)</f>
        <v>43.204700000000003</v>
      </c>
      <c r="F712" s="10">
        <f>CHOOSE(CONTROL!$C$42, 42.9394, 42.9394)*CHOOSE(CONTROL!$C$21, $C$9, 100%, $E$9)</f>
        <v>42.939399999999999</v>
      </c>
      <c r="G712" s="10">
        <f>CHOOSE(CONTROL!$C$42, 42.9539, 42.9539)*CHOOSE(CONTROL!$C$21, $C$9, 100%, $E$9)</f>
        <v>42.953899999999997</v>
      </c>
      <c r="H712" s="10">
        <f>CHOOSE(CONTROL!$C$42, 43.1945, 43.1945) * CHOOSE(CONTROL!$C$21, $C$9, 100%, $E$9)</f>
        <v>43.194499999999998</v>
      </c>
      <c r="I712" s="10">
        <f>CHOOSE(CONTROL!$C$42, 42.9641, 42.9641)* CHOOSE(CONTROL!$C$21, $C$9, 100%, $E$9)</f>
        <v>42.964100000000002</v>
      </c>
      <c r="J712" s="10">
        <f>CHOOSE(CONTROL!$C$42, 42.9324, 42.9324)* CHOOSE(CONTROL!$C$21, $C$9, 100%, $E$9)</f>
        <v>42.932400000000001</v>
      </c>
      <c r="K712" s="53">
        <f>CHOOSE(CONTROL!$C$42, 42.9602, 42.9602) * CHOOSE(CONTROL!$C$21, $C$9, 100%, $E$9)</f>
        <v>42.9602</v>
      </c>
      <c r="L712" s="10">
        <f>CHOOSE(CONTROL!$C$42, 43.7815, 43.7815) * CHOOSE(CONTROL!$C$21, $C$9, 100%, $E$9)</f>
        <v>43.781500000000001</v>
      </c>
      <c r="M712" s="10">
        <f>CHOOSE(CONTROL!$C$42, 42.513, 42.513) * CHOOSE(CONTROL!$C$21, $C$9, 100%, $E$9)</f>
        <v>42.512999999999998</v>
      </c>
      <c r="N712" s="10">
        <f>CHOOSE(CONTROL!$C$42, 42.5274, 42.5274) * CHOOSE(CONTROL!$C$21, $C$9, 100%, $E$9)</f>
        <v>42.5274</v>
      </c>
      <c r="O712" s="10">
        <f>CHOOSE(CONTROL!$C$42, 42.7724, 42.7724) * CHOOSE(CONTROL!$C$21, $C$9, 100%, $E$9)</f>
        <v>42.772399999999998</v>
      </c>
      <c r="P712" s="10">
        <f>CHOOSE(CONTROL!$C$42, 42.5444, 42.5444) * CHOOSE(CONTROL!$C$21, $C$9, 100%, $E$9)</f>
        <v>42.544400000000003</v>
      </c>
      <c r="Q712" s="10">
        <f>CHOOSE(CONTROL!$C$42, 43.3677, 43.3677) * CHOOSE(CONTROL!$C$21, $C$9, 100%, $E$9)</f>
        <v>43.367699999999999</v>
      </c>
      <c r="R712" s="10">
        <f>CHOOSE(CONTROL!$C$42, 44.0631, 44.0631) * CHOOSE(CONTROL!$C$21, $C$9, 100%, $E$9)</f>
        <v>44.063099999999999</v>
      </c>
      <c r="S712" s="10">
        <f>CHOOSE(CONTROL!$C$42, 41.7181, 41.7181) * CHOOSE(CONTROL!$C$21, $C$9, 100%, $E$9)</f>
        <v>41.7181</v>
      </c>
      <c r="T7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57">
        <f>(1000*CHOOSE(CONTROL!$C$42, 695, 695)*CHOOSE(CONTROL!$C$42, 0.5599, 0.5599)*CHOOSE(CONTROL!$C$42, 30, 30))/1000000</f>
        <v>11.673914999999997</v>
      </c>
      <c r="V712" s="57">
        <f>(1000*CHOOSE(CONTROL!$C$42, 500, 500)*CHOOSE(CONTROL!$C$42, 0.275, 0.275)*CHOOSE(CONTROL!$C$42, 30, 30))/1000000</f>
        <v>4.125</v>
      </c>
      <c r="W712" s="57">
        <f>(1000*CHOOSE(CONTROL!$C$42, 0.1146, 0.1146)*CHOOSE(CONTROL!$C$42, 121.5, 121.5)*CHOOSE(CONTROL!$C$42, 30, 30))/1000000</f>
        <v>0.417717</v>
      </c>
      <c r="X712" s="57">
        <f>(30*0.1790888*245000/1000000)+(30*0.2374*100000/1000000)</f>
        <v>2.0285026799999999</v>
      </c>
      <c r="Y712" s="57"/>
      <c r="Z712" s="10"/>
      <c r="AA712" s="56"/>
      <c r="AB712" s="50">
        <f>(B712*141.293+C712*267.993+D712*115.016+E712*89.698+F712*40+G712*185+H712*0+I712*100+J712*300)/(141.293+267.993+115.016+89.698+0+40+185+100+300)</f>
        <v>42.991372840274423</v>
      </c>
      <c r="AC712" s="45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42.635916546762587</v>
      </c>
    </row>
    <row r="713" spans="1:29" ht="15.75" x14ac:dyDescent="0.25">
      <c r="A713" s="13">
        <v>62609</v>
      </c>
      <c r="B713" s="10">
        <f>CHOOSE(CONTROL!$C$42, 43.3432, 43.3432) * CHOOSE(CONTROL!$C$21, $C$9, 100%, $E$9)</f>
        <v>43.343200000000003</v>
      </c>
      <c r="C713" s="10">
        <f>CHOOSE(CONTROL!$C$42, 43.3511, 43.3511) * CHOOSE(CONTROL!$C$21, $C$9, 100%, $E$9)</f>
        <v>43.351100000000002</v>
      </c>
      <c r="D713" s="10">
        <f>CHOOSE(CONTROL!$C$42, 43.5539, 43.5539) * CHOOSE(CONTROL!$C$21, $C$9, 100%, $E$9)</f>
        <v>43.553899999999999</v>
      </c>
      <c r="E713" s="10">
        <f>CHOOSE(CONTROL!$C$42, 43.585, 43.585) * CHOOSE(CONTROL!$C$21, $C$9, 100%, $E$9)</f>
        <v>43.585000000000001</v>
      </c>
      <c r="F713" s="10">
        <f>CHOOSE(CONTROL!$C$42, 43.3189, 43.3189)*CHOOSE(CONTROL!$C$21, $C$9, 100%, $E$9)</f>
        <v>43.318899999999999</v>
      </c>
      <c r="G713" s="10">
        <f>CHOOSE(CONTROL!$C$42, 43.3339, 43.3339)*CHOOSE(CONTROL!$C$21, $C$9, 100%, $E$9)</f>
        <v>43.3339</v>
      </c>
      <c r="H713" s="10">
        <f>CHOOSE(CONTROL!$C$42, 43.5736, 43.5736) * CHOOSE(CONTROL!$C$21, $C$9, 100%, $E$9)</f>
        <v>43.573599999999999</v>
      </c>
      <c r="I713" s="10">
        <f>CHOOSE(CONTROL!$C$42, 43.3433, 43.3433)* CHOOSE(CONTROL!$C$21, $C$9, 100%, $E$9)</f>
        <v>43.343299999999999</v>
      </c>
      <c r="J713" s="10">
        <f>CHOOSE(CONTROL!$C$42, 43.3119, 43.3119)* CHOOSE(CONTROL!$C$21, $C$9, 100%, $E$9)</f>
        <v>43.311900000000001</v>
      </c>
      <c r="K713" s="53">
        <f>CHOOSE(CONTROL!$C$42, 43.3394, 43.3394) * CHOOSE(CONTROL!$C$21, $C$9, 100%, $E$9)</f>
        <v>43.339399999999998</v>
      </c>
      <c r="L713" s="10">
        <f>CHOOSE(CONTROL!$C$42, 44.1606, 44.1606) * CHOOSE(CONTROL!$C$21, $C$9, 100%, $E$9)</f>
        <v>44.160600000000002</v>
      </c>
      <c r="M713" s="10">
        <f>CHOOSE(CONTROL!$C$42, 42.8887, 42.8887) * CHOOSE(CONTROL!$C$21, $C$9, 100%, $E$9)</f>
        <v>42.8887</v>
      </c>
      <c r="N713" s="10">
        <f>CHOOSE(CONTROL!$C$42, 42.9035, 42.9035) * CHOOSE(CONTROL!$C$21, $C$9, 100%, $E$9)</f>
        <v>42.903500000000001</v>
      </c>
      <c r="O713" s="10">
        <f>CHOOSE(CONTROL!$C$42, 43.1477, 43.1477) * CHOOSE(CONTROL!$C$21, $C$9, 100%, $E$9)</f>
        <v>43.1477</v>
      </c>
      <c r="P713" s="10">
        <f>CHOOSE(CONTROL!$C$42, 42.9197, 42.9197) * CHOOSE(CONTROL!$C$21, $C$9, 100%, $E$9)</f>
        <v>42.919699999999999</v>
      </c>
      <c r="Q713" s="10">
        <f>CHOOSE(CONTROL!$C$42, 43.743, 43.743) * CHOOSE(CONTROL!$C$21, $C$9, 100%, $E$9)</f>
        <v>43.743000000000002</v>
      </c>
      <c r="R713" s="10">
        <f>CHOOSE(CONTROL!$C$42, 44.4394, 44.4394) * CHOOSE(CONTROL!$C$21, $C$9, 100%, $E$9)</f>
        <v>44.439399999999999</v>
      </c>
      <c r="S713" s="10">
        <f>CHOOSE(CONTROL!$C$42, 42.0863, 42.0863) * CHOOSE(CONTROL!$C$21, $C$9, 100%, $E$9)</f>
        <v>42.086300000000001</v>
      </c>
      <c r="T7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57">
        <f>(1000*CHOOSE(CONTROL!$C$42, 695, 695)*CHOOSE(CONTROL!$C$42, 0.5599, 0.5599)*CHOOSE(CONTROL!$C$42, 31, 31))/1000000</f>
        <v>12.063045499999998</v>
      </c>
      <c r="V713" s="57">
        <f>(1000*CHOOSE(CONTROL!$C$42, 500, 500)*CHOOSE(CONTROL!$C$42, 0.275, 0.275)*CHOOSE(CONTROL!$C$42, 31, 31))/1000000</f>
        <v>4.2625000000000002</v>
      </c>
      <c r="W713" s="57">
        <f>(1000*CHOOSE(CONTROL!$C$42, 0.1146, 0.1146)*CHOOSE(CONTROL!$C$42, 121.5, 121.5)*CHOOSE(CONTROL!$C$42, 31, 31))/1000000</f>
        <v>0.43164089999999994</v>
      </c>
      <c r="X713" s="57">
        <f>(31*0.1790888*245000/1000000)+(31*0.2374*100000/1000000)</f>
        <v>2.0961194359999999</v>
      </c>
      <c r="Y713" s="57"/>
      <c r="Z713" s="10"/>
      <c r="AA713" s="56"/>
      <c r="AB713" s="50">
        <f>(B713*194.205+C713*267.466+D713*133.845+E713*53.484+F713*40+G713*185+H713*0+I713*100+J713*300)/(194.205+267.466+133.845+53.484+0+40+185+100+300)</f>
        <v>43.367669430219784</v>
      </c>
      <c r="AC713" s="45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43.011400719424465</v>
      </c>
    </row>
    <row r="714" spans="1:29" ht="15.75" x14ac:dyDescent="0.25">
      <c r="A714" s="13">
        <v>62639</v>
      </c>
      <c r="B714" s="10">
        <f>CHOOSE(CONTROL!$C$42, 44.5725, 44.5725) * CHOOSE(CONTROL!$C$21, $C$9, 100%, $E$9)</f>
        <v>44.572499999999998</v>
      </c>
      <c r="C714" s="10">
        <f>CHOOSE(CONTROL!$C$42, 44.5805, 44.5805) * CHOOSE(CONTROL!$C$21, $C$9, 100%, $E$9)</f>
        <v>44.580500000000001</v>
      </c>
      <c r="D714" s="10">
        <f>CHOOSE(CONTROL!$C$42, 44.7832, 44.7832) * CHOOSE(CONTROL!$C$21, $C$9, 100%, $E$9)</f>
        <v>44.783200000000001</v>
      </c>
      <c r="E714" s="10">
        <f>CHOOSE(CONTROL!$C$42, 44.8143, 44.8143) * CHOOSE(CONTROL!$C$21, $C$9, 100%, $E$9)</f>
        <v>44.814300000000003</v>
      </c>
      <c r="F714" s="10">
        <f>CHOOSE(CONTROL!$C$42, 44.5488, 44.5488)*CHOOSE(CONTROL!$C$21, $C$9, 100%, $E$9)</f>
        <v>44.5488</v>
      </c>
      <c r="G714" s="10">
        <f>CHOOSE(CONTROL!$C$42, 44.5639, 44.5639)*CHOOSE(CONTROL!$C$21, $C$9, 100%, $E$9)</f>
        <v>44.563899999999997</v>
      </c>
      <c r="H714" s="10">
        <f>CHOOSE(CONTROL!$C$42, 44.803, 44.803) * CHOOSE(CONTROL!$C$21, $C$9, 100%, $E$9)</f>
        <v>44.802999999999997</v>
      </c>
      <c r="I714" s="10">
        <f>CHOOSE(CONTROL!$C$42, 44.5726, 44.5726)* CHOOSE(CONTROL!$C$21, $C$9, 100%, $E$9)</f>
        <v>44.572600000000001</v>
      </c>
      <c r="J714" s="10">
        <f>CHOOSE(CONTROL!$C$42, 44.5418, 44.5418)* CHOOSE(CONTROL!$C$21, $C$9, 100%, $E$9)</f>
        <v>44.541800000000002</v>
      </c>
      <c r="K714" s="53">
        <f>CHOOSE(CONTROL!$C$42, 44.5687, 44.5687) * CHOOSE(CONTROL!$C$21, $C$9, 100%, $E$9)</f>
        <v>44.5687</v>
      </c>
      <c r="L714" s="10">
        <f>CHOOSE(CONTROL!$C$42, 45.39, 45.39) * CHOOSE(CONTROL!$C$21, $C$9, 100%, $E$9)</f>
        <v>45.39</v>
      </c>
      <c r="M714" s="10">
        <f>CHOOSE(CONTROL!$C$42, 44.1061, 44.1061) * CHOOSE(CONTROL!$C$21, $C$9, 100%, $E$9)</f>
        <v>44.106099999999998</v>
      </c>
      <c r="N714" s="10">
        <f>CHOOSE(CONTROL!$C$42, 44.1211, 44.1211) * CHOOSE(CONTROL!$C$21, $C$9, 100%, $E$9)</f>
        <v>44.121099999999998</v>
      </c>
      <c r="O714" s="10">
        <f>CHOOSE(CONTROL!$C$42, 44.3647, 44.3647) * CHOOSE(CONTROL!$C$21, $C$9, 100%, $E$9)</f>
        <v>44.364699999999999</v>
      </c>
      <c r="P714" s="10">
        <f>CHOOSE(CONTROL!$C$42, 44.1366, 44.1366) * CHOOSE(CONTROL!$C$21, $C$9, 100%, $E$9)</f>
        <v>44.136600000000001</v>
      </c>
      <c r="Q714" s="10">
        <f>CHOOSE(CONTROL!$C$42, 44.96, 44.96) * CHOOSE(CONTROL!$C$21, $C$9, 100%, $E$9)</f>
        <v>44.96</v>
      </c>
      <c r="R714" s="10">
        <f>CHOOSE(CONTROL!$C$42, 45.6594, 45.6594) * CHOOSE(CONTROL!$C$21, $C$9, 100%, $E$9)</f>
        <v>45.659399999999998</v>
      </c>
      <c r="S714" s="10">
        <f>CHOOSE(CONTROL!$C$42, 43.2802, 43.2802) * CHOOSE(CONTROL!$C$21, $C$9, 100%, $E$9)</f>
        <v>43.280200000000001</v>
      </c>
      <c r="T7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57">
        <f>(1000*CHOOSE(CONTROL!$C$42, 695, 695)*CHOOSE(CONTROL!$C$42, 0.5599, 0.5599)*CHOOSE(CONTROL!$C$42, 30, 30))/1000000</f>
        <v>11.673914999999997</v>
      </c>
      <c r="V714" s="57">
        <f>(1000*CHOOSE(CONTROL!$C$42, 500, 500)*CHOOSE(CONTROL!$C$42, 0.275, 0.275)*CHOOSE(CONTROL!$C$42, 30, 30))/1000000</f>
        <v>4.125</v>
      </c>
      <c r="W714" s="57">
        <f>(1000*CHOOSE(CONTROL!$C$42, 0.1146, 0.1146)*CHOOSE(CONTROL!$C$42, 121.5, 121.5)*CHOOSE(CONTROL!$C$42, 30, 30))/1000000</f>
        <v>0.417717</v>
      </c>
      <c r="X714" s="57">
        <f>(30*0.1790888*245000/1000000)+(30*0.2374*100000/1000000)</f>
        <v>2.0285026799999999</v>
      </c>
      <c r="Y714" s="57"/>
      <c r="Z714" s="10"/>
      <c r="AA714" s="56"/>
      <c r="AB714" s="50">
        <f>(B714*194.205+C714*267.466+D714*133.845+E714*53.484+F714*40+G714*185+H714*0+I714*100+J714*300)/(194.205+267.466+133.845+53.484+0+40+185+100+300)</f>
        <v>44.597252198351647</v>
      </c>
      <c r="AC714" s="45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44.228558992805759</v>
      </c>
    </row>
    <row r="715" spans="1:29" ht="15.75" x14ac:dyDescent="0.25">
      <c r="A715" s="13">
        <v>62670</v>
      </c>
      <c r="B715" s="10">
        <f>CHOOSE(CONTROL!$C$42, 43.7175, 43.7175) * CHOOSE(CONTROL!$C$21, $C$9, 100%, $E$9)</f>
        <v>43.717500000000001</v>
      </c>
      <c r="C715" s="10">
        <f>CHOOSE(CONTROL!$C$42, 43.7255, 43.7255) * CHOOSE(CONTROL!$C$21, $C$9, 100%, $E$9)</f>
        <v>43.725499999999997</v>
      </c>
      <c r="D715" s="10">
        <f>CHOOSE(CONTROL!$C$42, 43.9282, 43.9282) * CHOOSE(CONTROL!$C$21, $C$9, 100%, $E$9)</f>
        <v>43.928199999999997</v>
      </c>
      <c r="E715" s="10">
        <f>CHOOSE(CONTROL!$C$42, 43.9593, 43.9593) * CHOOSE(CONTROL!$C$21, $C$9, 100%, $E$9)</f>
        <v>43.959299999999999</v>
      </c>
      <c r="F715" s="10">
        <f>CHOOSE(CONTROL!$C$42, 43.6943, 43.6943)*CHOOSE(CONTROL!$C$21, $C$9, 100%, $E$9)</f>
        <v>43.694299999999998</v>
      </c>
      <c r="G715" s="10">
        <f>CHOOSE(CONTROL!$C$42, 43.7096, 43.7096)*CHOOSE(CONTROL!$C$21, $C$9, 100%, $E$9)</f>
        <v>43.709600000000002</v>
      </c>
      <c r="H715" s="10">
        <f>CHOOSE(CONTROL!$C$42, 43.948, 43.948) * CHOOSE(CONTROL!$C$21, $C$9, 100%, $E$9)</f>
        <v>43.948</v>
      </c>
      <c r="I715" s="10">
        <f>CHOOSE(CONTROL!$C$42, 43.7176, 43.7176)* CHOOSE(CONTROL!$C$21, $C$9, 100%, $E$9)</f>
        <v>43.717599999999997</v>
      </c>
      <c r="J715" s="10">
        <f>CHOOSE(CONTROL!$C$42, 43.6873, 43.6873)* CHOOSE(CONTROL!$C$21, $C$9, 100%, $E$9)</f>
        <v>43.6873</v>
      </c>
      <c r="K715" s="53">
        <f>CHOOSE(CONTROL!$C$42, 43.7137, 43.7137) * CHOOSE(CONTROL!$C$21, $C$9, 100%, $E$9)</f>
        <v>43.713700000000003</v>
      </c>
      <c r="L715" s="10">
        <f>CHOOSE(CONTROL!$C$42, 44.535, 44.535) * CHOOSE(CONTROL!$C$21, $C$9, 100%, $E$9)</f>
        <v>44.534999999999997</v>
      </c>
      <c r="M715" s="10">
        <f>CHOOSE(CONTROL!$C$42, 43.2602, 43.2602) * CHOOSE(CONTROL!$C$21, $C$9, 100%, $E$9)</f>
        <v>43.260199999999998</v>
      </c>
      <c r="N715" s="10">
        <f>CHOOSE(CONTROL!$C$42, 43.2754, 43.2754) * CHOOSE(CONTROL!$C$21, $C$9, 100%, $E$9)</f>
        <v>43.275399999999998</v>
      </c>
      <c r="O715" s="10">
        <f>CHOOSE(CONTROL!$C$42, 43.5183, 43.5183) * CHOOSE(CONTROL!$C$21, $C$9, 100%, $E$9)</f>
        <v>43.518300000000004</v>
      </c>
      <c r="P715" s="10">
        <f>CHOOSE(CONTROL!$C$42, 43.2903, 43.2903) * CHOOSE(CONTROL!$C$21, $C$9, 100%, $E$9)</f>
        <v>43.290300000000002</v>
      </c>
      <c r="Q715" s="10">
        <f>CHOOSE(CONTROL!$C$42, 44.1136, 44.1136) * CHOOSE(CONTROL!$C$21, $C$9, 100%, $E$9)</f>
        <v>44.113599999999998</v>
      </c>
      <c r="R715" s="10">
        <f>CHOOSE(CONTROL!$C$42, 44.8109, 44.8109) * CHOOSE(CONTROL!$C$21, $C$9, 100%, $E$9)</f>
        <v>44.810899999999997</v>
      </c>
      <c r="S715" s="10">
        <f>CHOOSE(CONTROL!$C$42, 42.4499, 42.4499) * CHOOSE(CONTROL!$C$21, $C$9, 100%, $E$9)</f>
        <v>42.4499</v>
      </c>
      <c r="T7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57">
        <f>(1000*CHOOSE(CONTROL!$C$42, 695, 695)*CHOOSE(CONTROL!$C$42, 0.5599, 0.5599)*CHOOSE(CONTROL!$C$42, 31, 31))/1000000</f>
        <v>12.063045499999998</v>
      </c>
      <c r="V715" s="57">
        <f>(1000*CHOOSE(CONTROL!$C$42, 500, 500)*CHOOSE(CONTROL!$C$42, 0.275, 0.275)*CHOOSE(CONTROL!$C$42, 31, 31))/1000000</f>
        <v>4.2625000000000002</v>
      </c>
      <c r="W715" s="57">
        <f>(1000*CHOOSE(CONTROL!$C$42, 0.1146, 0.1146)*CHOOSE(CONTROL!$C$42, 121.5, 121.5)*CHOOSE(CONTROL!$C$42, 31, 31))/1000000</f>
        <v>0.43164089999999994</v>
      </c>
      <c r="X715" s="57">
        <f>(31*0.1790888*245000/1000000)+(31*0.2374*100000/1000000)</f>
        <v>2.0961194359999999</v>
      </c>
      <c r="Y715" s="57"/>
      <c r="Z715" s="10"/>
      <c r="AA715" s="56"/>
      <c r="AB715" s="50">
        <f>(B715*194.205+C715*267.466+D715*133.845+E715*53.484+F715*40+G715*185+H715*0+I715*100+J715*300)/(194.205+267.466+133.845+53.484+0+40+185+100+300)</f>
        <v>43.74248728469388</v>
      </c>
      <c r="AC715" s="45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43.382386330935255</v>
      </c>
    </row>
    <row r="716" spans="1:29" ht="15.75" x14ac:dyDescent="0.25">
      <c r="A716" s="13">
        <v>62701</v>
      </c>
      <c r="B716" s="10">
        <f>CHOOSE(CONTROL!$C$42, 41.5584, 41.5584) * CHOOSE(CONTROL!$C$21, $C$9, 100%, $E$9)</f>
        <v>41.558399999999999</v>
      </c>
      <c r="C716" s="10">
        <f>CHOOSE(CONTROL!$C$42, 41.5663, 41.5663) * CHOOSE(CONTROL!$C$21, $C$9, 100%, $E$9)</f>
        <v>41.566299999999998</v>
      </c>
      <c r="D716" s="10">
        <f>CHOOSE(CONTROL!$C$42, 41.769, 41.769) * CHOOSE(CONTROL!$C$21, $C$9, 100%, $E$9)</f>
        <v>41.768999999999998</v>
      </c>
      <c r="E716" s="10">
        <f>CHOOSE(CONTROL!$C$42, 41.8002, 41.8002) * CHOOSE(CONTROL!$C$21, $C$9, 100%, $E$9)</f>
        <v>41.800199999999997</v>
      </c>
      <c r="F716" s="10">
        <f>CHOOSE(CONTROL!$C$42, 41.5353, 41.5353)*CHOOSE(CONTROL!$C$21, $C$9, 100%, $E$9)</f>
        <v>41.535299999999999</v>
      </c>
      <c r="G716" s="10">
        <f>CHOOSE(CONTROL!$C$42, 41.5506, 41.5506)*CHOOSE(CONTROL!$C$21, $C$9, 100%, $E$9)</f>
        <v>41.550600000000003</v>
      </c>
      <c r="H716" s="10">
        <f>CHOOSE(CONTROL!$C$42, 41.7888, 41.7888) * CHOOSE(CONTROL!$C$21, $C$9, 100%, $E$9)</f>
        <v>41.788800000000002</v>
      </c>
      <c r="I716" s="10">
        <f>CHOOSE(CONTROL!$C$42, 41.5584, 41.5584)* CHOOSE(CONTROL!$C$21, $C$9, 100%, $E$9)</f>
        <v>41.558399999999999</v>
      </c>
      <c r="J716" s="10">
        <f>CHOOSE(CONTROL!$C$42, 41.5283, 41.5283)* CHOOSE(CONTROL!$C$21, $C$9, 100%, $E$9)</f>
        <v>41.528300000000002</v>
      </c>
      <c r="K716" s="53">
        <f>CHOOSE(CONTROL!$C$42, 41.5545, 41.5545) * CHOOSE(CONTROL!$C$21, $C$9, 100%, $E$9)</f>
        <v>41.554499999999997</v>
      </c>
      <c r="L716" s="10">
        <f>CHOOSE(CONTROL!$C$42, 42.3758, 42.3758) * CHOOSE(CONTROL!$C$21, $C$9, 100%, $E$9)</f>
        <v>42.375799999999998</v>
      </c>
      <c r="M716" s="10">
        <f>CHOOSE(CONTROL!$C$42, 41.123, 41.123) * CHOOSE(CONTROL!$C$21, $C$9, 100%, $E$9)</f>
        <v>41.122999999999998</v>
      </c>
      <c r="N716" s="10">
        <f>CHOOSE(CONTROL!$C$42, 41.1382, 41.1382) * CHOOSE(CONTROL!$C$21, $C$9, 100%, $E$9)</f>
        <v>41.138199999999998</v>
      </c>
      <c r="O716" s="10">
        <f>CHOOSE(CONTROL!$C$42, 41.3809, 41.3809) * CHOOSE(CONTROL!$C$21, $C$9, 100%, $E$9)</f>
        <v>41.380899999999997</v>
      </c>
      <c r="P716" s="10">
        <f>CHOOSE(CONTROL!$C$42, 41.1529, 41.1529) * CHOOSE(CONTROL!$C$21, $C$9, 100%, $E$9)</f>
        <v>41.152900000000002</v>
      </c>
      <c r="Q716" s="10">
        <f>CHOOSE(CONTROL!$C$42, 41.9762, 41.9762) * CHOOSE(CONTROL!$C$21, $C$9, 100%, $E$9)</f>
        <v>41.976199999999999</v>
      </c>
      <c r="R716" s="10">
        <f>CHOOSE(CONTROL!$C$42, 42.6681, 42.6681) * CHOOSE(CONTROL!$C$21, $C$9, 100%, $E$9)</f>
        <v>42.668100000000003</v>
      </c>
      <c r="S716" s="10">
        <f>CHOOSE(CONTROL!$C$42, 40.3531, 40.3531) * CHOOSE(CONTROL!$C$21, $C$9, 100%, $E$9)</f>
        <v>40.353099999999998</v>
      </c>
      <c r="T7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57">
        <f>(1000*CHOOSE(CONTROL!$C$42, 695, 695)*CHOOSE(CONTROL!$C$42, 0.5599, 0.5599)*CHOOSE(CONTROL!$C$42, 31, 31))/1000000</f>
        <v>12.063045499999998</v>
      </c>
      <c r="V716" s="57">
        <f>(1000*CHOOSE(CONTROL!$C$42, 500, 500)*CHOOSE(CONTROL!$C$42, 0.275, 0.275)*CHOOSE(CONTROL!$C$42, 31, 31))/1000000</f>
        <v>4.2625000000000002</v>
      </c>
      <c r="W716" s="57">
        <f>(1000*CHOOSE(CONTROL!$C$42, 0.1146, 0.1146)*CHOOSE(CONTROL!$C$42, 121.5, 121.5)*CHOOSE(CONTROL!$C$42, 31, 31))/1000000</f>
        <v>0.43164089999999994</v>
      </c>
      <c r="X716" s="57">
        <f>(31*0.1790888*245000/1000000)+(31*0.2374*100000/1000000)</f>
        <v>2.0961194359999999</v>
      </c>
      <c r="Y716" s="57"/>
      <c r="Z716" s="10"/>
      <c r="AA716" s="56"/>
      <c r="AB716" s="50">
        <f>(B716*194.205+C716*267.466+D716*133.845+E716*53.484+F716*40+G716*185+H716*0+I716*100+J716*300)/(194.205+267.466+133.845+53.484+0+40+185+100+300)</f>
        <v>41.583389144113028</v>
      </c>
      <c r="AC716" s="45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41.245066906474818</v>
      </c>
    </row>
    <row r="717" spans="1:29" ht="15.75" x14ac:dyDescent="0.25">
      <c r="A717" s="13">
        <v>62731</v>
      </c>
      <c r="B717" s="10">
        <f>CHOOSE(CONTROL!$C$42, 38.9199, 38.9199) * CHOOSE(CONTROL!$C$21, $C$9, 100%, $E$9)</f>
        <v>38.919899999999998</v>
      </c>
      <c r="C717" s="10">
        <f>CHOOSE(CONTROL!$C$42, 38.9278, 38.9278) * CHOOSE(CONTROL!$C$21, $C$9, 100%, $E$9)</f>
        <v>38.927799999999998</v>
      </c>
      <c r="D717" s="10">
        <f>CHOOSE(CONTROL!$C$42, 39.1305, 39.1305) * CHOOSE(CONTROL!$C$21, $C$9, 100%, $E$9)</f>
        <v>39.130499999999998</v>
      </c>
      <c r="E717" s="10">
        <f>CHOOSE(CONTROL!$C$42, 39.1617, 39.1617) * CHOOSE(CONTROL!$C$21, $C$9, 100%, $E$9)</f>
        <v>39.161700000000003</v>
      </c>
      <c r="F717" s="10">
        <f>CHOOSE(CONTROL!$C$42, 38.8967, 38.8967)*CHOOSE(CONTROL!$C$21, $C$9, 100%, $E$9)</f>
        <v>38.896700000000003</v>
      </c>
      <c r="G717" s="10">
        <f>CHOOSE(CONTROL!$C$42, 38.912, 38.912)*CHOOSE(CONTROL!$C$21, $C$9, 100%, $E$9)</f>
        <v>38.911999999999999</v>
      </c>
      <c r="H717" s="10">
        <f>CHOOSE(CONTROL!$C$42, 39.1503, 39.1503) * CHOOSE(CONTROL!$C$21, $C$9, 100%, $E$9)</f>
        <v>39.150300000000001</v>
      </c>
      <c r="I717" s="10">
        <f>CHOOSE(CONTROL!$C$42, 38.9199, 38.9199)* CHOOSE(CONTROL!$C$21, $C$9, 100%, $E$9)</f>
        <v>38.919899999999998</v>
      </c>
      <c r="J717" s="10">
        <f>CHOOSE(CONTROL!$C$42, 38.8897, 38.8897)* CHOOSE(CONTROL!$C$21, $C$9, 100%, $E$9)</f>
        <v>38.889699999999998</v>
      </c>
      <c r="K717" s="53">
        <f>CHOOSE(CONTROL!$C$42, 38.916, 38.916) * CHOOSE(CONTROL!$C$21, $C$9, 100%, $E$9)</f>
        <v>38.915999999999997</v>
      </c>
      <c r="L717" s="10">
        <f>CHOOSE(CONTROL!$C$42, 39.7373, 39.7373) * CHOOSE(CONTROL!$C$21, $C$9, 100%, $E$9)</f>
        <v>39.737299999999998</v>
      </c>
      <c r="M717" s="10">
        <f>CHOOSE(CONTROL!$C$42, 38.511, 38.511) * CHOOSE(CONTROL!$C$21, $C$9, 100%, $E$9)</f>
        <v>38.511000000000003</v>
      </c>
      <c r="N717" s="10">
        <f>CHOOSE(CONTROL!$C$42, 38.5262, 38.5262) * CHOOSE(CONTROL!$C$21, $C$9, 100%, $E$9)</f>
        <v>38.526200000000003</v>
      </c>
      <c r="O717" s="10">
        <f>CHOOSE(CONTROL!$C$42, 38.769, 38.769) * CHOOSE(CONTROL!$C$21, $C$9, 100%, $E$9)</f>
        <v>38.768999999999998</v>
      </c>
      <c r="P717" s="10">
        <f>CHOOSE(CONTROL!$C$42, 38.541, 38.541) * CHOOSE(CONTROL!$C$21, $C$9, 100%, $E$9)</f>
        <v>38.540999999999997</v>
      </c>
      <c r="Q717" s="10">
        <f>CHOOSE(CONTROL!$C$42, 39.3643, 39.3643) * CHOOSE(CONTROL!$C$21, $C$9, 100%, $E$9)</f>
        <v>39.3643</v>
      </c>
      <c r="R717" s="10">
        <f>CHOOSE(CONTROL!$C$42, 40.0497, 40.0497) * CHOOSE(CONTROL!$C$21, $C$9, 100%, $E$9)</f>
        <v>40.049700000000001</v>
      </c>
      <c r="S717" s="10">
        <f>CHOOSE(CONTROL!$C$42, 37.7908, 37.7908) * CHOOSE(CONTROL!$C$21, $C$9, 100%, $E$9)</f>
        <v>37.790799999999997</v>
      </c>
      <c r="T7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57">
        <f>(1000*CHOOSE(CONTROL!$C$42, 695, 695)*CHOOSE(CONTROL!$C$42, 0.5599, 0.5599)*CHOOSE(CONTROL!$C$42, 30, 30))/1000000</f>
        <v>11.673914999999997</v>
      </c>
      <c r="V717" s="57">
        <f>(1000*CHOOSE(CONTROL!$C$42, 500, 500)*CHOOSE(CONTROL!$C$42, 0.275, 0.275)*CHOOSE(CONTROL!$C$42, 30, 30))/1000000</f>
        <v>4.125</v>
      </c>
      <c r="W717" s="57">
        <f>(1000*CHOOSE(CONTROL!$C$42, 0.1146, 0.1146)*CHOOSE(CONTROL!$C$42, 121.5, 121.5)*CHOOSE(CONTROL!$C$42, 30, 30))/1000000</f>
        <v>0.417717</v>
      </c>
      <c r="X717" s="57">
        <f>(30*0.1790888*245000/1000000)+(30*0.2374*100000/1000000)</f>
        <v>2.0285026799999999</v>
      </c>
      <c r="Y717" s="57"/>
      <c r="Z717" s="10"/>
      <c r="AA717" s="56"/>
      <c r="AB717" s="50">
        <f>(B717*194.205+C717*267.466+D717*133.845+E717*53.484+F717*40+G717*185+H717*0+I717*100+J717*300)/(194.205+267.466+133.845+53.484+0+40+185+100+300)</f>
        <v>38.94484793532181</v>
      </c>
      <c r="AC717" s="45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38.633126618705035</v>
      </c>
    </row>
    <row r="718" spans="1:29" ht="15.75" x14ac:dyDescent="0.25">
      <c r="A718" s="13">
        <v>62762</v>
      </c>
      <c r="B718" s="10">
        <f>CHOOSE(CONTROL!$C$42, 38.128, 38.128) * CHOOSE(CONTROL!$C$21, $C$9, 100%, $E$9)</f>
        <v>38.128</v>
      </c>
      <c r="C718" s="10">
        <f>CHOOSE(CONTROL!$C$42, 38.1332, 38.1332) * CHOOSE(CONTROL!$C$21, $C$9, 100%, $E$9)</f>
        <v>38.133200000000002</v>
      </c>
      <c r="D718" s="10">
        <f>CHOOSE(CONTROL!$C$42, 38.3409, 38.3409) * CHOOSE(CONTROL!$C$21, $C$9, 100%, $E$9)</f>
        <v>38.340899999999998</v>
      </c>
      <c r="E718" s="10">
        <f>CHOOSE(CONTROL!$C$42, 38.3697, 38.3697) * CHOOSE(CONTROL!$C$21, $C$9, 100%, $E$9)</f>
        <v>38.369700000000002</v>
      </c>
      <c r="F718" s="10">
        <f>CHOOSE(CONTROL!$C$42, 38.1067, 38.1067)*CHOOSE(CONTROL!$C$21, $C$9, 100%, $E$9)</f>
        <v>38.106699999999996</v>
      </c>
      <c r="G718" s="10">
        <f>CHOOSE(CONTROL!$C$42, 38.1217, 38.1217)*CHOOSE(CONTROL!$C$21, $C$9, 100%, $E$9)</f>
        <v>38.121699999999997</v>
      </c>
      <c r="H718" s="10">
        <f>CHOOSE(CONTROL!$C$42, 38.3602, 38.3602) * CHOOSE(CONTROL!$C$21, $C$9, 100%, $E$9)</f>
        <v>38.360199999999999</v>
      </c>
      <c r="I718" s="10">
        <f>CHOOSE(CONTROL!$C$42, 38.1298, 38.1298)* CHOOSE(CONTROL!$C$21, $C$9, 100%, $E$9)</f>
        <v>38.129800000000003</v>
      </c>
      <c r="J718" s="10">
        <f>CHOOSE(CONTROL!$C$42, 38.0997, 38.0997)* CHOOSE(CONTROL!$C$21, $C$9, 100%, $E$9)</f>
        <v>38.099699999999999</v>
      </c>
      <c r="K718" s="53">
        <f>CHOOSE(CONTROL!$C$42, 38.1259, 38.1259) * CHOOSE(CONTROL!$C$21, $C$9, 100%, $E$9)</f>
        <v>38.125900000000001</v>
      </c>
      <c r="L718" s="10">
        <f>CHOOSE(CONTROL!$C$42, 38.9472, 38.9472) * CHOOSE(CONTROL!$C$21, $C$9, 100%, $E$9)</f>
        <v>38.947200000000002</v>
      </c>
      <c r="M718" s="10">
        <f>CHOOSE(CONTROL!$C$42, 37.729, 37.729) * CHOOSE(CONTROL!$C$21, $C$9, 100%, $E$9)</f>
        <v>37.728999999999999</v>
      </c>
      <c r="N718" s="10">
        <f>CHOOSE(CONTROL!$C$42, 37.7438, 37.7438) * CHOOSE(CONTROL!$C$21, $C$9, 100%, $E$9)</f>
        <v>37.7438</v>
      </c>
      <c r="O718" s="10">
        <f>CHOOSE(CONTROL!$C$42, 37.9869, 37.9869) * CHOOSE(CONTROL!$C$21, $C$9, 100%, $E$9)</f>
        <v>37.986899999999999</v>
      </c>
      <c r="P718" s="10">
        <f>CHOOSE(CONTROL!$C$42, 37.7589, 37.7589) * CHOOSE(CONTROL!$C$21, $C$9, 100%, $E$9)</f>
        <v>37.758899999999997</v>
      </c>
      <c r="Q718" s="10">
        <f>CHOOSE(CONTROL!$C$42, 38.5822, 38.5822) * CHOOSE(CONTROL!$C$21, $C$9, 100%, $E$9)</f>
        <v>38.5822</v>
      </c>
      <c r="R718" s="10">
        <f>CHOOSE(CONTROL!$C$42, 39.2656, 39.2656) * CHOOSE(CONTROL!$C$21, $C$9, 100%, $E$9)</f>
        <v>39.265599999999999</v>
      </c>
      <c r="S718" s="10">
        <f>CHOOSE(CONTROL!$C$42, 37.0236, 37.0236) * CHOOSE(CONTROL!$C$21, $C$9, 100%, $E$9)</f>
        <v>37.023600000000002</v>
      </c>
      <c r="T7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57">
        <f>(1000*CHOOSE(CONTROL!$C$42, 695, 695)*CHOOSE(CONTROL!$C$42, 0.5599, 0.5599)*CHOOSE(CONTROL!$C$42, 31, 31))/1000000</f>
        <v>12.063045499999998</v>
      </c>
      <c r="V718" s="57">
        <f>(1000*CHOOSE(CONTROL!$C$42, 500, 500)*CHOOSE(CONTROL!$C$42, 0.275, 0.275)*CHOOSE(CONTROL!$C$42, 31, 31))/1000000</f>
        <v>4.2625000000000002</v>
      </c>
      <c r="W718" s="57">
        <f>(1000*CHOOSE(CONTROL!$C$42, 0.1146, 0.1146)*CHOOSE(CONTROL!$C$42, 121.5, 121.5)*CHOOSE(CONTROL!$C$42, 31, 31))/1000000</f>
        <v>0.43164089999999994</v>
      </c>
      <c r="X718" s="57">
        <f>(31*0.1790888*245000/1000000)+(31*0.2374*100000/1000000)</f>
        <v>2.0961194359999999</v>
      </c>
      <c r="Y718" s="57"/>
      <c r="Z718" s="10"/>
      <c r="AA718" s="56"/>
      <c r="AB718" s="50">
        <f>(B718*131.881+C718*277.167+D718*79.08+E718*125.872+F718*40+G718*185+H718*0+I718*100+J718*300)/(131.881+277.167+79.08+125.872+0+40+185+100+300)</f>
        <v>38.158971075706212</v>
      </c>
      <c r="AC718" s="45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37.851043884892086</v>
      </c>
    </row>
    <row r="719" spans="1:29" ht="15.75" x14ac:dyDescent="0.25">
      <c r="A719" s="13">
        <v>62792</v>
      </c>
      <c r="B719" s="10">
        <f>CHOOSE(CONTROL!$C$42, 39.132, 39.132) * CHOOSE(CONTROL!$C$21, $C$9, 100%, $E$9)</f>
        <v>39.131999999999998</v>
      </c>
      <c r="C719" s="10">
        <f>CHOOSE(CONTROL!$C$42, 39.1369, 39.1369) * CHOOSE(CONTROL!$C$21, $C$9, 100%, $E$9)</f>
        <v>39.136899999999997</v>
      </c>
      <c r="D719" s="10">
        <f>CHOOSE(CONTROL!$C$42, 39.1974, 39.1974) * CHOOSE(CONTROL!$C$21, $C$9, 100%, $E$9)</f>
        <v>39.197400000000002</v>
      </c>
      <c r="E719" s="10">
        <f>CHOOSE(CONTROL!$C$42, 39.2312, 39.2312) * CHOOSE(CONTROL!$C$21, $C$9, 100%, $E$9)</f>
        <v>39.231200000000001</v>
      </c>
      <c r="F719" s="10">
        <f>CHOOSE(CONTROL!$C$42, 39.1276, 39.1276)*CHOOSE(CONTROL!$C$21, $C$9, 100%, $E$9)</f>
        <v>39.127600000000001</v>
      </c>
      <c r="G719" s="10">
        <f>CHOOSE(CONTROL!$C$42, 39.1428, 39.1428)*CHOOSE(CONTROL!$C$21, $C$9, 100%, $E$9)</f>
        <v>39.142800000000001</v>
      </c>
      <c r="H719" s="10">
        <f>CHOOSE(CONTROL!$C$42, 39.2204, 39.2204) * CHOOSE(CONTROL!$C$21, $C$9, 100%, $E$9)</f>
        <v>39.220399999999998</v>
      </c>
      <c r="I719" s="10">
        <f>CHOOSE(CONTROL!$C$42, 39.1445, 39.1445)* CHOOSE(CONTROL!$C$21, $C$9, 100%, $E$9)</f>
        <v>39.144500000000001</v>
      </c>
      <c r="J719" s="10">
        <f>CHOOSE(CONTROL!$C$42, 39.1206, 39.1206)* CHOOSE(CONTROL!$C$21, $C$9, 100%, $E$9)</f>
        <v>39.120600000000003</v>
      </c>
      <c r="K719" s="53">
        <f>CHOOSE(CONTROL!$C$42, 39.1406, 39.1406) * CHOOSE(CONTROL!$C$21, $C$9, 100%, $E$9)</f>
        <v>39.140599999999999</v>
      </c>
      <c r="L719" s="10">
        <f>CHOOSE(CONTROL!$C$42, 39.8074, 39.8074) * CHOOSE(CONTROL!$C$21, $C$9, 100%, $E$9)</f>
        <v>39.807400000000001</v>
      </c>
      <c r="M719" s="10">
        <f>CHOOSE(CONTROL!$C$42, 38.7396, 38.7396) * CHOOSE(CONTROL!$C$21, $C$9, 100%, $E$9)</f>
        <v>38.739600000000003</v>
      </c>
      <c r="N719" s="10">
        <f>CHOOSE(CONTROL!$C$42, 38.7547, 38.7547) * CHOOSE(CONTROL!$C$21, $C$9, 100%, $E$9)</f>
        <v>38.7547</v>
      </c>
      <c r="O719" s="10">
        <f>CHOOSE(CONTROL!$C$42, 38.8384, 38.8384) * CHOOSE(CONTROL!$C$21, $C$9, 100%, $E$9)</f>
        <v>38.8384</v>
      </c>
      <c r="P719" s="10">
        <f>CHOOSE(CONTROL!$C$42, 38.7633, 38.7633) * CHOOSE(CONTROL!$C$21, $C$9, 100%, $E$9)</f>
        <v>38.763300000000001</v>
      </c>
      <c r="Q719" s="10">
        <f>CHOOSE(CONTROL!$C$42, 39.4337, 39.4337) * CHOOSE(CONTROL!$C$21, $C$9, 100%, $E$9)</f>
        <v>39.433700000000002</v>
      </c>
      <c r="R719" s="10">
        <f>CHOOSE(CONTROL!$C$42, 40.1193, 40.1193) * CHOOSE(CONTROL!$C$21, $C$9, 100%, $E$9)</f>
        <v>40.119300000000003</v>
      </c>
      <c r="S719" s="10">
        <f>CHOOSE(CONTROL!$C$42, 37.9989, 37.9989) * CHOOSE(CONTROL!$C$21, $C$9, 100%, $E$9)</f>
        <v>37.998899999999999</v>
      </c>
      <c r="T7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57">
        <f>(1000*CHOOSE(CONTROL!$C$42, 695, 695)*CHOOSE(CONTROL!$C$42, 0.5599, 0.5599)*CHOOSE(CONTROL!$C$42, 30, 30))/1000000</f>
        <v>11.673914999999997</v>
      </c>
      <c r="V719" s="57">
        <f>(1000*CHOOSE(CONTROL!$C$42, 500, 500)*CHOOSE(CONTROL!$C$42, 0.275, 0.275)*CHOOSE(CONTROL!$C$42, 30, 30))/1000000</f>
        <v>4.125</v>
      </c>
      <c r="W719" s="57">
        <f>(1000*CHOOSE(CONTROL!$C$42, 0.1146, 0.1146)*CHOOSE(CONTROL!$C$42, 121.5, 121.5)*CHOOSE(CONTROL!$C$42, 30, 30))/1000000</f>
        <v>0.417717</v>
      </c>
      <c r="X719" s="57">
        <f>(30*0.1790888*100000/1000000)+(30*0.2374*100000/1000000)</f>
        <v>1.2494664</v>
      </c>
      <c r="Y719" s="57"/>
      <c r="Z719" s="10"/>
      <c r="AA719" s="56"/>
      <c r="AB719" s="50">
        <f>(B719*122.58+C719*297.941+D719*89.177+E719*40.302+F719*40+G719*160+H719*0+I719*100+J719*300)/(122.58+297.941+89.177+40.302+0+40+160+100+300)</f>
        <v>39.141280039217385</v>
      </c>
      <c r="AC719" s="45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38.788658992805757</v>
      </c>
    </row>
    <row r="720" spans="1:29" ht="15.75" x14ac:dyDescent="0.25">
      <c r="A720" s="13">
        <v>62823</v>
      </c>
      <c r="B720" s="10">
        <f>CHOOSE(CONTROL!$C$42, 41.7998, 41.7998) * CHOOSE(CONTROL!$C$21, $C$9, 100%, $E$9)</f>
        <v>41.799799999999998</v>
      </c>
      <c r="C720" s="10">
        <f>CHOOSE(CONTROL!$C$42, 41.8047, 41.8047) * CHOOSE(CONTROL!$C$21, $C$9, 100%, $E$9)</f>
        <v>41.804699999999997</v>
      </c>
      <c r="D720" s="10">
        <f>CHOOSE(CONTROL!$C$42, 41.8652, 41.8652) * CHOOSE(CONTROL!$C$21, $C$9, 100%, $E$9)</f>
        <v>41.865200000000002</v>
      </c>
      <c r="E720" s="10">
        <f>CHOOSE(CONTROL!$C$42, 41.899, 41.899) * CHOOSE(CONTROL!$C$21, $C$9, 100%, $E$9)</f>
        <v>41.899000000000001</v>
      </c>
      <c r="F720" s="10">
        <f>CHOOSE(CONTROL!$C$42, 41.7972, 41.7972)*CHOOSE(CONTROL!$C$21, $C$9, 100%, $E$9)</f>
        <v>41.797199999999997</v>
      </c>
      <c r="G720" s="10">
        <f>CHOOSE(CONTROL!$C$42, 41.8129, 41.8129)*CHOOSE(CONTROL!$C$21, $C$9, 100%, $E$9)</f>
        <v>41.812899999999999</v>
      </c>
      <c r="H720" s="10">
        <f>CHOOSE(CONTROL!$C$42, 41.8882, 41.8882) * CHOOSE(CONTROL!$C$21, $C$9, 100%, $E$9)</f>
        <v>41.888199999999998</v>
      </c>
      <c r="I720" s="10">
        <f>CHOOSE(CONTROL!$C$42, 41.8123, 41.8123)* CHOOSE(CONTROL!$C$21, $C$9, 100%, $E$9)</f>
        <v>41.8123</v>
      </c>
      <c r="J720" s="10">
        <f>CHOOSE(CONTROL!$C$42, 41.7902, 41.7902)* CHOOSE(CONTROL!$C$21, $C$9, 100%, $E$9)</f>
        <v>41.790199999999999</v>
      </c>
      <c r="K720" s="53">
        <f>CHOOSE(CONTROL!$C$42, 41.8084, 41.8084) * CHOOSE(CONTROL!$C$21, $C$9, 100%, $E$9)</f>
        <v>41.808399999999999</v>
      </c>
      <c r="L720" s="10">
        <f>CHOOSE(CONTROL!$C$42, 42.4752, 42.4752) * CHOOSE(CONTROL!$C$21, $C$9, 100%, $E$9)</f>
        <v>42.475200000000001</v>
      </c>
      <c r="M720" s="10">
        <f>CHOOSE(CONTROL!$C$42, 41.3823, 41.3823) * CHOOSE(CONTROL!$C$21, $C$9, 100%, $E$9)</f>
        <v>41.382300000000001</v>
      </c>
      <c r="N720" s="10">
        <f>CHOOSE(CONTROL!$C$42, 41.3978, 41.3978) * CHOOSE(CONTROL!$C$21, $C$9, 100%, $E$9)</f>
        <v>41.397799999999997</v>
      </c>
      <c r="O720" s="10">
        <f>CHOOSE(CONTROL!$C$42, 41.4793, 41.4793) * CHOOSE(CONTROL!$C$21, $C$9, 100%, $E$9)</f>
        <v>41.479300000000002</v>
      </c>
      <c r="P720" s="10">
        <f>CHOOSE(CONTROL!$C$42, 41.4042, 41.4042) * CHOOSE(CONTROL!$C$21, $C$9, 100%, $E$9)</f>
        <v>41.404200000000003</v>
      </c>
      <c r="Q720" s="10">
        <f>CHOOSE(CONTROL!$C$42, 42.0746, 42.0746) * CHOOSE(CONTROL!$C$21, $C$9, 100%, $E$9)</f>
        <v>42.074599999999997</v>
      </c>
      <c r="R720" s="10">
        <f>CHOOSE(CONTROL!$C$42, 42.7668, 42.7668) * CHOOSE(CONTROL!$C$21, $C$9, 100%, $E$9)</f>
        <v>42.766800000000003</v>
      </c>
      <c r="S720" s="10">
        <f>CHOOSE(CONTROL!$C$42, 40.5896, 40.5896) * CHOOSE(CONTROL!$C$21, $C$9, 100%, $E$9)</f>
        <v>40.589599999999997</v>
      </c>
      <c r="T7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57">
        <f>(1000*CHOOSE(CONTROL!$C$42, 695, 695)*CHOOSE(CONTROL!$C$42, 0.5599, 0.5599)*CHOOSE(CONTROL!$C$42, 31, 31))/1000000</f>
        <v>12.063045499999998</v>
      </c>
      <c r="V720" s="57">
        <f>(1000*CHOOSE(CONTROL!$C$42, 500, 500)*CHOOSE(CONTROL!$C$42, 0.275, 0.275)*CHOOSE(CONTROL!$C$42, 31, 31))/1000000</f>
        <v>4.2625000000000002</v>
      </c>
      <c r="W720" s="57">
        <f>(1000*CHOOSE(CONTROL!$C$42, 0.1146, 0.1146)*CHOOSE(CONTROL!$C$42, 121.5, 121.5)*CHOOSE(CONTROL!$C$42, 31, 31))/1000000</f>
        <v>0.43164089999999994</v>
      </c>
      <c r="X720" s="57">
        <f>(31*0.1790888*100000/1000000)+(31*0.2374*100000/1000000)</f>
        <v>1.2911152800000001</v>
      </c>
      <c r="Y720" s="57"/>
      <c r="Z720" s="10"/>
      <c r="AA720" s="56"/>
      <c r="AB720" s="50">
        <f>(B720*122.58+C720*297.941+D720*89.177+E720*40.302+F720*40+G720*160+H720*0+I720*100+J720*300)/(122.58+297.941+89.177+40.302+0+40+160+100+300)</f>
        <v>41.809932213130438</v>
      </c>
      <c r="AC720" s="45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41.430307194244612</v>
      </c>
    </row>
    <row r="721" spans="1:29" ht="15.75" x14ac:dyDescent="0.25">
      <c r="A721" s="13">
        <v>62854</v>
      </c>
      <c r="B721" s="10">
        <f>CHOOSE(CONTROL!$C$42, 45.2245, 45.2245) * CHOOSE(CONTROL!$C$21, $C$9, 100%, $E$9)</f>
        <v>45.224499999999999</v>
      </c>
      <c r="C721" s="10">
        <f>CHOOSE(CONTROL!$C$42, 45.2294, 45.2294) * CHOOSE(CONTROL!$C$21, $C$9, 100%, $E$9)</f>
        <v>45.229399999999998</v>
      </c>
      <c r="D721" s="10">
        <f>CHOOSE(CONTROL!$C$42, 45.2865, 45.2865) * CHOOSE(CONTROL!$C$21, $C$9, 100%, $E$9)</f>
        <v>45.286499999999997</v>
      </c>
      <c r="E721" s="10">
        <f>CHOOSE(CONTROL!$C$42, 45.3203, 45.3203) * CHOOSE(CONTROL!$C$21, $C$9, 100%, $E$9)</f>
        <v>45.320300000000003</v>
      </c>
      <c r="F721" s="10">
        <f>CHOOSE(CONTROL!$C$42, 45.2223, 45.2223)*CHOOSE(CONTROL!$C$21, $C$9, 100%, $E$9)</f>
        <v>45.222299999999997</v>
      </c>
      <c r="G721" s="10">
        <f>CHOOSE(CONTROL!$C$42, 45.2369, 45.2369)*CHOOSE(CONTROL!$C$21, $C$9, 100%, $E$9)</f>
        <v>45.236899999999999</v>
      </c>
      <c r="H721" s="10">
        <f>CHOOSE(CONTROL!$C$42, 45.3095, 45.3095) * CHOOSE(CONTROL!$C$21, $C$9, 100%, $E$9)</f>
        <v>45.3095</v>
      </c>
      <c r="I721" s="10">
        <f>CHOOSE(CONTROL!$C$42, 45.2352, 45.2352)* CHOOSE(CONTROL!$C$21, $C$9, 100%, $E$9)</f>
        <v>45.235199999999999</v>
      </c>
      <c r="J721" s="10">
        <f>CHOOSE(CONTROL!$C$42, 45.2153, 45.2153)* CHOOSE(CONTROL!$C$21, $C$9, 100%, $E$9)</f>
        <v>45.215299999999999</v>
      </c>
      <c r="K721" s="53">
        <f>CHOOSE(CONTROL!$C$42, 45.2314, 45.2314) * CHOOSE(CONTROL!$C$21, $C$9, 100%, $E$9)</f>
        <v>45.231400000000001</v>
      </c>
      <c r="L721" s="10">
        <f>CHOOSE(CONTROL!$C$42, 45.8965, 45.8965) * CHOOSE(CONTROL!$C$21, $C$9, 100%, $E$9)</f>
        <v>45.896500000000003</v>
      </c>
      <c r="M721" s="10">
        <f>CHOOSE(CONTROL!$C$42, 44.7728, 44.7728) * CHOOSE(CONTROL!$C$21, $C$9, 100%, $E$9)</f>
        <v>44.772799999999997</v>
      </c>
      <c r="N721" s="10">
        <f>CHOOSE(CONTROL!$C$42, 44.7873, 44.7873) * CHOOSE(CONTROL!$C$21, $C$9, 100%, $E$9)</f>
        <v>44.787300000000002</v>
      </c>
      <c r="O721" s="10">
        <f>CHOOSE(CONTROL!$C$42, 44.866, 44.866) * CHOOSE(CONTROL!$C$21, $C$9, 100%, $E$9)</f>
        <v>44.866</v>
      </c>
      <c r="P721" s="10">
        <f>CHOOSE(CONTROL!$C$42, 44.7926, 44.7926) * CHOOSE(CONTROL!$C$21, $C$9, 100%, $E$9)</f>
        <v>44.7926</v>
      </c>
      <c r="Q721" s="10">
        <f>CHOOSE(CONTROL!$C$42, 45.4613, 45.4613) * CHOOSE(CONTROL!$C$21, $C$9, 100%, $E$9)</f>
        <v>45.461300000000001</v>
      </c>
      <c r="R721" s="10">
        <f>CHOOSE(CONTROL!$C$42, 46.162, 46.162) * CHOOSE(CONTROL!$C$21, $C$9, 100%, $E$9)</f>
        <v>46.161999999999999</v>
      </c>
      <c r="S721" s="10">
        <f>CHOOSE(CONTROL!$C$42, 43.9153, 43.9153) * CHOOSE(CONTROL!$C$21, $C$9, 100%, $E$9)</f>
        <v>43.915300000000002</v>
      </c>
      <c r="T7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57">
        <f>(1000*CHOOSE(CONTROL!$C$42, 695, 695)*CHOOSE(CONTROL!$C$42, 0.5599, 0.5599)*CHOOSE(CONTROL!$C$42, 31, 31))/1000000</f>
        <v>12.063045499999998</v>
      </c>
      <c r="V721" s="57">
        <f>(1000*CHOOSE(CONTROL!$C$42, 500, 500)*CHOOSE(CONTROL!$C$42, 0.275, 0.275)*CHOOSE(CONTROL!$C$42, 31, 31))/1000000</f>
        <v>4.2625000000000002</v>
      </c>
      <c r="W721" s="57">
        <f>(1000*CHOOSE(CONTROL!$C$42, 0.1146, 0.1146)*CHOOSE(CONTROL!$C$42, 121.5, 121.5)*CHOOSE(CONTROL!$C$42, 31, 31))/1000000</f>
        <v>0.43164089999999994</v>
      </c>
      <c r="X721" s="57">
        <f>(31*0.1790888*100000/1000000)+(31*0.2374*100000/1000000)</f>
        <v>1.2911152800000001</v>
      </c>
      <c r="Y721" s="57"/>
      <c r="Z721" s="10"/>
      <c r="AA721" s="56"/>
      <c r="AB721" s="50">
        <f>(B721*122.58+C721*297.941+D721*89.177+E721*40.302+F721*40+G721*160+H721*0+I721*100+J721*300)/(122.58+297.941+89.177+40.302+0+40+160+100+300)</f>
        <v>45.234113753478262</v>
      </c>
      <c r="AC721" s="45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44.818725179856116</v>
      </c>
    </row>
    <row r="722" spans="1:29" ht="15.75" x14ac:dyDescent="0.25">
      <c r="A722" s="13">
        <v>62883</v>
      </c>
      <c r="B722" s="10">
        <f>CHOOSE(CONTROL!$C$42, 46.0295, 46.0295) * CHOOSE(CONTROL!$C$21, $C$9, 100%, $E$9)</f>
        <v>46.029499999999999</v>
      </c>
      <c r="C722" s="10">
        <f>CHOOSE(CONTROL!$C$42, 46.0344, 46.0344) * CHOOSE(CONTROL!$C$21, $C$9, 100%, $E$9)</f>
        <v>46.034399999999998</v>
      </c>
      <c r="D722" s="10">
        <f>CHOOSE(CONTROL!$C$42, 46.0915, 46.0915) * CHOOSE(CONTROL!$C$21, $C$9, 100%, $E$9)</f>
        <v>46.091500000000003</v>
      </c>
      <c r="E722" s="10">
        <f>CHOOSE(CONTROL!$C$42, 46.1253, 46.1253) * CHOOSE(CONTROL!$C$21, $C$9, 100%, $E$9)</f>
        <v>46.125300000000003</v>
      </c>
      <c r="F722" s="10">
        <f>CHOOSE(CONTROL!$C$42, 46.0274, 46.0274)*CHOOSE(CONTROL!$C$21, $C$9, 100%, $E$9)</f>
        <v>46.0274</v>
      </c>
      <c r="G722" s="10">
        <f>CHOOSE(CONTROL!$C$42, 46.042, 46.042)*CHOOSE(CONTROL!$C$21, $C$9, 100%, $E$9)</f>
        <v>46.042000000000002</v>
      </c>
      <c r="H722" s="10">
        <f>CHOOSE(CONTROL!$C$42, 46.1145, 46.1145) * CHOOSE(CONTROL!$C$21, $C$9, 100%, $E$9)</f>
        <v>46.1145</v>
      </c>
      <c r="I722" s="10">
        <f>CHOOSE(CONTROL!$C$42, 46.0403, 46.0403)* CHOOSE(CONTROL!$C$21, $C$9, 100%, $E$9)</f>
        <v>46.040300000000002</v>
      </c>
      <c r="J722" s="10">
        <f>CHOOSE(CONTROL!$C$42, 46.0204, 46.0204)* CHOOSE(CONTROL!$C$21, $C$9, 100%, $E$9)</f>
        <v>46.020400000000002</v>
      </c>
      <c r="K722" s="53">
        <f>CHOOSE(CONTROL!$C$42, 46.0364, 46.0364) * CHOOSE(CONTROL!$C$21, $C$9, 100%, $E$9)</f>
        <v>46.0364</v>
      </c>
      <c r="L722" s="10">
        <f>CHOOSE(CONTROL!$C$42, 46.7015, 46.7015) * CHOOSE(CONTROL!$C$21, $C$9, 100%, $E$9)</f>
        <v>46.701500000000003</v>
      </c>
      <c r="M722" s="10">
        <f>CHOOSE(CONTROL!$C$42, 45.5698, 45.5698) * CHOOSE(CONTROL!$C$21, $C$9, 100%, $E$9)</f>
        <v>45.569800000000001</v>
      </c>
      <c r="N722" s="10">
        <f>CHOOSE(CONTROL!$C$42, 45.5843, 45.5843) * CHOOSE(CONTROL!$C$21, $C$9, 100%, $E$9)</f>
        <v>45.584299999999999</v>
      </c>
      <c r="O722" s="10">
        <f>CHOOSE(CONTROL!$C$42, 45.6629, 45.6629) * CHOOSE(CONTROL!$C$21, $C$9, 100%, $E$9)</f>
        <v>45.6629</v>
      </c>
      <c r="P722" s="10">
        <f>CHOOSE(CONTROL!$C$42, 45.5895, 45.5895) * CHOOSE(CONTROL!$C$21, $C$9, 100%, $E$9)</f>
        <v>45.589500000000001</v>
      </c>
      <c r="Q722" s="10">
        <f>CHOOSE(CONTROL!$C$42, 46.2582, 46.2582) * CHOOSE(CONTROL!$C$21, $C$9, 100%, $E$9)</f>
        <v>46.258200000000002</v>
      </c>
      <c r="R722" s="10">
        <f>CHOOSE(CONTROL!$C$42, 46.9609, 46.9609) * CHOOSE(CONTROL!$C$21, $C$9, 100%, $E$9)</f>
        <v>46.960900000000002</v>
      </c>
      <c r="S722" s="10">
        <f>CHOOSE(CONTROL!$C$42, 44.6971, 44.6971) * CHOOSE(CONTROL!$C$21, $C$9, 100%, $E$9)</f>
        <v>44.697099999999999</v>
      </c>
      <c r="T72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22" s="57">
        <f>(1000*CHOOSE(CONTROL!$C$42, 695, 695)*CHOOSE(CONTROL!$C$42, 0.5599, 0.5599)*CHOOSE(CONTROL!$C$42, 29, 29))/1000000</f>
        <v>11.284784499999999</v>
      </c>
      <c r="V722" s="57">
        <f>(1000*CHOOSE(CONTROL!$C$42, 500, 500)*CHOOSE(CONTROL!$C$42, 0.275, 0.275)*CHOOSE(CONTROL!$C$42, 29, 29))/1000000</f>
        <v>3.9874999999999998</v>
      </c>
      <c r="W722" s="57">
        <f>(1000*CHOOSE(CONTROL!$C$42, 0.1146, 0.1146)*CHOOSE(CONTROL!$C$42, 121.5, 121.5)*CHOOSE(CONTROL!$C$42, 29, 29))/1000000</f>
        <v>0.40379309999999996</v>
      </c>
      <c r="X722" s="57">
        <f>(29*0.1790888*100000/1000000)+(29*0.2374*100000/1000000)</f>
        <v>1.2078175199999999</v>
      </c>
      <c r="Y722" s="57"/>
      <c r="Z722" s="10"/>
      <c r="AA722" s="56"/>
      <c r="AB722" s="50">
        <f>(B722*122.58+C722*297.941+D722*89.177+E722*40.302+F722*40+G722*160+H722*0+I722*100+J722*300)/(122.58+297.941+89.177+40.302+0+40+160+100+300)</f>
        <v>46.039165927391309</v>
      </c>
      <c r="AC722" s="45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45.615665467625902</v>
      </c>
    </row>
    <row r="723" spans="1:29" ht="15.75" x14ac:dyDescent="0.25">
      <c r="A723" s="13">
        <v>62914</v>
      </c>
      <c r="B723" s="10">
        <f>CHOOSE(CONTROL!$C$42, 44.7227, 44.7227) * CHOOSE(CONTROL!$C$21, $C$9, 100%, $E$9)</f>
        <v>44.722700000000003</v>
      </c>
      <c r="C723" s="10">
        <f>CHOOSE(CONTROL!$C$42, 44.7277, 44.7277) * CHOOSE(CONTROL!$C$21, $C$9, 100%, $E$9)</f>
        <v>44.727699999999999</v>
      </c>
      <c r="D723" s="10">
        <f>CHOOSE(CONTROL!$C$42, 44.7848, 44.7848) * CHOOSE(CONTROL!$C$21, $C$9, 100%, $E$9)</f>
        <v>44.784799999999997</v>
      </c>
      <c r="E723" s="10">
        <f>CHOOSE(CONTROL!$C$42, 44.8185, 44.8185) * CHOOSE(CONTROL!$C$21, $C$9, 100%, $E$9)</f>
        <v>44.8185</v>
      </c>
      <c r="F723" s="10">
        <f>CHOOSE(CONTROL!$C$42, 44.7205, 44.7205)*CHOOSE(CONTROL!$C$21, $C$9, 100%, $E$9)</f>
        <v>44.720500000000001</v>
      </c>
      <c r="G723" s="10">
        <f>CHOOSE(CONTROL!$C$42, 44.7352, 44.7352)*CHOOSE(CONTROL!$C$21, $C$9, 100%, $E$9)</f>
        <v>44.735199999999999</v>
      </c>
      <c r="H723" s="10">
        <f>CHOOSE(CONTROL!$C$42, 44.8077, 44.8077) * CHOOSE(CONTROL!$C$21, $C$9, 100%, $E$9)</f>
        <v>44.807699999999997</v>
      </c>
      <c r="I723" s="10">
        <f>CHOOSE(CONTROL!$C$42, 44.7335, 44.7335)* CHOOSE(CONTROL!$C$21, $C$9, 100%, $E$9)</f>
        <v>44.733499999999999</v>
      </c>
      <c r="J723" s="10">
        <f>CHOOSE(CONTROL!$C$42, 44.7135, 44.7135)* CHOOSE(CONTROL!$C$21, $C$9, 100%, $E$9)</f>
        <v>44.713500000000003</v>
      </c>
      <c r="K723" s="53">
        <f>CHOOSE(CONTROL!$C$42, 44.7296, 44.7296) * CHOOSE(CONTROL!$C$21, $C$9, 100%, $E$9)</f>
        <v>44.729599999999998</v>
      </c>
      <c r="L723" s="10">
        <f>CHOOSE(CONTROL!$C$42, 45.3947, 45.3947) * CHOOSE(CONTROL!$C$21, $C$9, 100%, $E$9)</f>
        <v>45.3947</v>
      </c>
      <c r="M723" s="10">
        <f>CHOOSE(CONTROL!$C$42, 44.2761, 44.2761) * CHOOSE(CONTROL!$C$21, $C$9, 100%, $E$9)</f>
        <v>44.2761</v>
      </c>
      <c r="N723" s="10">
        <f>CHOOSE(CONTROL!$C$42, 44.2906, 44.2906) * CHOOSE(CONTROL!$C$21, $C$9, 100%, $E$9)</f>
        <v>44.290599999999998</v>
      </c>
      <c r="O723" s="10">
        <f>CHOOSE(CONTROL!$C$42, 44.3694, 44.3694) * CHOOSE(CONTROL!$C$21, $C$9, 100%, $E$9)</f>
        <v>44.369399999999999</v>
      </c>
      <c r="P723" s="10">
        <f>CHOOSE(CONTROL!$C$42, 44.296, 44.296) * CHOOSE(CONTROL!$C$21, $C$9, 100%, $E$9)</f>
        <v>44.295999999999999</v>
      </c>
      <c r="Q723" s="10">
        <f>CHOOSE(CONTROL!$C$42, 44.9647, 44.9647) * CHOOSE(CONTROL!$C$21, $C$9, 100%, $E$9)</f>
        <v>44.964700000000001</v>
      </c>
      <c r="R723" s="10">
        <f>CHOOSE(CONTROL!$C$42, 45.6641, 45.6641) * CHOOSE(CONTROL!$C$21, $C$9, 100%, $E$9)</f>
        <v>45.664099999999998</v>
      </c>
      <c r="S723" s="10">
        <f>CHOOSE(CONTROL!$C$42, 43.4281, 43.4281) * CHOOSE(CONTROL!$C$21, $C$9, 100%, $E$9)</f>
        <v>43.428100000000001</v>
      </c>
      <c r="T7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57">
        <f>(1000*CHOOSE(CONTROL!$C$42, 695, 695)*CHOOSE(CONTROL!$C$42, 0.5599, 0.5599)*CHOOSE(CONTROL!$C$42, 31, 31))/1000000</f>
        <v>12.063045499999998</v>
      </c>
      <c r="V723" s="57">
        <f>(1000*CHOOSE(CONTROL!$C$42, 500, 500)*CHOOSE(CONTROL!$C$42, 0.275, 0.275)*CHOOSE(CONTROL!$C$42, 31, 31))/1000000</f>
        <v>4.2625000000000002</v>
      </c>
      <c r="W723" s="57">
        <f>(1000*CHOOSE(CONTROL!$C$42, 0.1146, 0.1146)*CHOOSE(CONTROL!$C$42, 121.5, 121.5)*CHOOSE(CONTROL!$C$42, 31, 31))/1000000</f>
        <v>0.43164089999999994</v>
      </c>
      <c r="X723" s="57">
        <f>(31*0.1790888*100000/1000000)+(31*0.2374*100000/1000000)</f>
        <v>1.2911152800000001</v>
      </c>
      <c r="Y723" s="57"/>
      <c r="Z723" s="10"/>
      <c r="AA723" s="56"/>
      <c r="AB723" s="50">
        <f>(B723*122.58+C723*297.941+D723*89.177+E723*40.302+F723*40+G723*160+H723*0+I723*100+J723*300)/(122.58+297.941+89.177+40.302+0+40+160+100+300)</f>
        <v>44.732370024608691</v>
      </c>
      <c r="AC723" s="45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44.322084892086323</v>
      </c>
    </row>
    <row r="724" spans="1:29" ht="15.75" x14ac:dyDescent="0.25">
      <c r="A724" s="13">
        <v>62944</v>
      </c>
      <c r="B724" s="10">
        <f>CHOOSE(CONTROL!$C$42, 44.59, 44.59) * CHOOSE(CONTROL!$C$21, $C$9, 100%, $E$9)</f>
        <v>44.59</v>
      </c>
      <c r="C724" s="10">
        <f>CHOOSE(CONTROL!$C$42, 44.5944, 44.5944) * CHOOSE(CONTROL!$C$21, $C$9, 100%, $E$9)</f>
        <v>44.5944</v>
      </c>
      <c r="D724" s="10">
        <f>CHOOSE(CONTROL!$C$42, 44.8003, 44.8003) * CHOOSE(CONTROL!$C$21, $C$9, 100%, $E$9)</f>
        <v>44.8003</v>
      </c>
      <c r="E724" s="10">
        <f>CHOOSE(CONTROL!$C$42, 44.832, 44.832) * CHOOSE(CONTROL!$C$21, $C$9, 100%, $E$9)</f>
        <v>44.832000000000001</v>
      </c>
      <c r="F724" s="10">
        <f>CHOOSE(CONTROL!$C$42, 44.5668, 44.5668)*CHOOSE(CONTROL!$C$21, $C$9, 100%, $E$9)</f>
        <v>44.566800000000001</v>
      </c>
      <c r="G724" s="10">
        <f>CHOOSE(CONTROL!$C$42, 44.5813, 44.5813)*CHOOSE(CONTROL!$C$21, $C$9, 100%, $E$9)</f>
        <v>44.581299999999999</v>
      </c>
      <c r="H724" s="10">
        <f>CHOOSE(CONTROL!$C$42, 44.8218, 44.8218) * CHOOSE(CONTROL!$C$21, $C$9, 100%, $E$9)</f>
        <v>44.821800000000003</v>
      </c>
      <c r="I724" s="10">
        <f>CHOOSE(CONTROL!$C$42, 44.5914, 44.5914)* CHOOSE(CONTROL!$C$21, $C$9, 100%, $E$9)</f>
        <v>44.5914</v>
      </c>
      <c r="J724" s="10">
        <f>CHOOSE(CONTROL!$C$42, 44.5598, 44.5598)* CHOOSE(CONTROL!$C$21, $C$9, 100%, $E$9)</f>
        <v>44.559800000000003</v>
      </c>
      <c r="K724" s="53">
        <f>CHOOSE(CONTROL!$C$42, 44.5876, 44.5876) * CHOOSE(CONTROL!$C$21, $C$9, 100%, $E$9)</f>
        <v>44.587600000000002</v>
      </c>
      <c r="L724" s="10">
        <f>CHOOSE(CONTROL!$C$42, 45.4088, 45.4088) * CHOOSE(CONTROL!$C$21, $C$9, 100%, $E$9)</f>
        <v>45.408799999999999</v>
      </c>
      <c r="M724" s="10">
        <f>CHOOSE(CONTROL!$C$42, 44.1239, 44.1239) * CHOOSE(CONTROL!$C$21, $C$9, 100%, $E$9)</f>
        <v>44.123899999999999</v>
      </c>
      <c r="N724" s="10">
        <f>CHOOSE(CONTROL!$C$42, 44.1383, 44.1383) * CHOOSE(CONTROL!$C$21, $C$9, 100%, $E$9)</f>
        <v>44.138300000000001</v>
      </c>
      <c r="O724" s="10">
        <f>CHOOSE(CONTROL!$C$42, 44.3833, 44.3833) * CHOOSE(CONTROL!$C$21, $C$9, 100%, $E$9)</f>
        <v>44.383299999999998</v>
      </c>
      <c r="P724" s="10">
        <f>CHOOSE(CONTROL!$C$42, 44.1553, 44.1553) * CHOOSE(CONTROL!$C$21, $C$9, 100%, $E$9)</f>
        <v>44.155299999999997</v>
      </c>
      <c r="Q724" s="10">
        <f>CHOOSE(CONTROL!$C$42, 44.9786, 44.9786) * CHOOSE(CONTROL!$C$21, $C$9, 100%, $E$9)</f>
        <v>44.9786</v>
      </c>
      <c r="R724" s="10">
        <f>CHOOSE(CONTROL!$C$42, 45.6781, 45.6781) * CHOOSE(CONTROL!$C$21, $C$9, 100%, $E$9)</f>
        <v>45.678100000000001</v>
      </c>
      <c r="S724" s="10">
        <f>CHOOSE(CONTROL!$C$42, 43.2985, 43.2985) * CHOOSE(CONTROL!$C$21, $C$9, 100%, $E$9)</f>
        <v>43.298499999999997</v>
      </c>
      <c r="T7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57">
        <f>(1000*CHOOSE(CONTROL!$C$42, 695, 695)*CHOOSE(CONTROL!$C$42, 0.5599, 0.5599)*CHOOSE(CONTROL!$C$42, 30, 30))/1000000</f>
        <v>11.673914999999997</v>
      </c>
      <c r="V724" s="57">
        <f>(1000*CHOOSE(CONTROL!$C$42, 500, 500)*CHOOSE(CONTROL!$C$42, 0.275, 0.275)*CHOOSE(CONTROL!$C$42, 30, 30))/1000000</f>
        <v>4.125</v>
      </c>
      <c r="W724" s="57">
        <f>(1000*CHOOSE(CONTROL!$C$42, 0.1146, 0.1146)*CHOOSE(CONTROL!$C$42, 121.5, 121.5)*CHOOSE(CONTROL!$C$42, 30, 30))/1000000</f>
        <v>0.417717</v>
      </c>
      <c r="X724" s="57">
        <f>(30*0.1790888*245000/1000000)+(30*0.2374*100000/1000000)</f>
        <v>2.0285026799999999</v>
      </c>
      <c r="Y724" s="57"/>
      <c r="Z724" s="10"/>
      <c r="AA724" s="56"/>
      <c r="AB724" s="50">
        <f>(B724*141.293+C724*267.993+D724*115.016+E724*89.698+F724*40+G724*185+H724*0+I724*100+J724*300)/(141.293+267.993+115.016+89.698+0+40+185+100+300)</f>
        <v>44.61874612590799</v>
      </c>
      <c r="AC724" s="45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44.246816546762588</v>
      </c>
    </row>
    <row r="725" spans="1:29" ht="15.75" x14ac:dyDescent="0.25">
      <c r="A725" s="13">
        <v>62975</v>
      </c>
      <c r="B725" s="10">
        <f>CHOOSE(CONTROL!$C$42, 44.9849, 44.9849) * CHOOSE(CONTROL!$C$21, $C$9, 100%, $E$9)</f>
        <v>44.984900000000003</v>
      </c>
      <c r="C725" s="10">
        <f>CHOOSE(CONTROL!$C$42, 44.9928, 44.9928) * CHOOSE(CONTROL!$C$21, $C$9, 100%, $E$9)</f>
        <v>44.992800000000003</v>
      </c>
      <c r="D725" s="10">
        <f>CHOOSE(CONTROL!$C$42, 45.1956, 45.1956) * CHOOSE(CONTROL!$C$21, $C$9, 100%, $E$9)</f>
        <v>45.195599999999999</v>
      </c>
      <c r="E725" s="10">
        <f>CHOOSE(CONTROL!$C$42, 45.2267, 45.2267) * CHOOSE(CONTROL!$C$21, $C$9, 100%, $E$9)</f>
        <v>45.226700000000001</v>
      </c>
      <c r="F725" s="10">
        <f>CHOOSE(CONTROL!$C$42, 44.9606, 44.9606)*CHOOSE(CONTROL!$C$21, $C$9, 100%, $E$9)</f>
        <v>44.960599999999999</v>
      </c>
      <c r="G725" s="10">
        <f>CHOOSE(CONTROL!$C$42, 44.9756, 44.9756)*CHOOSE(CONTROL!$C$21, $C$9, 100%, $E$9)</f>
        <v>44.9756</v>
      </c>
      <c r="H725" s="10">
        <f>CHOOSE(CONTROL!$C$42, 45.2153, 45.2153) * CHOOSE(CONTROL!$C$21, $C$9, 100%, $E$9)</f>
        <v>45.215299999999999</v>
      </c>
      <c r="I725" s="10">
        <f>CHOOSE(CONTROL!$C$42, 44.985, 44.985)* CHOOSE(CONTROL!$C$21, $C$9, 100%, $E$9)</f>
        <v>44.984999999999999</v>
      </c>
      <c r="J725" s="10">
        <f>CHOOSE(CONTROL!$C$42, 44.9536, 44.9536)* CHOOSE(CONTROL!$C$21, $C$9, 100%, $E$9)</f>
        <v>44.953600000000002</v>
      </c>
      <c r="K725" s="53">
        <f>CHOOSE(CONTROL!$C$42, 44.9811, 44.9811) * CHOOSE(CONTROL!$C$21, $C$9, 100%, $E$9)</f>
        <v>44.981099999999998</v>
      </c>
      <c r="L725" s="10">
        <f>CHOOSE(CONTROL!$C$42, 45.8023, 45.8023) * CHOOSE(CONTROL!$C$21, $C$9, 100%, $E$9)</f>
        <v>45.802300000000002</v>
      </c>
      <c r="M725" s="10">
        <f>CHOOSE(CONTROL!$C$42, 44.5138, 44.5138) * CHOOSE(CONTROL!$C$21, $C$9, 100%, $E$9)</f>
        <v>44.513800000000003</v>
      </c>
      <c r="N725" s="10">
        <f>CHOOSE(CONTROL!$C$42, 44.5287, 44.5287) * CHOOSE(CONTROL!$C$21, $C$9, 100%, $E$9)</f>
        <v>44.528700000000001</v>
      </c>
      <c r="O725" s="10">
        <f>CHOOSE(CONTROL!$C$42, 44.7729, 44.7729) * CHOOSE(CONTROL!$C$21, $C$9, 100%, $E$9)</f>
        <v>44.7729</v>
      </c>
      <c r="P725" s="10">
        <f>CHOOSE(CONTROL!$C$42, 44.5449, 44.5449) * CHOOSE(CONTROL!$C$21, $C$9, 100%, $E$9)</f>
        <v>44.544899999999998</v>
      </c>
      <c r="Q725" s="10">
        <f>CHOOSE(CONTROL!$C$42, 45.3682, 45.3682) * CHOOSE(CONTROL!$C$21, $C$9, 100%, $E$9)</f>
        <v>45.368200000000002</v>
      </c>
      <c r="R725" s="10">
        <f>CHOOSE(CONTROL!$C$42, 46.0686, 46.0686) * CHOOSE(CONTROL!$C$21, $C$9, 100%, $E$9)</f>
        <v>46.068600000000004</v>
      </c>
      <c r="S725" s="10">
        <f>CHOOSE(CONTROL!$C$42, 43.6806, 43.6806) * CHOOSE(CONTROL!$C$21, $C$9, 100%, $E$9)</f>
        <v>43.680599999999998</v>
      </c>
      <c r="T7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57">
        <f>(1000*CHOOSE(CONTROL!$C$42, 695, 695)*CHOOSE(CONTROL!$C$42, 0.5599, 0.5599)*CHOOSE(CONTROL!$C$42, 31, 31))/1000000</f>
        <v>12.063045499999998</v>
      </c>
      <c r="V725" s="57">
        <f>(1000*CHOOSE(CONTROL!$C$42, 500, 500)*CHOOSE(CONTROL!$C$42, 0.275, 0.275)*CHOOSE(CONTROL!$C$42, 31, 31))/1000000</f>
        <v>4.2625000000000002</v>
      </c>
      <c r="W725" s="57">
        <f>(1000*CHOOSE(CONTROL!$C$42, 0.1146, 0.1146)*CHOOSE(CONTROL!$C$42, 121.5, 121.5)*CHOOSE(CONTROL!$C$42, 31, 31))/1000000</f>
        <v>0.43164089999999994</v>
      </c>
      <c r="X725" s="57">
        <f>(31*0.1790888*245000/1000000)+(31*0.2374*100000/1000000)</f>
        <v>2.0961194359999999</v>
      </c>
      <c r="Y725" s="57"/>
      <c r="Z725" s="10"/>
      <c r="AA725" s="56"/>
      <c r="AB725" s="50">
        <f>(B725*194.205+C725*267.466+D725*133.845+E725*53.484+F725*40+G725*185+H725*0+I725*100+J725*300)/(194.205+267.466+133.845+53.484+0+40+185+100+300)</f>
        <v>45.009369430219785</v>
      </c>
      <c r="AC725" s="45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44.636566187050363</v>
      </c>
    </row>
    <row r="726" spans="1:29" ht="15.75" x14ac:dyDescent="0.25">
      <c r="A726" s="13">
        <v>63005</v>
      </c>
      <c r="B726" s="10">
        <f>CHOOSE(CONTROL!$C$42, 46.2608, 46.2608) * CHOOSE(CONTROL!$C$21, $C$9, 100%, $E$9)</f>
        <v>46.260800000000003</v>
      </c>
      <c r="C726" s="10">
        <f>CHOOSE(CONTROL!$C$42, 46.2687, 46.2687) * CHOOSE(CONTROL!$C$21, $C$9, 100%, $E$9)</f>
        <v>46.268700000000003</v>
      </c>
      <c r="D726" s="10">
        <f>CHOOSE(CONTROL!$C$42, 46.4715, 46.4715) * CHOOSE(CONTROL!$C$21, $C$9, 100%, $E$9)</f>
        <v>46.471499999999999</v>
      </c>
      <c r="E726" s="10">
        <f>CHOOSE(CONTROL!$C$42, 46.5026, 46.5026) * CHOOSE(CONTROL!$C$21, $C$9, 100%, $E$9)</f>
        <v>46.502600000000001</v>
      </c>
      <c r="F726" s="10">
        <f>CHOOSE(CONTROL!$C$42, 46.2371, 46.2371)*CHOOSE(CONTROL!$C$21, $C$9, 100%, $E$9)</f>
        <v>46.237099999999998</v>
      </c>
      <c r="G726" s="10">
        <f>CHOOSE(CONTROL!$C$42, 46.2522, 46.2522)*CHOOSE(CONTROL!$C$21, $C$9, 100%, $E$9)</f>
        <v>46.252200000000002</v>
      </c>
      <c r="H726" s="10">
        <f>CHOOSE(CONTROL!$C$42, 46.4913, 46.4913) * CHOOSE(CONTROL!$C$21, $C$9, 100%, $E$9)</f>
        <v>46.491300000000003</v>
      </c>
      <c r="I726" s="10">
        <f>CHOOSE(CONTROL!$C$42, 46.2609, 46.2609)* CHOOSE(CONTROL!$C$21, $C$9, 100%, $E$9)</f>
        <v>46.260899999999999</v>
      </c>
      <c r="J726" s="10">
        <f>CHOOSE(CONTROL!$C$42, 46.2301, 46.2301)* CHOOSE(CONTROL!$C$21, $C$9, 100%, $E$9)</f>
        <v>46.2301</v>
      </c>
      <c r="K726" s="53">
        <f>CHOOSE(CONTROL!$C$42, 46.257, 46.257) * CHOOSE(CONTROL!$C$21, $C$9, 100%, $E$9)</f>
        <v>46.256999999999998</v>
      </c>
      <c r="L726" s="10">
        <f>CHOOSE(CONTROL!$C$42, 47.0783, 47.0783) * CHOOSE(CONTROL!$C$21, $C$9, 100%, $E$9)</f>
        <v>47.078299999999999</v>
      </c>
      <c r="M726" s="10">
        <f>CHOOSE(CONTROL!$C$42, 45.7774, 45.7774) * CHOOSE(CONTROL!$C$21, $C$9, 100%, $E$9)</f>
        <v>45.7774</v>
      </c>
      <c r="N726" s="10">
        <f>CHOOSE(CONTROL!$C$42, 45.7923, 45.7923) * CHOOSE(CONTROL!$C$21, $C$9, 100%, $E$9)</f>
        <v>45.792299999999997</v>
      </c>
      <c r="O726" s="10">
        <f>CHOOSE(CONTROL!$C$42, 46.0359, 46.0359) * CHOOSE(CONTROL!$C$21, $C$9, 100%, $E$9)</f>
        <v>46.035899999999998</v>
      </c>
      <c r="P726" s="10">
        <f>CHOOSE(CONTROL!$C$42, 45.8079, 45.8079) * CHOOSE(CONTROL!$C$21, $C$9, 100%, $E$9)</f>
        <v>45.807899999999997</v>
      </c>
      <c r="Q726" s="10">
        <f>CHOOSE(CONTROL!$C$42, 46.6312, 46.6312) * CHOOSE(CONTROL!$C$21, $C$9, 100%, $E$9)</f>
        <v>46.6312</v>
      </c>
      <c r="R726" s="10">
        <f>CHOOSE(CONTROL!$C$42, 47.3348, 47.3348) * CHOOSE(CONTROL!$C$21, $C$9, 100%, $E$9)</f>
        <v>47.334800000000001</v>
      </c>
      <c r="S726" s="10">
        <f>CHOOSE(CONTROL!$C$42, 44.9196, 44.9196) * CHOOSE(CONTROL!$C$21, $C$9, 100%, $E$9)</f>
        <v>44.919600000000003</v>
      </c>
      <c r="T7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57">
        <f>(1000*CHOOSE(CONTROL!$C$42, 695, 695)*CHOOSE(CONTROL!$C$42, 0.5599, 0.5599)*CHOOSE(CONTROL!$C$42, 30, 30))/1000000</f>
        <v>11.673914999999997</v>
      </c>
      <c r="V726" s="57">
        <f>(1000*CHOOSE(CONTROL!$C$42, 500, 500)*CHOOSE(CONTROL!$C$42, 0.275, 0.275)*CHOOSE(CONTROL!$C$42, 30, 30))/1000000</f>
        <v>4.125</v>
      </c>
      <c r="W726" s="57">
        <f>(1000*CHOOSE(CONTROL!$C$42, 0.1146, 0.1146)*CHOOSE(CONTROL!$C$42, 121.5, 121.5)*CHOOSE(CONTROL!$C$42, 30, 30))/1000000</f>
        <v>0.417717</v>
      </c>
      <c r="X726" s="57">
        <f>(30*0.1790888*245000/1000000)+(30*0.2374*100000/1000000)</f>
        <v>2.0285026799999999</v>
      </c>
      <c r="Y726" s="57"/>
      <c r="Z726" s="10"/>
      <c r="AA726" s="56"/>
      <c r="AB726" s="50">
        <f>(B726*194.205+C726*267.466+D726*133.845+E726*53.484+F726*40+G726*185+H726*0+I726*100+J726*300)/(194.205+267.466+133.845+53.484+0+40+185+100+300)</f>
        <v>46.285531204160122</v>
      </c>
      <c r="AC726" s="45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45.899807913669065</v>
      </c>
    </row>
    <row r="727" spans="1:29" ht="15.75" x14ac:dyDescent="0.25">
      <c r="A727" s="13">
        <v>63036</v>
      </c>
      <c r="B727" s="10">
        <f>CHOOSE(CONTROL!$C$42, 45.3734, 45.3734) * CHOOSE(CONTROL!$C$21, $C$9, 100%, $E$9)</f>
        <v>45.373399999999997</v>
      </c>
      <c r="C727" s="10">
        <f>CHOOSE(CONTROL!$C$42, 45.3814, 45.3814) * CHOOSE(CONTROL!$C$21, $C$9, 100%, $E$9)</f>
        <v>45.381399999999999</v>
      </c>
      <c r="D727" s="10">
        <f>CHOOSE(CONTROL!$C$42, 45.5841, 45.5841) * CHOOSE(CONTROL!$C$21, $C$9, 100%, $E$9)</f>
        <v>45.584099999999999</v>
      </c>
      <c r="E727" s="10">
        <f>CHOOSE(CONTROL!$C$42, 45.6152, 45.6152) * CHOOSE(CONTROL!$C$21, $C$9, 100%, $E$9)</f>
        <v>45.615200000000002</v>
      </c>
      <c r="F727" s="10">
        <f>CHOOSE(CONTROL!$C$42, 45.3502, 45.3502)*CHOOSE(CONTROL!$C$21, $C$9, 100%, $E$9)</f>
        <v>45.350200000000001</v>
      </c>
      <c r="G727" s="10">
        <f>CHOOSE(CONTROL!$C$42, 45.3655, 45.3655)*CHOOSE(CONTROL!$C$21, $C$9, 100%, $E$9)</f>
        <v>45.365499999999997</v>
      </c>
      <c r="H727" s="10">
        <f>CHOOSE(CONTROL!$C$42, 45.6039, 45.6039) * CHOOSE(CONTROL!$C$21, $C$9, 100%, $E$9)</f>
        <v>45.603900000000003</v>
      </c>
      <c r="I727" s="10">
        <f>CHOOSE(CONTROL!$C$42, 45.3735, 45.3735)* CHOOSE(CONTROL!$C$21, $C$9, 100%, $E$9)</f>
        <v>45.3735</v>
      </c>
      <c r="J727" s="10">
        <f>CHOOSE(CONTROL!$C$42, 45.3432, 45.3432)* CHOOSE(CONTROL!$C$21, $C$9, 100%, $E$9)</f>
        <v>45.343200000000003</v>
      </c>
      <c r="K727" s="53">
        <f>CHOOSE(CONTROL!$C$42, 45.3696, 45.3696) * CHOOSE(CONTROL!$C$21, $C$9, 100%, $E$9)</f>
        <v>45.369599999999998</v>
      </c>
      <c r="L727" s="10">
        <f>CHOOSE(CONTROL!$C$42, 46.1909, 46.1909) * CHOOSE(CONTROL!$C$21, $C$9, 100%, $E$9)</f>
        <v>46.190899999999999</v>
      </c>
      <c r="M727" s="10">
        <f>CHOOSE(CONTROL!$C$42, 44.8994, 44.8994) * CHOOSE(CONTROL!$C$21, $C$9, 100%, $E$9)</f>
        <v>44.8994</v>
      </c>
      <c r="N727" s="10">
        <f>CHOOSE(CONTROL!$C$42, 44.9145, 44.9145) * CHOOSE(CONTROL!$C$21, $C$9, 100%, $E$9)</f>
        <v>44.914499999999997</v>
      </c>
      <c r="O727" s="10">
        <f>CHOOSE(CONTROL!$C$42, 45.1575, 45.1575) * CHOOSE(CONTROL!$C$21, $C$9, 100%, $E$9)</f>
        <v>45.157499999999999</v>
      </c>
      <c r="P727" s="10">
        <f>CHOOSE(CONTROL!$C$42, 44.9294, 44.9294) * CHOOSE(CONTROL!$C$21, $C$9, 100%, $E$9)</f>
        <v>44.929400000000001</v>
      </c>
      <c r="Q727" s="10">
        <f>CHOOSE(CONTROL!$C$42, 45.7528, 45.7528) * CHOOSE(CONTROL!$C$21, $C$9, 100%, $E$9)</f>
        <v>45.752800000000001</v>
      </c>
      <c r="R727" s="10">
        <f>CHOOSE(CONTROL!$C$42, 46.4541, 46.4541) * CHOOSE(CONTROL!$C$21, $C$9, 100%, $E$9)</f>
        <v>46.454099999999997</v>
      </c>
      <c r="S727" s="10">
        <f>CHOOSE(CONTROL!$C$42, 44.0579, 44.0579) * CHOOSE(CONTROL!$C$21, $C$9, 100%, $E$9)</f>
        <v>44.057899999999997</v>
      </c>
      <c r="T7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57">
        <f>(1000*CHOOSE(CONTROL!$C$42, 695, 695)*CHOOSE(CONTROL!$C$42, 0.5599, 0.5599)*CHOOSE(CONTROL!$C$42, 31, 31))/1000000</f>
        <v>12.063045499999998</v>
      </c>
      <c r="V727" s="57">
        <f>(1000*CHOOSE(CONTROL!$C$42, 500, 500)*CHOOSE(CONTROL!$C$42, 0.275, 0.275)*CHOOSE(CONTROL!$C$42, 31, 31))/1000000</f>
        <v>4.2625000000000002</v>
      </c>
      <c r="W727" s="57">
        <f>(1000*CHOOSE(CONTROL!$C$42, 0.1146, 0.1146)*CHOOSE(CONTROL!$C$42, 121.5, 121.5)*CHOOSE(CONTROL!$C$42, 31, 31))/1000000</f>
        <v>0.43164089999999994</v>
      </c>
      <c r="X727" s="57">
        <f>(31*0.1790888*245000/1000000)+(31*0.2374*100000/1000000)</f>
        <v>2.0961194359999999</v>
      </c>
      <c r="Y727" s="57"/>
      <c r="Z727" s="10"/>
      <c r="AA727" s="56"/>
      <c r="AB727" s="50">
        <f>(B727*194.205+C727*267.466+D727*133.845+E727*53.484+F727*40+G727*185+H727*0+I727*100+J727*300)/(194.205+267.466+133.845+53.484+0+40+185+100+300)</f>
        <v>45.398387284693875</v>
      </c>
      <c r="AC727" s="45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45.021566187050361</v>
      </c>
    </row>
    <row r="728" spans="1:29" ht="15.75" x14ac:dyDescent="0.25">
      <c r="A728" s="13">
        <v>63067</v>
      </c>
      <c r="B728" s="10">
        <f>CHOOSE(CONTROL!$C$42, 43.1325, 43.1325) * CHOOSE(CONTROL!$C$21, $C$9, 100%, $E$9)</f>
        <v>43.1325</v>
      </c>
      <c r="C728" s="10">
        <f>CHOOSE(CONTROL!$C$42, 43.1404, 43.1404) * CHOOSE(CONTROL!$C$21, $C$9, 100%, $E$9)</f>
        <v>43.1404</v>
      </c>
      <c r="D728" s="10">
        <f>CHOOSE(CONTROL!$C$42, 43.3431, 43.3431) * CHOOSE(CONTROL!$C$21, $C$9, 100%, $E$9)</f>
        <v>43.3431</v>
      </c>
      <c r="E728" s="10">
        <f>CHOOSE(CONTROL!$C$42, 43.3743, 43.3743) * CHOOSE(CONTROL!$C$21, $C$9, 100%, $E$9)</f>
        <v>43.374299999999998</v>
      </c>
      <c r="F728" s="10">
        <f>CHOOSE(CONTROL!$C$42, 43.1094, 43.1094)*CHOOSE(CONTROL!$C$21, $C$9, 100%, $E$9)</f>
        <v>43.109400000000001</v>
      </c>
      <c r="G728" s="10">
        <f>CHOOSE(CONTROL!$C$42, 43.1247, 43.1247)*CHOOSE(CONTROL!$C$21, $C$9, 100%, $E$9)</f>
        <v>43.124699999999997</v>
      </c>
      <c r="H728" s="10">
        <f>CHOOSE(CONTROL!$C$42, 43.3629, 43.3629) * CHOOSE(CONTROL!$C$21, $C$9, 100%, $E$9)</f>
        <v>43.362900000000003</v>
      </c>
      <c r="I728" s="10">
        <f>CHOOSE(CONTROL!$C$42, 43.1325, 43.1325)* CHOOSE(CONTROL!$C$21, $C$9, 100%, $E$9)</f>
        <v>43.1325</v>
      </c>
      <c r="J728" s="10">
        <f>CHOOSE(CONTROL!$C$42, 43.1024, 43.1024)* CHOOSE(CONTROL!$C$21, $C$9, 100%, $E$9)</f>
        <v>43.102400000000003</v>
      </c>
      <c r="K728" s="53">
        <f>CHOOSE(CONTROL!$C$42, 43.1286, 43.1286) * CHOOSE(CONTROL!$C$21, $C$9, 100%, $E$9)</f>
        <v>43.128599999999999</v>
      </c>
      <c r="L728" s="10">
        <f>CHOOSE(CONTROL!$C$42, 43.9499, 43.9499) * CHOOSE(CONTROL!$C$21, $C$9, 100%, $E$9)</f>
        <v>43.9499</v>
      </c>
      <c r="M728" s="10">
        <f>CHOOSE(CONTROL!$C$42, 42.6813, 42.6813) * CHOOSE(CONTROL!$C$21, $C$9, 100%, $E$9)</f>
        <v>42.6813</v>
      </c>
      <c r="N728" s="10">
        <f>CHOOSE(CONTROL!$C$42, 42.6964, 42.6964) * CHOOSE(CONTROL!$C$21, $C$9, 100%, $E$9)</f>
        <v>42.696399999999997</v>
      </c>
      <c r="O728" s="10">
        <f>CHOOSE(CONTROL!$C$42, 42.9391, 42.9391) * CHOOSE(CONTROL!$C$21, $C$9, 100%, $E$9)</f>
        <v>42.939100000000003</v>
      </c>
      <c r="P728" s="10">
        <f>CHOOSE(CONTROL!$C$42, 42.7111, 42.7111) * CHOOSE(CONTROL!$C$21, $C$9, 100%, $E$9)</f>
        <v>42.711100000000002</v>
      </c>
      <c r="Q728" s="10">
        <f>CHOOSE(CONTROL!$C$42, 43.5344, 43.5344) * CHOOSE(CONTROL!$C$21, $C$9, 100%, $E$9)</f>
        <v>43.534399999999998</v>
      </c>
      <c r="R728" s="10">
        <f>CHOOSE(CONTROL!$C$42, 44.2302, 44.2302) * CHOOSE(CONTROL!$C$21, $C$9, 100%, $E$9)</f>
        <v>44.230200000000004</v>
      </c>
      <c r="S728" s="10">
        <f>CHOOSE(CONTROL!$C$42, 41.8817, 41.8817) * CHOOSE(CONTROL!$C$21, $C$9, 100%, $E$9)</f>
        <v>41.881700000000002</v>
      </c>
      <c r="T7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57">
        <f>(1000*CHOOSE(CONTROL!$C$42, 695, 695)*CHOOSE(CONTROL!$C$42, 0.5599, 0.5599)*CHOOSE(CONTROL!$C$42, 31, 31))/1000000</f>
        <v>12.063045499999998</v>
      </c>
      <c r="V728" s="57">
        <f>(1000*CHOOSE(CONTROL!$C$42, 500, 500)*CHOOSE(CONTROL!$C$42, 0.275, 0.275)*CHOOSE(CONTROL!$C$42, 31, 31))/1000000</f>
        <v>4.2625000000000002</v>
      </c>
      <c r="W728" s="57">
        <f>(1000*CHOOSE(CONTROL!$C$42, 0.1146, 0.1146)*CHOOSE(CONTROL!$C$42, 121.5, 121.5)*CHOOSE(CONTROL!$C$42, 31, 31))/1000000</f>
        <v>0.43164089999999994</v>
      </c>
      <c r="X728" s="57">
        <f>(31*0.1790888*245000/1000000)+(31*0.2374*100000/1000000)</f>
        <v>2.0961194359999999</v>
      </c>
      <c r="Y728" s="57"/>
      <c r="Z728" s="10"/>
      <c r="AA728" s="56"/>
      <c r="AB728" s="50">
        <f>(B728*194.205+C728*267.466+D728*133.845+E728*53.484+F728*40+G728*185+H728*0+I728*100+J728*300)/(194.205+267.466+133.845+53.484+0+40+185+100+300)</f>
        <v>43.157489144113029</v>
      </c>
      <c r="AC728" s="45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42.803301438848926</v>
      </c>
    </row>
    <row r="729" spans="1:29" ht="15.75" x14ac:dyDescent="0.25">
      <c r="A729" s="13">
        <v>63097</v>
      </c>
      <c r="B729" s="10">
        <f>CHOOSE(CONTROL!$C$42, 40.394, 40.394) * CHOOSE(CONTROL!$C$21, $C$9, 100%, $E$9)</f>
        <v>40.393999999999998</v>
      </c>
      <c r="C729" s="10">
        <f>CHOOSE(CONTROL!$C$42, 40.402, 40.402) * CHOOSE(CONTROL!$C$21, $C$9, 100%, $E$9)</f>
        <v>40.402000000000001</v>
      </c>
      <c r="D729" s="10">
        <f>CHOOSE(CONTROL!$C$42, 40.6047, 40.6047) * CHOOSE(CONTROL!$C$21, $C$9, 100%, $E$9)</f>
        <v>40.604700000000001</v>
      </c>
      <c r="E729" s="10">
        <f>CHOOSE(CONTROL!$C$42, 40.6358, 40.6358) * CHOOSE(CONTROL!$C$21, $C$9, 100%, $E$9)</f>
        <v>40.635800000000003</v>
      </c>
      <c r="F729" s="10">
        <f>CHOOSE(CONTROL!$C$42, 40.3708, 40.3708)*CHOOSE(CONTROL!$C$21, $C$9, 100%, $E$9)</f>
        <v>40.370800000000003</v>
      </c>
      <c r="G729" s="10">
        <f>CHOOSE(CONTROL!$C$42, 40.3861, 40.3861)*CHOOSE(CONTROL!$C$21, $C$9, 100%, $E$9)</f>
        <v>40.386099999999999</v>
      </c>
      <c r="H729" s="10">
        <f>CHOOSE(CONTROL!$C$42, 40.6245, 40.6245) * CHOOSE(CONTROL!$C$21, $C$9, 100%, $E$9)</f>
        <v>40.624499999999998</v>
      </c>
      <c r="I729" s="10">
        <f>CHOOSE(CONTROL!$C$42, 40.3941, 40.3941)* CHOOSE(CONTROL!$C$21, $C$9, 100%, $E$9)</f>
        <v>40.394100000000002</v>
      </c>
      <c r="J729" s="10">
        <f>CHOOSE(CONTROL!$C$42, 40.3638, 40.3638)* CHOOSE(CONTROL!$C$21, $C$9, 100%, $E$9)</f>
        <v>40.363799999999998</v>
      </c>
      <c r="K729" s="53">
        <f>CHOOSE(CONTROL!$C$42, 40.3902, 40.3902) * CHOOSE(CONTROL!$C$21, $C$9, 100%, $E$9)</f>
        <v>40.3902</v>
      </c>
      <c r="L729" s="10">
        <f>CHOOSE(CONTROL!$C$42, 41.2115, 41.2115) * CHOOSE(CONTROL!$C$21, $C$9, 100%, $E$9)</f>
        <v>41.211500000000001</v>
      </c>
      <c r="M729" s="10">
        <f>CHOOSE(CONTROL!$C$42, 39.9703, 39.9703) * CHOOSE(CONTROL!$C$21, $C$9, 100%, $E$9)</f>
        <v>39.970300000000002</v>
      </c>
      <c r="N729" s="10">
        <f>CHOOSE(CONTROL!$C$42, 39.9855, 39.9855) * CHOOSE(CONTROL!$C$21, $C$9, 100%, $E$9)</f>
        <v>39.985500000000002</v>
      </c>
      <c r="O729" s="10">
        <f>CHOOSE(CONTROL!$C$42, 40.2283, 40.2283) * CHOOSE(CONTROL!$C$21, $C$9, 100%, $E$9)</f>
        <v>40.228299999999997</v>
      </c>
      <c r="P729" s="10">
        <f>CHOOSE(CONTROL!$C$42, 40.0003, 40.0003) * CHOOSE(CONTROL!$C$21, $C$9, 100%, $E$9)</f>
        <v>40.000300000000003</v>
      </c>
      <c r="Q729" s="10">
        <f>CHOOSE(CONTROL!$C$42, 40.8236, 40.8236) * CHOOSE(CONTROL!$C$21, $C$9, 100%, $E$9)</f>
        <v>40.823599999999999</v>
      </c>
      <c r="R729" s="10">
        <f>CHOOSE(CONTROL!$C$42, 41.5127, 41.5127) * CHOOSE(CONTROL!$C$21, $C$9, 100%, $E$9)</f>
        <v>41.512700000000002</v>
      </c>
      <c r="S729" s="10">
        <f>CHOOSE(CONTROL!$C$42, 39.2224, 39.2224) * CHOOSE(CONTROL!$C$21, $C$9, 100%, $E$9)</f>
        <v>39.2224</v>
      </c>
      <c r="T7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57">
        <f>(1000*CHOOSE(CONTROL!$C$42, 695, 695)*CHOOSE(CONTROL!$C$42, 0.5599, 0.5599)*CHOOSE(CONTROL!$C$42, 30, 30))/1000000</f>
        <v>11.673914999999997</v>
      </c>
      <c r="V729" s="57">
        <f>(1000*CHOOSE(CONTROL!$C$42, 500, 500)*CHOOSE(CONTROL!$C$42, 0.275, 0.275)*CHOOSE(CONTROL!$C$42, 30, 30))/1000000</f>
        <v>4.125</v>
      </c>
      <c r="W729" s="57">
        <f>(1000*CHOOSE(CONTROL!$C$42, 0.1146, 0.1146)*CHOOSE(CONTROL!$C$42, 121.5, 121.5)*CHOOSE(CONTROL!$C$42, 30, 30))/1000000</f>
        <v>0.417717</v>
      </c>
      <c r="X729" s="57">
        <f>(30*0.1790888*245000/1000000)+(30*0.2374*100000/1000000)</f>
        <v>2.0285026799999999</v>
      </c>
      <c r="Y729" s="57"/>
      <c r="Z729" s="10"/>
      <c r="AA729" s="56"/>
      <c r="AB729" s="50">
        <f>(B729*194.205+C729*267.466+D729*133.845+E729*53.484+F729*40+G729*185+H729*0+I729*100+J729*300)/(194.205+267.466+133.845+53.484+0+40+185+100+300)</f>
        <v>40.418987284693884</v>
      </c>
      <c r="AC729" s="45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40.092426618705034</v>
      </c>
    </row>
    <row r="730" spans="1:29" ht="15.75" x14ac:dyDescent="0.25">
      <c r="A730" s="13">
        <v>63128</v>
      </c>
      <c r="B730" s="10">
        <f>CHOOSE(CONTROL!$C$42, 39.5722, 39.5722) * CHOOSE(CONTROL!$C$21, $C$9, 100%, $E$9)</f>
        <v>39.572200000000002</v>
      </c>
      <c r="C730" s="10">
        <f>CHOOSE(CONTROL!$C$42, 39.5774, 39.5774) * CHOOSE(CONTROL!$C$21, $C$9, 100%, $E$9)</f>
        <v>39.577399999999997</v>
      </c>
      <c r="D730" s="10">
        <f>CHOOSE(CONTROL!$C$42, 39.7851, 39.7851) * CHOOSE(CONTROL!$C$21, $C$9, 100%, $E$9)</f>
        <v>39.7851</v>
      </c>
      <c r="E730" s="10">
        <f>CHOOSE(CONTROL!$C$42, 39.8139, 39.8139) * CHOOSE(CONTROL!$C$21, $C$9, 100%, $E$9)</f>
        <v>39.813899999999997</v>
      </c>
      <c r="F730" s="10">
        <f>CHOOSE(CONTROL!$C$42, 39.5509, 39.5509)*CHOOSE(CONTROL!$C$21, $C$9, 100%, $E$9)</f>
        <v>39.550899999999999</v>
      </c>
      <c r="G730" s="10">
        <f>CHOOSE(CONTROL!$C$42, 39.5659, 39.5659)*CHOOSE(CONTROL!$C$21, $C$9, 100%, $E$9)</f>
        <v>39.565899999999999</v>
      </c>
      <c r="H730" s="10">
        <f>CHOOSE(CONTROL!$C$42, 39.8044, 39.8044) * CHOOSE(CONTROL!$C$21, $C$9, 100%, $E$9)</f>
        <v>39.804400000000001</v>
      </c>
      <c r="I730" s="10">
        <f>CHOOSE(CONTROL!$C$42, 39.574, 39.574)* CHOOSE(CONTROL!$C$21, $C$9, 100%, $E$9)</f>
        <v>39.573999999999998</v>
      </c>
      <c r="J730" s="10">
        <f>CHOOSE(CONTROL!$C$42, 39.5439, 39.5439)* CHOOSE(CONTROL!$C$21, $C$9, 100%, $E$9)</f>
        <v>39.543900000000001</v>
      </c>
      <c r="K730" s="53">
        <f>CHOOSE(CONTROL!$C$42, 39.5701, 39.5701) * CHOOSE(CONTROL!$C$21, $C$9, 100%, $E$9)</f>
        <v>39.570099999999996</v>
      </c>
      <c r="L730" s="10">
        <f>CHOOSE(CONTROL!$C$42, 40.3914, 40.3914) * CHOOSE(CONTROL!$C$21, $C$9, 100%, $E$9)</f>
        <v>40.391399999999997</v>
      </c>
      <c r="M730" s="10">
        <f>CHOOSE(CONTROL!$C$42, 39.1587, 39.1587) * CHOOSE(CONTROL!$C$21, $C$9, 100%, $E$9)</f>
        <v>39.158700000000003</v>
      </c>
      <c r="N730" s="10">
        <f>CHOOSE(CONTROL!$C$42, 39.1735, 39.1735) * CHOOSE(CONTROL!$C$21, $C$9, 100%, $E$9)</f>
        <v>39.173499999999997</v>
      </c>
      <c r="O730" s="10">
        <f>CHOOSE(CONTROL!$C$42, 39.4165, 39.4165) * CHOOSE(CONTROL!$C$21, $C$9, 100%, $E$9)</f>
        <v>39.416499999999999</v>
      </c>
      <c r="P730" s="10">
        <f>CHOOSE(CONTROL!$C$42, 39.1885, 39.1885) * CHOOSE(CONTROL!$C$21, $C$9, 100%, $E$9)</f>
        <v>39.188499999999998</v>
      </c>
      <c r="Q730" s="10">
        <f>CHOOSE(CONTROL!$C$42, 40.0118, 40.0118) * CHOOSE(CONTROL!$C$21, $C$9, 100%, $E$9)</f>
        <v>40.011800000000001</v>
      </c>
      <c r="R730" s="10">
        <f>CHOOSE(CONTROL!$C$42, 40.6989, 40.6989) * CHOOSE(CONTROL!$C$21, $C$9, 100%, $E$9)</f>
        <v>40.698900000000002</v>
      </c>
      <c r="S730" s="10">
        <f>CHOOSE(CONTROL!$C$42, 38.426, 38.426) * CHOOSE(CONTROL!$C$21, $C$9, 100%, $E$9)</f>
        <v>38.426000000000002</v>
      </c>
      <c r="T7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57">
        <f>(1000*CHOOSE(CONTROL!$C$42, 695, 695)*CHOOSE(CONTROL!$C$42, 0.5599, 0.5599)*CHOOSE(CONTROL!$C$42, 31, 31))/1000000</f>
        <v>12.063045499999998</v>
      </c>
      <c r="V730" s="57">
        <f>(1000*CHOOSE(CONTROL!$C$42, 500, 500)*CHOOSE(CONTROL!$C$42, 0.275, 0.275)*CHOOSE(CONTROL!$C$42, 31, 31))/1000000</f>
        <v>4.2625000000000002</v>
      </c>
      <c r="W730" s="57">
        <f>(1000*CHOOSE(CONTROL!$C$42, 0.1146, 0.1146)*CHOOSE(CONTROL!$C$42, 121.5, 121.5)*CHOOSE(CONTROL!$C$42, 31, 31))/1000000</f>
        <v>0.43164089999999994</v>
      </c>
      <c r="X730" s="57">
        <f>(31*0.1790888*245000/1000000)+(31*0.2374*100000/1000000)</f>
        <v>2.0961194359999999</v>
      </c>
      <c r="Y730" s="57"/>
      <c r="Z730" s="10"/>
      <c r="AA730" s="56"/>
      <c r="AB730" s="50">
        <f>(B730*131.881+C730*277.167+D730*79.08+E730*125.872+F730*40+G730*185+H730*0+I730*100+J730*300)/(131.881+277.167+79.08+125.872+0+40+185+100+300)</f>
        <v>39.603171075706214</v>
      </c>
      <c r="AC730" s="45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39.280684172661871</v>
      </c>
    </row>
    <row r="731" spans="1:29" ht="15.75" x14ac:dyDescent="0.25">
      <c r="A731" s="13">
        <v>63158</v>
      </c>
      <c r="B731" s="10">
        <f>CHOOSE(CONTROL!$C$42, 40.6142, 40.6142) * CHOOSE(CONTROL!$C$21, $C$9, 100%, $E$9)</f>
        <v>40.614199999999997</v>
      </c>
      <c r="C731" s="10">
        <f>CHOOSE(CONTROL!$C$42, 40.6192, 40.6192) * CHOOSE(CONTROL!$C$21, $C$9, 100%, $E$9)</f>
        <v>40.619199999999999</v>
      </c>
      <c r="D731" s="10">
        <f>CHOOSE(CONTROL!$C$42, 40.6797, 40.6797) * CHOOSE(CONTROL!$C$21, $C$9, 100%, $E$9)</f>
        <v>40.679699999999997</v>
      </c>
      <c r="E731" s="10">
        <f>CHOOSE(CONTROL!$C$42, 40.7135, 40.7135) * CHOOSE(CONTROL!$C$21, $C$9, 100%, $E$9)</f>
        <v>40.713500000000003</v>
      </c>
      <c r="F731" s="10">
        <f>CHOOSE(CONTROL!$C$42, 40.6099, 40.6099)*CHOOSE(CONTROL!$C$21, $C$9, 100%, $E$9)</f>
        <v>40.609900000000003</v>
      </c>
      <c r="G731" s="10">
        <f>CHOOSE(CONTROL!$C$42, 40.6251, 40.6251)*CHOOSE(CONTROL!$C$21, $C$9, 100%, $E$9)</f>
        <v>40.625100000000003</v>
      </c>
      <c r="H731" s="10">
        <f>CHOOSE(CONTROL!$C$42, 40.7027, 40.7027) * CHOOSE(CONTROL!$C$21, $C$9, 100%, $E$9)</f>
        <v>40.7027</v>
      </c>
      <c r="I731" s="10">
        <f>CHOOSE(CONTROL!$C$42, 40.6268, 40.6268)* CHOOSE(CONTROL!$C$21, $C$9, 100%, $E$9)</f>
        <v>40.626800000000003</v>
      </c>
      <c r="J731" s="10">
        <f>CHOOSE(CONTROL!$C$42, 40.6029, 40.6029)* CHOOSE(CONTROL!$C$21, $C$9, 100%, $E$9)</f>
        <v>40.602899999999998</v>
      </c>
      <c r="K731" s="53">
        <f>CHOOSE(CONTROL!$C$42, 40.6229, 40.6229) * CHOOSE(CONTROL!$C$21, $C$9, 100%, $E$9)</f>
        <v>40.622900000000001</v>
      </c>
      <c r="L731" s="10">
        <f>CHOOSE(CONTROL!$C$42, 41.2897, 41.2897) * CHOOSE(CONTROL!$C$21, $C$9, 100%, $E$9)</f>
        <v>41.289700000000003</v>
      </c>
      <c r="M731" s="10">
        <f>CHOOSE(CONTROL!$C$42, 40.2069, 40.2069) * CHOOSE(CONTROL!$C$21, $C$9, 100%, $E$9)</f>
        <v>40.206899999999997</v>
      </c>
      <c r="N731" s="10">
        <f>CHOOSE(CONTROL!$C$42, 40.222, 40.222) * CHOOSE(CONTROL!$C$21, $C$9, 100%, $E$9)</f>
        <v>40.222000000000001</v>
      </c>
      <c r="O731" s="10">
        <f>CHOOSE(CONTROL!$C$42, 40.3057, 40.3057) * CHOOSE(CONTROL!$C$21, $C$9, 100%, $E$9)</f>
        <v>40.305700000000002</v>
      </c>
      <c r="P731" s="10">
        <f>CHOOSE(CONTROL!$C$42, 40.2306, 40.2306) * CHOOSE(CONTROL!$C$21, $C$9, 100%, $E$9)</f>
        <v>40.230600000000003</v>
      </c>
      <c r="Q731" s="10">
        <f>CHOOSE(CONTROL!$C$42, 40.901, 40.901) * CHOOSE(CONTROL!$C$21, $C$9, 100%, $E$9)</f>
        <v>40.901000000000003</v>
      </c>
      <c r="R731" s="10">
        <f>CHOOSE(CONTROL!$C$42, 41.5903, 41.5903) * CHOOSE(CONTROL!$C$21, $C$9, 100%, $E$9)</f>
        <v>41.590299999999999</v>
      </c>
      <c r="S731" s="10">
        <f>CHOOSE(CONTROL!$C$42, 39.4384, 39.4384) * CHOOSE(CONTROL!$C$21, $C$9, 100%, $E$9)</f>
        <v>39.438400000000001</v>
      </c>
      <c r="T7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57">
        <f>(1000*CHOOSE(CONTROL!$C$42, 695, 695)*CHOOSE(CONTROL!$C$42, 0.5599, 0.5599)*CHOOSE(CONTROL!$C$42, 30, 30))/1000000</f>
        <v>11.673914999999997</v>
      </c>
      <c r="V731" s="57">
        <f>(1000*CHOOSE(CONTROL!$C$42, 500, 500)*CHOOSE(CONTROL!$C$42, 0.275, 0.275)*CHOOSE(CONTROL!$C$42, 30, 30))/1000000</f>
        <v>4.125</v>
      </c>
      <c r="W731" s="57">
        <f>(1000*CHOOSE(CONTROL!$C$42, 0.1146, 0.1146)*CHOOSE(CONTROL!$C$42, 121.5, 121.5)*CHOOSE(CONTROL!$C$42, 30, 30))/1000000</f>
        <v>0.417717</v>
      </c>
      <c r="X731" s="57">
        <f>(30*0.1790888*100000/1000000)+(30*0.2374*100000/1000000)</f>
        <v>1.2494664</v>
      </c>
      <c r="Y731" s="57"/>
      <c r="Z731" s="10"/>
      <c r="AA731" s="56"/>
      <c r="AB731" s="50">
        <f>(B731*122.58+C731*297.941+D731*89.177+E731*40.302+F731*40+G731*160+H731*0+I731*100+J731*300)/(122.58+297.941+89.177+40.302+0+40+160+100+300)</f>
        <v>40.623569380086948</v>
      </c>
      <c r="AC731" s="45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40.255958992805759</v>
      </c>
    </row>
    <row r="732" spans="1:29" ht="15.75" x14ac:dyDescent="0.25">
      <c r="A732" s="13">
        <v>63189</v>
      </c>
      <c r="B732" s="10">
        <f>CHOOSE(CONTROL!$C$42, 43.3831, 43.3831) * CHOOSE(CONTROL!$C$21, $C$9, 100%, $E$9)</f>
        <v>43.383099999999999</v>
      </c>
      <c r="C732" s="10">
        <f>CHOOSE(CONTROL!$C$42, 43.388, 43.388) * CHOOSE(CONTROL!$C$21, $C$9, 100%, $E$9)</f>
        <v>43.387999999999998</v>
      </c>
      <c r="D732" s="10">
        <f>CHOOSE(CONTROL!$C$42, 43.4486, 43.4486) * CHOOSE(CONTROL!$C$21, $C$9, 100%, $E$9)</f>
        <v>43.448599999999999</v>
      </c>
      <c r="E732" s="10">
        <f>CHOOSE(CONTROL!$C$42, 43.4823, 43.4823) * CHOOSE(CONTROL!$C$21, $C$9, 100%, $E$9)</f>
        <v>43.482300000000002</v>
      </c>
      <c r="F732" s="10">
        <f>CHOOSE(CONTROL!$C$42, 43.3806, 43.3806)*CHOOSE(CONTROL!$C$21, $C$9, 100%, $E$9)</f>
        <v>43.380600000000001</v>
      </c>
      <c r="G732" s="10">
        <f>CHOOSE(CONTROL!$C$42, 43.3963, 43.3963)*CHOOSE(CONTROL!$C$21, $C$9, 100%, $E$9)</f>
        <v>43.396299999999997</v>
      </c>
      <c r="H732" s="10">
        <f>CHOOSE(CONTROL!$C$42, 43.4715, 43.4715) * CHOOSE(CONTROL!$C$21, $C$9, 100%, $E$9)</f>
        <v>43.471499999999999</v>
      </c>
      <c r="I732" s="10">
        <f>CHOOSE(CONTROL!$C$42, 43.3956, 43.3956)* CHOOSE(CONTROL!$C$21, $C$9, 100%, $E$9)</f>
        <v>43.395600000000002</v>
      </c>
      <c r="J732" s="10">
        <f>CHOOSE(CONTROL!$C$42, 43.3736, 43.3736)* CHOOSE(CONTROL!$C$21, $C$9, 100%, $E$9)</f>
        <v>43.373600000000003</v>
      </c>
      <c r="K732" s="53">
        <f>CHOOSE(CONTROL!$C$42, 43.3917, 43.3917) * CHOOSE(CONTROL!$C$21, $C$9, 100%, $E$9)</f>
        <v>43.3917</v>
      </c>
      <c r="L732" s="10">
        <f>CHOOSE(CONTROL!$C$42, 44.0585, 44.0585) * CHOOSE(CONTROL!$C$21, $C$9, 100%, $E$9)</f>
        <v>44.058500000000002</v>
      </c>
      <c r="M732" s="10">
        <f>CHOOSE(CONTROL!$C$42, 42.9497, 42.9497) * CHOOSE(CONTROL!$C$21, $C$9, 100%, $E$9)</f>
        <v>42.9497</v>
      </c>
      <c r="N732" s="10">
        <f>CHOOSE(CONTROL!$C$42, 42.9652, 42.9652) * CHOOSE(CONTROL!$C$21, $C$9, 100%, $E$9)</f>
        <v>42.965200000000003</v>
      </c>
      <c r="O732" s="10">
        <f>CHOOSE(CONTROL!$C$42, 43.0466, 43.0466) * CHOOSE(CONTROL!$C$21, $C$9, 100%, $E$9)</f>
        <v>43.046599999999998</v>
      </c>
      <c r="P732" s="10">
        <f>CHOOSE(CONTROL!$C$42, 42.9715, 42.9715) * CHOOSE(CONTROL!$C$21, $C$9, 100%, $E$9)</f>
        <v>42.971499999999999</v>
      </c>
      <c r="Q732" s="10">
        <f>CHOOSE(CONTROL!$C$42, 43.6419, 43.6419) * CHOOSE(CONTROL!$C$21, $C$9, 100%, $E$9)</f>
        <v>43.6419</v>
      </c>
      <c r="R732" s="10">
        <f>CHOOSE(CONTROL!$C$42, 44.3381, 44.3381) * CHOOSE(CONTROL!$C$21, $C$9, 100%, $E$9)</f>
        <v>44.338099999999997</v>
      </c>
      <c r="S732" s="10">
        <f>CHOOSE(CONTROL!$C$42, 42.1272, 42.1272) * CHOOSE(CONTROL!$C$21, $C$9, 100%, $E$9)</f>
        <v>42.127200000000002</v>
      </c>
      <c r="T7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57">
        <f>(1000*CHOOSE(CONTROL!$C$42, 695, 695)*CHOOSE(CONTROL!$C$42, 0.5599, 0.5599)*CHOOSE(CONTROL!$C$42, 31, 31))/1000000</f>
        <v>12.063045499999998</v>
      </c>
      <c r="V732" s="57">
        <f>(1000*CHOOSE(CONTROL!$C$42, 500, 500)*CHOOSE(CONTROL!$C$42, 0.275, 0.275)*CHOOSE(CONTROL!$C$42, 31, 31))/1000000</f>
        <v>4.2625000000000002</v>
      </c>
      <c r="W732" s="57">
        <f>(1000*CHOOSE(CONTROL!$C$42, 0.1146, 0.1146)*CHOOSE(CONTROL!$C$42, 121.5, 121.5)*CHOOSE(CONTROL!$C$42, 31, 31))/1000000</f>
        <v>0.43164089999999994</v>
      </c>
      <c r="X732" s="57">
        <f>(31*0.1790888*100000/1000000)+(31*0.2374*100000/1000000)</f>
        <v>1.2911152800000001</v>
      </c>
      <c r="Y732" s="57"/>
      <c r="Z732" s="10"/>
      <c r="AA732" s="56"/>
      <c r="AB732" s="50">
        <f>(B732*122.58+C732*297.941+D732*89.177+E732*40.302+F732*40+G732*160+H732*0+I732*100+J732*300)/(122.58+297.941+89.177+40.302+0+40+160+100+300)</f>
        <v>43.393283445913042</v>
      </c>
      <c r="AC732" s="45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42.997647482014386</v>
      </c>
    </row>
    <row r="733" spans="1:29" ht="15.75" x14ac:dyDescent="0.25">
      <c r="A733" s="13">
        <v>63220</v>
      </c>
      <c r="B733" s="10">
        <f>CHOOSE(CONTROL!$C$42, 46.9375, 46.9375) * CHOOSE(CONTROL!$C$21, $C$9, 100%, $E$9)</f>
        <v>46.9375</v>
      </c>
      <c r="C733" s="10">
        <f>CHOOSE(CONTROL!$C$42, 46.9425, 46.9425) * CHOOSE(CONTROL!$C$21, $C$9, 100%, $E$9)</f>
        <v>46.942500000000003</v>
      </c>
      <c r="D733" s="10">
        <f>CHOOSE(CONTROL!$C$42, 46.9996, 46.9996) * CHOOSE(CONTROL!$C$21, $C$9, 100%, $E$9)</f>
        <v>46.999600000000001</v>
      </c>
      <c r="E733" s="10">
        <f>CHOOSE(CONTROL!$C$42, 47.0333, 47.0333) * CHOOSE(CONTROL!$C$21, $C$9, 100%, $E$9)</f>
        <v>47.033299999999997</v>
      </c>
      <c r="F733" s="10">
        <f>CHOOSE(CONTROL!$C$42, 46.9354, 46.9354)*CHOOSE(CONTROL!$C$21, $C$9, 100%, $E$9)</f>
        <v>46.935400000000001</v>
      </c>
      <c r="G733" s="10">
        <f>CHOOSE(CONTROL!$C$42, 46.95, 46.95)*CHOOSE(CONTROL!$C$21, $C$9, 100%, $E$9)</f>
        <v>46.95</v>
      </c>
      <c r="H733" s="10">
        <f>CHOOSE(CONTROL!$C$42, 47.0225, 47.0225) * CHOOSE(CONTROL!$C$21, $C$9, 100%, $E$9)</f>
        <v>47.022500000000001</v>
      </c>
      <c r="I733" s="10">
        <f>CHOOSE(CONTROL!$C$42, 46.9483, 46.9483)* CHOOSE(CONTROL!$C$21, $C$9, 100%, $E$9)</f>
        <v>46.948300000000003</v>
      </c>
      <c r="J733" s="10">
        <f>CHOOSE(CONTROL!$C$42, 46.9284, 46.9284)* CHOOSE(CONTROL!$C$21, $C$9, 100%, $E$9)</f>
        <v>46.928400000000003</v>
      </c>
      <c r="K733" s="53">
        <f>CHOOSE(CONTROL!$C$42, 46.9444, 46.9444) * CHOOSE(CONTROL!$C$21, $C$9, 100%, $E$9)</f>
        <v>46.944400000000002</v>
      </c>
      <c r="L733" s="10">
        <f>CHOOSE(CONTROL!$C$42, 47.6095, 47.6095) * CHOOSE(CONTROL!$C$21, $C$9, 100%, $E$9)</f>
        <v>47.609499999999997</v>
      </c>
      <c r="M733" s="10">
        <f>CHOOSE(CONTROL!$C$42, 46.4686, 46.4686) * CHOOSE(CONTROL!$C$21, $C$9, 100%, $E$9)</f>
        <v>46.468600000000002</v>
      </c>
      <c r="N733" s="10">
        <f>CHOOSE(CONTROL!$C$42, 46.4831, 46.4831) * CHOOSE(CONTROL!$C$21, $C$9, 100%, $E$9)</f>
        <v>46.4831</v>
      </c>
      <c r="O733" s="10">
        <f>CHOOSE(CONTROL!$C$42, 46.5618, 46.5618) * CHOOSE(CONTROL!$C$21, $C$9, 100%, $E$9)</f>
        <v>46.561799999999998</v>
      </c>
      <c r="P733" s="10">
        <f>CHOOSE(CONTROL!$C$42, 46.4884, 46.4884) * CHOOSE(CONTROL!$C$21, $C$9, 100%, $E$9)</f>
        <v>46.488399999999999</v>
      </c>
      <c r="Q733" s="10">
        <f>CHOOSE(CONTROL!$C$42, 47.1571, 47.1571) * CHOOSE(CONTROL!$C$21, $C$9, 100%, $E$9)</f>
        <v>47.1571</v>
      </c>
      <c r="R733" s="10">
        <f>CHOOSE(CONTROL!$C$42, 47.862, 47.862) * CHOOSE(CONTROL!$C$21, $C$9, 100%, $E$9)</f>
        <v>47.862000000000002</v>
      </c>
      <c r="S733" s="10">
        <f>CHOOSE(CONTROL!$C$42, 45.5789, 45.5789) * CHOOSE(CONTROL!$C$21, $C$9, 100%, $E$9)</f>
        <v>45.578899999999997</v>
      </c>
      <c r="T7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57">
        <f>(1000*CHOOSE(CONTROL!$C$42, 695, 695)*CHOOSE(CONTROL!$C$42, 0.5599, 0.5599)*CHOOSE(CONTROL!$C$42, 31, 31))/1000000</f>
        <v>12.063045499999998</v>
      </c>
      <c r="V733" s="57">
        <f>(1000*CHOOSE(CONTROL!$C$42, 500, 500)*CHOOSE(CONTROL!$C$42, 0.275, 0.275)*CHOOSE(CONTROL!$C$42, 31, 31))/1000000</f>
        <v>4.2625000000000002</v>
      </c>
      <c r="W733" s="57">
        <f>(1000*CHOOSE(CONTROL!$C$42, 0.1146, 0.1146)*CHOOSE(CONTROL!$C$42, 121.5, 121.5)*CHOOSE(CONTROL!$C$42, 31, 31))/1000000</f>
        <v>0.43164089999999994</v>
      </c>
      <c r="X733" s="57">
        <f>(31*0.1790888*100000/1000000)+(31*0.2374*100000/1000000)</f>
        <v>1.2911152800000001</v>
      </c>
      <c r="Y733" s="57"/>
      <c r="Z733" s="10"/>
      <c r="AA733" s="56"/>
      <c r="AB733" s="50">
        <f>(B733*122.58+C733*297.941+D733*89.177+E733*40.302+F733*40+G733*160+H733*0+I733*100+J733*300)/(122.58+297.941+89.177+40.302+0+40+160+100+300)</f>
        <v>46.947199589826091</v>
      </c>
      <c r="AC733" s="45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46.514525179856115</v>
      </c>
    </row>
    <row r="734" spans="1:29" ht="15.75" x14ac:dyDescent="0.25">
      <c r="A734" s="13">
        <v>63248</v>
      </c>
      <c r="B734" s="10">
        <f>CHOOSE(CONTROL!$C$42, 47.773, 47.773) * CHOOSE(CONTROL!$C$21, $C$9, 100%, $E$9)</f>
        <v>47.773000000000003</v>
      </c>
      <c r="C734" s="10">
        <f>CHOOSE(CONTROL!$C$42, 47.778, 47.778) * CHOOSE(CONTROL!$C$21, $C$9, 100%, $E$9)</f>
        <v>47.777999999999999</v>
      </c>
      <c r="D734" s="10">
        <f>CHOOSE(CONTROL!$C$42, 47.8351, 47.8351) * CHOOSE(CONTROL!$C$21, $C$9, 100%, $E$9)</f>
        <v>47.835099999999997</v>
      </c>
      <c r="E734" s="10">
        <f>CHOOSE(CONTROL!$C$42, 47.8688, 47.8688) * CHOOSE(CONTROL!$C$21, $C$9, 100%, $E$9)</f>
        <v>47.8688</v>
      </c>
      <c r="F734" s="10">
        <f>CHOOSE(CONTROL!$C$42, 47.771, 47.771)*CHOOSE(CONTROL!$C$21, $C$9, 100%, $E$9)</f>
        <v>47.771000000000001</v>
      </c>
      <c r="G734" s="10">
        <f>CHOOSE(CONTROL!$C$42, 47.7856, 47.7856)*CHOOSE(CONTROL!$C$21, $C$9, 100%, $E$9)</f>
        <v>47.785600000000002</v>
      </c>
      <c r="H734" s="10">
        <f>CHOOSE(CONTROL!$C$42, 47.858, 47.858) * CHOOSE(CONTROL!$C$21, $C$9, 100%, $E$9)</f>
        <v>47.857999999999997</v>
      </c>
      <c r="I734" s="10">
        <f>CHOOSE(CONTROL!$C$42, 47.7838, 47.7838)* CHOOSE(CONTROL!$C$21, $C$9, 100%, $E$9)</f>
        <v>47.783799999999999</v>
      </c>
      <c r="J734" s="10">
        <f>CHOOSE(CONTROL!$C$42, 47.764, 47.764)* CHOOSE(CONTROL!$C$21, $C$9, 100%, $E$9)</f>
        <v>47.764000000000003</v>
      </c>
      <c r="K734" s="53">
        <f>CHOOSE(CONTROL!$C$42, 47.7799, 47.7799) * CHOOSE(CONTROL!$C$21, $C$9, 100%, $E$9)</f>
        <v>47.779899999999998</v>
      </c>
      <c r="L734" s="10">
        <f>CHOOSE(CONTROL!$C$42, 48.445, 48.445) * CHOOSE(CONTROL!$C$21, $C$9, 100%, $E$9)</f>
        <v>48.445</v>
      </c>
      <c r="M734" s="10">
        <f>CHOOSE(CONTROL!$C$42, 47.2958, 47.2958) * CHOOSE(CONTROL!$C$21, $C$9, 100%, $E$9)</f>
        <v>47.2958</v>
      </c>
      <c r="N734" s="10">
        <f>CHOOSE(CONTROL!$C$42, 47.3103, 47.3103) * CHOOSE(CONTROL!$C$21, $C$9, 100%, $E$9)</f>
        <v>47.310299999999998</v>
      </c>
      <c r="O734" s="10">
        <f>CHOOSE(CONTROL!$C$42, 47.3889, 47.3889) * CHOOSE(CONTROL!$C$21, $C$9, 100%, $E$9)</f>
        <v>47.3889</v>
      </c>
      <c r="P734" s="10">
        <f>CHOOSE(CONTROL!$C$42, 47.3155, 47.3155) * CHOOSE(CONTROL!$C$21, $C$9, 100%, $E$9)</f>
        <v>47.3155</v>
      </c>
      <c r="Q734" s="10">
        <f>CHOOSE(CONTROL!$C$42, 47.9842, 47.9842) * CHOOSE(CONTROL!$C$21, $C$9, 100%, $E$9)</f>
        <v>47.984200000000001</v>
      </c>
      <c r="R734" s="10">
        <f>CHOOSE(CONTROL!$C$42, 48.6911, 48.6911) * CHOOSE(CONTROL!$C$21, $C$9, 100%, $E$9)</f>
        <v>48.691099999999999</v>
      </c>
      <c r="S734" s="10">
        <f>CHOOSE(CONTROL!$C$42, 46.3903, 46.3903) * CHOOSE(CONTROL!$C$21, $C$9, 100%, $E$9)</f>
        <v>46.390300000000003</v>
      </c>
      <c r="T7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57">
        <f>(1000*CHOOSE(CONTROL!$C$42, 695, 695)*CHOOSE(CONTROL!$C$42, 0.5599, 0.5599)*CHOOSE(CONTROL!$C$42, 28, 28))/1000000</f>
        <v>10.895653999999999</v>
      </c>
      <c r="V734" s="57">
        <f>(1000*CHOOSE(CONTROL!$C$42, 500, 500)*CHOOSE(CONTROL!$C$42, 0.275, 0.275)*CHOOSE(CONTROL!$C$42, 28, 28))/1000000</f>
        <v>3.85</v>
      </c>
      <c r="W734" s="57">
        <f>(1000*CHOOSE(CONTROL!$C$42, 0.1146, 0.1146)*CHOOSE(CONTROL!$C$42, 121.5, 121.5)*CHOOSE(CONTROL!$C$42, 28, 28))/1000000</f>
        <v>0.38986920000000003</v>
      </c>
      <c r="X734" s="57">
        <f>(28*0.1790888*100000/1000000)+(28*0.2374*100000/1000000)</f>
        <v>1.16616864</v>
      </c>
      <c r="Y734" s="57"/>
      <c r="Z734" s="10"/>
      <c r="AA734" s="56"/>
      <c r="AB734" s="50">
        <f>(B734*122.58+C734*297.941+D734*89.177+E734*40.302+F734*40+G734*160+H734*0+I734*100+J734*300)/(122.58+297.941+89.177+40.302+0+40+160+100+300)</f>
        <v>47.782743068086958</v>
      </c>
      <c r="AC734" s="45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47.341665467625909</v>
      </c>
    </row>
    <row r="735" spans="1:29" ht="15.75" x14ac:dyDescent="0.25">
      <c r="A735" s="13">
        <v>63279</v>
      </c>
      <c r="B735" s="10">
        <f>CHOOSE(CONTROL!$C$42, 46.4168, 46.4168) * CHOOSE(CONTROL!$C$21, $C$9, 100%, $E$9)</f>
        <v>46.416800000000002</v>
      </c>
      <c r="C735" s="10">
        <f>CHOOSE(CONTROL!$C$42, 46.4218, 46.4218) * CHOOSE(CONTROL!$C$21, $C$9, 100%, $E$9)</f>
        <v>46.421799999999998</v>
      </c>
      <c r="D735" s="10">
        <f>CHOOSE(CONTROL!$C$42, 46.4788, 46.4788) * CHOOSE(CONTROL!$C$21, $C$9, 100%, $E$9)</f>
        <v>46.4788</v>
      </c>
      <c r="E735" s="10">
        <f>CHOOSE(CONTROL!$C$42, 46.5126, 46.5126) * CHOOSE(CONTROL!$C$21, $C$9, 100%, $E$9)</f>
        <v>46.512599999999999</v>
      </c>
      <c r="F735" s="10">
        <f>CHOOSE(CONTROL!$C$42, 46.4146, 46.4146)*CHOOSE(CONTROL!$C$21, $C$9, 100%, $E$9)</f>
        <v>46.4146</v>
      </c>
      <c r="G735" s="10">
        <f>CHOOSE(CONTROL!$C$42, 46.4292, 46.4292)*CHOOSE(CONTROL!$C$21, $C$9, 100%, $E$9)</f>
        <v>46.429200000000002</v>
      </c>
      <c r="H735" s="10">
        <f>CHOOSE(CONTROL!$C$42, 46.5018, 46.5018) * CHOOSE(CONTROL!$C$21, $C$9, 100%, $E$9)</f>
        <v>46.501800000000003</v>
      </c>
      <c r="I735" s="10">
        <f>CHOOSE(CONTROL!$C$42, 46.4276, 46.4276)* CHOOSE(CONTROL!$C$21, $C$9, 100%, $E$9)</f>
        <v>46.427599999999998</v>
      </c>
      <c r="J735" s="10">
        <f>CHOOSE(CONTROL!$C$42, 46.4076, 46.4076)* CHOOSE(CONTROL!$C$21, $C$9, 100%, $E$9)</f>
        <v>46.407600000000002</v>
      </c>
      <c r="K735" s="53">
        <f>CHOOSE(CONTROL!$C$42, 46.4237, 46.4237) * CHOOSE(CONTROL!$C$21, $C$9, 100%, $E$9)</f>
        <v>46.423699999999997</v>
      </c>
      <c r="L735" s="10">
        <f>CHOOSE(CONTROL!$C$42, 47.0888, 47.0888) * CHOOSE(CONTROL!$C$21, $C$9, 100%, $E$9)</f>
        <v>47.088799999999999</v>
      </c>
      <c r="M735" s="10">
        <f>CHOOSE(CONTROL!$C$42, 45.9531, 45.9531) * CHOOSE(CONTROL!$C$21, $C$9, 100%, $E$9)</f>
        <v>45.953099999999999</v>
      </c>
      <c r="N735" s="10">
        <f>CHOOSE(CONTROL!$C$42, 45.9676, 45.9676) * CHOOSE(CONTROL!$C$21, $C$9, 100%, $E$9)</f>
        <v>45.967599999999997</v>
      </c>
      <c r="O735" s="10">
        <f>CHOOSE(CONTROL!$C$42, 46.0463, 46.0463) * CHOOSE(CONTROL!$C$21, $C$9, 100%, $E$9)</f>
        <v>46.046300000000002</v>
      </c>
      <c r="P735" s="10">
        <f>CHOOSE(CONTROL!$C$42, 45.9729, 45.9729) * CHOOSE(CONTROL!$C$21, $C$9, 100%, $E$9)</f>
        <v>45.972900000000003</v>
      </c>
      <c r="Q735" s="10">
        <f>CHOOSE(CONTROL!$C$42, 46.6416, 46.6416) * CHOOSE(CONTROL!$C$21, $C$9, 100%, $E$9)</f>
        <v>46.641599999999997</v>
      </c>
      <c r="R735" s="10">
        <f>CHOOSE(CONTROL!$C$42, 47.3453, 47.3453) * CHOOSE(CONTROL!$C$21, $C$9, 100%, $E$9)</f>
        <v>47.345300000000002</v>
      </c>
      <c r="S735" s="10">
        <f>CHOOSE(CONTROL!$C$42, 45.0732, 45.0732) * CHOOSE(CONTROL!$C$21, $C$9, 100%, $E$9)</f>
        <v>45.0732</v>
      </c>
      <c r="T7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57">
        <f>(1000*CHOOSE(CONTROL!$C$42, 695, 695)*CHOOSE(CONTROL!$C$42, 0.5599, 0.5599)*CHOOSE(CONTROL!$C$42, 31, 31))/1000000</f>
        <v>12.063045499999998</v>
      </c>
      <c r="V735" s="57">
        <f>(1000*CHOOSE(CONTROL!$C$42, 500, 500)*CHOOSE(CONTROL!$C$42, 0.275, 0.275)*CHOOSE(CONTROL!$C$42, 31, 31))/1000000</f>
        <v>4.2625000000000002</v>
      </c>
      <c r="W735" s="57">
        <f>(1000*CHOOSE(CONTROL!$C$42, 0.1146, 0.1146)*CHOOSE(CONTROL!$C$42, 121.5, 121.5)*CHOOSE(CONTROL!$C$42, 31, 31))/1000000</f>
        <v>0.43164089999999994</v>
      </c>
      <c r="X735" s="57">
        <f>(31*0.1790888*100000/1000000)+(31*0.2374*100000/1000000)</f>
        <v>1.2911152800000001</v>
      </c>
      <c r="Y735" s="57"/>
      <c r="Z735" s="10"/>
      <c r="AA735" s="56"/>
      <c r="AB735" s="50">
        <f>(B735*122.58+C735*297.941+D735*89.177+E735*40.302+F735*40+G735*160+H735*0+I735*100+J735*300)/(122.58+297.941+89.177+40.302+0+40+160+100+300)</f>
        <v>46.426448357043476</v>
      </c>
      <c r="AC735" s="45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45.999025179856119</v>
      </c>
    </row>
    <row r="736" spans="1:29" ht="15.75" x14ac:dyDescent="0.25">
      <c r="A736" s="13">
        <v>63309</v>
      </c>
      <c r="B736" s="10">
        <f>CHOOSE(CONTROL!$C$42, 46.279, 46.279) * CHOOSE(CONTROL!$C$21, $C$9, 100%, $E$9)</f>
        <v>46.279000000000003</v>
      </c>
      <c r="C736" s="10">
        <f>CHOOSE(CONTROL!$C$42, 46.2834, 46.2834) * CHOOSE(CONTROL!$C$21, $C$9, 100%, $E$9)</f>
        <v>46.2834</v>
      </c>
      <c r="D736" s="10">
        <f>CHOOSE(CONTROL!$C$42, 46.4893, 46.4893) * CHOOSE(CONTROL!$C$21, $C$9, 100%, $E$9)</f>
        <v>46.4893</v>
      </c>
      <c r="E736" s="10">
        <f>CHOOSE(CONTROL!$C$42, 46.521, 46.521) * CHOOSE(CONTROL!$C$21, $C$9, 100%, $E$9)</f>
        <v>46.521000000000001</v>
      </c>
      <c r="F736" s="10">
        <f>CHOOSE(CONTROL!$C$42, 46.2558, 46.2558)*CHOOSE(CONTROL!$C$21, $C$9, 100%, $E$9)</f>
        <v>46.255800000000001</v>
      </c>
      <c r="G736" s="10">
        <f>CHOOSE(CONTROL!$C$42, 46.2703, 46.2703)*CHOOSE(CONTROL!$C$21, $C$9, 100%, $E$9)</f>
        <v>46.270299999999999</v>
      </c>
      <c r="H736" s="10">
        <f>CHOOSE(CONTROL!$C$42, 46.5108, 46.5108) * CHOOSE(CONTROL!$C$21, $C$9, 100%, $E$9)</f>
        <v>46.510800000000003</v>
      </c>
      <c r="I736" s="10">
        <f>CHOOSE(CONTROL!$C$42, 46.2804, 46.2804)* CHOOSE(CONTROL!$C$21, $C$9, 100%, $E$9)</f>
        <v>46.2804</v>
      </c>
      <c r="J736" s="10">
        <f>CHOOSE(CONTROL!$C$42, 46.2488, 46.2488)* CHOOSE(CONTROL!$C$21, $C$9, 100%, $E$9)</f>
        <v>46.248800000000003</v>
      </c>
      <c r="K736" s="53">
        <f>CHOOSE(CONTROL!$C$42, 46.2766, 46.2766) * CHOOSE(CONTROL!$C$21, $C$9, 100%, $E$9)</f>
        <v>46.276600000000002</v>
      </c>
      <c r="L736" s="10">
        <f>CHOOSE(CONTROL!$C$42, 47.0978, 47.0978) * CHOOSE(CONTROL!$C$21, $C$9, 100%, $E$9)</f>
        <v>47.097799999999999</v>
      </c>
      <c r="M736" s="10">
        <f>CHOOSE(CONTROL!$C$42, 45.7959, 45.7959) * CHOOSE(CONTROL!$C$21, $C$9, 100%, $E$9)</f>
        <v>45.795900000000003</v>
      </c>
      <c r="N736" s="10">
        <f>CHOOSE(CONTROL!$C$42, 45.8102, 45.8102) * CHOOSE(CONTROL!$C$21, $C$9, 100%, $E$9)</f>
        <v>45.810200000000002</v>
      </c>
      <c r="O736" s="10">
        <f>CHOOSE(CONTROL!$C$42, 46.0553, 46.0553) * CHOOSE(CONTROL!$C$21, $C$9, 100%, $E$9)</f>
        <v>46.055300000000003</v>
      </c>
      <c r="P736" s="10">
        <f>CHOOSE(CONTROL!$C$42, 45.8273, 45.8273) * CHOOSE(CONTROL!$C$21, $C$9, 100%, $E$9)</f>
        <v>45.827300000000001</v>
      </c>
      <c r="Q736" s="10">
        <f>CHOOSE(CONTROL!$C$42, 46.6506, 46.6506) * CHOOSE(CONTROL!$C$21, $C$9, 100%, $E$9)</f>
        <v>46.650599999999997</v>
      </c>
      <c r="R736" s="10">
        <f>CHOOSE(CONTROL!$C$42, 47.3542, 47.3542) * CHOOSE(CONTROL!$C$21, $C$9, 100%, $E$9)</f>
        <v>47.354199999999999</v>
      </c>
      <c r="S736" s="10">
        <f>CHOOSE(CONTROL!$C$42, 44.9387, 44.9387) * CHOOSE(CONTROL!$C$21, $C$9, 100%, $E$9)</f>
        <v>44.938699999999997</v>
      </c>
      <c r="T7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57">
        <f>(1000*CHOOSE(CONTROL!$C$42, 695, 695)*CHOOSE(CONTROL!$C$42, 0.5599, 0.5599)*CHOOSE(CONTROL!$C$42, 30, 30))/1000000</f>
        <v>11.673914999999997</v>
      </c>
      <c r="V736" s="57">
        <f>(1000*CHOOSE(CONTROL!$C$42, 500, 500)*CHOOSE(CONTROL!$C$42, 0.275, 0.275)*CHOOSE(CONTROL!$C$42, 30, 30))/1000000</f>
        <v>4.125</v>
      </c>
      <c r="W736" s="57">
        <f>(1000*CHOOSE(CONTROL!$C$42, 0.1146, 0.1146)*CHOOSE(CONTROL!$C$42, 121.5, 121.5)*CHOOSE(CONTROL!$C$42, 30, 30))/1000000</f>
        <v>0.417717</v>
      </c>
      <c r="X736" s="57">
        <f>(30*0.1790888*245000/1000000)+(30*0.2374*100000/1000000)</f>
        <v>2.0285026799999999</v>
      </c>
      <c r="Y736" s="57"/>
      <c r="Z736" s="10"/>
      <c r="AA736" s="56"/>
      <c r="AB736" s="50">
        <f>(B736*141.293+C736*267.993+D736*115.016+E736*89.698+F736*40+G736*185+H736*0+I736*100+J736*300)/(141.293+267.993+115.016+89.698+0+40+185+100+300)</f>
        <v>46.307746125907997</v>
      </c>
      <c r="AC736" s="45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45.918810791366909</v>
      </c>
    </row>
    <row r="737" spans="1:29" ht="15.75" x14ac:dyDescent="0.25">
      <c r="A737" s="13">
        <v>63340</v>
      </c>
      <c r="B737" s="10">
        <f>CHOOSE(CONTROL!$C$42, 46.6888, 46.6888) * CHOOSE(CONTROL!$C$21, $C$9, 100%, $E$9)</f>
        <v>46.688800000000001</v>
      </c>
      <c r="C737" s="10">
        <f>CHOOSE(CONTROL!$C$42, 46.6967, 46.6967) * CHOOSE(CONTROL!$C$21, $C$9, 100%, $E$9)</f>
        <v>46.6967</v>
      </c>
      <c r="D737" s="10">
        <f>CHOOSE(CONTROL!$C$42, 46.8995, 46.8995) * CHOOSE(CONTROL!$C$21, $C$9, 100%, $E$9)</f>
        <v>46.899500000000003</v>
      </c>
      <c r="E737" s="10">
        <f>CHOOSE(CONTROL!$C$42, 46.9306, 46.9306) * CHOOSE(CONTROL!$C$21, $C$9, 100%, $E$9)</f>
        <v>46.930599999999998</v>
      </c>
      <c r="F737" s="10">
        <f>CHOOSE(CONTROL!$C$42, 46.6645, 46.6645)*CHOOSE(CONTROL!$C$21, $C$9, 100%, $E$9)</f>
        <v>46.664499999999997</v>
      </c>
      <c r="G737" s="10">
        <f>CHOOSE(CONTROL!$C$42, 46.6796, 46.6796)*CHOOSE(CONTROL!$C$21, $C$9, 100%, $E$9)</f>
        <v>46.679600000000001</v>
      </c>
      <c r="H737" s="10">
        <f>CHOOSE(CONTROL!$C$42, 46.9193, 46.9193) * CHOOSE(CONTROL!$C$21, $C$9, 100%, $E$9)</f>
        <v>46.9193</v>
      </c>
      <c r="I737" s="10">
        <f>CHOOSE(CONTROL!$C$42, 46.6889, 46.6889)* CHOOSE(CONTROL!$C$21, $C$9, 100%, $E$9)</f>
        <v>46.688899999999997</v>
      </c>
      <c r="J737" s="10">
        <f>CHOOSE(CONTROL!$C$42, 46.6575, 46.6575)* CHOOSE(CONTROL!$C$21, $C$9, 100%, $E$9)</f>
        <v>46.657499999999999</v>
      </c>
      <c r="K737" s="53">
        <f>CHOOSE(CONTROL!$C$42, 46.685, 46.685) * CHOOSE(CONTROL!$C$21, $C$9, 100%, $E$9)</f>
        <v>46.685000000000002</v>
      </c>
      <c r="L737" s="10">
        <f>CHOOSE(CONTROL!$C$42, 47.5063, 47.5063) * CHOOSE(CONTROL!$C$21, $C$9, 100%, $E$9)</f>
        <v>47.506300000000003</v>
      </c>
      <c r="M737" s="10">
        <f>CHOOSE(CONTROL!$C$42, 46.2005, 46.2005) * CHOOSE(CONTROL!$C$21, $C$9, 100%, $E$9)</f>
        <v>46.200499999999998</v>
      </c>
      <c r="N737" s="10">
        <f>CHOOSE(CONTROL!$C$42, 46.2154, 46.2154) * CHOOSE(CONTROL!$C$21, $C$9, 100%, $E$9)</f>
        <v>46.215400000000002</v>
      </c>
      <c r="O737" s="10">
        <f>CHOOSE(CONTROL!$C$42, 46.4596, 46.4596) * CHOOSE(CONTROL!$C$21, $C$9, 100%, $E$9)</f>
        <v>46.459600000000002</v>
      </c>
      <c r="P737" s="10">
        <f>CHOOSE(CONTROL!$C$42, 46.2316, 46.2316) * CHOOSE(CONTROL!$C$21, $C$9, 100%, $E$9)</f>
        <v>46.2316</v>
      </c>
      <c r="Q737" s="10">
        <f>CHOOSE(CONTROL!$C$42, 47.0549, 47.0549) * CHOOSE(CONTROL!$C$21, $C$9, 100%, $E$9)</f>
        <v>47.054900000000004</v>
      </c>
      <c r="R737" s="10">
        <f>CHOOSE(CONTROL!$C$42, 47.7595, 47.7595) * CHOOSE(CONTROL!$C$21, $C$9, 100%, $E$9)</f>
        <v>47.759500000000003</v>
      </c>
      <c r="S737" s="10">
        <f>CHOOSE(CONTROL!$C$42, 45.3353, 45.3353) * CHOOSE(CONTROL!$C$21, $C$9, 100%, $E$9)</f>
        <v>45.335299999999997</v>
      </c>
      <c r="T7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57">
        <f>(1000*CHOOSE(CONTROL!$C$42, 695, 695)*CHOOSE(CONTROL!$C$42, 0.5599, 0.5599)*CHOOSE(CONTROL!$C$42, 31, 31))/1000000</f>
        <v>12.063045499999998</v>
      </c>
      <c r="V737" s="57">
        <f>(1000*CHOOSE(CONTROL!$C$42, 500, 500)*CHOOSE(CONTROL!$C$42, 0.275, 0.275)*CHOOSE(CONTROL!$C$42, 31, 31))/1000000</f>
        <v>4.2625000000000002</v>
      </c>
      <c r="W737" s="57">
        <f>(1000*CHOOSE(CONTROL!$C$42, 0.1146, 0.1146)*CHOOSE(CONTROL!$C$42, 121.5, 121.5)*CHOOSE(CONTROL!$C$42, 31, 31))/1000000</f>
        <v>0.43164089999999994</v>
      </c>
      <c r="X737" s="57">
        <f>(31*0.1790888*245000/1000000)+(31*0.2374*100000/1000000)</f>
        <v>2.0961194359999999</v>
      </c>
      <c r="Y737" s="57"/>
      <c r="Z737" s="10"/>
      <c r="AA737" s="56"/>
      <c r="AB737" s="50">
        <f>(B737*194.205+C737*267.466+D737*133.845+E737*53.484+F737*40+G737*185+H737*0+I737*100+J737*300)/(194.205+267.466+133.845+53.484+0+40+185+100+300)</f>
        <v>46.713283951412876</v>
      </c>
      <c r="AC737" s="45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46.323266187050365</v>
      </c>
    </row>
    <row r="738" spans="1:29" ht="15.75" x14ac:dyDescent="0.25">
      <c r="A738" s="13">
        <v>63370</v>
      </c>
      <c r="B738" s="10">
        <f>CHOOSE(CONTROL!$C$42, 48.0131, 48.0131) * CHOOSE(CONTROL!$C$21, $C$9, 100%, $E$9)</f>
        <v>48.013100000000001</v>
      </c>
      <c r="C738" s="10">
        <f>CHOOSE(CONTROL!$C$42, 48.021, 48.021) * CHOOSE(CONTROL!$C$21, $C$9, 100%, $E$9)</f>
        <v>48.021000000000001</v>
      </c>
      <c r="D738" s="10">
        <f>CHOOSE(CONTROL!$C$42, 48.2237, 48.2237) * CHOOSE(CONTROL!$C$21, $C$9, 100%, $E$9)</f>
        <v>48.223700000000001</v>
      </c>
      <c r="E738" s="10">
        <f>CHOOSE(CONTROL!$C$42, 48.2549, 48.2549) * CHOOSE(CONTROL!$C$21, $C$9, 100%, $E$9)</f>
        <v>48.254899999999999</v>
      </c>
      <c r="F738" s="10">
        <f>CHOOSE(CONTROL!$C$42, 47.9893, 47.9893)*CHOOSE(CONTROL!$C$21, $C$9, 100%, $E$9)</f>
        <v>47.9893</v>
      </c>
      <c r="G738" s="10">
        <f>CHOOSE(CONTROL!$C$42, 48.0044, 48.0044)*CHOOSE(CONTROL!$C$21, $C$9, 100%, $E$9)</f>
        <v>48.004399999999997</v>
      </c>
      <c r="H738" s="10">
        <f>CHOOSE(CONTROL!$C$42, 48.2435, 48.2435) * CHOOSE(CONTROL!$C$21, $C$9, 100%, $E$9)</f>
        <v>48.243499999999997</v>
      </c>
      <c r="I738" s="10">
        <f>CHOOSE(CONTROL!$C$42, 48.0131, 48.0131)* CHOOSE(CONTROL!$C$21, $C$9, 100%, $E$9)</f>
        <v>48.013100000000001</v>
      </c>
      <c r="J738" s="10">
        <f>CHOOSE(CONTROL!$C$42, 47.9823, 47.9823)* CHOOSE(CONTROL!$C$21, $C$9, 100%, $E$9)</f>
        <v>47.982300000000002</v>
      </c>
      <c r="K738" s="53">
        <f>CHOOSE(CONTROL!$C$42, 48.0092, 48.0092) * CHOOSE(CONTROL!$C$21, $C$9, 100%, $E$9)</f>
        <v>48.0092</v>
      </c>
      <c r="L738" s="10">
        <f>CHOOSE(CONTROL!$C$42, 48.8305, 48.8305) * CHOOSE(CONTROL!$C$21, $C$9, 100%, $E$9)</f>
        <v>48.830500000000001</v>
      </c>
      <c r="M738" s="10">
        <f>CHOOSE(CONTROL!$C$42, 47.5119, 47.5119) * CHOOSE(CONTROL!$C$21, $C$9, 100%, $E$9)</f>
        <v>47.511899999999997</v>
      </c>
      <c r="N738" s="10">
        <f>CHOOSE(CONTROL!$C$42, 47.5269, 47.5269) * CHOOSE(CONTROL!$C$21, $C$9, 100%, $E$9)</f>
        <v>47.526899999999998</v>
      </c>
      <c r="O738" s="10">
        <f>CHOOSE(CONTROL!$C$42, 47.7705, 47.7705) * CHOOSE(CONTROL!$C$21, $C$9, 100%, $E$9)</f>
        <v>47.770499999999998</v>
      </c>
      <c r="P738" s="10">
        <f>CHOOSE(CONTROL!$C$42, 47.5424, 47.5424) * CHOOSE(CONTROL!$C$21, $C$9, 100%, $E$9)</f>
        <v>47.542400000000001</v>
      </c>
      <c r="Q738" s="10">
        <f>CHOOSE(CONTROL!$C$42, 48.3658, 48.3658) * CHOOSE(CONTROL!$C$21, $C$9, 100%, $E$9)</f>
        <v>48.3658</v>
      </c>
      <c r="R738" s="10">
        <f>CHOOSE(CONTROL!$C$42, 49.0737, 49.0737) * CHOOSE(CONTROL!$C$21, $C$9, 100%, $E$9)</f>
        <v>49.073700000000002</v>
      </c>
      <c r="S738" s="10">
        <f>CHOOSE(CONTROL!$C$42, 46.6212, 46.6212) * CHOOSE(CONTROL!$C$21, $C$9, 100%, $E$9)</f>
        <v>46.621200000000002</v>
      </c>
      <c r="T7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57">
        <f>(1000*CHOOSE(CONTROL!$C$42, 695, 695)*CHOOSE(CONTROL!$C$42, 0.5599, 0.5599)*CHOOSE(CONTROL!$C$42, 30, 30))/1000000</f>
        <v>11.673914999999997</v>
      </c>
      <c r="V738" s="57">
        <f>(1000*CHOOSE(CONTROL!$C$42, 500, 500)*CHOOSE(CONTROL!$C$42, 0.275, 0.275)*CHOOSE(CONTROL!$C$42, 30, 30))/1000000</f>
        <v>4.125</v>
      </c>
      <c r="W738" s="57">
        <f>(1000*CHOOSE(CONTROL!$C$42, 0.1146, 0.1146)*CHOOSE(CONTROL!$C$42, 121.5, 121.5)*CHOOSE(CONTROL!$C$42, 30, 30))/1000000</f>
        <v>0.417717</v>
      </c>
      <c r="X738" s="57">
        <f>(30*0.1790888*245000/1000000)+(30*0.2374*100000/1000000)</f>
        <v>2.0285026799999999</v>
      </c>
      <c r="Y738" s="57"/>
      <c r="Z738" s="10"/>
      <c r="AA738" s="56"/>
      <c r="AB738" s="50">
        <f>(B738*194.205+C738*267.466+D738*133.845+E738*53.484+F738*40+G738*185+H738*0+I738*100+J738*300)/(194.205+267.466+133.845+53.484+0+40+185+100+300)</f>
        <v>48.037771640188389</v>
      </c>
      <c r="AC738" s="45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47.634358992805751</v>
      </c>
    </row>
    <row r="739" spans="1:29" ht="15.75" x14ac:dyDescent="0.25">
      <c r="A739" s="13">
        <v>63401</v>
      </c>
      <c r="B739" s="10">
        <f>CHOOSE(CONTROL!$C$42, 47.0921, 47.0921) * CHOOSE(CONTROL!$C$21, $C$9, 100%, $E$9)</f>
        <v>47.092100000000002</v>
      </c>
      <c r="C739" s="10">
        <f>CHOOSE(CONTROL!$C$42, 47.1, 47.1) * CHOOSE(CONTROL!$C$21, $C$9, 100%, $E$9)</f>
        <v>47.1</v>
      </c>
      <c r="D739" s="10">
        <f>CHOOSE(CONTROL!$C$42, 47.3027, 47.3027) * CHOOSE(CONTROL!$C$21, $C$9, 100%, $E$9)</f>
        <v>47.302700000000002</v>
      </c>
      <c r="E739" s="10">
        <f>CHOOSE(CONTROL!$C$42, 47.3338, 47.3338) * CHOOSE(CONTROL!$C$21, $C$9, 100%, $E$9)</f>
        <v>47.333799999999997</v>
      </c>
      <c r="F739" s="10">
        <f>CHOOSE(CONTROL!$C$42, 47.0688, 47.0688)*CHOOSE(CONTROL!$C$21, $C$9, 100%, $E$9)</f>
        <v>47.068800000000003</v>
      </c>
      <c r="G739" s="10">
        <f>CHOOSE(CONTROL!$C$42, 47.0841, 47.0841)*CHOOSE(CONTROL!$C$21, $C$9, 100%, $E$9)</f>
        <v>47.084099999999999</v>
      </c>
      <c r="H739" s="10">
        <f>CHOOSE(CONTROL!$C$42, 47.3225, 47.3225) * CHOOSE(CONTROL!$C$21, $C$9, 100%, $E$9)</f>
        <v>47.322499999999998</v>
      </c>
      <c r="I739" s="10">
        <f>CHOOSE(CONTROL!$C$42, 47.0921, 47.0921)* CHOOSE(CONTROL!$C$21, $C$9, 100%, $E$9)</f>
        <v>47.092100000000002</v>
      </c>
      <c r="J739" s="10">
        <f>CHOOSE(CONTROL!$C$42, 47.0618, 47.0618)* CHOOSE(CONTROL!$C$21, $C$9, 100%, $E$9)</f>
        <v>47.061799999999998</v>
      </c>
      <c r="K739" s="53">
        <f>CHOOSE(CONTROL!$C$42, 47.0882, 47.0882) * CHOOSE(CONTROL!$C$21, $C$9, 100%, $E$9)</f>
        <v>47.088200000000001</v>
      </c>
      <c r="L739" s="10">
        <f>CHOOSE(CONTROL!$C$42, 47.9095, 47.9095) * CHOOSE(CONTROL!$C$21, $C$9, 100%, $E$9)</f>
        <v>47.909500000000001</v>
      </c>
      <c r="M739" s="10">
        <f>CHOOSE(CONTROL!$C$42, 46.6007, 46.6007) * CHOOSE(CONTROL!$C$21, $C$9, 100%, $E$9)</f>
        <v>46.600700000000003</v>
      </c>
      <c r="N739" s="10">
        <f>CHOOSE(CONTROL!$C$42, 46.6158, 46.6158) * CHOOSE(CONTROL!$C$21, $C$9, 100%, $E$9)</f>
        <v>46.6158</v>
      </c>
      <c r="O739" s="10">
        <f>CHOOSE(CONTROL!$C$42, 46.8587, 46.8587) * CHOOSE(CONTROL!$C$21, $C$9, 100%, $E$9)</f>
        <v>46.858699999999999</v>
      </c>
      <c r="P739" s="10">
        <f>CHOOSE(CONTROL!$C$42, 46.6307, 46.6307) * CHOOSE(CONTROL!$C$21, $C$9, 100%, $E$9)</f>
        <v>46.630699999999997</v>
      </c>
      <c r="Q739" s="10">
        <f>CHOOSE(CONTROL!$C$42, 47.454, 47.454) * CHOOSE(CONTROL!$C$21, $C$9, 100%, $E$9)</f>
        <v>47.454000000000001</v>
      </c>
      <c r="R739" s="10">
        <f>CHOOSE(CONTROL!$C$42, 48.1597, 48.1597) * CHOOSE(CONTROL!$C$21, $C$9, 100%, $E$9)</f>
        <v>48.159700000000001</v>
      </c>
      <c r="S739" s="10">
        <f>CHOOSE(CONTROL!$C$42, 45.7268, 45.7268) * CHOOSE(CONTROL!$C$21, $C$9, 100%, $E$9)</f>
        <v>45.726799999999997</v>
      </c>
      <c r="T7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57">
        <f>(1000*CHOOSE(CONTROL!$C$42, 695, 695)*CHOOSE(CONTROL!$C$42, 0.5599, 0.5599)*CHOOSE(CONTROL!$C$42, 31, 31))/1000000</f>
        <v>12.063045499999998</v>
      </c>
      <c r="V739" s="57">
        <f>(1000*CHOOSE(CONTROL!$C$42, 500, 500)*CHOOSE(CONTROL!$C$42, 0.275, 0.275)*CHOOSE(CONTROL!$C$42, 31, 31))/1000000</f>
        <v>4.2625000000000002</v>
      </c>
      <c r="W739" s="57">
        <f>(1000*CHOOSE(CONTROL!$C$42, 0.1146, 0.1146)*CHOOSE(CONTROL!$C$42, 121.5, 121.5)*CHOOSE(CONTROL!$C$42, 31, 31))/1000000</f>
        <v>0.43164089999999994</v>
      </c>
      <c r="X739" s="57">
        <f>(31*0.1790888*245000/1000000)+(31*0.2374*100000/1000000)</f>
        <v>2.0961194359999999</v>
      </c>
      <c r="Y739" s="57"/>
      <c r="Z739" s="10"/>
      <c r="AA739" s="56"/>
      <c r="AB739" s="50">
        <f>(B739*194.205+C739*267.466+D739*133.845+E739*53.484+F739*40+G739*185+H739*0+I739*100+J739*300)/(194.205+267.466+133.845+53.484+0+40+185+100+300)</f>
        <v>47.117002528414439</v>
      </c>
      <c r="AC739" s="45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46.722820863309359</v>
      </c>
    </row>
    <row r="740" spans="1:29" ht="15.75" x14ac:dyDescent="0.25">
      <c r="A740" s="13">
        <v>63432</v>
      </c>
      <c r="B740" s="10">
        <f>CHOOSE(CONTROL!$C$42, 44.7662, 44.7662) * CHOOSE(CONTROL!$C$21, $C$9, 100%, $E$9)</f>
        <v>44.766199999999998</v>
      </c>
      <c r="C740" s="10">
        <f>CHOOSE(CONTROL!$C$42, 44.7741, 44.7741) * CHOOSE(CONTROL!$C$21, $C$9, 100%, $E$9)</f>
        <v>44.774099999999997</v>
      </c>
      <c r="D740" s="10">
        <f>CHOOSE(CONTROL!$C$42, 44.9768, 44.9768) * CHOOSE(CONTROL!$C$21, $C$9, 100%, $E$9)</f>
        <v>44.976799999999997</v>
      </c>
      <c r="E740" s="10">
        <f>CHOOSE(CONTROL!$C$42, 45.008, 45.008) * CHOOSE(CONTROL!$C$21, $C$9, 100%, $E$9)</f>
        <v>45.008000000000003</v>
      </c>
      <c r="F740" s="10">
        <f>CHOOSE(CONTROL!$C$42, 44.7431, 44.7431)*CHOOSE(CONTROL!$C$21, $C$9, 100%, $E$9)</f>
        <v>44.743099999999998</v>
      </c>
      <c r="G740" s="10">
        <f>CHOOSE(CONTROL!$C$42, 44.7585, 44.7585)*CHOOSE(CONTROL!$C$21, $C$9, 100%, $E$9)</f>
        <v>44.758499999999998</v>
      </c>
      <c r="H740" s="10">
        <f>CHOOSE(CONTROL!$C$42, 44.9966, 44.9966) * CHOOSE(CONTROL!$C$21, $C$9, 100%, $E$9)</f>
        <v>44.996600000000001</v>
      </c>
      <c r="I740" s="10">
        <f>CHOOSE(CONTROL!$C$42, 44.7662, 44.7662)* CHOOSE(CONTROL!$C$21, $C$9, 100%, $E$9)</f>
        <v>44.766199999999998</v>
      </c>
      <c r="J740" s="10">
        <f>CHOOSE(CONTROL!$C$42, 44.7361, 44.7361)* CHOOSE(CONTROL!$C$21, $C$9, 100%, $E$9)</f>
        <v>44.7361</v>
      </c>
      <c r="K740" s="53">
        <f>CHOOSE(CONTROL!$C$42, 44.7623, 44.7623) * CHOOSE(CONTROL!$C$21, $C$9, 100%, $E$9)</f>
        <v>44.762300000000003</v>
      </c>
      <c r="L740" s="10">
        <f>CHOOSE(CONTROL!$C$42, 45.5836, 45.5836) * CHOOSE(CONTROL!$C$21, $C$9, 100%, $E$9)</f>
        <v>45.583599999999997</v>
      </c>
      <c r="M740" s="10">
        <f>CHOOSE(CONTROL!$C$42, 44.2985, 44.2985) * CHOOSE(CONTROL!$C$21, $C$9, 100%, $E$9)</f>
        <v>44.298499999999997</v>
      </c>
      <c r="N740" s="10">
        <f>CHOOSE(CONTROL!$C$42, 44.3137, 44.3137) * CHOOSE(CONTROL!$C$21, $C$9, 100%, $E$9)</f>
        <v>44.313699999999997</v>
      </c>
      <c r="O740" s="10">
        <f>CHOOSE(CONTROL!$C$42, 44.5564, 44.5564) * CHOOSE(CONTROL!$C$21, $C$9, 100%, $E$9)</f>
        <v>44.556399999999996</v>
      </c>
      <c r="P740" s="10">
        <f>CHOOSE(CONTROL!$C$42, 44.3283, 44.3283) * CHOOSE(CONTROL!$C$21, $C$9, 100%, $E$9)</f>
        <v>44.328299999999999</v>
      </c>
      <c r="Q740" s="10">
        <f>CHOOSE(CONTROL!$C$42, 45.1517, 45.1517) * CHOOSE(CONTROL!$C$21, $C$9, 100%, $E$9)</f>
        <v>45.151699999999998</v>
      </c>
      <c r="R740" s="10">
        <f>CHOOSE(CONTROL!$C$42, 45.8515, 45.8515) * CHOOSE(CONTROL!$C$21, $C$9, 100%, $E$9)</f>
        <v>45.851500000000001</v>
      </c>
      <c r="S740" s="10">
        <f>CHOOSE(CONTROL!$C$42, 43.4682, 43.4682) * CHOOSE(CONTROL!$C$21, $C$9, 100%, $E$9)</f>
        <v>43.468200000000003</v>
      </c>
      <c r="T7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57">
        <f>(1000*CHOOSE(CONTROL!$C$42, 695, 695)*CHOOSE(CONTROL!$C$42, 0.5599, 0.5599)*CHOOSE(CONTROL!$C$42, 31, 31))/1000000</f>
        <v>12.063045499999998</v>
      </c>
      <c r="V740" s="57">
        <f>(1000*CHOOSE(CONTROL!$C$42, 500, 500)*CHOOSE(CONTROL!$C$42, 0.275, 0.275)*CHOOSE(CONTROL!$C$42, 31, 31))/1000000</f>
        <v>4.2625000000000002</v>
      </c>
      <c r="W740" s="57">
        <f>(1000*CHOOSE(CONTROL!$C$42, 0.1146, 0.1146)*CHOOSE(CONTROL!$C$42, 121.5, 121.5)*CHOOSE(CONTROL!$C$42, 31, 31))/1000000</f>
        <v>0.43164089999999994</v>
      </c>
      <c r="X740" s="57">
        <f>(31*0.1790888*245000/1000000)+(31*0.2374*100000/1000000)</f>
        <v>2.0961194359999999</v>
      </c>
      <c r="Y740" s="57"/>
      <c r="Z740" s="10"/>
      <c r="AA740" s="56"/>
      <c r="AB740" s="50">
        <f>(B740*194.205+C740*267.466+D740*133.845+E740*53.484+F740*40+G740*185+H740*0+I740*100+J740*300)/(194.205+267.466+133.845+53.484+0+40+185+100+300)</f>
        <v>44.791203665306121</v>
      </c>
      <c r="AC740" s="45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44.420552517985612</v>
      </c>
    </row>
    <row r="741" spans="1:29" ht="15.75" x14ac:dyDescent="0.25">
      <c r="A741" s="13">
        <v>63462</v>
      </c>
      <c r="B741" s="10">
        <f>CHOOSE(CONTROL!$C$42, 41.924, 41.924) * CHOOSE(CONTROL!$C$21, $C$9, 100%, $E$9)</f>
        <v>41.923999999999999</v>
      </c>
      <c r="C741" s="10">
        <f>CHOOSE(CONTROL!$C$42, 41.932, 41.932) * CHOOSE(CONTROL!$C$21, $C$9, 100%, $E$9)</f>
        <v>41.932000000000002</v>
      </c>
      <c r="D741" s="10">
        <f>CHOOSE(CONTROL!$C$42, 42.1347, 42.1347) * CHOOSE(CONTROL!$C$21, $C$9, 100%, $E$9)</f>
        <v>42.134700000000002</v>
      </c>
      <c r="E741" s="10">
        <f>CHOOSE(CONTROL!$C$42, 42.1658, 42.1658) * CHOOSE(CONTROL!$C$21, $C$9, 100%, $E$9)</f>
        <v>42.165799999999997</v>
      </c>
      <c r="F741" s="10">
        <f>CHOOSE(CONTROL!$C$42, 41.9009, 41.9009)*CHOOSE(CONTROL!$C$21, $C$9, 100%, $E$9)</f>
        <v>41.9009</v>
      </c>
      <c r="G741" s="10">
        <f>CHOOSE(CONTROL!$C$42, 41.9161, 41.9161)*CHOOSE(CONTROL!$C$21, $C$9, 100%, $E$9)</f>
        <v>41.9161</v>
      </c>
      <c r="H741" s="10">
        <f>CHOOSE(CONTROL!$C$42, 42.1545, 42.1545) * CHOOSE(CONTROL!$C$21, $C$9, 100%, $E$9)</f>
        <v>42.154499999999999</v>
      </c>
      <c r="I741" s="10">
        <f>CHOOSE(CONTROL!$C$42, 41.9241, 41.9241)* CHOOSE(CONTROL!$C$21, $C$9, 100%, $E$9)</f>
        <v>41.924100000000003</v>
      </c>
      <c r="J741" s="10">
        <f>CHOOSE(CONTROL!$C$42, 41.8939, 41.8939)* CHOOSE(CONTROL!$C$21, $C$9, 100%, $E$9)</f>
        <v>41.893900000000002</v>
      </c>
      <c r="K741" s="53">
        <f>CHOOSE(CONTROL!$C$42, 41.9202, 41.9202) * CHOOSE(CONTROL!$C$21, $C$9, 100%, $E$9)</f>
        <v>41.920200000000001</v>
      </c>
      <c r="L741" s="10">
        <f>CHOOSE(CONTROL!$C$42, 42.7415, 42.7415) * CHOOSE(CONTROL!$C$21, $C$9, 100%, $E$9)</f>
        <v>42.741500000000002</v>
      </c>
      <c r="M741" s="10">
        <f>CHOOSE(CONTROL!$C$42, 41.4849, 41.4849) * CHOOSE(CONTROL!$C$21, $C$9, 100%, $E$9)</f>
        <v>41.484900000000003</v>
      </c>
      <c r="N741" s="10">
        <f>CHOOSE(CONTROL!$C$42, 41.5, 41.5) * CHOOSE(CONTROL!$C$21, $C$9, 100%, $E$9)</f>
        <v>41.5</v>
      </c>
      <c r="O741" s="10">
        <f>CHOOSE(CONTROL!$C$42, 41.7429, 41.7429) * CHOOSE(CONTROL!$C$21, $C$9, 100%, $E$9)</f>
        <v>41.742899999999999</v>
      </c>
      <c r="P741" s="10">
        <f>CHOOSE(CONTROL!$C$42, 41.5149, 41.5149) * CHOOSE(CONTROL!$C$21, $C$9, 100%, $E$9)</f>
        <v>41.514899999999997</v>
      </c>
      <c r="Q741" s="10">
        <f>CHOOSE(CONTROL!$C$42, 42.3382, 42.3382) * CHOOSE(CONTROL!$C$21, $C$9, 100%, $E$9)</f>
        <v>42.338200000000001</v>
      </c>
      <c r="R741" s="10">
        <f>CHOOSE(CONTROL!$C$42, 43.031, 43.031) * CHOOSE(CONTROL!$C$21, $C$9, 100%, $E$9)</f>
        <v>43.030999999999999</v>
      </c>
      <c r="S741" s="10">
        <f>CHOOSE(CONTROL!$C$42, 40.7082, 40.7082) * CHOOSE(CONTROL!$C$21, $C$9, 100%, $E$9)</f>
        <v>40.708199999999998</v>
      </c>
      <c r="T7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57">
        <f>(1000*CHOOSE(CONTROL!$C$42, 695, 695)*CHOOSE(CONTROL!$C$42, 0.5599, 0.5599)*CHOOSE(CONTROL!$C$42, 30, 30))/1000000</f>
        <v>11.673914999999997</v>
      </c>
      <c r="V741" s="57">
        <f>(1000*CHOOSE(CONTROL!$C$42, 500, 500)*CHOOSE(CONTROL!$C$42, 0.275, 0.275)*CHOOSE(CONTROL!$C$42, 30, 30))/1000000</f>
        <v>4.125</v>
      </c>
      <c r="W741" s="57">
        <f>(1000*CHOOSE(CONTROL!$C$42, 0.1146, 0.1146)*CHOOSE(CONTROL!$C$42, 121.5, 121.5)*CHOOSE(CONTROL!$C$42, 30, 30))/1000000</f>
        <v>0.417717</v>
      </c>
      <c r="X741" s="57">
        <f>(30*0.1790888*245000/1000000)+(30*0.2374*100000/1000000)</f>
        <v>2.0285026799999999</v>
      </c>
      <c r="Y741" s="57"/>
      <c r="Z741" s="10"/>
      <c r="AA741" s="56"/>
      <c r="AB741" s="50">
        <f>(B741*194.205+C741*267.466+D741*133.845+E741*53.484+F741*40+G741*185+H741*0+I741*100+J741*300)/(194.205+267.466+133.845+53.484+0+40+185+100+300)</f>
        <v>41.949013972291986</v>
      </c>
      <c r="AC741" s="45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41.607020863309344</v>
      </c>
    </row>
    <row r="742" spans="1:29" ht="15.75" x14ac:dyDescent="0.25">
      <c r="A742" s="13">
        <v>63493</v>
      </c>
      <c r="B742" s="10">
        <f>CHOOSE(CONTROL!$C$42, 41.0712, 41.0712) * CHOOSE(CONTROL!$C$21, $C$9, 100%, $E$9)</f>
        <v>41.071199999999997</v>
      </c>
      <c r="C742" s="10">
        <f>CHOOSE(CONTROL!$C$42, 41.0764, 41.0764) * CHOOSE(CONTROL!$C$21, $C$9, 100%, $E$9)</f>
        <v>41.0764</v>
      </c>
      <c r="D742" s="10">
        <f>CHOOSE(CONTROL!$C$42, 41.2841, 41.2841) * CHOOSE(CONTROL!$C$21, $C$9, 100%, $E$9)</f>
        <v>41.284100000000002</v>
      </c>
      <c r="E742" s="10">
        <f>CHOOSE(CONTROL!$C$42, 41.3129, 41.3129) * CHOOSE(CONTROL!$C$21, $C$9, 100%, $E$9)</f>
        <v>41.312899999999999</v>
      </c>
      <c r="F742" s="10">
        <f>CHOOSE(CONTROL!$C$42, 41.0499, 41.0499)*CHOOSE(CONTROL!$C$21, $C$9, 100%, $E$9)</f>
        <v>41.049900000000001</v>
      </c>
      <c r="G742" s="10">
        <f>CHOOSE(CONTROL!$C$42, 41.0648, 41.0648)*CHOOSE(CONTROL!$C$21, $C$9, 100%, $E$9)</f>
        <v>41.064799999999998</v>
      </c>
      <c r="H742" s="10">
        <f>CHOOSE(CONTROL!$C$42, 41.3033, 41.3033) * CHOOSE(CONTROL!$C$21, $C$9, 100%, $E$9)</f>
        <v>41.3033</v>
      </c>
      <c r="I742" s="10">
        <f>CHOOSE(CONTROL!$C$42, 41.073, 41.073)* CHOOSE(CONTROL!$C$21, $C$9, 100%, $E$9)</f>
        <v>41.073</v>
      </c>
      <c r="J742" s="10">
        <f>CHOOSE(CONTROL!$C$42, 41.0429, 41.0429)* CHOOSE(CONTROL!$C$21, $C$9, 100%, $E$9)</f>
        <v>41.042900000000003</v>
      </c>
      <c r="K742" s="53">
        <f>CHOOSE(CONTROL!$C$42, 41.0691, 41.0691) * CHOOSE(CONTROL!$C$21, $C$9, 100%, $E$9)</f>
        <v>41.069099999999999</v>
      </c>
      <c r="L742" s="10">
        <f>CHOOSE(CONTROL!$C$42, 41.8903, 41.8903) * CHOOSE(CONTROL!$C$21, $C$9, 100%, $E$9)</f>
        <v>41.890300000000003</v>
      </c>
      <c r="M742" s="10">
        <f>CHOOSE(CONTROL!$C$42, 40.6425, 40.6425) * CHOOSE(CONTROL!$C$21, $C$9, 100%, $E$9)</f>
        <v>40.642499999999998</v>
      </c>
      <c r="N742" s="10">
        <f>CHOOSE(CONTROL!$C$42, 40.6573, 40.6573) * CHOOSE(CONTROL!$C$21, $C$9, 100%, $E$9)</f>
        <v>40.657299999999999</v>
      </c>
      <c r="O742" s="10">
        <f>CHOOSE(CONTROL!$C$42, 40.9003, 40.9003) * CHOOSE(CONTROL!$C$21, $C$9, 100%, $E$9)</f>
        <v>40.900300000000001</v>
      </c>
      <c r="P742" s="10">
        <f>CHOOSE(CONTROL!$C$42, 40.6723, 40.6723) * CHOOSE(CONTROL!$C$21, $C$9, 100%, $E$9)</f>
        <v>40.6723</v>
      </c>
      <c r="Q742" s="10">
        <f>CHOOSE(CONTROL!$C$42, 41.4956, 41.4956) * CHOOSE(CONTROL!$C$21, $C$9, 100%, $E$9)</f>
        <v>41.495600000000003</v>
      </c>
      <c r="R742" s="10">
        <f>CHOOSE(CONTROL!$C$42, 42.1864, 42.1864) * CHOOSE(CONTROL!$C$21, $C$9, 100%, $E$9)</f>
        <v>42.186399999999999</v>
      </c>
      <c r="S742" s="10">
        <f>CHOOSE(CONTROL!$C$42, 39.8817, 39.8817) * CHOOSE(CONTROL!$C$21, $C$9, 100%, $E$9)</f>
        <v>39.881700000000002</v>
      </c>
      <c r="T7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57">
        <f>(1000*CHOOSE(CONTROL!$C$42, 695, 695)*CHOOSE(CONTROL!$C$42, 0.5599, 0.5599)*CHOOSE(CONTROL!$C$42, 31, 31))/1000000</f>
        <v>12.063045499999998</v>
      </c>
      <c r="V742" s="57">
        <f>(1000*CHOOSE(CONTROL!$C$42, 500, 500)*CHOOSE(CONTROL!$C$42, 0.275, 0.275)*CHOOSE(CONTROL!$C$42, 31, 31))/1000000</f>
        <v>4.2625000000000002</v>
      </c>
      <c r="W742" s="57">
        <f>(1000*CHOOSE(CONTROL!$C$42, 0.1146, 0.1146)*CHOOSE(CONTROL!$C$42, 121.5, 121.5)*CHOOSE(CONTROL!$C$42, 31, 31))/1000000</f>
        <v>0.43164089999999994</v>
      </c>
      <c r="X742" s="57">
        <f>(31*0.1790888*245000/1000000)+(31*0.2374*100000/1000000)</f>
        <v>2.0961194359999999</v>
      </c>
      <c r="Y742" s="57"/>
      <c r="Z742" s="10"/>
      <c r="AA742" s="56"/>
      <c r="AB742" s="50">
        <f>(B742*131.881+C742*277.167+D742*79.08+E742*125.872+F742*40+G742*185+H742*0+I742*100+J742*300)/(131.881+277.167+79.08+125.872+0+40+185+100+300)</f>
        <v>41.10215614430993</v>
      </c>
      <c r="AC742" s="45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40.764484172661867</v>
      </c>
    </row>
    <row r="743" spans="1:29" ht="15.75" x14ac:dyDescent="0.25">
      <c r="A743" s="13">
        <v>63523</v>
      </c>
      <c r="B743" s="10">
        <f>CHOOSE(CONTROL!$C$42, 42.1527, 42.1527) * CHOOSE(CONTROL!$C$21, $C$9, 100%, $E$9)</f>
        <v>42.152700000000003</v>
      </c>
      <c r="C743" s="10">
        <f>CHOOSE(CONTROL!$C$42, 42.1576, 42.1576) * CHOOSE(CONTROL!$C$21, $C$9, 100%, $E$9)</f>
        <v>42.157600000000002</v>
      </c>
      <c r="D743" s="10">
        <f>CHOOSE(CONTROL!$C$42, 42.2181, 42.2181) * CHOOSE(CONTROL!$C$21, $C$9, 100%, $E$9)</f>
        <v>42.2181</v>
      </c>
      <c r="E743" s="10">
        <f>CHOOSE(CONTROL!$C$42, 42.2519, 42.2519) * CHOOSE(CONTROL!$C$21, $C$9, 100%, $E$9)</f>
        <v>42.251899999999999</v>
      </c>
      <c r="F743" s="10">
        <f>CHOOSE(CONTROL!$C$42, 42.1483, 42.1483)*CHOOSE(CONTROL!$C$21, $C$9, 100%, $E$9)</f>
        <v>42.148299999999999</v>
      </c>
      <c r="G743" s="10">
        <f>CHOOSE(CONTROL!$C$42, 42.1635, 42.1635)*CHOOSE(CONTROL!$C$21, $C$9, 100%, $E$9)</f>
        <v>42.163499999999999</v>
      </c>
      <c r="H743" s="10">
        <f>CHOOSE(CONTROL!$C$42, 42.2411, 42.2411) * CHOOSE(CONTROL!$C$21, $C$9, 100%, $E$9)</f>
        <v>42.241100000000003</v>
      </c>
      <c r="I743" s="10">
        <f>CHOOSE(CONTROL!$C$42, 42.1652, 42.1652)* CHOOSE(CONTROL!$C$21, $C$9, 100%, $E$9)</f>
        <v>42.165199999999999</v>
      </c>
      <c r="J743" s="10">
        <f>CHOOSE(CONTROL!$C$42, 42.1413, 42.1413)* CHOOSE(CONTROL!$C$21, $C$9, 100%, $E$9)</f>
        <v>42.141300000000001</v>
      </c>
      <c r="K743" s="53">
        <f>CHOOSE(CONTROL!$C$42, 42.1613, 42.1613) * CHOOSE(CONTROL!$C$21, $C$9, 100%, $E$9)</f>
        <v>42.161299999999997</v>
      </c>
      <c r="L743" s="10">
        <f>CHOOSE(CONTROL!$C$42, 42.8281, 42.8281) * CHOOSE(CONTROL!$C$21, $C$9, 100%, $E$9)</f>
        <v>42.828099999999999</v>
      </c>
      <c r="M743" s="10">
        <f>CHOOSE(CONTROL!$C$42, 41.7299, 41.7299) * CHOOSE(CONTROL!$C$21, $C$9, 100%, $E$9)</f>
        <v>41.729900000000001</v>
      </c>
      <c r="N743" s="10">
        <f>CHOOSE(CONTROL!$C$42, 41.7449, 41.7449) * CHOOSE(CONTROL!$C$21, $C$9, 100%, $E$9)</f>
        <v>41.744900000000001</v>
      </c>
      <c r="O743" s="10">
        <f>CHOOSE(CONTROL!$C$42, 41.8286, 41.8286) * CHOOSE(CONTROL!$C$21, $C$9, 100%, $E$9)</f>
        <v>41.828600000000002</v>
      </c>
      <c r="P743" s="10">
        <f>CHOOSE(CONTROL!$C$42, 41.7535, 41.7535) * CHOOSE(CONTROL!$C$21, $C$9, 100%, $E$9)</f>
        <v>41.753500000000003</v>
      </c>
      <c r="Q743" s="10">
        <f>CHOOSE(CONTROL!$C$42, 42.4239, 42.4239) * CHOOSE(CONTROL!$C$21, $C$9, 100%, $E$9)</f>
        <v>42.423900000000003</v>
      </c>
      <c r="R743" s="10">
        <f>CHOOSE(CONTROL!$C$42, 43.117, 43.117) * CHOOSE(CONTROL!$C$21, $C$9, 100%, $E$9)</f>
        <v>43.116999999999997</v>
      </c>
      <c r="S743" s="10">
        <f>CHOOSE(CONTROL!$C$42, 40.9323, 40.9323) * CHOOSE(CONTROL!$C$21, $C$9, 100%, $E$9)</f>
        <v>40.932299999999998</v>
      </c>
      <c r="T7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57">
        <f>(1000*CHOOSE(CONTROL!$C$42, 695, 695)*CHOOSE(CONTROL!$C$42, 0.5599, 0.5599)*CHOOSE(CONTROL!$C$42, 30, 30))/1000000</f>
        <v>11.673914999999997</v>
      </c>
      <c r="V743" s="57">
        <f>(1000*CHOOSE(CONTROL!$C$42, 500, 500)*CHOOSE(CONTROL!$C$42, 0.275, 0.275)*CHOOSE(CONTROL!$C$42, 30, 30))/1000000</f>
        <v>4.125</v>
      </c>
      <c r="W743" s="57">
        <f>(1000*CHOOSE(CONTROL!$C$42, 0.1146, 0.1146)*CHOOSE(CONTROL!$C$42, 121.5, 121.5)*CHOOSE(CONTROL!$C$42, 30, 30))/1000000</f>
        <v>0.417717</v>
      </c>
      <c r="X743" s="57">
        <f>(30*0.1790888*100000/1000000)+(30*0.2374*100000/1000000)</f>
        <v>1.2494664</v>
      </c>
      <c r="Y743" s="57"/>
      <c r="Z743" s="10"/>
      <c r="AA743" s="56"/>
      <c r="AB743" s="50">
        <f>(B743*122.58+C743*297.941+D743*89.177+E743*40.302+F743*40+G743*160+H743*0+I743*100+J743*300)/(122.58+297.941+89.177+40.302+0+40+160+100+300)</f>
        <v>42.161980039217397</v>
      </c>
      <c r="AC743" s="45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41.778893525179853</v>
      </c>
    </row>
    <row r="744" spans="1:29" ht="15.75" x14ac:dyDescent="0.25">
      <c r="A744" s="13">
        <v>63554</v>
      </c>
      <c r="B744" s="10">
        <f>CHOOSE(CONTROL!$C$42, 45.0264, 45.0264) * CHOOSE(CONTROL!$C$21, $C$9, 100%, $E$9)</f>
        <v>45.026400000000002</v>
      </c>
      <c r="C744" s="10">
        <f>CHOOSE(CONTROL!$C$42, 45.0314, 45.0314) * CHOOSE(CONTROL!$C$21, $C$9, 100%, $E$9)</f>
        <v>45.031399999999998</v>
      </c>
      <c r="D744" s="10">
        <f>CHOOSE(CONTROL!$C$42, 45.0919, 45.0919) * CHOOSE(CONTROL!$C$21, $C$9, 100%, $E$9)</f>
        <v>45.091900000000003</v>
      </c>
      <c r="E744" s="10">
        <f>CHOOSE(CONTROL!$C$42, 45.1256, 45.1256) * CHOOSE(CONTROL!$C$21, $C$9, 100%, $E$9)</f>
        <v>45.125599999999999</v>
      </c>
      <c r="F744" s="10">
        <f>CHOOSE(CONTROL!$C$42, 45.0239, 45.0239)*CHOOSE(CONTROL!$C$21, $C$9, 100%, $E$9)</f>
        <v>45.023899999999998</v>
      </c>
      <c r="G744" s="10">
        <f>CHOOSE(CONTROL!$C$42, 45.0396, 45.0396)*CHOOSE(CONTROL!$C$21, $C$9, 100%, $E$9)</f>
        <v>45.0396</v>
      </c>
      <c r="H744" s="10">
        <f>CHOOSE(CONTROL!$C$42, 45.1148, 45.1148) * CHOOSE(CONTROL!$C$21, $C$9, 100%, $E$9)</f>
        <v>45.114800000000002</v>
      </c>
      <c r="I744" s="10">
        <f>CHOOSE(CONTROL!$C$42, 45.0389, 45.0389)* CHOOSE(CONTROL!$C$21, $C$9, 100%, $E$9)</f>
        <v>45.038899999999998</v>
      </c>
      <c r="J744" s="10">
        <f>CHOOSE(CONTROL!$C$42, 45.0169, 45.0169)* CHOOSE(CONTROL!$C$21, $C$9, 100%, $E$9)</f>
        <v>45.0169</v>
      </c>
      <c r="K744" s="53">
        <f>CHOOSE(CONTROL!$C$42, 45.035, 45.035) * CHOOSE(CONTROL!$C$21, $C$9, 100%, $E$9)</f>
        <v>45.034999999999997</v>
      </c>
      <c r="L744" s="10">
        <f>CHOOSE(CONTROL!$C$42, 45.7018, 45.7018) * CHOOSE(CONTROL!$C$21, $C$9, 100%, $E$9)</f>
        <v>45.701799999999999</v>
      </c>
      <c r="M744" s="10">
        <f>CHOOSE(CONTROL!$C$42, 44.5764, 44.5764) * CHOOSE(CONTROL!$C$21, $C$9, 100%, $E$9)</f>
        <v>44.5764</v>
      </c>
      <c r="N744" s="10">
        <f>CHOOSE(CONTROL!$C$42, 44.5919, 44.5919) * CHOOSE(CONTROL!$C$21, $C$9, 100%, $E$9)</f>
        <v>44.591900000000003</v>
      </c>
      <c r="O744" s="10">
        <f>CHOOSE(CONTROL!$C$42, 44.6734, 44.6734) * CHOOSE(CONTROL!$C$21, $C$9, 100%, $E$9)</f>
        <v>44.673400000000001</v>
      </c>
      <c r="P744" s="10">
        <f>CHOOSE(CONTROL!$C$42, 44.5983, 44.5983) * CHOOSE(CONTROL!$C$21, $C$9, 100%, $E$9)</f>
        <v>44.598300000000002</v>
      </c>
      <c r="Q744" s="10">
        <f>CHOOSE(CONTROL!$C$42, 45.2687, 45.2687) * CHOOSE(CONTROL!$C$21, $C$9, 100%, $E$9)</f>
        <v>45.268700000000003</v>
      </c>
      <c r="R744" s="10">
        <f>CHOOSE(CONTROL!$C$42, 45.9689, 45.9689) * CHOOSE(CONTROL!$C$21, $C$9, 100%, $E$9)</f>
        <v>45.968899999999998</v>
      </c>
      <c r="S744" s="10">
        <f>CHOOSE(CONTROL!$C$42, 43.723, 43.723) * CHOOSE(CONTROL!$C$21, $C$9, 100%, $E$9)</f>
        <v>43.722999999999999</v>
      </c>
      <c r="T7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57">
        <f>(1000*CHOOSE(CONTROL!$C$42, 695, 695)*CHOOSE(CONTROL!$C$42, 0.5599, 0.5599)*CHOOSE(CONTROL!$C$42, 31, 31))/1000000</f>
        <v>12.063045499999998</v>
      </c>
      <c r="V744" s="57">
        <f>(1000*CHOOSE(CONTROL!$C$42, 500, 500)*CHOOSE(CONTROL!$C$42, 0.275, 0.275)*CHOOSE(CONTROL!$C$42, 31, 31))/1000000</f>
        <v>4.2625000000000002</v>
      </c>
      <c r="W744" s="57">
        <f>(1000*CHOOSE(CONTROL!$C$42, 0.1146, 0.1146)*CHOOSE(CONTROL!$C$42, 121.5, 121.5)*CHOOSE(CONTROL!$C$42, 31, 31))/1000000</f>
        <v>0.43164089999999994</v>
      </c>
      <c r="X744" s="57">
        <f>(31*0.1790888*100000/1000000)+(31*0.2374*100000/1000000)</f>
        <v>1.2911152800000001</v>
      </c>
      <c r="Y744" s="57"/>
      <c r="Z744" s="10"/>
      <c r="AA744" s="56"/>
      <c r="AB744" s="50">
        <f>(B744*122.58+C744*297.941+D744*89.177+E744*40.302+F744*40+G744*160+H744*0+I744*100+J744*300)/(122.58+297.941+89.177+40.302+0+40+160+100+300)</f>
        <v>45.036609353826087</v>
      </c>
      <c r="AC744" s="45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44.624407194244611</v>
      </c>
    </row>
    <row r="745" spans="1:29" ht="15.75" x14ac:dyDescent="0.25">
      <c r="A745" s="13">
        <v>63585</v>
      </c>
      <c r="B745" s="10">
        <f>CHOOSE(CONTROL!$C$42, 48.7155, 48.7155) * CHOOSE(CONTROL!$C$21, $C$9, 100%, $E$9)</f>
        <v>48.715499999999999</v>
      </c>
      <c r="C745" s="10">
        <f>CHOOSE(CONTROL!$C$42, 48.7205, 48.7205) * CHOOSE(CONTROL!$C$21, $C$9, 100%, $E$9)</f>
        <v>48.720500000000001</v>
      </c>
      <c r="D745" s="10">
        <f>CHOOSE(CONTROL!$C$42, 48.7775, 48.7775) * CHOOSE(CONTROL!$C$21, $C$9, 100%, $E$9)</f>
        <v>48.777500000000003</v>
      </c>
      <c r="E745" s="10">
        <f>CHOOSE(CONTROL!$C$42, 48.8113, 48.8113) * CHOOSE(CONTROL!$C$21, $C$9, 100%, $E$9)</f>
        <v>48.811300000000003</v>
      </c>
      <c r="F745" s="10">
        <f>CHOOSE(CONTROL!$C$42, 48.7133, 48.7133)*CHOOSE(CONTROL!$C$21, $C$9, 100%, $E$9)</f>
        <v>48.713299999999997</v>
      </c>
      <c r="G745" s="10">
        <f>CHOOSE(CONTROL!$C$42, 48.7279, 48.7279)*CHOOSE(CONTROL!$C$21, $C$9, 100%, $E$9)</f>
        <v>48.727899999999998</v>
      </c>
      <c r="H745" s="10">
        <f>CHOOSE(CONTROL!$C$42, 48.8005, 48.8005) * CHOOSE(CONTROL!$C$21, $C$9, 100%, $E$9)</f>
        <v>48.8005</v>
      </c>
      <c r="I745" s="10">
        <f>CHOOSE(CONTROL!$C$42, 48.7263, 48.7263)* CHOOSE(CONTROL!$C$21, $C$9, 100%, $E$9)</f>
        <v>48.726300000000002</v>
      </c>
      <c r="J745" s="10">
        <f>CHOOSE(CONTROL!$C$42, 48.7063, 48.7063)* CHOOSE(CONTROL!$C$21, $C$9, 100%, $E$9)</f>
        <v>48.706299999999999</v>
      </c>
      <c r="K745" s="53">
        <f>CHOOSE(CONTROL!$C$42, 48.7224, 48.7224) * CHOOSE(CONTROL!$C$21, $C$9, 100%, $E$9)</f>
        <v>48.7224</v>
      </c>
      <c r="L745" s="10">
        <f>CHOOSE(CONTROL!$C$42, 49.3875, 49.3875) * CHOOSE(CONTROL!$C$21, $C$9, 100%, $E$9)</f>
        <v>49.387500000000003</v>
      </c>
      <c r="M745" s="10">
        <f>CHOOSE(CONTROL!$C$42, 48.2286, 48.2286) * CHOOSE(CONTROL!$C$21, $C$9, 100%, $E$9)</f>
        <v>48.2286</v>
      </c>
      <c r="N745" s="10">
        <f>CHOOSE(CONTROL!$C$42, 48.2431, 48.2431) * CHOOSE(CONTROL!$C$21, $C$9, 100%, $E$9)</f>
        <v>48.243099999999998</v>
      </c>
      <c r="O745" s="10">
        <f>CHOOSE(CONTROL!$C$42, 48.3218, 48.3218) * CHOOSE(CONTROL!$C$21, $C$9, 100%, $E$9)</f>
        <v>48.321800000000003</v>
      </c>
      <c r="P745" s="10">
        <f>CHOOSE(CONTROL!$C$42, 48.2484, 48.2484) * CHOOSE(CONTROL!$C$21, $C$9, 100%, $E$9)</f>
        <v>48.248399999999997</v>
      </c>
      <c r="Q745" s="10">
        <f>CHOOSE(CONTROL!$C$42, 48.9171, 48.9171) * CHOOSE(CONTROL!$C$21, $C$9, 100%, $E$9)</f>
        <v>48.917099999999998</v>
      </c>
      <c r="R745" s="10">
        <f>CHOOSE(CONTROL!$C$42, 49.6264, 49.6264) * CHOOSE(CONTROL!$C$21, $C$9, 100%, $E$9)</f>
        <v>49.626399999999997</v>
      </c>
      <c r="S745" s="10">
        <f>CHOOSE(CONTROL!$C$42, 47.3055, 47.3055) * CHOOSE(CONTROL!$C$21, $C$9, 100%, $E$9)</f>
        <v>47.305500000000002</v>
      </c>
      <c r="T7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57">
        <f>(1000*CHOOSE(CONTROL!$C$42, 695, 695)*CHOOSE(CONTROL!$C$42, 0.5599, 0.5599)*CHOOSE(CONTROL!$C$42, 31, 31))/1000000</f>
        <v>12.063045499999998</v>
      </c>
      <c r="V745" s="57">
        <f>(1000*CHOOSE(CONTROL!$C$42, 500, 500)*CHOOSE(CONTROL!$C$42, 0.275, 0.275)*CHOOSE(CONTROL!$C$42, 31, 31))/1000000</f>
        <v>4.2625000000000002</v>
      </c>
      <c r="W745" s="57">
        <f>(1000*CHOOSE(CONTROL!$C$42, 0.1146, 0.1146)*CHOOSE(CONTROL!$C$42, 121.5, 121.5)*CHOOSE(CONTROL!$C$42, 31, 31))/1000000</f>
        <v>0.43164089999999994</v>
      </c>
      <c r="X745" s="57">
        <f>(31*0.1790888*100000/1000000)+(31*0.2374*100000/1000000)</f>
        <v>1.2911152800000001</v>
      </c>
      <c r="Y745" s="57"/>
      <c r="Z745" s="10"/>
      <c r="AA745" s="56"/>
      <c r="AB745" s="50">
        <f>(B745*122.58+C745*297.941+D745*89.177+E745*40.302+F745*40+G745*160+H745*0+I745*100+J745*300)/(122.58+297.941+89.177+40.302+0+40+160+100+300)</f>
        <v>48.72514835704348</v>
      </c>
      <c r="AC745" s="45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48.274525179856113</v>
      </c>
    </row>
    <row r="746" spans="1:29" ht="15.75" x14ac:dyDescent="0.25">
      <c r="A746" s="13">
        <v>63613</v>
      </c>
      <c r="B746" s="10">
        <f>CHOOSE(CONTROL!$C$42, 49.5827, 49.5827) * CHOOSE(CONTROL!$C$21, $C$9, 100%, $E$9)</f>
        <v>49.582700000000003</v>
      </c>
      <c r="C746" s="10">
        <f>CHOOSE(CONTROL!$C$42, 49.5876, 49.5876) * CHOOSE(CONTROL!$C$21, $C$9, 100%, $E$9)</f>
        <v>49.587600000000002</v>
      </c>
      <c r="D746" s="10">
        <f>CHOOSE(CONTROL!$C$42, 49.6447, 49.6447) * CHOOSE(CONTROL!$C$21, $C$9, 100%, $E$9)</f>
        <v>49.6447</v>
      </c>
      <c r="E746" s="10">
        <f>CHOOSE(CONTROL!$C$42, 49.6785, 49.6785) * CHOOSE(CONTROL!$C$21, $C$9, 100%, $E$9)</f>
        <v>49.6785</v>
      </c>
      <c r="F746" s="10">
        <f>CHOOSE(CONTROL!$C$42, 49.5806, 49.5806)*CHOOSE(CONTROL!$C$21, $C$9, 100%, $E$9)</f>
        <v>49.580599999999997</v>
      </c>
      <c r="G746" s="10">
        <f>CHOOSE(CONTROL!$C$42, 49.5952, 49.5952)*CHOOSE(CONTROL!$C$21, $C$9, 100%, $E$9)</f>
        <v>49.595199999999998</v>
      </c>
      <c r="H746" s="10">
        <f>CHOOSE(CONTROL!$C$42, 49.6677, 49.6677) * CHOOSE(CONTROL!$C$21, $C$9, 100%, $E$9)</f>
        <v>49.667700000000004</v>
      </c>
      <c r="I746" s="10">
        <f>CHOOSE(CONTROL!$C$42, 49.5935, 49.5935)* CHOOSE(CONTROL!$C$21, $C$9, 100%, $E$9)</f>
        <v>49.593499999999999</v>
      </c>
      <c r="J746" s="10">
        <f>CHOOSE(CONTROL!$C$42, 49.5736, 49.5736)* CHOOSE(CONTROL!$C$21, $C$9, 100%, $E$9)</f>
        <v>49.573599999999999</v>
      </c>
      <c r="K746" s="53">
        <f>CHOOSE(CONTROL!$C$42, 49.5896, 49.5896) * CHOOSE(CONTROL!$C$21, $C$9, 100%, $E$9)</f>
        <v>49.589599999999997</v>
      </c>
      <c r="L746" s="10">
        <f>CHOOSE(CONTROL!$C$42, 50.2547, 50.2547) * CHOOSE(CONTROL!$C$21, $C$9, 100%, $E$9)</f>
        <v>50.2547</v>
      </c>
      <c r="M746" s="10">
        <f>CHOOSE(CONTROL!$C$42, 49.0871, 49.0871) * CHOOSE(CONTROL!$C$21, $C$9, 100%, $E$9)</f>
        <v>49.0871</v>
      </c>
      <c r="N746" s="10">
        <f>CHOOSE(CONTROL!$C$42, 49.1016, 49.1016) * CHOOSE(CONTROL!$C$21, $C$9, 100%, $E$9)</f>
        <v>49.101599999999998</v>
      </c>
      <c r="O746" s="10">
        <f>CHOOSE(CONTROL!$C$42, 49.1802, 49.1802) * CHOOSE(CONTROL!$C$21, $C$9, 100%, $E$9)</f>
        <v>49.180199999999999</v>
      </c>
      <c r="P746" s="10">
        <f>CHOOSE(CONTROL!$C$42, 49.1068, 49.1068) * CHOOSE(CONTROL!$C$21, $C$9, 100%, $E$9)</f>
        <v>49.1068</v>
      </c>
      <c r="Q746" s="10">
        <f>CHOOSE(CONTROL!$C$42, 49.7755, 49.7755) * CHOOSE(CONTROL!$C$21, $C$9, 100%, $E$9)</f>
        <v>49.775500000000001</v>
      </c>
      <c r="R746" s="10">
        <f>CHOOSE(CONTROL!$C$42, 50.487, 50.487) * CHOOSE(CONTROL!$C$21, $C$9, 100%, $E$9)</f>
        <v>50.487000000000002</v>
      </c>
      <c r="S746" s="10">
        <f>CHOOSE(CONTROL!$C$42, 48.1476, 48.1476) * CHOOSE(CONTROL!$C$21, $C$9, 100%, $E$9)</f>
        <v>48.147599999999997</v>
      </c>
      <c r="T7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57">
        <f>(1000*CHOOSE(CONTROL!$C$42, 695, 695)*CHOOSE(CONTROL!$C$42, 0.5599, 0.5599)*CHOOSE(CONTROL!$C$42, 28, 28))/1000000</f>
        <v>10.895653999999999</v>
      </c>
      <c r="V746" s="57">
        <f>(1000*CHOOSE(CONTROL!$C$42, 500, 500)*CHOOSE(CONTROL!$C$42, 0.275, 0.275)*CHOOSE(CONTROL!$C$42, 28, 28))/1000000</f>
        <v>3.85</v>
      </c>
      <c r="W746" s="57">
        <f>(1000*CHOOSE(CONTROL!$C$42, 0.1146, 0.1146)*CHOOSE(CONTROL!$C$42, 121.5, 121.5)*CHOOSE(CONTROL!$C$42, 28, 28))/1000000</f>
        <v>0.38986920000000003</v>
      </c>
      <c r="X746" s="57">
        <f>(28*0.1790888*100000/1000000)+(28*0.2374*100000/1000000)</f>
        <v>1.16616864</v>
      </c>
      <c r="Y746" s="57"/>
      <c r="Z746" s="10"/>
      <c r="AA746" s="56"/>
      <c r="AB746" s="50">
        <f>(B746*122.58+C746*297.941+D746*89.177+E746*40.302+F746*40+G746*160+H746*0+I746*100+J746*300)/(122.58+297.941+89.177+40.302+0+40+160+100+300)</f>
        <v>49.592365927391299</v>
      </c>
      <c r="AC746" s="45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49.132965467625901</v>
      </c>
    </row>
    <row r="747" spans="1:29" ht="15.75" x14ac:dyDescent="0.25">
      <c r="A747" s="13">
        <v>63644</v>
      </c>
      <c r="B747" s="10">
        <f>CHOOSE(CONTROL!$C$42, 48.1751, 48.1751) * CHOOSE(CONTROL!$C$21, $C$9, 100%, $E$9)</f>
        <v>48.1751</v>
      </c>
      <c r="C747" s="10">
        <f>CHOOSE(CONTROL!$C$42, 48.18, 48.18) * CHOOSE(CONTROL!$C$21, $C$9, 100%, $E$9)</f>
        <v>48.18</v>
      </c>
      <c r="D747" s="10">
        <f>CHOOSE(CONTROL!$C$42, 48.2371, 48.2371) * CHOOSE(CONTROL!$C$21, $C$9, 100%, $E$9)</f>
        <v>48.237099999999998</v>
      </c>
      <c r="E747" s="10">
        <f>CHOOSE(CONTROL!$C$42, 48.2709, 48.2709) * CHOOSE(CONTROL!$C$21, $C$9, 100%, $E$9)</f>
        <v>48.270899999999997</v>
      </c>
      <c r="F747" s="10">
        <f>CHOOSE(CONTROL!$C$42, 48.1729, 48.1729)*CHOOSE(CONTROL!$C$21, $C$9, 100%, $E$9)</f>
        <v>48.172899999999998</v>
      </c>
      <c r="G747" s="10">
        <f>CHOOSE(CONTROL!$C$42, 48.1875, 48.1875)*CHOOSE(CONTROL!$C$21, $C$9, 100%, $E$9)</f>
        <v>48.1875</v>
      </c>
      <c r="H747" s="10">
        <f>CHOOSE(CONTROL!$C$42, 48.26, 48.26) * CHOOSE(CONTROL!$C$21, $C$9, 100%, $E$9)</f>
        <v>48.26</v>
      </c>
      <c r="I747" s="10">
        <f>CHOOSE(CONTROL!$C$42, 48.1858, 48.1858)* CHOOSE(CONTROL!$C$21, $C$9, 100%, $E$9)</f>
        <v>48.1858</v>
      </c>
      <c r="J747" s="10">
        <f>CHOOSE(CONTROL!$C$42, 48.1659, 48.1659)* CHOOSE(CONTROL!$C$21, $C$9, 100%, $E$9)</f>
        <v>48.165900000000001</v>
      </c>
      <c r="K747" s="53">
        <f>CHOOSE(CONTROL!$C$42, 48.182, 48.182) * CHOOSE(CONTROL!$C$21, $C$9, 100%, $E$9)</f>
        <v>48.182000000000002</v>
      </c>
      <c r="L747" s="10">
        <f>CHOOSE(CONTROL!$C$42, 48.847, 48.847) * CHOOSE(CONTROL!$C$21, $C$9, 100%, $E$9)</f>
        <v>48.847000000000001</v>
      </c>
      <c r="M747" s="10">
        <f>CHOOSE(CONTROL!$C$42, 47.6936, 47.6936) * CHOOSE(CONTROL!$C$21, $C$9, 100%, $E$9)</f>
        <v>47.693600000000004</v>
      </c>
      <c r="N747" s="10">
        <f>CHOOSE(CONTROL!$C$42, 47.7081, 47.7081) * CHOOSE(CONTROL!$C$21, $C$9, 100%, $E$9)</f>
        <v>47.708100000000002</v>
      </c>
      <c r="O747" s="10">
        <f>CHOOSE(CONTROL!$C$42, 47.7868, 47.7868) * CHOOSE(CONTROL!$C$21, $C$9, 100%, $E$9)</f>
        <v>47.786799999999999</v>
      </c>
      <c r="P747" s="10">
        <f>CHOOSE(CONTROL!$C$42, 47.7134, 47.7134) * CHOOSE(CONTROL!$C$21, $C$9, 100%, $E$9)</f>
        <v>47.7134</v>
      </c>
      <c r="Q747" s="10">
        <f>CHOOSE(CONTROL!$C$42, 48.3821, 48.3821) * CHOOSE(CONTROL!$C$21, $C$9, 100%, $E$9)</f>
        <v>48.382100000000001</v>
      </c>
      <c r="R747" s="10">
        <f>CHOOSE(CONTROL!$C$42, 49.0901, 49.0901) * CHOOSE(CONTROL!$C$21, $C$9, 100%, $E$9)</f>
        <v>49.0901</v>
      </c>
      <c r="S747" s="10">
        <f>CHOOSE(CONTROL!$C$42, 46.7807, 46.7807) * CHOOSE(CONTROL!$C$21, $C$9, 100%, $E$9)</f>
        <v>46.780700000000003</v>
      </c>
      <c r="T7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57">
        <f>(1000*CHOOSE(CONTROL!$C$42, 695, 695)*CHOOSE(CONTROL!$C$42, 0.5599, 0.5599)*CHOOSE(CONTROL!$C$42, 31, 31))/1000000</f>
        <v>12.063045499999998</v>
      </c>
      <c r="V747" s="57">
        <f>(1000*CHOOSE(CONTROL!$C$42, 500, 500)*CHOOSE(CONTROL!$C$42, 0.275, 0.275)*CHOOSE(CONTROL!$C$42, 31, 31))/1000000</f>
        <v>4.2625000000000002</v>
      </c>
      <c r="W747" s="57">
        <f>(1000*CHOOSE(CONTROL!$C$42, 0.1146, 0.1146)*CHOOSE(CONTROL!$C$42, 121.5, 121.5)*CHOOSE(CONTROL!$C$42, 31, 31))/1000000</f>
        <v>0.43164089999999994</v>
      </c>
      <c r="X747" s="57">
        <f>(31*0.1790888*100000/1000000)+(31*0.2374*100000/1000000)</f>
        <v>1.2911152800000001</v>
      </c>
      <c r="Y747" s="57"/>
      <c r="Z747" s="10"/>
      <c r="AA747" s="56"/>
      <c r="AB747" s="50">
        <f>(B747*122.58+C747*297.941+D747*89.177+E747*40.302+F747*40+G747*160+H747*0+I747*100+J747*300)/(122.58+297.941+89.177+40.302+0+40+160+100+300)</f>
        <v>48.184713753478263</v>
      </c>
      <c r="AC747" s="45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47.739525179856116</v>
      </c>
    </row>
    <row r="748" spans="1:29" ht="15.75" x14ac:dyDescent="0.25">
      <c r="A748" s="13">
        <v>63674</v>
      </c>
      <c r="B748" s="10">
        <f>CHOOSE(CONTROL!$C$42, 48.032, 48.032) * CHOOSE(CONTROL!$C$21, $C$9, 100%, $E$9)</f>
        <v>48.031999999999996</v>
      </c>
      <c r="C748" s="10">
        <f>CHOOSE(CONTROL!$C$42, 48.0364, 48.0364) * CHOOSE(CONTROL!$C$21, $C$9, 100%, $E$9)</f>
        <v>48.0364</v>
      </c>
      <c r="D748" s="10">
        <f>CHOOSE(CONTROL!$C$42, 48.2422, 48.2422) * CHOOSE(CONTROL!$C$21, $C$9, 100%, $E$9)</f>
        <v>48.242199999999997</v>
      </c>
      <c r="E748" s="10">
        <f>CHOOSE(CONTROL!$C$42, 48.274, 48.274) * CHOOSE(CONTROL!$C$21, $C$9, 100%, $E$9)</f>
        <v>48.274000000000001</v>
      </c>
      <c r="F748" s="10">
        <f>CHOOSE(CONTROL!$C$42, 48.0088, 48.0088)*CHOOSE(CONTROL!$C$21, $C$9, 100%, $E$9)</f>
        <v>48.008800000000001</v>
      </c>
      <c r="G748" s="10">
        <f>CHOOSE(CONTROL!$C$42, 48.0233, 48.0233)*CHOOSE(CONTROL!$C$21, $C$9, 100%, $E$9)</f>
        <v>48.023299999999999</v>
      </c>
      <c r="H748" s="10">
        <f>CHOOSE(CONTROL!$C$42, 48.2638, 48.2638) * CHOOSE(CONTROL!$C$21, $C$9, 100%, $E$9)</f>
        <v>48.263800000000003</v>
      </c>
      <c r="I748" s="10">
        <f>CHOOSE(CONTROL!$C$42, 48.0334, 48.0334)* CHOOSE(CONTROL!$C$21, $C$9, 100%, $E$9)</f>
        <v>48.0334</v>
      </c>
      <c r="J748" s="10">
        <f>CHOOSE(CONTROL!$C$42, 48.0018, 48.0018)* CHOOSE(CONTROL!$C$21, $C$9, 100%, $E$9)</f>
        <v>48.001800000000003</v>
      </c>
      <c r="K748" s="53">
        <f>CHOOSE(CONTROL!$C$42, 48.0295, 48.0295) * CHOOSE(CONTROL!$C$21, $C$9, 100%, $E$9)</f>
        <v>48.029499999999999</v>
      </c>
      <c r="L748" s="10">
        <f>CHOOSE(CONTROL!$C$42, 48.8508, 48.8508) * CHOOSE(CONTROL!$C$21, $C$9, 100%, $E$9)</f>
        <v>48.8508</v>
      </c>
      <c r="M748" s="10">
        <f>CHOOSE(CONTROL!$C$42, 47.5312, 47.5312) * CHOOSE(CONTROL!$C$21, $C$9, 100%, $E$9)</f>
        <v>47.531199999999998</v>
      </c>
      <c r="N748" s="10">
        <f>CHOOSE(CONTROL!$C$42, 47.5455, 47.5455) * CHOOSE(CONTROL!$C$21, $C$9, 100%, $E$9)</f>
        <v>47.545499999999997</v>
      </c>
      <c r="O748" s="10">
        <f>CHOOSE(CONTROL!$C$42, 47.7906, 47.7906) * CHOOSE(CONTROL!$C$21, $C$9, 100%, $E$9)</f>
        <v>47.790599999999998</v>
      </c>
      <c r="P748" s="10">
        <f>CHOOSE(CONTROL!$C$42, 47.5625, 47.5625) * CHOOSE(CONTROL!$C$21, $C$9, 100%, $E$9)</f>
        <v>47.5625</v>
      </c>
      <c r="Q748" s="10">
        <f>CHOOSE(CONTROL!$C$42, 48.3859, 48.3859) * CHOOSE(CONTROL!$C$21, $C$9, 100%, $E$9)</f>
        <v>48.385899999999999</v>
      </c>
      <c r="R748" s="10">
        <f>CHOOSE(CONTROL!$C$42, 49.0938, 49.0938) * CHOOSE(CONTROL!$C$21, $C$9, 100%, $E$9)</f>
        <v>49.093800000000002</v>
      </c>
      <c r="S748" s="10">
        <f>CHOOSE(CONTROL!$C$42, 46.641, 46.641) * CHOOSE(CONTROL!$C$21, $C$9, 100%, $E$9)</f>
        <v>46.640999999999998</v>
      </c>
      <c r="T7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57">
        <f>(1000*CHOOSE(CONTROL!$C$42, 695, 695)*CHOOSE(CONTROL!$C$42, 0.5599, 0.5599)*CHOOSE(CONTROL!$C$42, 30, 30))/1000000</f>
        <v>11.673914999999997</v>
      </c>
      <c r="V748" s="57">
        <f>(1000*CHOOSE(CONTROL!$C$42, 500, 500)*CHOOSE(CONTROL!$C$42, 0.275, 0.275)*CHOOSE(CONTROL!$C$42, 30, 30))/1000000</f>
        <v>4.125</v>
      </c>
      <c r="W748" s="57">
        <f>(1000*CHOOSE(CONTROL!$C$42, 0.1146, 0.1146)*CHOOSE(CONTROL!$C$42, 121.5, 121.5)*CHOOSE(CONTROL!$C$42, 30, 30))/1000000</f>
        <v>0.417717</v>
      </c>
      <c r="X748" s="57">
        <f>(30*0.1790888*245000/1000000)+(30*0.2374*100000/1000000)</f>
        <v>2.0285026799999999</v>
      </c>
      <c r="Y748" s="57"/>
      <c r="Z748" s="10"/>
      <c r="AA748" s="56"/>
      <c r="AB748" s="50">
        <f>(B748*141.293+C748*267.993+D748*115.016+E748*89.698+F748*40+G748*185+H748*0+I748*100+J748*300)/(141.293+267.993+115.016+89.698+0+40+185+100+300)</f>
        <v>48.060736842937843</v>
      </c>
      <c r="AC748" s="45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47.654096402877691</v>
      </c>
    </row>
    <row r="749" spans="1:29" ht="15.75" x14ac:dyDescent="0.25">
      <c r="A749" s="13">
        <v>63705</v>
      </c>
      <c r="B749" s="10">
        <f>CHOOSE(CONTROL!$C$42, 48.4573, 48.4573) * CHOOSE(CONTROL!$C$21, $C$9, 100%, $E$9)</f>
        <v>48.457299999999996</v>
      </c>
      <c r="C749" s="10">
        <f>CHOOSE(CONTROL!$C$42, 48.4652, 48.4652) * CHOOSE(CONTROL!$C$21, $C$9, 100%, $E$9)</f>
        <v>48.465200000000003</v>
      </c>
      <c r="D749" s="10">
        <f>CHOOSE(CONTROL!$C$42, 48.6679, 48.6679) * CHOOSE(CONTROL!$C$21, $C$9, 100%, $E$9)</f>
        <v>48.667900000000003</v>
      </c>
      <c r="E749" s="10">
        <f>CHOOSE(CONTROL!$C$42, 48.6991, 48.6991) * CHOOSE(CONTROL!$C$21, $C$9, 100%, $E$9)</f>
        <v>48.699100000000001</v>
      </c>
      <c r="F749" s="10">
        <f>CHOOSE(CONTROL!$C$42, 48.433, 48.433)*CHOOSE(CONTROL!$C$21, $C$9, 100%, $E$9)</f>
        <v>48.433</v>
      </c>
      <c r="G749" s="10">
        <f>CHOOSE(CONTROL!$C$42, 48.448, 48.448)*CHOOSE(CONTROL!$C$21, $C$9, 100%, $E$9)</f>
        <v>48.448</v>
      </c>
      <c r="H749" s="10">
        <f>CHOOSE(CONTROL!$C$42, 48.6877, 48.6877) * CHOOSE(CONTROL!$C$21, $C$9, 100%, $E$9)</f>
        <v>48.6877</v>
      </c>
      <c r="I749" s="10">
        <f>CHOOSE(CONTROL!$C$42, 48.4573, 48.4573)* CHOOSE(CONTROL!$C$21, $C$9, 100%, $E$9)</f>
        <v>48.457299999999996</v>
      </c>
      <c r="J749" s="10">
        <f>CHOOSE(CONTROL!$C$42, 48.426, 48.426)* CHOOSE(CONTROL!$C$21, $C$9, 100%, $E$9)</f>
        <v>48.426000000000002</v>
      </c>
      <c r="K749" s="53">
        <f>CHOOSE(CONTROL!$C$42, 48.4534, 48.4534) * CHOOSE(CONTROL!$C$21, $C$9, 100%, $E$9)</f>
        <v>48.453400000000002</v>
      </c>
      <c r="L749" s="10">
        <f>CHOOSE(CONTROL!$C$42, 49.2747, 49.2747) * CHOOSE(CONTROL!$C$21, $C$9, 100%, $E$9)</f>
        <v>49.274700000000003</v>
      </c>
      <c r="M749" s="10">
        <f>CHOOSE(CONTROL!$C$42, 47.9511, 47.9511) * CHOOSE(CONTROL!$C$21, $C$9, 100%, $E$9)</f>
        <v>47.951099999999997</v>
      </c>
      <c r="N749" s="10">
        <f>CHOOSE(CONTROL!$C$42, 47.966, 47.966) * CHOOSE(CONTROL!$C$21, $C$9, 100%, $E$9)</f>
        <v>47.966000000000001</v>
      </c>
      <c r="O749" s="10">
        <f>CHOOSE(CONTROL!$C$42, 48.2102, 48.2102) * CHOOSE(CONTROL!$C$21, $C$9, 100%, $E$9)</f>
        <v>48.2102</v>
      </c>
      <c r="P749" s="10">
        <f>CHOOSE(CONTROL!$C$42, 47.9822, 47.9822) * CHOOSE(CONTROL!$C$21, $C$9, 100%, $E$9)</f>
        <v>47.982199999999999</v>
      </c>
      <c r="Q749" s="10">
        <f>CHOOSE(CONTROL!$C$42, 48.8055, 48.8055) * CHOOSE(CONTROL!$C$21, $C$9, 100%, $E$9)</f>
        <v>48.805500000000002</v>
      </c>
      <c r="R749" s="10">
        <f>CHOOSE(CONTROL!$C$42, 49.5145, 49.5145) * CHOOSE(CONTROL!$C$21, $C$9, 100%, $E$9)</f>
        <v>49.514499999999998</v>
      </c>
      <c r="S749" s="10">
        <f>CHOOSE(CONTROL!$C$42, 47.0526, 47.0526) * CHOOSE(CONTROL!$C$21, $C$9, 100%, $E$9)</f>
        <v>47.052599999999998</v>
      </c>
      <c r="T7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57">
        <f>(1000*CHOOSE(CONTROL!$C$42, 695, 695)*CHOOSE(CONTROL!$C$42, 0.5599, 0.5599)*CHOOSE(CONTROL!$C$42, 31, 31))/1000000</f>
        <v>12.063045499999998</v>
      </c>
      <c r="V749" s="57">
        <f>(1000*CHOOSE(CONTROL!$C$42, 500, 500)*CHOOSE(CONTROL!$C$42, 0.275, 0.275)*CHOOSE(CONTROL!$C$42, 31, 31))/1000000</f>
        <v>4.2625000000000002</v>
      </c>
      <c r="W749" s="57">
        <f>(1000*CHOOSE(CONTROL!$C$42, 0.1146, 0.1146)*CHOOSE(CONTROL!$C$42, 121.5, 121.5)*CHOOSE(CONTROL!$C$42, 31, 31))/1000000</f>
        <v>0.43164089999999994</v>
      </c>
      <c r="X749" s="57">
        <f>(31*0.1790888*245000/1000000)+(31*0.2374*100000/1000000)</f>
        <v>2.0961194359999999</v>
      </c>
      <c r="Y749" s="57"/>
      <c r="Z749" s="10"/>
      <c r="AA749" s="56"/>
      <c r="AB749" s="50">
        <f>(B749*194.205+C749*267.466+D749*133.845+E749*53.484+F749*40+G749*185+H749*0+I749*100+J749*300)/(194.205+267.466+133.845+53.484+0+40+185+100+300)</f>
        <v>48.481751075039249</v>
      </c>
      <c r="AC749" s="45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48.073866187050356</v>
      </c>
    </row>
    <row r="750" spans="1:29" ht="15.75" x14ac:dyDescent="0.25">
      <c r="A750" s="13">
        <v>63735</v>
      </c>
      <c r="B750" s="10">
        <f>CHOOSE(CONTROL!$C$42, 49.8317, 49.8317) * CHOOSE(CONTROL!$C$21, $C$9, 100%, $E$9)</f>
        <v>49.831699999999998</v>
      </c>
      <c r="C750" s="10">
        <f>CHOOSE(CONTROL!$C$42, 49.8396, 49.8396) * CHOOSE(CONTROL!$C$21, $C$9, 100%, $E$9)</f>
        <v>49.839599999999997</v>
      </c>
      <c r="D750" s="10">
        <f>CHOOSE(CONTROL!$C$42, 50.0423, 50.0423) * CHOOSE(CONTROL!$C$21, $C$9, 100%, $E$9)</f>
        <v>50.042299999999997</v>
      </c>
      <c r="E750" s="10">
        <f>CHOOSE(CONTROL!$C$42, 50.0735, 50.0735) * CHOOSE(CONTROL!$C$21, $C$9, 100%, $E$9)</f>
        <v>50.073500000000003</v>
      </c>
      <c r="F750" s="10">
        <f>CHOOSE(CONTROL!$C$42, 49.8079, 49.8079)*CHOOSE(CONTROL!$C$21, $C$9, 100%, $E$9)</f>
        <v>49.807899999999997</v>
      </c>
      <c r="G750" s="10">
        <f>CHOOSE(CONTROL!$C$42, 49.8231, 49.8231)*CHOOSE(CONTROL!$C$21, $C$9, 100%, $E$9)</f>
        <v>49.823099999999997</v>
      </c>
      <c r="H750" s="10">
        <f>CHOOSE(CONTROL!$C$42, 50.0621, 50.0621) * CHOOSE(CONTROL!$C$21, $C$9, 100%, $E$9)</f>
        <v>50.062100000000001</v>
      </c>
      <c r="I750" s="10">
        <f>CHOOSE(CONTROL!$C$42, 49.8317, 49.8317)* CHOOSE(CONTROL!$C$21, $C$9, 100%, $E$9)</f>
        <v>49.831699999999998</v>
      </c>
      <c r="J750" s="10">
        <f>CHOOSE(CONTROL!$C$42, 49.8009, 49.8009)* CHOOSE(CONTROL!$C$21, $C$9, 100%, $E$9)</f>
        <v>49.800899999999999</v>
      </c>
      <c r="K750" s="53">
        <f>CHOOSE(CONTROL!$C$42, 49.8278, 49.8278) * CHOOSE(CONTROL!$C$21, $C$9, 100%, $E$9)</f>
        <v>49.827800000000003</v>
      </c>
      <c r="L750" s="10">
        <f>CHOOSE(CONTROL!$C$42, 50.6491, 50.6491) * CHOOSE(CONTROL!$C$21, $C$9, 100%, $E$9)</f>
        <v>50.649099999999997</v>
      </c>
      <c r="M750" s="10">
        <f>CHOOSE(CONTROL!$C$42, 49.3122, 49.3122) * CHOOSE(CONTROL!$C$21, $C$9, 100%, $E$9)</f>
        <v>49.312199999999997</v>
      </c>
      <c r="N750" s="10">
        <f>CHOOSE(CONTROL!$C$42, 49.3272, 49.3272) * CHOOSE(CONTROL!$C$21, $C$9, 100%, $E$9)</f>
        <v>49.327199999999998</v>
      </c>
      <c r="O750" s="10">
        <f>CHOOSE(CONTROL!$C$42, 49.5707, 49.5707) * CHOOSE(CONTROL!$C$21, $C$9, 100%, $E$9)</f>
        <v>49.570700000000002</v>
      </c>
      <c r="P750" s="10">
        <f>CHOOSE(CONTROL!$C$42, 49.3427, 49.3427) * CHOOSE(CONTROL!$C$21, $C$9, 100%, $E$9)</f>
        <v>49.342700000000001</v>
      </c>
      <c r="Q750" s="10">
        <f>CHOOSE(CONTROL!$C$42, 50.166, 50.166) * CHOOSE(CONTROL!$C$21, $C$9, 100%, $E$9)</f>
        <v>50.165999999999997</v>
      </c>
      <c r="R750" s="10">
        <f>CHOOSE(CONTROL!$C$42, 50.8784, 50.8784) * CHOOSE(CONTROL!$C$21, $C$9, 100%, $E$9)</f>
        <v>50.878399999999999</v>
      </c>
      <c r="S750" s="10">
        <f>CHOOSE(CONTROL!$C$42, 48.3873, 48.3873) * CHOOSE(CONTROL!$C$21, $C$9, 100%, $E$9)</f>
        <v>48.387300000000003</v>
      </c>
      <c r="T7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57">
        <f>(1000*CHOOSE(CONTROL!$C$42, 695, 695)*CHOOSE(CONTROL!$C$42, 0.5599, 0.5599)*CHOOSE(CONTROL!$C$42, 30, 30))/1000000</f>
        <v>11.673914999999997</v>
      </c>
      <c r="V750" s="57">
        <f>(1000*CHOOSE(CONTROL!$C$42, 500, 500)*CHOOSE(CONTROL!$C$42, 0.275, 0.275)*CHOOSE(CONTROL!$C$42, 30, 30))/1000000</f>
        <v>4.125</v>
      </c>
      <c r="W750" s="57">
        <f>(1000*CHOOSE(CONTROL!$C$42, 0.1146, 0.1146)*CHOOSE(CONTROL!$C$42, 121.5, 121.5)*CHOOSE(CONTROL!$C$42, 30, 30))/1000000</f>
        <v>0.417717</v>
      </c>
      <c r="X750" s="57">
        <f>(30*0.1790888*245000/1000000)+(30*0.2374*100000/1000000)</f>
        <v>2.0285026799999999</v>
      </c>
      <c r="Y750" s="57"/>
      <c r="Z750" s="10"/>
      <c r="AA750" s="56"/>
      <c r="AB750" s="50">
        <f>(B750*194.205+C750*267.466+D750*133.845+E750*53.484+F750*40+G750*185+H750*0+I750*100+J750*300)/(194.205+267.466+133.845+53.484+0+40+185+100+300)</f>
        <v>49.856386161381472</v>
      </c>
      <c r="AC750" s="45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49.43461366906476</v>
      </c>
    </row>
    <row r="751" spans="1:29" ht="15.75" x14ac:dyDescent="0.25">
      <c r="A751" s="13">
        <v>63766</v>
      </c>
      <c r="B751" s="10">
        <f>CHOOSE(CONTROL!$C$42, 48.8758, 48.8758) * CHOOSE(CONTROL!$C$21, $C$9, 100%, $E$9)</f>
        <v>48.875799999999998</v>
      </c>
      <c r="C751" s="10">
        <f>CHOOSE(CONTROL!$C$42, 48.8837, 48.8837) * CHOOSE(CONTROL!$C$21, $C$9, 100%, $E$9)</f>
        <v>48.883699999999997</v>
      </c>
      <c r="D751" s="10">
        <f>CHOOSE(CONTROL!$C$42, 49.0864, 49.0864) * CHOOSE(CONTROL!$C$21, $C$9, 100%, $E$9)</f>
        <v>49.086399999999998</v>
      </c>
      <c r="E751" s="10">
        <f>CHOOSE(CONTROL!$C$42, 49.1176, 49.1176) * CHOOSE(CONTROL!$C$21, $C$9, 100%, $E$9)</f>
        <v>49.117600000000003</v>
      </c>
      <c r="F751" s="10">
        <f>CHOOSE(CONTROL!$C$42, 48.8525, 48.8525)*CHOOSE(CONTROL!$C$21, $C$9, 100%, $E$9)</f>
        <v>48.852499999999999</v>
      </c>
      <c r="G751" s="10">
        <f>CHOOSE(CONTROL!$C$42, 48.8678, 48.8678)*CHOOSE(CONTROL!$C$21, $C$9, 100%, $E$9)</f>
        <v>48.867800000000003</v>
      </c>
      <c r="H751" s="10">
        <f>CHOOSE(CONTROL!$C$42, 49.1062, 49.1062) * CHOOSE(CONTROL!$C$21, $C$9, 100%, $E$9)</f>
        <v>49.106200000000001</v>
      </c>
      <c r="I751" s="10">
        <f>CHOOSE(CONTROL!$C$42, 48.8758, 48.8758)* CHOOSE(CONTROL!$C$21, $C$9, 100%, $E$9)</f>
        <v>48.875799999999998</v>
      </c>
      <c r="J751" s="10">
        <f>CHOOSE(CONTROL!$C$42, 48.8455, 48.8455)* CHOOSE(CONTROL!$C$21, $C$9, 100%, $E$9)</f>
        <v>48.845500000000001</v>
      </c>
      <c r="K751" s="53">
        <f>CHOOSE(CONTROL!$C$42, 48.8719, 48.8719) * CHOOSE(CONTROL!$C$21, $C$9, 100%, $E$9)</f>
        <v>48.871899999999997</v>
      </c>
      <c r="L751" s="10">
        <f>CHOOSE(CONTROL!$C$42, 49.6932, 49.6932) * CHOOSE(CONTROL!$C$21, $C$9, 100%, $E$9)</f>
        <v>49.693199999999997</v>
      </c>
      <c r="M751" s="10">
        <f>CHOOSE(CONTROL!$C$42, 48.3664, 48.3664) * CHOOSE(CONTROL!$C$21, $C$9, 100%, $E$9)</f>
        <v>48.366399999999999</v>
      </c>
      <c r="N751" s="10">
        <f>CHOOSE(CONTROL!$C$42, 48.3815, 48.3815) * CHOOSE(CONTROL!$C$21, $C$9, 100%, $E$9)</f>
        <v>48.381500000000003</v>
      </c>
      <c r="O751" s="10">
        <f>CHOOSE(CONTROL!$C$42, 48.6245, 48.6245) * CHOOSE(CONTROL!$C$21, $C$9, 100%, $E$9)</f>
        <v>48.624499999999998</v>
      </c>
      <c r="P751" s="10">
        <f>CHOOSE(CONTROL!$C$42, 48.3964, 48.3964) * CHOOSE(CONTROL!$C$21, $C$9, 100%, $E$9)</f>
        <v>48.3964</v>
      </c>
      <c r="Q751" s="10">
        <f>CHOOSE(CONTROL!$C$42, 49.2198, 49.2198) * CHOOSE(CONTROL!$C$21, $C$9, 100%, $E$9)</f>
        <v>49.219799999999999</v>
      </c>
      <c r="R751" s="10">
        <f>CHOOSE(CONTROL!$C$42, 49.9298, 49.9298) * CHOOSE(CONTROL!$C$21, $C$9, 100%, $E$9)</f>
        <v>49.9298</v>
      </c>
      <c r="S751" s="10">
        <f>CHOOSE(CONTROL!$C$42, 47.459, 47.459) * CHOOSE(CONTROL!$C$21, $C$9, 100%, $E$9)</f>
        <v>47.459000000000003</v>
      </c>
      <c r="T7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57">
        <f>(1000*CHOOSE(CONTROL!$C$42, 695, 695)*CHOOSE(CONTROL!$C$42, 0.5599, 0.5599)*CHOOSE(CONTROL!$C$42, 31, 31))/1000000</f>
        <v>12.063045499999998</v>
      </c>
      <c r="V751" s="57">
        <f>(1000*CHOOSE(CONTROL!$C$42, 500, 500)*CHOOSE(CONTROL!$C$42, 0.275, 0.275)*CHOOSE(CONTROL!$C$42, 31, 31))/1000000</f>
        <v>4.2625000000000002</v>
      </c>
      <c r="W751" s="57">
        <f>(1000*CHOOSE(CONTROL!$C$42, 0.1146, 0.1146)*CHOOSE(CONTROL!$C$42, 121.5, 121.5)*CHOOSE(CONTROL!$C$42, 31, 31))/1000000</f>
        <v>0.43164089999999994</v>
      </c>
      <c r="X751" s="57">
        <f>(31*0.1790888*245000/1000000)+(31*0.2374*100000/1000000)</f>
        <v>2.0961194359999999</v>
      </c>
      <c r="Y751" s="57"/>
      <c r="Z751" s="10"/>
      <c r="AA751" s="56"/>
      <c r="AB751" s="50">
        <f>(B751*194.205+C751*267.466+D751*133.845+E751*53.484+F751*40+G751*185+H751*0+I751*100+J751*300)/(194.205+267.466+133.845+53.484+0+40+185+100+300)</f>
        <v>48.900706726530608</v>
      </c>
      <c r="AC751" s="45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48.48856618705036</v>
      </c>
    </row>
    <row r="752" spans="1:29" ht="15.75" x14ac:dyDescent="0.25">
      <c r="A752" s="13">
        <v>63797</v>
      </c>
      <c r="B752" s="10">
        <f>CHOOSE(CONTROL!$C$42, 46.4618, 46.4618) * CHOOSE(CONTROL!$C$21, $C$9, 100%, $E$9)</f>
        <v>46.461799999999997</v>
      </c>
      <c r="C752" s="10">
        <f>CHOOSE(CONTROL!$C$42, 46.4697, 46.4697) * CHOOSE(CONTROL!$C$21, $C$9, 100%, $E$9)</f>
        <v>46.469700000000003</v>
      </c>
      <c r="D752" s="10">
        <f>CHOOSE(CONTROL!$C$42, 46.6725, 46.6725) * CHOOSE(CONTROL!$C$21, $C$9, 100%, $E$9)</f>
        <v>46.672499999999999</v>
      </c>
      <c r="E752" s="10">
        <f>CHOOSE(CONTROL!$C$42, 46.7036, 46.7036) * CHOOSE(CONTROL!$C$21, $C$9, 100%, $E$9)</f>
        <v>46.703600000000002</v>
      </c>
      <c r="F752" s="10">
        <f>CHOOSE(CONTROL!$C$42, 46.4388, 46.4388)*CHOOSE(CONTROL!$C$21, $C$9, 100%, $E$9)</f>
        <v>46.438800000000001</v>
      </c>
      <c r="G752" s="10">
        <f>CHOOSE(CONTROL!$C$42, 46.4541, 46.4541)*CHOOSE(CONTROL!$C$21, $C$9, 100%, $E$9)</f>
        <v>46.454099999999997</v>
      </c>
      <c r="H752" s="10">
        <f>CHOOSE(CONTROL!$C$42, 46.6922, 46.6922) * CHOOSE(CONTROL!$C$21, $C$9, 100%, $E$9)</f>
        <v>46.6922</v>
      </c>
      <c r="I752" s="10">
        <f>CHOOSE(CONTROL!$C$42, 46.4619, 46.4619)* CHOOSE(CONTROL!$C$21, $C$9, 100%, $E$9)</f>
        <v>46.4619</v>
      </c>
      <c r="J752" s="10">
        <f>CHOOSE(CONTROL!$C$42, 46.4318, 46.4318)* CHOOSE(CONTROL!$C$21, $C$9, 100%, $E$9)</f>
        <v>46.431800000000003</v>
      </c>
      <c r="K752" s="53">
        <f>CHOOSE(CONTROL!$C$42, 46.458, 46.458) * CHOOSE(CONTROL!$C$21, $C$9, 100%, $E$9)</f>
        <v>46.457999999999998</v>
      </c>
      <c r="L752" s="10">
        <f>CHOOSE(CONTROL!$C$42, 47.2792, 47.2792) * CHOOSE(CONTROL!$C$21, $C$9, 100%, $E$9)</f>
        <v>47.279200000000003</v>
      </c>
      <c r="M752" s="10">
        <f>CHOOSE(CONTROL!$C$42, 45.977, 45.977) * CHOOSE(CONTROL!$C$21, $C$9, 100%, $E$9)</f>
        <v>45.976999999999997</v>
      </c>
      <c r="N752" s="10">
        <f>CHOOSE(CONTROL!$C$42, 45.9922, 45.9922) * CHOOSE(CONTROL!$C$21, $C$9, 100%, $E$9)</f>
        <v>45.992199999999997</v>
      </c>
      <c r="O752" s="10">
        <f>CHOOSE(CONTROL!$C$42, 46.2349, 46.2349) * CHOOSE(CONTROL!$C$21, $C$9, 100%, $E$9)</f>
        <v>46.234900000000003</v>
      </c>
      <c r="P752" s="10">
        <f>CHOOSE(CONTROL!$C$42, 46.0068, 46.0068) * CHOOSE(CONTROL!$C$21, $C$9, 100%, $E$9)</f>
        <v>46.006799999999998</v>
      </c>
      <c r="Q752" s="10">
        <f>CHOOSE(CONTROL!$C$42, 46.8302, 46.8302) * CHOOSE(CONTROL!$C$21, $C$9, 100%, $E$9)</f>
        <v>46.830199999999998</v>
      </c>
      <c r="R752" s="10">
        <f>CHOOSE(CONTROL!$C$42, 47.5342, 47.5342) * CHOOSE(CONTROL!$C$21, $C$9, 100%, $E$9)</f>
        <v>47.534199999999998</v>
      </c>
      <c r="S752" s="10">
        <f>CHOOSE(CONTROL!$C$42, 45.1148, 45.1148) * CHOOSE(CONTROL!$C$21, $C$9, 100%, $E$9)</f>
        <v>45.114800000000002</v>
      </c>
      <c r="T7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57">
        <f>(1000*CHOOSE(CONTROL!$C$42, 695, 695)*CHOOSE(CONTROL!$C$42, 0.5599, 0.5599)*CHOOSE(CONTROL!$C$42, 31, 31))/1000000</f>
        <v>12.063045499999998</v>
      </c>
      <c r="V752" s="57">
        <f>(1000*CHOOSE(CONTROL!$C$42, 500, 500)*CHOOSE(CONTROL!$C$42, 0.275, 0.275)*CHOOSE(CONTROL!$C$42, 31, 31))/1000000</f>
        <v>4.2625000000000002</v>
      </c>
      <c r="W752" s="57">
        <f>(1000*CHOOSE(CONTROL!$C$42, 0.1146, 0.1146)*CHOOSE(CONTROL!$C$42, 121.5, 121.5)*CHOOSE(CONTROL!$C$42, 31, 31))/1000000</f>
        <v>0.43164089999999994</v>
      </c>
      <c r="X752" s="57">
        <f>(31*0.1790888*245000/1000000)+(31*0.2374*100000/1000000)</f>
        <v>2.0961194359999999</v>
      </c>
      <c r="Y752" s="57"/>
      <c r="Z752" s="10"/>
      <c r="AA752" s="56"/>
      <c r="AB752" s="50">
        <f>(B752*194.205+C752*267.466+D752*133.845+E752*53.484+F752*40+G752*185+H752*0+I752*100+J752*300)/(194.205+267.466+133.845+53.484+0+40+185+100+300)</f>
        <v>46.486848708084771</v>
      </c>
      <c r="AC752" s="45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46.099052517985612</v>
      </c>
    </row>
    <row r="753" spans="1:29" ht="15.75" x14ac:dyDescent="0.25">
      <c r="A753" s="13">
        <v>63827</v>
      </c>
      <c r="B753" s="10">
        <f>CHOOSE(CONTROL!$C$42, 43.512, 43.512) * CHOOSE(CONTROL!$C$21, $C$9, 100%, $E$9)</f>
        <v>43.512</v>
      </c>
      <c r="C753" s="10">
        <f>CHOOSE(CONTROL!$C$42, 43.5199, 43.5199) * CHOOSE(CONTROL!$C$21, $C$9, 100%, $E$9)</f>
        <v>43.5199</v>
      </c>
      <c r="D753" s="10">
        <f>CHOOSE(CONTROL!$C$42, 43.7227, 43.7227) * CHOOSE(CONTROL!$C$21, $C$9, 100%, $E$9)</f>
        <v>43.722700000000003</v>
      </c>
      <c r="E753" s="10">
        <f>CHOOSE(CONTROL!$C$42, 43.7538, 43.7538) * CHOOSE(CONTROL!$C$21, $C$9, 100%, $E$9)</f>
        <v>43.753799999999998</v>
      </c>
      <c r="F753" s="10">
        <f>CHOOSE(CONTROL!$C$42, 43.4888, 43.4888)*CHOOSE(CONTROL!$C$21, $C$9, 100%, $E$9)</f>
        <v>43.488799999999998</v>
      </c>
      <c r="G753" s="10">
        <f>CHOOSE(CONTROL!$C$42, 43.5041, 43.5041)*CHOOSE(CONTROL!$C$21, $C$9, 100%, $E$9)</f>
        <v>43.504100000000001</v>
      </c>
      <c r="H753" s="10">
        <f>CHOOSE(CONTROL!$C$42, 43.7424, 43.7424) * CHOOSE(CONTROL!$C$21, $C$9, 100%, $E$9)</f>
        <v>43.742400000000004</v>
      </c>
      <c r="I753" s="10">
        <f>CHOOSE(CONTROL!$C$42, 43.5121, 43.5121)* CHOOSE(CONTROL!$C$21, $C$9, 100%, $E$9)</f>
        <v>43.512099999999997</v>
      </c>
      <c r="J753" s="10">
        <f>CHOOSE(CONTROL!$C$42, 43.4818, 43.4818)* CHOOSE(CONTROL!$C$21, $C$9, 100%, $E$9)</f>
        <v>43.4818</v>
      </c>
      <c r="K753" s="53">
        <f>CHOOSE(CONTROL!$C$42, 43.5082, 43.5082) * CHOOSE(CONTROL!$C$21, $C$9, 100%, $E$9)</f>
        <v>43.508200000000002</v>
      </c>
      <c r="L753" s="10">
        <f>CHOOSE(CONTROL!$C$42, 44.3294, 44.3294) * CHOOSE(CONTROL!$C$21, $C$9, 100%, $E$9)</f>
        <v>44.3294</v>
      </c>
      <c r="M753" s="10">
        <f>CHOOSE(CONTROL!$C$42, 43.0568, 43.0568) * CHOOSE(CONTROL!$C$21, $C$9, 100%, $E$9)</f>
        <v>43.056800000000003</v>
      </c>
      <c r="N753" s="10">
        <f>CHOOSE(CONTROL!$C$42, 43.072, 43.072) * CHOOSE(CONTROL!$C$21, $C$9, 100%, $E$9)</f>
        <v>43.072000000000003</v>
      </c>
      <c r="O753" s="10">
        <f>CHOOSE(CONTROL!$C$42, 43.3148, 43.3148) * CHOOSE(CONTROL!$C$21, $C$9, 100%, $E$9)</f>
        <v>43.314799999999998</v>
      </c>
      <c r="P753" s="10">
        <f>CHOOSE(CONTROL!$C$42, 43.0868, 43.0868) * CHOOSE(CONTROL!$C$21, $C$9, 100%, $E$9)</f>
        <v>43.086799999999997</v>
      </c>
      <c r="Q753" s="10">
        <f>CHOOSE(CONTROL!$C$42, 43.9101, 43.9101) * CHOOSE(CONTROL!$C$21, $C$9, 100%, $E$9)</f>
        <v>43.9101</v>
      </c>
      <c r="R753" s="10">
        <f>CHOOSE(CONTROL!$C$42, 44.6069, 44.6069) * CHOOSE(CONTROL!$C$21, $C$9, 100%, $E$9)</f>
        <v>44.606900000000003</v>
      </c>
      <c r="S753" s="10">
        <f>CHOOSE(CONTROL!$C$42, 42.2503, 42.2503) * CHOOSE(CONTROL!$C$21, $C$9, 100%, $E$9)</f>
        <v>42.250300000000003</v>
      </c>
      <c r="T7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57">
        <f>(1000*CHOOSE(CONTROL!$C$42, 695, 695)*CHOOSE(CONTROL!$C$42, 0.5599, 0.5599)*CHOOSE(CONTROL!$C$42, 30, 30))/1000000</f>
        <v>11.673914999999997</v>
      </c>
      <c r="V753" s="57">
        <f>(1000*CHOOSE(CONTROL!$C$42, 500, 500)*CHOOSE(CONTROL!$C$42, 0.275, 0.275)*CHOOSE(CONTROL!$C$42, 30, 30))/1000000</f>
        <v>4.125</v>
      </c>
      <c r="W753" s="57">
        <f>(1000*CHOOSE(CONTROL!$C$42, 0.1146, 0.1146)*CHOOSE(CONTROL!$C$42, 121.5, 121.5)*CHOOSE(CONTROL!$C$42, 30, 30))/1000000</f>
        <v>0.417717</v>
      </c>
      <c r="X753" s="57">
        <f>(30*0.1790888*245000/1000000)+(30*0.2374*100000/1000000)</f>
        <v>2.0285026799999999</v>
      </c>
      <c r="Y753" s="57"/>
      <c r="Z753" s="10"/>
      <c r="AA753" s="56"/>
      <c r="AB753" s="50">
        <f>(B753*194.205+C753*267.466+D753*133.845+E753*53.484+F753*40+G753*185+H753*0+I753*100+J753*300)/(194.205+267.466+133.845+53.484+0+40+185+100+300)</f>
        <v>43.536966290502356</v>
      </c>
      <c r="AC753" s="45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43.178926618705042</v>
      </c>
    </row>
    <row r="754" spans="1:29" ht="15.75" x14ac:dyDescent="0.25">
      <c r="A754" s="13">
        <v>63858</v>
      </c>
      <c r="B754" s="10">
        <f>CHOOSE(CONTROL!$C$42, 42.6269, 42.6269) * CHOOSE(CONTROL!$C$21, $C$9, 100%, $E$9)</f>
        <v>42.626899999999999</v>
      </c>
      <c r="C754" s="10">
        <f>CHOOSE(CONTROL!$C$42, 42.6321, 42.6321) * CHOOSE(CONTROL!$C$21, $C$9, 100%, $E$9)</f>
        <v>42.632100000000001</v>
      </c>
      <c r="D754" s="10">
        <f>CHOOSE(CONTROL!$C$42, 42.8398, 42.8398) * CHOOSE(CONTROL!$C$21, $C$9, 100%, $E$9)</f>
        <v>42.839799999999997</v>
      </c>
      <c r="E754" s="10">
        <f>CHOOSE(CONTROL!$C$42, 42.8686, 42.8686) * CHOOSE(CONTROL!$C$21, $C$9, 100%, $E$9)</f>
        <v>42.868600000000001</v>
      </c>
      <c r="F754" s="10">
        <f>CHOOSE(CONTROL!$C$42, 42.6056, 42.6056)*CHOOSE(CONTROL!$C$21, $C$9, 100%, $E$9)</f>
        <v>42.605600000000003</v>
      </c>
      <c r="G754" s="10">
        <f>CHOOSE(CONTROL!$C$42, 42.6206, 42.6206)*CHOOSE(CONTROL!$C$21, $C$9, 100%, $E$9)</f>
        <v>42.620600000000003</v>
      </c>
      <c r="H754" s="10">
        <f>CHOOSE(CONTROL!$C$42, 42.8591, 42.8591) * CHOOSE(CONTROL!$C$21, $C$9, 100%, $E$9)</f>
        <v>42.859099999999998</v>
      </c>
      <c r="I754" s="10">
        <f>CHOOSE(CONTROL!$C$42, 42.6287, 42.6287)* CHOOSE(CONTROL!$C$21, $C$9, 100%, $E$9)</f>
        <v>42.628700000000002</v>
      </c>
      <c r="J754" s="10">
        <f>CHOOSE(CONTROL!$C$42, 42.5986, 42.5986)* CHOOSE(CONTROL!$C$21, $C$9, 100%, $E$9)</f>
        <v>42.598599999999998</v>
      </c>
      <c r="K754" s="53">
        <f>CHOOSE(CONTROL!$C$42, 42.6248, 42.6248) * CHOOSE(CONTROL!$C$21, $C$9, 100%, $E$9)</f>
        <v>42.6248</v>
      </c>
      <c r="L754" s="10">
        <f>CHOOSE(CONTROL!$C$42, 43.4461, 43.4461) * CHOOSE(CONTROL!$C$21, $C$9, 100%, $E$9)</f>
        <v>43.446100000000001</v>
      </c>
      <c r="M754" s="10">
        <f>CHOOSE(CONTROL!$C$42, 42.1825, 42.1825) * CHOOSE(CONTROL!$C$21, $C$9, 100%, $E$9)</f>
        <v>42.182499999999997</v>
      </c>
      <c r="N754" s="10">
        <f>CHOOSE(CONTROL!$C$42, 42.1973, 42.1973) * CHOOSE(CONTROL!$C$21, $C$9, 100%, $E$9)</f>
        <v>42.197299999999998</v>
      </c>
      <c r="O754" s="10">
        <f>CHOOSE(CONTROL!$C$42, 42.4404, 42.4404) * CHOOSE(CONTROL!$C$21, $C$9, 100%, $E$9)</f>
        <v>42.440399999999997</v>
      </c>
      <c r="P754" s="10">
        <f>CHOOSE(CONTROL!$C$42, 42.2124, 42.2124) * CHOOSE(CONTROL!$C$21, $C$9, 100%, $E$9)</f>
        <v>42.212400000000002</v>
      </c>
      <c r="Q754" s="10">
        <f>CHOOSE(CONTROL!$C$42, 43.0357, 43.0357) * CHOOSE(CONTROL!$C$21, $C$9, 100%, $E$9)</f>
        <v>43.035699999999999</v>
      </c>
      <c r="R754" s="10">
        <f>CHOOSE(CONTROL!$C$42, 43.7303, 43.7303) * CHOOSE(CONTROL!$C$21, $C$9, 100%, $E$9)</f>
        <v>43.7303</v>
      </c>
      <c r="S754" s="10">
        <f>CHOOSE(CONTROL!$C$42, 41.3924, 41.3924) * CHOOSE(CONTROL!$C$21, $C$9, 100%, $E$9)</f>
        <v>41.392400000000002</v>
      </c>
      <c r="T7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57">
        <f>(1000*CHOOSE(CONTROL!$C$42, 695, 695)*CHOOSE(CONTROL!$C$42, 0.5599, 0.5599)*CHOOSE(CONTROL!$C$42, 31, 31))/1000000</f>
        <v>12.063045499999998</v>
      </c>
      <c r="V754" s="57">
        <f>(1000*CHOOSE(CONTROL!$C$42, 500, 500)*CHOOSE(CONTROL!$C$42, 0.275, 0.275)*CHOOSE(CONTROL!$C$42, 31, 31))/1000000</f>
        <v>4.2625000000000002</v>
      </c>
      <c r="W754" s="57">
        <f>(1000*CHOOSE(CONTROL!$C$42, 0.1146, 0.1146)*CHOOSE(CONTROL!$C$42, 121.5, 121.5)*CHOOSE(CONTROL!$C$42, 31, 31))/1000000</f>
        <v>0.43164089999999994</v>
      </c>
      <c r="X754" s="57">
        <f>(31*0.1790888*245000/1000000)+(31*0.2374*100000/1000000)</f>
        <v>2.0961194359999999</v>
      </c>
      <c r="Y754" s="57"/>
      <c r="Z754" s="10"/>
      <c r="AA754" s="56"/>
      <c r="AB754" s="50">
        <f>(B754*131.881+C754*277.167+D754*79.08+E754*125.872+F754*40+G754*185+H754*0+I754*100+J754*300)/(131.881+277.167+79.08+125.872+0+40+185+100+300)</f>
        <v>42.657871075706218</v>
      </c>
      <c r="AC754" s="45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42.304543884892084</v>
      </c>
    </row>
    <row r="755" spans="1:29" ht="15.75" x14ac:dyDescent="0.25">
      <c r="A755" s="13">
        <v>63888</v>
      </c>
      <c r="B755" s="10">
        <f>CHOOSE(CONTROL!$C$42, 43.7494, 43.7494) * CHOOSE(CONTROL!$C$21, $C$9, 100%, $E$9)</f>
        <v>43.749400000000001</v>
      </c>
      <c r="C755" s="10">
        <f>CHOOSE(CONTROL!$C$42, 43.7543, 43.7543) * CHOOSE(CONTROL!$C$21, $C$9, 100%, $E$9)</f>
        <v>43.754300000000001</v>
      </c>
      <c r="D755" s="10">
        <f>CHOOSE(CONTROL!$C$42, 43.8148, 43.8148) * CHOOSE(CONTROL!$C$21, $C$9, 100%, $E$9)</f>
        <v>43.814799999999998</v>
      </c>
      <c r="E755" s="10">
        <f>CHOOSE(CONTROL!$C$42, 43.8486, 43.8486) * CHOOSE(CONTROL!$C$21, $C$9, 100%, $E$9)</f>
        <v>43.848599999999998</v>
      </c>
      <c r="F755" s="10">
        <f>CHOOSE(CONTROL!$C$42, 43.745, 43.745)*CHOOSE(CONTROL!$C$21, $C$9, 100%, $E$9)</f>
        <v>43.744999999999997</v>
      </c>
      <c r="G755" s="10">
        <f>CHOOSE(CONTROL!$C$42, 43.7602, 43.7602)*CHOOSE(CONTROL!$C$21, $C$9, 100%, $E$9)</f>
        <v>43.760199999999998</v>
      </c>
      <c r="H755" s="10">
        <f>CHOOSE(CONTROL!$C$42, 43.8378, 43.8378) * CHOOSE(CONTROL!$C$21, $C$9, 100%, $E$9)</f>
        <v>43.837800000000001</v>
      </c>
      <c r="I755" s="10">
        <f>CHOOSE(CONTROL!$C$42, 43.7619, 43.7619)* CHOOSE(CONTROL!$C$21, $C$9, 100%, $E$9)</f>
        <v>43.761899999999997</v>
      </c>
      <c r="J755" s="10">
        <f>CHOOSE(CONTROL!$C$42, 43.738, 43.738)* CHOOSE(CONTROL!$C$21, $C$9, 100%, $E$9)</f>
        <v>43.738</v>
      </c>
      <c r="K755" s="53">
        <f>CHOOSE(CONTROL!$C$42, 43.758, 43.758) * CHOOSE(CONTROL!$C$21, $C$9, 100%, $E$9)</f>
        <v>43.758000000000003</v>
      </c>
      <c r="L755" s="10">
        <f>CHOOSE(CONTROL!$C$42, 44.4248, 44.4248) * CHOOSE(CONTROL!$C$21, $C$9, 100%, $E$9)</f>
        <v>44.424799999999998</v>
      </c>
      <c r="M755" s="10">
        <f>CHOOSE(CONTROL!$C$42, 43.3104, 43.3104) * CHOOSE(CONTROL!$C$21, $C$9, 100%, $E$9)</f>
        <v>43.310400000000001</v>
      </c>
      <c r="N755" s="10">
        <f>CHOOSE(CONTROL!$C$42, 43.3255, 43.3255) * CHOOSE(CONTROL!$C$21, $C$9, 100%, $E$9)</f>
        <v>43.325499999999998</v>
      </c>
      <c r="O755" s="10">
        <f>CHOOSE(CONTROL!$C$42, 43.4092, 43.4092) * CHOOSE(CONTROL!$C$21, $C$9, 100%, $E$9)</f>
        <v>43.409199999999998</v>
      </c>
      <c r="P755" s="10">
        <f>CHOOSE(CONTROL!$C$42, 43.3341, 43.3341) * CHOOSE(CONTROL!$C$21, $C$9, 100%, $E$9)</f>
        <v>43.334099999999999</v>
      </c>
      <c r="Q755" s="10">
        <f>CHOOSE(CONTROL!$C$42, 44.0045, 44.0045) * CHOOSE(CONTROL!$C$21, $C$9, 100%, $E$9)</f>
        <v>44.0045</v>
      </c>
      <c r="R755" s="10">
        <f>CHOOSE(CONTROL!$C$42, 44.7015, 44.7015) * CHOOSE(CONTROL!$C$21, $C$9, 100%, $E$9)</f>
        <v>44.701500000000003</v>
      </c>
      <c r="S755" s="10">
        <f>CHOOSE(CONTROL!$C$42, 42.4829, 42.4829) * CHOOSE(CONTROL!$C$21, $C$9, 100%, $E$9)</f>
        <v>42.482900000000001</v>
      </c>
      <c r="T7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57">
        <f>(1000*CHOOSE(CONTROL!$C$42, 695, 695)*CHOOSE(CONTROL!$C$42, 0.5599, 0.5599)*CHOOSE(CONTROL!$C$42, 30, 30))/1000000</f>
        <v>11.673914999999997</v>
      </c>
      <c r="V755" s="57">
        <f>(1000*CHOOSE(CONTROL!$C$42, 500, 500)*CHOOSE(CONTROL!$C$42, 0.275, 0.275)*CHOOSE(CONTROL!$C$42, 30, 30))/1000000</f>
        <v>4.125</v>
      </c>
      <c r="W755" s="57">
        <f>(1000*CHOOSE(CONTROL!$C$42, 0.1146, 0.1146)*CHOOSE(CONTROL!$C$42, 121.5, 121.5)*CHOOSE(CONTROL!$C$42, 30, 30))/1000000</f>
        <v>0.417717</v>
      </c>
      <c r="X755" s="57">
        <f>(30*0.1790888*100000/1000000)+(30*0.2374*100000/1000000)</f>
        <v>1.2494664</v>
      </c>
      <c r="Y755" s="57"/>
      <c r="Z755" s="10"/>
      <c r="AA755" s="56"/>
      <c r="AB755" s="50">
        <f>(B755*122.58+C755*297.941+D755*89.177+E755*40.302+F755*40+G755*160+H755*0+I755*100+J755*300)/(122.58+297.941+89.177+40.302+0+40+160+100+300)</f>
        <v>43.758680039217388</v>
      </c>
      <c r="AC755" s="45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43.359458992805756</v>
      </c>
    </row>
    <row r="756" spans="1:29" ht="15.75" x14ac:dyDescent="0.25">
      <c r="A756" s="13">
        <v>63919</v>
      </c>
      <c r="B756" s="10">
        <f>CHOOSE(CONTROL!$C$42, 46.732, 46.732) * CHOOSE(CONTROL!$C$21, $C$9, 100%, $E$9)</f>
        <v>46.731999999999999</v>
      </c>
      <c r="C756" s="10">
        <f>CHOOSE(CONTROL!$C$42, 46.7369, 46.7369) * CHOOSE(CONTROL!$C$21, $C$9, 100%, $E$9)</f>
        <v>46.736899999999999</v>
      </c>
      <c r="D756" s="10">
        <f>CHOOSE(CONTROL!$C$42, 46.7974, 46.7974) * CHOOSE(CONTROL!$C$21, $C$9, 100%, $E$9)</f>
        <v>46.797400000000003</v>
      </c>
      <c r="E756" s="10">
        <f>CHOOSE(CONTROL!$C$42, 46.8312, 46.8312) * CHOOSE(CONTROL!$C$21, $C$9, 100%, $E$9)</f>
        <v>46.831200000000003</v>
      </c>
      <c r="F756" s="10">
        <f>CHOOSE(CONTROL!$C$42, 46.7295, 46.7295)*CHOOSE(CONTROL!$C$21, $C$9, 100%, $E$9)</f>
        <v>46.729500000000002</v>
      </c>
      <c r="G756" s="10">
        <f>CHOOSE(CONTROL!$C$42, 46.7452, 46.7452)*CHOOSE(CONTROL!$C$21, $C$9, 100%, $E$9)</f>
        <v>46.745199999999997</v>
      </c>
      <c r="H756" s="10">
        <f>CHOOSE(CONTROL!$C$42, 46.8204, 46.8204) * CHOOSE(CONTROL!$C$21, $C$9, 100%, $E$9)</f>
        <v>46.820399999999999</v>
      </c>
      <c r="I756" s="10">
        <f>CHOOSE(CONTROL!$C$42, 46.7445, 46.7445)* CHOOSE(CONTROL!$C$21, $C$9, 100%, $E$9)</f>
        <v>46.744500000000002</v>
      </c>
      <c r="J756" s="10">
        <f>CHOOSE(CONTROL!$C$42, 46.7225, 46.7225)* CHOOSE(CONTROL!$C$21, $C$9, 100%, $E$9)</f>
        <v>46.722499999999997</v>
      </c>
      <c r="K756" s="53">
        <f>CHOOSE(CONTROL!$C$42, 46.7406, 46.7406) * CHOOSE(CONTROL!$C$21, $C$9, 100%, $E$9)</f>
        <v>46.740600000000001</v>
      </c>
      <c r="L756" s="10">
        <f>CHOOSE(CONTROL!$C$42, 47.4074, 47.4074) * CHOOSE(CONTROL!$C$21, $C$9, 100%, $E$9)</f>
        <v>47.407400000000003</v>
      </c>
      <c r="M756" s="10">
        <f>CHOOSE(CONTROL!$C$42, 46.2648, 46.2648) * CHOOSE(CONTROL!$C$21, $C$9, 100%, $E$9)</f>
        <v>46.264800000000001</v>
      </c>
      <c r="N756" s="10">
        <f>CHOOSE(CONTROL!$C$42, 46.2803, 46.2803) * CHOOSE(CONTROL!$C$21, $C$9, 100%, $E$9)</f>
        <v>46.280299999999997</v>
      </c>
      <c r="O756" s="10">
        <f>CHOOSE(CONTROL!$C$42, 46.3617, 46.3617) * CHOOSE(CONTROL!$C$21, $C$9, 100%, $E$9)</f>
        <v>46.361699999999999</v>
      </c>
      <c r="P756" s="10">
        <f>CHOOSE(CONTROL!$C$42, 46.2866, 46.2866) * CHOOSE(CONTROL!$C$21, $C$9, 100%, $E$9)</f>
        <v>46.2866</v>
      </c>
      <c r="Q756" s="10">
        <f>CHOOSE(CONTROL!$C$42, 46.957, 46.957) * CHOOSE(CONTROL!$C$21, $C$9, 100%, $E$9)</f>
        <v>46.957000000000001</v>
      </c>
      <c r="R756" s="10">
        <f>CHOOSE(CONTROL!$C$42, 47.6614, 47.6614) * CHOOSE(CONTROL!$C$21, $C$9, 100%, $E$9)</f>
        <v>47.6614</v>
      </c>
      <c r="S756" s="10">
        <f>CHOOSE(CONTROL!$C$42, 45.3793, 45.3793) * CHOOSE(CONTROL!$C$21, $C$9, 100%, $E$9)</f>
        <v>45.379300000000001</v>
      </c>
      <c r="T7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57">
        <f>(1000*CHOOSE(CONTROL!$C$42, 695, 695)*CHOOSE(CONTROL!$C$42, 0.5599, 0.5599)*CHOOSE(CONTROL!$C$42, 31, 31))/1000000</f>
        <v>12.063045499999998</v>
      </c>
      <c r="V756" s="57">
        <f>(1000*CHOOSE(CONTROL!$C$42, 500, 500)*CHOOSE(CONTROL!$C$42, 0.275, 0.275)*CHOOSE(CONTROL!$C$42, 31, 31))/1000000</f>
        <v>4.2625000000000002</v>
      </c>
      <c r="W756" s="57">
        <f>(1000*CHOOSE(CONTROL!$C$42, 0.1146, 0.1146)*CHOOSE(CONTROL!$C$42, 121.5, 121.5)*CHOOSE(CONTROL!$C$42, 31, 31))/1000000</f>
        <v>0.43164089999999994</v>
      </c>
      <c r="X756" s="57">
        <f>(31*0.1790888*100000/1000000)+(31*0.2374*100000/1000000)</f>
        <v>1.2911152800000001</v>
      </c>
      <c r="Y756" s="57"/>
      <c r="Z756" s="10"/>
      <c r="AA756" s="56"/>
      <c r="AB756" s="50">
        <f>(B756*122.58+C756*297.941+D756*89.177+E756*40.302+F756*40+G756*160+H756*0+I756*100+J756*300)/(122.58+297.941+89.177+40.302+0+40+160+100+300)</f>
        <v>46.742175691391303</v>
      </c>
      <c r="AC756" s="45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46.312747482014387</v>
      </c>
    </row>
    <row r="757" spans="1:29" ht="15.75" x14ac:dyDescent="0.25">
      <c r="A757" s="13">
        <v>63950</v>
      </c>
      <c r="B757" s="10">
        <f>CHOOSE(CONTROL!$C$42, 50.5608, 50.5608) * CHOOSE(CONTROL!$C$21, $C$9, 100%, $E$9)</f>
        <v>50.5608</v>
      </c>
      <c r="C757" s="10">
        <f>CHOOSE(CONTROL!$C$42, 50.5658, 50.5658) * CHOOSE(CONTROL!$C$21, $C$9, 100%, $E$9)</f>
        <v>50.565800000000003</v>
      </c>
      <c r="D757" s="10">
        <f>CHOOSE(CONTROL!$C$42, 50.6228, 50.6228) * CHOOSE(CONTROL!$C$21, $C$9, 100%, $E$9)</f>
        <v>50.622799999999998</v>
      </c>
      <c r="E757" s="10">
        <f>CHOOSE(CONTROL!$C$42, 50.6566, 50.6566) * CHOOSE(CONTROL!$C$21, $C$9, 100%, $E$9)</f>
        <v>50.656599999999997</v>
      </c>
      <c r="F757" s="10">
        <f>CHOOSE(CONTROL!$C$42, 50.5586, 50.5586)*CHOOSE(CONTROL!$C$21, $C$9, 100%, $E$9)</f>
        <v>50.558599999999998</v>
      </c>
      <c r="G757" s="10">
        <f>CHOOSE(CONTROL!$C$42, 50.5733, 50.5733)*CHOOSE(CONTROL!$C$21, $C$9, 100%, $E$9)</f>
        <v>50.573300000000003</v>
      </c>
      <c r="H757" s="10">
        <f>CHOOSE(CONTROL!$C$42, 50.6458, 50.6458) * CHOOSE(CONTROL!$C$21, $C$9, 100%, $E$9)</f>
        <v>50.645800000000001</v>
      </c>
      <c r="I757" s="10">
        <f>CHOOSE(CONTROL!$C$42, 50.5716, 50.5716)* CHOOSE(CONTROL!$C$21, $C$9, 100%, $E$9)</f>
        <v>50.571599999999997</v>
      </c>
      <c r="J757" s="10">
        <f>CHOOSE(CONTROL!$C$42, 50.5516, 50.5516)* CHOOSE(CONTROL!$C$21, $C$9, 100%, $E$9)</f>
        <v>50.551600000000001</v>
      </c>
      <c r="K757" s="53">
        <f>CHOOSE(CONTROL!$C$42, 50.5677, 50.5677) * CHOOSE(CONTROL!$C$21, $C$9, 100%, $E$9)</f>
        <v>50.567700000000002</v>
      </c>
      <c r="L757" s="10">
        <f>CHOOSE(CONTROL!$C$42, 51.2328, 51.2328) * CHOOSE(CONTROL!$C$21, $C$9, 100%, $E$9)</f>
        <v>51.232799999999997</v>
      </c>
      <c r="M757" s="10">
        <f>CHOOSE(CONTROL!$C$42, 50.0553, 50.0553) * CHOOSE(CONTROL!$C$21, $C$9, 100%, $E$9)</f>
        <v>50.055300000000003</v>
      </c>
      <c r="N757" s="10">
        <f>CHOOSE(CONTROL!$C$42, 50.0698, 50.0698) * CHOOSE(CONTROL!$C$21, $C$9, 100%, $E$9)</f>
        <v>50.069800000000001</v>
      </c>
      <c r="O757" s="10">
        <f>CHOOSE(CONTROL!$C$42, 50.1485, 50.1485) * CHOOSE(CONTROL!$C$21, $C$9, 100%, $E$9)</f>
        <v>50.148499999999999</v>
      </c>
      <c r="P757" s="10">
        <f>CHOOSE(CONTROL!$C$42, 50.0751, 50.0751) * CHOOSE(CONTROL!$C$21, $C$9, 100%, $E$9)</f>
        <v>50.075099999999999</v>
      </c>
      <c r="Q757" s="10">
        <f>CHOOSE(CONTROL!$C$42, 50.7438, 50.7438) * CHOOSE(CONTROL!$C$21, $C$9, 100%, $E$9)</f>
        <v>50.7438</v>
      </c>
      <c r="R757" s="10">
        <f>CHOOSE(CONTROL!$C$42, 51.4577, 51.4577) * CHOOSE(CONTROL!$C$21, $C$9, 100%, $E$9)</f>
        <v>51.457700000000003</v>
      </c>
      <c r="S757" s="10">
        <f>CHOOSE(CONTROL!$C$42, 49.0975, 49.0975) * CHOOSE(CONTROL!$C$21, $C$9, 100%, $E$9)</f>
        <v>49.097499999999997</v>
      </c>
      <c r="T7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57">
        <f>(1000*CHOOSE(CONTROL!$C$42, 695, 695)*CHOOSE(CONTROL!$C$42, 0.5599, 0.5599)*CHOOSE(CONTROL!$C$42, 31, 31))/1000000</f>
        <v>12.063045499999998</v>
      </c>
      <c r="V757" s="57">
        <f>(1000*CHOOSE(CONTROL!$C$42, 500, 500)*CHOOSE(CONTROL!$C$42, 0.275, 0.275)*CHOOSE(CONTROL!$C$42, 31, 31))/1000000</f>
        <v>4.2625000000000002</v>
      </c>
      <c r="W757" s="57">
        <f>(1000*CHOOSE(CONTROL!$C$42, 0.1146, 0.1146)*CHOOSE(CONTROL!$C$42, 121.5, 121.5)*CHOOSE(CONTROL!$C$42, 31, 31))/1000000</f>
        <v>0.43164089999999994</v>
      </c>
      <c r="X757" s="57">
        <f>(31*0.1790888*100000/1000000)+(31*0.2374*100000/1000000)</f>
        <v>1.2911152800000001</v>
      </c>
      <c r="Y757" s="57"/>
      <c r="Z757" s="10"/>
      <c r="AA757" s="56"/>
      <c r="AB757" s="50">
        <f>(B757*122.58+C757*297.941+D757*89.177+E757*40.302+F757*40+G757*160+H757*0+I757*100+J757*300)/(122.58+297.941+89.177+40.302+0+40+160+100+300)</f>
        <v>50.570462270086949</v>
      </c>
      <c r="AC757" s="45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50.101225179856122</v>
      </c>
    </row>
    <row r="758" spans="1:29" ht="15.75" x14ac:dyDescent="0.25">
      <c r="A758" s="13">
        <v>63978</v>
      </c>
      <c r="B758" s="10">
        <f>CHOOSE(CONTROL!$C$42, 51.4608, 51.4608) * CHOOSE(CONTROL!$C$21, $C$9, 100%, $E$9)</f>
        <v>51.460799999999999</v>
      </c>
      <c r="C758" s="10">
        <f>CHOOSE(CONTROL!$C$42, 51.4658, 51.4658) * CHOOSE(CONTROL!$C$21, $C$9, 100%, $E$9)</f>
        <v>51.465800000000002</v>
      </c>
      <c r="D758" s="10">
        <f>CHOOSE(CONTROL!$C$42, 51.5229, 51.5229) * CHOOSE(CONTROL!$C$21, $C$9, 100%, $E$9)</f>
        <v>51.5229</v>
      </c>
      <c r="E758" s="10">
        <f>CHOOSE(CONTROL!$C$42, 51.5566, 51.5566) * CHOOSE(CONTROL!$C$21, $C$9, 100%, $E$9)</f>
        <v>51.556600000000003</v>
      </c>
      <c r="F758" s="10">
        <f>CHOOSE(CONTROL!$C$42, 51.4588, 51.4588)*CHOOSE(CONTROL!$C$21, $C$9, 100%, $E$9)</f>
        <v>51.458799999999997</v>
      </c>
      <c r="G758" s="10">
        <f>CHOOSE(CONTROL!$C$42, 51.4734, 51.4734)*CHOOSE(CONTROL!$C$21, $C$9, 100%, $E$9)</f>
        <v>51.473399999999998</v>
      </c>
      <c r="H758" s="10">
        <f>CHOOSE(CONTROL!$C$42, 51.5458, 51.5458) * CHOOSE(CONTROL!$C$21, $C$9, 100%, $E$9)</f>
        <v>51.5458</v>
      </c>
      <c r="I758" s="10">
        <f>CHOOSE(CONTROL!$C$42, 51.4716, 51.4716)* CHOOSE(CONTROL!$C$21, $C$9, 100%, $E$9)</f>
        <v>51.471600000000002</v>
      </c>
      <c r="J758" s="10">
        <f>CHOOSE(CONTROL!$C$42, 51.4518, 51.4518)* CHOOSE(CONTROL!$C$21, $C$9, 100%, $E$9)</f>
        <v>51.451799999999999</v>
      </c>
      <c r="K758" s="53">
        <f>CHOOSE(CONTROL!$C$42, 51.4677, 51.4677) * CHOOSE(CONTROL!$C$21, $C$9, 100%, $E$9)</f>
        <v>51.467700000000001</v>
      </c>
      <c r="L758" s="10">
        <f>CHOOSE(CONTROL!$C$42, 52.1328, 52.1328) * CHOOSE(CONTROL!$C$21, $C$9, 100%, $E$9)</f>
        <v>52.132800000000003</v>
      </c>
      <c r="M758" s="10">
        <f>CHOOSE(CONTROL!$C$42, 50.9464, 50.9464) * CHOOSE(CONTROL!$C$21, $C$9, 100%, $E$9)</f>
        <v>50.946399999999997</v>
      </c>
      <c r="N758" s="10">
        <f>CHOOSE(CONTROL!$C$42, 50.9609, 50.9609) * CHOOSE(CONTROL!$C$21, $C$9, 100%, $E$9)</f>
        <v>50.960900000000002</v>
      </c>
      <c r="O758" s="10">
        <f>CHOOSE(CONTROL!$C$42, 51.0395, 51.0395) * CHOOSE(CONTROL!$C$21, $C$9, 100%, $E$9)</f>
        <v>51.039499999999997</v>
      </c>
      <c r="P758" s="10">
        <f>CHOOSE(CONTROL!$C$42, 50.9661, 50.9661) * CHOOSE(CONTROL!$C$21, $C$9, 100%, $E$9)</f>
        <v>50.966099999999997</v>
      </c>
      <c r="Q758" s="10">
        <f>CHOOSE(CONTROL!$C$42, 51.6348, 51.6348) * CHOOSE(CONTROL!$C$21, $C$9, 100%, $E$9)</f>
        <v>51.634799999999998</v>
      </c>
      <c r="R758" s="10">
        <f>CHOOSE(CONTROL!$C$42, 52.3509, 52.3509) * CHOOSE(CONTROL!$C$21, $C$9, 100%, $E$9)</f>
        <v>52.350900000000003</v>
      </c>
      <c r="S758" s="10">
        <f>CHOOSE(CONTROL!$C$42, 49.9715, 49.9715) * CHOOSE(CONTROL!$C$21, $C$9, 100%, $E$9)</f>
        <v>49.971499999999999</v>
      </c>
      <c r="T7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58" s="57">
        <f>(1000*CHOOSE(CONTROL!$C$42, 695, 695)*CHOOSE(CONTROL!$C$42, 0.5599, 0.5599)*CHOOSE(CONTROL!$C$42, 28, 28))/1000000</f>
        <v>10.895653999999999</v>
      </c>
      <c r="V758" s="57">
        <f>(1000*CHOOSE(CONTROL!$C$42, 500, 500)*CHOOSE(CONTROL!$C$42, 0.275, 0.275)*CHOOSE(CONTROL!$C$42, 28, 28))/1000000</f>
        <v>3.85</v>
      </c>
      <c r="W758" s="57">
        <f>(1000*CHOOSE(CONTROL!$C$42, 0.1146, 0.1146)*CHOOSE(CONTROL!$C$42, 121.5, 121.5)*CHOOSE(CONTROL!$C$42, 28, 28))/1000000</f>
        <v>0.38986920000000003</v>
      </c>
      <c r="X758" s="57">
        <f>(28*0.1790888*100000/1000000)+(28*0.2374*100000/1000000)</f>
        <v>1.16616864</v>
      </c>
      <c r="Y758" s="57"/>
      <c r="Z758" s="10"/>
      <c r="AA758" s="56"/>
      <c r="AB758" s="50">
        <f>(B758*122.58+C758*297.941+D758*89.177+E758*40.302+F758*40+G758*160+H758*0+I758*100+J758*300)/(122.58+297.941+89.177+40.302+0+40+160+100+300)</f>
        <v>51.470543068086954</v>
      </c>
      <c r="AC758" s="45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50.992265467625899</v>
      </c>
    </row>
    <row r="759" spans="1:29" ht="15.75" x14ac:dyDescent="0.25">
      <c r="A759" s="13">
        <v>64009</v>
      </c>
      <c r="B759" s="10">
        <f>CHOOSE(CONTROL!$C$42, 49.9999, 49.9999) * CHOOSE(CONTROL!$C$21, $C$9, 100%, $E$9)</f>
        <v>49.999899999999997</v>
      </c>
      <c r="C759" s="10">
        <f>CHOOSE(CONTROL!$C$42, 50.0049, 50.0049) * CHOOSE(CONTROL!$C$21, $C$9, 100%, $E$9)</f>
        <v>50.004899999999999</v>
      </c>
      <c r="D759" s="10">
        <f>CHOOSE(CONTROL!$C$42, 50.0619, 50.0619) * CHOOSE(CONTROL!$C$21, $C$9, 100%, $E$9)</f>
        <v>50.061900000000001</v>
      </c>
      <c r="E759" s="10">
        <f>CHOOSE(CONTROL!$C$42, 50.0957, 50.0957) * CHOOSE(CONTROL!$C$21, $C$9, 100%, $E$9)</f>
        <v>50.095700000000001</v>
      </c>
      <c r="F759" s="10">
        <f>CHOOSE(CONTROL!$C$42, 49.9977, 49.9977)*CHOOSE(CONTROL!$C$21, $C$9, 100%, $E$9)</f>
        <v>49.997700000000002</v>
      </c>
      <c r="G759" s="10">
        <f>CHOOSE(CONTROL!$C$42, 50.0123, 50.0123)*CHOOSE(CONTROL!$C$21, $C$9, 100%, $E$9)</f>
        <v>50.012300000000003</v>
      </c>
      <c r="H759" s="10">
        <f>CHOOSE(CONTROL!$C$42, 50.0849, 50.0849) * CHOOSE(CONTROL!$C$21, $C$9, 100%, $E$9)</f>
        <v>50.084899999999998</v>
      </c>
      <c r="I759" s="10">
        <f>CHOOSE(CONTROL!$C$42, 50.0107, 50.0107)* CHOOSE(CONTROL!$C$21, $C$9, 100%, $E$9)</f>
        <v>50.0107</v>
      </c>
      <c r="J759" s="10">
        <f>CHOOSE(CONTROL!$C$42, 49.9907, 49.9907)* CHOOSE(CONTROL!$C$21, $C$9, 100%, $E$9)</f>
        <v>49.990699999999997</v>
      </c>
      <c r="K759" s="53">
        <f>CHOOSE(CONTROL!$C$42, 50.0068, 50.0068) * CHOOSE(CONTROL!$C$21, $C$9, 100%, $E$9)</f>
        <v>50.006799999999998</v>
      </c>
      <c r="L759" s="10">
        <f>CHOOSE(CONTROL!$C$42, 50.6719, 50.6719) * CHOOSE(CONTROL!$C$21, $C$9, 100%, $E$9)</f>
        <v>50.671900000000001</v>
      </c>
      <c r="M759" s="10">
        <f>CHOOSE(CONTROL!$C$42, 49.5, 49.5) * CHOOSE(CONTROL!$C$21, $C$9, 100%, $E$9)</f>
        <v>49.5</v>
      </c>
      <c r="N759" s="10">
        <f>CHOOSE(CONTROL!$C$42, 49.5145, 49.5145) * CHOOSE(CONTROL!$C$21, $C$9, 100%, $E$9)</f>
        <v>49.514499999999998</v>
      </c>
      <c r="O759" s="10">
        <f>CHOOSE(CONTROL!$C$42, 49.5933, 49.5933) * CHOOSE(CONTROL!$C$21, $C$9, 100%, $E$9)</f>
        <v>49.593299999999999</v>
      </c>
      <c r="P759" s="10">
        <f>CHOOSE(CONTROL!$C$42, 49.5199, 49.5199) * CHOOSE(CONTROL!$C$21, $C$9, 100%, $E$9)</f>
        <v>49.5199</v>
      </c>
      <c r="Q759" s="10">
        <f>CHOOSE(CONTROL!$C$42, 50.1886, 50.1886) * CHOOSE(CONTROL!$C$21, $C$9, 100%, $E$9)</f>
        <v>50.188600000000001</v>
      </c>
      <c r="R759" s="10">
        <f>CHOOSE(CONTROL!$C$42, 50.9011, 50.9011) * CHOOSE(CONTROL!$C$21, $C$9, 100%, $E$9)</f>
        <v>50.9011</v>
      </c>
      <c r="S759" s="10">
        <f>CHOOSE(CONTROL!$C$42, 48.5528, 48.5528) * CHOOSE(CONTROL!$C$21, $C$9, 100%, $E$9)</f>
        <v>48.552799999999998</v>
      </c>
      <c r="T7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57">
        <f>(1000*CHOOSE(CONTROL!$C$42, 695, 695)*CHOOSE(CONTROL!$C$42, 0.5599, 0.5599)*CHOOSE(CONTROL!$C$42, 31, 31))/1000000</f>
        <v>12.063045499999998</v>
      </c>
      <c r="V759" s="57">
        <f>(1000*CHOOSE(CONTROL!$C$42, 500, 500)*CHOOSE(CONTROL!$C$42, 0.275, 0.275)*CHOOSE(CONTROL!$C$42, 31, 31))/1000000</f>
        <v>4.2625000000000002</v>
      </c>
      <c r="W759" s="57">
        <f>(1000*CHOOSE(CONTROL!$C$42, 0.1146, 0.1146)*CHOOSE(CONTROL!$C$42, 121.5, 121.5)*CHOOSE(CONTROL!$C$42, 31, 31))/1000000</f>
        <v>0.43164089999999994</v>
      </c>
      <c r="X759" s="57">
        <f>(31*0.1790888*100000/1000000)+(31*0.2374*100000/1000000)</f>
        <v>1.2911152800000001</v>
      </c>
      <c r="Y759" s="57"/>
      <c r="Z759" s="10"/>
      <c r="AA759" s="56"/>
      <c r="AB759" s="50">
        <f>(B759*122.58+C759*297.941+D759*89.177+E759*40.302+F759*40+G759*160+H759*0+I759*100+J759*300)/(122.58+297.941+89.177+40.302+0+40+160+100+300)</f>
        <v>50.009548357043478</v>
      </c>
      <c r="AC759" s="45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49.545984892086324</v>
      </c>
    </row>
    <row r="760" spans="1:29" ht="15.75" x14ac:dyDescent="0.25">
      <c r="A760" s="13">
        <v>64039</v>
      </c>
      <c r="B760" s="10">
        <f>CHOOSE(CONTROL!$C$42, 49.8514, 49.8514) * CHOOSE(CONTROL!$C$21, $C$9, 100%, $E$9)</f>
        <v>49.851399999999998</v>
      </c>
      <c r="C760" s="10">
        <f>CHOOSE(CONTROL!$C$42, 49.8557, 49.8557) * CHOOSE(CONTROL!$C$21, $C$9, 100%, $E$9)</f>
        <v>49.855699999999999</v>
      </c>
      <c r="D760" s="10">
        <f>CHOOSE(CONTROL!$C$42, 50.0616, 50.0616) * CHOOSE(CONTROL!$C$21, $C$9, 100%, $E$9)</f>
        <v>50.061599999999999</v>
      </c>
      <c r="E760" s="10">
        <f>CHOOSE(CONTROL!$C$42, 50.0934, 50.0934) * CHOOSE(CONTROL!$C$21, $C$9, 100%, $E$9)</f>
        <v>50.093400000000003</v>
      </c>
      <c r="F760" s="10">
        <f>CHOOSE(CONTROL!$C$42, 49.8281, 49.8281)*CHOOSE(CONTROL!$C$21, $C$9, 100%, $E$9)</f>
        <v>49.828099999999999</v>
      </c>
      <c r="G760" s="10">
        <f>CHOOSE(CONTROL!$C$42, 49.8427, 49.8427)*CHOOSE(CONTROL!$C$21, $C$9, 100%, $E$9)</f>
        <v>49.842700000000001</v>
      </c>
      <c r="H760" s="10">
        <f>CHOOSE(CONTROL!$C$42, 50.0832, 50.0832) * CHOOSE(CONTROL!$C$21, $C$9, 100%, $E$9)</f>
        <v>50.083199999999998</v>
      </c>
      <c r="I760" s="10">
        <f>CHOOSE(CONTROL!$C$42, 49.8528, 49.8528)* CHOOSE(CONTROL!$C$21, $C$9, 100%, $E$9)</f>
        <v>49.852800000000002</v>
      </c>
      <c r="J760" s="10">
        <f>CHOOSE(CONTROL!$C$42, 49.8211, 49.8211)* CHOOSE(CONTROL!$C$21, $C$9, 100%, $E$9)</f>
        <v>49.821100000000001</v>
      </c>
      <c r="K760" s="53">
        <f>CHOOSE(CONTROL!$C$42, 49.8489, 49.8489) * CHOOSE(CONTROL!$C$21, $C$9, 100%, $E$9)</f>
        <v>49.8489</v>
      </c>
      <c r="L760" s="10">
        <f>CHOOSE(CONTROL!$C$42, 50.6702, 50.6702) * CHOOSE(CONTROL!$C$21, $C$9, 100%, $E$9)</f>
        <v>50.670200000000001</v>
      </c>
      <c r="M760" s="10">
        <f>CHOOSE(CONTROL!$C$42, 49.3322, 49.3322) * CHOOSE(CONTROL!$C$21, $C$9, 100%, $E$9)</f>
        <v>49.3322</v>
      </c>
      <c r="N760" s="10">
        <f>CHOOSE(CONTROL!$C$42, 49.3466, 49.3466) * CHOOSE(CONTROL!$C$21, $C$9, 100%, $E$9)</f>
        <v>49.346600000000002</v>
      </c>
      <c r="O760" s="10">
        <f>CHOOSE(CONTROL!$C$42, 49.5916, 49.5916) * CHOOSE(CONTROL!$C$21, $C$9, 100%, $E$9)</f>
        <v>49.5916</v>
      </c>
      <c r="P760" s="10">
        <f>CHOOSE(CONTROL!$C$42, 49.3636, 49.3636) * CHOOSE(CONTROL!$C$21, $C$9, 100%, $E$9)</f>
        <v>49.363599999999998</v>
      </c>
      <c r="Q760" s="10">
        <f>CHOOSE(CONTROL!$C$42, 50.1869, 50.1869) * CHOOSE(CONTROL!$C$21, $C$9, 100%, $E$9)</f>
        <v>50.186900000000001</v>
      </c>
      <c r="R760" s="10">
        <f>CHOOSE(CONTROL!$C$42, 50.8994, 50.8994) * CHOOSE(CONTROL!$C$21, $C$9, 100%, $E$9)</f>
        <v>50.8994</v>
      </c>
      <c r="S760" s="10">
        <f>CHOOSE(CONTROL!$C$42, 48.4078, 48.4078) * CHOOSE(CONTROL!$C$21, $C$9, 100%, $E$9)</f>
        <v>48.407800000000002</v>
      </c>
      <c r="T7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57">
        <f>(1000*CHOOSE(CONTROL!$C$42, 695, 695)*CHOOSE(CONTROL!$C$42, 0.5599, 0.5599)*CHOOSE(CONTROL!$C$42, 30, 30))/1000000</f>
        <v>11.673914999999997</v>
      </c>
      <c r="V760" s="57">
        <f>(1000*CHOOSE(CONTROL!$C$42, 500, 500)*CHOOSE(CONTROL!$C$42, 0.275, 0.275)*CHOOSE(CONTROL!$C$42, 30, 30))/1000000</f>
        <v>4.125</v>
      </c>
      <c r="W760" s="57">
        <f>(1000*CHOOSE(CONTROL!$C$42, 0.1146, 0.1146)*CHOOSE(CONTROL!$C$42, 121.5, 121.5)*CHOOSE(CONTROL!$C$42, 30, 30))/1000000</f>
        <v>0.417717</v>
      </c>
      <c r="X760" s="57">
        <f>(30*0.1790888*245000/1000000)+(30*0.2374*100000/1000000)</f>
        <v>2.0285026799999999</v>
      </c>
      <c r="Y760" s="57"/>
      <c r="Z760" s="10"/>
      <c r="AA760" s="56"/>
      <c r="AB760" s="50">
        <f>(B760*141.293+C760*267.993+D760*115.016+E760*89.698+F760*40+G760*185+H760*0+I760*100+J760*300)/(141.293+267.993+115.016+89.698+0+40+185+100+300)</f>
        <v>49.880087771670702</v>
      </c>
      <c r="AC760" s="45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49.455116546762582</v>
      </c>
    </row>
    <row r="761" spans="1:29" ht="15.75" x14ac:dyDescent="0.25">
      <c r="A761" s="13">
        <v>64070</v>
      </c>
      <c r="B761" s="10">
        <f>CHOOSE(CONTROL!$C$42, 50.2927, 50.2927) * CHOOSE(CONTROL!$C$21, $C$9, 100%, $E$9)</f>
        <v>50.292700000000004</v>
      </c>
      <c r="C761" s="10">
        <f>CHOOSE(CONTROL!$C$42, 50.3006, 50.3006) * CHOOSE(CONTROL!$C$21, $C$9, 100%, $E$9)</f>
        <v>50.300600000000003</v>
      </c>
      <c r="D761" s="10">
        <f>CHOOSE(CONTROL!$C$42, 50.5034, 50.5034) * CHOOSE(CONTROL!$C$21, $C$9, 100%, $E$9)</f>
        <v>50.503399999999999</v>
      </c>
      <c r="E761" s="10">
        <f>CHOOSE(CONTROL!$C$42, 50.5345, 50.5345) * CHOOSE(CONTROL!$C$21, $C$9, 100%, $E$9)</f>
        <v>50.534500000000001</v>
      </c>
      <c r="F761" s="10">
        <f>CHOOSE(CONTROL!$C$42, 50.2684, 50.2684)*CHOOSE(CONTROL!$C$21, $C$9, 100%, $E$9)</f>
        <v>50.2684</v>
      </c>
      <c r="G761" s="10">
        <f>CHOOSE(CONTROL!$C$42, 50.2834, 50.2834)*CHOOSE(CONTROL!$C$21, $C$9, 100%, $E$9)</f>
        <v>50.2834</v>
      </c>
      <c r="H761" s="10">
        <f>CHOOSE(CONTROL!$C$42, 50.5231, 50.5231) * CHOOSE(CONTROL!$C$21, $C$9, 100%, $E$9)</f>
        <v>50.523099999999999</v>
      </c>
      <c r="I761" s="10">
        <f>CHOOSE(CONTROL!$C$42, 50.2928, 50.2928)* CHOOSE(CONTROL!$C$21, $C$9, 100%, $E$9)</f>
        <v>50.2928</v>
      </c>
      <c r="J761" s="10">
        <f>CHOOSE(CONTROL!$C$42, 50.2614, 50.2614)* CHOOSE(CONTROL!$C$21, $C$9, 100%, $E$9)</f>
        <v>50.261400000000002</v>
      </c>
      <c r="K761" s="53">
        <f>CHOOSE(CONTROL!$C$42, 50.2889, 50.2889) * CHOOSE(CONTROL!$C$21, $C$9, 100%, $E$9)</f>
        <v>50.288899999999998</v>
      </c>
      <c r="L761" s="10">
        <f>CHOOSE(CONTROL!$C$42, 51.1101, 51.1101) * CHOOSE(CONTROL!$C$21, $C$9, 100%, $E$9)</f>
        <v>51.110100000000003</v>
      </c>
      <c r="M761" s="10">
        <f>CHOOSE(CONTROL!$C$42, 49.768, 49.768) * CHOOSE(CONTROL!$C$21, $C$9, 100%, $E$9)</f>
        <v>49.768000000000001</v>
      </c>
      <c r="N761" s="10">
        <f>CHOOSE(CONTROL!$C$42, 49.7829, 49.7829) * CHOOSE(CONTROL!$C$21, $C$9, 100%, $E$9)</f>
        <v>49.782899999999998</v>
      </c>
      <c r="O761" s="10">
        <f>CHOOSE(CONTROL!$C$42, 50.0271, 50.0271) * CHOOSE(CONTROL!$C$21, $C$9, 100%, $E$9)</f>
        <v>50.027099999999997</v>
      </c>
      <c r="P761" s="10">
        <f>CHOOSE(CONTROL!$C$42, 49.7991, 49.7991) * CHOOSE(CONTROL!$C$21, $C$9, 100%, $E$9)</f>
        <v>49.799100000000003</v>
      </c>
      <c r="Q761" s="10">
        <f>CHOOSE(CONTROL!$C$42, 50.6224, 50.6224) * CHOOSE(CONTROL!$C$21, $C$9, 100%, $E$9)</f>
        <v>50.622399999999999</v>
      </c>
      <c r="R761" s="10">
        <f>CHOOSE(CONTROL!$C$42, 51.336, 51.336) * CHOOSE(CONTROL!$C$21, $C$9, 100%, $E$9)</f>
        <v>51.335999999999999</v>
      </c>
      <c r="S761" s="10">
        <f>CHOOSE(CONTROL!$C$42, 48.835, 48.835) * CHOOSE(CONTROL!$C$21, $C$9, 100%, $E$9)</f>
        <v>48.835000000000001</v>
      </c>
      <c r="T7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57">
        <f>(1000*CHOOSE(CONTROL!$C$42, 695, 695)*CHOOSE(CONTROL!$C$42, 0.5599, 0.5599)*CHOOSE(CONTROL!$C$42, 31, 31))/1000000</f>
        <v>12.063045499999998</v>
      </c>
      <c r="V761" s="57">
        <f>(1000*CHOOSE(CONTROL!$C$42, 500, 500)*CHOOSE(CONTROL!$C$42, 0.275, 0.275)*CHOOSE(CONTROL!$C$42, 31, 31))/1000000</f>
        <v>4.2625000000000002</v>
      </c>
      <c r="W761" s="57">
        <f>(1000*CHOOSE(CONTROL!$C$42, 0.1146, 0.1146)*CHOOSE(CONTROL!$C$42, 121.5, 121.5)*CHOOSE(CONTROL!$C$42, 31, 31))/1000000</f>
        <v>0.43164089999999994</v>
      </c>
      <c r="X761" s="57">
        <f>(31*0.1790888*245000/1000000)+(31*0.2374*100000/1000000)</f>
        <v>2.0961194359999999</v>
      </c>
      <c r="Y761" s="57"/>
      <c r="Z761" s="10"/>
      <c r="AA761" s="56"/>
      <c r="AB761" s="50">
        <f>(B761*194.205+C761*267.466+D761*133.845+E761*53.484+F761*40+G761*185+H761*0+I761*100+J761*300)/(194.205+267.466+133.845+53.484+0+40+185+100+300)</f>
        <v>50.317169430219771</v>
      </c>
      <c r="AC761" s="45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49.890766187050353</v>
      </c>
    </row>
    <row r="762" spans="1:29" ht="15.75" x14ac:dyDescent="0.25">
      <c r="A762" s="13">
        <v>64100</v>
      </c>
      <c r="B762" s="10">
        <f>CHOOSE(CONTROL!$C$42, 51.7192, 51.7192) * CHOOSE(CONTROL!$C$21, $C$9, 100%, $E$9)</f>
        <v>51.719200000000001</v>
      </c>
      <c r="C762" s="10">
        <f>CHOOSE(CONTROL!$C$42, 51.7271, 51.7271) * CHOOSE(CONTROL!$C$21, $C$9, 100%, $E$9)</f>
        <v>51.7271</v>
      </c>
      <c r="D762" s="10">
        <f>CHOOSE(CONTROL!$C$42, 51.9298, 51.9298) * CHOOSE(CONTROL!$C$21, $C$9, 100%, $E$9)</f>
        <v>51.9298</v>
      </c>
      <c r="E762" s="10">
        <f>CHOOSE(CONTROL!$C$42, 51.961, 51.961) * CHOOSE(CONTROL!$C$21, $C$9, 100%, $E$9)</f>
        <v>51.960999999999999</v>
      </c>
      <c r="F762" s="10">
        <f>CHOOSE(CONTROL!$C$42, 51.6954, 51.6954)*CHOOSE(CONTROL!$C$21, $C$9, 100%, $E$9)</f>
        <v>51.695399999999999</v>
      </c>
      <c r="G762" s="10">
        <f>CHOOSE(CONTROL!$C$42, 51.7106, 51.7106)*CHOOSE(CONTROL!$C$21, $C$9, 100%, $E$9)</f>
        <v>51.710599999999999</v>
      </c>
      <c r="H762" s="10">
        <f>CHOOSE(CONTROL!$C$42, 51.9496, 51.9496) * CHOOSE(CONTROL!$C$21, $C$9, 100%, $E$9)</f>
        <v>51.949599999999997</v>
      </c>
      <c r="I762" s="10">
        <f>CHOOSE(CONTROL!$C$42, 51.7192, 51.7192)* CHOOSE(CONTROL!$C$21, $C$9, 100%, $E$9)</f>
        <v>51.719200000000001</v>
      </c>
      <c r="J762" s="10">
        <f>CHOOSE(CONTROL!$C$42, 51.6884, 51.6884)* CHOOSE(CONTROL!$C$21, $C$9, 100%, $E$9)</f>
        <v>51.688400000000001</v>
      </c>
      <c r="K762" s="53">
        <f>CHOOSE(CONTROL!$C$42, 51.7153, 51.7153) * CHOOSE(CONTROL!$C$21, $C$9, 100%, $E$9)</f>
        <v>51.715299999999999</v>
      </c>
      <c r="L762" s="10">
        <f>CHOOSE(CONTROL!$C$42, 52.5366, 52.5366) * CHOOSE(CONTROL!$C$21, $C$9, 100%, $E$9)</f>
        <v>52.5366</v>
      </c>
      <c r="M762" s="10">
        <f>CHOOSE(CONTROL!$C$42, 51.1806, 51.1806) * CHOOSE(CONTROL!$C$21, $C$9, 100%, $E$9)</f>
        <v>51.180599999999998</v>
      </c>
      <c r="N762" s="10">
        <f>CHOOSE(CONTROL!$C$42, 51.1956, 51.1956) * CHOOSE(CONTROL!$C$21, $C$9, 100%, $E$9)</f>
        <v>51.195599999999999</v>
      </c>
      <c r="O762" s="10">
        <f>CHOOSE(CONTROL!$C$42, 51.4392, 51.4392) * CHOOSE(CONTROL!$C$21, $C$9, 100%, $E$9)</f>
        <v>51.4392</v>
      </c>
      <c r="P762" s="10">
        <f>CHOOSE(CONTROL!$C$42, 51.2112, 51.2112) * CHOOSE(CONTROL!$C$21, $C$9, 100%, $E$9)</f>
        <v>51.211199999999998</v>
      </c>
      <c r="Q762" s="10">
        <f>CHOOSE(CONTROL!$C$42, 52.0345, 52.0345) * CHOOSE(CONTROL!$C$21, $C$9, 100%, $E$9)</f>
        <v>52.034500000000001</v>
      </c>
      <c r="R762" s="10">
        <f>CHOOSE(CONTROL!$C$42, 52.7516, 52.7516) * CHOOSE(CONTROL!$C$21, $C$9, 100%, $E$9)</f>
        <v>52.751600000000003</v>
      </c>
      <c r="S762" s="10">
        <f>CHOOSE(CONTROL!$C$42, 50.2203, 50.2203) * CHOOSE(CONTROL!$C$21, $C$9, 100%, $E$9)</f>
        <v>50.220300000000002</v>
      </c>
      <c r="T7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57">
        <f>(1000*CHOOSE(CONTROL!$C$42, 695, 695)*CHOOSE(CONTROL!$C$42, 0.5599, 0.5599)*CHOOSE(CONTROL!$C$42, 30, 30))/1000000</f>
        <v>11.673914999999997</v>
      </c>
      <c r="V762" s="57">
        <f>(1000*CHOOSE(CONTROL!$C$42, 500, 500)*CHOOSE(CONTROL!$C$42, 0.275, 0.275)*CHOOSE(CONTROL!$C$42, 30, 30))/1000000</f>
        <v>4.125</v>
      </c>
      <c r="W762" s="57">
        <f>(1000*CHOOSE(CONTROL!$C$42, 0.1146, 0.1146)*CHOOSE(CONTROL!$C$42, 121.5, 121.5)*CHOOSE(CONTROL!$C$42, 30, 30))/1000000</f>
        <v>0.417717</v>
      </c>
      <c r="X762" s="57">
        <f>(30*0.1790888*245000/1000000)+(30*0.2374*100000/1000000)</f>
        <v>2.0285026799999999</v>
      </c>
      <c r="Y762" s="57"/>
      <c r="Z762" s="10"/>
      <c r="AA762" s="56"/>
      <c r="AB762" s="50">
        <f>(B762*194.205+C762*267.466+D762*133.845+E762*53.484+F762*40+G762*185+H762*0+I762*100+J762*300)/(194.205+267.466+133.845+53.484+0+40+185+100+300)</f>
        <v>51.743886161381475</v>
      </c>
      <c r="AC762" s="45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51.303073381294965</v>
      </c>
    </row>
    <row r="763" spans="1:29" ht="15.75" x14ac:dyDescent="0.25">
      <c r="A763" s="13">
        <v>64131</v>
      </c>
      <c r="B763" s="10">
        <f>CHOOSE(CONTROL!$C$42, 50.7271, 50.7271) * CHOOSE(CONTROL!$C$21, $C$9, 100%, $E$9)</f>
        <v>50.7271</v>
      </c>
      <c r="C763" s="10">
        <f>CHOOSE(CONTROL!$C$42, 50.735, 50.735) * CHOOSE(CONTROL!$C$21, $C$9, 100%, $E$9)</f>
        <v>50.734999999999999</v>
      </c>
      <c r="D763" s="10">
        <f>CHOOSE(CONTROL!$C$42, 50.9377, 50.9377) * CHOOSE(CONTROL!$C$21, $C$9, 100%, $E$9)</f>
        <v>50.9377</v>
      </c>
      <c r="E763" s="10">
        <f>CHOOSE(CONTROL!$C$42, 50.9689, 50.9689) * CHOOSE(CONTROL!$C$21, $C$9, 100%, $E$9)</f>
        <v>50.968899999999998</v>
      </c>
      <c r="F763" s="10">
        <f>CHOOSE(CONTROL!$C$42, 50.7038, 50.7038)*CHOOSE(CONTROL!$C$21, $C$9, 100%, $E$9)</f>
        <v>50.703800000000001</v>
      </c>
      <c r="G763" s="10">
        <f>CHOOSE(CONTROL!$C$42, 50.7191, 50.7191)*CHOOSE(CONTROL!$C$21, $C$9, 100%, $E$9)</f>
        <v>50.719099999999997</v>
      </c>
      <c r="H763" s="10">
        <f>CHOOSE(CONTROL!$C$42, 50.9575, 50.9575) * CHOOSE(CONTROL!$C$21, $C$9, 100%, $E$9)</f>
        <v>50.957500000000003</v>
      </c>
      <c r="I763" s="10">
        <f>CHOOSE(CONTROL!$C$42, 50.7271, 50.7271)* CHOOSE(CONTROL!$C$21, $C$9, 100%, $E$9)</f>
        <v>50.7271</v>
      </c>
      <c r="J763" s="10">
        <f>CHOOSE(CONTROL!$C$42, 50.6968, 50.6968)* CHOOSE(CONTROL!$C$21, $C$9, 100%, $E$9)</f>
        <v>50.696800000000003</v>
      </c>
      <c r="K763" s="53">
        <f>CHOOSE(CONTROL!$C$42, 50.7232, 50.7232) * CHOOSE(CONTROL!$C$21, $C$9, 100%, $E$9)</f>
        <v>50.723199999999999</v>
      </c>
      <c r="L763" s="10">
        <f>CHOOSE(CONTROL!$C$42, 51.5445, 51.5445) * CHOOSE(CONTROL!$C$21, $C$9, 100%, $E$9)</f>
        <v>51.544499999999999</v>
      </c>
      <c r="M763" s="10">
        <f>CHOOSE(CONTROL!$C$42, 50.199, 50.199) * CHOOSE(CONTROL!$C$21, $C$9, 100%, $E$9)</f>
        <v>50.198999999999998</v>
      </c>
      <c r="N763" s="10">
        <f>CHOOSE(CONTROL!$C$42, 50.2142, 50.2142) * CHOOSE(CONTROL!$C$21, $C$9, 100%, $E$9)</f>
        <v>50.214199999999998</v>
      </c>
      <c r="O763" s="10">
        <f>CHOOSE(CONTROL!$C$42, 50.4571, 50.4571) * CHOOSE(CONTROL!$C$21, $C$9, 100%, $E$9)</f>
        <v>50.457099999999997</v>
      </c>
      <c r="P763" s="10">
        <f>CHOOSE(CONTROL!$C$42, 50.2291, 50.2291) * CHOOSE(CONTROL!$C$21, $C$9, 100%, $E$9)</f>
        <v>50.229100000000003</v>
      </c>
      <c r="Q763" s="10">
        <f>CHOOSE(CONTROL!$C$42, 51.0524, 51.0524) * CHOOSE(CONTROL!$C$21, $C$9, 100%, $E$9)</f>
        <v>51.052399999999999</v>
      </c>
      <c r="R763" s="10">
        <f>CHOOSE(CONTROL!$C$42, 51.767, 51.767) * CHOOSE(CONTROL!$C$21, $C$9, 100%, $E$9)</f>
        <v>51.767000000000003</v>
      </c>
      <c r="S763" s="10">
        <f>CHOOSE(CONTROL!$C$42, 49.2568, 49.2568) * CHOOSE(CONTROL!$C$21, $C$9, 100%, $E$9)</f>
        <v>49.256799999999998</v>
      </c>
      <c r="T7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57">
        <f>(1000*CHOOSE(CONTROL!$C$42, 695, 695)*CHOOSE(CONTROL!$C$42, 0.5599, 0.5599)*CHOOSE(CONTROL!$C$42, 31, 31))/1000000</f>
        <v>12.063045499999998</v>
      </c>
      <c r="V763" s="57">
        <f>(1000*CHOOSE(CONTROL!$C$42, 500, 500)*CHOOSE(CONTROL!$C$42, 0.275, 0.275)*CHOOSE(CONTROL!$C$42, 31, 31))/1000000</f>
        <v>4.2625000000000002</v>
      </c>
      <c r="W763" s="57">
        <f>(1000*CHOOSE(CONTROL!$C$42, 0.1146, 0.1146)*CHOOSE(CONTROL!$C$42, 121.5, 121.5)*CHOOSE(CONTROL!$C$42, 31, 31))/1000000</f>
        <v>0.43164089999999994</v>
      </c>
      <c r="X763" s="57">
        <f>(31*0.1790888*245000/1000000)+(31*0.2374*100000/1000000)</f>
        <v>2.0961194359999999</v>
      </c>
      <c r="Y763" s="57"/>
      <c r="Z763" s="10"/>
      <c r="AA763" s="56"/>
      <c r="AB763" s="50">
        <f>(B763*194.205+C763*267.466+D763*133.845+E763*53.484+F763*40+G763*185+H763*0+I763*100+J763*300)/(194.205+267.466+133.845+53.484+0+40+185+100+300)</f>
        <v>50.752006726530617</v>
      </c>
      <c r="AC763" s="45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50.321186330935248</v>
      </c>
    </row>
    <row r="764" spans="1:29" ht="15.75" x14ac:dyDescent="0.25">
      <c r="A764" s="13">
        <v>64162</v>
      </c>
      <c r="B764" s="10">
        <f>CHOOSE(CONTROL!$C$42, 48.2217, 48.2217) * CHOOSE(CONTROL!$C$21, $C$9, 100%, $E$9)</f>
        <v>48.221699999999998</v>
      </c>
      <c r="C764" s="10">
        <f>CHOOSE(CONTROL!$C$42, 48.2296, 48.2296) * CHOOSE(CONTROL!$C$21, $C$9, 100%, $E$9)</f>
        <v>48.229599999999998</v>
      </c>
      <c r="D764" s="10">
        <f>CHOOSE(CONTROL!$C$42, 48.4323, 48.4323) * CHOOSE(CONTROL!$C$21, $C$9, 100%, $E$9)</f>
        <v>48.432299999999998</v>
      </c>
      <c r="E764" s="10">
        <f>CHOOSE(CONTROL!$C$42, 48.4635, 48.4635) * CHOOSE(CONTROL!$C$21, $C$9, 100%, $E$9)</f>
        <v>48.463500000000003</v>
      </c>
      <c r="F764" s="10">
        <f>CHOOSE(CONTROL!$C$42, 48.1986, 48.1986)*CHOOSE(CONTROL!$C$21, $C$9, 100%, $E$9)</f>
        <v>48.198599999999999</v>
      </c>
      <c r="G764" s="10">
        <f>CHOOSE(CONTROL!$C$42, 48.2139, 48.2139)*CHOOSE(CONTROL!$C$21, $C$9, 100%, $E$9)</f>
        <v>48.213900000000002</v>
      </c>
      <c r="H764" s="10">
        <f>CHOOSE(CONTROL!$C$42, 48.4521, 48.4521) * CHOOSE(CONTROL!$C$21, $C$9, 100%, $E$9)</f>
        <v>48.452100000000002</v>
      </c>
      <c r="I764" s="10">
        <f>CHOOSE(CONTROL!$C$42, 48.2217, 48.2217)* CHOOSE(CONTROL!$C$21, $C$9, 100%, $E$9)</f>
        <v>48.221699999999998</v>
      </c>
      <c r="J764" s="10">
        <f>CHOOSE(CONTROL!$C$42, 48.1916, 48.1916)* CHOOSE(CONTROL!$C$21, $C$9, 100%, $E$9)</f>
        <v>48.191600000000001</v>
      </c>
      <c r="K764" s="53">
        <f>CHOOSE(CONTROL!$C$42, 48.2178, 48.2178) * CHOOSE(CONTROL!$C$21, $C$9, 100%, $E$9)</f>
        <v>48.217799999999997</v>
      </c>
      <c r="L764" s="10">
        <f>CHOOSE(CONTROL!$C$42, 49.0391, 49.0391) * CHOOSE(CONTROL!$C$21, $C$9, 100%, $E$9)</f>
        <v>49.039099999999998</v>
      </c>
      <c r="M764" s="10">
        <f>CHOOSE(CONTROL!$C$42, 47.7191, 47.7191) * CHOOSE(CONTROL!$C$21, $C$9, 100%, $E$9)</f>
        <v>47.719099999999997</v>
      </c>
      <c r="N764" s="10">
        <f>CHOOSE(CONTROL!$C$42, 47.7343, 47.7343) * CHOOSE(CONTROL!$C$21, $C$9, 100%, $E$9)</f>
        <v>47.734299999999998</v>
      </c>
      <c r="O764" s="10">
        <f>CHOOSE(CONTROL!$C$42, 47.977, 47.977) * CHOOSE(CONTROL!$C$21, $C$9, 100%, $E$9)</f>
        <v>47.976999999999997</v>
      </c>
      <c r="P764" s="10">
        <f>CHOOSE(CONTROL!$C$42, 47.7489, 47.7489) * CHOOSE(CONTROL!$C$21, $C$9, 100%, $E$9)</f>
        <v>47.748899999999999</v>
      </c>
      <c r="Q764" s="10">
        <f>CHOOSE(CONTROL!$C$42, 48.5723, 48.5723) * CHOOSE(CONTROL!$C$21, $C$9, 100%, $E$9)</f>
        <v>48.572299999999998</v>
      </c>
      <c r="R764" s="10">
        <f>CHOOSE(CONTROL!$C$42, 49.2807, 49.2807) * CHOOSE(CONTROL!$C$21, $C$9, 100%, $E$9)</f>
        <v>49.280700000000003</v>
      </c>
      <c r="S764" s="10">
        <f>CHOOSE(CONTROL!$C$42, 46.8238, 46.8238) * CHOOSE(CONTROL!$C$21, $C$9, 100%, $E$9)</f>
        <v>46.823799999999999</v>
      </c>
      <c r="T7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57">
        <f>(1000*CHOOSE(CONTROL!$C$42, 695, 695)*CHOOSE(CONTROL!$C$42, 0.5599, 0.5599)*CHOOSE(CONTROL!$C$42, 31, 31))/1000000</f>
        <v>12.063045499999998</v>
      </c>
      <c r="V764" s="57">
        <f>(1000*CHOOSE(CONTROL!$C$42, 500, 500)*CHOOSE(CONTROL!$C$42, 0.275, 0.275)*CHOOSE(CONTROL!$C$42, 31, 31))/1000000</f>
        <v>4.2625000000000002</v>
      </c>
      <c r="W764" s="57">
        <f>(1000*CHOOSE(CONTROL!$C$42, 0.1146, 0.1146)*CHOOSE(CONTROL!$C$42, 121.5, 121.5)*CHOOSE(CONTROL!$C$42, 31, 31))/1000000</f>
        <v>0.43164089999999994</v>
      </c>
      <c r="X764" s="57">
        <f>(31*0.1790888*245000/1000000)+(31*0.2374*100000/1000000)</f>
        <v>2.0961194359999999</v>
      </c>
      <c r="Y764" s="57"/>
      <c r="Z764" s="10"/>
      <c r="AA764" s="56"/>
      <c r="AB764" s="50">
        <f>(B764*194.205+C764*267.466+D764*133.845+E764*53.484+F764*40+G764*185+H764*0+I764*100+J764*300)/(194.205+267.466+133.845+53.484+0+40+185+100+300)</f>
        <v>48.246689144113027</v>
      </c>
      <c r="AC764" s="45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47.841152517985606</v>
      </c>
    </row>
    <row r="765" spans="1:29" ht="15.75" x14ac:dyDescent="0.25">
      <c r="A765" s="13">
        <v>64192</v>
      </c>
      <c r="B765" s="10">
        <f>CHOOSE(CONTROL!$C$42, 45.1601, 45.1601) * CHOOSE(CONTROL!$C$21, $C$9, 100%, $E$9)</f>
        <v>45.1601</v>
      </c>
      <c r="C765" s="10">
        <f>CHOOSE(CONTROL!$C$42, 45.1681, 45.1681) * CHOOSE(CONTROL!$C$21, $C$9, 100%, $E$9)</f>
        <v>45.168100000000003</v>
      </c>
      <c r="D765" s="10">
        <f>CHOOSE(CONTROL!$C$42, 45.3708, 45.3708) * CHOOSE(CONTROL!$C$21, $C$9, 100%, $E$9)</f>
        <v>45.370800000000003</v>
      </c>
      <c r="E765" s="10">
        <f>CHOOSE(CONTROL!$C$42, 45.4019, 45.4019) * CHOOSE(CONTROL!$C$21, $C$9, 100%, $E$9)</f>
        <v>45.401899999999998</v>
      </c>
      <c r="F765" s="10">
        <f>CHOOSE(CONTROL!$C$42, 45.1369, 45.1369)*CHOOSE(CONTROL!$C$21, $C$9, 100%, $E$9)</f>
        <v>45.136899999999997</v>
      </c>
      <c r="G765" s="10">
        <f>CHOOSE(CONTROL!$C$42, 45.1522, 45.1522)*CHOOSE(CONTROL!$C$21, $C$9, 100%, $E$9)</f>
        <v>45.152200000000001</v>
      </c>
      <c r="H765" s="10">
        <f>CHOOSE(CONTROL!$C$42, 45.3906, 45.3906) * CHOOSE(CONTROL!$C$21, $C$9, 100%, $E$9)</f>
        <v>45.390599999999999</v>
      </c>
      <c r="I765" s="10">
        <f>CHOOSE(CONTROL!$C$42, 45.1602, 45.1602)* CHOOSE(CONTROL!$C$21, $C$9, 100%, $E$9)</f>
        <v>45.160200000000003</v>
      </c>
      <c r="J765" s="10">
        <f>CHOOSE(CONTROL!$C$42, 45.1299, 45.1299)* CHOOSE(CONTROL!$C$21, $C$9, 100%, $E$9)</f>
        <v>45.129899999999999</v>
      </c>
      <c r="K765" s="53">
        <f>CHOOSE(CONTROL!$C$42, 45.1563, 45.1563) * CHOOSE(CONTROL!$C$21, $C$9, 100%, $E$9)</f>
        <v>45.156300000000002</v>
      </c>
      <c r="L765" s="10">
        <f>CHOOSE(CONTROL!$C$42, 45.9776, 45.9776) * CHOOSE(CONTROL!$C$21, $C$9, 100%, $E$9)</f>
        <v>45.977600000000002</v>
      </c>
      <c r="M765" s="10">
        <f>CHOOSE(CONTROL!$C$42, 44.6883, 44.6883) * CHOOSE(CONTROL!$C$21, $C$9, 100%, $E$9)</f>
        <v>44.688299999999998</v>
      </c>
      <c r="N765" s="10">
        <f>CHOOSE(CONTROL!$C$42, 44.7035, 44.7035) * CHOOSE(CONTROL!$C$21, $C$9, 100%, $E$9)</f>
        <v>44.703499999999998</v>
      </c>
      <c r="O765" s="10">
        <f>CHOOSE(CONTROL!$C$42, 44.9463, 44.9463) * CHOOSE(CONTROL!$C$21, $C$9, 100%, $E$9)</f>
        <v>44.946300000000001</v>
      </c>
      <c r="P765" s="10">
        <f>CHOOSE(CONTROL!$C$42, 44.7183, 44.7183) * CHOOSE(CONTROL!$C$21, $C$9, 100%, $E$9)</f>
        <v>44.718299999999999</v>
      </c>
      <c r="Q765" s="10">
        <f>CHOOSE(CONTROL!$C$42, 45.5416, 45.5416) * CHOOSE(CONTROL!$C$21, $C$9, 100%, $E$9)</f>
        <v>45.541600000000003</v>
      </c>
      <c r="R765" s="10">
        <f>CHOOSE(CONTROL!$C$42, 46.2425, 46.2425) * CHOOSE(CONTROL!$C$21, $C$9, 100%, $E$9)</f>
        <v>46.2425</v>
      </c>
      <c r="S765" s="10">
        <f>CHOOSE(CONTROL!$C$42, 43.8508, 43.8508) * CHOOSE(CONTROL!$C$21, $C$9, 100%, $E$9)</f>
        <v>43.8508</v>
      </c>
      <c r="T7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57">
        <f>(1000*CHOOSE(CONTROL!$C$42, 695, 695)*CHOOSE(CONTROL!$C$42, 0.5599, 0.5599)*CHOOSE(CONTROL!$C$42, 30, 30))/1000000</f>
        <v>11.673914999999997</v>
      </c>
      <c r="V765" s="57">
        <f>(1000*CHOOSE(CONTROL!$C$42, 500, 500)*CHOOSE(CONTROL!$C$42, 0.275, 0.275)*CHOOSE(CONTROL!$C$42, 30, 30))/1000000</f>
        <v>4.125</v>
      </c>
      <c r="W765" s="57">
        <f>(1000*CHOOSE(CONTROL!$C$42, 0.1146, 0.1146)*CHOOSE(CONTROL!$C$42, 121.5, 121.5)*CHOOSE(CONTROL!$C$42, 30, 30))/1000000</f>
        <v>0.417717</v>
      </c>
      <c r="X765" s="57">
        <f>(30*0.1790888*245000/1000000)+(30*0.2374*100000/1000000)</f>
        <v>2.0285026799999999</v>
      </c>
      <c r="Y765" s="57"/>
      <c r="Z765" s="10"/>
      <c r="AA765" s="56"/>
      <c r="AB765" s="50">
        <f>(B765*194.205+C765*267.466+D765*133.845+E765*53.484+F765*40+G765*185+H765*0+I765*100+J765*300)/(194.205+267.466+133.845+53.484+0+40+185+100+300)</f>
        <v>45.185087284693886</v>
      </c>
      <c r="AC765" s="45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44.810426618705037</v>
      </c>
    </row>
    <row r="766" spans="1:29" ht="15.75" x14ac:dyDescent="0.25">
      <c r="A766" s="13">
        <v>64223</v>
      </c>
      <c r="B766" s="10">
        <f>CHOOSE(CONTROL!$C$42, 44.2416, 44.2416) * CHOOSE(CONTROL!$C$21, $C$9, 100%, $E$9)</f>
        <v>44.241599999999998</v>
      </c>
      <c r="C766" s="10">
        <f>CHOOSE(CONTROL!$C$42, 44.2468, 44.2468) * CHOOSE(CONTROL!$C$21, $C$9, 100%, $E$9)</f>
        <v>44.2468</v>
      </c>
      <c r="D766" s="10">
        <f>CHOOSE(CONTROL!$C$42, 44.4545, 44.4545) * CHOOSE(CONTROL!$C$21, $C$9, 100%, $E$9)</f>
        <v>44.454500000000003</v>
      </c>
      <c r="E766" s="10">
        <f>CHOOSE(CONTROL!$C$42, 44.4833, 44.4833) * CHOOSE(CONTROL!$C$21, $C$9, 100%, $E$9)</f>
        <v>44.4833</v>
      </c>
      <c r="F766" s="10">
        <f>CHOOSE(CONTROL!$C$42, 44.2203, 44.2203)*CHOOSE(CONTROL!$C$21, $C$9, 100%, $E$9)</f>
        <v>44.220300000000002</v>
      </c>
      <c r="G766" s="10">
        <f>CHOOSE(CONTROL!$C$42, 44.2352, 44.2352)*CHOOSE(CONTROL!$C$21, $C$9, 100%, $E$9)</f>
        <v>44.235199999999999</v>
      </c>
      <c r="H766" s="10">
        <f>CHOOSE(CONTROL!$C$42, 44.4737, 44.4737) * CHOOSE(CONTROL!$C$21, $C$9, 100%, $E$9)</f>
        <v>44.473700000000001</v>
      </c>
      <c r="I766" s="10">
        <f>CHOOSE(CONTROL!$C$42, 44.2433, 44.2433)* CHOOSE(CONTROL!$C$21, $C$9, 100%, $E$9)</f>
        <v>44.243299999999998</v>
      </c>
      <c r="J766" s="10">
        <f>CHOOSE(CONTROL!$C$42, 44.2133, 44.2133)* CHOOSE(CONTROL!$C$21, $C$9, 100%, $E$9)</f>
        <v>44.213299999999997</v>
      </c>
      <c r="K766" s="53">
        <f>CHOOSE(CONTROL!$C$42, 44.2395, 44.2395) * CHOOSE(CONTROL!$C$21, $C$9, 100%, $E$9)</f>
        <v>44.2395</v>
      </c>
      <c r="L766" s="10">
        <f>CHOOSE(CONTROL!$C$42, 45.0607, 45.0607) * CHOOSE(CONTROL!$C$21, $C$9, 100%, $E$9)</f>
        <v>45.060699999999997</v>
      </c>
      <c r="M766" s="10">
        <f>CHOOSE(CONTROL!$C$42, 43.7809, 43.7809) * CHOOSE(CONTROL!$C$21, $C$9, 100%, $E$9)</f>
        <v>43.780900000000003</v>
      </c>
      <c r="N766" s="10">
        <f>CHOOSE(CONTROL!$C$42, 43.7957, 43.7957) * CHOOSE(CONTROL!$C$21, $C$9, 100%, $E$9)</f>
        <v>43.795699999999997</v>
      </c>
      <c r="O766" s="10">
        <f>CHOOSE(CONTROL!$C$42, 44.0387, 44.0387) * CHOOSE(CONTROL!$C$21, $C$9, 100%, $E$9)</f>
        <v>44.038699999999999</v>
      </c>
      <c r="P766" s="10">
        <f>CHOOSE(CONTROL!$C$42, 43.8107, 43.8107) * CHOOSE(CONTROL!$C$21, $C$9, 100%, $E$9)</f>
        <v>43.810699999999997</v>
      </c>
      <c r="Q766" s="10">
        <f>CHOOSE(CONTROL!$C$42, 44.634, 44.634) * CHOOSE(CONTROL!$C$21, $C$9, 100%, $E$9)</f>
        <v>44.634</v>
      </c>
      <c r="R766" s="10">
        <f>CHOOSE(CONTROL!$C$42, 45.3326, 45.3326) * CHOOSE(CONTROL!$C$21, $C$9, 100%, $E$9)</f>
        <v>45.332599999999999</v>
      </c>
      <c r="S766" s="10">
        <f>CHOOSE(CONTROL!$C$42, 42.9604, 42.9604) * CHOOSE(CONTROL!$C$21, $C$9, 100%, $E$9)</f>
        <v>42.9604</v>
      </c>
      <c r="T7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57">
        <f>(1000*CHOOSE(CONTROL!$C$42, 695, 695)*CHOOSE(CONTROL!$C$42, 0.5599, 0.5599)*CHOOSE(CONTROL!$C$42, 31, 31))/1000000</f>
        <v>12.063045499999998</v>
      </c>
      <c r="V766" s="57">
        <f>(1000*CHOOSE(CONTROL!$C$42, 500, 500)*CHOOSE(CONTROL!$C$42, 0.275, 0.275)*CHOOSE(CONTROL!$C$42, 31, 31))/1000000</f>
        <v>4.2625000000000002</v>
      </c>
      <c r="W766" s="57">
        <f>(1000*CHOOSE(CONTROL!$C$42, 0.1146, 0.1146)*CHOOSE(CONTROL!$C$42, 121.5, 121.5)*CHOOSE(CONTROL!$C$42, 31, 31))/1000000</f>
        <v>0.43164089999999994</v>
      </c>
      <c r="X766" s="57">
        <f>(31*0.1790888*245000/1000000)+(31*0.2374*100000/1000000)</f>
        <v>2.0961194359999999</v>
      </c>
      <c r="Y766" s="57"/>
      <c r="Z766" s="10"/>
      <c r="AA766" s="56"/>
      <c r="AB766" s="50">
        <f>(B766*131.881+C766*277.167+D766*79.08+E766*125.872+F766*40+G766*185+H766*0+I766*100+J766*300)/(131.881+277.167+79.08+125.872+0+40+185+100+300)</f>
        <v>44.272548073284902</v>
      </c>
      <c r="AC766" s="45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43.902884172661871</v>
      </c>
    </row>
    <row r="767" spans="1:29" ht="15.75" x14ac:dyDescent="0.25">
      <c r="A767" s="13">
        <v>64253</v>
      </c>
      <c r="B767" s="10">
        <f>CHOOSE(CONTROL!$C$42, 45.4066, 45.4066) * CHOOSE(CONTROL!$C$21, $C$9, 100%, $E$9)</f>
        <v>45.406599999999997</v>
      </c>
      <c r="C767" s="10">
        <f>CHOOSE(CONTROL!$C$42, 45.4115, 45.4115) * CHOOSE(CONTROL!$C$21, $C$9, 100%, $E$9)</f>
        <v>45.411499999999997</v>
      </c>
      <c r="D767" s="10">
        <f>CHOOSE(CONTROL!$C$42, 45.472, 45.472) * CHOOSE(CONTROL!$C$21, $C$9, 100%, $E$9)</f>
        <v>45.472000000000001</v>
      </c>
      <c r="E767" s="10">
        <f>CHOOSE(CONTROL!$C$42, 45.5058, 45.5058) * CHOOSE(CONTROL!$C$21, $C$9, 100%, $E$9)</f>
        <v>45.505800000000001</v>
      </c>
      <c r="F767" s="10">
        <f>CHOOSE(CONTROL!$C$42, 45.4022, 45.4022)*CHOOSE(CONTROL!$C$21, $C$9, 100%, $E$9)</f>
        <v>45.402200000000001</v>
      </c>
      <c r="G767" s="10">
        <f>CHOOSE(CONTROL!$C$42, 45.4174, 45.4174)*CHOOSE(CONTROL!$C$21, $C$9, 100%, $E$9)</f>
        <v>45.417400000000001</v>
      </c>
      <c r="H767" s="10">
        <f>CHOOSE(CONTROL!$C$42, 45.495, 45.495) * CHOOSE(CONTROL!$C$21, $C$9, 100%, $E$9)</f>
        <v>45.494999999999997</v>
      </c>
      <c r="I767" s="10">
        <f>CHOOSE(CONTROL!$C$42, 45.4191, 45.4191)* CHOOSE(CONTROL!$C$21, $C$9, 100%, $E$9)</f>
        <v>45.4191</v>
      </c>
      <c r="J767" s="10">
        <f>CHOOSE(CONTROL!$C$42, 45.3952, 45.3952)* CHOOSE(CONTROL!$C$21, $C$9, 100%, $E$9)</f>
        <v>45.395200000000003</v>
      </c>
      <c r="K767" s="53">
        <f>CHOOSE(CONTROL!$C$42, 45.4152, 45.4152) * CHOOSE(CONTROL!$C$21, $C$9, 100%, $E$9)</f>
        <v>45.415199999999999</v>
      </c>
      <c r="L767" s="10">
        <f>CHOOSE(CONTROL!$C$42, 46.082, 46.082) * CHOOSE(CONTROL!$C$21, $C$9, 100%, $E$9)</f>
        <v>46.082000000000001</v>
      </c>
      <c r="M767" s="10">
        <f>CHOOSE(CONTROL!$C$42, 44.9509, 44.9509) * CHOOSE(CONTROL!$C$21, $C$9, 100%, $E$9)</f>
        <v>44.950899999999997</v>
      </c>
      <c r="N767" s="10">
        <f>CHOOSE(CONTROL!$C$42, 44.966, 44.966) * CHOOSE(CONTROL!$C$21, $C$9, 100%, $E$9)</f>
        <v>44.966000000000001</v>
      </c>
      <c r="O767" s="10">
        <f>CHOOSE(CONTROL!$C$42, 45.0497, 45.0497) * CHOOSE(CONTROL!$C$21, $C$9, 100%, $E$9)</f>
        <v>45.049700000000001</v>
      </c>
      <c r="P767" s="10">
        <f>CHOOSE(CONTROL!$C$42, 44.9746, 44.9746) * CHOOSE(CONTROL!$C$21, $C$9, 100%, $E$9)</f>
        <v>44.974600000000002</v>
      </c>
      <c r="Q767" s="10">
        <f>CHOOSE(CONTROL!$C$42, 45.645, 45.645) * CHOOSE(CONTROL!$C$21, $C$9, 100%, $E$9)</f>
        <v>45.645000000000003</v>
      </c>
      <c r="R767" s="10">
        <f>CHOOSE(CONTROL!$C$42, 46.3461, 46.3461) * CHOOSE(CONTROL!$C$21, $C$9, 100%, $E$9)</f>
        <v>46.3461</v>
      </c>
      <c r="S767" s="10">
        <f>CHOOSE(CONTROL!$C$42, 44.0922, 44.0922) * CHOOSE(CONTROL!$C$21, $C$9, 100%, $E$9)</f>
        <v>44.092199999999998</v>
      </c>
      <c r="T7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57">
        <f>(1000*CHOOSE(CONTROL!$C$42, 695, 695)*CHOOSE(CONTROL!$C$42, 0.5599, 0.5599)*CHOOSE(CONTROL!$C$42, 30, 30))/1000000</f>
        <v>11.673914999999997</v>
      </c>
      <c r="V767" s="57">
        <f>(1000*CHOOSE(CONTROL!$C$42, 500, 500)*CHOOSE(CONTROL!$C$42, 0.275, 0.275)*CHOOSE(CONTROL!$C$42, 30, 30))/1000000</f>
        <v>4.125</v>
      </c>
      <c r="W767" s="57">
        <f>(1000*CHOOSE(CONTROL!$C$42, 0.1146, 0.1146)*CHOOSE(CONTROL!$C$42, 121.5, 121.5)*CHOOSE(CONTROL!$C$42, 30, 30))/1000000</f>
        <v>0.417717</v>
      </c>
      <c r="X767" s="57">
        <f>(30*0.1790888*100000/1000000)+(30*0.2374*100000/1000000)</f>
        <v>1.2494664</v>
      </c>
      <c r="Y767" s="57"/>
      <c r="Z767" s="10"/>
      <c r="AA767" s="56"/>
      <c r="AB767" s="50">
        <f>(B767*122.58+C767*297.941+D767*89.177+E767*40.302+F767*40+G767*160+H767*0+I767*100+J767*300)/(122.58+297.941+89.177+40.302+0+40+160+100+300)</f>
        <v>45.415880039217392</v>
      </c>
      <c r="AC767" s="45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44.999958992805752</v>
      </c>
    </row>
    <row r="768" spans="1:29" ht="15.75" x14ac:dyDescent="0.25">
      <c r="A768" s="13">
        <v>64284</v>
      </c>
      <c r="B768" s="10">
        <f>CHOOSE(CONTROL!$C$42, 48.5022, 48.5022) * CHOOSE(CONTROL!$C$21, $C$9, 100%, $E$9)</f>
        <v>48.502200000000002</v>
      </c>
      <c r="C768" s="10">
        <f>CHOOSE(CONTROL!$C$42, 48.5071, 48.5071) * CHOOSE(CONTROL!$C$21, $C$9, 100%, $E$9)</f>
        <v>48.507100000000001</v>
      </c>
      <c r="D768" s="10">
        <f>CHOOSE(CONTROL!$C$42, 48.5676, 48.5676) * CHOOSE(CONTROL!$C$21, $C$9, 100%, $E$9)</f>
        <v>48.567599999999999</v>
      </c>
      <c r="E768" s="10">
        <f>CHOOSE(CONTROL!$C$42, 48.6014, 48.6014) * CHOOSE(CONTROL!$C$21, $C$9, 100%, $E$9)</f>
        <v>48.601399999999998</v>
      </c>
      <c r="F768" s="10">
        <f>CHOOSE(CONTROL!$C$42, 48.4996, 48.4996)*CHOOSE(CONTROL!$C$21, $C$9, 100%, $E$9)</f>
        <v>48.499600000000001</v>
      </c>
      <c r="G768" s="10">
        <f>CHOOSE(CONTROL!$C$42, 48.5153, 48.5153)*CHOOSE(CONTROL!$C$21, $C$9, 100%, $E$9)</f>
        <v>48.515300000000003</v>
      </c>
      <c r="H768" s="10">
        <f>CHOOSE(CONTROL!$C$42, 48.5906, 48.5906) * CHOOSE(CONTROL!$C$21, $C$9, 100%, $E$9)</f>
        <v>48.590600000000002</v>
      </c>
      <c r="I768" s="10">
        <f>CHOOSE(CONTROL!$C$42, 48.5147, 48.5147)* CHOOSE(CONTROL!$C$21, $C$9, 100%, $E$9)</f>
        <v>48.514699999999998</v>
      </c>
      <c r="J768" s="10">
        <f>CHOOSE(CONTROL!$C$42, 48.4926, 48.4926)* CHOOSE(CONTROL!$C$21, $C$9, 100%, $E$9)</f>
        <v>48.492600000000003</v>
      </c>
      <c r="K768" s="53">
        <f>CHOOSE(CONTROL!$C$42, 48.5108, 48.5108) * CHOOSE(CONTROL!$C$21, $C$9, 100%, $E$9)</f>
        <v>48.510800000000003</v>
      </c>
      <c r="L768" s="10">
        <f>CHOOSE(CONTROL!$C$42, 49.1776, 49.1776) * CHOOSE(CONTROL!$C$21, $C$9, 100%, $E$9)</f>
        <v>49.177599999999998</v>
      </c>
      <c r="M768" s="10">
        <f>CHOOSE(CONTROL!$C$42, 48.0171, 48.0171) * CHOOSE(CONTROL!$C$21, $C$9, 100%, $E$9)</f>
        <v>48.017099999999999</v>
      </c>
      <c r="N768" s="10">
        <f>CHOOSE(CONTROL!$C$42, 48.0326, 48.0326) * CHOOSE(CONTROL!$C$21, $C$9, 100%, $E$9)</f>
        <v>48.032600000000002</v>
      </c>
      <c r="O768" s="10">
        <f>CHOOSE(CONTROL!$C$42, 48.1141, 48.1141) * CHOOSE(CONTROL!$C$21, $C$9, 100%, $E$9)</f>
        <v>48.114100000000001</v>
      </c>
      <c r="P768" s="10">
        <f>CHOOSE(CONTROL!$C$42, 48.039, 48.039) * CHOOSE(CONTROL!$C$21, $C$9, 100%, $E$9)</f>
        <v>48.039000000000001</v>
      </c>
      <c r="Q768" s="10">
        <f>CHOOSE(CONTROL!$C$42, 48.7094, 48.7094) * CHOOSE(CONTROL!$C$21, $C$9, 100%, $E$9)</f>
        <v>48.709400000000002</v>
      </c>
      <c r="R768" s="10">
        <f>CHOOSE(CONTROL!$C$42, 49.4181, 49.4181) * CHOOSE(CONTROL!$C$21, $C$9, 100%, $E$9)</f>
        <v>49.418100000000003</v>
      </c>
      <c r="S768" s="10">
        <f>CHOOSE(CONTROL!$C$42, 47.0983, 47.0983) * CHOOSE(CONTROL!$C$21, $C$9, 100%, $E$9)</f>
        <v>47.098300000000002</v>
      </c>
      <c r="T7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57">
        <f>(1000*CHOOSE(CONTROL!$C$42, 695, 695)*CHOOSE(CONTROL!$C$42, 0.5599, 0.5599)*CHOOSE(CONTROL!$C$42, 31, 31))/1000000</f>
        <v>12.063045499999998</v>
      </c>
      <c r="V768" s="57">
        <f>(1000*CHOOSE(CONTROL!$C$42, 500, 500)*CHOOSE(CONTROL!$C$42, 0.275, 0.275)*CHOOSE(CONTROL!$C$42, 31, 31))/1000000</f>
        <v>4.2625000000000002</v>
      </c>
      <c r="W768" s="57">
        <f>(1000*CHOOSE(CONTROL!$C$42, 0.1146, 0.1146)*CHOOSE(CONTROL!$C$42, 121.5, 121.5)*CHOOSE(CONTROL!$C$42, 31, 31))/1000000</f>
        <v>0.43164089999999994</v>
      </c>
      <c r="X768" s="57">
        <f>(31*0.1790888*100000/1000000)+(31*0.2374*100000/1000000)</f>
        <v>1.2911152800000001</v>
      </c>
      <c r="Y768" s="57"/>
      <c r="Z768" s="10"/>
      <c r="AA768" s="56"/>
      <c r="AB768" s="50">
        <f>(B768*122.58+C768*297.941+D768*89.177+E768*40.302+F768*40+G768*160+H768*0+I768*100+J768*300)/(122.58+297.941+89.177+40.302+0+40+160+100+300)</f>
        <v>48.512332213130428</v>
      </c>
      <c r="AC768" s="45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48.065107194244604</v>
      </c>
    </row>
    <row r="769" spans="1:29" ht="15.75" x14ac:dyDescent="0.25">
      <c r="A769" s="13">
        <v>64315</v>
      </c>
      <c r="B769" s="10">
        <f>CHOOSE(CONTROL!$C$42, 52.4761, 52.4761) * CHOOSE(CONTROL!$C$21, $C$9, 100%, $E$9)</f>
        <v>52.476100000000002</v>
      </c>
      <c r="C769" s="10">
        <f>CHOOSE(CONTROL!$C$42, 52.481, 52.481) * CHOOSE(CONTROL!$C$21, $C$9, 100%, $E$9)</f>
        <v>52.481000000000002</v>
      </c>
      <c r="D769" s="10">
        <f>CHOOSE(CONTROL!$C$42, 52.5381, 52.5381) * CHOOSE(CONTROL!$C$21, $C$9, 100%, $E$9)</f>
        <v>52.5381</v>
      </c>
      <c r="E769" s="10">
        <f>CHOOSE(CONTROL!$C$42, 52.5719, 52.5719) * CHOOSE(CONTROL!$C$21, $C$9, 100%, $E$9)</f>
        <v>52.571899999999999</v>
      </c>
      <c r="F769" s="10">
        <f>CHOOSE(CONTROL!$C$42, 52.4739, 52.4739)*CHOOSE(CONTROL!$C$21, $C$9, 100%, $E$9)</f>
        <v>52.4739</v>
      </c>
      <c r="G769" s="10">
        <f>CHOOSE(CONTROL!$C$42, 52.4885, 52.4885)*CHOOSE(CONTROL!$C$21, $C$9, 100%, $E$9)</f>
        <v>52.488500000000002</v>
      </c>
      <c r="H769" s="10">
        <f>CHOOSE(CONTROL!$C$42, 52.561, 52.561) * CHOOSE(CONTROL!$C$21, $C$9, 100%, $E$9)</f>
        <v>52.561</v>
      </c>
      <c r="I769" s="10">
        <f>CHOOSE(CONTROL!$C$42, 52.4868, 52.4868)* CHOOSE(CONTROL!$C$21, $C$9, 100%, $E$9)</f>
        <v>52.486800000000002</v>
      </c>
      <c r="J769" s="10">
        <f>CHOOSE(CONTROL!$C$42, 52.4669, 52.4669)* CHOOSE(CONTROL!$C$21, $C$9, 100%, $E$9)</f>
        <v>52.466900000000003</v>
      </c>
      <c r="K769" s="53">
        <f>CHOOSE(CONTROL!$C$42, 52.483, 52.483) * CHOOSE(CONTROL!$C$21, $C$9, 100%, $E$9)</f>
        <v>52.482999999999997</v>
      </c>
      <c r="L769" s="10">
        <f>CHOOSE(CONTROL!$C$42, 53.148, 53.148) * CHOOSE(CONTROL!$C$21, $C$9, 100%, $E$9)</f>
        <v>53.148000000000003</v>
      </c>
      <c r="M769" s="10">
        <f>CHOOSE(CONTROL!$C$42, 51.9512, 51.9512) * CHOOSE(CONTROL!$C$21, $C$9, 100%, $E$9)</f>
        <v>51.9512</v>
      </c>
      <c r="N769" s="10">
        <f>CHOOSE(CONTROL!$C$42, 51.9657, 51.9657) * CHOOSE(CONTROL!$C$21, $C$9, 100%, $E$9)</f>
        <v>51.965699999999998</v>
      </c>
      <c r="O769" s="10">
        <f>CHOOSE(CONTROL!$C$42, 52.0444, 52.0444) * CHOOSE(CONTROL!$C$21, $C$9, 100%, $E$9)</f>
        <v>52.044400000000003</v>
      </c>
      <c r="P769" s="10">
        <f>CHOOSE(CONTROL!$C$42, 51.971, 51.971) * CHOOSE(CONTROL!$C$21, $C$9, 100%, $E$9)</f>
        <v>51.970999999999997</v>
      </c>
      <c r="Q769" s="10">
        <f>CHOOSE(CONTROL!$C$42, 52.6397, 52.6397) * CHOOSE(CONTROL!$C$21, $C$9, 100%, $E$9)</f>
        <v>52.639699999999998</v>
      </c>
      <c r="R769" s="10">
        <f>CHOOSE(CONTROL!$C$42, 53.3583, 53.3583) * CHOOSE(CONTROL!$C$21, $C$9, 100%, $E$9)</f>
        <v>53.3583</v>
      </c>
      <c r="S769" s="10">
        <f>CHOOSE(CONTROL!$C$42, 50.9574, 50.9574) * CHOOSE(CONTROL!$C$21, $C$9, 100%, $E$9)</f>
        <v>50.9574</v>
      </c>
      <c r="T7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57">
        <f>(1000*CHOOSE(CONTROL!$C$42, 695, 695)*CHOOSE(CONTROL!$C$42, 0.5599, 0.5599)*CHOOSE(CONTROL!$C$42, 31, 31))/1000000</f>
        <v>12.063045499999998</v>
      </c>
      <c r="V769" s="57">
        <f>(1000*CHOOSE(CONTROL!$C$42, 500, 500)*CHOOSE(CONTROL!$C$42, 0.275, 0.275)*CHOOSE(CONTROL!$C$42, 31, 31))/1000000</f>
        <v>4.2625000000000002</v>
      </c>
      <c r="W769" s="57">
        <f>(1000*CHOOSE(CONTROL!$C$42, 0.1146, 0.1146)*CHOOSE(CONTROL!$C$42, 121.5, 121.5)*CHOOSE(CONTROL!$C$42, 31, 31))/1000000</f>
        <v>0.43164089999999994</v>
      </c>
      <c r="X769" s="57">
        <f>(31*0.1790888*100000/1000000)+(31*0.2374*100000/1000000)</f>
        <v>1.2911152800000001</v>
      </c>
      <c r="Y769" s="57"/>
      <c r="Z769" s="10"/>
      <c r="AA769" s="56"/>
      <c r="AB769" s="50">
        <f>(B769*122.58+C769*297.941+D769*89.177+E769*40.302+F769*40+G769*160+H769*0+I769*100+J769*300)/(122.58+297.941+89.177+40.302+0+40+160+100+300)</f>
        <v>52.485713753478258</v>
      </c>
      <c r="AC769" s="45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51.997125179856113</v>
      </c>
    </row>
    <row r="770" spans="1:29" ht="15.75" x14ac:dyDescent="0.25">
      <c r="A770" s="13">
        <v>64344</v>
      </c>
      <c r="B770" s="10">
        <f>CHOOSE(CONTROL!$C$42, 53.4102, 53.4102) * CHOOSE(CONTROL!$C$21, $C$9, 100%, $E$9)</f>
        <v>53.410200000000003</v>
      </c>
      <c r="C770" s="10">
        <f>CHOOSE(CONTROL!$C$42, 53.4151, 53.4151) * CHOOSE(CONTROL!$C$21, $C$9, 100%, $E$9)</f>
        <v>53.415100000000002</v>
      </c>
      <c r="D770" s="10">
        <f>CHOOSE(CONTROL!$C$42, 53.4722, 53.4722) * CHOOSE(CONTROL!$C$21, $C$9, 100%, $E$9)</f>
        <v>53.472200000000001</v>
      </c>
      <c r="E770" s="10">
        <f>CHOOSE(CONTROL!$C$42, 53.506, 53.506) * CHOOSE(CONTROL!$C$21, $C$9, 100%, $E$9)</f>
        <v>53.506</v>
      </c>
      <c r="F770" s="10">
        <f>CHOOSE(CONTROL!$C$42, 53.4081, 53.4081)*CHOOSE(CONTROL!$C$21, $C$9, 100%, $E$9)</f>
        <v>53.408099999999997</v>
      </c>
      <c r="G770" s="10">
        <f>CHOOSE(CONTROL!$C$42, 53.4227, 53.4227)*CHOOSE(CONTROL!$C$21, $C$9, 100%, $E$9)</f>
        <v>53.422699999999999</v>
      </c>
      <c r="H770" s="10">
        <f>CHOOSE(CONTROL!$C$42, 53.4951, 53.4951) * CHOOSE(CONTROL!$C$21, $C$9, 100%, $E$9)</f>
        <v>53.495100000000001</v>
      </c>
      <c r="I770" s="10">
        <f>CHOOSE(CONTROL!$C$42, 53.4209, 53.4209)* CHOOSE(CONTROL!$C$21, $C$9, 100%, $E$9)</f>
        <v>53.420900000000003</v>
      </c>
      <c r="J770" s="10">
        <f>CHOOSE(CONTROL!$C$42, 53.4011, 53.4011)* CHOOSE(CONTROL!$C$21, $C$9, 100%, $E$9)</f>
        <v>53.4011</v>
      </c>
      <c r="K770" s="53">
        <f>CHOOSE(CONTROL!$C$42, 53.4171, 53.4171) * CHOOSE(CONTROL!$C$21, $C$9, 100%, $E$9)</f>
        <v>53.417099999999998</v>
      </c>
      <c r="L770" s="10">
        <f>CHOOSE(CONTROL!$C$42, 54.0821, 54.0821) * CHOOSE(CONTROL!$C$21, $C$9, 100%, $E$9)</f>
        <v>54.082099999999997</v>
      </c>
      <c r="M770" s="10">
        <f>CHOOSE(CONTROL!$C$42, 52.876, 52.876) * CHOOSE(CONTROL!$C$21, $C$9, 100%, $E$9)</f>
        <v>52.875999999999998</v>
      </c>
      <c r="N770" s="10">
        <f>CHOOSE(CONTROL!$C$42, 52.8905, 52.8905) * CHOOSE(CONTROL!$C$21, $C$9, 100%, $E$9)</f>
        <v>52.890500000000003</v>
      </c>
      <c r="O770" s="10">
        <f>CHOOSE(CONTROL!$C$42, 52.9691, 52.9691) * CHOOSE(CONTROL!$C$21, $C$9, 100%, $E$9)</f>
        <v>52.969099999999997</v>
      </c>
      <c r="P770" s="10">
        <f>CHOOSE(CONTROL!$C$42, 52.8957, 52.8957) * CHOOSE(CONTROL!$C$21, $C$9, 100%, $E$9)</f>
        <v>52.895699999999998</v>
      </c>
      <c r="Q770" s="10">
        <f>CHOOSE(CONTROL!$C$42, 53.5644, 53.5644) * CHOOSE(CONTROL!$C$21, $C$9, 100%, $E$9)</f>
        <v>53.564399999999999</v>
      </c>
      <c r="R770" s="10">
        <f>CHOOSE(CONTROL!$C$42, 54.2853, 54.2853) * CHOOSE(CONTROL!$C$21, $C$9, 100%, $E$9)</f>
        <v>54.285299999999999</v>
      </c>
      <c r="S770" s="10">
        <f>CHOOSE(CONTROL!$C$42, 51.8645, 51.8645) * CHOOSE(CONTROL!$C$21, $C$9, 100%, $E$9)</f>
        <v>51.8645</v>
      </c>
      <c r="T77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70" s="57">
        <f>(1000*CHOOSE(CONTROL!$C$42, 695, 695)*CHOOSE(CONTROL!$C$42, 0.5599, 0.5599)*CHOOSE(CONTROL!$C$42, 29, 29))/1000000</f>
        <v>11.284784499999999</v>
      </c>
      <c r="V770" s="57">
        <f>(1000*CHOOSE(CONTROL!$C$42, 500, 500)*CHOOSE(CONTROL!$C$42, 0.275, 0.275)*CHOOSE(CONTROL!$C$42, 29, 29))/1000000</f>
        <v>3.9874999999999998</v>
      </c>
      <c r="W770" s="57">
        <f>(1000*CHOOSE(CONTROL!$C$42, 0.1146, 0.1146)*CHOOSE(CONTROL!$C$42, 121.5, 121.5)*CHOOSE(CONTROL!$C$42, 29, 29))/1000000</f>
        <v>0.40379309999999996</v>
      </c>
      <c r="X770" s="57">
        <f>(29*0.1790888*100000/1000000)+(29*0.2374*100000/1000000)</f>
        <v>1.2078175199999999</v>
      </c>
      <c r="Y770" s="57"/>
      <c r="Z770" s="10"/>
      <c r="AA770" s="56"/>
      <c r="AB770" s="50">
        <f>(B770*122.58+C770*297.941+D770*89.177+E770*40.302+F770*40+G770*160+H770*0+I770*100+J770*300)/(122.58+297.941+89.177+40.302+0+40+160+100+300)</f>
        <v>53.41985723173913</v>
      </c>
      <c r="AC770" s="45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52.921865467625899</v>
      </c>
    </row>
    <row r="771" spans="1:29" ht="15.75" x14ac:dyDescent="0.25">
      <c r="A771" s="13">
        <v>64375</v>
      </c>
      <c r="B771" s="10">
        <f>CHOOSE(CONTROL!$C$42, 51.8939, 51.8939) * CHOOSE(CONTROL!$C$21, $C$9, 100%, $E$9)</f>
        <v>51.893900000000002</v>
      </c>
      <c r="C771" s="10">
        <f>CHOOSE(CONTROL!$C$42, 51.8988, 51.8988) * CHOOSE(CONTROL!$C$21, $C$9, 100%, $E$9)</f>
        <v>51.898800000000001</v>
      </c>
      <c r="D771" s="10">
        <f>CHOOSE(CONTROL!$C$42, 51.9559, 51.9559) * CHOOSE(CONTROL!$C$21, $C$9, 100%, $E$9)</f>
        <v>51.9559</v>
      </c>
      <c r="E771" s="10">
        <f>CHOOSE(CONTROL!$C$42, 51.9897, 51.9897) * CHOOSE(CONTROL!$C$21, $C$9, 100%, $E$9)</f>
        <v>51.989699999999999</v>
      </c>
      <c r="F771" s="10">
        <f>CHOOSE(CONTROL!$C$42, 51.8917, 51.8917)*CHOOSE(CONTROL!$C$21, $C$9, 100%, $E$9)</f>
        <v>51.8917</v>
      </c>
      <c r="G771" s="10">
        <f>CHOOSE(CONTROL!$C$42, 51.9063, 51.9063)*CHOOSE(CONTROL!$C$21, $C$9, 100%, $E$9)</f>
        <v>51.906300000000002</v>
      </c>
      <c r="H771" s="10">
        <f>CHOOSE(CONTROL!$C$42, 51.9789, 51.9789) * CHOOSE(CONTROL!$C$21, $C$9, 100%, $E$9)</f>
        <v>51.978900000000003</v>
      </c>
      <c r="I771" s="10">
        <f>CHOOSE(CONTROL!$C$42, 51.9047, 51.9047)* CHOOSE(CONTROL!$C$21, $C$9, 100%, $E$9)</f>
        <v>51.904699999999998</v>
      </c>
      <c r="J771" s="10">
        <f>CHOOSE(CONTROL!$C$42, 51.8847, 51.8847)* CHOOSE(CONTROL!$C$21, $C$9, 100%, $E$9)</f>
        <v>51.884700000000002</v>
      </c>
      <c r="K771" s="53">
        <f>CHOOSE(CONTROL!$C$42, 51.9008, 51.9008) * CHOOSE(CONTROL!$C$21, $C$9, 100%, $E$9)</f>
        <v>51.900799999999997</v>
      </c>
      <c r="L771" s="10">
        <f>CHOOSE(CONTROL!$C$42, 52.5659, 52.5659) * CHOOSE(CONTROL!$C$21, $C$9, 100%, $E$9)</f>
        <v>52.565899999999999</v>
      </c>
      <c r="M771" s="10">
        <f>CHOOSE(CONTROL!$C$42, 51.3749, 51.3749) * CHOOSE(CONTROL!$C$21, $C$9, 100%, $E$9)</f>
        <v>51.374899999999997</v>
      </c>
      <c r="N771" s="10">
        <f>CHOOSE(CONTROL!$C$42, 51.3894, 51.3894) * CHOOSE(CONTROL!$C$21, $C$9, 100%, $E$9)</f>
        <v>51.389400000000002</v>
      </c>
      <c r="O771" s="10">
        <f>CHOOSE(CONTROL!$C$42, 51.4682, 51.4682) * CHOOSE(CONTROL!$C$21, $C$9, 100%, $E$9)</f>
        <v>51.468200000000003</v>
      </c>
      <c r="P771" s="10">
        <f>CHOOSE(CONTROL!$C$42, 51.3947, 51.3947) * CHOOSE(CONTROL!$C$21, $C$9, 100%, $E$9)</f>
        <v>51.3947</v>
      </c>
      <c r="Q771" s="10">
        <f>CHOOSE(CONTROL!$C$42, 52.0635, 52.0635) * CHOOSE(CONTROL!$C$21, $C$9, 100%, $E$9)</f>
        <v>52.063499999999998</v>
      </c>
      <c r="R771" s="10">
        <f>CHOOSE(CONTROL!$C$42, 52.7806, 52.7806) * CHOOSE(CONTROL!$C$21, $C$9, 100%, $E$9)</f>
        <v>52.7806</v>
      </c>
      <c r="S771" s="10">
        <f>CHOOSE(CONTROL!$C$42, 50.392, 50.392) * CHOOSE(CONTROL!$C$21, $C$9, 100%, $E$9)</f>
        <v>50.392000000000003</v>
      </c>
      <c r="T7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57">
        <f>(1000*CHOOSE(CONTROL!$C$42, 695, 695)*CHOOSE(CONTROL!$C$42, 0.5599, 0.5599)*CHOOSE(CONTROL!$C$42, 31, 31))/1000000</f>
        <v>12.063045499999998</v>
      </c>
      <c r="V771" s="57">
        <f>(1000*CHOOSE(CONTROL!$C$42, 500, 500)*CHOOSE(CONTROL!$C$42, 0.275, 0.275)*CHOOSE(CONTROL!$C$42, 31, 31))/1000000</f>
        <v>4.2625000000000002</v>
      </c>
      <c r="W771" s="57">
        <f>(1000*CHOOSE(CONTROL!$C$42, 0.1146, 0.1146)*CHOOSE(CONTROL!$C$42, 121.5, 121.5)*CHOOSE(CONTROL!$C$42, 31, 31))/1000000</f>
        <v>0.43164089999999994</v>
      </c>
      <c r="X771" s="57">
        <f>(31*0.1790888*100000/1000000)+(31*0.2374*100000/1000000)</f>
        <v>1.2911152800000001</v>
      </c>
      <c r="Y771" s="57"/>
      <c r="Z771" s="10"/>
      <c r="AA771" s="56"/>
      <c r="AB771" s="50">
        <f>(B771*122.58+C771*297.941+D771*89.177+E771*40.302+F771*40+G771*160+H771*0+I771*100+J771*300)/(122.58+297.941+89.177+40.302+0+40+160+100+300)</f>
        <v>51.903522449130442</v>
      </c>
      <c r="AC771" s="45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51.420870503597122</v>
      </c>
    </row>
    <row r="772" spans="1:29" ht="15.75" x14ac:dyDescent="0.25">
      <c r="A772" s="13">
        <v>64405</v>
      </c>
      <c r="B772" s="10">
        <f>CHOOSE(CONTROL!$C$42, 51.7397, 51.7397) * CHOOSE(CONTROL!$C$21, $C$9, 100%, $E$9)</f>
        <v>51.739699999999999</v>
      </c>
      <c r="C772" s="10">
        <f>CHOOSE(CONTROL!$C$42, 51.7441, 51.7441) * CHOOSE(CONTROL!$C$21, $C$9, 100%, $E$9)</f>
        <v>51.744100000000003</v>
      </c>
      <c r="D772" s="10">
        <f>CHOOSE(CONTROL!$C$42, 51.9499, 51.9499) * CHOOSE(CONTROL!$C$21, $C$9, 100%, $E$9)</f>
        <v>51.9499</v>
      </c>
      <c r="E772" s="10">
        <f>CHOOSE(CONTROL!$C$42, 51.9817, 51.9817) * CHOOSE(CONTROL!$C$21, $C$9, 100%, $E$9)</f>
        <v>51.981699999999996</v>
      </c>
      <c r="F772" s="10">
        <f>CHOOSE(CONTROL!$C$42, 51.7165, 51.7165)*CHOOSE(CONTROL!$C$21, $C$9, 100%, $E$9)</f>
        <v>51.716500000000003</v>
      </c>
      <c r="G772" s="10">
        <f>CHOOSE(CONTROL!$C$42, 51.731, 51.731)*CHOOSE(CONTROL!$C$21, $C$9, 100%, $E$9)</f>
        <v>51.731000000000002</v>
      </c>
      <c r="H772" s="10">
        <f>CHOOSE(CONTROL!$C$42, 51.9715, 51.9715) * CHOOSE(CONTROL!$C$21, $C$9, 100%, $E$9)</f>
        <v>51.971499999999999</v>
      </c>
      <c r="I772" s="10">
        <f>CHOOSE(CONTROL!$C$42, 51.7411, 51.7411)* CHOOSE(CONTROL!$C$21, $C$9, 100%, $E$9)</f>
        <v>51.741100000000003</v>
      </c>
      <c r="J772" s="10">
        <f>CHOOSE(CONTROL!$C$42, 51.7095, 51.7095)* CHOOSE(CONTROL!$C$21, $C$9, 100%, $E$9)</f>
        <v>51.709499999999998</v>
      </c>
      <c r="K772" s="53">
        <f>CHOOSE(CONTROL!$C$42, 51.7372, 51.7372) * CHOOSE(CONTROL!$C$21, $C$9, 100%, $E$9)</f>
        <v>51.737200000000001</v>
      </c>
      <c r="L772" s="10">
        <f>CHOOSE(CONTROL!$C$42, 52.5585, 52.5585) * CHOOSE(CONTROL!$C$21, $C$9, 100%, $E$9)</f>
        <v>52.558500000000002</v>
      </c>
      <c r="M772" s="10">
        <f>CHOOSE(CONTROL!$C$42, 51.2014, 51.2014) * CHOOSE(CONTROL!$C$21, $C$9, 100%, $E$9)</f>
        <v>51.2014</v>
      </c>
      <c r="N772" s="10">
        <f>CHOOSE(CONTROL!$C$42, 51.2158, 51.2158) * CHOOSE(CONTROL!$C$21, $C$9, 100%, $E$9)</f>
        <v>51.215800000000002</v>
      </c>
      <c r="O772" s="10">
        <f>CHOOSE(CONTROL!$C$42, 51.4608, 51.4608) * CHOOSE(CONTROL!$C$21, $C$9, 100%, $E$9)</f>
        <v>51.460799999999999</v>
      </c>
      <c r="P772" s="10">
        <f>CHOOSE(CONTROL!$C$42, 51.2328, 51.2328) * CHOOSE(CONTROL!$C$21, $C$9, 100%, $E$9)</f>
        <v>51.232799999999997</v>
      </c>
      <c r="Q772" s="10">
        <f>CHOOSE(CONTROL!$C$42, 52.0561, 52.0561) * CHOOSE(CONTROL!$C$21, $C$9, 100%, $E$9)</f>
        <v>52.056100000000001</v>
      </c>
      <c r="R772" s="10">
        <f>CHOOSE(CONTROL!$C$42, 52.7733, 52.7733) * CHOOSE(CONTROL!$C$21, $C$9, 100%, $E$9)</f>
        <v>52.773299999999999</v>
      </c>
      <c r="S772" s="10">
        <f>CHOOSE(CONTROL!$C$42, 50.2415, 50.2415) * CHOOSE(CONTROL!$C$21, $C$9, 100%, $E$9)</f>
        <v>50.241500000000002</v>
      </c>
      <c r="T7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57">
        <f>(1000*CHOOSE(CONTROL!$C$42, 695, 695)*CHOOSE(CONTROL!$C$42, 0.5599, 0.5599)*CHOOSE(CONTROL!$C$42, 30, 30))/1000000</f>
        <v>11.673914999999997</v>
      </c>
      <c r="V772" s="57">
        <f>(1000*CHOOSE(CONTROL!$C$42, 500, 500)*CHOOSE(CONTROL!$C$42, 0.275, 0.275)*CHOOSE(CONTROL!$C$42, 30, 30))/1000000</f>
        <v>4.125</v>
      </c>
      <c r="W772" s="57">
        <f>(1000*CHOOSE(CONTROL!$C$42, 0.1146, 0.1146)*CHOOSE(CONTROL!$C$42, 121.5, 121.5)*CHOOSE(CONTROL!$C$42, 30, 30))/1000000</f>
        <v>0.417717</v>
      </c>
      <c r="X772" s="57">
        <f>(30*0.1790888*245000/1000000)+(30*0.2374*100000/1000000)</f>
        <v>2.0285026799999999</v>
      </c>
      <c r="Y772" s="57"/>
      <c r="Z772" s="10"/>
      <c r="AA772" s="56"/>
      <c r="AB772" s="50">
        <f>(B772*141.293+C772*267.993+D772*115.016+E772*89.698+F772*40+G772*185+H772*0+I772*100+J772*300)/(141.293+267.993+115.016+89.698+0+40+185+100+300)</f>
        <v>51.768436842937852</v>
      </c>
      <c r="AC772" s="45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51.324316546762589</v>
      </c>
    </row>
    <row r="773" spans="1:29" ht="15.75" x14ac:dyDescent="0.25">
      <c r="A773" s="13">
        <v>64436</v>
      </c>
      <c r="B773" s="10">
        <f>CHOOSE(CONTROL!$C$42, 52.1977, 52.1977) * CHOOSE(CONTROL!$C$21, $C$9, 100%, $E$9)</f>
        <v>52.197699999999998</v>
      </c>
      <c r="C773" s="10">
        <f>CHOOSE(CONTROL!$C$42, 52.2056, 52.2056) * CHOOSE(CONTROL!$C$21, $C$9, 100%, $E$9)</f>
        <v>52.205599999999997</v>
      </c>
      <c r="D773" s="10">
        <f>CHOOSE(CONTROL!$C$42, 52.4084, 52.4084) * CHOOSE(CONTROL!$C$21, $C$9, 100%, $E$9)</f>
        <v>52.4084</v>
      </c>
      <c r="E773" s="10">
        <f>CHOOSE(CONTROL!$C$42, 52.4395, 52.4395) * CHOOSE(CONTROL!$C$21, $C$9, 100%, $E$9)</f>
        <v>52.439500000000002</v>
      </c>
      <c r="F773" s="10">
        <f>CHOOSE(CONTROL!$C$42, 52.1734, 52.1734)*CHOOSE(CONTROL!$C$21, $C$9, 100%, $E$9)</f>
        <v>52.173400000000001</v>
      </c>
      <c r="G773" s="10">
        <f>CHOOSE(CONTROL!$C$42, 52.1884, 52.1884)*CHOOSE(CONTROL!$C$21, $C$9, 100%, $E$9)</f>
        <v>52.188400000000001</v>
      </c>
      <c r="H773" s="10">
        <f>CHOOSE(CONTROL!$C$42, 52.4281, 52.4281) * CHOOSE(CONTROL!$C$21, $C$9, 100%, $E$9)</f>
        <v>52.428100000000001</v>
      </c>
      <c r="I773" s="10">
        <f>CHOOSE(CONTROL!$C$42, 52.1977, 52.1977)* CHOOSE(CONTROL!$C$21, $C$9, 100%, $E$9)</f>
        <v>52.197699999999998</v>
      </c>
      <c r="J773" s="10">
        <f>CHOOSE(CONTROL!$C$42, 52.1664, 52.1664)* CHOOSE(CONTROL!$C$21, $C$9, 100%, $E$9)</f>
        <v>52.166400000000003</v>
      </c>
      <c r="K773" s="53">
        <f>CHOOSE(CONTROL!$C$42, 52.1939, 52.1939) * CHOOSE(CONTROL!$C$21, $C$9, 100%, $E$9)</f>
        <v>52.193899999999999</v>
      </c>
      <c r="L773" s="10">
        <f>CHOOSE(CONTROL!$C$42, 53.0151, 53.0151) * CHOOSE(CONTROL!$C$21, $C$9, 100%, $E$9)</f>
        <v>53.015099999999997</v>
      </c>
      <c r="M773" s="10">
        <f>CHOOSE(CONTROL!$C$42, 51.6538, 51.6538) * CHOOSE(CONTROL!$C$21, $C$9, 100%, $E$9)</f>
        <v>51.653799999999997</v>
      </c>
      <c r="N773" s="10">
        <f>CHOOSE(CONTROL!$C$42, 51.6687, 51.6687) * CHOOSE(CONTROL!$C$21, $C$9, 100%, $E$9)</f>
        <v>51.668700000000001</v>
      </c>
      <c r="O773" s="10">
        <f>CHOOSE(CONTROL!$C$42, 51.9129, 51.9129) * CHOOSE(CONTROL!$C$21, $C$9, 100%, $E$9)</f>
        <v>51.9129</v>
      </c>
      <c r="P773" s="10">
        <f>CHOOSE(CONTROL!$C$42, 51.6848, 51.6848) * CHOOSE(CONTROL!$C$21, $C$9, 100%, $E$9)</f>
        <v>51.684800000000003</v>
      </c>
      <c r="Q773" s="10">
        <f>CHOOSE(CONTROL!$C$42, 52.5082, 52.5082) * CHOOSE(CONTROL!$C$21, $C$9, 100%, $E$9)</f>
        <v>52.508200000000002</v>
      </c>
      <c r="R773" s="10">
        <f>CHOOSE(CONTROL!$C$42, 53.2264, 53.2264) * CHOOSE(CONTROL!$C$21, $C$9, 100%, $E$9)</f>
        <v>53.226399999999998</v>
      </c>
      <c r="S773" s="10">
        <f>CHOOSE(CONTROL!$C$42, 50.6849, 50.6849) * CHOOSE(CONTROL!$C$21, $C$9, 100%, $E$9)</f>
        <v>50.684899999999999</v>
      </c>
      <c r="T7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57">
        <f>(1000*CHOOSE(CONTROL!$C$42, 695, 695)*CHOOSE(CONTROL!$C$42, 0.5599, 0.5599)*CHOOSE(CONTROL!$C$42, 31, 31))/1000000</f>
        <v>12.063045499999998</v>
      </c>
      <c r="V773" s="57">
        <f>(1000*CHOOSE(CONTROL!$C$42, 500, 500)*CHOOSE(CONTROL!$C$42, 0.275, 0.275)*CHOOSE(CONTROL!$C$42, 31, 31))/1000000</f>
        <v>4.2625000000000002</v>
      </c>
      <c r="W773" s="57">
        <f>(1000*CHOOSE(CONTROL!$C$42, 0.1146, 0.1146)*CHOOSE(CONTROL!$C$42, 121.5, 121.5)*CHOOSE(CONTROL!$C$42, 31, 31))/1000000</f>
        <v>0.43164089999999994</v>
      </c>
      <c r="X773" s="57">
        <f>(31*0.1790888*245000/1000000)+(31*0.2374*100000/1000000)</f>
        <v>2.0961194359999999</v>
      </c>
      <c r="Y773" s="57"/>
      <c r="Z773" s="10"/>
      <c r="AA773" s="56"/>
      <c r="AB773" s="50">
        <f>(B773*194.205+C773*267.466+D773*133.845+E773*53.484+F773*40+G773*185+H773*0+I773*100+J773*300)/(194.205+267.466+133.845+53.484+0+40+185+100+300)</f>
        <v>52.222161580926212</v>
      </c>
      <c r="AC773" s="45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51.776551798561158</v>
      </c>
    </row>
    <row r="774" spans="1:29" ht="15.75" x14ac:dyDescent="0.25">
      <c r="A774" s="13">
        <v>64466</v>
      </c>
      <c r="B774" s="10">
        <f>CHOOSE(CONTROL!$C$42, 53.6782, 53.6782) * CHOOSE(CONTROL!$C$21, $C$9, 100%, $E$9)</f>
        <v>53.678199999999997</v>
      </c>
      <c r="C774" s="10">
        <f>CHOOSE(CONTROL!$C$42, 53.6861, 53.6861) * CHOOSE(CONTROL!$C$21, $C$9, 100%, $E$9)</f>
        <v>53.686100000000003</v>
      </c>
      <c r="D774" s="10">
        <f>CHOOSE(CONTROL!$C$42, 53.8889, 53.8889) * CHOOSE(CONTROL!$C$21, $C$9, 100%, $E$9)</f>
        <v>53.8889</v>
      </c>
      <c r="E774" s="10">
        <f>CHOOSE(CONTROL!$C$42, 53.92, 53.92) * CHOOSE(CONTROL!$C$21, $C$9, 100%, $E$9)</f>
        <v>53.92</v>
      </c>
      <c r="F774" s="10">
        <f>CHOOSE(CONTROL!$C$42, 53.6544, 53.6544)*CHOOSE(CONTROL!$C$21, $C$9, 100%, $E$9)</f>
        <v>53.654400000000003</v>
      </c>
      <c r="G774" s="10">
        <f>CHOOSE(CONTROL!$C$42, 53.6696, 53.6696)*CHOOSE(CONTROL!$C$21, $C$9, 100%, $E$9)</f>
        <v>53.669600000000003</v>
      </c>
      <c r="H774" s="10">
        <f>CHOOSE(CONTROL!$C$42, 53.9086, 53.9086) * CHOOSE(CONTROL!$C$21, $C$9, 100%, $E$9)</f>
        <v>53.9086</v>
      </c>
      <c r="I774" s="10">
        <f>CHOOSE(CONTROL!$C$42, 53.6782, 53.6782)* CHOOSE(CONTROL!$C$21, $C$9, 100%, $E$9)</f>
        <v>53.678199999999997</v>
      </c>
      <c r="J774" s="10">
        <f>CHOOSE(CONTROL!$C$42, 53.6474, 53.6474)* CHOOSE(CONTROL!$C$21, $C$9, 100%, $E$9)</f>
        <v>53.647399999999998</v>
      </c>
      <c r="K774" s="53">
        <f>CHOOSE(CONTROL!$C$42, 53.6744, 53.6744) * CHOOSE(CONTROL!$C$21, $C$9, 100%, $E$9)</f>
        <v>53.674399999999999</v>
      </c>
      <c r="L774" s="10">
        <f>CHOOSE(CONTROL!$C$42, 54.4956, 54.4956) * CHOOSE(CONTROL!$C$21, $C$9, 100%, $E$9)</f>
        <v>54.495600000000003</v>
      </c>
      <c r="M774" s="10">
        <f>CHOOSE(CONTROL!$C$42, 53.1199, 53.1199) * CHOOSE(CONTROL!$C$21, $C$9, 100%, $E$9)</f>
        <v>53.119900000000001</v>
      </c>
      <c r="N774" s="10">
        <f>CHOOSE(CONTROL!$C$42, 53.1349, 53.1349) * CHOOSE(CONTROL!$C$21, $C$9, 100%, $E$9)</f>
        <v>53.134900000000002</v>
      </c>
      <c r="O774" s="10">
        <f>CHOOSE(CONTROL!$C$42, 53.3784, 53.3784) * CHOOSE(CONTROL!$C$21, $C$9, 100%, $E$9)</f>
        <v>53.378399999999999</v>
      </c>
      <c r="P774" s="10">
        <f>CHOOSE(CONTROL!$C$42, 53.1504, 53.1504) * CHOOSE(CONTROL!$C$21, $C$9, 100%, $E$9)</f>
        <v>53.150399999999998</v>
      </c>
      <c r="Q774" s="10">
        <f>CHOOSE(CONTROL!$C$42, 53.9737, 53.9737) * CHOOSE(CONTROL!$C$21, $C$9, 100%, $E$9)</f>
        <v>53.973700000000001</v>
      </c>
      <c r="R774" s="10">
        <f>CHOOSE(CONTROL!$C$42, 54.6957, 54.6957) * CHOOSE(CONTROL!$C$21, $C$9, 100%, $E$9)</f>
        <v>54.695700000000002</v>
      </c>
      <c r="S774" s="10">
        <f>CHOOSE(CONTROL!$C$42, 52.1227, 52.1227) * CHOOSE(CONTROL!$C$21, $C$9, 100%, $E$9)</f>
        <v>52.122700000000002</v>
      </c>
      <c r="T7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57">
        <f>(1000*CHOOSE(CONTROL!$C$42, 695, 695)*CHOOSE(CONTROL!$C$42, 0.5599, 0.5599)*CHOOSE(CONTROL!$C$42, 30, 30))/1000000</f>
        <v>11.673914999999997</v>
      </c>
      <c r="V774" s="57">
        <f>(1000*CHOOSE(CONTROL!$C$42, 500, 500)*CHOOSE(CONTROL!$C$42, 0.275, 0.275)*CHOOSE(CONTROL!$C$42, 30, 30))/1000000</f>
        <v>4.125</v>
      </c>
      <c r="W774" s="57">
        <f>(1000*CHOOSE(CONTROL!$C$42, 0.1146, 0.1146)*CHOOSE(CONTROL!$C$42, 121.5, 121.5)*CHOOSE(CONTROL!$C$42, 30, 30))/1000000</f>
        <v>0.417717</v>
      </c>
      <c r="X774" s="57">
        <f>(30*0.1790888*245000/1000000)+(30*0.2374*100000/1000000)</f>
        <v>2.0285026799999999</v>
      </c>
      <c r="Y774" s="57"/>
      <c r="Z774" s="10"/>
      <c r="AA774" s="56"/>
      <c r="AB774" s="50">
        <f>(B774*194.205+C774*267.466+D774*133.845+E774*53.484+F774*40+G774*185+H774*0+I774*100+J774*300)/(194.205+267.466+133.845+53.484+0+40+185+100+300)</f>
        <v>53.70289666726844</v>
      </c>
      <c r="AC774" s="45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53.24231366906475</v>
      </c>
    </row>
    <row r="775" spans="1:29" ht="15.75" x14ac:dyDescent="0.25">
      <c r="A775" s="13">
        <v>64497</v>
      </c>
      <c r="B775" s="10">
        <f>CHOOSE(CONTROL!$C$42, 52.6485, 52.6485) * CHOOSE(CONTROL!$C$21, $C$9, 100%, $E$9)</f>
        <v>52.648499999999999</v>
      </c>
      <c r="C775" s="10">
        <f>CHOOSE(CONTROL!$C$42, 52.6564, 52.6564) * CHOOSE(CONTROL!$C$21, $C$9, 100%, $E$9)</f>
        <v>52.656399999999998</v>
      </c>
      <c r="D775" s="10">
        <f>CHOOSE(CONTROL!$C$42, 52.8592, 52.8592) * CHOOSE(CONTROL!$C$21, $C$9, 100%, $E$9)</f>
        <v>52.859200000000001</v>
      </c>
      <c r="E775" s="10">
        <f>CHOOSE(CONTROL!$C$42, 52.8903, 52.8903) * CHOOSE(CONTROL!$C$21, $C$9, 100%, $E$9)</f>
        <v>52.890300000000003</v>
      </c>
      <c r="F775" s="10">
        <f>CHOOSE(CONTROL!$C$42, 52.6253, 52.6253)*CHOOSE(CONTROL!$C$21, $C$9, 100%, $E$9)</f>
        <v>52.625300000000003</v>
      </c>
      <c r="G775" s="10">
        <f>CHOOSE(CONTROL!$C$42, 52.6405, 52.6405)*CHOOSE(CONTROL!$C$21, $C$9, 100%, $E$9)</f>
        <v>52.640500000000003</v>
      </c>
      <c r="H775" s="10">
        <f>CHOOSE(CONTROL!$C$42, 52.8789, 52.8789) * CHOOSE(CONTROL!$C$21, $C$9, 100%, $E$9)</f>
        <v>52.878900000000002</v>
      </c>
      <c r="I775" s="10">
        <f>CHOOSE(CONTROL!$C$42, 52.6485, 52.6485)* CHOOSE(CONTROL!$C$21, $C$9, 100%, $E$9)</f>
        <v>52.648499999999999</v>
      </c>
      <c r="J775" s="10">
        <f>CHOOSE(CONTROL!$C$42, 52.6183, 52.6183)* CHOOSE(CONTROL!$C$21, $C$9, 100%, $E$9)</f>
        <v>52.618299999999998</v>
      </c>
      <c r="K775" s="53">
        <f>CHOOSE(CONTROL!$C$42, 52.6447, 52.6447) * CHOOSE(CONTROL!$C$21, $C$9, 100%, $E$9)</f>
        <v>52.6447</v>
      </c>
      <c r="L775" s="10">
        <f>CHOOSE(CONTROL!$C$42, 53.4659, 53.4659) * CHOOSE(CONTROL!$C$21, $C$9, 100%, $E$9)</f>
        <v>53.465899999999998</v>
      </c>
      <c r="M775" s="10">
        <f>CHOOSE(CONTROL!$C$42, 52.1011, 52.1011) * CHOOSE(CONTROL!$C$21, $C$9, 100%, $E$9)</f>
        <v>52.101100000000002</v>
      </c>
      <c r="N775" s="10">
        <f>CHOOSE(CONTROL!$C$42, 52.1162, 52.1162) * CHOOSE(CONTROL!$C$21, $C$9, 100%, $E$9)</f>
        <v>52.116199999999999</v>
      </c>
      <c r="O775" s="10">
        <f>CHOOSE(CONTROL!$C$42, 52.3591, 52.3591) * CHOOSE(CONTROL!$C$21, $C$9, 100%, $E$9)</f>
        <v>52.359099999999998</v>
      </c>
      <c r="P775" s="10">
        <f>CHOOSE(CONTROL!$C$42, 52.1311, 52.1311) * CHOOSE(CONTROL!$C$21, $C$9, 100%, $E$9)</f>
        <v>52.131100000000004</v>
      </c>
      <c r="Q775" s="10">
        <f>CHOOSE(CONTROL!$C$42, 52.9544, 52.9544) * CHOOSE(CONTROL!$C$21, $C$9, 100%, $E$9)</f>
        <v>52.9544</v>
      </c>
      <c r="R775" s="10">
        <f>CHOOSE(CONTROL!$C$42, 53.6738, 53.6738) * CHOOSE(CONTROL!$C$21, $C$9, 100%, $E$9)</f>
        <v>53.6738</v>
      </c>
      <c r="S775" s="10">
        <f>CHOOSE(CONTROL!$C$42, 51.1227, 51.1227) * CHOOSE(CONTROL!$C$21, $C$9, 100%, $E$9)</f>
        <v>51.122700000000002</v>
      </c>
      <c r="T7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57">
        <f>(1000*CHOOSE(CONTROL!$C$42, 695, 695)*CHOOSE(CONTROL!$C$42, 0.5599, 0.5599)*CHOOSE(CONTROL!$C$42, 31, 31))/1000000</f>
        <v>12.063045499999998</v>
      </c>
      <c r="V775" s="57">
        <f>(1000*CHOOSE(CONTROL!$C$42, 500, 500)*CHOOSE(CONTROL!$C$42, 0.275, 0.275)*CHOOSE(CONTROL!$C$42, 31, 31))/1000000</f>
        <v>4.2625000000000002</v>
      </c>
      <c r="W775" s="57">
        <f>(1000*CHOOSE(CONTROL!$C$42, 0.1146, 0.1146)*CHOOSE(CONTROL!$C$42, 121.5, 121.5)*CHOOSE(CONTROL!$C$42, 31, 31))/1000000</f>
        <v>0.43164089999999994</v>
      </c>
      <c r="X775" s="57">
        <f>(31*0.1790888*245000/1000000)+(31*0.2374*100000/1000000)</f>
        <v>2.0961194359999999</v>
      </c>
      <c r="Y775" s="57"/>
      <c r="Z775" s="10"/>
      <c r="AA775" s="56"/>
      <c r="AB775" s="50">
        <f>(B775*194.205+C775*267.466+D775*133.845+E775*53.484+F775*40+G775*185+H775*0+I775*100+J775*300)/(194.205+267.466+133.845+53.484+0+40+185+100+300)</f>
        <v>52.6734439200157</v>
      </c>
      <c r="AC775" s="45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52.223220863309351</v>
      </c>
    </row>
    <row r="776" spans="1:29" ht="15.75" x14ac:dyDescent="0.25">
      <c r="A776" s="13">
        <v>64528</v>
      </c>
      <c r="B776" s="10">
        <f>CHOOSE(CONTROL!$C$42, 50.0482, 50.0482) * CHOOSE(CONTROL!$C$21, $C$9, 100%, $E$9)</f>
        <v>50.048200000000001</v>
      </c>
      <c r="C776" s="10">
        <f>CHOOSE(CONTROL!$C$42, 50.0561, 50.0561) * CHOOSE(CONTROL!$C$21, $C$9, 100%, $E$9)</f>
        <v>50.056100000000001</v>
      </c>
      <c r="D776" s="10">
        <f>CHOOSE(CONTROL!$C$42, 50.2588, 50.2588) * CHOOSE(CONTROL!$C$21, $C$9, 100%, $E$9)</f>
        <v>50.258800000000001</v>
      </c>
      <c r="E776" s="10">
        <f>CHOOSE(CONTROL!$C$42, 50.29, 50.29) * CHOOSE(CONTROL!$C$21, $C$9, 100%, $E$9)</f>
        <v>50.29</v>
      </c>
      <c r="F776" s="10">
        <f>CHOOSE(CONTROL!$C$42, 50.0251, 50.0251)*CHOOSE(CONTROL!$C$21, $C$9, 100%, $E$9)</f>
        <v>50.025100000000002</v>
      </c>
      <c r="G776" s="10">
        <f>CHOOSE(CONTROL!$C$42, 50.0405, 50.0405)*CHOOSE(CONTROL!$C$21, $C$9, 100%, $E$9)</f>
        <v>50.040500000000002</v>
      </c>
      <c r="H776" s="10">
        <f>CHOOSE(CONTROL!$C$42, 50.2786, 50.2786) * CHOOSE(CONTROL!$C$21, $C$9, 100%, $E$9)</f>
        <v>50.278599999999997</v>
      </c>
      <c r="I776" s="10">
        <f>CHOOSE(CONTROL!$C$42, 50.0482, 50.0482)* CHOOSE(CONTROL!$C$21, $C$9, 100%, $E$9)</f>
        <v>50.048200000000001</v>
      </c>
      <c r="J776" s="10">
        <f>CHOOSE(CONTROL!$C$42, 50.0181, 50.0181)* CHOOSE(CONTROL!$C$21, $C$9, 100%, $E$9)</f>
        <v>50.018099999999997</v>
      </c>
      <c r="K776" s="53">
        <f>CHOOSE(CONTROL!$C$42, 50.0443, 50.0443) * CHOOSE(CONTROL!$C$21, $C$9, 100%, $E$9)</f>
        <v>50.0443</v>
      </c>
      <c r="L776" s="10">
        <f>CHOOSE(CONTROL!$C$42, 50.8656, 50.8656) * CHOOSE(CONTROL!$C$21, $C$9, 100%, $E$9)</f>
        <v>50.865600000000001</v>
      </c>
      <c r="M776" s="10">
        <f>CHOOSE(CONTROL!$C$42, 49.5272, 49.5272) * CHOOSE(CONTROL!$C$21, $C$9, 100%, $E$9)</f>
        <v>49.527200000000001</v>
      </c>
      <c r="N776" s="10">
        <f>CHOOSE(CONTROL!$C$42, 49.5424, 49.5424) * CHOOSE(CONTROL!$C$21, $C$9, 100%, $E$9)</f>
        <v>49.542400000000001</v>
      </c>
      <c r="O776" s="10">
        <f>CHOOSE(CONTROL!$C$42, 49.785, 49.785) * CHOOSE(CONTROL!$C$21, $C$9, 100%, $E$9)</f>
        <v>49.784999999999997</v>
      </c>
      <c r="P776" s="10">
        <f>CHOOSE(CONTROL!$C$42, 49.557, 49.557) * CHOOSE(CONTROL!$C$21, $C$9, 100%, $E$9)</f>
        <v>49.557000000000002</v>
      </c>
      <c r="Q776" s="10">
        <f>CHOOSE(CONTROL!$C$42, 50.3803, 50.3803) * CHOOSE(CONTROL!$C$21, $C$9, 100%, $E$9)</f>
        <v>50.380299999999998</v>
      </c>
      <c r="R776" s="10">
        <f>CHOOSE(CONTROL!$C$42, 51.0933, 51.0933) * CHOOSE(CONTROL!$C$21, $C$9, 100%, $E$9)</f>
        <v>51.093299999999999</v>
      </c>
      <c r="S776" s="10">
        <f>CHOOSE(CONTROL!$C$42, 48.5976, 48.5976) * CHOOSE(CONTROL!$C$21, $C$9, 100%, $E$9)</f>
        <v>48.5976</v>
      </c>
      <c r="T7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57">
        <f>(1000*CHOOSE(CONTROL!$C$42, 695, 695)*CHOOSE(CONTROL!$C$42, 0.5599, 0.5599)*CHOOSE(CONTROL!$C$42, 31, 31))/1000000</f>
        <v>12.063045499999998</v>
      </c>
      <c r="V776" s="57">
        <f>(1000*CHOOSE(CONTROL!$C$42, 500, 500)*CHOOSE(CONTROL!$C$42, 0.275, 0.275)*CHOOSE(CONTROL!$C$42, 31, 31))/1000000</f>
        <v>4.2625000000000002</v>
      </c>
      <c r="W776" s="57">
        <f>(1000*CHOOSE(CONTROL!$C$42, 0.1146, 0.1146)*CHOOSE(CONTROL!$C$42, 121.5, 121.5)*CHOOSE(CONTROL!$C$42, 31, 31))/1000000</f>
        <v>0.43164089999999994</v>
      </c>
      <c r="X776" s="57">
        <f>(31*0.1790888*245000/1000000)+(31*0.2374*100000/1000000)</f>
        <v>2.0961194359999999</v>
      </c>
      <c r="Y776" s="57"/>
      <c r="Z776" s="10"/>
      <c r="AA776" s="56"/>
      <c r="AB776" s="50">
        <f>(B776*194.205+C776*267.466+D776*133.845+E776*53.484+F776*40+G776*185+H776*0+I776*100+J776*300)/(194.205+267.466+133.845+53.484+0+40+185+100+300)</f>
        <v>50.073203665306124</v>
      </c>
      <c r="AC776" s="45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49.649207194244603</v>
      </c>
    </row>
    <row r="777" spans="1:29" ht="15.75" x14ac:dyDescent="0.25">
      <c r="A777" s="13">
        <v>64558</v>
      </c>
      <c r="B777" s="10">
        <f>CHOOSE(CONTROL!$C$42, 46.8707, 46.8707) * CHOOSE(CONTROL!$C$21, $C$9, 100%, $E$9)</f>
        <v>46.870699999999999</v>
      </c>
      <c r="C777" s="10">
        <f>CHOOSE(CONTROL!$C$42, 46.8786, 46.8786) * CHOOSE(CONTROL!$C$21, $C$9, 100%, $E$9)</f>
        <v>46.878599999999999</v>
      </c>
      <c r="D777" s="10">
        <f>CHOOSE(CONTROL!$C$42, 47.0813, 47.0813) * CHOOSE(CONTROL!$C$21, $C$9, 100%, $E$9)</f>
        <v>47.081299999999999</v>
      </c>
      <c r="E777" s="10">
        <f>CHOOSE(CONTROL!$C$42, 47.1125, 47.1125) * CHOOSE(CONTROL!$C$21, $C$9, 100%, $E$9)</f>
        <v>47.112499999999997</v>
      </c>
      <c r="F777" s="10">
        <f>CHOOSE(CONTROL!$C$42, 46.8475, 46.8475)*CHOOSE(CONTROL!$C$21, $C$9, 100%, $E$9)</f>
        <v>46.847499999999997</v>
      </c>
      <c r="G777" s="10">
        <f>CHOOSE(CONTROL!$C$42, 46.8628, 46.8628)*CHOOSE(CONTROL!$C$21, $C$9, 100%, $E$9)</f>
        <v>46.8628</v>
      </c>
      <c r="H777" s="10">
        <f>CHOOSE(CONTROL!$C$42, 47.1011, 47.1011) * CHOOSE(CONTROL!$C$21, $C$9, 100%, $E$9)</f>
        <v>47.101100000000002</v>
      </c>
      <c r="I777" s="10">
        <f>CHOOSE(CONTROL!$C$42, 46.8707, 46.8707)* CHOOSE(CONTROL!$C$21, $C$9, 100%, $E$9)</f>
        <v>46.870699999999999</v>
      </c>
      <c r="J777" s="10">
        <f>CHOOSE(CONTROL!$C$42, 46.8405, 46.8405)* CHOOSE(CONTROL!$C$21, $C$9, 100%, $E$9)</f>
        <v>46.840499999999999</v>
      </c>
      <c r="K777" s="53">
        <f>CHOOSE(CONTROL!$C$42, 46.8668, 46.8668) * CHOOSE(CONTROL!$C$21, $C$9, 100%, $E$9)</f>
        <v>46.866799999999998</v>
      </c>
      <c r="L777" s="10">
        <f>CHOOSE(CONTROL!$C$42, 47.6881, 47.6881) * CHOOSE(CONTROL!$C$21, $C$9, 100%, $E$9)</f>
        <v>47.688099999999999</v>
      </c>
      <c r="M777" s="10">
        <f>CHOOSE(CONTROL!$C$42, 46.3816, 46.3816) * CHOOSE(CONTROL!$C$21, $C$9, 100%, $E$9)</f>
        <v>46.381599999999999</v>
      </c>
      <c r="N777" s="10">
        <f>CHOOSE(CONTROL!$C$42, 46.3968, 46.3968) * CHOOSE(CONTROL!$C$21, $C$9, 100%, $E$9)</f>
        <v>46.396799999999999</v>
      </c>
      <c r="O777" s="10">
        <f>CHOOSE(CONTROL!$C$42, 46.6396, 46.6396) * CHOOSE(CONTROL!$C$21, $C$9, 100%, $E$9)</f>
        <v>46.639600000000002</v>
      </c>
      <c r="P777" s="10">
        <f>CHOOSE(CONTROL!$C$42, 46.4116, 46.4116) * CHOOSE(CONTROL!$C$21, $C$9, 100%, $E$9)</f>
        <v>46.4116</v>
      </c>
      <c r="Q777" s="10">
        <f>CHOOSE(CONTROL!$C$42, 47.2349, 47.2349) * CHOOSE(CONTROL!$C$21, $C$9, 100%, $E$9)</f>
        <v>47.234900000000003</v>
      </c>
      <c r="R777" s="10">
        <f>CHOOSE(CONTROL!$C$42, 47.94, 47.94) * CHOOSE(CONTROL!$C$21, $C$9, 100%, $E$9)</f>
        <v>47.94</v>
      </c>
      <c r="S777" s="10">
        <f>CHOOSE(CONTROL!$C$42, 45.5119, 45.5119) * CHOOSE(CONTROL!$C$21, $C$9, 100%, $E$9)</f>
        <v>45.511899999999997</v>
      </c>
      <c r="T7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57">
        <f>(1000*CHOOSE(CONTROL!$C$42, 695, 695)*CHOOSE(CONTROL!$C$42, 0.5599, 0.5599)*CHOOSE(CONTROL!$C$42, 30, 30))/1000000</f>
        <v>11.673914999999997</v>
      </c>
      <c r="V777" s="57">
        <f>(1000*CHOOSE(CONTROL!$C$42, 500, 500)*CHOOSE(CONTROL!$C$42, 0.275, 0.275)*CHOOSE(CONTROL!$C$42, 30, 30))/1000000</f>
        <v>4.125</v>
      </c>
      <c r="W777" s="57">
        <f>(1000*CHOOSE(CONTROL!$C$42, 0.1146, 0.1146)*CHOOSE(CONTROL!$C$42, 121.5, 121.5)*CHOOSE(CONTROL!$C$42, 30, 30))/1000000</f>
        <v>0.417717</v>
      </c>
      <c r="X777" s="57">
        <f>(30*0.1790888*245000/1000000)+(30*0.2374*100000/1000000)</f>
        <v>2.0285026799999999</v>
      </c>
      <c r="Y777" s="57"/>
      <c r="Z777" s="10"/>
      <c r="AA777" s="56"/>
      <c r="AB777" s="50">
        <f>(B777*194.205+C777*267.466+D777*133.845+E777*53.484+F777*40+G777*185+H777*0+I777*100+J777*300)/(194.205+267.466+133.845+53.484+0+40+185+100+300)</f>
        <v>46.895647935321826</v>
      </c>
      <c r="AC777" s="45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46.503726618705038</v>
      </c>
    </row>
    <row r="778" spans="1:29" ht="15.75" x14ac:dyDescent="0.25">
      <c r="A778" s="13">
        <v>64589</v>
      </c>
      <c r="B778" s="10">
        <f>CHOOSE(CONTROL!$C$42, 45.9174, 45.9174) * CHOOSE(CONTROL!$C$21, $C$9, 100%, $E$9)</f>
        <v>45.917400000000001</v>
      </c>
      <c r="C778" s="10">
        <f>CHOOSE(CONTROL!$C$42, 45.9226, 45.9226) * CHOOSE(CONTROL!$C$21, $C$9, 100%, $E$9)</f>
        <v>45.922600000000003</v>
      </c>
      <c r="D778" s="10">
        <f>CHOOSE(CONTROL!$C$42, 46.1303, 46.1303) * CHOOSE(CONTROL!$C$21, $C$9, 100%, $E$9)</f>
        <v>46.130299999999998</v>
      </c>
      <c r="E778" s="10">
        <f>CHOOSE(CONTROL!$C$42, 46.1591, 46.1591) * CHOOSE(CONTROL!$C$21, $C$9, 100%, $E$9)</f>
        <v>46.159100000000002</v>
      </c>
      <c r="F778" s="10">
        <f>CHOOSE(CONTROL!$C$42, 45.8961, 45.8961)*CHOOSE(CONTROL!$C$21, $C$9, 100%, $E$9)</f>
        <v>45.896099999999997</v>
      </c>
      <c r="G778" s="10">
        <f>CHOOSE(CONTROL!$C$42, 45.911, 45.911)*CHOOSE(CONTROL!$C$21, $C$9, 100%, $E$9)</f>
        <v>45.911000000000001</v>
      </c>
      <c r="H778" s="10">
        <f>CHOOSE(CONTROL!$C$42, 46.1496, 46.1496) * CHOOSE(CONTROL!$C$21, $C$9, 100%, $E$9)</f>
        <v>46.1496</v>
      </c>
      <c r="I778" s="10">
        <f>CHOOSE(CONTROL!$C$42, 45.9192, 45.9192)* CHOOSE(CONTROL!$C$21, $C$9, 100%, $E$9)</f>
        <v>45.919199999999996</v>
      </c>
      <c r="J778" s="10">
        <f>CHOOSE(CONTROL!$C$42, 45.8891, 45.8891)* CHOOSE(CONTROL!$C$21, $C$9, 100%, $E$9)</f>
        <v>45.889099999999999</v>
      </c>
      <c r="K778" s="53">
        <f>CHOOSE(CONTROL!$C$42, 45.9153, 45.9153) * CHOOSE(CONTROL!$C$21, $C$9, 100%, $E$9)</f>
        <v>45.915300000000002</v>
      </c>
      <c r="L778" s="10">
        <f>CHOOSE(CONTROL!$C$42, 46.7366, 46.7366) * CHOOSE(CONTROL!$C$21, $C$9, 100%, $E$9)</f>
        <v>46.736600000000003</v>
      </c>
      <c r="M778" s="10">
        <f>CHOOSE(CONTROL!$C$42, 45.4398, 45.4398) * CHOOSE(CONTROL!$C$21, $C$9, 100%, $E$9)</f>
        <v>45.439799999999998</v>
      </c>
      <c r="N778" s="10">
        <f>CHOOSE(CONTROL!$C$42, 45.4546, 45.4546) * CHOOSE(CONTROL!$C$21, $C$9, 100%, $E$9)</f>
        <v>45.454599999999999</v>
      </c>
      <c r="O778" s="10">
        <f>CHOOSE(CONTROL!$C$42, 45.6977, 45.6977) * CHOOSE(CONTROL!$C$21, $C$9, 100%, $E$9)</f>
        <v>45.697699999999998</v>
      </c>
      <c r="P778" s="10">
        <f>CHOOSE(CONTROL!$C$42, 45.4696, 45.4696) * CHOOSE(CONTROL!$C$21, $C$9, 100%, $E$9)</f>
        <v>45.4696</v>
      </c>
      <c r="Q778" s="10">
        <f>CHOOSE(CONTROL!$C$42, 46.293, 46.293) * CHOOSE(CONTROL!$C$21, $C$9, 100%, $E$9)</f>
        <v>46.292999999999999</v>
      </c>
      <c r="R778" s="10">
        <f>CHOOSE(CONTROL!$C$42, 46.9957, 46.9957) * CHOOSE(CONTROL!$C$21, $C$9, 100%, $E$9)</f>
        <v>46.995699999999999</v>
      </c>
      <c r="S778" s="10">
        <f>CHOOSE(CONTROL!$C$42, 44.5878, 44.5878) * CHOOSE(CONTROL!$C$21, $C$9, 100%, $E$9)</f>
        <v>44.587800000000001</v>
      </c>
      <c r="T7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57">
        <f>(1000*CHOOSE(CONTROL!$C$42, 695, 695)*CHOOSE(CONTROL!$C$42, 0.5599, 0.5599)*CHOOSE(CONTROL!$C$42, 31, 31))/1000000</f>
        <v>12.063045499999998</v>
      </c>
      <c r="V778" s="57">
        <f>(1000*CHOOSE(CONTROL!$C$42, 500, 500)*CHOOSE(CONTROL!$C$42, 0.275, 0.275)*CHOOSE(CONTROL!$C$42, 31, 31))/1000000</f>
        <v>4.2625000000000002</v>
      </c>
      <c r="W778" s="57">
        <f>(1000*CHOOSE(CONTROL!$C$42, 0.1146, 0.1146)*CHOOSE(CONTROL!$C$42, 121.5, 121.5)*CHOOSE(CONTROL!$C$42, 31, 31))/1000000</f>
        <v>0.43164089999999994</v>
      </c>
      <c r="X778" s="57">
        <f>(31*0.1790888*245000/1000000)+(31*0.2374*100000/1000000)</f>
        <v>2.0961194359999999</v>
      </c>
      <c r="Y778" s="57"/>
      <c r="Z778" s="10"/>
      <c r="AA778" s="56"/>
      <c r="AB778" s="50">
        <f>(B778*131.881+C778*277.167+D778*79.08+E778*125.872+F778*40+G778*185+H778*0+I778*100+J778*300)/(131.881+277.167+79.08+125.872+0+40+185+100+300)</f>
        <v>45.948356144309926</v>
      </c>
      <c r="AC778" s="45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45.561829496402879</v>
      </c>
    </row>
    <row r="779" spans="1:29" ht="15.75" x14ac:dyDescent="0.25">
      <c r="A779" s="13">
        <v>64619</v>
      </c>
      <c r="B779" s="10">
        <f>CHOOSE(CONTROL!$C$42, 47.1266, 47.1266) * CHOOSE(CONTROL!$C$21, $C$9, 100%, $E$9)</f>
        <v>47.126600000000003</v>
      </c>
      <c r="C779" s="10">
        <f>CHOOSE(CONTROL!$C$42, 47.1315, 47.1315) * CHOOSE(CONTROL!$C$21, $C$9, 100%, $E$9)</f>
        <v>47.131500000000003</v>
      </c>
      <c r="D779" s="10">
        <f>CHOOSE(CONTROL!$C$42, 47.192, 47.192) * CHOOSE(CONTROL!$C$21, $C$9, 100%, $E$9)</f>
        <v>47.192</v>
      </c>
      <c r="E779" s="10">
        <f>CHOOSE(CONTROL!$C$42, 47.2258, 47.2258) * CHOOSE(CONTROL!$C$21, $C$9, 100%, $E$9)</f>
        <v>47.2258</v>
      </c>
      <c r="F779" s="10">
        <f>CHOOSE(CONTROL!$C$42, 47.1222, 47.1222)*CHOOSE(CONTROL!$C$21, $C$9, 100%, $E$9)</f>
        <v>47.122199999999999</v>
      </c>
      <c r="G779" s="10">
        <f>CHOOSE(CONTROL!$C$42, 47.1374, 47.1374)*CHOOSE(CONTROL!$C$21, $C$9, 100%, $E$9)</f>
        <v>47.1374</v>
      </c>
      <c r="H779" s="10">
        <f>CHOOSE(CONTROL!$C$42, 47.215, 47.215) * CHOOSE(CONTROL!$C$21, $C$9, 100%, $E$9)</f>
        <v>47.215000000000003</v>
      </c>
      <c r="I779" s="10">
        <f>CHOOSE(CONTROL!$C$42, 47.1391, 47.1391)* CHOOSE(CONTROL!$C$21, $C$9, 100%, $E$9)</f>
        <v>47.139099999999999</v>
      </c>
      <c r="J779" s="10">
        <f>CHOOSE(CONTROL!$C$42, 47.1152, 47.1152)* CHOOSE(CONTROL!$C$21, $C$9, 100%, $E$9)</f>
        <v>47.115200000000002</v>
      </c>
      <c r="K779" s="53">
        <f>CHOOSE(CONTROL!$C$42, 47.1352, 47.1352) * CHOOSE(CONTROL!$C$21, $C$9, 100%, $E$9)</f>
        <v>47.135199999999998</v>
      </c>
      <c r="L779" s="10">
        <f>CHOOSE(CONTROL!$C$42, 47.802, 47.802) * CHOOSE(CONTROL!$C$21, $C$9, 100%, $E$9)</f>
        <v>47.802</v>
      </c>
      <c r="M779" s="10">
        <f>CHOOSE(CONTROL!$C$42, 46.6535, 46.6535) * CHOOSE(CONTROL!$C$21, $C$9, 100%, $E$9)</f>
        <v>46.653500000000001</v>
      </c>
      <c r="N779" s="10">
        <f>CHOOSE(CONTROL!$C$42, 46.6686, 46.6686) * CHOOSE(CONTROL!$C$21, $C$9, 100%, $E$9)</f>
        <v>46.668599999999998</v>
      </c>
      <c r="O779" s="10">
        <f>CHOOSE(CONTROL!$C$42, 46.7523, 46.7523) * CHOOSE(CONTROL!$C$21, $C$9, 100%, $E$9)</f>
        <v>46.752299999999998</v>
      </c>
      <c r="P779" s="10">
        <f>CHOOSE(CONTROL!$C$42, 46.6772, 46.6772) * CHOOSE(CONTROL!$C$21, $C$9, 100%, $E$9)</f>
        <v>46.677199999999999</v>
      </c>
      <c r="Q779" s="10">
        <f>CHOOSE(CONTROL!$C$42, 47.3476, 47.3476) * CHOOSE(CONTROL!$C$21, $C$9, 100%, $E$9)</f>
        <v>47.3476</v>
      </c>
      <c r="R779" s="10">
        <f>CHOOSE(CONTROL!$C$42, 48.053, 48.053) * CHOOSE(CONTROL!$C$21, $C$9, 100%, $E$9)</f>
        <v>48.052999999999997</v>
      </c>
      <c r="S779" s="10">
        <f>CHOOSE(CONTROL!$C$42, 45.7625, 45.7625) * CHOOSE(CONTROL!$C$21, $C$9, 100%, $E$9)</f>
        <v>45.762500000000003</v>
      </c>
      <c r="T7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57">
        <f>(1000*CHOOSE(CONTROL!$C$42, 695, 695)*CHOOSE(CONTROL!$C$42, 0.5599, 0.5599)*CHOOSE(CONTROL!$C$42, 30, 30))/1000000</f>
        <v>11.673914999999997</v>
      </c>
      <c r="V779" s="57">
        <f>(1000*CHOOSE(CONTROL!$C$42, 500, 500)*CHOOSE(CONTROL!$C$42, 0.275, 0.275)*CHOOSE(CONTROL!$C$42, 30, 30))/1000000</f>
        <v>4.125</v>
      </c>
      <c r="W779" s="57">
        <f>(1000*CHOOSE(CONTROL!$C$42, 0.1146, 0.1146)*CHOOSE(CONTROL!$C$42, 121.5, 121.5)*CHOOSE(CONTROL!$C$42, 30, 30))/1000000</f>
        <v>0.417717</v>
      </c>
      <c r="X779" s="57">
        <f>(30*0.1790888*100000/1000000)+(30*0.2374*100000/1000000)</f>
        <v>1.2494664</v>
      </c>
      <c r="Y779" s="57"/>
      <c r="Z779" s="10"/>
      <c r="AA779" s="56"/>
      <c r="AB779" s="50">
        <f>(B779*122.58+C779*297.941+D779*89.177+E779*40.302+F779*40+G779*160+H779*0+I779*100+J779*300)/(122.58+297.941+89.177+40.302+0+40+160+100+300)</f>
        <v>47.13588003921739</v>
      </c>
      <c r="AC779" s="45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46.702558992805756</v>
      </c>
    </row>
    <row r="780" spans="1:29" ht="15.75" x14ac:dyDescent="0.25">
      <c r="A780" s="13">
        <v>64650</v>
      </c>
      <c r="B780" s="10">
        <f>CHOOSE(CONTROL!$C$42, 50.3394, 50.3394) * CHOOSE(CONTROL!$C$21, $C$9, 100%, $E$9)</f>
        <v>50.339399999999998</v>
      </c>
      <c r="C780" s="10">
        <f>CHOOSE(CONTROL!$C$42, 50.3444, 50.3444) * CHOOSE(CONTROL!$C$21, $C$9, 100%, $E$9)</f>
        <v>50.3444</v>
      </c>
      <c r="D780" s="10">
        <f>CHOOSE(CONTROL!$C$42, 50.4049, 50.4049) * CHOOSE(CONTROL!$C$21, $C$9, 100%, $E$9)</f>
        <v>50.404899999999998</v>
      </c>
      <c r="E780" s="10">
        <f>CHOOSE(CONTROL!$C$42, 50.4387, 50.4387) * CHOOSE(CONTROL!$C$21, $C$9, 100%, $E$9)</f>
        <v>50.438699999999997</v>
      </c>
      <c r="F780" s="10">
        <f>CHOOSE(CONTROL!$C$42, 50.3369, 50.3369)*CHOOSE(CONTROL!$C$21, $C$9, 100%, $E$9)</f>
        <v>50.3369</v>
      </c>
      <c r="G780" s="10">
        <f>CHOOSE(CONTROL!$C$42, 50.3526, 50.3526)*CHOOSE(CONTROL!$C$21, $C$9, 100%, $E$9)</f>
        <v>50.352600000000002</v>
      </c>
      <c r="H780" s="10">
        <f>CHOOSE(CONTROL!$C$42, 50.4278, 50.4278) * CHOOSE(CONTROL!$C$21, $C$9, 100%, $E$9)</f>
        <v>50.427799999999998</v>
      </c>
      <c r="I780" s="10">
        <f>CHOOSE(CONTROL!$C$42, 50.3519, 50.3519)* CHOOSE(CONTROL!$C$21, $C$9, 100%, $E$9)</f>
        <v>50.351900000000001</v>
      </c>
      <c r="J780" s="10">
        <f>CHOOSE(CONTROL!$C$42, 50.3299, 50.3299)* CHOOSE(CONTROL!$C$21, $C$9, 100%, $E$9)</f>
        <v>50.329900000000002</v>
      </c>
      <c r="K780" s="53">
        <f>CHOOSE(CONTROL!$C$42, 50.348, 50.348) * CHOOSE(CONTROL!$C$21, $C$9, 100%, $E$9)</f>
        <v>50.347999999999999</v>
      </c>
      <c r="L780" s="10">
        <f>CHOOSE(CONTROL!$C$42, 51.0148, 51.0148) * CHOOSE(CONTROL!$C$21, $C$9, 100%, $E$9)</f>
        <v>51.014800000000001</v>
      </c>
      <c r="M780" s="10">
        <f>CHOOSE(CONTROL!$C$42, 49.8358, 49.8358) * CHOOSE(CONTROL!$C$21, $C$9, 100%, $E$9)</f>
        <v>49.835799999999999</v>
      </c>
      <c r="N780" s="10">
        <f>CHOOSE(CONTROL!$C$42, 49.8513, 49.8513) * CHOOSE(CONTROL!$C$21, $C$9, 100%, $E$9)</f>
        <v>49.851300000000002</v>
      </c>
      <c r="O780" s="10">
        <f>CHOOSE(CONTROL!$C$42, 49.9328, 49.9328) * CHOOSE(CONTROL!$C$21, $C$9, 100%, $E$9)</f>
        <v>49.9328</v>
      </c>
      <c r="P780" s="10">
        <f>CHOOSE(CONTROL!$C$42, 49.8577, 49.8577) * CHOOSE(CONTROL!$C$21, $C$9, 100%, $E$9)</f>
        <v>49.857700000000001</v>
      </c>
      <c r="Q780" s="10">
        <f>CHOOSE(CONTROL!$C$42, 50.5281, 50.5281) * CHOOSE(CONTROL!$C$21, $C$9, 100%, $E$9)</f>
        <v>50.528100000000002</v>
      </c>
      <c r="R780" s="10">
        <f>CHOOSE(CONTROL!$C$42, 51.2414, 51.2414) * CHOOSE(CONTROL!$C$21, $C$9, 100%, $E$9)</f>
        <v>51.241399999999999</v>
      </c>
      <c r="S780" s="10">
        <f>CHOOSE(CONTROL!$C$42, 48.8825, 48.8825) * CHOOSE(CONTROL!$C$21, $C$9, 100%, $E$9)</f>
        <v>48.8825</v>
      </c>
      <c r="T7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57">
        <f>(1000*CHOOSE(CONTROL!$C$42, 695, 695)*CHOOSE(CONTROL!$C$42, 0.5599, 0.5599)*CHOOSE(CONTROL!$C$42, 31, 31))/1000000</f>
        <v>12.063045499999998</v>
      </c>
      <c r="V780" s="57">
        <f>(1000*CHOOSE(CONTROL!$C$42, 500, 500)*CHOOSE(CONTROL!$C$42, 0.275, 0.275)*CHOOSE(CONTROL!$C$42, 31, 31))/1000000</f>
        <v>4.2625000000000002</v>
      </c>
      <c r="W780" s="57">
        <f>(1000*CHOOSE(CONTROL!$C$42, 0.1146, 0.1146)*CHOOSE(CONTROL!$C$42, 121.5, 121.5)*CHOOSE(CONTROL!$C$42, 31, 31))/1000000</f>
        <v>0.43164089999999994</v>
      </c>
      <c r="X780" s="57">
        <f>(31*0.1790888*100000/1000000)+(31*0.2374*100000/1000000)</f>
        <v>1.2911152800000001</v>
      </c>
      <c r="Y780" s="57"/>
      <c r="Z780" s="10"/>
      <c r="AA780" s="56"/>
      <c r="AB780" s="50">
        <f>(B780*122.58+C780*297.941+D780*89.177+E780*40.302+F780*40+G780*160+H780*0+I780*100+J780*300)/(122.58+297.941+89.177+40.302+0+40+160+100+300)</f>
        <v>50.349612858347825</v>
      </c>
      <c r="AC780" s="45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49.883807194244604</v>
      </c>
    </row>
    <row r="781" spans="1:29" ht="15.75" x14ac:dyDescent="0.25">
      <c r="A781" s="13">
        <v>64681</v>
      </c>
      <c r="B781" s="10">
        <f>CHOOSE(CONTROL!$C$42, 54.4638, 54.4638) * CHOOSE(CONTROL!$C$21, $C$9, 100%, $E$9)</f>
        <v>54.463799999999999</v>
      </c>
      <c r="C781" s="10">
        <f>CHOOSE(CONTROL!$C$42, 54.4688, 54.4688) * CHOOSE(CONTROL!$C$21, $C$9, 100%, $E$9)</f>
        <v>54.468800000000002</v>
      </c>
      <c r="D781" s="10">
        <f>CHOOSE(CONTROL!$C$42, 54.5259, 54.5259) * CHOOSE(CONTROL!$C$21, $C$9, 100%, $E$9)</f>
        <v>54.5259</v>
      </c>
      <c r="E781" s="10">
        <f>CHOOSE(CONTROL!$C$42, 54.5596, 54.5596) * CHOOSE(CONTROL!$C$21, $C$9, 100%, $E$9)</f>
        <v>54.559600000000003</v>
      </c>
      <c r="F781" s="10">
        <f>CHOOSE(CONTROL!$C$42, 54.4617, 54.4617)*CHOOSE(CONTROL!$C$21, $C$9, 100%, $E$9)</f>
        <v>54.4617</v>
      </c>
      <c r="G781" s="10">
        <f>CHOOSE(CONTROL!$C$42, 54.4763, 54.4763)*CHOOSE(CONTROL!$C$21, $C$9, 100%, $E$9)</f>
        <v>54.476300000000002</v>
      </c>
      <c r="H781" s="10">
        <f>CHOOSE(CONTROL!$C$42, 54.5488, 54.5488) * CHOOSE(CONTROL!$C$21, $C$9, 100%, $E$9)</f>
        <v>54.5488</v>
      </c>
      <c r="I781" s="10">
        <f>CHOOSE(CONTROL!$C$42, 54.4746, 54.4746)* CHOOSE(CONTROL!$C$21, $C$9, 100%, $E$9)</f>
        <v>54.474600000000002</v>
      </c>
      <c r="J781" s="10">
        <f>CHOOSE(CONTROL!$C$42, 54.4547, 54.4547)* CHOOSE(CONTROL!$C$21, $C$9, 100%, $E$9)</f>
        <v>54.454700000000003</v>
      </c>
      <c r="K781" s="53">
        <f>CHOOSE(CONTROL!$C$42, 54.4707, 54.4707) * CHOOSE(CONTROL!$C$21, $C$9, 100%, $E$9)</f>
        <v>54.470700000000001</v>
      </c>
      <c r="L781" s="10">
        <f>CHOOSE(CONTROL!$C$42, 55.1358, 55.1358) * CHOOSE(CONTROL!$C$21, $C$9, 100%, $E$9)</f>
        <v>55.135800000000003</v>
      </c>
      <c r="M781" s="10">
        <f>CHOOSE(CONTROL!$C$42, 53.9189, 53.9189) * CHOOSE(CONTROL!$C$21, $C$9, 100%, $E$9)</f>
        <v>53.918900000000001</v>
      </c>
      <c r="N781" s="10">
        <f>CHOOSE(CONTROL!$C$42, 53.9334, 53.9334) * CHOOSE(CONTROL!$C$21, $C$9, 100%, $E$9)</f>
        <v>53.933399999999999</v>
      </c>
      <c r="O781" s="10">
        <f>CHOOSE(CONTROL!$C$42, 54.0122, 54.0122) * CHOOSE(CONTROL!$C$21, $C$9, 100%, $E$9)</f>
        <v>54.0122</v>
      </c>
      <c r="P781" s="10">
        <f>CHOOSE(CONTROL!$C$42, 53.9388, 53.9388) * CHOOSE(CONTROL!$C$21, $C$9, 100%, $E$9)</f>
        <v>53.938800000000001</v>
      </c>
      <c r="Q781" s="10">
        <f>CHOOSE(CONTROL!$C$42, 54.6075, 54.6075) * CHOOSE(CONTROL!$C$21, $C$9, 100%, $E$9)</f>
        <v>54.607500000000002</v>
      </c>
      <c r="R781" s="10">
        <f>CHOOSE(CONTROL!$C$42, 55.331, 55.331) * CHOOSE(CONTROL!$C$21, $C$9, 100%, $E$9)</f>
        <v>55.331000000000003</v>
      </c>
      <c r="S781" s="10">
        <f>CHOOSE(CONTROL!$C$42, 52.8877, 52.8877) * CHOOSE(CONTROL!$C$21, $C$9, 100%, $E$9)</f>
        <v>52.887700000000002</v>
      </c>
      <c r="T7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57">
        <f>(1000*CHOOSE(CONTROL!$C$42, 695, 695)*CHOOSE(CONTROL!$C$42, 0.5599, 0.5599)*CHOOSE(CONTROL!$C$42, 31, 31))/1000000</f>
        <v>12.063045499999998</v>
      </c>
      <c r="V781" s="57">
        <f>(1000*CHOOSE(CONTROL!$C$42, 500, 500)*CHOOSE(CONTROL!$C$42, 0.275, 0.275)*CHOOSE(CONTROL!$C$42, 31, 31))/1000000</f>
        <v>4.2625000000000002</v>
      </c>
      <c r="W781" s="57">
        <f>(1000*CHOOSE(CONTROL!$C$42, 0.1146, 0.1146)*CHOOSE(CONTROL!$C$42, 121.5, 121.5)*CHOOSE(CONTROL!$C$42, 31, 31))/1000000</f>
        <v>0.43164089999999994</v>
      </c>
      <c r="X781" s="57">
        <f>(31*0.1790888*100000/1000000)+(31*0.2374*100000/1000000)</f>
        <v>1.2911152800000001</v>
      </c>
      <c r="Y781" s="57"/>
      <c r="Z781" s="10"/>
      <c r="AA781" s="56"/>
      <c r="AB781" s="50">
        <f>(B781*122.58+C781*297.941+D781*89.177+E781*40.302+F781*40+G781*160+H781*0+I781*100+J781*300)/(122.58+297.941+89.177+40.302+0+40+160+100+300)</f>
        <v>54.473499589826083</v>
      </c>
      <c r="AC781" s="45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53.964884892086332</v>
      </c>
    </row>
    <row r="782" spans="1:29" ht="15.75" x14ac:dyDescent="0.25">
      <c r="A782" s="13">
        <v>64709</v>
      </c>
      <c r="B782" s="10">
        <f>CHOOSE(CONTROL!$C$42, 55.4333, 55.4333) * CHOOSE(CONTROL!$C$21, $C$9, 100%, $E$9)</f>
        <v>55.433300000000003</v>
      </c>
      <c r="C782" s="10">
        <f>CHOOSE(CONTROL!$C$42, 55.4383, 55.4383) * CHOOSE(CONTROL!$C$21, $C$9, 100%, $E$9)</f>
        <v>55.438299999999998</v>
      </c>
      <c r="D782" s="10">
        <f>CHOOSE(CONTROL!$C$42, 55.4953, 55.4953) * CHOOSE(CONTROL!$C$21, $C$9, 100%, $E$9)</f>
        <v>55.4953</v>
      </c>
      <c r="E782" s="10">
        <f>CHOOSE(CONTROL!$C$42, 55.5291, 55.5291) * CHOOSE(CONTROL!$C$21, $C$9, 100%, $E$9)</f>
        <v>55.5291</v>
      </c>
      <c r="F782" s="10">
        <f>CHOOSE(CONTROL!$C$42, 55.4313, 55.4313)*CHOOSE(CONTROL!$C$21, $C$9, 100%, $E$9)</f>
        <v>55.4313</v>
      </c>
      <c r="G782" s="10">
        <f>CHOOSE(CONTROL!$C$42, 55.4459, 55.4459)*CHOOSE(CONTROL!$C$21, $C$9, 100%, $E$9)</f>
        <v>55.445900000000002</v>
      </c>
      <c r="H782" s="10">
        <f>CHOOSE(CONTROL!$C$42, 55.5183, 55.5183) * CHOOSE(CONTROL!$C$21, $C$9, 100%, $E$9)</f>
        <v>55.518300000000004</v>
      </c>
      <c r="I782" s="10">
        <f>CHOOSE(CONTROL!$C$42, 55.4441, 55.4441)* CHOOSE(CONTROL!$C$21, $C$9, 100%, $E$9)</f>
        <v>55.444099999999999</v>
      </c>
      <c r="J782" s="10">
        <f>CHOOSE(CONTROL!$C$42, 55.4243, 55.4243)* CHOOSE(CONTROL!$C$21, $C$9, 100%, $E$9)</f>
        <v>55.424300000000002</v>
      </c>
      <c r="K782" s="53">
        <f>CHOOSE(CONTROL!$C$42, 55.4402, 55.4402) * CHOOSE(CONTROL!$C$21, $C$9, 100%, $E$9)</f>
        <v>55.440199999999997</v>
      </c>
      <c r="L782" s="10">
        <f>CHOOSE(CONTROL!$C$42, 56.1053, 56.1053) * CHOOSE(CONTROL!$C$21, $C$9, 100%, $E$9)</f>
        <v>56.1053</v>
      </c>
      <c r="M782" s="10">
        <f>CHOOSE(CONTROL!$C$42, 54.8788, 54.8788) * CHOOSE(CONTROL!$C$21, $C$9, 100%, $E$9)</f>
        <v>54.878799999999998</v>
      </c>
      <c r="N782" s="10">
        <f>CHOOSE(CONTROL!$C$42, 54.8933, 54.8933) * CHOOSE(CONTROL!$C$21, $C$9, 100%, $E$9)</f>
        <v>54.893300000000004</v>
      </c>
      <c r="O782" s="10">
        <f>CHOOSE(CONTROL!$C$42, 54.9719, 54.9719) * CHOOSE(CONTROL!$C$21, $C$9, 100%, $E$9)</f>
        <v>54.971899999999998</v>
      </c>
      <c r="P782" s="10">
        <f>CHOOSE(CONTROL!$C$42, 54.8985, 54.8985) * CHOOSE(CONTROL!$C$21, $C$9, 100%, $E$9)</f>
        <v>54.898499999999999</v>
      </c>
      <c r="Q782" s="10">
        <f>CHOOSE(CONTROL!$C$42, 55.5672, 55.5672) * CHOOSE(CONTROL!$C$21, $C$9, 100%, $E$9)</f>
        <v>55.5672</v>
      </c>
      <c r="R782" s="10">
        <f>CHOOSE(CONTROL!$C$42, 56.2931, 56.2931) * CHOOSE(CONTROL!$C$21, $C$9, 100%, $E$9)</f>
        <v>56.293100000000003</v>
      </c>
      <c r="S782" s="10">
        <f>CHOOSE(CONTROL!$C$42, 53.8292, 53.8292) * CHOOSE(CONTROL!$C$21, $C$9, 100%, $E$9)</f>
        <v>53.8292</v>
      </c>
      <c r="T7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57">
        <f>(1000*CHOOSE(CONTROL!$C$42, 695, 695)*CHOOSE(CONTROL!$C$42, 0.5599, 0.5599)*CHOOSE(CONTROL!$C$42, 28, 28))/1000000</f>
        <v>10.895653999999999</v>
      </c>
      <c r="V782" s="57">
        <f>(1000*CHOOSE(CONTROL!$C$42, 500, 500)*CHOOSE(CONTROL!$C$42, 0.275, 0.275)*CHOOSE(CONTROL!$C$42, 28, 28))/1000000</f>
        <v>3.85</v>
      </c>
      <c r="W782" s="57">
        <f>(1000*CHOOSE(CONTROL!$C$42, 0.1146, 0.1146)*CHOOSE(CONTROL!$C$42, 121.5, 121.5)*CHOOSE(CONTROL!$C$42, 28, 28))/1000000</f>
        <v>0.38986920000000003</v>
      </c>
      <c r="X782" s="57">
        <f>(28*0.1790888*100000/1000000)+(28*0.2374*100000/1000000)</f>
        <v>1.16616864</v>
      </c>
      <c r="Y782" s="57"/>
      <c r="Z782" s="10"/>
      <c r="AA782" s="56"/>
      <c r="AB782" s="50">
        <f>(B782*122.58+C782*297.941+D782*89.177+E782*40.302+F782*40+G782*160+H782*0+I782*100+J782*300)/(122.58+297.941+89.177+40.302+0+40+160+100+300)</f>
        <v>55.443035313565225</v>
      </c>
      <c r="AC782" s="45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54.9246654676259</v>
      </c>
    </row>
    <row r="783" spans="1:29" ht="15.75" x14ac:dyDescent="0.25">
      <c r="A783" s="13">
        <v>64740</v>
      </c>
      <c r="B783" s="10">
        <f>CHOOSE(CONTROL!$C$42, 53.8596, 53.8596) * CHOOSE(CONTROL!$C$21, $C$9, 100%, $E$9)</f>
        <v>53.8596</v>
      </c>
      <c r="C783" s="10">
        <f>CHOOSE(CONTROL!$C$42, 53.8646, 53.8646) * CHOOSE(CONTROL!$C$21, $C$9, 100%, $E$9)</f>
        <v>53.864600000000003</v>
      </c>
      <c r="D783" s="10">
        <f>CHOOSE(CONTROL!$C$42, 53.9216, 53.9216) * CHOOSE(CONTROL!$C$21, $C$9, 100%, $E$9)</f>
        <v>53.921599999999998</v>
      </c>
      <c r="E783" s="10">
        <f>CHOOSE(CONTROL!$C$42, 53.9554, 53.9554) * CHOOSE(CONTROL!$C$21, $C$9, 100%, $E$9)</f>
        <v>53.955399999999997</v>
      </c>
      <c r="F783" s="10">
        <f>CHOOSE(CONTROL!$C$42, 53.8574, 53.8574)*CHOOSE(CONTROL!$C$21, $C$9, 100%, $E$9)</f>
        <v>53.857399999999998</v>
      </c>
      <c r="G783" s="10">
        <f>CHOOSE(CONTROL!$C$42, 53.872, 53.872)*CHOOSE(CONTROL!$C$21, $C$9, 100%, $E$9)</f>
        <v>53.872</v>
      </c>
      <c r="H783" s="10">
        <f>CHOOSE(CONTROL!$C$42, 53.9446, 53.9446) * CHOOSE(CONTROL!$C$21, $C$9, 100%, $E$9)</f>
        <v>53.944600000000001</v>
      </c>
      <c r="I783" s="10">
        <f>CHOOSE(CONTROL!$C$42, 53.8704, 53.8704)* CHOOSE(CONTROL!$C$21, $C$9, 100%, $E$9)</f>
        <v>53.870399999999997</v>
      </c>
      <c r="J783" s="10">
        <f>CHOOSE(CONTROL!$C$42, 53.8504, 53.8504)* CHOOSE(CONTROL!$C$21, $C$9, 100%, $E$9)</f>
        <v>53.8504</v>
      </c>
      <c r="K783" s="53">
        <f>CHOOSE(CONTROL!$C$42, 53.8665, 53.8665) * CHOOSE(CONTROL!$C$21, $C$9, 100%, $E$9)</f>
        <v>53.866500000000002</v>
      </c>
      <c r="L783" s="10">
        <f>CHOOSE(CONTROL!$C$42, 54.5316, 54.5316) * CHOOSE(CONTROL!$C$21, $C$9, 100%, $E$9)</f>
        <v>54.531599999999997</v>
      </c>
      <c r="M783" s="10">
        <f>CHOOSE(CONTROL!$C$42, 53.3208, 53.3208) * CHOOSE(CONTROL!$C$21, $C$9, 100%, $E$9)</f>
        <v>53.320799999999998</v>
      </c>
      <c r="N783" s="10">
        <f>CHOOSE(CONTROL!$C$42, 53.3353, 53.3353) * CHOOSE(CONTROL!$C$21, $C$9, 100%, $E$9)</f>
        <v>53.335299999999997</v>
      </c>
      <c r="O783" s="10">
        <f>CHOOSE(CONTROL!$C$42, 53.414, 53.414) * CHOOSE(CONTROL!$C$21, $C$9, 100%, $E$9)</f>
        <v>53.414000000000001</v>
      </c>
      <c r="P783" s="10">
        <f>CHOOSE(CONTROL!$C$42, 53.3406, 53.3406) * CHOOSE(CONTROL!$C$21, $C$9, 100%, $E$9)</f>
        <v>53.340600000000002</v>
      </c>
      <c r="Q783" s="10">
        <f>CHOOSE(CONTROL!$C$42, 54.0093, 54.0093) * CHOOSE(CONTROL!$C$21, $C$9, 100%, $E$9)</f>
        <v>54.009300000000003</v>
      </c>
      <c r="R783" s="10">
        <f>CHOOSE(CONTROL!$C$42, 54.7314, 54.7314) * CHOOSE(CONTROL!$C$21, $C$9, 100%, $E$9)</f>
        <v>54.731400000000001</v>
      </c>
      <c r="S783" s="10">
        <f>CHOOSE(CONTROL!$C$42, 52.3009, 52.3009) * CHOOSE(CONTROL!$C$21, $C$9, 100%, $E$9)</f>
        <v>52.300899999999999</v>
      </c>
      <c r="T7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57">
        <f>(1000*CHOOSE(CONTROL!$C$42, 695, 695)*CHOOSE(CONTROL!$C$42, 0.5599, 0.5599)*CHOOSE(CONTROL!$C$42, 31, 31))/1000000</f>
        <v>12.063045499999998</v>
      </c>
      <c r="V783" s="57">
        <f>(1000*CHOOSE(CONTROL!$C$42, 500, 500)*CHOOSE(CONTROL!$C$42, 0.275, 0.275)*CHOOSE(CONTROL!$C$42, 31, 31))/1000000</f>
        <v>4.2625000000000002</v>
      </c>
      <c r="W783" s="57">
        <f>(1000*CHOOSE(CONTROL!$C$42, 0.1146, 0.1146)*CHOOSE(CONTROL!$C$42, 121.5, 121.5)*CHOOSE(CONTROL!$C$42, 31, 31))/1000000</f>
        <v>0.43164089999999994</v>
      </c>
      <c r="X783" s="57">
        <f>(31*0.1790888*100000/1000000)+(31*0.2374*100000/1000000)</f>
        <v>1.2911152800000001</v>
      </c>
      <c r="Y783" s="57"/>
      <c r="Z783" s="10"/>
      <c r="AA783" s="56"/>
      <c r="AB783" s="50">
        <f>(B783*122.58+C783*297.941+D783*89.177+E783*40.302+F783*40+G783*160+H783*0+I783*100+J783*300)/(122.58+297.941+89.177+40.302+0+40+160+100+300)</f>
        <v>53.869248357043482</v>
      </c>
      <c r="AC783" s="45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53.366725179856111</v>
      </c>
    </row>
    <row r="784" spans="1:29" ht="15.75" x14ac:dyDescent="0.25">
      <c r="A784" s="13">
        <v>64770</v>
      </c>
      <c r="B784" s="10">
        <f>CHOOSE(CONTROL!$C$42, 53.6995, 53.6995) * CHOOSE(CONTROL!$C$21, $C$9, 100%, $E$9)</f>
        <v>53.6995</v>
      </c>
      <c r="C784" s="10">
        <f>CHOOSE(CONTROL!$C$42, 53.7039, 53.7039) * CHOOSE(CONTROL!$C$21, $C$9, 100%, $E$9)</f>
        <v>53.703899999999997</v>
      </c>
      <c r="D784" s="10">
        <f>CHOOSE(CONTROL!$C$42, 53.9098, 53.9098) * CHOOSE(CONTROL!$C$21, $C$9, 100%, $E$9)</f>
        <v>53.909799999999997</v>
      </c>
      <c r="E784" s="10">
        <f>CHOOSE(CONTROL!$C$42, 53.9416, 53.9416) * CHOOSE(CONTROL!$C$21, $C$9, 100%, $E$9)</f>
        <v>53.941600000000001</v>
      </c>
      <c r="F784" s="10">
        <f>CHOOSE(CONTROL!$C$42, 53.6763, 53.6763)*CHOOSE(CONTROL!$C$21, $C$9, 100%, $E$9)</f>
        <v>53.676299999999998</v>
      </c>
      <c r="G784" s="10">
        <f>CHOOSE(CONTROL!$C$42, 53.6908, 53.6908)*CHOOSE(CONTROL!$C$21, $C$9, 100%, $E$9)</f>
        <v>53.690800000000003</v>
      </c>
      <c r="H784" s="10">
        <f>CHOOSE(CONTROL!$C$42, 53.9313, 53.9313) * CHOOSE(CONTROL!$C$21, $C$9, 100%, $E$9)</f>
        <v>53.9313</v>
      </c>
      <c r="I784" s="10">
        <f>CHOOSE(CONTROL!$C$42, 53.701, 53.701)* CHOOSE(CONTROL!$C$21, $C$9, 100%, $E$9)</f>
        <v>53.701000000000001</v>
      </c>
      <c r="J784" s="10">
        <f>CHOOSE(CONTROL!$C$42, 53.6693, 53.6693)* CHOOSE(CONTROL!$C$21, $C$9, 100%, $E$9)</f>
        <v>53.6693</v>
      </c>
      <c r="K784" s="53">
        <f>CHOOSE(CONTROL!$C$42, 53.6971, 53.6971) * CHOOSE(CONTROL!$C$21, $C$9, 100%, $E$9)</f>
        <v>53.697099999999999</v>
      </c>
      <c r="L784" s="10">
        <f>CHOOSE(CONTROL!$C$42, 54.5183, 54.5183) * CHOOSE(CONTROL!$C$21, $C$9, 100%, $E$9)</f>
        <v>54.518300000000004</v>
      </c>
      <c r="M784" s="10">
        <f>CHOOSE(CONTROL!$C$42, 53.1415, 53.1415) * CHOOSE(CONTROL!$C$21, $C$9, 100%, $E$9)</f>
        <v>53.141500000000001</v>
      </c>
      <c r="N784" s="10">
        <f>CHOOSE(CONTROL!$C$42, 53.1559, 53.1559) * CHOOSE(CONTROL!$C$21, $C$9, 100%, $E$9)</f>
        <v>53.155900000000003</v>
      </c>
      <c r="O784" s="10">
        <f>CHOOSE(CONTROL!$C$42, 53.4009, 53.4009) * CHOOSE(CONTROL!$C$21, $C$9, 100%, $E$9)</f>
        <v>53.4009</v>
      </c>
      <c r="P784" s="10">
        <f>CHOOSE(CONTROL!$C$42, 53.1729, 53.1729) * CHOOSE(CONTROL!$C$21, $C$9, 100%, $E$9)</f>
        <v>53.172899999999998</v>
      </c>
      <c r="Q784" s="10">
        <f>CHOOSE(CONTROL!$C$42, 53.9962, 53.9962) * CHOOSE(CONTROL!$C$21, $C$9, 100%, $E$9)</f>
        <v>53.996200000000002</v>
      </c>
      <c r="R784" s="10">
        <f>CHOOSE(CONTROL!$C$42, 54.7182, 54.7182) * CHOOSE(CONTROL!$C$21, $C$9, 100%, $E$9)</f>
        <v>54.718200000000003</v>
      </c>
      <c r="S784" s="10">
        <f>CHOOSE(CONTROL!$C$42, 52.1447, 52.1447) * CHOOSE(CONTROL!$C$21, $C$9, 100%, $E$9)</f>
        <v>52.1447</v>
      </c>
      <c r="T7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57">
        <f>(1000*CHOOSE(CONTROL!$C$42, 695, 695)*CHOOSE(CONTROL!$C$42, 0.5599, 0.5599)*CHOOSE(CONTROL!$C$42, 30, 30))/1000000</f>
        <v>11.673914999999997</v>
      </c>
      <c r="V784" s="57">
        <f>(1000*CHOOSE(CONTROL!$C$42, 500, 500)*CHOOSE(CONTROL!$C$42, 0.275, 0.275)*CHOOSE(CONTROL!$C$42, 30, 30))/1000000</f>
        <v>4.125</v>
      </c>
      <c r="W784" s="57">
        <f>(1000*CHOOSE(CONTROL!$C$42, 0.1146, 0.1146)*CHOOSE(CONTROL!$C$42, 121.5, 121.5)*CHOOSE(CONTROL!$C$42, 30, 30))/1000000</f>
        <v>0.417717</v>
      </c>
      <c r="X784" s="57">
        <f>(30*0.1790888*245000/1000000)+(30*0.2374*100000/1000000)</f>
        <v>2.0285026799999999</v>
      </c>
      <c r="Y784" s="57"/>
      <c r="Z784" s="10"/>
      <c r="AA784" s="56"/>
      <c r="AB784" s="50">
        <f>(B784*141.293+C784*267.993+D784*115.016+E784*89.698+F784*40+G784*185+H784*0+I784*100+J784*300)/(141.293+267.993+115.016+89.698+0+40+185+100+300)</f>
        <v>53.728261436481027</v>
      </c>
      <c r="AC784" s="45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53.26441654676259</v>
      </c>
    </row>
    <row r="785" spans="1:29" ht="15.75" x14ac:dyDescent="0.25">
      <c r="A785" s="13">
        <v>64801</v>
      </c>
      <c r="B785" s="10">
        <f>CHOOSE(CONTROL!$C$42, 54.1748, 54.1748) * CHOOSE(CONTROL!$C$21, $C$9, 100%, $E$9)</f>
        <v>54.174799999999998</v>
      </c>
      <c r="C785" s="10">
        <f>CHOOSE(CONTROL!$C$42, 54.1828, 54.1828) * CHOOSE(CONTROL!$C$21, $C$9, 100%, $E$9)</f>
        <v>54.1828</v>
      </c>
      <c r="D785" s="10">
        <f>CHOOSE(CONTROL!$C$42, 54.3855, 54.3855) * CHOOSE(CONTROL!$C$21, $C$9, 100%, $E$9)</f>
        <v>54.3855</v>
      </c>
      <c r="E785" s="10">
        <f>CHOOSE(CONTROL!$C$42, 54.4166, 54.4166) * CHOOSE(CONTROL!$C$21, $C$9, 100%, $E$9)</f>
        <v>54.416600000000003</v>
      </c>
      <c r="F785" s="10">
        <f>CHOOSE(CONTROL!$C$42, 54.1506, 54.1506)*CHOOSE(CONTROL!$C$21, $C$9, 100%, $E$9)</f>
        <v>54.150599999999997</v>
      </c>
      <c r="G785" s="10">
        <f>CHOOSE(CONTROL!$C$42, 54.1656, 54.1656)*CHOOSE(CONTROL!$C$21, $C$9, 100%, $E$9)</f>
        <v>54.165599999999998</v>
      </c>
      <c r="H785" s="10">
        <f>CHOOSE(CONTROL!$C$42, 54.4053, 54.4053) * CHOOSE(CONTROL!$C$21, $C$9, 100%, $E$9)</f>
        <v>54.405299999999997</v>
      </c>
      <c r="I785" s="10">
        <f>CHOOSE(CONTROL!$C$42, 54.1749, 54.1749)* CHOOSE(CONTROL!$C$21, $C$9, 100%, $E$9)</f>
        <v>54.174900000000001</v>
      </c>
      <c r="J785" s="10">
        <f>CHOOSE(CONTROL!$C$42, 54.1436, 54.1436)* CHOOSE(CONTROL!$C$21, $C$9, 100%, $E$9)</f>
        <v>54.143599999999999</v>
      </c>
      <c r="K785" s="53">
        <f>CHOOSE(CONTROL!$C$42, 54.171, 54.171) * CHOOSE(CONTROL!$C$21, $C$9, 100%, $E$9)</f>
        <v>54.170999999999999</v>
      </c>
      <c r="L785" s="10">
        <f>CHOOSE(CONTROL!$C$42, 54.9923, 54.9923) * CHOOSE(CONTROL!$C$21, $C$9, 100%, $E$9)</f>
        <v>54.9923</v>
      </c>
      <c r="M785" s="10">
        <f>CHOOSE(CONTROL!$C$42, 53.611, 53.611) * CHOOSE(CONTROL!$C$21, $C$9, 100%, $E$9)</f>
        <v>53.610999999999997</v>
      </c>
      <c r="N785" s="10">
        <f>CHOOSE(CONTROL!$C$42, 53.6258, 53.6258) * CHOOSE(CONTROL!$C$21, $C$9, 100%, $E$9)</f>
        <v>53.625799999999998</v>
      </c>
      <c r="O785" s="10">
        <f>CHOOSE(CONTROL!$C$42, 53.87, 53.87) * CHOOSE(CONTROL!$C$21, $C$9, 100%, $E$9)</f>
        <v>53.87</v>
      </c>
      <c r="P785" s="10">
        <f>CHOOSE(CONTROL!$C$42, 53.642, 53.642) * CHOOSE(CONTROL!$C$21, $C$9, 100%, $E$9)</f>
        <v>53.642000000000003</v>
      </c>
      <c r="Q785" s="10">
        <f>CHOOSE(CONTROL!$C$42, 54.4653, 54.4653) * CHOOSE(CONTROL!$C$21, $C$9, 100%, $E$9)</f>
        <v>54.465299999999999</v>
      </c>
      <c r="R785" s="10">
        <f>CHOOSE(CONTROL!$C$42, 55.1885, 55.1885) * CHOOSE(CONTROL!$C$21, $C$9, 100%, $E$9)</f>
        <v>55.188499999999998</v>
      </c>
      <c r="S785" s="10">
        <f>CHOOSE(CONTROL!$C$42, 52.6049, 52.6049) * CHOOSE(CONTROL!$C$21, $C$9, 100%, $E$9)</f>
        <v>52.604900000000001</v>
      </c>
      <c r="T7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57">
        <f>(1000*CHOOSE(CONTROL!$C$42, 695, 695)*CHOOSE(CONTROL!$C$42, 0.5599, 0.5599)*CHOOSE(CONTROL!$C$42, 31, 31))/1000000</f>
        <v>12.063045499999998</v>
      </c>
      <c r="V785" s="57">
        <f>(1000*CHOOSE(CONTROL!$C$42, 500, 500)*CHOOSE(CONTROL!$C$42, 0.275, 0.275)*CHOOSE(CONTROL!$C$42, 31, 31))/1000000</f>
        <v>4.2625000000000002</v>
      </c>
      <c r="W785" s="57">
        <f>(1000*CHOOSE(CONTROL!$C$42, 0.1146, 0.1146)*CHOOSE(CONTROL!$C$42, 121.5, 121.5)*CHOOSE(CONTROL!$C$42, 31, 31))/1000000</f>
        <v>0.43164089999999994</v>
      </c>
      <c r="X785" s="57">
        <f>(31*0.1790888*245000/1000000)+(31*0.2374*100000/1000000)</f>
        <v>2.0961194359999999</v>
      </c>
      <c r="Y785" s="57"/>
      <c r="Z785" s="10"/>
      <c r="AA785" s="56"/>
      <c r="AB785" s="50">
        <f>(B785*194.205+C785*267.466+D785*133.845+E785*53.484+F785*40+G785*185+H785*0+I785*100+J785*300)/(194.205+267.466+133.845+53.484+0+40+185+100+300)</f>
        <v>54.199331633202505</v>
      </c>
      <c r="AC785" s="45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53.733700719424462</v>
      </c>
    </row>
    <row r="786" spans="1:29" ht="15.75" x14ac:dyDescent="0.25">
      <c r="A786" s="13">
        <v>64831</v>
      </c>
      <c r="B786" s="10">
        <f>CHOOSE(CONTROL!$C$42, 55.7114, 55.7114) * CHOOSE(CONTROL!$C$21, $C$9, 100%, $E$9)</f>
        <v>55.711399999999998</v>
      </c>
      <c r="C786" s="10">
        <f>CHOOSE(CONTROL!$C$42, 55.7194, 55.7194) * CHOOSE(CONTROL!$C$21, $C$9, 100%, $E$9)</f>
        <v>55.7194</v>
      </c>
      <c r="D786" s="10">
        <f>CHOOSE(CONTROL!$C$42, 55.9221, 55.9221) * CHOOSE(CONTROL!$C$21, $C$9, 100%, $E$9)</f>
        <v>55.9221</v>
      </c>
      <c r="E786" s="10">
        <f>CHOOSE(CONTROL!$C$42, 55.9532, 55.9532) * CHOOSE(CONTROL!$C$21, $C$9, 100%, $E$9)</f>
        <v>55.953200000000002</v>
      </c>
      <c r="F786" s="10">
        <f>CHOOSE(CONTROL!$C$42, 55.6877, 55.6877)*CHOOSE(CONTROL!$C$21, $C$9, 100%, $E$9)</f>
        <v>55.6877</v>
      </c>
      <c r="G786" s="10">
        <f>CHOOSE(CONTROL!$C$42, 55.7028, 55.7028)*CHOOSE(CONTROL!$C$21, $C$9, 100%, $E$9)</f>
        <v>55.702800000000003</v>
      </c>
      <c r="H786" s="10">
        <f>CHOOSE(CONTROL!$C$42, 55.9419, 55.9419) * CHOOSE(CONTROL!$C$21, $C$9, 100%, $E$9)</f>
        <v>55.941899999999997</v>
      </c>
      <c r="I786" s="10">
        <f>CHOOSE(CONTROL!$C$42, 55.7115, 55.7115)* CHOOSE(CONTROL!$C$21, $C$9, 100%, $E$9)</f>
        <v>55.711500000000001</v>
      </c>
      <c r="J786" s="10">
        <f>CHOOSE(CONTROL!$C$42, 55.6807, 55.6807)* CHOOSE(CONTROL!$C$21, $C$9, 100%, $E$9)</f>
        <v>55.680700000000002</v>
      </c>
      <c r="K786" s="53">
        <f>CHOOSE(CONTROL!$C$42, 55.7076, 55.7076) * CHOOSE(CONTROL!$C$21, $C$9, 100%, $E$9)</f>
        <v>55.707599999999999</v>
      </c>
      <c r="L786" s="10">
        <f>CHOOSE(CONTROL!$C$42, 56.5289, 56.5289) * CHOOSE(CONTROL!$C$21, $C$9, 100%, $E$9)</f>
        <v>56.5289</v>
      </c>
      <c r="M786" s="10">
        <f>CHOOSE(CONTROL!$C$42, 55.1326, 55.1326) * CHOOSE(CONTROL!$C$21, $C$9, 100%, $E$9)</f>
        <v>55.132599999999996</v>
      </c>
      <c r="N786" s="10">
        <f>CHOOSE(CONTROL!$C$42, 55.1476, 55.1476) * CHOOSE(CONTROL!$C$21, $C$9, 100%, $E$9)</f>
        <v>55.147599999999997</v>
      </c>
      <c r="O786" s="10">
        <f>CHOOSE(CONTROL!$C$42, 55.3911, 55.3911) * CHOOSE(CONTROL!$C$21, $C$9, 100%, $E$9)</f>
        <v>55.391100000000002</v>
      </c>
      <c r="P786" s="10">
        <f>CHOOSE(CONTROL!$C$42, 55.1631, 55.1631) * CHOOSE(CONTROL!$C$21, $C$9, 100%, $E$9)</f>
        <v>55.1631</v>
      </c>
      <c r="Q786" s="10">
        <f>CHOOSE(CONTROL!$C$42, 55.9864, 55.9864) * CHOOSE(CONTROL!$C$21, $C$9, 100%, $E$9)</f>
        <v>55.986400000000003</v>
      </c>
      <c r="R786" s="10">
        <f>CHOOSE(CONTROL!$C$42, 56.7134, 56.7134) * CHOOSE(CONTROL!$C$21, $C$9, 100%, $E$9)</f>
        <v>56.7134</v>
      </c>
      <c r="S786" s="10">
        <f>CHOOSE(CONTROL!$C$42, 54.0971, 54.0971) * CHOOSE(CONTROL!$C$21, $C$9, 100%, $E$9)</f>
        <v>54.097099999999998</v>
      </c>
      <c r="T7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57">
        <f>(1000*CHOOSE(CONTROL!$C$42, 695, 695)*CHOOSE(CONTROL!$C$42, 0.5599, 0.5599)*CHOOSE(CONTROL!$C$42, 30, 30))/1000000</f>
        <v>11.673914999999997</v>
      </c>
      <c r="V786" s="57">
        <f>(1000*CHOOSE(CONTROL!$C$42, 500, 500)*CHOOSE(CONTROL!$C$42, 0.275, 0.275)*CHOOSE(CONTROL!$C$42, 30, 30))/1000000</f>
        <v>4.125</v>
      </c>
      <c r="W786" s="57">
        <f>(1000*CHOOSE(CONTROL!$C$42, 0.1146, 0.1146)*CHOOSE(CONTROL!$C$42, 121.5, 121.5)*CHOOSE(CONTROL!$C$42, 30, 30))/1000000</f>
        <v>0.417717</v>
      </c>
      <c r="X786" s="57">
        <f>(30*0.1790888*245000/1000000)+(30*0.2374*100000/1000000)</f>
        <v>2.0285026799999999</v>
      </c>
      <c r="Y786" s="57"/>
      <c r="Z786" s="10"/>
      <c r="AA786" s="56"/>
      <c r="AB786" s="50">
        <f>(B786*194.205+C786*267.466+D786*133.845+E786*53.484+F786*40+G786*185+H786*0+I786*100+J786*300)/(194.205+267.466+133.845+53.484+0+40+185+100+300)</f>
        <v>55.73615219835164</v>
      </c>
      <c r="AC786" s="45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55.255013669064745</v>
      </c>
    </row>
    <row r="787" spans="1:29" ht="15.75" x14ac:dyDescent="0.25">
      <c r="A787" s="13">
        <v>64862</v>
      </c>
      <c r="B787" s="10">
        <f>CHOOSE(CONTROL!$C$42, 54.6427, 54.6427) * CHOOSE(CONTROL!$C$21, $C$9, 100%, $E$9)</f>
        <v>54.642699999999998</v>
      </c>
      <c r="C787" s="10">
        <f>CHOOSE(CONTROL!$C$42, 54.6506, 54.6506) * CHOOSE(CONTROL!$C$21, $C$9, 100%, $E$9)</f>
        <v>54.650599999999997</v>
      </c>
      <c r="D787" s="10">
        <f>CHOOSE(CONTROL!$C$42, 54.8534, 54.8534) * CHOOSE(CONTROL!$C$21, $C$9, 100%, $E$9)</f>
        <v>54.853400000000001</v>
      </c>
      <c r="E787" s="10">
        <f>CHOOSE(CONTROL!$C$42, 54.8845, 54.8845) * CHOOSE(CONTROL!$C$21, $C$9, 100%, $E$9)</f>
        <v>54.884500000000003</v>
      </c>
      <c r="F787" s="10">
        <f>CHOOSE(CONTROL!$C$42, 54.6195, 54.6195)*CHOOSE(CONTROL!$C$21, $C$9, 100%, $E$9)</f>
        <v>54.619500000000002</v>
      </c>
      <c r="G787" s="10">
        <f>CHOOSE(CONTROL!$C$42, 54.6348, 54.6348)*CHOOSE(CONTROL!$C$21, $C$9, 100%, $E$9)</f>
        <v>54.634799999999998</v>
      </c>
      <c r="H787" s="10">
        <f>CHOOSE(CONTROL!$C$42, 54.8731, 54.8731) * CHOOSE(CONTROL!$C$21, $C$9, 100%, $E$9)</f>
        <v>54.873100000000001</v>
      </c>
      <c r="I787" s="10">
        <f>CHOOSE(CONTROL!$C$42, 54.6428, 54.6428)* CHOOSE(CONTROL!$C$21, $C$9, 100%, $E$9)</f>
        <v>54.642800000000001</v>
      </c>
      <c r="J787" s="10">
        <f>CHOOSE(CONTROL!$C$42, 54.6125, 54.6125)* CHOOSE(CONTROL!$C$21, $C$9, 100%, $E$9)</f>
        <v>54.612499999999997</v>
      </c>
      <c r="K787" s="53">
        <f>CHOOSE(CONTROL!$C$42, 54.6389, 54.6389) * CHOOSE(CONTROL!$C$21, $C$9, 100%, $E$9)</f>
        <v>54.6389</v>
      </c>
      <c r="L787" s="10">
        <f>CHOOSE(CONTROL!$C$42, 55.4601, 55.4601) * CHOOSE(CONTROL!$C$21, $C$9, 100%, $E$9)</f>
        <v>55.460099999999997</v>
      </c>
      <c r="M787" s="10">
        <f>CHOOSE(CONTROL!$C$42, 54.0752, 54.0752) * CHOOSE(CONTROL!$C$21, $C$9, 100%, $E$9)</f>
        <v>54.075200000000002</v>
      </c>
      <c r="N787" s="10">
        <f>CHOOSE(CONTROL!$C$42, 54.0903, 54.0903) * CHOOSE(CONTROL!$C$21, $C$9, 100%, $E$9)</f>
        <v>54.090299999999999</v>
      </c>
      <c r="O787" s="10">
        <f>CHOOSE(CONTROL!$C$42, 54.3332, 54.3332) * CHOOSE(CONTROL!$C$21, $C$9, 100%, $E$9)</f>
        <v>54.333199999999998</v>
      </c>
      <c r="P787" s="10">
        <f>CHOOSE(CONTROL!$C$42, 54.1052, 54.1052) * CHOOSE(CONTROL!$C$21, $C$9, 100%, $E$9)</f>
        <v>54.105200000000004</v>
      </c>
      <c r="Q787" s="10">
        <f>CHOOSE(CONTROL!$C$42, 54.9285, 54.9285) * CHOOSE(CONTROL!$C$21, $C$9, 100%, $E$9)</f>
        <v>54.9285</v>
      </c>
      <c r="R787" s="10">
        <f>CHOOSE(CONTROL!$C$42, 55.6528, 55.6528) * CHOOSE(CONTROL!$C$21, $C$9, 100%, $E$9)</f>
        <v>55.652799999999999</v>
      </c>
      <c r="S787" s="10">
        <f>CHOOSE(CONTROL!$C$42, 53.0593, 53.0593) * CHOOSE(CONTROL!$C$21, $C$9, 100%, $E$9)</f>
        <v>53.0593</v>
      </c>
      <c r="T7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57">
        <f>(1000*CHOOSE(CONTROL!$C$42, 695, 695)*CHOOSE(CONTROL!$C$42, 0.5599, 0.5599)*CHOOSE(CONTROL!$C$42, 31, 31))/1000000</f>
        <v>12.063045499999998</v>
      </c>
      <c r="V787" s="57">
        <f>(1000*CHOOSE(CONTROL!$C$42, 500, 500)*CHOOSE(CONTROL!$C$42, 0.275, 0.275)*CHOOSE(CONTROL!$C$42, 31, 31))/1000000</f>
        <v>4.2625000000000002</v>
      </c>
      <c r="W787" s="57">
        <f>(1000*CHOOSE(CONTROL!$C$42, 0.1146, 0.1146)*CHOOSE(CONTROL!$C$42, 121.5, 121.5)*CHOOSE(CONTROL!$C$42, 31, 31))/1000000</f>
        <v>0.43164089999999994</v>
      </c>
      <c r="X787" s="57">
        <f>(31*0.1790888*245000/1000000)+(31*0.2374*100000/1000000)</f>
        <v>2.0961194359999999</v>
      </c>
      <c r="Y787" s="57"/>
      <c r="Z787" s="10"/>
      <c r="AA787" s="56"/>
      <c r="AB787" s="50">
        <f>(B787*194.205+C787*267.466+D787*133.845+E787*53.484+F787*40+G787*185+H787*0+I787*100+J787*300)/(194.205+267.466+133.845+53.484+0+40+185+100+300)</f>
        <v>54.667666290502353</v>
      </c>
      <c r="AC787" s="45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54.197320863309351</v>
      </c>
    </row>
    <row r="788" spans="1:29" ht="15.75" x14ac:dyDescent="0.25">
      <c r="A788" s="13">
        <v>64893</v>
      </c>
      <c r="B788" s="10">
        <f>CHOOSE(CONTROL!$C$42, 51.9439, 51.9439) * CHOOSE(CONTROL!$C$21, $C$9, 100%, $E$9)</f>
        <v>51.943899999999999</v>
      </c>
      <c r="C788" s="10">
        <f>CHOOSE(CONTROL!$C$42, 51.9518, 51.9518) * CHOOSE(CONTROL!$C$21, $C$9, 100%, $E$9)</f>
        <v>51.951799999999999</v>
      </c>
      <c r="D788" s="10">
        <f>CHOOSE(CONTROL!$C$42, 52.1546, 52.1546) * CHOOSE(CONTROL!$C$21, $C$9, 100%, $E$9)</f>
        <v>52.154600000000002</v>
      </c>
      <c r="E788" s="10">
        <f>CHOOSE(CONTROL!$C$42, 52.1857, 52.1857) * CHOOSE(CONTROL!$C$21, $C$9, 100%, $E$9)</f>
        <v>52.185699999999997</v>
      </c>
      <c r="F788" s="10">
        <f>CHOOSE(CONTROL!$C$42, 51.9208, 51.9208)*CHOOSE(CONTROL!$C$21, $C$9, 100%, $E$9)</f>
        <v>51.9208</v>
      </c>
      <c r="G788" s="10">
        <f>CHOOSE(CONTROL!$C$42, 51.9362, 51.9362)*CHOOSE(CONTROL!$C$21, $C$9, 100%, $E$9)</f>
        <v>51.936199999999999</v>
      </c>
      <c r="H788" s="10">
        <f>CHOOSE(CONTROL!$C$42, 52.1743, 52.1743) * CHOOSE(CONTROL!$C$21, $C$9, 100%, $E$9)</f>
        <v>52.174300000000002</v>
      </c>
      <c r="I788" s="10">
        <f>CHOOSE(CONTROL!$C$42, 51.9439, 51.9439)* CHOOSE(CONTROL!$C$21, $C$9, 100%, $E$9)</f>
        <v>51.943899999999999</v>
      </c>
      <c r="J788" s="10">
        <f>CHOOSE(CONTROL!$C$42, 51.9138, 51.9138)* CHOOSE(CONTROL!$C$21, $C$9, 100%, $E$9)</f>
        <v>51.913800000000002</v>
      </c>
      <c r="K788" s="53">
        <f>CHOOSE(CONTROL!$C$42, 51.9401, 51.9401) * CHOOSE(CONTROL!$C$21, $C$9, 100%, $E$9)</f>
        <v>51.940100000000001</v>
      </c>
      <c r="L788" s="10">
        <f>CHOOSE(CONTROL!$C$42, 52.7613, 52.7613) * CHOOSE(CONTROL!$C$21, $C$9, 100%, $E$9)</f>
        <v>52.761299999999999</v>
      </c>
      <c r="M788" s="10">
        <f>CHOOSE(CONTROL!$C$42, 51.4038, 51.4038) * CHOOSE(CONTROL!$C$21, $C$9, 100%, $E$9)</f>
        <v>51.403799999999997</v>
      </c>
      <c r="N788" s="10">
        <f>CHOOSE(CONTROL!$C$42, 51.4189, 51.4189) * CHOOSE(CONTROL!$C$21, $C$9, 100%, $E$9)</f>
        <v>51.418900000000001</v>
      </c>
      <c r="O788" s="10">
        <f>CHOOSE(CONTROL!$C$42, 51.6616, 51.6616) * CHOOSE(CONTROL!$C$21, $C$9, 100%, $E$9)</f>
        <v>51.6616</v>
      </c>
      <c r="P788" s="10">
        <f>CHOOSE(CONTROL!$C$42, 51.4336, 51.4336) * CHOOSE(CONTROL!$C$21, $C$9, 100%, $E$9)</f>
        <v>51.433599999999998</v>
      </c>
      <c r="Q788" s="10">
        <f>CHOOSE(CONTROL!$C$42, 52.2569, 52.2569) * CHOOSE(CONTROL!$C$21, $C$9, 100%, $E$9)</f>
        <v>52.256900000000002</v>
      </c>
      <c r="R788" s="10">
        <f>CHOOSE(CONTROL!$C$42, 52.9746, 52.9746) * CHOOSE(CONTROL!$C$21, $C$9, 100%, $E$9)</f>
        <v>52.974600000000002</v>
      </c>
      <c r="S788" s="10">
        <f>CHOOSE(CONTROL!$C$42, 50.4385, 50.4385) * CHOOSE(CONTROL!$C$21, $C$9, 100%, $E$9)</f>
        <v>50.438499999999998</v>
      </c>
      <c r="T7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57">
        <f>(1000*CHOOSE(CONTROL!$C$42, 695, 695)*CHOOSE(CONTROL!$C$42, 0.5599, 0.5599)*CHOOSE(CONTROL!$C$42, 31, 31))/1000000</f>
        <v>12.063045499999998</v>
      </c>
      <c r="V788" s="57">
        <f>(1000*CHOOSE(CONTROL!$C$42, 500, 500)*CHOOSE(CONTROL!$C$42, 0.275, 0.275)*CHOOSE(CONTROL!$C$42, 31, 31))/1000000</f>
        <v>4.2625000000000002</v>
      </c>
      <c r="W788" s="57">
        <f>(1000*CHOOSE(CONTROL!$C$42, 0.1146, 0.1146)*CHOOSE(CONTROL!$C$42, 121.5, 121.5)*CHOOSE(CONTROL!$C$42, 31, 31))/1000000</f>
        <v>0.43164089999999994</v>
      </c>
      <c r="X788" s="57">
        <f>(31*0.1790888*245000/1000000)+(31*0.2374*100000/1000000)</f>
        <v>2.0961194359999999</v>
      </c>
      <c r="Y788" s="57"/>
      <c r="Z788" s="10"/>
      <c r="AA788" s="56"/>
      <c r="AB788" s="50">
        <f>(B788*194.205+C788*267.466+D788*133.845+E788*53.484+F788*40+G788*185+H788*0+I788*100+J788*300)/(194.205+267.466+133.845+53.484+0+40+185+100+300)</f>
        <v>51.968914171193092</v>
      </c>
      <c r="AC788" s="45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51.525801438848923</v>
      </c>
    </row>
    <row r="789" spans="1:29" ht="15.75" x14ac:dyDescent="0.25">
      <c r="A789" s="13">
        <v>64923</v>
      </c>
      <c r="B789" s="10">
        <f>CHOOSE(CONTROL!$C$42, 48.6461, 48.6461) * CHOOSE(CONTROL!$C$21, $C$9, 100%, $E$9)</f>
        <v>48.646099999999997</v>
      </c>
      <c r="C789" s="10">
        <f>CHOOSE(CONTROL!$C$42, 48.654, 48.654) * CHOOSE(CONTROL!$C$21, $C$9, 100%, $E$9)</f>
        <v>48.654000000000003</v>
      </c>
      <c r="D789" s="10">
        <f>CHOOSE(CONTROL!$C$42, 48.8567, 48.8567) * CHOOSE(CONTROL!$C$21, $C$9, 100%, $E$9)</f>
        <v>48.856699999999996</v>
      </c>
      <c r="E789" s="10">
        <f>CHOOSE(CONTROL!$C$42, 48.8878, 48.8878) * CHOOSE(CONTROL!$C$21, $C$9, 100%, $E$9)</f>
        <v>48.887799999999999</v>
      </c>
      <c r="F789" s="10">
        <f>CHOOSE(CONTROL!$C$42, 48.6229, 48.6229)*CHOOSE(CONTROL!$C$21, $C$9, 100%, $E$9)</f>
        <v>48.622900000000001</v>
      </c>
      <c r="G789" s="10">
        <f>CHOOSE(CONTROL!$C$42, 48.6381, 48.6381)*CHOOSE(CONTROL!$C$21, $C$9, 100%, $E$9)</f>
        <v>48.638100000000001</v>
      </c>
      <c r="H789" s="10">
        <f>CHOOSE(CONTROL!$C$42, 48.8765, 48.8765) * CHOOSE(CONTROL!$C$21, $C$9, 100%, $E$9)</f>
        <v>48.8765</v>
      </c>
      <c r="I789" s="10">
        <f>CHOOSE(CONTROL!$C$42, 48.6461, 48.6461)* CHOOSE(CONTROL!$C$21, $C$9, 100%, $E$9)</f>
        <v>48.646099999999997</v>
      </c>
      <c r="J789" s="10">
        <f>CHOOSE(CONTROL!$C$42, 48.6159, 48.6159)* CHOOSE(CONTROL!$C$21, $C$9, 100%, $E$9)</f>
        <v>48.615900000000003</v>
      </c>
      <c r="K789" s="53">
        <f>CHOOSE(CONTROL!$C$42, 48.6422, 48.6422) * CHOOSE(CONTROL!$C$21, $C$9, 100%, $E$9)</f>
        <v>48.642200000000003</v>
      </c>
      <c r="L789" s="10">
        <f>CHOOSE(CONTROL!$C$42, 49.4635, 49.4635) * CHOOSE(CONTROL!$C$21, $C$9, 100%, $E$9)</f>
        <v>49.463500000000003</v>
      </c>
      <c r="M789" s="10">
        <f>CHOOSE(CONTROL!$C$42, 48.1391, 48.1391) * CHOOSE(CONTROL!$C$21, $C$9, 100%, $E$9)</f>
        <v>48.139099999999999</v>
      </c>
      <c r="N789" s="10">
        <f>CHOOSE(CONTROL!$C$42, 48.1542, 48.1542) * CHOOSE(CONTROL!$C$21, $C$9, 100%, $E$9)</f>
        <v>48.154200000000003</v>
      </c>
      <c r="O789" s="10">
        <f>CHOOSE(CONTROL!$C$42, 48.3971, 48.3971) * CHOOSE(CONTROL!$C$21, $C$9, 100%, $E$9)</f>
        <v>48.397100000000002</v>
      </c>
      <c r="P789" s="10">
        <f>CHOOSE(CONTROL!$C$42, 48.169, 48.169) * CHOOSE(CONTROL!$C$21, $C$9, 100%, $E$9)</f>
        <v>48.168999999999997</v>
      </c>
      <c r="Q789" s="10">
        <f>CHOOSE(CONTROL!$C$42, 48.9924, 48.9924) * CHOOSE(CONTROL!$C$21, $C$9, 100%, $E$9)</f>
        <v>48.992400000000004</v>
      </c>
      <c r="R789" s="10">
        <f>CHOOSE(CONTROL!$C$42, 49.7018, 49.7018) * CHOOSE(CONTROL!$C$21, $C$9, 100%, $E$9)</f>
        <v>49.701799999999999</v>
      </c>
      <c r="S789" s="10">
        <f>CHOOSE(CONTROL!$C$42, 47.2359, 47.2359) * CHOOSE(CONTROL!$C$21, $C$9, 100%, $E$9)</f>
        <v>47.235900000000001</v>
      </c>
      <c r="T7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57">
        <f>(1000*CHOOSE(CONTROL!$C$42, 695, 695)*CHOOSE(CONTROL!$C$42, 0.5599, 0.5599)*CHOOSE(CONTROL!$C$42, 30, 30))/1000000</f>
        <v>11.673914999999997</v>
      </c>
      <c r="V789" s="57">
        <f>(1000*CHOOSE(CONTROL!$C$42, 500, 500)*CHOOSE(CONTROL!$C$42, 0.275, 0.275)*CHOOSE(CONTROL!$C$42, 30, 30))/1000000</f>
        <v>4.125</v>
      </c>
      <c r="W789" s="57">
        <f>(1000*CHOOSE(CONTROL!$C$42, 0.1146, 0.1146)*CHOOSE(CONTROL!$C$42, 121.5, 121.5)*CHOOSE(CONTROL!$C$42, 30, 30))/1000000</f>
        <v>0.417717</v>
      </c>
      <c r="X789" s="57">
        <f>(30*0.1790888*245000/1000000)+(30*0.2374*100000/1000000)</f>
        <v>2.0285026799999999</v>
      </c>
      <c r="Y789" s="57"/>
      <c r="Z789" s="10"/>
      <c r="AA789" s="56"/>
      <c r="AB789" s="50">
        <f>(B789*194.205+C789*267.466+D789*133.845+E789*53.484+F789*40+G789*185+H789*0+I789*100+J789*300)/(194.205+267.466+133.845+53.484+0+40+185+100+300)</f>
        <v>48.671029216012556</v>
      </c>
      <c r="AC789" s="45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48.261206474820149</v>
      </c>
    </row>
    <row r="790" spans="1:29" ht="15.75" x14ac:dyDescent="0.25">
      <c r="A790" s="13">
        <v>64954</v>
      </c>
      <c r="B790" s="10">
        <f>CHOOSE(CONTROL!$C$42, 47.6567, 47.6567) * CHOOSE(CONTROL!$C$21, $C$9, 100%, $E$9)</f>
        <v>47.656700000000001</v>
      </c>
      <c r="C790" s="10">
        <f>CHOOSE(CONTROL!$C$42, 47.6619, 47.6619) * CHOOSE(CONTROL!$C$21, $C$9, 100%, $E$9)</f>
        <v>47.661900000000003</v>
      </c>
      <c r="D790" s="10">
        <f>CHOOSE(CONTROL!$C$42, 47.8696, 47.8696) * CHOOSE(CONTROL!$C$21, $C$9, 100%, $E$9)</f>
        <v>47.869599999999998</v>
      </c>
      <c r="E790" s="10">
        <f>CHOOSE(CONTROL!$C$42, 47.8984, 47.8984) * CHOOSE(CONTROL!$C$21, $C$9, 100%, $E$9)</f>
        <v>47.898400000000002</v>
      </c>
      <c r="F790" s="10">
        <f>CHOOSE(CONTROL!$C$42, 47.6354, 47.6354)*CHOOSE(CONTROL!$C$21, $C$9, 100%, $E$9)</f>
        <v>47.635399999999997</v>
      </c>
      <c r="G790" s="10">
        <f>CHOOSE(CONTROL!$C$42, 47.6503, 47.6503)*CHOOSE(CONTROL!$C$21, $C$9, 100%, $E$9)</f>
        <v>47.650300000000001</v>
      </c>
      <c r="H790" s="10">
        <f>CHOOSE(CONTROL!$C$42, 47.8889, 47.8889) * CHOOSE(CONTROL!$C$21, $C$9, 100%, $E$9)</f>
        <v>47.8889</v>
      </c>
      <c r="I790" s="10">
        <f>CHOOSE(CONTROL!$C$42, 47.6585, 47.6585)* CHOOSE(CONTROL!$C$21, $C$9, 100%, $E$9)</f>
        <v>47.658499999999997</v>
      </c>
      <c r="J790" s="10">
        <f>CHOOSE(CONTROL!$C$42, 47.6284, 47.6284)* CHOOSE(CONTROL!$C$21, $C$9, 100%, $E$9)</f>
        <v>47.628399999999999</v>
      </c>
      <c r="K790" s="53">
        <f>CHOOSE(CONTROL!$C$42, 47.6546, 47.6546) * CHOOSE(CONTROL!$C$21, $C$9, 100%, $E$9)</f>
        <v>47.654600000000002</v>
      </c>
      <c r="L790" s="10">
        <f>CHOOSE(CONTROL!$C$42, 48.4759, 48.4759) * CHOOSE(CONTROL!$C$21, $C$9, 100%, $E$9)</f>
        <v>48.475900000000003</v>
      </c>
      <c r="M790" s="10">
        <f>CHOOSE(CONTROL!$C$42, 47.1616, 47.1616) * CHOOSE(CONTROL!$C$21, $C$9, 100%, $E$9)</f>
        <v>47.1616</v>
      </c>
      <c r="N790" s="10">
        <f>CHOOSE(CONTROL!$C$42, 47.1764, 47.1764) * CHOOSE(CONTROL!$C$21, $C$9, 100%, $E$9)</f>
        <v>47.176400000000001</v>
      </c>
      <c r="O790" s="10">
        <f>CHOOSE(CONTROL!$C$42, 47.4194, 47.4194) * CHOOSE(CONTROL!$C$21, $C$9, 100%, $E$9)</f>
        <v>47.419400000000003</v>
      </c>
      <c r="P790" s="10">
        <f>CHOOSE(CONTROL!$C$42, 47.1914, 47.1914) * CHOOSE(CONTROL!$C$21, $C$9, 100%, $E$9)</f>
        <v>47.191400000000002</v>
      </c>
      <c r="Q790" s="10">
        <f>CHOOSE(CONTROL!$C$42, 48.0147, 48.0147) * CHOOSE(CONTROL!$C$21, $C$9, 100%, $E$9)</f>
        <v>48.014699999999998</v>
      </c>
      <c r="R790" s="10">
        <f>CHOOSE(CONTROL!$C$42, 48.7217, 48.7217) * CHOOSE(CONTROL!$C$21, $C$9, 100%, $E$9)</f>
        <v>48.721699999999998</v>
      </c>
      <c r="S790" s="10">
        <f>CHOOSE(CONTROL!$C$42, 46.2769, 46.2769) * CHOOSE(CONTROL!$C$21, $C$9, 100%, $E$9)</f>
        <v>46.276899999999998</v>
      </c>
      <c r="T7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57">
        <f>(1000*CHOOSE(CONTROL!$C$42, 695, 695)*CHOOSE(CONTROL!$C$42, 0.5599, 0.5599)*CHOOSE(CONTROL!$C$42, 31, 31))/1000000</f>
        <v>12.063045499999998</v>
      </c>
      <c r="V790" s="57">
        <f>(1000*CHOOSE(CONTROL!$C$42, 500, 500)*CHOOSE(CONTROL!$C$42, 0.275, 0.275)*CHOOSE(CONTROL!$C$42, 31, 31))/1000000</f>
        <v>4.2625000000000002</v>
      </c>
      <c r="W790" s="57">
        <f>(1000*CHOOSE(CONTROL!$C$42, 0.1146, 0.1146)*CHOOSE(CONTROL!$C$42, 121.5, 121.5)*CHOOSE(CONTROL!$C$42, 31, 31))/1000000</f>
        <v>0.43164089999999994</v>
      </c>
      <c r="X790" s="57">
        <f>(31*0.1790888*245000/1000000)+(31*0.2374*100000/1000000)</f>
        <v>2.0961194359999999</v>
      </c>
      <c r="Y790" s="57"/>
      <c r="Z790" s="10"/>
      <c r="AA790" s="56"/>
      <c r="AB790" s="50">
        <f>(B790*131.881+C790*277.167+D790*79.08+E790*125.872+F790*40+G790*185+H790*0+I790*100+J790*300)/(131.881+277.167+79.08+125.872+0+40+185+100+300)</f>
        <v>47.687656144309926</v>
      </c>
      <c r="AC790" s="45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47.283584172661868</v>
      </c>
    </row>
    <row r="791" spans="1:29" ht="15.75" x14ac:dyDescent="0.25">
      <c r="A791" s="13">
        <v>64984</v>
      </c>
      <c r="B791" s="10">
        <f>CHOOSE(CONTROL!$C$42, 48.9117, 48.9117) * CHOOSE(CONTROL!$C$21, $C$9, 100%, $E$9)</f>
        <v>48.911700000000003</v>
      </c>
      <c r="C791" s="10">
        <f>CHOOSE(CONTROL!$C$42, 48.9166, 48.9166) * CHOOSE(CONTROL!$C$21, $C$9, 100%, $E$9)</f>
        <v>48.916600000000003</v>
      </c>
      <c r="D791" s="10">
        <f>CHOOSE(CONTROL!$C$42, 48.9771, 48.9771) * CHOOSE(CONTROL!$C$21, $C$9, 100%, $E$9)</f>
        <v>48.9771</v>
      </c>
      <c r="E791" s="10">
        <f>CHOOSE(CONTROL!$C$42, 49.0109, 49.0109) * CHOOSE(CONTROL!$C$21, $C$9, 100%, $E$9)</f>
        <v>49.010899999999999</v>
      </c>
      <c r="F791" s="10">
        <f>CHOOSE(CONTROL!$C$42, 48.9073, 48.9073)*CHOOSE(CONTROL!$C$21, $C$9, 100%, $E$9)</f>
        <v>48.907299999999999</v>
      </c>
      <c r="G791" s="10">
        <f>CHOOSE(CONTROL!$C$42, 48.9225, 48.9225)*CHOOSE(CONTROL!$C$21, $C$9, 100%, $E$9)</f>
        <v>48.922499999999999</v>
      </c>
      <c r="H791" s="10">
        <f>CHOOSE(CONTROL!$C$42, 49.0001, 49.0001) * CHOOSE(CONTROL!$C$21, $C$9, 100%, $E$9)</f>
        <v>49.000100000000003</v>
      </c>
      <c r="I791" s="10">
        <f>CHOOSE(CONTROL!$C$42, 48.9242, 48.9242)* CHOOSE(CONTROL!$C$21, $C$9, 100%, $E$9)</f>
        <v>48.924199999999999</v>
      </c>
      <c r="J791" s="10">
        <f>CHOOSE(CONTROL!$C$42, 48.9003, 48.9003)* CHOOSE(CONTROL!$C$21, $C$9, 100%, $E$9)</f>
        <v>48.900300000000001</v>
      </c>
      <c r="K791" s="53">
        <f>CHOOSE(CONTROL!$C$42, 48.9203, 48.9203) * CHOOSE(CONTROL!$C$21, $C$9, 100%, $E$9)</f>
        <v>48.920299999999997</v>
      </c>
      <c r="L791" s="10">
        <f>CHOOSE(CONTROL!$C$42, 49.5871, 49.5871) * CHOOSE(CONTROL!$C$21, $C$9, 100%, $E$9)</f>
        <v>49.5871</v>
      </c>
      <c r="M791" s="10">
        <f>CHOOSE(CONTROL!$C$42, 48.4207, 48.4207) * CHOOSE(CONTROL!$C$21, $C$9, 100%, $E$9)</f>
        <v>48.420699999999997</v>
      </c>
      <c r="N791" s="10">
        <f>CHOOSE(CONTROL!$C$42, 48.4357, 48.4357) * CHOOSE(CONTROL!$C$21, $C$9, 100%, $E$9)</f>
        <v>48.435699999999997</v>
      </c>
      <c r="O791" s="10">
        <f>CHOOSE(CONTROL!$C$42, 48.5194, 48.5194) * CHOOSE(CONTROL!$C$21, $C$9, 100%, $E$9)</f>
        <v>48.519399999999997</v>
      </c>
      <c r="P791" s="10">
        <f>CHOOSE(CONTROL!$C$42, 48.4443, 48.4443) * CHOOSE(CONTROL!$C$21, $C$9, 100%, $E$9)</f>
        <v>48.444299999999998</v>
      </c>
      <c r="Q791" s="10">
        <f>CHOOSE(CONTROL!$C$42, 49.1147, 49.1147) * CHOOSE(CONTROL!$C$21, $C$9, 100%, $E$9)</f>
        <v>49.114699999999999</v>
      </c>
      <c r="R791" s="10">
        <f>CHOOSE(CONTROL!$C$42, 49.8245, 49.8245) * CHOOSE(CONTROL!$C$21, $C$9, 100%, $E$9)</f>
        <v>49.8245</v>
      </c>
      <c r="S791" s="10">
        <f>CHOOSE(CONTROL!$C$42, 47.496, 47.496) * CHOOSE(CONTROL!$C$21, $C$9, 100%, $E$9)</f>
        <v>47.496000000000002</v>
      </c>
      <c r="T7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57">
        <f>(1000*CHOOSE(CONTROL!$C$42, 695, 695)*CHOOSE(CONTROL!$C$42, 0.5599, 0.5599)*CHOOSE(CONTROL!$C$42, 30, 30))/1000000</f>
        <v>11.673914999999997</v>
      </c>
      <c r="V791" s="57">
        <f>(1000*CHOOSE(CONTROL!$C$42, 500, 500)*CHOOSE(CONTROL!$C$42, 0.275, 0.275)*CHOOSE(CONTROL!$C$42, 30, 30))/1000000</f>
        <v>4.125</v>
      </c>
      <c r="W791" s="57">
        <f>(1000*CHOOSE(CONTROL!$C$42, 0.1146, 0.1146)*CHOOSE(CONTROL!$C$42, 121.5, 121.5)*CHOOSE(CONTROL!$C$42, 30, 30))/1000000</f>
        <v>0.417717</v>
      </c>
      <c r="X791" s="57">
        <f>(30*0.1790888*100000/1000000)+(30*0.2374*100000/1000000)</f>
        <v>1.2494664</v>
      </c>
      <c r="Y791" s="57"/>
      <c r="Z791" s="10"/>
      <c r="AA791" s="56"/>
      <c r="AB791" s="50">
        <f>(B791*122.58+C791*297.941+D791*89.177+E791*40.302+F791*40+G791*160+H791*0+I791*100+J791*300)/(122.58+297.941+89.177+40.302+0+40+160+100+300)</f>
        <v>48.92098003921739</v>
      </c>
      <c r="AC791" s="45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48.469693525179856</v>
      </c>
    </row>
    <row r="792" spans="1:29" ht="15.75" x14ac:dyDescent="0.25">
      <c r="A792" s="13">
        <v>65015</v>
      </c>
      <c r="B792" s="10">
        <f>CHOOSE(CONTROL!$C$42, 52.2463, 52.2463) * CHOOSE(CONTROL!$C$21, $C$9, 100%, $E$9)</f>
        <v>52.246299999999998</v>
      </c>
      <c r="C792" s="10">
        <f>CHOOSE(CONTROL!$C$42, 52.2512, 52.2512) * CHOOSE(CONTROL!$C$21, $C$9, 100%, $E$9)</f>
        <v>52.251199999999997</v>
      </c>
      <c r="D792" s="10">
        <f>CHOOSE(CONTROL!$C$42, 52.3117, 52.3117) * CHOOSE(CONTROL!$C$21, $C$9, 100%, $E$9)</f>
        <v>52.311700000000002</v>
      </c>
      <c r="E792" s="10">
        <f>CHOOSE(CONTROL!$C$42, 52.3455, 52.3455) * CHOOSE(CONTROL!$C$21, $C$9, 100%, $E$9)</f>
        <v>52.345500000000001</v>
      </c>
      <c r="F792" s="10">
        <f>CHOOSE(CONTROL!$C$42, 52.2437, 52.2437)*CHOOSE(CONTROL!$C$21, $C$9, 100%, $E$9)</f>
        <v>52.243699999999997</v>
      </c>
      <c r="G792" s="10">
        <f>CHOOSE(CONTROL!$C$42, 52.2594, 52.2594)*CHOOSE(CONTROL!$C$21, $C$9, 100%, $E$9)</f>
        <v>52.259399999999999</v>
      </c>
      <c r="H792" s="10">
        <f>CHOOSE(CONTROL!$C$42, 52.3347, 52.3347) * CHOOSE(CONTROL!$C$21, $C$9, 100%, $E$9)</f>
        <v>52.334699999999998</v>
      </c>
      <c r="I792" s="10">
        <f>CHOOSE(CONTROL!$C$42, 52.2588, 52.2588)* CHOOSE(CONTROL!$C$21, $C$9, 100%, $E$9)</f>
        <v>52.258800000000001</v>
      </c>
      <c r="J792" s="10">
        <f>CHOOSE(CONTROL!$C$42, 52.2367, 52.2367)* CHOOSE(CONTROL!$C$21, $C$9, 100%, $E$9)</f>
        <v>52.236699999999999</v>
      </c>
      <c r="K792" s="53">
        <f>CHOOSE(CONTROL!$C$42, 52.2549, 52.2549) * CHOOSE(CONTROL!$C$21, $C$9, 100%, $E$9)</f>
        <v>52.254899999999999</v>
      </c>
      <c r="L792" s="10">
        <f>CHOOSE(CONTROL!$C$42, 52.9217, 52.9217) * CHOOSE(CONTROL!$C$21, $C$9, 100%, $E$9)</f>
        <v>52.921700000000001</v>
      </c>
      <c r="M792" s="10">
        <f>CHOOSE(CONTROL!$C$42, 51.7234, 51.7234) * CHOOSE(CONTROL!$C$21, $C$9, 100%, $E$9)</f>
        <v>51.723399999999998</v>
      </c>
      <c r="N792" s="10">
        <f>CHOOSE(CONTROL!$C$42, 51.7389, 51.7389) * CHOOSE(CONTROL!$C$21, $C$9, 100%, $E$9)</f>
        <v>51.738900000000001</v>
      </c>
      <c r="O792" s="10">
        <f>CHOOSE(CONTROL!$C$42, 51.8204, 51.8204) * CHOOSE(CONTROL!$C$21, $C$9, 100%, $E$9)</f>
        <v>51.820399999999999</v>
      </c>
      <c r="P792" s="10">
        <f>CHOOSE(CONTROL!$C$42, 51.7453, 51.7453) * CHOOSE(CONTROL!$C$21, $C$9, 100%, $E$9)</f>
        <v>51.7453</v>
      </c>
      <c r="Q792" s="10">
        <f>CHOOSE(CONTROL!$C$42, 52.4157, 52.4157) * CHOOSE(CONTROL!$C$21, $C$9, 100%, $E$9)</f>
        <v>52.415700000000001</v>
      </c>
      <c r="R792" s="10">
        <f>CHOOSE(CONTROL!$C$42, 53.1337, 53.1337) * CHOOSE(CONTROL!$C$21, $C$9, 100%, $E$9)</f>
        <v>53.133699999999997</v>
      </c>
      <c r="S792" s="10">
        <f>CHOOSE(CONTROL!$C$42, 50.7342, 50.7342) * CHOOSE(CONTROL!$C$21, $C$9, 100%, $E$9)</f>
        <v>50.734200000000001</v>
      </c>
      <c r="T7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57">
        <f>(1000*CHOOSE(CONTROL!$C$42, 695, 695)*CHOOSE(CONTROL!$C$42, 0.5599, 0.5599)*CHOOSE(CONTROL!$C$42, 31, 31))/1000000</f>
        <v>12.063045499999998</v>
      </c>
      <c r="V792" s="57">
        <f>(1000*CHOOSE(CONTROL!$C$42, 500, 500)*CHOOSE(CONTROL!$C$42, 0.275, 0.275)*CHOOSE(CONTROL!$C$42, 31, 31))/1000000</f>
        <v>4.2625000000000002</v>
      </c>
      <c r="W792" s="57">
        <f>(1000*CHOOSE(CONTROL!$C$42, 0.1146, 0.1146)*CHOOSE(CONTROL!$C$42, 121.5, 121.5)*CHOOSE(CONTROL!$C$42, 31, 31))/1000000</f>
        <v>0.43164089999999994</v>
      </c>
      <c r="X792" s="57">
        <f>(31*0.1790888*100000/1000000)+(31*0.2374*100000/1000000)</f>
        <v>1.2911152800000001</v>
      </c>
      <c r="Y792" s="57"/>
      <c r="Z792" s="10"/>
      <c r="AA792" s="56"/>
      <c r="AB792" s="50">
        <f>(B792*122.58+C792*297.941+D792*89.177+E792*40.302+F792*40+G792*160+H792*0+I792*100+J792*300)/(122.58+297.941+89.177+40.302+0+40+160+100+300)</f>
        <v>52.256432213130424</v>
      </c>
      <c r="AC792" s="45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51.771407194244603</v>
      </c>
    </row>
    <row r="793" spans="1:29" ht="15.75" x14ac:dyDescent="0.25">
      <c r="A793" s="13">
        <v>65046</v>
      </c>
      <c r="B793" s="10">
        <f>CHOOSE(CONTROL!$C$42, 56.5269, 56.5269) * CHOOSE(CONTROL!$C$21, $C$9, 100%, $E$9)</f>
        <v>56.526899999999998</v>
      </c>
      <c r="C793" s="10">
        <f>CHOOSE(CONTROL!$C$42, 56.5319, 56.5319) * CHOOSE(CONTROL!$C$21, $C$9, 100%, $E$9)</f>
        <v>56.5319</v>
      </c>
      <c r="D793" s="10">
        <f>CHOOSE(CONTROL!$C$42, 56.5889, 56.5889) * CHOOSE(CONTROL!$C$21, $C$9, 100%, $E$9)</f>
        <v>56.588900000000002</v>
      </c>
      <c r="E793" s="10">
        <f>CHOOSE(CONTROL!$C$42, 56.6227, 56.6227) * CHOOSE(CONTROL!$C$21, $C$9, 100%, $E$9)</f>
        <v>56.622700000000002</v>
      </c>
      <c r="F793" s="10">
        <f>CHOOSE(CONTROL!$C$42, 56.5247, 56.5247)*CHOOSE(CONTROL!$C$21, $C$9, 100%, $E$9)</f>
        <v>56.524700000000003</v>
      </c>
      <c r="G793" s="10">
        <f>CHOOSE(CONTROL!$C$42, 56.5394, 56.5394)*CHOOSE(CONTROL!$C$21, $C$9, 100%, $E$9)</f>
        <v>56.539400000000001</v>
      </c>
      <c r="H793" s="10">
        <f>CHOOSE(CONTROL!$C$42, 56.6119, 56.6119) * CHOOSE(CONTROL!$C$21, $C$9, 100%, $E$9)</f>
        <v>56.611899999999999</v>
      </c>
      <c r="I793" s="10">
        <f>CHOOSE(CONTROL!$C$42, 56.5377, 56.5377)* CHOOSE(CONTROL!$C$21, $C$9, 100%, $E$9)</f>
        <v>56.537700000000001</v>
      </c>
      <c r="J793" s="10">
        <f>CHOOSE(CONTROL!$C$42, 56.5177, 56.5177)* CHOOSE(CONTROL!$C$21, $C$9, 100%, $E$9)</f>
        <v>56.517699999999998</v>
      </c>
      <c r="K793" s="53">
        <f>CHOOSE(CONTROL!$C$42, 56.5338, 56.5338) * CHOOSE(CONTROL!$C$21, $C$9, 100%, $E$9)</f>
        <v>56.533799999999999</v>
      </c>
      <c r="L793" s="10">
        <f>CHOOSE(CONTROL!$C$42, 57.1989, 57.1989) * CHOOSE(CONTROL!$C$21, $C$9, 100%, $E$9)</f>
        <v>57.198900000000002</v>
      </c>
      <c r="M793" s="10">
        <f>CHOOSE(CONTROL!$C$42, 55.9612, 55.9612) * CHOOSE(CONTROL!$C$21, $C$9, 100%, $E$9)</f>
        <v>55.961199999999998</v>
      </c>
      <c r="N793" s="10">
        <f>CHOOSE(CONTROL!$C$42, 55.9757, 55.9757) * CHOOSE(CONTROL!$C$21, $C$9, 100%, $E$9)</f>
        <v>55.975700000000003</v>
      </c>
      <c r="O793" s="10">
        <f>CHOOSE(CONTROL!$C$42, 56.0544, 56.0544) * CHOOSE(CONTROL!$C$21, $C$9, 100%, $E$9)</f>
        <v>56.054400000000001</v>
      </c>
      <c r="P793" s="10">
        <f>CHOOSE(CONTROL!$C$42, 55.981, 55.981) * CHOOSE(CONTROL!$C$21, $C$9, 100%, $E$9)</f>
        <v>55.981000000000002</v>
      </c>
      <c r="Q793" s="10">
        <f>CHOOSE(CONTROL!$C$42, 56.6497, 56.6497) * CHOOSE(CONTROL!$C$21, $C$9, 100%, $E$9)</f>
        <v>56.649700000000003</v>
      </c>
      <c r="R793" s="10">
        <f>CHOOSE(CONTROL!$C$42, 57.3784, 57.3784) * CHOOSE(CONTROL!$C$21, $C$9, 100%, $E$9)</f>
        <v>57.378399999999999</v>
      </c>
      <c r="S793" s="10">
        <f>CHOOSE(CONTROL!$C$42, 54.8912, 54.8912) * CHOOSE(CONTROL!$C$21, $C$9, 100%, $E$9)</f>
        <v>54.891199999999998</v>
      </c>
      <c r="T7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57">
        <f>(1000*CHOOSE(CONTROL!$C$42, 695, 695)*CHOOSE(CONTROL!$C$42, 0.5599, 0.5599)*CHOOSE(CONTROL!$C$42, 31, 31))/1000000</f>
        <v>12.063045499999998</v>
      </c>
      <c r="V793" s="57">
        <f>(1000*CHOOSE(CONTROL!$C$42, 500, 500)*CHOOSE(CONTROL!$C$42, 0.275, 0.275)*CHOOSE(CONTROL!$C$42, 31, 31))/1000000</f>
        <v>4.2625000000000002</v>
      </c>
      <c r="W793" s="57">
        <f>(1000*CHOOSE(CONTROL!$C$42, 0.1146, 0.1146)*CHOOSE(CONTROL!$C$42, 121.5, 121.5)*CHOOSE(CONTROL!$C$42, 31, 31))/1000000</f>
        <v>0.43164089999999994</v>
      </c>
      <c r="X793" s="57">
        <f>(31*0.1790888*100000/1000000)+(31*0.2374*100000/1000000)</f>
        <v>1.2911152800000001</v>
      </c>
      <c r="Y793" s="57"/>
      <c r="Z793" s="10"/>
      <c r="AA793" s="56"/>
      <c r="AB793" s="50">
        <f>(B793*122.58+C793*297.941+D793*89.177+E793*40.302+F793*40+G793*160+H793*0+I793*100+J793*300)/(122.58+297.941+89.177+40.302+0+40+160+100+300)</f>
        <v>56.536562270086954</v>
      </c>
      <c r="AC793" s="45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56.007125179856111</v>
      </c>
    </row>
    <row r="794" spans="1:29" ht="15.75" x14ac:dyDescent="0.25">
      <c r="A794" s="13">
        <v>65074</v>
      </c>
      <c r="B794" s="10">
        <f>CHOOSE(CONTROL!$C$42, 57.5331, 57.5331) * CHOOSE(CONTROL!$C$21, $C$9, 100%, $E$9)</f>
        <v>57.533099999999997</v>
      </c>
      <c r="C794" s="10">
        <f>CHOOSE(CONTROL!$C$42, 57.5381, 57.5381) * CHOOSE(CONTROL!$C$21, $C$9, 100%, $E$9)</f>
        <v>57.5381</v>
      </c>
      <c r="D794" s="10">
        <f>CHOOSE(CONTROL!$C$42, 57.5951, 57.5951) * CHOOSE(CONTROL!$C$21, $C$9, 100%, $E$9)</f>
        <v>57.595100000000002</v>
      </c>
      <c r="E794" s="10">
        <f>CHOOSE(CONTROL!$C$42, 57.6289, 57.6289) * CHOOSE(CONTROL!$C$21, $C$9, 100%, $E$9)</f>
        <v>57.628900000000002</v>
      </c>
      <c r="F794" s="10">
        <f>CHOOSE(CONTROL!$C$42, 57.5311, 57.5311)*CHOOSE(CONTROL!$C$21, $C$9, 100%, $E$9)</f>
        <v>57.531100000000002</v>
      </c>
      <c r="G794" s="10">
        <f>CHOOSE(CONTROL!$C$42, 57.5457, 57.5457)*CHOOSE(CONTROL!$C$21, $C$9, 100%, $E$9)</f>
        <v>57.545699999999997</v>
      </c>
      <c r="H794" s="10">
        <f>CHOOSE(CONTROL!$C$42, 57.6181, 57.6181) * CHOOSE(CONTROL!$C$21, $C$9, 100%, $E$9)</f>
        <v>57.618099999999998</v>
      </c>
      <c r="I794" s="10">
        <f>CHOOSE(CONTROL!$C$42, 57.5439, 57.5439)* CHOOSE(CONTROL!$C$21, $C$9, 100%, $E$9)</f>
        <v>57.543900000000001</v>
      </c>
      <c r="J794" s="10">
        <f>CHOOSE(CONTROL!$C$42, 57.5241, 57.5241)* CHOOSE(CONTROL!$C$21, $C$9, 100%, $E$9)</f>
        <v>57.524099999999997</v>
      </c>
      <c r="K794" s="53">
        <f>CHOOSE(CONTROL!$C$42, 57.54, 57.54) * CHOOSE(CONTROL!$C$21, $C$9, 100%, $E$9)</f>
        <v>57.54</v>
      </c>
      <c r="L794" s="10">
        <f>CHOOSE(CONTROL!$C$42, 58.2051, 58.2051) * CHOOSE(CONTROL!$C$21, $C$9, 100%, $E$9)</f>
        <v>58.205100000000002</v>
      </c>
      <c r="M794" s="10">
        <f>CHOOSE(CONTROL!$C$42, 56.9574, 56.9574) * CHOOSE(CONTROL!$C$21, $C$9, 100%, $E$9)</f>
        <v>56.9574</v>
      </c>
      <c r="N794" s="10">
        <f>CHOOSE(CONTROL!$C$42, 56.9719, 56.9719) * CHOOSE(CONTROL!$C$21, $C$9, 100%, $E$9)</f>
        <v>56.971899999999998</v>
      </c>
      <c r="O794" s="10">
        <f>CHOOSE(CONTROL!$C$42, 57.0505, 57.0505) * CHOOSE(CONTROL!$C$21, $C$9, 100%, $E$9)</f>
        <v>57.0505</v>
      </c>
      <c r="P794" s="10">
        <f>CHOOSE(CONTROL!$C$42, 56.9771, 56.9771) * CHOOSE(CONTROL!$C$21, $C$9, 100%, $E$9)</f>
        <v>56.9771</v>
      </c>
      <c r="Q794" s="10">
        <f>CHOOSE(CONTROL!$C$42, 57.6458, 57.6458) * CHOOSE(CONTROL!$C$21, $C$9, 100%, $E$9)</f>
        <v>57.645800000000001</v>
      </c>
      <c r="R794" s="10">
        <f>CHOOSE(CONTROL!$C$42, 58.3769, 58.3769) * CHOOSE(CONTROL!$C$21, $C$9, 100%, $E$9)</f>
        <v>58.376899999999999</v>
      </c>
      <c r="S794" s="10">
        <f>CHOOSE(CONTROL!$C$42, 55.8683, 55.8683) * CHOOSE(CONTROL!$C$21, $C$9, 100%, $E$9)</f>
        <v>55.868299999999998</v>
      </c>
      <c r="T7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57">
        <f>(1000*CHOOSE(CONTROL!$C$42, 695, 695)*CHOOSE(CONTROL!$C$42, 0.5599, 0.5599)*CHOOSE(CONTROL!$C$42, 28, 28))/1000000</f>
        <v>10.895653999999999</v>
      </c>
      <c r="V794" s="57">
        <f>(1000*CHOOSE(CONTROL!$C$42, 500, 500)*CHOOSE(CONTROL!$C$42, 0.275, 0.275)*CHOOSE(CONTROL!$C$42, 28, 28))/1000000</f>
        <v>3.85</v>
      </c>
      <c r="W794" s="57">
        <f>(1000*CHOOSE(CONTROL!$C$42, 0.1146, 0.1146)*CHOOSE(CONTROL!$C$42, 121.5, 121.5)*CHOOSE(CONTROL!$C$42, 28, 28))/1000000</f>
        <v>0.38986920000000003</v>
      </c>
      <c r="X794" s="57">
        <f>(28*0.1790888*100000/1000000)+(28*0.2374*100000/1000000)</f>
        <v>1.16616864</v>
      </c>
      <c r="Y794" s="57"/>
      <c r="Z794" s="10"/>
      <c r="AA794" s="56"/>
      <c r="AB794" s="50">
        <f>(B794*122.58+C794*297.941+D794*89.177+E794*40.302+F794*40+G794*160+H794*0+I794*100+J794*300)/(122.58+297.941+89.177+40.302+0+40+160+100+300)</f>
        <v>57.54283531356522</v>
      </c>
      <c r="AC794" s="45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57.003265467625901</v>
      </c>
    </row>
    <row r="795" spans="1:29" ht="15.75" x14ac:dyDescent="0.25">
      <c r="A795" s="13">
        <v>65105</v>
      </c>
      <c r="B795" s="10">
        <f>CHOOSE(CONTROL!$C$42, 55.8998, 55.8998) * CHOOSE(CONTROL!$C$21, $C$9, 100%, $E$9)</f>
        <v>55.899799999999999</v>
      </c>
      <c r="C795" s="10">
        <f>CHOOSE(CONTROL!$C$42, 55.9048, 55.9048) * CHOOSE(CONTROL!$C$21, $C$9, 100%, $E$9)</f>
        <v>55.904800000000002</v>
      </c>
      <c r="D795" s="10">
        <f>CHOOSE(CONTROL!$C$42, 55.9618, 55.9618) * CHOOSE(CONTROL!$C$21, $C$9, 100%, $E$9)</f>
        <v>55.961799999999997</v>
      </c>
      <c r="E795" s="10">
        <f>CHOOSE(CONTROL!$C$42, 55.9956, 55.9956) * CHOOSE(CONTROL!$C$21, $C$9, 100%, $E$9)</f>
        <v>55.995600000000003</v>
      </c>
      <c r="F795" s="10">
        <f>CHOOSE(CONTROL!$C$42, 55.8976, 55.8976)*CHOOSE(CONTROL!$C$21, $C$9, 100%, $E$9)</f>
        <v>55.897599999999997</v>
      </c>
      <c r="G795" s="10">
        <f>CHOOSE(CONTROL!$C$42, 55.9122, 55.9122)*CHOOSE(CONTROL!$C$21, $C$9, 100%, $E$9)</f>
        <v>55.912199999999999</v>
      </c>
      <c r="H795" s="10">
        <f>CHOOSE(CONTROL!$C$42, 55.9848, 55.9848) * CHOOSE(CONTROL!$C$21, $C$9, 100%, $E$9)</f>
        <v>55.9848</v>
      </c>
      <c r="I795" s="10">
        <f>CHOOSE(CONTROL!$C$42, 55.9106, 55.9106)* CHOOSE(CONTROL!$C$21, $C$9, 100%, $E$9)</f>
        <v>55.910600000000002</v>
      </c>
      <c r="J795" s="10">
        <f>CHOOSE(CONTROL!$C$42, 55.8906, 55.8906)* CHOOSE(CONTROL!$C$21, $C$9, 100%, $E$9)</f>
        <v>55.890599999999999</v>
      </c>
      <c r="K795" s="53">
        <f>CHOOSE(CONTROL!$C$42, 55.9067, 55.9067) * CHOOSE(CONTROL!$C$21, $C$9, 100%, $E$9)</f>
        <v>55.906700000000001</v>
      </c>
      <c r="L795" s="10">
        <f>CHOOSE(CONTROL!$C$42, 56.5718, 56.5718) * CHOOSE(CONTROL!$C$21, $C$9, 100%, $E$9)</f>
        <v>56.571800000000003</v>
      </c>
      <c r="M795" s="10">
        <f>CHOOSE(CONTROL!$C$42, 55.3404, 55.3404) * CHOOSE(CONTROL!$C$21, $C$9, 100%, $E$9)</f>
        <v>55.340400000000002</v>
      </c>
      <c r="N795" s="10">
        <f>CHOOSE(CONTROL!$C$42, 55.3549, 55.3549) * CHOOSE(CONTROL!$C$21, $C$9, 100%, $E$9)</f>
        <v>55.354900000000001</v>
      </c>
      <c r="O795" s="10">
        <f>CHOOSE(CONTROL!$C$42, 55.4336, 55.4336) * CHOOSE(CONTROL!$C$21, $C$9, 100%, $E$9)</f>
        <v>55.433599999999998</v>
      </c>
      <c r="P795" s="10">
        <f>CHOOSE(CONTROL!$C$42, 55.3602, 55.3602) * CHOOSE(CONTROL!$C$21, $C$9, 100%, $E$9)</f>
        <v>55.360199999999999</v>
      </c>
      <c r="Q795" s="10">
        <f>CHOOSE(CONTROL!$C$42, 56.0289, 56.0289) * CHOOSE(CONTROL!$C$21, $C$9, 100%, $E$9)</f>
        <v>56.0289</v>
      </c>
      <c r="R795" s="10">
        <f>CHOOSE(CONTROL!$C$42, 56.756, 56.756) * CHOOSE(CONTROL!$C$21, $C$9, 100%, $E$9)</f>
        <v>56.756</v>
      </c>
      <c r="S795" s="10">
        <f>CHOOSE(CONTROL!$C$42, 54.2822, 54.2822) * CHOOSE(CONTROL!$C$21, $C$9, 100%, $E$9)</f>
        <v>54.282200000000003</v>
      </c>
      <c r="T7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57">
        <f>(1000*CHOOSE(CONTROL!$C$42, 695, 695)*CHOOSE(CONTROL!$C$42, 0.5599, 0.5599)*CHOOSE(CONTROL!$C$42, 31, 31))/1000000</f>
        <v>12.063045499999998</v>
      </c>
      <c r="V795" s="57">
        <f>(1000*CHOOSE(CONTROL!$C$42, 500, 500)*CHOOSE(CONTROL!$C$42, 0.275, 0.275)*CHOOSE(CONTROL!$C$42, 31, 31))/1000000</f>
        <v>4.2625000000000002</v>
      </c>
      <c r="W795" s="57">
        <f>(1000*CHOOSE(CONTROL!$C$42, 0.1146, 0.1146)*CHOOSE(CONTROL!$C$42, 121.5, 121.5)*CHOOSE(CONTROL!$C$42, 31, 31))/1000000</f>
        <v>0.43164089999999994</v>
      </c>
      <c r="X795" s="57">
        <f>(31*0.1790888*100000/1000000)+(31*0.2374*100000/1000000)</f>
        <v>1.2911152800000001</v>
      </c>
      <c r="Y795" s="57"/>
      <c r="Z795" s="10"/>
      <c r="AA795" s="56"/>
      <c r="AB795" s="50">
        <f>(B795*122.58+C795*297.941+D795*89.177+E795*40.302+F795*40+G795*160+H795*0+I795*100+J795*300)/(122.58+297.941+89.177+40.302+0+40+160+100+300)</f>
        <v>55.909448357043473</v>
      </c>
      <c r="AC795" s="45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55.386325179856101</v>
      </c>
    </row>
    <row r="796" spans="1:29" ht="15.75" x14ac:dyDescent="0.25">
      <c r="A796" s="13">
        <v>65135</v>
      </c>
      <c r="B796" s="10">
        <f>CHOOSE(CONTROL!$C$42, 55.7336, 55.7336) * CHOOSE(CONTROL!$C$21, $C$9, 100%, $E$9)</f>
        <v>55.733600000000003</v>
      </c>
      <c r="C796" s="10">
        <f>CHOOSE(CONTROL!$C$42, 55.738, 55.738) * CHOOSE(CONTROL!$C$21, $C$9, 100%, $E$9)</f>
        <v>55.738</v>
      </c>
      <c r="D796" s="10">
        <f>CHOOSE(CONTROL!$C$42, 55.9439, 55.9439) * CHOOSE(CONTROL!$C$21, $C$9, 100%, $E$9)</f>
        <v>55.943899999999999</v>
      </c>
      <c r="E796" s="10">
        <f>CHOOSE(CONTROL!$C$42, 55.9756, 55.9756) * CHOOSE(CONTROL!$C$21, $C$9, 100%, $E$9)</f>
        <v>55.9756</v>
      </c>
      <c r="F796" s="10">
        <f>CHOOSE(CONTROL!$C$42, 55.7104, 55.7104)*CHOOSE(CONTROL!$C$21, $C$9, 100%, $E$9)</f>
        <v>55.7104</v>
      </c>
      <c r="G796" s="10">
        <f>CHOOSE(CONTROL!$C$42, 55.7249, 55.7249)*CHOOSE(CONTROL!$C$21, $C$9, 100%, $E$9)</f>
        <v>55.724899999999998</v>
      </c>
      <c r="H796" s="10">
        <f>CHOOSE(CONTROL!$C$42, 55.9654, 55.9654) * CHOOSE(CONTROL!$C$21, $C$9, 100%, $E$9)</f>
        <v>55.965400000000002</v>
      </c>
      <c r="I796" s="10">
        <f>CHOOSE(CONTROL!$C$42, 55.735, 55.735)* CHOOSE(CONTROL!$C$21, $C$9, 100%, $E$9)</f>
        <v>55.734999999999999</v>
      </c>
      <c r="J796" s="10">
        <f>CHOOSE(CONTROL!$C$42, 55.7034, 55.7034)* CHOOSE(CONTROL!$C$21, $C$9, 100%, $E$9)</f>
        <v>55.703400000000002</v>
      </c>
      <c r="K796" s="53">
        <f>CHOOSE(CONTROL!$C$42, 55.7312, 55.7312) * CHOOSE(CONTROL!$C$21, $C$9, 100%, $E$9)</f>
        <v>55.731200000000001</v>
      </c>
      <c r="L796" s="10">
        <f>CHOOSE(CONTROL!$C$42, 56.5524, 56.5524) * CHOOSE(CONTROL!$C$21, $C$9, 100%, $E$9)</f>
        <v>56.552399999999999</v>
      </c>
      <c r="M796" s="10">
        <f>CHOOSE(CONTROL!$C$42, 55.1551, 55.1551) * CHOOSE(CONTROL!$C$21, $C$9, 100%, $E$9)</f>
        <v>55.155099999999997</v>
      </c>
      <c r="N796" s="10">
        <f>CHOOSE(CONTROL!$C$42, 55.1694, 55.1694) * CHOOSE(CONTROL!$C$21, $C$9, 100%, $E$9)</f>
        <v>55.169400000000003</v>
      </c>
      <c r="O796" s="10">
        <f>CHOOSE(CONTROL!$C$42, 55.4145, 55.4145) * CHOOSE(CONTROL!$C$21, $C$9, 100%, $E$9)</f>
        <v>55.414499999999997</v>
      </c>
      <c r="P796" s="10">
        <f>CHOOSE(CONTROL!$C$42, 55.1864, 55.1864) * CHOOSE(CONTROL!$C$21, $C$9, 100%, $E$9)</f>
        <v>55.186399999999999</v>
      </c>
      <c r="Q796" s="10">
        <f>CHOOSE(CONTROL!$C$42, 56.0098, 56.0098) * CHOOSE(CONTROL!$C$21, $C$9, 100%, $E$9)</f>
        <v>56.009799999999998</v>
      </c>
      <c r="R796" s="10">
        <f>CHOOSE(CONTROL!$C$42, 56.7368, 56.7368) * CHOOSE(CONTROL!$C$21, $C$9, 100%, $E$9)</f>
        <v>56.736800000000002</v>
      </c>
      <c r="S796" s="10">
        <f>CHOOSE(CONTROL!$C$42, 54.12, 54.12) * CHOOSE(CONTROL!$C$21, $C$9, 100%, $E$9)</f>
        <v>54.12</v>
      </c>
      <c r="T7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57">
        <f>(1000*CHOOSE(CONTROL!$C$42, 695, 695)*CHOOSE(CONTROL!$C$42, 0.5599, 0.5599)*CHOOSE(CONTROL!$C$42, 30, 30))/1000000</f>
        <v>11.673914999999997</v>
      </c>
      <c r="V796" s="57">
        <f>(1000*CHOOSE(CONTROL!$C$42, 500, 500)*CHOOSE(CONTROL!$C$42, 0.275, 0.275)*CHOOSE(CONTROL!$C$42, 30, 30))/1000000</f>
        <v>4.125</v>
      </c>
      <c r="W796" s="57">
        <f>(1000*CHOOSE(CONTROL!$C$42, 0.1146, 0.1146)*CHOOSE(CONTROL!$C$42, 121.5, 121.5)*CHOOSE(CONTROL!$C$42, 30, 30))/1000000</f>
        <v>0.417717</v>
      </c>
      <c r="X796" s="57">
        <f>(30*0.1790888*245000/1000000)+(30*0.2374*100000/1000000)</f>
        <v>2.0285026799999999</v>
      </c>
      <c r="Y796" s="57"/>
      <c r="Z796" s="10"/>
      <c r="AA796" s="56"/>
      <c r="AB796" s="50">
        <f>(B796*141.293+C796*267.993+D796*115.016+E796*89.698+F796*40+G796*185+H796*0+I796*100+J796*300)/(141.293+267.993+115.016+89.698+0+40+185+100+300)</f>
        <v>55.762346125907989</v>
      </c>
      <c r="AC796" s="45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55.27799640287769</v>
      </c>
    </row>
    <row r="797" spans="1:29" ht="15.75" x14ac:dyDescent="0.25">
      <c r="A797" s="13">
        <v>65166</v>
      </c>
      <c r="B797" s="10">
        <f>CHOOSE(CONTROL!$C$42, 56.2269, 56.2269) * CHOOSE(CONTROL!$C$21, $C$9, 100%, $E$9)</f>
        <v>56.226900000000001</v>
      </c>
      <c r="C797" s="10">
        <f>CHOOSE(CONTROL!$C$42, 56.2348, 56.2348) * CHOOSE(CONTROL!$C$21, $C$9, 100%, $E$9)</f>
        <v>56.2348</v>
      </c>
      <c r="D797" s="10">
        <f>CHOOSE(CONTROL!$C$42, 56.4375, 56.4375) * CHOOSE(CONTROL!$C$21, $C$9, 100%, $E$9)</f>
        <v>56.4375</v>
      </c>
      <c r="E797" s="10">
        <f>CHOOSE(CONTROL!$C$42, 56.4687, 56.4687) * CHOOSE(CONTROL!$C$21, $C$9, 100%, $E$9)</f>
        <v>56.468699999999998</v>
      </c>
      <c r="F797" s="10">
        <f>CHOOSE(CONTROL!$C$42, 56.2026, 56.2026)*CHOOSE(CONTROL!$C$21, $C$9, 100%, $E$9)</f>
        <v>56.202599999999997</v>
      </c>
      <c r="G797" s="10">
        <f>CHOOSE(CONTROL!$C$42, 56.2176, 56.2176)*CHOOSE(CONTROL!$C$21, $C$9, 100%, $E$9)</f>
        <v>56.217599999999997</v>
      </c>
      <c r="H797" s="10">
        <f>CHOOSE(CONTROL!$C$42, 56.4573, 56.4573) * CHOOSE(CONTROL!$C$21, $C$9, 100%, $E$9)</f>
        <v>56.457299999999996</v>
      </c>
      <c r="I797" s="10">
        <f>CHOOSE(CONTROL!$C$42, 56.2269, 56.2269)* CHOOSE(CONTROL!$C$21, $C$9, 100%, $E$9)</f>
        <v>56.226900000000001</v>
      </c>
      <c r="J797" s="10">
        <f>CHOOSE(CONTROL!$C$42, 56.1956, 56.1956)* CHOOSE(CONTROL!$C$21, $C$9, 100%, $E$9)</f>
        <v>56.195599999999999</v>
      </c>
      <c r="K797" s="53">
        <f>CHOOSE(CONTROL!$C$42, 56.223, 56.223) * CHOOSE(CONTROL!$C$21, $C$9, 100%, $E$9)</f>
        <v>56.222999999999999</v>
      </c>
      <c r="L797" s="10">
        <f>CHOOSE(CONTROL!$C$42, 57.0443, 57.0443) * CHOOSE(CONTROL!$C$21, $C$9, 100%, $E$9)</f>
        <v>57.0443</v>
      </c>
      <c r="M797" s="10">
        <f>CHOOSE(CONTROL!$C$42, 55.6423, 55.6423) * CHOOSE(CONTROL!$C$21, $C$9, 100%, $E$9)</f>
        <v>55.642299999999999</v>
      </c>
      <c r="N797" s="10">
        <f>CHOOSE(CONTROL!$C$42, 55.6572, 55.6572) * CHOOSE(CONTROL!$C$21, $C$9, 100%, $E$9)</f>
        <v>55.657200000000003</v>
      </c>
      <c r="O797" s="10">
        <f>CHOOSE(CONTROL!$C$42, 55.9014, 55.9014) * CHOOSE(CONTROL!$C$21, $C$9, 100%, $E$9)</f>
        <v>55.901400000000002</v>
      </c>
      <c r="P797" s="10">
        <f>CHOOSE(CONTROL!$C$42, 55.6734, 55.6734) * CHOOSE(CONTROL!$C$21, $C$9, 100%, $E$9)</f>
        <v>55.673400000000001</v>
      </c>
      <c r="Q797" s="10">
        <f>CHOOSE(CONTROL!$C$42, 56.4967, 56.4967) * CHOOSE(CONTROL!$C$21, $C$9, 100%, $E$9)</f>
        <v>56.496699999999997</v>
      </c>
      <c r="R797" s="10">
        <f>CHOOSE(CONTROL!$C$42, 57.2249, 57.2249) * CHOOSE(CONTROL!$C$21, $C$9, 100%, $E$9)</f>
        <v>57.224899999999998</v>
      </c>
      <c r="S797" s="10">
        <f>CHOOSE(CONTROL!$C$42, 54.5977, 54.5977) * CHOOSE(CONTROL!$C$21, $C$9, 100%, $E$9)</f>
        <v>54.597700000000003</v>
      </c>
      <c r="T7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57">
        <f>(1000*CHOOSE(CONTROL!$C$42, 695, 695)*CHOOSE(CONTROL!$C$42, 0.5599, 0.5599)*CHOOSE(CONTROL!$C$42, 31, 31))/1000000</f>
        <v>12.063045499999998</v>
      </c>
      <c r="V797" s="57">
        <f>(1000*CHOOSE(CONTROL!$C$42, 500, 500)*CHOOSE(CONTROL!$C$42, 0.275, 0.275)*CHOOSE(CONTROL!$C$42, 31, 31))/1000000</f>
        <v>4.2625000000000002</v>
      </c>
      <c r="W797" s="57">
        <f>(1000*CHOOSE(CONTROL!$C$42, 0.1146, 0.1146)*CHOOSE(CONTROL!$C$42, 121.5, 121.5)*CHOOSE(CONTROL!$C$42, 31, 31))/1000000</f>
        <v>0.43164089999999994</v>
      </c>
      <c r="X797" s="57">
        <f>(31*0.1790888*245000/1000000)+(31*0.2374*100000/1000000)</f>
        <v>2.0961194359999999</v>
      </c>
      <c r="Y797" s="57"/>
      <c r="Z797" s="10"/>
      <c r="AA797" s="56"/>
      <c r="AB797" s="50">
        <f>(B797*194.205+C797*267.466+D797*133.845+E797*53.484+F797*40+G797*185+H797*0+I797*100+J797*300)/(194.205+267.466+133.845+53.484+0+40+185+100+300)</f>
        <v>56.251351075039253</v>
      </c>
      <c r="AC797" s="45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55.765066187050365</v>
      </c>
    </row>
    <row r="798" spans="1:29" ht="15.75" x14ac:dyDescent="0.25">
      <c r="A798" s="13">
        <v>65196</v>
      </c>
      <c r="B798" s="10">
        <f>CHOOSE(CONTROL!$C$42, 57.8217, 57.8217) * CHOOSE(CONTROL!$C$21, $C$9, 100%, $E$9)</f>
        <v>57.8217</v>
      </c>
      <c r="C798" s="10">
        <f>CHOOSE(CONTROL!$C$42, 57.8296, 57.8296) * CHOOSE(CONTROL!$C$21, $C$9, 100%, $E$9)</f>
        <v>57.829599999999999</v>
      </c>
      <c r="D798" s="10">
        <f>CHOOSE(CONTROL!$C$42, 58.0323, 58.0323) * CHOOSE(CONTROL!$C$21, $C$9, 100%, $E$9)</f>
        <v>58.032299999999999</v>
      </c>
      <c r="E798" s="10">
        <f>CHOOSE(CONTROL!$C$42, 58.0635, 58.0635) * CHOOSE(CONTROL!$C$21, $C$9, 100%, $E$9)</f>
        <v>58.063499999999998</v>
      </c>
      <c r="F798" s="10">
        <f>CHOOSE(CONTROL!$C$42, 57.7979, 57.7979)*CHOOSE(CONTROL!$C$21, $C$9, 100%, $E$9)</f>
        <v>57.797899999999998</v>
      </c>
      <c r="G798" s="10">
        <f>CHOOSE(CONTROL!$C$42, 57.8131, 57.8131)*CHOOSE(CONTROL!$C$21, $C$9, 100%, $E$9)</f>
        <v>57.813099999999999</v>
      </c>
      <c r="H798" s="10">
        <f>CHOOSE(CONTROL!$C$42, 58.0521, 58.0521) * CHOOSE(CONTROL!$C$21, $C$9, 100%, $E$9)</f>
        <v>58.052100000000003</v>
      </c>
      <c r="I798" s="10">
        <f>CHOOSE(CONTROL!$C$42, 57.8217, 57.8217)* CHOOSE(CONTROL!$C$21, $C$9, 100%, $E$9)</f>
        <v>57.8217</v>
      </c>
      <c r="J798" s="10">
        <f>CHOOSE(CONTROL!$C$42, 57.7909, 57.7909)* CHOOSE(CONTROL!$C$21, $C$9, 100%, $E$9)</f>
        <v>57.790900000000001</v>
      </c>
      <c r="K798" s="53">
        <f>CHOOSE(CONTROL!$C$42, 57.8178, 57.8178) * CHOOSE(CONTROL!$C$21, $C$9, 100%, $E$9)</f>
        <v>57.817799999999998</v>
      </c>
      <c r="L798" s="10">
        <f>CHOOSE(CONTROL!$C$42, 58.6391, 58.6391) * CHOOSE(CONTROL!$C$21, $C$9, 100%, $E$9)</f>
        <v>58.639099999999999</v>
      </c>
      <c r="M798" s="10">
        <f>CHOOSE(CONTROL!$C$42, 57.2215, 57.2215) * CHOOSE(CONTROL!$C$21, $C$9, 100%, $E$9)</f>
        <v>57.221499999999999</v>
      </c>
      <c r="N798" s="10">
        <f>CHOOSE(CONTROL!$C$42, 57.2365, 57.2365) * CHOOSE(CONTROL!$C$21, $C$9, 100%, $E$9)</f>
        <v>57.236499999999999</v>
      </c>
      <c r="O798" s="10">
        <f>CHOOSE(CONTROL!$C$42, 57.4801, 57.4801) * CHOOSE(CONTROL!$C$21, $C$9, 100%, $E$9)</f>
        <v>57.4801</v>
      </c>
      <c r="P798" s="10">
        <f>CHOOSE(CONTROL!$C$42, 57.2521, 57.2521) * CHOOSE(CONTROL!$C$21, $C$9, 100%, $E$9)</f>
        <v>57.252099999999999</v>
      </c>
      <c r="Q798" s="10">
        <f>CHOOSE(CONTROL!$C$42, 58.0754, 58.0754) * CHOOSE(CONTROL!$C$21, $C$9, 100%, $E$9)</f>
        <v>58.075400000000002</v>
      </c>
      <c r="R798" s="10">
        <f>CHOOSE(CONTROL!$C$42, 58.8076, 58.8076) * CHOOSE(CONTROL!$C$21, $C$9, 100%, $E$9)</f>
        <v>58.807600000000001</v>
      </c>
      <c r="S798" s="10">
        <f>CHOOSE(CONTROL!$C$42, 56.1464, 56.1464) * CHOOSE(CONTROL!$C$21, $C$9, 100%, $E$9)</f>
        <v>56.1464</v>
      </c>
      <c r="T7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57">
        <f>(1000*CHOOSE(CONTROL!$C$42, 695, 695)*CHOOSE(CONTROL!$C$42, 0.5599, 0.5599)*CHOOSE(CONTROL!$C$42, 30, 30))/1000000</f>
        <v>11.673914999999997</v>
      </c>
      <c r="V798" s="57">
        <f>(1000*CHOOSE(CONTROL!$C$42, 500, 500)*CHOOSE(CONTROL!$C$42, 0.275, 0.275)*CHOOSE(CONTROL!$C$42, 30, 30))/1000000</f>
        <v>4.125</v>
      </c>
      <c r="W798" s="57">
        <f>(1000*CHOOSE(CONTROL!$C$42, 0.1146, 0.1146)*CHOOSE(CONTROL!$C$42, 121.5, 121.5)*CHOOSE(CONTROL!$C$42, 30, 30))/1000000</f>
        <v>0.417717</v>
      </c>
      <c r="X798" s="57">
        <f>(30*0.1790888*245000/1000000)+(30*0.2374*100000/1000000)</f>
        <v>2.0285026799999999</v>
      </c>
      <c r="Y798" s="57"/>
      <c r="Z798" s="10"/>
      <c r="AA798" s="56"/>
      <c r="AB798" s="50">
        <f>(B798*194.205+C798*267.466+D798*133.845+E798*53.484+F798*40+G798*185+H798*0+I798*100+J798*300)/(194.205+267.466+133.845+53.484+0+40+185+100+300)</f>
        <v>57.846386161381481</v>
      </c>
      <c r="AC798" s="45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57.343973381294965</v>
      </c>
    </row>
    <row r="799" spans="1:29" ht="15.75" x14ac:dyDescent="0.25">
      <c r="A799" s="13">
        <v>65227</v>
      </c>
      <c r="B799" s="10">
        <f>CHOOSE(CONTROL!$C$42, 56.7125, 56.7125) * CHOOSE(CONTROL!$C$21, $C$9, 100%, $E$9)</f>
        <v>56.712499999999999</v>
      </c>
      <c r="C799" s="10">
        <f>CHOOSE(CONTROL!$C$42, 56.7204, 56.7204) * CHOOSE(CONTROL!$C$21, $C$9, 100%, $E$9)</f>
        <v>56.720399999999998</v>
      </c>
      <c r="D799" s="10">
        <f>CHOOSE(CONTROL!$C$42, 56.9231, 56.9231) * CHOOSE(CONTROL!$C$21, $C$9, 100%, $E$9)</f>
        <v>56.923099999999998</v>
      </c>
      <c r="E799" s="10">
        <f>CHOOSE(CONTROL!$C$42, 56.9543, 56.9543) * CHOOSE(CONTROL!$C$21, $C$9, 100%, $E$9)</f>
        <v>56.954300000000003</v>
      </c>
      <c r="F799" s="10">
        <f>CHOOSE(CONTROL!$C$42, 56.6892, 56.6892)*CHOOSE(CONTROL!$C$21, $C$9, 100%, $E$9)</f>
        <v>56.6892</v>
      </c>
      <c r="G799" s="10">
        <f>CHOOSE(CONTROL!$C$42, 56.7045, 56.7045)*CHOOSE(CONTROL!$C$21, $C$9, 100%, $E$9)</f>
        <v>56.704500000000003</v>
      </c>
      <c r="H799" s="10">
        <f>CHOOSE(CONTROL!$C$42, 56.9429, 56.9429) * CHOOSE(CONTROL!$C$21, $C$9, 100%, $E$9)</f>
        <v>56.942900000000002</v>
      </c>
      <c r="I799" s="10">
        <f>CHOOSE(CONTROL!$C$42, 56.7125, 56.7125)* CHOOSE(CONTROL!$C$21, $C$9, 100%, $E$9)</f>
        <v>56.712499999999999</v>
      </c>
      <c r="J799" s="10">
        <f>CHOOSE(CONTROL!$C$42, 56.6822, 56.6822)* CHOOSE(CONTROL!$C$21, $C$9, 100%, $E$9)</f>
        <v>56.682200000000002</v>
      </c>
      <c r="K799" s="53">
        <f>CHOOSE(CONTROL!$C$42, 56.7086, 56.7086) * CHOOSE(CONTROL!$C$21, $C$9, 100%, $E$9)</f>
        <v>56.708599999999997</v>
      </c>
      <c r="L799" s="10">
        <f>CHOOSE(CONTROL!$C$42, 57.5299, 57.5299) * CHOOSE(CONTROL!$C$21, $C$9, 100%, $E$9)</f>
        <v>57.529899999999998</v>
      </c>
      <c r="M799" s="10">
        <f>CHOOSE(CONTROL!$C$42, 56.124, 56.124) * CHOOSE(CONTROL!$C$21, $C$9, 100%, $E$9)</f>
        <v>56.124000000000002</v>
      </c>
      <c r="N799" s="10">
        <f>CHOOSE(CONTROL!$C$42, 56.1392, 56.1392) * CHOOSE(CONTROL!$C$21, $C$9, 100%, $E$9)</f>
        <v>56.139200000000002</v>
      </c>
      <c r="O799" s="10">
        <f>CHOOSE(CONTROL!$C$42, 56.3821, 56.3821) * CHOOSE(CONTROL!$C$21, $C$9, 100%, $E$9)</f>
        <v>56.382100000000001</v>
      </c>
      <c r="P799" s="10">
        <f>CHOOSE(CONTROL!$C$42, 56.1541, 56.1541) * CHOOSE(CONTROL!$C$21, $C$9, 100%, $E$9)</f>
        <v>56.1541</v>
      </c>
      <c r="Q799" s="10">
        <f>CHOOSE(CONTROL!$C$42, 56.9774, 56.9774) * CHOOSE(CONTROL!$C$21, $C$9, 100%, $E$9)</f>
        <v>56.977400000000003</v>
      </c>
      <c r="R799" s="10">
        <f>CHOOSE(CONTROL!$C$42, 57.7068, 57.7068) * CHOOSE(CONTROL!$C$21, $C$9, 100%, $E$9)</f>
        <v>57.706800000000001</v>
      </c>
      <c r="S799" s="10">
        <f>CHOOSE(CONTROL!$C$42, 55.0692, 55.0692) * CHOOSE(CONTROL!$C$21, $C$9, 100%, $E$9)</f>
        <v>55.069200000000002</v>
      </c>
      <c r="T7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57">
        <f>(1000*CHOOSE(CONTROL!$C$42, 695, 695)*CHOOSE(CONTROL!$C$42, 0.5599, 0.5599)*CHOOSE(CONTROL!$C$42, 31, 31))/1000000</f>
        <v>12.063045499999998</v>
      </c>
      <c r="V799" s="57">
        <f>(1000*CHOOSE(CONTROL!$C$42, 500, 500)*CHOOSE(CONTROL!$C$42, 0.275, 0.275)*CHOOSE(CONTROL!$C$42, 31, 31))/1000000</f>
        <v>4.2625000000000002</v>
      </c>
      <c r="W799" s="57">
        <f>(1000*CHOOSE(CONTROL!$C$42, 0.1146, 0.1146)*CHOOSE(CONTROL!$C$42, 121.5, 121.5)*CHOOSE(CONTROL!$C$42, 31, 31))/1000000</f>
        <v>0.43164089999999994</v>
      </c>
      <c r="X799" s="57">
        <f>(31*0.1790888*245000/1000000)+(31*0.2374*100000/1000000)</f>
        <v>2.0961194359999999</v>
      </c>
      <c r="Y799" s="57"/>
      <c r="Z799" s="10"/>
      <c r="AA799" s="56"/>
      <c r="AB799" s="50">
        <f>(B799*194.205+C799*267.466+D799*133.845+E799*53.484+F799*40+G799*185+H799*0+I799*100+J799*300)/(194.205+267.466+133.845+53.484+0+40+185+100+300)</f>
        <v>56.737406726530615</v>
      </c>
      <c r="AC799" s="45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56.246186330935245</v>
      </c>
    </row>
    <row r="800" spans="1:29" ht="15.75" x14ac:dyDescent="0.25">
      <c r="A800" s="13">
        <v>65258</v>
      </c>
      <c r="B800" s="10">
        <f>CHOOSE(CONTROL!$C$42, 53.9114, 53.9114) * CHOOSE(CONTROL!$C$21, $C$9, 100%, $E$9)</f>
        <v>53.9114</v>
      </c>
      <c r="C800" s="10">
        <f>CHOOSE(CONTROL!$C$42, 53.9193, 53.9193) * CHOOSE(CONTROL!$C$21, $C$9, 100%, $E$9)</f>
        <v>53.9193</v>
      </c>
      <c r="D800" s="10">
        <f>CHOOSE(CONTROL!$C$42, 54.1221, 54.1221) * CHOOSE(CONTROL!$C$21, $C$9, 100%, $E$9)</f>
        <v>54.122100000000003</v>
      </c>
      <c r="E800" s="10">
        <f>CHOOSE(CONTROL!$C$42, 54.1532, 54.1532) * CHOOSE(CONTROL!$C$21, $C$9, 100%, $E$9)</f>
        <v>54.153199999999998</v>
      </c>
      <c r="F800" s="10">
        <f>CHOOSE(CONTROL!$C$42, 53.8884, 53.8884)*CHOOSE(CONTROL!$C$21, $C$9, 100%, $E$9)</f>
        <v>53.888399999999997</v>
      </c>
      <c r="G800" s="10">
        <f>CHOOSE(CONTROL!$C$42, 53.9037, 53.9037)*CHOOSE(CONTROL!$C$21, $C$9, 100%, $E$9)</f>
        <v>53.903700000000001</v>
      </c>
      <c r="H800" s="10">
        <f>CHOOSE(CONTROL!$C$42, 54.1418, 54.1418) * CHOOSE(CONTROL!$C$21, $C$9, 100%, $E$9)</f>
        <v>54.141800000000003</v>
      </c>
      <c r="I800" s="10">
        <f>CHOOSE(CONTROL!$C$42, 53.9115, 53.9115)* CHOOSE(CONTROL!$C$21, $C$9, 100%, $E$9)</f>
        <v>53.911499999999997</v>
      </c>
      <c r="J800" s="10">
        <f>CHOOSE(CONTROL!$C$42, 53.8814, 53.8814)* CHOOSE(CONTROL!$C$21, $C$9, 100%, $E$9)</f>
        <v>53.881399999999999</v>
      </c>
      <c r="K800" s="53">
        <f>CHOOSE(CONTROL!$C$42, 53.9076, 53.9076) * CHOOSE(CONTROL!$C$21, $C$9, 100%, $E$9)</f>
        <v>53.907600000000002</v>
      </c>
      <c r="L800" s="10">
        <f>CHOOSE(CONTROL!$C$42, 54.7288, 54.7288) * CHOOSE(CONTROL!$C$21, $C$9, 100%, $E$9)</f>
        <v>54.7288</v>
      </c>
      <c r="M800" s="10">
        <f>CHOOSE(CONTROL!$C$42, 53.3514, 53.3514) * CHOOSE(CONTROL!$C$21, $C$9, 100%, $E$9)</f>
        <v>53.351399999999998</v>
      </c>
      <c r="N800" s="10">
        <f>CHOOSE(CONTROL!$C$42, 53.3666, 53.3666) * CHOOSE(CONTROL!$C$21, $C$9, 100%, $E$9)</f>
        <v>53.366599999999998</v>
      </c>
      <c r="O800" s="10">
        <f>CHOOSE(CONTROL!$C$42, 53.6093, 53.6093) * CHOOSE(CONTROL!$C$21, $C$9, 100%, $E$9)</f>
        <v>53.609299999999998</v>
      </c>
      <c r="P800" s="10">
        <f>CHOOSE(CONTROL!$C$42, 53.3813, 53.3813) * CHOOSE(CONTROL!$C$21, $C$9, 100%, $E$9)</f>
        <v>53.381300000000003</v>
      </c>
      <c r="Q800" s="10">
        <f>CHOOSE(CONTROL!$C$42, 54.2046, 54.2046) * CHOOSE(CONTROL!$C$21, $C$9, 100%, $E$9)</f>
        <v>54.204599999999999</v>
      </c>
      <c r="R800" s="10">
        <f>CHOOSE(CONTROL!$C$42, 54.9271, 54.9271) * CHOOSE(CONTROL!$C$21, $C$9, 100%, $E$9)</f>
        <v>54.927100000000003</v>
      </c>
      <c r="S800" s="10">
        <f>CHOOSE(CONTROL!$C$42, 52.3491, 52.3491) * CHOOSE(CONTROL!$C$21, $C$9, 100%, $E$9)</f>
        <v>52.3491</v>
      </c>
      <c r="T8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57">
        <f>(1000*CHOOSE(CONTROL!$C$42, 695, 695)*CHOOSE(CONTROL!$C$42, 0.5599, 0.5599)*CHOOSE(CONTROL!$C$42, 31, 31))/1000000</f>
        <v>12.063045499999998</v>
      </c>
      <c r="V800" s="57">
        <f>(1000*CHOOSE(CONTROL!$C$42, 500, 500)*CHOOSE(CONTROL!$C$42, 0.275, 0.275)*CHOOSE(CONTROL!$C$42, 31, 31))/1000000</f>
        <v>4.2625000000000002</v>
      </c>
      <c r="W800" s="57">
        <f>(1000*CHOOSE(CONTROL!$C$42, 0.1146, 0.1146)*CHOOSE(CONTROL!$C$42, 121.5, 121.5)*CHOOSE(CONTROL!$C$42, 31, 31))/1000000</f>
        <v>0.43164089999999994</v>
      </c>
      <c r="X800" s="57">
        <f>(31*0.1790888*245000/1000000)+(31*0.2374*100000/1000000)</f>
        <v>2.0961194359999999</v>
      </c>
      <c r="Y800" s="57"/>
      <c r="Z800" s="10"/>
      <c r="AA800" s="56"/>
      <c r="AB800" s="50">
        <f>(B800*194.205+C800*267.466+D800*133.845+E800*53.484+F800*40+G800*185+H800*0+I800*100+J800*300)/(194.205+267.466+133.845+53.484+0+40+185+100+300)</f>
        <v>53.936448708084775</v>
      </c>
      <c r="AC800" s="45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53.473466906474812</v>
      </c>
    </row>
    <row r="801" spans="1:29" ht="15.75" x14ac:dyDescent="0.25">
      <c r="A801" s="13">
        <v>65288</v>
      </c>
      <c r="B801" s="10">
        <f>CHOOSE(CONTROL!$C$42, 50.4887, 50.4887) * CHOOSE(CONTROL!$C$21, $C$9, 100%, $E$9)</f>
        <v>50.488700000000001</v>
      </c>
      <c r="C801" s="10">
        <f>CHOOSE(CONTROL!$C$42, 50.4966, 50.4966) * CHOOSE(CONTROL!$C$21, $C$9, 100%, $E$9)</f>
        <v>50.496600000000001</v>
      </c>
      <c r="D801" s="10">
        <f>CHOOSE(CONTROL!$C$42, 50.6993, 50.6993) * CHOOSE(CONTROL!$C$21, $C$9, 100%, $E$9)</f>
        <v>50.699300000000001</v>
      </c>
      <c r="E801" s="10">
        <f>CHOOSE(CONTROL!$C$42, 50.7305, 50.7305) * CHOOSE(CONTROL!$C$21, $C$9, 100%, $E$9)</f>
        <v>50.730499999999999</v>
      </c>
      <c r="F801" s="10">
        <f>CHOOSE(CONTROL!$C$42, 50.4655, 50.4655)*CHOOSE(CONTROL!$C$21, $C$9, 100%, $E$9)</f>
        <v>50.465499999999999</v>
      </c>
      <c r="G801" s="10">
        <f>CHOOSE(CONTROL!$C$42, 50.4808, 50.4808)*CHOOSE(CONTROL!$C$21, $C$9, 100%, $E$9)</f>
        <v>50.480800000000002</v>
      </c>
      <c r="H801" s="10">
        <f>CHOOSE(CONTROL!$C$42, 50.7191, 50.7191) * CHOOSE(CONTROL!$C$21, $C$9, 100%, $E$9)</f>
        <v>50.719099999999997</v>
      </c>
      <c r="I801" s="10">
        <f>CHOOSE(CONTROL!$C$42, 50.4887, 50.4887)* CHOOSE(CONTROL!$C$21, $C$9, 100%, $E$9)</f>
        <v>50.488700000000001</v>
      </c>
      <c r="J801" s="10">
        <f>CHOOSE(CONTROL!$C$42, 50.4585, 50.4585)* CHOOSE(CONTROL!$C$21, $C$9, 100%, $E$9)</f>
        <v>50.458500000000001</v>
      </c>
      <c r="K801" s="53">
        <f>CHOOSE(CONTROL!$C$42, 50.4848, 50.4848) * CHOOSE(CONTROL!$C$21, $C$9, 100%, $E$9)</f>
        <v>50.4848</v>
      </c>
      <c r="L801" s="10">
        <f>CHOOSE(CONTROL!$C$42, 51.3061, 51.3061) * CHOOSE(CONTROL!$C$21, $C$9, 100%, $E$9)</f>
        <v>51.306100000000001</v>
      </c>
      <c r="M801" s="10">
        <f>CHOOSE(CONTROL!$C$42, 49.9631, 49.9631) * CHOOSE(CONTROL!$C$21, $C$9, 100%, $E$9)</f>
        <v>49.963099999999997</v>
      </c>
      <c r="N801" s="10">
        <f>CHOOSE(CONTROL!$C$42, 49.9782, 49.9782) * CHOOSE(CONTROL!$C$21, $C$9, 100%, $E$9)</f>
        <v>49.978200000000001</v>
      </c>
      <c r="O801" s="10">
        <f>CHOOSE(CONTROL!$C$42, 50.2211, 50.2211) * CHOOSE(CONTROL!$C$21, $C$9, 100%, $E$9)</f>
        <v>50.2211</v>
      </c>
      <c r="P801" s="10">
        <f>CHOOSE(CONTROL!$C$42, 49.9931, 49.9931) * CHOOSE(CONTROL!$C$21, $C$9, 100%, $E$9)</f>
        <v>49.993099999999998</v>
      </c>
      <c r="Q801" s="10">
        <f>CHOOSE(CONTROL!$C$42, 50.8164, 50.8164) * CHOOSE(CONTROL!$C$21, $C$9, 100%, $E$9)</f>
        <v>50.816400000000002</v>
      </c>
      <c r="R801" s="10">
        <f>CHOOSE(CONTROL!$C$42, 51.5304, 51.5304) * CHOOSE(CONTROL!$C$21, $C$9, 100%, $E$9)</f>
        <v>51.5304</v>
      </c>
      <c r="S801" s="10">
        <f>CHOOSE(CONTROL!$C$42, 49.0253, 49.0253) * CHOOSE(CONTROL!$C$21, $C$9, 100%, $E$9)</f>
        <v>49.025300000000001</v>
      </c>
      <c r="T8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57">
        <f>(1000*CHOOSE(CONTROL!$C$42, 695, 695)*CHOOSE(CONTROL!$C$42, 0.5599, 0.5599)*CHOOSE(CONTROL!$C$42, 30, 30))/1000000</f>
        <v>11.673914999999997</v>
      </c>
      <c r="V801" s="57">
        <f>(1000*CHOOSE(CONTROL!$C$42, 500, 500)*CHOOSE(CONTROL!$C$42, 0.275, 0.275)*CHOOSE(CONTROL!$C$42, 30, 30))/1000000</f>
        <v>4.125</v>
      </c>
      <c r="W801" s="57">
        <f>(1000*CHOOSE(CONTROL!$C$42, 0.1146, 0.1146)*CHOOSE(CONTROL!$C$42, 121.5, 121.5)*CHOOSE(CONTROL!$C$42, 30, 30))/1000000</f>
        <v>0.417717</v>
      </c>
      <c r="X801" s="57">
        <f>(30*0.1790888*245000/1000000)+(30*0.2374*100000/1000000)</f>
        <v>2.0285026799999999</v>
      </c>
      <c r="Y801" s="57"/>
      <c r="Z801" s="10"/>
      <c r="AA801" s="56"/>
      <c r="AB801" s="50">
        <f>(B801*194.205+C801*267.466+D801*133.845+E801*53.484+F801*40+G801*185+H801*0+I801*100+J801*300)/(194.205+267.466+133.845+53.484+0+40+185+100+300)</f>
        <v>50.513647935321828</v>
      </c>
      <c r="AC801" s="45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50.085220863309345</v>
      </c>
    </row>
    <row r="802" spans="1:29" ht="15.75" x14ac:dyDescent="0.25">
      <c r="A802" s="13">
        <v>65319</v>
      </c>
      <c r="B802" s="10">
        <f>CHOOSE(CONTROL!$C$42, 49.4619, 49.4619) * CHOOSE(CONTROL!$C$21, $C$9, 100%, $E$9)</f>
        <v>49.4619</v>
      </c>
      <c r="C802" s="10">
        <f>CHOOSE(CONTROL!$C$42, 49.4671, 49.4671) * CHOOSE(CONTROL!$C$21, $C$9, 100%, $E$9)</f>
        <v>49.467100000000002</v>
      </c>
      <c r="D802" s="10">
        <f>CHOOSE(CONTROL!$C$42, 49.6748, 49.6748) * CHOOSE(CONTROL!$C$21, $C$9, 100%, $E$9)</f>
        <v>49.674799999999998</v>
      </c>
      <c r="E802" s="10">
        <f>CHOOSE(CONTROL!$C$42, 49.7036, 49.7036) * CHOOSE(CONTROL!$C$21, $C$9, 100%, $E$9)</f>
        <v>49.703600000000002</v>
      </c>
      <c r="F802" s="10">
        <f>CHOOSE(CONTROL!$C$42, 49.4406, 49.4406)*CHOOSE(CONTROL!$C$21, $C$9, 100%, $E$9)</f>
        <v>49.440600000000003</v>
      </c>
      <c r="G802" s="10">
        <f>CHOOSE(CONTROL!$C$42, 49.4555, 49.4555)*CHOOSE(CONTROL!$C$21, $C$9, 100%, $E$9)</f>
        <v>49.455500000000001</v>
      </c>
      <c r="H802" s="10">
        <f>CHOOSE(CONTROL!$C$42, 49.6941, 49.6941) * CHOOSE(CONTROL!$C$21, $C$9, 100%, $E$9)</f>
        <v>49.694099999999999</v>
      </c>
      <c r="I802" s="10">
        <f>CHOOSE(CONTROL!$C$42, 49.4637, 49.4637)* CHOOSE(CONTROL!$C$21, $C$9, 100%, $E$9)</f>
        <v>49.463700000000003</v>
      </c>
      <c r="J802" s="10">
        <f>CHOOSE(CONTROL!$C$42, 49.4336, 49.4336)* CHOOSE(CONTROL!$C$21, $C$9, 100%, $E$9)</f>
        <v>49.433599999999998</v>
      </c>
      <c r="K802" s="53">
        <f>CHOOSE(CONTROL!$C$42, 49.4598, 49.4598) * CHOOSE(CONTROL!$C$21, $C$9, 100%, $E$9)</f>
        <v>49.459800000000001</v>
      </c>
      <c r="L802" s="10">
        <f>CHOOSE(CONTROL!$C$42, 50.2811, 50.2811) * CHOOSE(CONTROL!$C$21, $C$9, 100%, $E$9)</f>
        <v>50.281100000000002</v>
      </c>
      <c r="M802" s="10">
        <f>CHOOSE(CONTROL!$C$42, 48.9486, 48.9486) * CHOOSE(CONTROL!$C$21, $C$9, 100%, $E$9)</f>
        <v>48.948599999999999</v>
      </c>
      <c r="N802" s="10">
        <f>CHOOSE(CONTROL!$C$42, 48.9634, 48.9634) * CHOOSE(CONTROL!$C$21, $C$9, 100%, $E$9)</f>
        <v>48.9634</v>
      </c>
      <c r="O802" s="10">
        <f>CHOOSE(CONTROL!$C$42, 49.2064, 49.2064) * CHOOSE(CONTROL!$C$21, $C$9, 100%, $E$9)</f>
        <v>49.206400000000002</v>
      </c>
      <c r="P802" s="10">
        <f>CHOOSE(CONTROL!$C$42, 48.9784, 48.9784) * CHOOSE(CONTROL!$C$21, $C$9, 100%, $E$9)</f>
        <v>48.978400000000001</v>
      </c>
      <c r="Q802" s="10">
        <f>CHOOSE(CONTROL!$C$42, 49.8017, 49.8017) * CHOOSE(CONTROL!$C$21, $C$9, 100%, $E$9)</f>
        <v>49.801699999999997</v>
      </c>
      <c r="R802" s="10">
        <f>CHOOSE(CONTROL!$C$42, 50.5132, 50.5132) * CHOOSE(CONTROL!$C$21, $C$9, 100%, $E$9)</f>
        <v>50.513199999999998</v>
      </c>
      <c r="S802" s="10">
        <f>CHOOSE(CONTROL!$C$42, 48.0299, 48.0299) * CHOOSE(CONTROL!$C$21, $C$9, 100%, $E$9)</f>
        <v>48.029899999999998</v>
      </c>
      <c r="T8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57">
        <f>(1000*CHOOSE(CONTROL!$C$42, 695, 695)*CHOOSE(CONTROL!$C$42, 0.5599, 0.5599)*CHOOSE(CONTROL!$C$42, 31, 31))/1000000</f>
        <v>12.063045499999998</v>
      </c>
      <c r="V802" s="57">
        <f>(1000*CHOOSE(CONTROL!$C$42, 500, 500)*CHOOSE(CONTROL!$C$42, 0.275, 0.275)*CHOOSE(CONTROL!$C$42, 31, 31))/1000000</f>
        <v>4.2625000000000002</v>
      </c>
      <c r="W802" s="57">
        <f>(1000*CHOOSE(CONTROL!$C$42, 0.1146, 0.1146)*CHOOSE(CONTROL!$C$42, 121.5, 121.5)*CHOOSE(CONTROL!$C$42, 31, 31))/1000000</f>
        <v>0.43164089999999994</v>
      </c>
      <c r="X802" s="57">
        <f>(31*0.1790888*245000/1000000)+(31*0.2374*100000/1000000)</f>
        <v>2.0961194359999999</v>
      </c>
      <c r="Y802" s="57"/>
      <c r="Z802" s="10"/>
      <c r="AA802" s="56"/>
      <c r="AB802" s="50">
        <f>(B802*131.881+C802*277.167+D802*79.08+E802*125.872+F802*40+G802*185+H802*0+I802*100+J802*300)/(131.881+277.167+79.08+125.872+0+40+185+100+300)</f>
        <v>49.492856144309933</v>
      </c>
      <c r="AC802" s="45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49.070584172661867</v>
      </c>
    </row>
    <row r="803" spans="1:29" ht="15.75" x14ac:dyDescent="0.25">
      <c r="A803" s="13">
        <v>65349</v>
      </c>
      <c r="B803" s="10">
        <f>CHOOSE(CONTROL!$C$42, 50.7644, 50.7644) * CHOOSE(CONTROL!$C$21, $C$9, 100%, $E$9)</f>
        <v>50.764400000000002</v>
      </c>
      <c r="C803" s="10">
        <f>CHOOSE(CONTROL!$C$42, 50.7694, 50.7694) * CHOOSE(CONTROL!$C$21, $C$9, 100%, $E$9)</f>
        <v>50.769399999999997</v>
      </c>
      <c r="D803" s="10">
        <f>CHOOSE(CONTROL!$C$42, 50.8299, 50.8299) * CHOOSE(CONTROL!$C$21, $C$9, 100%, $E$9)</f>
        <v>50.829900000000002</v>
      </c>
      <c r="E803" s="10">
        <f>CHOOSE(CONTROL!$C$42, 50.8637, 50.8637) * CHOOSE(CONTROL!$C$21, $C$9, 100%, $E$9)</f>
        <v>50.863700000000001</v>
      </c>
      <c r="F803" s="10">
        <f>CHOOSE(CONTROL!$C$42, 50.7601, 50.7601)*CHOOSE(CONTROL!$C$21, $C$9, 100%, $E$9)</f>
        <v>50.760100000000001</v>
      </c>
      <c r="G803" s="10">
        <f>CHOOSE(CONTROL!$C$42, 50.7753, 50.7753)*CHOOSE(CONTROL!$C$21, $C$9, 100%, $E$9)</f>
        <v>50.775300000000001</v>
      </c>
      <c r="H803" s="10">
        <f>CHOOSE(CONTROL!$C$42, 50.8529, 50.8529) * CHOOSE(CONTROL!$C$21, $C$9, 100%, $E$9)</f>
        <v>50.852899999999998</v>
      </c>
      <c r="I803" s="10">
        <f>CHOOSE(CONTROL!$C$42, 50.777, 50.777)* CHOOSE(CONTROL!$C$21, $C$9, 100%, $E$9)</f>
        <v>50.777000000000001</v>
      </c>
      <c r="J803" s="10">
        <f>CHOOSE(CONTROL!$C$42, 50.7531, 50.7531)* CHOOSE(CONTROL!$C$21, $C$9, 100%, $E$9)</f>
        <v>50.753100000000003</v>
      </c>
      <c r="K803" s="53">
        <f>CHOOSE(CONTROL!$C$42, 50.7731, 50.7731) * CHOOSE(CONTROL!$C$21, $C$9, 100%, $E$9)</f>
        <v>50.773099999999999</v>
      </c>
      <c r="L803" s="10">
        <f>CHOOSE(CONTROL!$C$42, 51.4399, 51.4399) * CHOOSE(CONTROL!$C$21, $C$9, 100%, $E$9)</f>
        <v>51.439900000000002</v>
      </c>
      <c r="M803" s="10">
        <f>CHOOSE(CONTROL!$C$42, 50.2547, 50.2547) * CHOOSE(CONTROL!$C$21, $C$9, 100%, $E$9)</f>
        <v>50.2547</v>
      </c>
      <c r="N803" s="10">
        <f>CHOOSE(CONTROL!$C$42, 50.2698, 50.2698) * CHOOSE(CONTROL!$C$21, $C$9, 100%, $E$9)</f>
        <v>50.269799999999996</v>
      </c>
      <c r="O803" s="10">
        <f>CHOOSE(CONTROL!$C$42, 50.3535, 50.3535) * CHOOSE(CONTROL!$C$21, $C$9, 100%, $E$9)</f>
        <v>50.353499999999997</v>
      </c>
      <c r="P803" s="10">
        <f>CHOOSE(CONTROL!$C$42, 50.2784, 50.2784) * CHOOSE(CONTROL!$C$21, $C$9, 100%, $E$9)</f>
        <v>50.278399999999998</v>
      </c>
      <c r="Q803" s="10">
        <f>CHOOSE(CONTROL!$C$42, 50.9488, 50.9488) * CHOOSE(CONTROL!$C$21, $C$9, 100%, $E$9)</f>
        <v>50.948799999999999</v>
      </c>
      <c r="R803" s="10">
        <f>CHOOSE(CONTROL!$C$42, 51.6632, 51.6632) * CHOOSE(CONTROL!$C$21, $C$9, 100%, $E$9)</f>
        <v>51.663200000000003</v>
      </c>
      <c r="S803" s="10">
        <f>CHOOSE(CONTROL!$C$42, 49.2952, 49.2952) * CHOOSE(CONTROL!$C$21, $C$9, 100%, $E$9)</f>
        <v>49.295200000000001</v>
      </c>
      <c r="T8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57">
        <f>(1000*CHOOSE(CONTROL!$C$42, 695, 695)*CHOOSE(CONTROL!$C$42, 0.5599, 0.5599)*CHOOSE(CONTROL!$C$42, 30, 30))/1000000</f>
        <v>11.673914999999997</v>
      </c>
      <c r="V803" s="57">
        <f>(1000*CHOOSE(CONTROL!$C$42, 500, 500)*CHOOSE(CONTROL!$C$42, 0.275, 0.275)*CHOOSE(CONTROL!$C$42, 30, 30))/1000000</f>
        <v>4.125</v>
      </c>
      <c r="W803" s="57">
        <f>(1000*CHOOSE(CONTROL!$C$42, 0.1146, 0.1146)*CHOOSE(CONTROL!$C$42, 121.5, 121.5)*CHOOSE(CONTROL!$C$42, 30, 30))/1000000</f>
        <v>0.417717</v>
      </c>
      <c r="X803" s="57">
        <f>(30*0.1790888*100000/1000000)+(30*0.2374*100000/1000000)</f>
        <v>1.2494664</v>
      </c>
      <c r="Y803" s="57"/>
      <c r="Z803" s="10"/>
      <c r="AA803" s="56"/>
      <c r="AB803" s="50">
        <f>(B803*122.58+C803*297.941+D803*89.177+E803*40.302+F803*40+G803*160+H803*0+I803*100+J803*300)/(122.58+297.941+89.177+40.302+0+40+160+100+300)</f>
        <v>50.773769380086954</v>
      </c>
      <c r="AC803" s="45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50.303758992805761</v>
      </c>
    </row>
    <row r="804" spans="1:29" ht="15.75" x14ac:dyDescent="0.25">
      <c r="A804" s="13">
        <v>65380</v>
      </c>
      <c r="B804" s="10">
        <f>CHOOSE(CONTROL!$C$42, 54.2253, 54.2253) * CHOOSE(CONTROL!$C$21, $C$9, 100%, $E$9)</f>
        <v>54.225299999999997</v>
      </c>
      <c r="C804" s="10">
        <f>CHOOSE(CONTROL!$C$42, 54.2303, 54.2303) * CHOOSE(CONTROL!$C$21, $C$9, 100%, $E$9)</f>
        <v>54.2303</v>
      </c>
      <c r="D804" s="10">
        <f>CHOOSE(CONTROL!$C$42, 54.2908, 54.2908) * CHOOSE(CONTROL!$C$21, $C$9, 100%, $E$9)</f>
        <v>54.290799999999997</v>
      </c>
      <c r="E804" s="10">
        <f>CHOOSE(CONTROL!$C$42, 54.3246, 54.3246) * CHOOSE(CONTROL!$C$21, $C$9, 100%, $E$9)</f>
        <v>54.324599999999997</v>
      </c>
      <c r="F804" s="10">
        <f>CHOOSE(CONTROL!$C$42, 54.2228, 54.2228)*CHOOSE(CONTROL!$C$21, $C$9, 100%, $E$9)</f>
        <v>54.222799999999999</v>
      </c>
      <c r="G804" s="10">
        <f>CHOOSE(CONTROL!$C$42, 54.2385, 54.2385)*CHOOSE(CONTROL!$C$21, $C$9, 100%, $E$9)</f>
        <v>54.238500000000002</v>
      </c>
      <c r="H804" s="10">
        <f>CHOOSE(CONTROL!$C$42, 54.3138, 54.3138) * CHOOSE(CONTROL!$C$21, $C$9, 100%, $E$9)</f>
        <v>54.313800000000001</v>
      </c>
      <c r="I804" s="10">
        <f>CHOOSE(CONTROL!$C$42, 54.2378, 54.2378)* CHOOSE(CONTROL!$C$21, $C$9, 100%, $E$9)</f>
        <v>54.2378</v>
      </c>
      <c r="J804" s="10">
        <f>CHOOSE(CONTROL!$C$42, 54.2158, 54.2158)* CHOOSE(CONTROL!$C$21, $C$9, 100%, $E$9)</f>
        <v>54.215800000000002</v>
      </c>
      <c r="K804" s="53">
        <f>CHOOSE(CONTROL!$C$42, 54.234, 54.234) * CHOOSE(CONTROL!$C$21, $C$9, 100%, $E$9)</f>
        <v>54.234000000000002</v>
      </c>
      <c r="L804" s="10">
        <f>CHOOSE(CONTROL!$C$42, 54.9008, 54.9008) * CHOOSE(CONTROL!$C$21, $C$9, 100%, $E$9)</f>
        <v>54.900799999999997</v>
      </c>
      <c r="M804" s="10">
        <f>CHOOSE(CONTROL!$C$42, 53.6825, 53.6825) * CHOOSE(CONTROL!$C$21, $C$9, 100%, $E$9)</f>
        <v>53.682499999999997</v>
      </c>
      <c r="N804" s="10">
        <f>CHOOSE(CONTROL!$C$42, 53.698, 53.698) * CHOOSE(CONTROL!$C$21, $C$9, 100%, $E$9)</f>
        <v>53.698</v>
      </c>
      <c r="O804" s="10">
        <f>CHOOSE(CONTROL!$C$42, 53.7795, 53.7795) * CHOOSE(CONTROL!$C$21, $C$9, 100%, $E$9)</f>
        <v>53.779499999999999</v>
      </c>
      <c r="P804" s="10">
        <f>CHOOSE(CONTROL!$C$42, 53.7044, 53.7044) * CHOOSE(CONTROL!$C$21, $C$9, 100%, $E$9)</f>
        <v>53.7044</v>
      </c>
      <c r="Q804" s="10">
        <f>CHOOSE(CONTROL!$C$42, 54.3748, 54.3748) * CHOOSE(CONTROL!$C$21, $C$9, 100%, $E$9)</f>
        <v>54.3748</v>
      </c>
      <c r="R804" s="10">
        <f>CHOOSE(CONTROL!$C$42, 55.0977, 55.0977) * CHOOSE(CONTROL!$C$21, $C$9, 100%, $E$9)</f>
        <v>55.097700000000003</v>
      </c>
      <c r="S804" s="10">
        <f>CHOOSE(CONTROL!$C$42, 52.6561, 52.6561) * CHOOSE(CONTROL!$C$21, $C$9, 100%, $E$9)</f>
        <v>52.656100000000002</v>
      </c>
      <c r="T8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57">
        <f>(1000*CHOOSE(CONTROL!$C$42, 695, 695)*CHOOSE(CONTROL!$C$42, 0.5599, 0.5599)*CHOOSE(CONTROL!$C$42, 31, 31))/1000000</f>
        <v>12.063045499999998</v>
      </c>
      <c r="V804" s="57">
        <f>(1000*CHOOSE(CONTROL!$C$42, 500, 500)*CHOOSE(CONTROL!$C$42, 0.275, 0.275)*CHOOSE(CONTROL!$C$42, 31, 31))/1000000</f>
        <v>4.2625000000000002</v>
      </c>
      <c r="W804" s="57">
        <f>(1000*CHOOSE(CONTROL!$C$42, 0.1146, 0.1146)*CHOOSE(CONTROL!$C$42, 121.5, 121.5)*CHOOSE(CONTROL!$C$42, 31, 31))/1000000</f>
        <v>0.43164089999999994</v>
      </c>
      <c r="X804" s="57">
        <f>(31*0.1790888*100000/1000000)+(31*0.2374*100000/1000000)</f>
        <v>1.2911152800000001</v>
      </c>
      <c r="Y804" s="57"/>
      <c r="Z804" s="10"/>
      <c r="AA804" s="56"/>
      <c r="AB804" s="50">
        <f>(B804*122.58+C804*297.941+D804*89.177+E804*40.302+F804*40+G804*160+H804*0+I804*100+J804*300)/(122.58+297.941+89.177+40.302+0+40+160+100+300)</f>
        <v>54.235512858347825</v>
      </c>
      <c r="AC804" s="45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53.730507194244602</v>
      </c>
    </row>
    <row r="805" spans="1:29" ht="15.75" x14ac:dyDescent="0.25">
      <c r="A805" s="13">
        <v>65411</v>
      </c>
      <c r="B805" s="10">
        <f>CHOOSE(CONTROL!$C$42, 58.6682, 58.6682) * CHOOSE(CONTROL!$C$21, $C$9, 100%, $E$9)</f>
        <v>58.668199999999999</v>
      </c>
      <c r="C805" s="10">
        <f>CHOOSE(CONTROL!$C$42, 58.6731, 58.6731) * CHOOSE(CONTROL!$C$21, $C$9, 100%, $E$9)</f>
        <v>58.673099999999998</v>
      </c>
      <c r="D805" s="10">
        <f>CHOOSE(CONTROL!$C$42, 58.7302, 58.7302) * CHOOSE(CONTROL!$C$21, $C$9, 100%, $E$9)</f>
        <v>58.730200000000004</v>
      </c>
      <c r="E805" s="10">
        <f>CHOOSE(CONTROL!$C$42, 58.764, 58.764) * CHOOSE(CONTROL!$C$21, $C$9, 100%, $E$9)</f>
        <v>58.764000000000003</v>
      </c>
      <c r="F805" s="10">
        <f>CHOOSE(CONTROL!$C$42, 58.666, 58.666)*CHOOSE(CONTROL!$C$21, $C$9, 100%, $E$9)</f>
        <v>58.665999999999997</v>
      </c>
      <c r="G805" s="10">
        <f>CHOOSE(CONTROL!$C$42, 58.6806, 58.6806)*CHOOSE(CONTROL!$C$21, $C$9, 100%, $E$9)</f>
        <v>58.680599999999998</v>
      </c>
      <c r="H805" s="10">
        <f>CHOOSE(CONTROL!$C$42, 58.7531, 58.7531) * CHOOSE(CONTROL!$C$21, $C$9, 100%, $E$9)</f>
        <v>58.753100000000003</v>
      </c>
      <c r="I805" s="10">
        <f>CHOOSE(CONTROL!$C$42, 58.6789, 58.6789)* CHOOSE(CONTROL!$C$21, $C$9, 100%, $E$9)</f>
        <v>58.678899999999999</v>
      </c>
      <c r="J805" s="10">
        <f>CHOOSE(CONTROL!$C$42, 58.659, 58.659)* CHOOSE(CONTROL!$C$21, $C$9, 100%, $E$9)</f>
        <v>58.658999999999999</v>
      </c>
      <c r="K805" s="53">
        <f>CHOOSE(CONTROL!$C$42, 58.6751, 58.6751) * CHOOSE(CONTROL!$C$21, $C$9, 100%, $E$9)</f>
        <v>58.6751</v>
      </c>
      <c r="L805" s="10">
        <f>CHOOSE(CONTROL!$C$42, 59.3401, 59.3401) * CHOOSE(CONTROL!$C$21, $C$9, 100%, $E$9)</f>
        <v>59.3401</v>
      </c>
      <c r="M805" s="10">
        <f>CHOOSE(CONTROL!$C$42, 58.0808, 58.0808) * CHOOSE(CONTROL!$C$21, $C$9, 100%, $E$9)</f>
        <v>58.080800000000004</v>
      </c>
      <c r="N805" s="10">
        <f>CHOOSE(CONTROL!$C$42, 58.0953, 58.0953) * CHOOSE(CONTROL!$C$21, $C$9, 100%, $E$9)</f>
        <v>58.095300000000002</v>
      </c>
      <c r="O805" s="10">
        <f>CHOOSE(CONTROL!$C$42, 58.1741, 58.1741) * CHOOSE(CONTROL!$C$21, $C$9, 100%, $E$9)</f>
        <v>58.174100000000003</v>
      </c>
      <c r="P805" s="10">
        <f>CHOOSE(CONTROL!$C$42, 58.1006, 58.1006) * CHOOSE(CONTROL!$C$21, $C$9, 100%, $E$9)</f>
        <v>58.1006</v>
      </c>
      <c r="Q805" s="10">
        <f>CHOOSE(CONTROL!$C$42, 58.7694, 58.7694) * CHOOSE(CONTROL!$C$21, $C$9, 100%, $E$9)</f>
        <v>58.769399999999997</v>
      </c>
      <c r="R805" s="10">
        <f>CHOOSE(CONTROL!$C$42, 59.5033, 59.5033) * CHOOSE(CONTROL!$C$21, $C$9, 100%, $E$9)</f>
        <v>59.503300000000003</v>
      </c>
      <c r="S805" s="10">
        <f>CHOOSE(CONTROL!$C$42, 56.9705, 56.9705) * CHOOSE(CONTROL!$C$21, $C$9, 100%, $E$9)</f>
        <v>56.970500000000001</v>
      </c>
      <c r="T8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57">
        <f>(1000*CHOOSE(CONTROL!$C$42, 695, 695)*CHOOSE(CONTROL!$C$42, 0.5599, 0.5599)*CHOOSE(CONTROL!$C$42, 31, 31))/1000000</f>
        <v>12.063045499999998</v>
      </c>
      <c r="V805" s="57">
        <f>(1000*CHOOSE(CONTROL!$C$42, 500, 500)*CHOOSE(CONTROL!$C$42, 0.275, 0.275)*CHOOSE(CONTROL!$C$42, 31, 31))/1000000</f>
        <v>4.2625000000000002</v>
      </c>
      <c r="W805" s="57">
        <f>(1000*CHOOSE(CONTROL!$C$42, 0.1146, 0.1146)*CHOOSE(CONTROL!$C$42, 121.5, 121.5)*CHOOSE(CONTROL!$C$42, 31, 31))/1000000</f>
        <v>0.43164089999999994</v>
      </c>
      <c r="X805" s="57">
        <f>(31*0.1790888*100000/1000000)+(31*0.2374*100000/1000000)</f>
        <v>1.2911152800000001</v>
      </c>
      <c r="Y805" s="57"/>
      <c r="Z805" s="10"/>
      <c r="AA805" s="56"/>
      <c r="AB805" s="50">
        <f>(B805*122.58+C805*297.941+D805*89.177+E805*40.302+F805*40+G805*160+H805*0+I805*100+J805*300)/(122.58+297.941+89.177+40.302+0+40+160+100+300)</f>
        <v>58.677813753478262</v>
      </c>
      <c r="AC805" s="45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58.126770503597129</v>
      </c>
    </row>
    <row r="806" spans="1:29" ht="15.75" x14ac:dyDescent="0.25">
      <c r="A806" s="13">
        <v>65439</v>
      </c>
      <c r="B806" s="10">
        <f>CHOOSE(CONTROL!$C$42, 59.7125, 59.7125) * CHOOSE(CONTROL!$C$21, $C$9, 100%, $E$9)</f>
        <v>59.712499999999999</v>
      </c>
      <c r="C806" s="10">
        <f>CHOOSE(CONTROL!$C$42, 59.7174, 59.7174) * CHOOSE(CONTROL!$C$21, $C$9, 100%, $E$9)</f>
        <v>59.717399999999998</v>
      </c>
      <c r="D806" s="10">
        <f>CHOOSE(CONTROL!$C$42, 59.7745, 59.7745) * CHOOSE(CONTROL!$C$21, $C$9, 100%, $E$9)</f>
        <v>59.774500000000003</v>
      </c>
      <c r="E806" s="10">
        <f>CHOOSE(CONTROL!$C$42, 59.8083, 59.8083) * CHOOSE(CONTROL!$C$21, $C$9, 100%, $E$9)</f>
        <v>59.808300000000003</v>
      </c>
      <c r="F806" s="10">
        <f>CHOOSE(CONTROL!$C$42, 59.7104, 59.7104)*CHOOSE(CONTROL!$C$21, $C$9, 100%, $E$9)</f>
        <v>59.7104</v>
      </c>
      <c r="G806" s="10">
        <f>CHOOSE(CONTROL!$C$42, 59.7251, 59.7251)*CHOOSE(CONTROL!$C$21, $C$9, 100%, $E$9)</f>
        <v>59.725099999999998</v>
      </c>
      <c r="H806" s="10">
        <f>CHOOSE(CONTROL!$C$42, 59.7975, 59.7975) * CHOOSE(CONTROL!$C$21, $C$9, 100%, $E$9)</f>
        <v>59.797499999999999</v>
      </c>
      <c r="I806" s="10">
        <f>CHOOSE(CONTROL!$C$42, 59.7233, 59.7233)* CHOOSE(CONTROL!$C$21, $C$9, 100%, $E$9)</f>
        <v>59.723300000000002</v>
      </c>
      <c r="J806" s="10">
        <f>CHOOSE(CONTROL!$C$42, 59.7034, 59.7034)* CHOOSE(CONTROL!$C$21, $C$9, 100%, $E$9)</f>
        <v>59.703400000000002</v>
      </c>
      <c r="K806" s="53">
        <f>CHOOSE(CONTROL!$C$42, 59.7194, 59.7194) * CHOOSE(CONTROL!$C$21, $C$9, 100%, $E$9)</f>
        <v>59.7194</v>
      </c>
      <c r="L806" s="10">
        <f>CHOOSE(CONTROL!$C$42, 60.3845, 60.3845) * CHOOSE(CONTROL!$C$21, $C$9, 100%, $E$9)</f>
        <v>60.384500000000003</v>
      </c>
      <c r="M806" s="10">
        <f>CHOOSE(CONTROL!$C$42, 59.1147, 59.1147) * CHOOSE(CONTROL!$C$21, $C$9, 100%, $E$9)</f>
        <v>59.114699999999999</v>
      </c>
      <c r="N806" s="10">
        <f>CHOOSE(CONTROL!$C$42, 59.1292, 59.1292) * CHOOSE(CONTROL!$C$21, $C$9, 100%, $E$9)</f>
        <v>59.129199999999997</v>
      </c>
      <c r="O806" s="10">
        <f>CHOOSE(CONTROL!$C$42, 59.2078, 59.2078) * CHOOSE(CONTROL!$C$21, $C$9, 100%, $E$9)</f>
        <v>59.207799999999999</v>
      </c>
      <c r="P806" s="10">
        <f>CHOOSE(CONTROL!$C$42, 59.1344, 59.1344) * CHOOSE(CONTROL!$C$21, $C$9, 100%, $E$9)</f>
        <v>59.134399999999999</v>
      </c>
      <c r="Q806" s="10">
        <f>CHOOSE(CONTROL!$C$42, 59.8031, 59.8031) * CHOOSE(CONTROL!$C$21, $C$9, 100%, $E$9)</f>
        <v>59.803100000000001</v>
      </c>
      <c r="R806" s="10">
        <f>CHOOSE(CONTROL!$C$42, 60.5396, 60.5396) * CHOOSE(CONTROL!$C$21, $C$9, 100%, $E$9)</f>
        <v>60.5396</v>
      </c>
      <c r="S806" s="10">
        <f>CHOOSE(CONTROL!$C$42, 57.9847, 57.9847) * CHOOSE(CONTROL!$C$21, $C$9, 100%, $E$9)</f>
        <v>57.984699999999997</v>
      </c>
      <c r="T8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06" s="57">
        <f>(1000*CHOOSE(CONTROL!$C$42, 695, 695)*CHOOSE(CONTROL!$C$42, 0.5599, 0.5599)*CHOOSE(CONTROL!$C$42, 28, 28))/1000000</f>
        <v>10.895653999999999</v>
      </c>
      <c r="V806" s="57">
        <f>(1000*CHOOSE(CONTROL!$C$42, 500, 500)*CHOOSE(CONTROL!$C$42, 0.275, 0.275)*CHOOSE(CONTROL!$C$42, 28, 28))/1000000</f>
        <v>3.85</v>
      </c>
      <c r="W806" s="57">
        <f>(1000*CHOOSE(CONTROL!$C$42, 0.1146, 0.1146)*CHOOSE(CONTROL!$C$42, 121.5, 121.5)*CHOOSE(CONTROL!$C$42, 28, 28))/1000000</f>
        <v>0.38986920000000003</v>
      </c>
      <c r="X806" s="57">
        <f>(28*0.1790888*100000/1000000)+(28*0.2374*100000/1000000)</f>
        <v>1.16616864</v>
      </c>
      <c r="Y806" s="57"/>
      <c r="Z806" s="10"/>
      <c r="AA806" s="56"/>
      <c r="AB806" s="50">
        <f>(B806*122.58+C806*297.941+D806*89.177+E806*40.302+F806*40+G806*160+H806*0+I806*100+J806*300)/(122.58+297.941+89.177+40.302+0+40+160+100+300)</f>
        <v>59.722179840434784</v>
      </c>
      <c r="AC806" s="45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59.160565467625901</v>
      </c>
    </row>
    <row r="807" spans="1:29" ht="15.75" x14ac:dyDescent="0.25">
      <c r="A807" s="13">
        <v>65470</v>
      </c>
      <c r="B807" s="10">
        <f>CHOOSE(CONTROL!$C$42, 58.0173, 58.0173) * CHOOSE(CONTROL!$C$21, $C$9, 100%, $E$9)</f>
        <v>58.017299999999999</v>
      </c>
      <c r="C807" s="10">
        <f>CHOOSE(CONTROL!$C$42, 58.0222, 58.0222) * CHOOSE(CONTROL!$C$21, $C$9, 100%, $E$9)</f>
        <v>58.022199999999998</v>
      </c>
      <c r="D807" s="10">
        <f>CHOOSE(CONTROL!$C$42, 58.0793, 58.0793) * CHOOSE(CONTROL!$C$21, $C$9, 100%, $E$9)</f>
        <v>58.079300000000003</v>
      </c>
      <c r="E807" s="10">
        <f>CHOOSE(CONTROL!$C$42, 58.1131, 58.1131) * CHOOSE(CONTROL!$C$21, $C$9, 100%, $E$9)</f>
        <v>58.113100000000003</v>
      </c>
      <c r="F807" s="10">
        <f>CHOOSE(CONTROL!$C$42, 58.0151, 58.0151)*CHOOSE(CONTROL!$C$21, $C$9, 100%, $E$9)</f>
        <v>58.015099999999997</v>
      </c>
      <c r="G807" s="10">
        <f>CHOOSE(CONTROL!$C$42, 58.0297, 58.0297)*CHOOSE(CONTROL!$C$21, $C$9, 100%, $E$9)</f>
        <v>58.029699999999998</v>
      </c>
      <c r="H807" s="10">
        <f>CHOOSE(CONTROL!$C$42, 58.1023, 58.1023) * CHOOSE(CONTROL!$C$21, $C$9, 100%, $E$9)</f>
        <v>58.1023</v>
      </c>
      <c r="I807" s="10">
        <f>CHOOSE(CONTROL!$C$42, 58.0281, 58.0281)* CHOOSE(CONTROL!$C$21, $C$9, 100%, $E$9)</f>
        <v>58.028100000000002</v>
      </c>
      <c r="J807" s="10">
        <f>CHOOSE(CONTROL!$C$42, 58.0081, 58.0081)* CHOOSE(CONTROL!$C$21, $C$9, 100%, $E$9)</f>
        <v>58.008099999999999</v>
      </c>
      <c r="K807" s="53">
        <f>CHOOSE(CONTROL!$C$42, 58.0242, 58.0242) * CHOOSE(CONTROL!$C$21, $C$9, 100%, $E$9)</f>
        <v>58.0242</v>
      </c>
      <c r="L807" s="10">
        <f>CHOOSE(CONTROL!$C$42, 58.6893, 58.6893) * CHOOSE(CONTROL!$C$21, $C$9, 100%, $E$9)</f>
        <v>58.689300000000003</v>
      </c>
      <c r="M807" s="10">
        <f>CHOOSE(CONTROL!$C$42, 57.4365, 57.4365) * CHOOSE(CONTROL!$C$21, $C$9, 100%, $E$9)</f>
        <v>57.436500000000002</v>
      </c>
      <c r="N807" s="10">
        <f>CHOOSE(CONTROL!$C$42, 57.451, 57.451) * CHOOSE(CONTROL!$C$21, $C$9, 100%, $E$9)</f>
        <v>57.451000000000001</v>
      </c>
      <c r="O807" s="10">
        <f>CHOOSE(CONTROL!$C$42, 57.5298, 57.5298) * CHOOSE(CONTROL!$C$21, $C$9, 100%, $E$9)</f>
        <v>57.529800000000002</v>
      </c>
      <c r="P807" s="10">
        <f>CHOOSE(CONTROL!$C$42, 57.4563, 57.4563) * CHOOSE(CONTROL!$C$21, $C$9, 100%, $E$9)</f>
        <v>57.456299999999999</v>
      </c>
      <c r="Q807" s="10">
        <f>CHOOSE(CONTROL!$C$42, 58.1251, 58.1251) * CHOOSE(CONTROL!$C$21, $C$9, 100%, $E$9)</f>
        <v>58.125100000000003</v>
      </c>
      <c r="R807" s="10">
        <f>CHOOSE(CONTROL!$C$42, 58.8574, 58.8574) * CHOOSE(CONTROL!$C$21, $C$9, 100%, $E$9)</f>
        <v>58.857399999999998</v>
      </c>
      <c r="S807" s="10">
        <f>CHOOSE(CONTROL!$C$42, 56.3384, 56.3384) * CHOOSE(CONTROL!$C$21, $C$9, 100%, $E$9)</f>
        <v>56.3384</v>
      </c>
      <c r="T8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57">
        <f>(1000*CHOOSE(CONTROL!$C$42, 695, 695)*CHOOSE(CONTROL!$C$42, 0.5599, 0.5599)*CHOOSE(CONTROL!$C$42, 31, 31))/1000000</f>
        <v>12.063045499999998</v>
      </c>
      <c r="V807" s="57">
        <f>(1000*CHOOSE(CONTROL!$C$42, 500, 500)*CHOOSE(CONTROL!$C$42, 0.275, 0.275)*CHOOSE(CONTROL!$C$42, 31, 31))/1000000</f>
        <v>4.2625000000000002</v>
      </c>
      <c r="W807" s="57">
        <f>(1000*CHOOSE(CONTROL!$C$42, 0.1146, 0.1146)*CHOOSE(CONTROL!$C$42, 121.5, 121.5)*CHOOSE(CONTROL!$C$42, 31, 31))/1000000</f>
        <v>0.43164089999999994</v>
      </c>
      <c r="X807" s="57">
        <f>(31*0.1790888*100000/1000000)+(31*0.2374*100000/1000000)</f>
        <v>1.2911152800000001</v>
      </c>
      <c r="Y807" s="57"/>
      <c r="Z807" s="10"/>
      <c r="AA807" s="56"/>
      <c r="AB807" s="50">
        <f>(B807*122.58+C807*297.941+D807*89.177+E807*40.302+F807*40+G807*160+H807*0+I807*100+J807*300)/(122.58+297.941+89.177+40.302+0+40+160+100+300)</f>
        <v>58.026922449130431</v>
      </c>
      <c r="AC807" s="45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57.482470503597114</v>
      </c>
    </row>
    <row r="808" spans="1:29" ht="15.75" x14ac:dyDescent="0.25">
      <c r="A808" s="13">
        <v>65500</v>
      </c>
      <c r="B808" s="10">
        <f>CHOOSE(CONTROL!$C$42, 57.8447, 57.8447) * CHOOSE(CONTROL!$C$21, $C$9, 100%, $E$9)</f>
        <v>57.844700000000003</v>
      </c>
      <c r="C808" s="10">
        <f>CHOOSE(CONTROL!$C$42, 57.8491, 57.8491) * CHOOSE(CONTROL!$C$21, $C$9, 100%, $E$9)</f>
        <v>57.8491</v>
      </c>
      <c r="D808" s="10">
        <f>CHOOSE(CONTROL!$C$42, 58.055, 58.055) * CHOOSE(CONTROL!$C$21, $C$9, 100%, $E$9)</f>
        <v>58.055</v>
      </c>
      <c r="E808" s="10">
        <f>CHOOSE(CONTROL!$C$42, 58.0868, 58.0868) * CHOOSE(CONTROL!$C$21, $C$9, 100%, $E$9)</f>
        <v>58.086799999999997</v>
      </c>
      <c r="F808" s="10">
        <f>CHOOSE(CONTROL!$C$42, 57.8215, 57.8215)*CHOOSE(CONTROL!$C$21, $C$9, 100%, $E$9)</f>
        <v>57.8215</v>
      </c>
      <c r="G808" s="10">
        <f>CHOOSE(CONTROL!$C$42, 57.836, 57.836)*CHOOSE(CONTROL!$C$21, $C$9, 100%, $E$9)</f>
        <v>57.835999999999999</v>
      </c>
      <c r="H808" s="10">
        <f>CHOOSE(CONTROL!$C$42, 58.0766, 58.0766) * CHOOSE(CONTROL!$C$21, $C$9, 100%, $E$9)</f>
        <v>58.076599999999999</v>
      </c>
      <c r="I808" s="10">
        <f>CHOOSE(CONTROL!$C$42, 57.8462, 57.8462)* CHOOSE(CONTROL!$C$21, $C$9, 100%, $E$9)</f>
        <v>57.846200000000003</v>
      </c>
      <c r="J808" s="10">
        <f>CHOOSE(CONTROL!$C$42, 57.8145, 57.8145)* CHOOSE(CONTROL!$C$21, $C$9, 100%, $E$9)</f>
        <v>57.814500000000002</v>
      </c>
      <c r="K808" s="53">
        <f>CHOOSE(CONTROL!$C$42, 57.8423, 57.8423) * CHOOSE(CONTROL!$C$21, $C$9, 100%, $E$9)</f>
        <v>57.842300000000002</v>
      </c>
      <c r="L808" s="10">
        <f>CHOOSE(CONTROL!$C$42, 58.6636, 58.6636) * CHOOSE(CONTROL!$C$21, $C$9, 100%, $E$9)</f>
        <v>58.663600000000002</v>
      </c>
      <c r="M808" s="10">
        <f>CHOOSE(CONTROL!$C$42, 57.2449, 57.2449) * CHOOSE(CONTROL!$C$21, $C$9, 100%, $E$9)</f>
        <v>57.244900000000001</v>
      </c>
      <c r="N808" s="10">
        <f>CHOOSE(CONTROL!$C$42, 57.2593, 57.2593) * CHOOSE(CONTROL!$C$21, $C$9, 100%, $E$9)</f>
        <v>57.259300000000003</v>
      </c>
      <c r="O808" s="10">
        <f>CHOOSE(CONTROL!$C$42, 57.5043, 57.5043) * CHOOSE(CONTROL!$C$21, $C$9, 100%, $E$9)</f>
        <v>57.504300000000001</v>
      </c>
      <c r="P808" s="10">
        <f>CHOOSE(CONTROL!$C$42, 57.2763, 57.2763) * CHOOSE(CONTROL!$C$21, $C$9, 100%, $E$9)</f>
        <v>57.276299999999999</v>
      </c>
      <c r="Q808" s="10">
        <f>CHOOSE(CONTROL!$C$42, 58.0996, 58.0996) * CHOOSE(CONTROL!$C$21, $C$9, 100%, $E$9)</f>
        <v>58.099600000000002</v>
      </c>
      <c r="R808" s="10">
        <f>CHOOSE(CONTROL!$C$42, 58.8318, 58.8318) * CHOOSE(CONTROL!$C$21, $C$9, 100%, $E$9)</f>
        <v>58.831800000000001</v>
      </c>
      <c r="S808" s="10">
        <f>CHOOSE(CONTROL!$C$42, 56.1701, 56.1701) * CHOOSE(CONTROL!$C$21, $C$9, 100%, $E$9)</f>
        <v>56.170099999999998</v>
      </c>
      <c r="T8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57">
        <f>(1000*CHOOSE(CONTROL!$C$42, 695, 695)*CHOOSE(CONTROL!$C$42, 0.5599, 0.5599)*CHOOSE(CONTROL!$C$42, 30, 30))/1000000</f>
        <v>11.673914999999997</v>
      </c>
      <c r="V808" s="57">
        <f>(1000*CHOOSE(CONTROL!$C$42, 500, 500)*CHOOSE(CONTROL!$C$42, 0.275, 0.275)*CHOOSE(CONTROL!$C$42, 30, 30))/1000000</f>
        <v>4.125</v>
      </c>
      <c r="W808" s="57">
        <f>(1000*CHOOSE(CONTROL!$C$42, 0.1146, 0.1146)*CHOOSE(CONTROL!$C$42, 121.5, 121.5)*CHOOSE(CONTROL!$C$42, 30, 30))/1000000</f>
        <v>0.417717</v>
      </c>
      <c r="X808" s="57">
        <f>(30*0.1790888*245000/1000000)+(30*0.2374*100000/1000000)</f>
        <v>2.0285026799999999</v>
      </c>
      <c r="Y808" s="57"/>
      <c r="Z808" s="10"/>
      <c r="AA808" s="56"/>
      <c r="AB808" s="50">
        <f>(B808*141.293+C808*267.993+D808*115.016+E808*89.698+F808*40+G808*185+H808*0+I808*100+J808*300)/(141.293+267.993+115.016+89.698+0+40+185+100+300)</f>
        <v>57.873461436481037</v>
      </c>
      <c r="AC808" s="45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57.36781654676259</v>
      </c>
    </row>
    <row r="809" spans="1:29" ht="15.75" x14ac:dyDescent="0.25">
      <c r="A809" s="13">
        <v>65531</v>
      </c>
      <c r="B809" s="10">
        <f>CHOOSE(CONTROL!$C$42, 58.3567, 58.3567) * CHOOSE(CONTROL!$C$21, $C$9, 100%, $E$9)</f>
        <v>58.356699999999996</v>
      </c>
      <c r="C809" s="10">
        <f>CHOOSE(CONTROL!$C$42, 58.3646, 58.3646) * CHOOSE(CONTROL!$C$21, $C$9, 100%, $E$9)</f>
        <v>58.364600000000003</v>
      </c>
      <c r="D809" s="10">
        <f>CHOOSE(CONTROL!$C$42, 58.5673, 58.5673) * CHOOSE(CONTROL!$C$21, $C$9, 100%, $E$9)</f>
        <v>58.567300000000003</v>
      </c>
      <c r="E809" s="10">
        <f>CHOOSE(CONTROL!$C$42, 58.5984, 58.5984) * CHOOSE(CONTROL!$C$21, $C$9, 100%, $E$9)</f>
        <v>58.598399999999998</v>
      </c>
      <c r="F809" s="10">
        <f>CHOOSE(CONTROL!$C$42, 58.3324, 58.3324)*CHOOSE(CONTROL!$C$21, $C$9, 100%, $E$9)</f>
        <v>58.3324</v>
      </c>
      <c r="G809" s="10">
        <f>CHOOSE(CONTROL!$C$42, 58.3474, 58.3474)*CHOOSE(CONTROL!$C$21, $C$9, 100%, $E$9)</f>
        <v>58.3474</v>
      </c>
      <c r="H809" s="10">
        <f>CHOOSE(CONTROL!$C$42, 58.5871, 58.5871) * CHOOSE(CONTROL!$C$21, $C$9, 100%, $E$9)</f>
        <v>58.5871</v>
      </c>
      <c r="I809" s="10">
        <f>CHOOSE(CONTROL!$C$42, 58.3567, 58.3567)* CHOOSE(CONTROL!$C$21, $C$9, 100%, $E$9)</f>
        <v>58.356699999999996</v>
      </c>
      <c r="J809" s="10">
        <f>CHOOSE(CONTROL!$C$42, 58.3254, 58.3254)* CHOOSE(CONTROL!$C$21, $C$9, 100%, $E$9)</f>
        <v>58.325400000000002</v>
      </c>
      <c r="K809" s="53">
        <f>CHOOSE(CONTROL!$C$42, 58.3528, 58.3528) * CHOOSE(CONTROL!$C$21, $C$9, 100%, $E$9)</f>
        <v>58.352800000000002</v>
      </c>
      <c r="L809" s="10">
        <f>CHOOSE(CONTROL!$C$42, 59.1741, 59.1741) * CHOOSE(CONTROL!$C$21, $C$9, 100%, $E$9)</f>
        <v>59.174100000000003</v>
      </c>
      <c r="M809" s="10">
        <f>CHOOSE(CONTROL!$C$42, 57.7506, 57.7506) * CHOOSE(CONTROL!$C$21, $C$9, 100%, $E$9)</f>
        <v>57.750599999999999</v>
      </c>
      <c r="N809" s="10">
        <f>CHOOSE(CONTROL!$C$42, 57.7654, 57.7654) * CHOOSE(CONTROL!$C$21, $C$9, 100%, $E$9)</f>
        <v>57.7654</v>
      </c>
      <c r="O809" s="10">
        <f>CHOOSE(CONTROL!$C$42, 58.0097, 58.0097) * CHOOSE(CONTROL!$C$21, $C$9, 100%, $E$9)</f>
        <v>58.009700000000002</v>
      </c>
      <c r="P809" s="10">
        <f>CHOOSE(CONTROL!$C$42, 57.7816, 57.7816) * CHOOSE(CONTROL!$C$21, $C$9, 100%, $E$9)</f>
        <v>57.781599999999997</v>
      </c>
      <c r="Q809" s="10">
        <f>CHOOSE(CONTROL!$C$42, 58.605, 58.605) * CHOOSE(CONTROL!$C$21, $C$9, 100%, $E$9)</f>
        <v>58.604999999999997</v>
      </c>
      <c r="R809" s="10">
        <f>CHOOSE(CONTROL!$C$42, 59.3385, 59.3385) * CHOOSE(CONTROL!$C$21, $C$9, 100%, $E$9)</f>
        <v>59.338500000000003</v>
      </c>
      <c r="S809" s="10">
        <f>CHOOSE(CONTROL!$C$42, 56.6659, 56.6659) * CHOOSE(CONTROL!$C$21, $C$9, 100%, $E$9)</f>
        <v>56.665900000000001</v>
      </c>
      <c r="T8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57">
        <f>(1000*CHOOSE(CONTROL!$C$42, 695, 695)*CHOOSE(CONTROL!$C$42, 0.5599, 0.5599)*CHOOSE(CONTROL!$C$42, 31, 31))/1000000</f>
        <v>12.063045499999998</v>
      </c>
      <c r="V809" s="57">
        <f>(1000*CHOOSE(CONTROL!$C$42, 500, 500)*CHOOSE(CONTROL!$C$42, 0.275, 0.275)*CHOOSE(CONTROL!$C$42, 31, 31))/1000000</f>
        <v>4.2625000000000002</v>
      </c>
      <c r="W809" s="57">
        <f>(1000*CHOOSE(CONTROL!$C$42, 0.1146, 0.1146)*CHOOSE(CONTROL!$C$42, 121.5, 121.5)*CHOOSE(CONTROL!$C$42, 31, 31))/1000000</f>
        <v>0.43164089999999994</v>
      </c>
      <c r="X809" s="57">
        <f>(31*0.1790888*245000/1000000)+(31*0.2374*100000/1000000)</f>
        <v>2.0961194359999999</v>
      </c>
      <c r="Y809" s="57"/>
      <c r="Z809" s="10"/>
      <c r="AA809" s="56"/>
      <c r="AB809" s="50">
        <f>(B809*194.205+C809*267.466+D809*133.845+E809*53.484+F809*40+G809*185+H809*0+I809*100+J809*300)/(194.205+267.466+133.845+53.484+0+40+185+100+300)</f>
        <v>58.381146876923076</v>
      </c>
      <c r="AC809" s="45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57.873346043165469</v>
      </c>
    </row>
    <row r="810" spans="1:29" ht="15.75" x14ac:dyDescent="0.25">
      <c r="A810" s="13">
        <v>65561</v>
      </c>
      <c r="B810" s="10">
        <f>CHOOSE(CONTROL!$C$42, 60.0119, 60.0119) * CHOOSE(CONTROL!$C$21, $C$9, 100%, $E$9)</f>
        <v>60.011899999999997</v>
      </c>
      <c r="C810" s="10">
        <f>CHOOSE(CONTROL!$C$42, 60.0198, 60.0198) * CHOOSE(CONTROL!$C$21, $C$9, 100%, $E$9)</f>
        <v>60.019799999999996</v>
      </c>
      <c r="D810" s="10">
        <f>CHOOSE(CONTROL!$C$42, 60.2225, 60.2225) * CHOOSE(CONTROL!$C$21, $C$9, 100%, $E$9)</f>
        <v>60.222499999999997</v>
      </c>
      <c r="E810" s="10">
        <f>CHOOSE(CONTROL!$C$42, 60.2537, 60.2537) * CHOOSE(CONTROL!$C$21, $C$9, 100%, $E$9)</f>
        <v>60.253700000000002</v>
      </c>
      <c r="F810" s="10">
        <f>CHOOSE(CONTROL!$C$42, 59.9881, 59.9881)*CHOOSE(CONTROL!$C$21, $C$9, 100%, $E$9)</f>
        <v>59.988100000000003</v>
      </c>
      <c r="G810" s="10">
        <f>CHOOSE(CONTROL!$C$42, 60.0032, 60.0032)*CHOOSE(CONTROL!$C$21, $C$9, 100%, $E$9)</f>
        <v>60.0032</v>
      </c>
      <c r="H810" s="10">
        <f>CHOOSE(CONTROL!$C$42, 60.2423, 60.2423) * CHOOSE(CONTROL!$C$21, $C$9, 100%, $E$9)</f>
        <v>60.2423</v>
      </c>
      <c r="I810" s="10">
        <f>CHOOSE(CONTROL!$C$42, 60.0119, 60.0119)* CHOOSE(CONTROL!$C$21, $C$9, 100%, $E$9)</f>
        <v>60.011899999999997</v>
      </c>
      <c r="J810" s="10">
        <f>CHOOSE(CONTROL!$C$42, 59.9811, 59.9811)* CHOOSE(CONTROL!$C$21, $C$9, 100%, $E$9)</f>
        <v>59.981099999999998</v>
      </c>
      <c r="K810" s="53">
        <f>CHOOSE(CONTROL!$C$42, 60.008, 60.008) * CHOOSE(CONTROL!$C$21, $C$9, 100%, $E$9)</f>
        <v>60.008000000000003</v>
      </c>
      <c r="L810" s="10">
        <f>CHOOSE(CONTROL!$C$42, 60.8293, 60.8293) * CHOOSE(CONTROL!$C$21, $C$9, 100%, $E$9)</f>
        <v>60.829300000000003</v>
      </c>
      <c r="M810" s="10">
        <f>CHOOSE(CONTROL!$C$42, 59.3896, 59.3896) * CHOOSE(CONTROL!$C$21, $C$9, 100%, $E$9)</f>
        <v>59.389600000000002</v>
      </c>
      <c r="N810" s="10">
        <f>CHOOSE(CONTROL!$C$42, 59.4046, 59.4046) * CHOOSE(CONTROL!$C$21, $C$9, 100%, $E$9)</f>
        <v>59.404600000000002</v>
      </c>
      <c r="O810" s="10">
        <f>CHOOSE(CONTROL!$C$42, 59.6482, 59.6482) * CHOOSE(CONTROL!$C$21, $C$9, 100%, $E$9)</f>
        <v>59.648200000000003</v>
      </c>
      <c r="P810" s="10">
        <f>CHOOSE(CONTROL!$C$42, 59.4201, 59.4201) * CHOOSE(CONTROL!$C$21, $C$9, 100%, $E$9)</f>
        <v>59.420099999999998</v>
      </c>
      <c r="Q810" s="10">
        <f>CHOOSE(CONTROL!$C$42, 60.2435, 60.2435) * CHOOSE(CONTROL!$C$21, $C$9, 100%, $E$9)</f>
        <v>60.243499999999997</v>
      </c>
      <c r="R810" s="10">
        <f>CHOOSE(CONTROL!$C$42, 60.9811, 60.9811) * CHOOSE(CONTROL!$C$21, $C$9, 100%, $E$9)</f>
        <v>60.981099999999998</v>
      </c>
      <c r="S810" s="10">
        <f>CHOOSE(CONTROL!$C$42, 58.2733, 58.2733) * CHOOSE(CONTROL!$C$21, $C$9, 100%, $E$9)</f>
        <v>58.273299999999999</v>
      </c>
      <c r="T8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57">
        <f>(1000*CHOOSE(CONTROL!$C$42, 695, 695)*CHOOSE(CONTROL!$C$42, 0.5599, 0.5599)*CHOOSE(CONTROL!$C$42, 30, 30))/1000000</f>
        <v>11.673914999999997</v>
      </c>
      <c r="V810" s="57">
        <f>(1000*CHOOSE(CONTROL!$C$42, 500, 500)*CHOOSE(CONTROL!$C$42, 0.275, 0.275)*CHOOSE(CONTROL!$C$42, 30, 30))/1000000</f>
        <v>4.125</v>
      </c>
      <c r="W810" s="57">
        <f>(1000*CHOOSE(CONTROL!$C$42, 0.1146, 0.1146)*CHOOSE(CONTROL!$C$42, 121.5, 121.5)*CHOOSE(CONTROL!$C$42, 30, 30))/1000000</f>
        <v>0.417717</v>
      </c>
      <c r="X810" s="57">
        <f>(30*0.1790888*245000/1000000)+(30*0.2374*100000/1000000)</f>
        <v>2.0285026799999999</v>
      </c>
      <c r="Y810" s="57"/>
      <c r="Z810" s="10"/>
      <c r="AA810" s="56"/>
      <c r="AB810" s="50">
        <f>(B810*194.205+C810*267.466+D810*133.845+E810*53.484+F810*40+G810*185+H810*0+I810*100+J810*300)/(194.205+267.466+133.845+53.484+0+40+185+100+300)</f>
        <v>60.036571640188384</v>
      </c>
      <c r="AC810" s="45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59.512058992805756</v>
      </c>
    </row>
    <row r="811" spans="1:29" ht="15.75" x14ac:dyDescent="0.25">
      <c r="A811" s="13">
        <v>65592</v>
      </c>
      <c r="B811" s="10">
        <f>CHOOSE(CONTROL!$C$42, 58.8607, 58.8607) * CHOOSE(CONTROL!$C$21, $C$9, 100%, $E$9)</f>
        <v>58.860700000000001</v>
      </c>
      <c r="C811" s="10">
        <f>CHOOSE(CONTROL!$C$42, 58.8686, 58.8686) * CHOOSE(CONTROL!$C$21, $C$9, 100%, $E$9)</f>
        <v>58.868600000000001</v>
      </c>
      <c r="D811" s="10">
        <f>CHOOSE(CONTROL!$C$42, 59.0713, 59.0713) * CHOOSE(CONTROL!$C$21, $C$9, 100%, $E$9)</f>
        <v>59.071300000000001</v>
      </c>
      <c r="E811" s="10">
        <f>CHOOSE(CONTROL!$C$42, 59.1024, 59.1024) * CHOOSE(CONTROL!$C$21, $C$9, 100%, $E$9)</f>
        <v>59.102400000000003</v>
      </c>
      <c r="F811" s="10">
        <f>CHOOSE(CONTROL!$C$42, 58.8374, 58.8374)*CHOOSE(CONTROL!$C$21, $C$9, 100%, $E$9)</f>
        <v>58.837400000000002</v>
      </c>
      <c r="G811" s="10">
        <f>CHOOSE(CONTROL!$C$42, 58.8527, 58.8527)*CHOOSE(CONTROL!$C$21, $C$9, 100%, $E$9)</f>
        <v>58.852699999999999</v>
      </c>
      <c r="H811" s="10">
        <f>CHOOSE(CONTROL!$C$42, 59.0911, 59.0911) * CHOOSE(CONTROL!$C$21, $C$9, 100%, $E$9)</f>
        <v>59.091099999999997</v>
      </c>
      <c r="I811" s="10">
        <f>CHOOSE(CONTROL!$C$42, 58.8607, 58.8607)* CHOOSE(CONTROL!$C$21, $C$9, 100%, $E$9)</f>
        <v>58.860700000000001</v>
      </c>
      <c r="J811" s="10">
        <f>CHOOSE(CONTROL!$C$42, 58.8304, 58.8304)* CHOOSE(CONTROL!$C$21, $C$9, 100%, $E$9)</f>
        <v>58.830399999999997</v>
      </c>
      <c r="K811" s="53">
        <f>CHOOSE(CONTROL!$C$42, 58.8568, 58.8568) * CHOOSE(CONTROL!$C$21, $C$9, 100%, $E$9)</f>
        <v>58.8568</v>
      </c>
      <c r="L811" s="10">
        <f>CHOOSE(CONTROL!$C$42, 59.6781, 59.6781) * CHOOSE(CONTROL!$C$21, $C$9, 100%, $E$9)</f>
        <v>59.678100000000001</v>
      </c>
      <c r="M811" s="10">
        <f>CHOOSE(CONTROL!$C$42, 58.2505, 58.2505) * CHOOSE(CONTROL!$C$21, $C$9, 100%, $E$9)</f>
        <v>58.250500000000002</v>
      </c>
      <c r="N811" s="10">
        <f>CHOOSE(CONTROL!$C$42, 58.2657, 58.2657) * CHOOSE(CONTROL!$C$21, $C$9, 100%, $E$9)</f>
        <v>58.265700000000002</v>
      </c>
      <c r="O811" s="10">
        <f>CHOOSE(CONTROL!$C$42, 58.5086, 58.5086) * CHOOSE(CONTROL!$C$21, $C$9, 100%, $E$9)</f>
        <v>58.508600000000001</v>
      </c>
      <c r="P811" s="10">
        <f>CHOOSE(CONTROL!$C$42, 58.2806, 58.2806) * CHOOSE(CONTROL!$C$21, $C$9, 100%, $E$9)</f>
        <v>58.2806</v>
      </c>
      <c r="Q811" s="10">
        <f>CHOOSE(CONTROL!$C$42, 59.1039, 59.1039) * CHOOSE(CONTROL!$C$21, $C$9, 100%, $E$9)</f>
        <v>59.103900000000003</v>
      </c>
      <c r="R811" s="10">
        <f>CHOOSE(CONTROL!$C$42, 59.8386, 59.8386) * CHOOSE(CONTROL!$C$21, $C$9, 100%, $E$9)</f>
        <v>59.8386</v>
      </c>
      <c r="S811" s="10">
        <f>CHOOSE(CONTROL!$C$42, 57.1553, 57.1553) * CHOOSE(CONTROL!$C$21, $C$9, 100%, $E$9)</f>
        <v>57.155299999999997</v>
      </c>
      <c r="T8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57">
        <f>(1000*CHOOSE(CONTROL!$C$42, 695, 695)*CHOOSE(CONTROL!$C$42, 0.5599, 0.5599)*CHOOSE(CONTROL!$C$42, 31, 31))/1000000</f>
        <v>12.063045499999998</v>
      </c>
      <c r="V811" s="57">
        <f>(1000*CHOOSE(CONTROL!$C$42, 500, 500)*CHOOSE(CONTROL!$C$42, 0.275, 0.275)*CHOOSE(CONTROL!$C$42, 31, 31))/1000000</f>
        <v>4.2625000000000002</v>
      </c>
      <c r="W811" s="57">
        <f>(1000*CHOOSE(CONTROL!$C$42, 0.1146, 0.1146)*CHOOSE(CONTROL!$C$42, 121.5, 121.5)*CHOOSE(CONTROL!$C$42, 31, 31))/1000000</f>
        <v>0.43164089999999994</v>
      </c>
      <c r="X811" s="57">
        <f>(31*0.1790888*245000/1000000)+(31*0.2374*100000/1000000)</f>
        <v>2.0961194359999999</v>
      </c>
      <c r="Y811" s="57"/>
      <c r="Z811" s="10"/>
      <c r="AA811" s="56"/>
      <c r="AB811" s="50">
        <f>(B811*194.205+C811*267.466+D811*133.845+E811*53.484+F811*40+G811*185+H811*0+I811*100+J811*300)/(194.205+267.466+133.845+53.484+0+40+185+100+300)</f>
        <v>58.885602528414445</v>
      </c>
      <c r="AC811" s="45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58.372686330935252</v>
      </c>
    </row>
    <row r="812" spans="1:29" ht="15.75" x14ac:dyDescent="0.25">
      <c r="A812" s="13">
        <v>65623</v>
      </c>
      <c r="B812" s="10">
        <f>CHOOSE(CONTROL!$C$42, 55.9535, 55.9535) * CHOOSE(CONTROL!$C$21, $C$9, 100%, $E$9)</f>
        <v>55.953499999999998</v>
      </c>
      <c r="C812" s="10">
        <f>CHOOSE(CONTROL!$C$42, 55.9614, 55.9614) * CHOOSE(CONTROL!$C$21, $C$9, 100%, $E$9)</f>
        <v>55.961399999999998</v>
      </c>
      <c r="D812" s="10">
        <f>CHOOSE(CONTROL!$C$42, 56.1641, 56.1641) * CHOOSE(CONTROL!$C$21, $C$9, 100%, $E$9)</f>
        <v>56.164099999999998</v>
      </c>
      <c r="E812" s="10">
        <f>CHOOSE(CONTROL!$C$42, 56.1953, 56.1953) * CHOOSE(CONTROL!$C$21, $C$9, 100%, $E$9)</f>
        <v>56.195300000000003</v>
      </c>
      <c r="F812" s="10">
        <f>CHOOSE(CONTROL!$C$42, 55.9304, 55.9304)*CHOOSE(CONTROL!$C$21, $C$9, 100%, $E$9)</f>
        <v>55.930399999999999</v>
      </c>
      <c r="G812" s="10">
        <f>CHOOSE(CONTROL!$C$42, 55.9457, 55.9457)*CHOOSE(CONTROL!$C$21, $C$9, 100%, $E$9)</f>
        <v>55.945700000000002</v>
      </c>
      <c r="H812" s="10">
        <f>CHOOSE(CONTROL!$C$42, 56.1839, 56.1839) * CHOOSE(CONTROL!$C$21, $C$9, 100%, $E$9)</f>
        <v>56.183900000000001</v>
      </c>
      <c r="I812" s="10">
        <f>CHOOSE(CONTROL!$C$42, 55.9535, 55.9535)* CHOOSE(CONTROL!$C$21, $C$9, 100%, $E$9)</f>
        <v>55.953499999999998</v>
      </c>
      <c r="J812" s="10">
        <f>CHOOSE(CONTROL!$C$42, 55.9234, 55.9234)* CHOOSE(CONTROL!$C$21, $C$9, 100%, $E$9)</f>
        <v>55.923400000000001</v>
      </c>
      <c r="K812" s="53">
        <f>CHOOSE(CONTROL!$C$42, 55.9496, 55.9496) * CHOOSE(CONTROL!$C$21, $C$9, 100%, $E$9)</f>
        <v>55.949599999999997</v>
      </c>
      <c r="L812" s="10">
        <f>CHOOSE(CONTROL!$C$42, 56.7709, 56.7709) * CHOOSE(CONTROL!$C$21, $C$9, 100%, $E$9)</f>
        <v>56.770899999999997</v>
      </c>
      <c r="M812" s="10">
        <f>CHOOSE(CONTROL!$C$42, 55.3729, 55.3729) * CHOOSE(CONTROL!$C$21, $C$9, 100%, $E$9)</f>
        <v>55.372900000000001</v>
      </c>
      <c r="N812" s="10">
        <f>CHOOSE(CONTROL!$C$42, 55.3881, 55.3881) * CHOOSE(CONTROL!$C$21, $C$9, 100%, $E$9)</f>
        <v>55.388100000000001</v>
      </c>
      <c r="O812" s="10">
        <f>CHOOSE(CONTROL!$C$42, 55.6307, 55.6307) * CHOOSE(CONTROL!$C$21, $C$9, 100%, $E$9)</f>
        <v>55.630699999999997</v>
      </c>
      <c r="P812" s="10">
        <f>CHOOSE(CONTROL!$C$42, 55.4027, 55.4027) * CHOOSE(CONTROL!$C$21, $C$9, 100%, $E$9)</f>
        <v>55.402700000000003</v>
      </c>
      <c r="Q812" s="10">
        <f>CHOOSE(CONTROL!$C$42, 56.226, 56.226) * CHOOSE(CONTROL!$C$21, $C$9, 100%, $E$9)</f>
        <v>56.225999999999999</v>
      </c>
      <c r="R812" s="10">
        <f>CHOOSE(CONTROL!$C$42, 56.9536, 56.9536) * CHOOSE(CONTROL!$C$21, $C$9, 100%, $E$9)</f>
        <v>56.953600000000002</v>
      </c>
      <c r="S812" s="10">
        <f>CHOOSE(CONTROL!$C$42, 54.3322, 54.3322) * CHOOSE(CONTROL!$C$21, $C$9, 100%, $E$9)</f>
        <v>54.3322</v>
      </c>
      <c r="T8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57">
        <f>(1000*CHOOSE(CONTROL!$C$42, 695, 695)*CHOOSE(CONTROL!$C$42, 0.5599, 0.5599)*CHOOSE(CONTROL!$C$42, 31, 31))/1000000</f>
        <v>12.063045499999998</v>
      </c>
      <c r="V812" s="57">
        <f>(1000*CHOOSE(CONTROL!$C$42, 500, 500)*CHOOSE(CONTROL!$C$42, 0.275, 0.275)*CHOOSE(CONTROL!$C$42, 31, 31))/1000000</f>
        <v>4.2625000000000002</v>
      </c>
      <c r="W812" s="57">
        <f>(1000*CHOOSE(CONTROL!$C$42, 0.1146, 0.1146)*CHOOSE(CONTROL!$C$42, 121.5, 121.5)*CHOOSE(CONTROL!$C$42, 31, 31))/1000000</f>
        <v>0.43164089999999994</v>
      </c>
      <c r="X812" s="57">
        <f>(31*0.1790888*245000/1000000)+(31*0.2374*100000/1000000)</f>
        <v>2.0961194359999999</v>
      </c>
      <c r="Y812" s="57"/>
      <c r="Z812" s="10"/>
      <c r="AA812" s="56"/>
      <c r="AB812" s="50">
        <f>(B812*194.205+C812*267.466+D812*133.845+E812*53.484+F812*40+G812*185+H812*0+I812*100+J812*300)/(194.205+267.466+133.845+53.484+0+40+185+100+300)</f>
        <v>55.978489144113027</v>
      </c>
      <c r="AC812" s="45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55.494907194244604</v>
      </c>
    </row>
    <row r="813" spans="1:29" ht="15.75" x14ac:dyDescent="0.25">
      <c r="A813" s="13">
        <v>65653</v>
      </c>
      <c r="B813" s="10">
        <f>CHOOSE(CONTROL!$C$42, 52.4011, 52.4011) * CHOOSE(CONTROL!$C$21, $C$9, 100%, $E$9)</f>
        <v>52.4011</v>
      </c>
      <c r="C813" s="10">
        <f>CHOOSE(CONTROL!$C$42, 52.409, 52.409) * CHOOSE(CONTROL!$C$21, $C$9, 100%, $E$9)</f>
        <v>52.408999999999999</v>
      </c>
      <c r="D813" s="10">
        <f>CHOOSE(CONTROL!$C$42, 52.6117, 52.6117) * CHOOSE(CONTROL!$C$21, $C$9, 100%, $E$9)</f>
        <v>52.611699999999999</v>
      </c>
      <c r="E813" s="10">
        <f>CHOOSE(CONTROL!$C$42, 52.6429, 52.6429) * CHOOSE(CONTROL!$C$21, $C$9, 100%, $E$9)</f>
        <v>52.642899999999997</v>
      </c>
      <c r="F813" s="10">
        <f>CHOOSE(CONTROL!$C$42, 52.3779, 52.3779)*CHOOSE(CONTROL!$C$21, $C$9, 100%, $E$9)</f>
        <v>52.377899999999997</v>
      </c>
      <c r="G813" s="10">
        <f>CHOOSE(CONTROL!$C$42, 52.3932, 52.3932)*CHOOSE(CONTROL!$C$21, $C$9, 100%, $E$9)</f>
        <v>52.3932</v>
      </c>
      <c r="H813" s="10">
        <f>CHOOSE(CONTROL!$C$42, 52.6315, 52.6315) * CHOOSE(CONTROL!$C$21, $C$9, 100%, $E$9)</f>
        <v>52.631500000000003</v>
      </c>
      <c r="I813" s="10">
        <f>CHOOSE(CONTROL!$C$42, 52.4011, 52.4011)* CHOOSE(CONTROL!$C$21, $C$9, 100%, $E$9)</f>
        <v>52.4011</v>
      </c>
      <c r="J813" s="10">
        <f>CHOOSE(CONTROL!$C$42, 52.3709, 52.3709)* CHOOSE(CONTROL!$C$21, $C$9, 100%, $E$9)</f>
        <v>52.370899999999999</v>
      </c>
      <c r="K813" s="53">
        <f>CHOOSE(CONTROL!$C$42, 52.3972, 52.3972) * CHOOSE(CONTROL!$C$21, $C$9, 100%, $E$9)</f>
        <v>52.397199999999998</v>
      </c>
      <c r="L813" s="10">
        <f>CHOOSE(CONTROL!$C$42, 53.2185, 53.2185) * CHOOSE(CONTROL!$C$21, $C$9, 100%, $E$9)</f>
        <v>53.218499999999999</v>
      </c>
      <c r="M813" s="10">
        <f>CHOOSE(CONTROL!$C$42, 51.8562, 51.8562) * CHOOSE(CONTROL!$C$21, $C$9, 100%, $E$9)</f>
        <v>51.856200000000001</v>
      </c>
      <c r="N813" s="10">
        <f>CHOOSE(CONTROL!$C$42, 51.8713, 51.8713) * CHOOSE(CONTROL!$C$21, $C$9, 100%, $E$9)</f>
        <v>51.871299999999998</v>
      </c>
      <c r="O813" s="10">
        <f>CHOOSE(CONTROL!$C$42, 52.1142, 52.1142) * CHOOSE(CONTROL!$C$21, $C$9, 100%, $E$9)</f>
        <v>52.114199999999997</v>
      </c>
      <c r="P813" s="10">
        <f>CHOOSE(CONTROL!$C$42, 51.8862, 51.8862) * CHOOSE(CONTROL!$C$21, $C$9, 100%, $E$9)</f>
        <v>51.886200000000002</v>
      </c>
      <c r="Q813" s="10">
        <f>CHOOSE(CONTROL!$C$42, 52.7095, 52.7095) * CHOOSE(CONTROL!$C$21, $C$9, 100%, $E$9)</f>
        <v>52.709499999999998</v>
      </c>
      <c r="R813" s="10">
        <f>CHOOSE(CONTROL!$C$42, 53.4283, 53.4283) * CHOOSE(CONTROL!$C$21, $C$9, 100%, $E$9)</f>
        <v>53.4283</v>
      </c>
      <c r="S813" s="10">
        <f>CHOOSE(CONTROL!$C$42, 50.8824, 50.8824) * CHOOSE(CONTROL!$C$21, $C$9, 100%, $E$9)</f>
        <v>50.882399999999997</v>
      </c>
      <c r="T8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57">
        <f>(1000*CHOOSE(CONTROL!$C$42, 695, 695)*CHOOSE(CONTROL!$C$42, 0.5599, 0.5599)*CHOOSE(CONTROL!$C$42, 30, 30))/1000000</f>
        <v>11.673914999999997</v>
      </c>
      <c r="V813" s="57">
        <f>(1000*CHOOSE(CONTROL!$C$42, 500, 500)*CHOOSE(CONTROL!$C$42, 0.275, 0.275)*CHOOSE(CONTROL!$C$42, 30, 30))/1000000</f>
        <v>4.125</v>
      </c>
      <c r="W813" s="57">
        <f>(1000*CHOOSE(CONTROL!$C$42, 0.1146, 0.1146)*CHOOSE(CONTROL!$C$42, 121.5, 121.5)*CHOOSE(CONTROL!$C$42, 30, 30))/1000000</f>
        <v>0.417717</v>
      </c>
      <c r="X813" s="57">
        <f>(30*0.1790888*245000/1000000)+(30*0.2374*100000/1000000)</f>
        <v>2.0285026799999999</v>
      </c>
      <c r="Y813" s="57"/>
      <c r="Z813" s="10"/>
      <c r="AA813" s="56"/>
      <c r="AB813" s="50">
        <f>(B813*194.205+C813*267.466+D813*133.845+E813*53.484+F813*40+G813*185+H813*0+I813*100+J813*300)/(194.205+267.466+133.845+53.484+0+40+185+100+300)</f>
        <v>52.426047935321826</v>
      </c>
      <c r="AC813" s="45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51.978320863309349</v>
      </c>
    </row>
    <row r="814" spans="1:29" ht="15.75" x14ac:dyDescent="0.25">
      <c r="A814" s="13">
        <v>65684</v>
      </c>
      <c r="B814" s="10">
        <f>CHOOSE(CONTROL!$C$42, 51.3355, 51.3355) * CHOOSE(CONTROL!$C$21, $C$9, 100%, $E$9)</f>
        <v>51.335500000000003</v>
      </c>
      <c r="C814" s="10">
        <f>CHOOSE(CONTROL!$C$42, 51.3407, 51.3407) * CHOOSE(CONTROL!$C$21, $C$9, 100%, $E$9)</f>
        <v>51.340699999999998</v>
      </c>
      <c r="D814" s="10">
        <f>CHOOSE(CONTROL!$C$42, 51.5484, 51.5484) * CHOOSE(CONTROL!$C$21, $C$9, 100%, $E$9)</f>
        <v>51.548400000000001</v>
      </c>
      <c r="E814" s="10">
        <f>CHOOSE(CONTROL!$C$42, 51.5772, 51.5772) * CHOOSE(CONTROL!$C$21, $C$9, 100%, $E$9)</f>
        <v>51.577199999999998</v>
      </c>
      <c r="F814" s="10">
        <f>CHOOSE(CONTROL!$C$42, 51.3142, 51.3142)*CHOOSE(CONTROL!$C$21, $C$9, 100%, $E$9)</f>
        <v>51.3142</v>
      </c>
      <c r="G814" s="10">
        <f>CHOOSE(CONTROL!$C$42, 51.3291, 51.3291)*CHOOSE(CONTROL!$C$21, $C$9, 100%, $E$9)</f>
        <v>51.329099999999997</v>
      </c>
      <c r="H814" s="10">
        <f>CHOOSE(CONTROL!$C$42, 51.5676, 51.5676) * CHOOSE(CONTROL!$C$21, $C$9, 100%, $E$9)</f>
        <v>51.567599999999999</v>
      </c>
      <c r="I814" s="10">
        <f>CHOOSE(CONTROL!$C$42, 51.3373, 51.3373)* CHOOSE(CONTROL!$C$21, $C$9, 100%, $E$9)</f>
        <v>51.337299999999999</v>
      </c>
      <c r="J814" s="10">
        <f>CHOOSE(CONTROL!$C$42, 51.3072, 51.3072)* CHOOSE(CONTROL!$C$21, $C$9, 100%, $E$9)</f>
        <v>51.307200000000002</v>
      </c>
      <c r="K814" s="53">
        <f>CHOOSE(CONTROL!$C$42, 51.3334, 51.3334) * CHOOSE(CONTROL!$C$21, $C$9, 100%, $E$9)</f>
        <v>51.333399999999997</v>
      </c>
      <c r="L814" s="10">
        <f>CHOOSE(CONTROL!$C$42, 52.1546, 52.1546) * CHOOSE(CONTROL!$C$21, $C$9, 100%, $E$9)</f>
        <v>52.154600000000002</v>
      </c>
      <c r="M814" s="10">
        <f>CHOOSE(CONTROL!$C$42, 50.8032, 50.8032) * CHOOSE(CONTROL!$C$21, $C$9, 100%, $E$9)</f>
        <v>50.803199999999997</v>
      </c>
      <c r="N814" s="10">
        <f>CHOOSE(CONTROL!$C$42, 50.818, 50.818) * CHOOSE(CONTROL!$C$21, $C$9, 100%, $E$9)</f>
        <v>50.817999999999998</v>
      </c>
      <c r="O814" s="10">
        <f>CHOOSE(CONTROL!$C$42, 51.0611, 51.0611) * CHOOSE(CONTROL!$C$21, $C$9, 100%, $E$9)</f>
        <v>51.061100000000003</v>
      </c>
      <c r="P814" s="10">
        <f>CHOOSE(CONTROL!$C$42, 50.8331, 50.8331) * CHOOSE(CONTROL!$C$21, $C$9, 100%, $E$9)</f>
        <v>50.833100000000002</v>
      </c>
      <c r="Q814" s="10">
        <f>CHOOSE(CONTROL!$C$42, 51.6564, 51.6564) * CHOOSE(CONTROL!$C$21, $C$9, 100%, $E$9)</f>
        <v>51.656399999999998</v>
      </c>
      <c r="R814" s="10">
        <f>CHOOSE(CONTROL!$C$42, 52.3725, 52.3725) * CHOOSE(CONTROL!$C$21, $C$9, 100%, $E$9)</f>
        <v>52.372500000000002</v>
      </c>
      <c r="S814" s="10">
        <f>CHOOSE(CONTROL!$C$42, 49.8493, 49.8493) * CHOOSE(CONTROL!$C$21, $C$9, 100%, $E$9)</f>
        <v>49.849299999999999</v>
      </c>
      <c r="T8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57">
        <f>(1000*CHOOSE(CONTROL!$C$42, 695, 695)*CHOOSE(CONTROL!$C$42, 0.5599, 0.5599)*CHOOSE(CONTROL!$C$42, 31, 31))/1000000</f>
        <v>12.063045499999998</v>
      </c>
      <c r="V814" s="57">
        <f>(1000*CHOOSE(CONTROL!$C$42, 500, 500)*CHOOSE(CONTROL!$C$42, 0.275, 0.275)*CHOOSE(CONTROL!$C$42, 31, 31))/1000000</f>
        <v>4.2625000000000002</v>
      </c>
      <c r="W814" s="57">
        <f>(1000*CHOOSE(CONTROL!$C$42, 0.1146, 0.1146)*CHOOSE(CONTROL!$C$42, 121.5, 121.5)*CHOOSE(CONTROL!$C$42, 31, 31))/1000000</f>
        <v>0.43164089999999994</v>
      </c>
      <c r="X814" s="57">
        <f>(31*0.1790888*245000/1000000)+(31*0.2374*100000/1000000)</f>
        <v>2.0961194359999999</v>
      </c>
      <c r="Y814" s="57"/>
      <c r="Z814" s="10"/>
      <c r="AA814" s="56"/>
      <c r="AB814" s="50">
        <f>(B814*131.881+C814*277.167+D814*79.08+E814*125.872+F814*40+G814*185+H814*0+I814*100+J814*300)/(131.881+277.167+79.08+125.872+0+40+185+100+300)</f>
        <v>51.366456144309922</v>
      </c>
      <c r="AC814" s="45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50.925243884892083</v>
      </c>
    </row>
    <row r="815" spans="1:29" ht="15.75" x14ac:dyDescent="0.25">
      <c r="A815" s="13">
        <v>65714</v>
      </c>
      <c r="B815" s="10">
        <f>CHOOSE(CONTROL!$C$42, 52.6874, 52.6874) * CHOOSE(CONTROL!$C$21, $C$9, 100%, $E$9)</f>
        <v>52.687399999999997</v>
      </c>
      <c r="C815" s="10">
        <f>CHOOSE(CONTROL!$C$42, 52.6923, 52.6923) * CHOOSE(CONTROL!$C$21, $C$9, 100%, $E$9)</f>
        <v>52.692300000000003</v>
      </c>
      <c r="D815" s="10">
        <f>CHOOSE(CONTROL!$C$42, 52.7528, 52.7528) * CHOOSE(CONTROL!$C$21, $C$9, 100%, $E$9)</f>
        <v>52.752800000000001</v>
      </c>
      <c r="E815" s="10">
        <f>CHOOSE(CONTROL!$C$42, 52.7866, 52.7866) * CHOOSE(CONTROL!$C$21, $C$9, 100%, $E$9)</f>
        <v>52.7866</v>
      </c>
      <c r="F815" s="10">
        <f>CHOOSE(CONTROL!$C$42, 52.683, 52.683)*CHOOSE(CONTROL!$C$21, $C$9, 100%, $E$9)</f>
        <v>52.683</v>
      </c>
      <c r="G815" s="10">
        <f>CHOOSE(CONTROL!$C$42, 52.6982, 52.6982)*CHOOSE(CONTROL!$C$21, $C$9, 100%, $E$9)</f>
        <v>52.6982</v>
      </c>
      <c r="H815" s="10">
        <f>CHOOSE(CONTROL!$C$42, 52.7758, 52.7758) * CHOOSE(CONTROL!$C$21, $C$9, 100%, $E$9)</f>
        <v>52.775799999999997</v>
      </c>
      <c r="I815" s="10">
        <f>CHOOSE(CONTROL!$C$42, 52.6999, 52.6999)* CHOOSE(CONTROL!$C$21, $C$9, 100%, $E$9)</f>
        <v>52.6999</v>
      </c>
      <c r="J815" s="10">
        <f>CHOOSE(CONTROL!$C$42, 52.676, 52.676)* CHOOSE(CONTROL!$C$21, $C$9, 100%, $E$9)</f>
        <v>52.676000000000002</v>
      </c>
      <c r="K815" s="53">
        <f>CHOOSE(CONTROL!$C$42, 52.696, 52.696) * CHOOSE(CONTROL!$C$21, $C$9, 100%, $E$9)</f>
        <v>52.695999999999998</v>
      </c>
      <c r="L815" s="10">
        <f>CHOOSE(CONTROL!$C$42, 53.3628, 53.3628) * CHOOSE(CONTROL!$C$21, $C$9, 100%, $E$9)</f>
        <v>53.3628</v>
      </c>
      <c r="M815" s="10">
        <f>CHOOSE(CONTROL!$C$42, 52.1583, 52.1583) * CHOOSE(CONTROL!$C$21, $C$9, 100%, $E$9)</f>
        <v>52.158299999999997</v>
      </c>
      <c r="N815" s="10">
        <f>CHOOSE(CONTROL!$C$42, 52.1733, 52.1733) * CHOOSE(CONTROL!$C$21, $C$9, 100%, $E$9)</f>
        <v>52.173299999999998</v>
      </c>
      <c r="O815" s="10">
        <f>CHOOSE(CONTROL!$C$42, 52.257, 52.257) * CHOOSE(CONTROL!$C$21, $C$9, 100%, $E$9)</f>
        <v>52.256999999999998</v>
      </c>
      <c r="P815" s="10">
        <f>CHOOSE(CONTROL!$C$42, 52.1819, 52.1819) * CHOOSE(CONTROL!$C$21, $C$9, 100%, $E$9)</f>
        <v>52.181899999999999</v>
      </c>
      <c r="Q815" s="10">
        <f>CHOOSE(CONTROL!$C$42, 52.8523, 52.8523) * CHOOSE(CONTROL!$C$21, $C$9, 100%, $E$9)</f>
        <v>52.8523</v>
      </c>
      <c r="R815" s="10">
        <f>CHOOSE(CONTROL!$C$42, 53.5715, 53.5715) * CHOOSE(CONTROL!$C$21, $C$9, 100%, $E$9)</f>
        <v>53.5715</v>
      </c>
      <c r="S815" s="10">
        <f>CHOOSE(CONTROL!$C$42, 51.1626, 51.1626) * CHOOSE(CONTROL!$C$21, $C$9, 100%, $E$9)</f>
        <v>51.162599999999998</v>
      </c>
      <c r="T8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57">
        <f>(1000*CHOOSE(CONTROL!$C$42, 695, 695)*CHOOSE(CONTROL!$C$42, 0.5599, 0.5599)*CHOOSE(CONTROL!$C$42, 30, 30))/1000000</f>
        <v>11.673914999999997</v>
      </c>
      <c r="V815" s="57">
        <f>(1000*CHOOSE(CONTROL!$C$42, 500, 500)*CHOOSE(CONTROL!$C$42, 0.275, 0.275)*CHOOSE(CONTROL!$C$42, 30, 30))/1000000</f>
        <v>4.125</v>
      </c>
      <c r="W815" s="57">
        <f>(1000*CHOOSE(CONTROL!$C$42, 0.1146, 0.1146)*CHOOSE(CONTROL!$C$42, 121.5, 121.5)*CHOOSE(CONTROL!$C$42, 30, 30))/1000000</f>
        <v>0.417717</v>
      </c>
      <c r="X815" s="57">
        <f>(30*0.1790888*100000/1000000)+(30*0.2374*100000/1000000)</f>
        <v>1.2494664</v>
      </c>
      <c r="Y815" s="57"/>
      <c r="Z815" s="10"/>
      <c r="AA815" s="56"/>
      <c r="AB815" s="50">
        <f>(B815*122.58+C815*297.941+D815*89.177+E815*40.302+F815*40+G815*160+H815*0+I815*100+J815*300)/(122.58+297.941+89.177+40.302+0+40+160+100+300)</f>
        <v>52.696680039217391</v>
      </c>
      <c r="AC815" s="45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52.20729352517985</v>
      </c>
    </row>
    <row r="816" spans="1:29" ht="15.75" x14ac:dyDescent="0.25">
      <c r="A816" s="13">
        <v>65745</v>
      </c>
      <c r="B816" s="10">
        <f>CHOOSE(CONTROL!$C$42, 56.2794, 56.2794) * CHOOSE(CONTROL!$C$21, $C$9, 100%, $E$9)</f>
        <v>56.279400000000003</v>
      </c>
      <c r="C816" s="10">
        <f>CHOOSE(CONTROL!$C$42, 56.2843, 56.2843) * CHOOSE(CONTROL!$C$21, $C$9, 100%, $E$9)</f>
        <v>56.284300000000002</v>
      </c>
      <c r="D816" s="10">
        <f>CHOOSE(CONTROL!$C$42, 56.3448, 56.3448) * CHOOSE(CONTROL!$C$21, $C$9, 100%, $E$9)</f>
        <v>56.344799999999999</v>
      </c>
      <c r="E816" s="10">
        <f>CHOOSE(CONTROL!$C$42, 56.3786, 56.3786) * CHOOSE(CONTROL!$C$21, $C$9, 100%, $E$9)</f>
        <v>56.378599999999999</v>
      </c>
      <c r="F816" s="10">
        <f>CHOOSE(CONTROL!$C$42, 56.2768, 56.2768)*CHOOSE(CONTROL!$C$21, $C$9, 100%, $E$9)</f>
        <v>56.276800000000001</v>
      </c>
      <c r="G816" s="10">
        <f>CHOOSE(CONTROL!$C$42, 56.2925, 56.2925)*CHOOSE(CONTROL!$C$21, $C$9, 100%, $E$9)</f>
        <v>56.292499999999997</v>
      </c>
      <c r="H816" s="10">
        <f>CHOOSE(CONTROL!$C$42, 56.3678, 56.3678) * CHOOSE(CONTROL!$C$21, $C$9, 100%, $E$9)</f>
        <v>56.367800000000003</v>
      </c>
      <c r="I816" s="10">
        <f>CHOOSE(CONTROL!$C$42, 56.2919, 56.2919)* CHOOSE(CONTROL!$C$21, $C$9, 100%, $E$9)</f>
        <v>56.291899999999998</v>
      </c>
      <c r="J816" s="10">
        <f>CHOOSE(CONTROL!$C$42, 56.2698, 56.2698)* CHOOSE(CONTROL!$C$21, $C$9, 100%, $E$9)</f>
        <v>56.269799999999996</v>
      </c>
      <c r="K816" s="53">
        <f>CHOOSE(CONTROL!$C$42, 56.288, 56.288) * CHOOSE(CONTROL!$C$21, $C$9, 100%, $E$9)</f>
        <v>56.287999999999997</v>
      </c>
      <c r="L816" s="10">
        <f>CHOOSE(CONTROL!$C$42, 56.9548, 56.9548) * CHOOSE(CONTROL!$C$21, $C$9, 100%, $E$9)</f>
        <v>56.954799999999999</v>
      </c>
      <c r="M816" s="10">
        <f>CHOOSE(CONTROL!$C$42, 55.7158, 55.7158) * CHOOSE(CONTROL!$C$21, $C$9, 100%, $E$9)</f>
        <v>55.715800000000002</v>
      </c>
      <c r="N816" s="10">
        <f>CHOOSE(CONTROL!$C$42, 55.7314, 55.7314) * CHOOSE(CONTROL!$C$21, $C$9, 100%, $E$9)</f>
        <v>55.731400000000001</v>
      </c>
      <c r="O816" s="10">
        <f>CHOOSE(CONTROL!$C$42, 55.8128, 55.8128) * CHOOSE(CONTROL!$C$21, $C$9, 100%, $E$9)</f>
        <v>55.812800000000003</v>
      </c>
      <c r="P816" s="10">
        <f>CHOOSE(CONTROL!$C$42, 55.7377, 55.7377) * CHOOSE(CONTROL!$C$21, $C$9, 100%, $E$9)</f>
        <v>55.737699999999997</v>
      </c>
      <c r="Q816" s="10">
        <f>CHOOSE(CONTROL!$C$42, 56.4081, 56.4081) * CHOOSE(CONTROL!$C$21, $C$9, 100%, $E$9)</f>
        <v>56.408099999999997</v>
      </c>
      <c r="R816" s="10">
        <f>CHOOSE(CONTROL!$C$42, 57.1361, 57.1361) * CHOOSE(CONTROL!$C$21, $C$9, 100%, $E$9)</f>
        <v>57.136099999999999</v>
      </c>
      <c r="S816" s="10">
        <f>CHOOSE(CONTROL!$C$42, 54.6508, 54.6508) * CHOOSE(CONTROL!$C$21, $C$9, 100%, $E$9)</f>
        <v>54.650799999999997</v>
      </c>
      <c r="T8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57">
        <f>(1000*CHOOSE(CONTROL!$C$42, 695, 695)*CHOOSE(CONTROL!$C$42, 0.5599, 0.5599)*CHOOSE(CONTROL!$C$42, 31, 31))/1000000</f>
        <v>12.063045499999998</v>
      </c>
      <c r="V816" s="57">
        <f>(1000*CHOOSE(CONTROL!$C$42, 500, 500)*CHOOSE(CONTROL!$C$42, 0.275, 0.275)*CHOOSE(CONTROL!$C$42, 31, 31))/1000000</f>
        <v>4.2625000000000002</v>
      </c>
      <c r="W816" s="57">
        <f>(1000*CHOOSE(CONTROL!$C$42, 0.1146, 0.1146)*CHOOSE(CONTROL!$C$42, 121.5, 121.5)*CHOOSE(CONTROL!$C$42, 31, 31))/1000000</f>
        <v>0.43164089999999994</v>
      </c>
      <c r="X816" s="57">
        <f>(31*0.1790888*100000/1000000)+(31*0.2374*100000/1000000)</f>
        <v>1.2911152800000001</v>
      </c>
      <c r="Y816" s="57"/>
      <c r="Z816" s="10"/>
      <c r="AA816" s="56"/>
      <c r="AB816" s="50">
        <f>(B816*122.58+C816*297.941+D816*89.177+E816*40.302+F816*40+G816*160+H816*0+I816*100+J816*300)/(122.58+297.941+89.177+40.302+0+40+160+100+300)</f>
        <v>56.289532213130443</v>
      </c>
      <c r="AC816" s="45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55.763812949640283</v>
      </c>
    </row>
    <row r="817" spans="1:29" ht="15.75" x14ac:dyDescent="0.25">
      <c r="A817" s="13">
        <v>65776</v>
      </c>
      <c r="B817" s="10">
        <f>CHOOSE(CONTROL!$C$42, 60.8905, 60.8905) * CHOOSE(CONTROL!$C$21, $C$9, 100%, $E$9)</f>
        <v>60.890500000000003</v>
      </c>
      <c r="C817" s="10">
        <f>CHOOSE(CONTROL!$C$42, 60.8955, 60.8955) * CHOOSE(CONTROL!$C$21, $C$9, 100%, $E$9)</f>
        <v>60.895499999999998</v>
      </c>
      <c r="D817" s="10">
        <f>CHOOSE(CONTROL!$C$42, 60.9525, 60.9525) * CHOOSE(CONTROL!$C$21, $C$9, 100%, $E$9)</f>
        <v>60.952500000000001</v>
      </c>
      <c r="E817" s="10">
        <f>CHOOSE(CONTROL!$C$42, 60.9863, 60.9863) * CHOOSE(CONTROL!$C$21, $C$9, 100%, $E$9)</f>
        <v>60.9863</v>
      </c>
      <c r="F817" s="10">
        <f>CHOOSE(CONTROL!$C$42, 60.8883, 60.8883)*CHOOSE(CONTROL!$C$21, $C$9, 100%, $E$9)</f>
        <v>60.888300000000001</v>
      </c>
      <c r="G817" s="10">
        <f>CHOOSE(CONTROL!$C$42, 60.9029, 60.9029)*CHOOSE(CONTROL!$C$21, $C$9, 100%, $E$9)</f>
        <v>60.902900000000002</v>
      </c>
      <c r="H817" s="10">
        <f>CHOOSE(CONTROL!$C$42, 60.9755, 60.9755) * CHOOSE(CONTROL!$C$21, $C$9, 100%, $E$9)</f>
        <v>60.975499999999997</v>
      </c>
      <c r="I817" s="10">
        <f>CHOOSE(CONTROL!$C$42, 60.9013, 60.9013)* CHOOSE(CONTROL!$C$21, $C$9, 100%, $E$9)</f>
        <v>60.901299999999999</v>
      </c>
      <c r="J817" s="10">
        <f>CHOOSE(CONTROL!$C$42, 60.8813, 60.8813)* CHOOSE(CONTROL!$C$21, $C$9, 100%, $E$9)</f>
        <v>60.881300000000003</v>
      </c>
      <c r="K817" s="53">
        <f>CHOOSE(CONTROL!$C$42, 60.8974, 60.8974) * CHOOSE(CONTROL!$C$21, $C$9, 100%, $E$9)</f>
        <v>60.897399999999998</v>
      </c>
      <c r="L817" s="10">
        <f>CHOOSE(CONTROL!$C$42, 61.5625, 61.5625) * CHOOSE(CONTROL!$C$21, $C$9, 100%, $E$9)</f>
        <v>61.5625</v>
      </c>
      <c r="M817" s="10">
        <f>CHOOSE(CONTROL!$C$42, 60.2808, 60.2808) * CHOOSE(CONTROL!$C$21, $C$9, 100%, $E$9)</f>
        <v>60.280799999999999</v>
      </c>
      <c r="N817" s="10">
        <f>CHOOSE(CONTROL!$C$42, 60.2952, 60.2952) * CHOOSE(CONTROL!$C$21, $C$9, 100%, $E$9)</f>
        <v>60.295200000000001</v>
      </c>
      <c r="O817" s="10">
        <f>CHOOSE(CONTROL!$C$42, 60.374, 60.374) * CHOOSE(CONTROL!$C$21, $C$9, 100%, $E$9)</f>
        <v>60.374000000000002</v>
      </c>
      <c r="P817" s="10">
        <f>CHOOSE(CONTROL!$C$42, 60.3006, 60.3006) * CHOOSE(CONTROL!$C$21, $C$9, 100%, $E$9)</f>
        <v>60.300600000000003</v>
      </c>
      <c r="Q817" s="10">
        <f>CHOOSE(CONTROL!$C$42, 60.9693, 60.9693) * CHOOSE(CONTROL!$C$21, $C$9, 100%, $E$9)</f>
        <v>60.969299999999997</v>
      </c>
      <c r="R817" s="10">
        <f>CHOOSE(CONTROL!$C$42, 61.7087, 61.7087) * CHOOSE(CONTROL!$C$21, $C$9, 100%, $E$9)</f>
        <v>61.7087</v>
      </c>
      <c r="S817" s="10">
        <f>CHOOSE(CONTROL!$C$42, 59.1286, 59.1286) * CHOOSE(CONTROL!$C$21, $C$9, 100%, $E$9)</f>
        <v>59.128599999999999</v>
      </c>
      <c r="T8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57">
        <f>(1000*CHOOSE(CONTROL!$C$42, 695, 695)*CHOOSE(CONTROL!$C$42, 0.5599, 0.5599)*CHOOSE(CONTROL!$C$42, 31, 31))/1000000</f>
        <v>12.063045499999998</v>
      </c>
      <c r="V817" s="57">
        <f>(1000*CHOOSE(CONTROL!$C$42, 500, 500)*CHOOSE(CONTROL!$C$42, 0.275, 0.275)*CHOOSE(CONTROL!$C$42, 31, 31))/1000000</f>
        <v>4.2625000000000002</v>
      </c>
      <c r="W817" s="57">
        <f>(1000*CHOOSE(CONTROL!$C$42, 0.1146, 0.1146)*CHOOSE(CONTROL!$C$42, 121.5, 121.5)*CHOOSE(CONTROL!$C$42, 31, 31))/1000000</f>
        <v>0.43164089999999994</v>
      </c>
      <c r="X817" s="57">
        <f>(31*0.1790888*100000/1000000)+(31*0.2374*100000/1000000)</f>
        <v>1.2911152800000001</v>
      </c>
      <c r="Y817" s="57"/>
      <c r="Z817" s="10"/>
      <c r="AA817" s="56"/>
      <c r="AB817" s="50">
        <f>(B817*122.58+C817*297.941+D817*89.177+E817*40.302+F817*40+G817*160+H817*0+I817*100+J817*300)/(122.58+297.941+89.177+40.302+0+40+160+100+300)</f>
        <v>60.90014835704347</v>
      </c>
      <c r="AC817" s="45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60.326719424460428</v>
      </c>
    </row>
    <row r="818" spans="1:29" ht="15.75" x14ac:dyDescent="0.25">
      <c r="A818" s="13">
        <v>65805</v>
      </c>
      <c r="B818" s="10">
        <f>CHOOSE(CONTROL!$C$42, 61.9744, 61.9744) * CHOOSE(CONTROL!$C$21, $C$9, 100%, $E$9)</f>
        <v>61.974400000000003</v>
      </c>
      <c r="C818" s="10">
        <f>CHOOSE(CONTROL!$C$42, 61.9793, 61.9793) * CHOOSE(CONTROL!$C$21, $C$9, 100%, $E$9)</f>
        <v>61.979300000000002</v>
      </c>
      <c r="D818" s="10">
        <f>CHOOSE(CONTROL!$C$42, 62.0364, 62.0364) * CHOOSE(CONTROL!$C$21, $C$9, 100%, $E$9)</f>
        <v>62.0364</v>
      </c>
      <c r="E818" s="10">
        <f>CHOOSE(CONTROL!$C$42, 62.0702, 62.0702) * CHOOSE(CONTROL!$C$21, $C$9, 100%, $E$9)</f>
        <v>62.0702</v>
      </c>
      <c r="F818" s="10">
        <f>CHOOSE(CONTROL!$C$42, 61.9723, 61.9723)*CHOOSE(CONTROL!$C$21, $C$9, 100%, $E$9)</f>
        <v>61.972299999999997</v>
      </c>
      <c r="G818" s="10">
        <f>CHOOSE(CONTROL!$C$42, 61.987, 61.987)*CHOOSE(CONTROL!$C$21, $C$9, 100%, $E$9)</f>
        <v>61.987000000000002</v>
      </c>
      <c r="H818" s="10">
        <f>CHOOSE(CONTROL!$C$42, 62.0594, 62.0594) * CHOOSE(CONTROL!$C$21, $C$9, 100%, $E$9)</f>
        <v>62.059399999999997</v>
      </c>
      <c r="I818" s="10">
        <f>CHOOSE(CONTROL!$C$42, 61.9852, 61.9852)* CHOOSE(CONTROL!$C$21, $C$9, 100%, $E$9)</f>
        <v>61.985199999999999</v>
      </c>
      <c r="J818" s="10">
        <f>CHOOSE(CONTROL!$C$42, 61.9653, 61.9653)* CHOOSE(CONTROL!$C$21, $C$9, 100%, $E$9)</f>
        <v>61.965299999999999</v>
      </c>
      <c r="K818" s="53">
        <f>CHOOSE(CONTROL!$C$42, 61.9813, 61.9813) * CHOOSE(CONTROL!$C$21, $C$9, 100%, $E$9)</f>
        <v>61.981299999999997</v>
      </c>
      <c r="L818" s="10">
        <f>CHOOSE(CONTROL!$C$42, 62.6464, 62.6464) * CHOOSE(CONTROL!$C$21, $C$9, 100%, $E$9)</f>
        <v>62.6464</v>
      </c>
      <c r="M818" s="10">
        <f>CHOOSE(CONTROL!$C$42, 61.3538, 61.3538) * CHOOSE(CONTROL!$C$21, $C$9, 100%, $E$9)</f>
        <v>61.3538</v>
      </c>
      <c r="N818" s="10">
        <f>CHOOSE(CONTROL!$C$42, 61.3683, 61.3683) * CHOOSE(CONTROL!$C$21, $C$9, 100%, $E$9)</f>
        <v>61.368299999999998</v>
      </c>
      <c r="O818" s="10">
        <f>CHOOSE(CONTROL!$C$42, 61.4469, 61.4469) * CHOOSE(CONTROL!$C$21, $C$9, 100%, $E$9)</f>
        <v>61.446899999999999</v>
      </c>
      <c r="P818" s="10">
        <f>CHOOSE(CONTROL!$C$42, 61.3735, 61.3735) * CHOOSE(CONTROL!$C$21, $C$9, 100%, $E$9)</f>
        <v>61.3735</v>
      </c>
      <c r="Q818" s="10">
        <f>CHOOSE(CONTROL!$C$42, 62.0422, 62.0422) * CHOOSE(CONTROL!$C$21, $C$9, 100%, $E$9)</f>
        <v>62.042200000000001</v>
      </c>
      <c r="R818" s="10">
        <f>CHOOSE(CONTROL!$C$42, 62.7843, 62.7843) * CHOOSE(CONTROL!$C$21, $C$9, 100%, $E$9)</f>
        <v>62.784300000000002</v>
      </c>
      <c r="S818" s="10">
        <f>CHOOSE(CONTROL!$C$42, 60.1812, 60.1812) * CHOOSE(CONTROL!$C$21, $C$9, 100%, $E$9)</f>
        <v>60.181199999999997</v>
      </c>
      <c r="T81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18" s="57">
        <f>(1000*CHOOSE(CONTROL!$C$42, 695, 695)*CHOOSE(CONTROL!$C$42, 0.5599, 0.5599)*CHOOSE(CONTROL!$C$42, 29, 29))/1000000</f>
        <v>11.284784499999999</v>
      </c>
      <c r="V818" s="57">
        <f>(1000*CHOOSE(CONTROL!$C$42, 500, 500)*CHOOSE(CONTROL!$C$42, 0.275, 0.275)*CHOOSE(CONTROL!$C$42, 29, 29))/1000000</f>
        <v>3.9874999999999998</v>
      </c>
      <c r="W818" s="57">
        <f>(1000*CHOOSE(CONTROL!$C$42, 0.1146, 0.1146)*CHOOSE(CONTROL!$C$42, 121.5, 121.5)*CHOOSE(CONTROL!$C$42, 29, 29))/1000000</f>
        <v>0.40379309999999996</v>
      </c>
      <c r="X818" s="57">
        <f>(29*0.1790888*100000/1000000)+(29*0.2374*100000/1000000)</f>
        <v>1.2078175199999999</v>
      </c>
      <c r="Y818" s="57"/>
      <c r="Z818" s="10"/>
      <c r="AA818" s="56"/>
      <c r="AB818" s="50">
        <f>(B818*122.58+C818*297.941+D818*89.177+E818*40.302+F818*40+G818*160+H818*0+I818*100+J818*300)/(122.58+297.941+89.177+40.302+0+40+160+100+300)</f>
        <v>61.984079840434781</v>
      </c>
      <c r="AC818" s="45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61.399665467625894</v>
      </c>
    </row>
    <row r="819" spans="1:29" ht="15.75" x14ac:dyDescent="0.25">
      <c r="A819" s="13">
        <v>65836</v>
      </c>
      <c r="B819" s="10">
        <f>CHOOSE(CONTROL!$C$42, 60.215, 60.215) * CHOOSE(CONTROL!$C$21, $C$9, 100%, $E$9)</f>
        <v>60.215000000000003</v>
      </c>
      <c r="C819" s="10">
        <f>CHOOSE(CONTROL!$C$42, 60.2199, 60.2199) * CHOOSE(CONTROL!$C$21, $C$9, 100%, $E$9)</f>
        <v>60.219900000000003</v>
      </c>
      <c r="D819" s="10">
        <f>CHOOSE(CONTROL!$C$42, 60.277, 60.277) * CHOOSE(CONTROL!$C$21, $C$9, 100%, $E$9)</f>
        <v>60.277000000000001</v>
      </c>
      <c r="E819" s="10">
        <f>CHOOSE(CONTROL!$C$42, 60.3108, 60.3108) * CHOOSE(CONTROL!$C$21, $C$9, 100%, $E$9)</f>
        <v>60.3108</v>
      </c>
      <c r="F819" s="10">
        <f>CHOOSE(CONTROL!$C$42, 60.2128, 60.2128)*CHOOSE(CONTROL!$C$21, $C$9, 100%, $E$9)</f>
        <v>60.212800000000001</v>
      </c>
      <c r="G819" s="10">
        <f>CHOOSE(CONTROL!$C$42, 60.2274, 60.2274)*CHOOSE(CONTROL!$C$21, $C$9, 100%, $E$9)</f>
        <v>60.227400000000003</v>
      </c>
      <c r="H819" s="10">
        <f>CHOOSE(CONTROL!$C$42, 60.3, 60.3) * CHOOSE(CONTROL!$C$21, $C$9, 100%, $E$9)</f>
        <v>60.3</v>
      </c>
      <c r="I819" s="10">
        <f>CHOOSE(CONTROL!$C$42, 60.2258, 60.2258)* CHOOSE(CONTROL!$C$21, $C$9, 100%, $E$9)</f>
        <v>60.2258</v>
      </c>
      <c r="J819" s="10">
        <f>CHOOSE(CONTROL!$C$42, 60.2058, 60.2058)* CHOOSE(CONTROL!$C$21, $C$9, 100%, $E$9)</f>
        <v>60.205800000000004</v>
      </c>
      <c r="K819" s="53">
        <f>CHOOSE(CONTROL!$C$42, 60.2219, 60.2219) * CHOOSE(CONTROL!$C$21, $C$9, 100%, $E$9)</f>
        <v>60.221899999999998</v>
      </c>
      <c r="L819" s="10">
        <f>CHOOSE(CONTROL!$C$42, 60.887, 60.887) * CHOOSE(CONTROL!$C$21, $C$9, 100%, $E$9)</f>
        <v>60.887</v>
      </c>
      <c r="M819" s="10">
        <f>CHOOSE(CONTROL!$C$42, 59.612, 59.612) * CHOOSE(CONTROL!$C$21, $C$9, 100%, $E$9)</f>
        <v>59.612000000000002</v>
      </c>
      <c r="N819" s="10">
        <f>CHOOSE(CONTROL!$C$42, 59.6265, 59.6265) * CHOOSE(CONTROL!$C$21, $C$9, 100%, $E$9)</f>
        <v>59.6265</v>
      </c>
      <c r="O819" s="10">
        <f>CHOOSE(CONTROL!$C$42, 59.7053, 59.7053) * CHOOSE(CONTROL!$C$21, $C$9, 100%, $E$9)</f>
        <v>59.705300000000001</v>
      </c>
      <c r="P819" s="10">
        <f>CHOOSE(CONTROL!$C$42, 59.6319, 59.6319) * CHOOSE(CONTROL!$C$21, $C$9, 100%, $E$9)</f>
        <v>59.631900000000002</v>
      </c>
      <c r="Q819" s="10">
        <f>CHOOSE(CONTROL!$C$42, 60.3006, 60.3006) * CHOOSE(CONTROL!$C$21, $C$9, 100%, $E$9)</f>
        <v>60.300600000000003</v>
      </c>
      <c r="R819" s="10">
        <f>CHOOSE(CONTROL!$C$42, 61.0383, 61.0383) * CHOOSE(CONTROL!$C$21, $C$9, 100%, $E$9)</f>
        <v>61.0383</v>
      </c>
      <c r="S819" s="10">
        <f>CHOOSE(CONTROL!$C$42, 58.4726, 58.4726) * CHOOSE(CONTROL!$C$21, $C$9, 100%, $E$9)</f>
        <v>58.4726</v>
      </c>
      <c r="T8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57">
        <f>(1000*CHOOSE(CONTROL!$C$42, 695, 695)*CHOOSE(CONTROL!$C$42, 0.5599, 0.5599)*CHOOSE(CONTROL!$C$42, 31, 31))/1000000</f>
        <v>12.063045499999998</v>
      </c>
      <c r="V819" s="57">
        <f>(1000*CHOOSE(CONTROL!$C$42, 500, 500)*CHOOSE(CONTROL!$C$42, 0.275, 0.275)*CHOOSE(CONTROL!$C$42, 31, 31))/1000000</f>
        <v>4.2625000000000002</v>
      </c>
      <c r="W819" s="57">
        <f>(1000*CHOOSE(CONTROL!$C$42, 0.1146, 0.1146)*CHOOSE(CONTROL!$C$42, 121.5, 121.5)*CHOOSE(CONTROL!$C$42, 31, 31))/1000000</f>
        <v>0.43164089999999994</v>
      </c>
      <c r="X819" s="57">
        <f>(31*0.1790888*100000/1000000)+(31*0.2374*100000/1000000)</f>
        <v>1.2911152800000001</v>
      </c>
      <c r="Y819" s="57"/>
      <c r="Z819" s="10"/>
      <c r="AA819" s="56"/>
      <c r="AB819" s="50">
        <f>(B819*122.58+C819*297.941+D819*89.177+E819*40.302+F819*40+G819*160+H819*0+I819*100+J819*300)/(122.58+297.941+89.177+40.302+0+40+160+100+300)</f>
        <v>60.224622449130443</v>
      </c>
      <c r="AC819" s="45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59.65798489208634</v>
      </c>
    </row>
    <row r="820" spans="1:29" ht="15.75" x14ac:dyDescent="0.25">
      <c r="A820" s="13">
        <v>65866</v>
      </c>
      <c r="B820" s="10">
        <f>CHOOSE(CONTROL!$C$42, 60.0359, 60.0359) * CHOOSE(CONTROL!$C$21, $C$9, 100%, $E$9)</f>
        <v>60.035899999999998</v>
      </c>
      <c r="C820" s="10">
        <f>CHOOSE(CONTROL!$C$42, 60.0402, 60.0402) * CHOOSE(CONTROL!$C$21, $C$9, 100%, $E$9)</f>
        <v>60.040199999999999</v>
      </c>
      <c r="D820" s="10">
        <f>CHOOSE(CONTROL!$C$42, 60.2461, 60.2461) * CHOOSE(CONTROL!$C$21, $C$9, 100%, $E$9)</f>
        <v>60.246099999999998</v>
      </c>
      <c r="E820" s="10">
        <f>CHOOSE(CONTROL!$C$42, 60.2779, 60.2779) * CHOOSE(CONTROL!$C$21, $C$9, 100%, $E$9)</f>
        <v>60.277900000000002</v>
      </c>
      <c r="F820" s="10">
        <f>CHOOSE(CONTROL!$C$42, 60.0126, 60.0126)*CHOOSE(CONTROL!$C$21, $C$9, 100%, $E$9)</f>
        <v>60.012599999999999</v>
      </c>
      <c r="G820" s="10">
        <f>CHOOSE(CONTROL!$C$42, 60.0271, 60.0271)*CHOOSE(CONTROL!$C$21, $C$9, 100%, $E$9)</f>
        <v>60.027099999999997</v>
      </c>
      <c r="H820" s="10">
        <f>CHOOSE(CONTROL!$C$42, 60.2677, 60.2677) * CHOOSE(CONTROL!$C$21, $C$9, 100%, $E$9)</f>
        <v>60.267699999999998</v>
      </c>
      <c r="I820" s="10">
        <f>CHOOSE(CONTROL!$C$42, 60.0373, 60.0373)* CHOOSE(CONTROL!$C$21, $C$9, 100%, $E$9)</f>
        <v>60.037300000000002</v>
      </c>
      <c r="J820" s="10">
        <f>CHOOSE(CONTROL!$C$42, 60.0056, 60.0056)* CHOOSE(CONTROL!$C$21, $C$9, 100%, $E$9)</f>
        <v>60.005600000000001</v>
      </c>
      <c r="K820" s="53">
        <f>CHOOSE(CONTROL!$C$42, 60.0334, 60.0334) * CHOOSE(CONTROL!$C$21, $C$9, 100%, $E$9)</f>
        <v>60.0334</v>
      </c>
      <c r="L820" s="10">
        <f>CHOOSE(CONTROL!$C$42, 60.8547, 60.8547) * CHOOSE(CONTROL!$C$21, $C$9, 100%, $E$9)</f>
        <v>60.854700000000001</v>
      </c>
      <c r="M820" s="10">
        <f>CHOOSE(CONTROL!$C$42, 59.4139, 59.4139) * CHOOSE(CONTROL!$C$21, $C$9, 100%, $E$9)</f>
        <v>59.413899999999998</v>
      </c>
      <c r="N820" s="10">
        <f>CHOOSE(CONTROL!$C$42, 59.4283, 59.4283) * CHOOSE(CONTROL!$C$21, $C$9, 100%, $E$9)</f>
        <v>59.4283</v>
      </c>
      <c r="O820" s="10">
        <f>CHOOSE(CONTROL!$C$42, 59.6733, 59.6733) * CHOOSE(CONTROL!$C$21, $C$9, 100%, $E$9)</f>
        <v>59.673299999999998</v>
      </c>
      <c r="P820" s="10">
        <f>CHOOSE(CONTROL!$C$42, 59.4453, 59.4453) * CHOOSE(CONTROL!$C$21, $C$9, 100%, $E$9)</f>
        <v>59.445300000000003</v>
      </c>
      <c r="Q820" s="10">
        <f>CHOOSE(CONTROL!$C$42, 60.2686, 60.2686) * CHOOSE(CONTROL!$C$21, $C$9, 100%, $E$9)</f>
        <v>60.268599999999999</v>
      </c>
      <c r="R820" s="10">
        <f>CHOOSE(CONTROL!$C$42, 61.0063, 61.0063) * CHOOSE(CONTROL!$C$21, $C$9, 100%, $E$9)</f>
        <v>61.006300000000003</v>
      </c>
      <c r="S820" s="10">
        <f>CHOOSE(CONTROL!$C$42, 58.2979, 58.2979) * CHOOSE(CONTROL!$C$21, $C$9, 100%, $E$9)</f>
        <v>58.297899999999998</v>
      </c>
      <c r="T8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57">
        <f>(1000*CHOOSE(CONTROL!$C$42, 695, 695)*CHOOSE(CONTROL!$C$42, 0.5599, 0.5599)*CHOOSE(CONTROL!$C$42, 30, 30))/1000000</f>
        <v>11.673914999999997</v>
      </c>
      <c r="V820" s="57">
        <f>(1000*CHOOSE(CONTROL!$C$42, 500, 500)*CHOOSE(CONTROL!$C$42, 0.275, 0.275)*CHOOSE(CONTROL!$C$42, 30, 30))/1000000</f>
        <v>4.125</v>
      </c>
      <c r="W820" s="57">
        <f>(1000*CHOOSE(CONTROL!$C$42, 0.1146, 0.1146)*CHOOSE(CONTROL!$C$42, 121.5, 121.5)*CHOOSE(CONTROL!$C$42, 30, 30))/1000000</f>
        <v>0.417717</v>
      </c>
      <c r="X820" s="57">
        <f>(30*0.1790888*245000/1000000)+(30*0.2374*100000/1000000)</f>
        <v>2.0285026799999999</v>
      </c>
      <c r="Y820" s="57"/>
      <c r="Z820" s="10"/>
      <c r="AA820" s="56"/>
      <c r="AB820" s="50">
        <f>(B820*141.293+C820*267.993+D820*115.016+E820*89.698+F820*40+G820*185+H820*0+I820*100+J820*300)/(141.293+267.993+115.016+89.698+0+40+185+100+300)</f>
        <v>60.064572840274415</v>
      </c>
      <c r="AC820" s="45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59.53681654676258</v>
      </c>
    </row>
    <row r="821" spans="1:29" ht="15.75" x14ac:dyDescent="0.25">
      <c r="A821" s="13">
        <v>65897</v>
      </c>
      <c r="B821" s="10">
        <f>CHOOSE(CONTROL!$C$42, 60.5671, 60.5671) * CHOOSE(CONTROL!$C$21, $C$9, 100%, $E$9)</f>
        <v>60.567100000000003</v>
      </c>
      <c r="C821" s="10">
        <f>CHOOSE(CONTROL!$C$42, 60.575, 60.575) * CHOOSE(CONTROL!$C$21, $C$9, 100%, $E$9)</f>
        <v>60.575000000000003</v>
      </c>
      <c r="D821" s="10">
        <f>CHOOSE(CONTROL!$C$42, 60.7778, 60.7778) * CHOOSE(CONTROL!$C$21, $C$9, 100%, $E$9)</f>
        <v>60.777799999999999</v>
      </c>
      <c r="E821" s="10">
        <f>CHOOSE(CONTROL!$C$42, 60.8089, 60.8089) * CHOOSE(CONTROL!$C$21, $C$9, 100%, $E$9)</f>
        <v>60.808900000000001</v>
      </c>
      <c r="F821" s="10">
        <f>CHOOSE(CONTROL!$C$42, 60.5428, 60.5428)*CHOOSE(CONTROL!$C$21, $C$9, 100%, $E$9)</f>
        <v>60.5428</v>
      </c>
      <c r="G821" s="10">
        <f>CHOOSE(CONTROL!$C$42, 60.5578, 60.5578)*CHOOSE(CONTROL!$C$21, $C$9, 100%, $E$9)</f>
        <v>60.5578</v>
      </c>
      <c r="H821" s="10">
        <f>CHOOSE(CONTROL!$C$42, 60.7975, 60.7975) * CHOOSE(CONTROL!$C$21, $C$9, 100%, $E$9)</f>
        <v>60.797499999999999</v>
      </c>
      <c r="I821" s="10">
        <f>CHOOSE(CONTROL!$C$42, 60.5671, 60.5671)* CHOOSE(CONTROL!$C$21, $C$9, 100%, $E$9)</f>
        <v>60.567100000000003</v>
      </c>
      <c r="J821" s="10">
        <f>CHOOSE(CONTROL!$C$42, 60.5358, 60.5358)* CHOOSE(CONTROL!$C$21, $C$9, 100%, $E$9)</f>
        <v>60.535800000000002</v>
      </c>
      <c r="K821" s="53">
        <f>CHOOSE(CONTROL!$C$42, 60.5633, 60.5633) * CHOOSE(CONTROL!$C$21, $C$9, 100%, $E$9)</f>
        <v>60.563299999999998</v>
      </c>
      <c r="L821" s="10">
        <f>CHOOSE(CONTROL!$C$42, 61.3845, 61.3845) * CHOOSE(CONTROL!$C$21, $C$9, 100%, $E$9)</f>
        <v>61.384500000000003</v>
      </c>
      <c r="M821" s="10">
        <f>CHOOSE(CONTROL!$C$42, 59.9387, 59.9387) * CHOOSE(CONTROL!$C$21, $C$9, 100%, $E$9)</f>
        <v>59.938699999999997</v>
      </c>
      <c r="N821" s="10">
        <f>CHOOSE(CONTROL!$C$42, 59.9536, 59.9536) * CHOOSE(CONTROL!$C$21, $C$9, 100%, $E$9)</f>
        <v>59.953600000000002</v>
      </c>
      <c r="O821" s="10">
        <f>CHOOSE(CONTROL!$C$42, 60.1978, 60.1978) * CHOOSE(CONTROL!$C$21, $C$9, 100%, $E$9)</f>
        <v>60.197800000000001</v>
      </c>
      <c r="P821" s="10">
        <f>CHOOSE(CONTROL!$C$42, 59.9698, 59.9698) * CHOOSE(CONTROL!$C$21, $C$9, 100%, $E$9)</f>
        <v>59.969799999999999</v>
      </c>
      <c r="Q821" s="10">
        <f>CHOOSE(CONTROL!$C$42, 60.7931, 60.7931) * CHOOSE(CONTROL!$C$21, $C$9, 100%, $E$9)</f>
        <v>60.793100000000003</v>
      </c>
      <c r="R821" s="10">
        <f>CHOOSE(CONTROL!$C$42, 61.5321, 61.5321) * CHOOSE(CONTROL!$C$21, $C$9, 100%, $E$9)</f>
        <v>61.5321</v>
      </c>
      <c r="S821" s="10">
        <f>CHOOSE(CONTROL!$C$42, 58.8125, 58.8125) * CHOOSE(CONTROL!$C$21, $C$9, 100%, $E$9)</f>
        <v>58.8125</v>
      </c>
      <c r="T8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57">
        <f>(1000*CHOOSE(CONTROL!$C$42, 695, 695)*CHOOSE(CONTROL!$C$42, 0.5599, 0.5599)*CHOOSE(CONTROL!$C$42, 31, 31))/1000000</f>
        <v>12.063045499999998</v>
      </c>
      <c r="V821" s="57">
        <f>(1000*CHOOSE(CONTROL!$C$42, 500, 500)*CHOOSE(CONTROL!$C$42, 0.275, 0.275)*CHOOSE(CONTROL!$C$42, 31, 31))/1000000</f>
        <v>4.2625000000000002</v>
      </c>
      <c r="W821" s="57">
        <f>(1000*CHOOSE(CONTROL!$C$42, 0.1146, 0.1146)*CHOOSE(CONTROL!$C$42, 121.5, 121.5)*CHOOSE(CONTROL!$C$42, 31, 31))/1000000</f>
        <v>0.43164089999999994</v>
      </c>
      <c r="X821" s="57">
        <f>(31*0.1790888*245000/1000000)+(31*0.2374*100000/1000000)</f>
        <v>2.0961194359999999</v>
      </c>
      <c r="Y821" s="57"/>
      <c r="Z821" s="10"/>
      <c r="AA821" s="56"/>
      <c r="AB821" s="50">
        <f>(B821*194.205+C821*267.466+D821*133.845+E821*53.484+F821*40+G821*185+H821*0+I821*100+J821*300)/(194.205+267.466+133.845+53.484+0+40+185+100+300)</f>
        <v>60.591561580926218</v>
      </c>
      <c r="AC821" s="45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60.061466187050357</v>
      </c>
    </row>
    <row r="822" spans="1:29" ht="15.75" x14ac:dyDescent="0.25">
      <c r="A822" s="13">
        <v>65927</v>
      </c>
      <c r="B822" s="10">
        <f>CHOOSE(CONTROL!$C$42, 62.285, 62.285) * CHOOSE(CONTROL!$C$21, $C$9, 100%, $E$9)</f>
        <v>62.284999999999997</v>
      </c>
      <c r="C822" s="10">
        <f>CHOOSE(CONTROL!$C$42, 62.2929, 62.2929) * CHOOSE(CONTROL!$C$21, $C$9, 100%, $E$9)</f>
        <v>62.292900000000003</v>
      </c>
      <c r="D822" s="10">
        <f>CHOOSE(CONTROL!$C$42, 62.4957, 62.4957) * CHOOSE(CONTROL!$C$21, $C$9, 100%, $E$9)</f>
        <v>62.495699999999999</v>
      </c>
      <c r="E822" s="10">
        <f>CHOOSE(CONTROL!$C$42, 62.5268, 62.5268) * CHOOSE(CONTROL!$C$21, $C$9, 100%, $E$9)</f>
        <v>62.526800000000001</v>
      </c>
      <c r="F822" s="10">
        <f>CHOOSE(CONTROL!$C$42, 62.2613, 62.2613)*CHOOSE(CONTROL!$C$21, $C$9, 100%, $E$9)</f>
        <v>62.261299999999999</v>
      </c>
      <c r="G822" s="10">
        <f>CHOOSE(CONTROL!$C$42, 62.2764, 62.2764)*CHOOSE(CONTROL!$C$21, $C$9, 100%, $E$9)</f>
        <v>62.276400000000002</v>
      </c>
      <c r="H822" s="10">
        <f>CHOOSE(CONTROL!$C$42, 62.5154, 62.5154) * CHOOSE(CONTROL!$C$21, $C$9, 100%, $E$9)</f>
        <v>62.5154</v>
      </c>
      <c r="I822" s="10">
        <f>CHOOSE(CONTROL!$C$42, 62.2851, 62.2851)* CHOOSE(CONTROL!$C$21, $C$9, 100%, $E$9)</f>
        <v>62.2851</v>
      </c>
      <c r="J822" s="10">
        <f>CHOOSE(CONTROL!$C$42, 62.2543, 62.2543)* CHOOSE(CONTROL!$C$21, $C$9, 100%, $E$9)</f>
        <v>62.254300000000001</v>
      </c>
      <c r="K822" s="53">
        <f>CHOOSE(CONTROL!$C$42, 62.2812, 62.2812) * CHOOSE(CONTROL!$C$21, $C$9, 100%, $E$9)</f>
        <v>62.281199999999998</v>
      </c>
      <c r="L822" s="10">
        <f>CHOOSE(CONTROL!$C$42, 63.1024, 63.1024) * CHOOSE(CONTROL!$C$21, $C$9, 100%, $E$9)</f>
        <v>63.102400000000003</v>
      </c>
      <c r="M822" s="10">
        <f>CHOOSE(CONTROL!$C$42, 61.6398, 61.6398) * CHOOSE(CONTROL!$C$21, $C$9, 100%, $E$9)</f>
        <v>61.639800000000001</v>
      </c>
      <c r="N822" s="10">
        <f>CHOOSE(CONTROL!$C$42, 61.6548, 61.6548) * CHOOSE(CONTROL!$C$21, $C$9, 100%, $E$9)</f>
        <v>61.654800000000002</v>
      </c>
      <c r="O822" s="10">
        <f>CHOOSE(CONTROL!$C$42, 61.8984, 61.8984) * CHOOSE(CONTROL!$C$21, $C$9, 100%, $E$9)</f>
        <v>61.898400000000002</v>
      </c>
      <c r="P822" s="10">
        <f>CHOOSE(CONTROL!$C$42, 61.6704, 61.6704) * CHOOSE(CONTROL!$C$21, $C$9, 100%, $E$9)</f>
        <v>61.670400000000001</v>
      </c>
      <c r="Q822" s="10">
        <f>CHOOSE(CONTROL!$C$42, 62.4937, 62.4937) * CHOOSE(CONTROL!$C$21, $C$9, 100%, $E$9)</f>
        <v>62.493699999999997</v>
      </c>
      <c r="R822" s="10">
        <f>CHOOSE(CONTROL!$C$42, 63.2369, 63.2369) * CHOOSE(CONTROL!$C$21, $C$9, 100%, $E$9)</f>
        <v>63.236899999999999</v>
      </c>
      <c r="S822" s="10">
        <f>CHOOSE(CONTROL!$C$42, 60.4807, 60.4807) * CHOOSE(CONTROL!$C$21, $C$9, 100%, $E$9)</f>
        <v>60.480699999999999</v>
      </c>
      <c r="T8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57">
        <f>(1000*CHOOSE(CONTROL!$C$42, 695, 695)*CHOOSE(CONTROL!$C$42, 0.5599, 0.5599)*CHOOSE(CONTROL!$C$42, 30, 30))/1000000</f>
        <v>11.673914999999997</v>
      </c>
      <c r="V822" s="57">
        <f>(1000*CHOOSE(CONTROL!$C$42, 500, 500)*CHOOSE(CONTROL!$C$42, 0.275, 0.275)*CHOOSE(CONTROL!$C$42, 30, 30))/1000000</f>
        <v>4.125</v>
      </c>
      <c r="W822" s="57">
        <f>(1000*CHOOSE(CONTROL!$C$42, 0.1146, 0.1146)*CHOOSE(CONTROL!$C$42, 121.5, 121.5)*CHOOSE(CONTROL!$C$42, 30, 30))/1000000</f>
        <v>0.417717</v>
      </c>
      <c r="X822" s="57">
        <f>(30*0.1790888*245000/1000000)+(30*0.2374*100000/1000000)</f>
        <v>2.0285026799999999</v>
      </c>
      <c r="Y822" s="57"/>
      <c r="Z822" s="10"/>
      <c r="AA822" s="56"/>
      <c r="AB822" s="50">
        <f>(B822*194.205+C822*267.466+D822*133.845+E822*53.484+F822*40+G822*185+H822*0+I822*100+J822*300)/(194.205+267.466+133.845+53.484+0+40+185+100+300)</f>
        <v>62.30973120416013</v>
      </c>
      <c r="AC822" s="45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61.76227338129496</v>
      </c>
    </row>
    <row r="823" spans="1:29" ht="15.75" x14ac:dyDescent="0.25">
      <c r="A823" s="13">
        <v>65958</v>
      </c>
      <c r="B823" s="10">
        <f>CHOOSE(CONTROL!$C$42, 61.0902, 61.0902) * CHOOSE(CONTROL!$C$21, $C$9, 100%, $E$9)</f>
        <v>61.090200000000003</v>
      </c>
      <c r="C823" s="10">
        <f>CHOOSE(CONTROL!$C$42, 61.0981, 61.0981) * CHOOSE(CONTROL!$C$21, $C$9, 100%, $E$9)</f>
        <v>61.098100000000002</v>
      </c>
      <c r="D823" s="10">
        <f>CHOOSE(CONTROL!$C$42, 61.3009, 61.3009) * CHOOSE(CONTROL!$C$21, $C$9, 100%, $E$9)</f>
        <v>61.300899999999999</v>
      </c>
      <c r="E823" s="10">
        <f>CHOOSE(CONTROL!$C$42, 61.332, 61.332) * CHOOSE(CONTROL!$C$21, $C$9, 100%, $E$9)</f>
        <v>61.332000000000001</v>
      </c>
      <c r="F823" s="10">
        <f>CHOOSE(CONTROL!$C$42, 61.067, 61.067)*CHOOSE(CONTROL!$C$21, $C$9, 100%, $E$9)</f>
        <v>61.067</v>
      </c>
      <c r="G823" s="10">
        <f>CHOOSE(CONTROL!$C$42, 61.0822, 61.0822)*CHOOSE(CONTROL!$C$21, $C$9, 100%, $E$9)</f>
        <v>61.0822</v>
      </c>
      <c r="H823" s="10">
        <f>CHOOSE(CONTROL!$C$42, 61.3206, 61.3206) * CHOOSE(CONTROL!$C$21, $C$9, 100%, $E$9)</f>
        <v>61.320599999999999</v>
      </c>
      <c r="I823" s="10">
        <f>CHOOSE(CONTROL!$C$42, 61.0902, 61.0902)* CHOOSE(CONTROL!$C$21, $C$9, 100%, $E$9)</f>
        <v>61.090200000000003</v>
      </c>
      <c r="J823" s="10">
        <f>CHOOSE(CONTROL!$C$42, 61.06, 61.06)* CHOOSE(CONTROL!$C$21, $C$9, 100%, $E$9)</f>
        <v>61.06</v>
      </c>
      <c r="K823" s="53">
        <f>CHOOSE(CONTROL!$C$42, 61.0864, 61.0864) * CHOOSE(CONTROL!$C$21, $C$9, 100%, $E$9)</f>
        <v>61.086399999999998</v>
      </c>
      <c r="L823" s="10">
        <f>CHOOSE(CONTROL!$C$42, 61.9076, 61.9076) * CHOOSE(CONTROL!$C$21, $C$9, 100%, $E$9)</f>
        <v>61.907600000000002</v>
      </c>
      <c r="M823" s="10">
        <f>CHOOSE(CONTROL!$C$42, 60.4576, 60.4576) * CHOOSE(CONTROL!$C$21, $C$9, 100%, $E$9)</f>
        <v>60.457599999999999</v>
      </c>
      <c r="N823" s="10">
        <f>CHOOSE(CONTROL!$C$42, 60.4727, 60.4727) * CHOOSE(CONTROL!$C$21, $C$9, 100%, $E$9)</f>
        <v>60.472700000000003</v>
      </c>
      <c r="O823" s="10">
        <f>CHOOSE(CONTROL!$C$42, 60.7156, 60.7156) * CHOOSE(CONTROL!$C$21, $C$9, 100%, $E$9)</f>
        <v>60.715600000000002</v>
      </c>
      <c r="P823" s="10">
        <f>CHOOSE(CONTROL!$C$42, 60.4876, 60.4876) * CHOOSE(CONTROL!$C$21, $C$9, 100%, $E$9)</f>
        <v>60.4876</v>
      </c>
      <c r="Q823" s="10">
        <f>CHOOSE(CONTROL!$C$42, 61.3109, 61.3109) * CHOOSE(CONTROL!$C$21, $C$9, 100%, $E$9)</f>
        <v>61.310899999999997</v>
      </c>
      <c r="R823" s="10">
        <f>CHOOSE(CONTROL!$C$42, 62.0512, 62.0512) * CHOOSE(CONTROL!$C$21, $C$9, 100%, $E$9)</f>
        <v>62.051200000000001</v>
      </c>
      <c r="S823" s="10">
        <f>CHOOSE(CONTROL!$C$42, 59.3204, 59.3204) * CHOOSE(CONTROL!$C$21, $C$9, 100%, $E$9)</f>
        <v>59.320399999999999</v>
      </c>
      <c r="T8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57">
        <f>(1000*CHOOSE(CONTROL!$C$42, 695, 695)*CHOOSE(CONTROL!$C$42, 0.5599, 0.5599)*CHOOSE(CONTROL!$C$42, 31, 31))/1000000</f>
        <v>12.063045499999998</v>
      </c>
      <c r="V823" s="57">
        <f>(1000*CHOOSE(CONTROL!$C$42, 500, 500)*CHOOSE(CONTROL!$C$42, 0.275, 0.275)*CHOOSE(CONTROL!$C$42, 31, 31))/1000000</f>
        <v>4.2625000000000002</v>
      </c>
      <c r="W823" s="57">
        <f>(1000*CHOOSE(CONTROL!$C$42, 0.1146, 0.1146)*CHOOSE(CONTROL!$C$42, 121.5, 121.5)*CHOOSE(CONTROL!$C$42, 31, 31))/1000000</f>
        <v>0.43164089999999994</v>
      </c>
      <c r="X823" s="57">
        <f>(31*0.1790888*245000/1000000)+(31*0.2374*100000/1000000)</f>
        <v>2.0961194359999999</v>
      </c>
      <c r="Y823" s="57"/>
      <c r="Z823" s="10"/>
      <c r="AA823" s="56"/>
      <c r="AB823" s="50">
        <f>(B823*194.205+C823*267.466+D823*133.845+E823*53.484+F823*40+G823*185+H823*0+I823*100+J823*300)/(194.205+267.466+133.845+53.484+0+40+185+100+300)</f>
        <v>61.115143920015704</v>
      </c>
      <c r="AC823" s="45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60.579720863309355</v>
      </c>
    </row>
    <row r="824" spans="1:29" ht="15.75" x14ac:dyDescent="0.25">
      <c r="A824" s="13">
        <v>65989</v>
      </c>
      <c r="B824" s="10">
        <f>CHOOSE(CONTROL!$C$42, 58.0729, 58.0729) * CHOOSE(CONTROL!$C$21, $C$9, 100%, $E$9)</f>
        <v>58.072899999999997</v>
      </c>
      <c r="C824" s="10">
        <f>CHOOSE(CONTROL!$C$42, 58.0808, 58.0808) * CHOOSE(CONTROL!$C$21, $C$9, 100%, $E$9)</f>
        <v>58.080800000000004</v>
      </c>
      <c r="D824" s="10">
        <f>CHOOSE(CONTROL!$C$42, 58.2836, 58.2836) * CHOOSE(CONTROL!$C$21, $C$9, 100%, $E$9)</f>
        <v>58.2836</v>
      </c>
      <c r="E824" s="10">
        <f>CHOOSE(CONTROL!$C$42, 58.3147, 58.3147) * CHOOSE(CONTROL!$C$21, $C$9, 100%, $E$9)</f>
        <v>58.314700000000002</v>
      </c>
      <c r="F824" s="10">
        <f>CHOOSE(CONTROL!$C$42, 58.0498, 58.0498)*CHOOSE(CONTROL!$C$21, $C$9, 100%, $E$9)</f>
        <v>58.049799999999998</v>
      </c>
      <c r="G824" s="10">
        <f>CHOOSE(CONTROL!$C$42, 58.0652, 58.0652)*CHOOSE(CONTROL!$C$21, $C$9, 100%, $E$9)</f>
        <v>58.065199999999997</v>
      </c>
      <c r="H824" s="10">
        <f>CHOOSE(CONTROL!$C$42, 58.3033, 58.3033) * CHOOSE(CONTROL!$C$21, $C$9, 100%, $E$9)</f>
        <v>58.3033</v>
      </c>
      <c r="I824" s="10">
        <f>CHOOSE(CONTROL!$C$42, 58.0729, 58.0729)* CHOOSE(CONTROL!$C$21, $C$9, 100%, $E$9)</f>
        <v>58.072899999999997</v>
      </c>
      <c r="J824" s="10">
        <f>CHOOSE(CONTROL!$C$42, 58.0428, 58.0428)* CHOOSE(CONTROL!$C$21, $C$9, 100%, $E$9)</f>
        <v>58.0428</v>
      </c>
      <c r="K824" s="53">
        <f>CHOOSE(CONTROL!$C$42, 58.0691, 58.0691) * CHOOSE(CONTROL!$C$21, $C$9, 100%, $E$9)</f>
        <v>58.069099999999999</v>
      </c>
      <c r="L824" s="10">
        <f>CHOOSE(CONTROL!$C$42, 58.8903, 58.8903) * CHOOSE(CONTROL!$C$21, $C$9, 100%, $E$9)</f>
        <v>58.890300000000003</v>
      </c>
      <c r="M824" s="10">
        <f>CHOOSE(CONTROL!$C$42, 57.4709, 57.4709) * CHOOSE(CONTROL!$C$21, $C$9, 100%, $E$9)</f>
        <v>57.4709</v>
      </c>
      <c r="N824" s="10">
        <f>CHOOSE(CONTROL!$C$42, 57.4861, 57.4861) * CHOOSE(CONTROL!$C$21, $C$9, 100%, $E$9)</f>
        <v>57.4861</v>
      </c>
      <c r="O824" s="10">
        <f>CHOOSE(CONTROL!$C$42, 57.7288, 57.7288) * CHOOSE(CONTROL!$C$21, $C$9, 100%, $E$9)</f>
        <v>57.7288</v>
      </c>
      <c r="P824" s="10">
        <f>CHOOSE(CONTROL!$C$42, 57.5008, 57.5008) * CHOOSE(CONTROL!$C$21, $C$9, 100%, $E$9)</f>
        <v>57.500799999999998</v>
      </c>
      <c r="Q824" s="10">
        <f>CHOOSE(CONTROL!$C$42, 58.3241, 58.3241) * CHOOSE(CONTROL!$C$21, $C$9, 100%, $E$9)</f>
        <v>58.324100000000001</v>
      </c>
      <c r="R824" s="10">
        <f>CHOOSE(CONTROL!$C$42, 59.0569, 59.0569) * CHOOSE(CONTROL!$C$21, $C$9, 100%, $E$9)</f>
        <v>59.056899999999999</v>
      </c>
      <c r="S824" s="10">
        <f>CHOOSE(CONTROL!$C$42, 56.3903, 56.3903) * CHOOSE(CONTROL!$C$21, $C$9, 100%, $E$9)</f>
        <v>56.390300000000003</v>
      </c>
      <c r="T8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57">
        <f>(1000*CHOOSE(CONTROL!$C$42, 695, 695)*CHOOSE(CONTROL!$C$42, 0.5599, 0.5599)*CHOOSE(CONTROL!$C$42, 31, 31))/1000000</f>
        <v>12.063045499999998</v>
      </c>
      <c r="V824" s="57">
        <f>(1000*CHOOSE(CONTROL!$C$42, 500, 500)*CHOOSE(CONTROL!$C$42, 0.275, 0.275)*CHOOSE(CONTROL!$C$42, 31, 31))/1000000</f>
        <v>4.2625000000000002</v>
      </c>
      <c r="W824" s="57">
        <f>(1000*CHOOSE(CONTROL!$C$42, 0.1146, 0.1146)*CHOOSE(CONTROL!$C$42, 121.5, 121.5)*CHOOSE(CONTROL!$C$42, 31, 31))/1000000</f>
        <v>0.43164089999999994</v>
      </c>
      <c r="X824" s="57">
        <f>(31*0.1790888*245000/1000000)+(31*0.2374*100000/1000000)</f>
        <v>2.0961194359999999</v>
      </c>
      <c r="Y824" s="57"/>
      <c r="Z824" s="10"/>
      <c r="AA824" s="56"/>
      <c r="AB824" s="50">
        <f>(B824*194.205+C824*267.466+D824*133.845+E824*53.484+F824*40+G824*185+H824*0+I824*100+J824*300)/(194.205+267.466+133.845+53.484+0+40+185+100+300)</f>
        <v>58.097914171193096</v>
      </c>
      <c r="AC824" s="45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57.592966906474821</v>
      </c>
    </row>
    <row r="825" spans="1:29" ht="15.75" x14ac:dyDescent="0.25">
      <c r="A825" s="13">
        <v>66019</v>
      </c>
      <c r="B825" s="10">
        <f>CHOOSE(CONTROL!$C$42, 54.3859, 54.3859) * CHOOSE(CONTROL!$C$21, $C$9, 100%, $E$9)</f>
        <v>54.385899999999999</v>
      </c>
      <c r="C825" s="10">
        <f>CHOOSE(CONTROL!$C$42, 54.3939, 54.3939) * CHOOSE(CONTROL!$C$21, $C$9, 100%, $E$9)</f>
        <v>54.393900000000002</v>
      </c>
      <c r="D825" s="10">
        <f>CHOOSE(CONTROL!$C$42, 54.5966, 54.5966) * CHOOSE(CONTROL!$C$21, $C$9, 100%, $E$9)</f>
        <v>54.596600000000002</v>
      </c>
      <c r="E825" s="10">
        <f>CHOOSE(CONTROL!$C$42, 54.6277, 54.6277) * CHOOSE(CONTROL!$C$21, $C$9, 100%, $E$9)</f>
        <v>54.627699999999997</v>
      </c>
      <c r="F825" s="10">
        <f>CHOOSE(CONTROL!$C$42, 54.3627, 54.3627)*CHOOSE(CONTROL!$C$21, $C$9, 100%, $E$9)</f>
        <v>54.362699999999997</v>
      </c>
      <c r="G825" s="10">
        <f>CHOOSE(CONTROL!$C$42, 54.378, 54.378)*CHOOSE(CONTROL!$C$21, $C$9, 100%, $E$9)</f>
        <v>54.378</v>
      </c>
      <c r="H825" s="10">
        <f>CHOOSE(CONTROL!$C$42, 54.6164, 54.6164) * CHOOSE(CONTROL!$C$21, $C$9, 100%, $E$9)</f>
        <v>54.616399999999999</v>
      </c>
      <c r="I825" s="10">
        <f>CHOOSE(CONTROL!$C$42, 54.386, 54.386)* CHOOSE(CONTROL!$C$21, $C$9, 100%, $E$9)</f>
        <v>54.386000000000003</v>
      </c>
      <c r="J825" s="10">
        <f>CHOOSE(CONTROL!$C$42, 54.3557, 54.3557)* CHOOSE(CONTROL!$C$21, $C$9, 100%, $E$9)</f>
        <v>54.355699999999999</v>
      </c>
      <c r="K825" s="53">
        <f>CHOOSE(CONTROL!$C$42, 54.3821, 54.3821) * CHOOSE(CONTROL!$C$21, $C$9, 100%, $E$9)</f>
        <v>54.382100000000001</v>
      </c>
      <c r="L825" s="10">
        <f>CHOOSE(CONTROL!$C$42, 55.2034, 55.2034) * CHOOSE(CONTROL!$C$21, $C$9, 100%, $E$9)</f>
        <v>55.203400000000002</v>
      </c>
      <c r="M825" s="10">
        <f>CHOOSE(CONTROL!$C$42, 53.821, 53.821) * CHOOSE(CONTROL!$C$21, $C$9, 100%, $E$9)</f>
        <v>53.820999999999998</v>
      </c>
      <c r="N825" s="10">
        <f>CHOOSE(CONTROL!$C$42, 53.8362, 53.8362) * CHOOSE(CONTROL!$C$21, $C$9, 100%, $E$9)</f>
        <v>53.836199999999998</v>
      </c>
      <c r="O825" s="10">
        <f>CHOOSE(CONTROL!$C$42, 54.079, 54.079) * CHOOSE(CONTROL!$C$21, $C$9, 100%, $E$9)</f>
        <v>54.079000000000001</v>
      </c>
      <c r="P825" s="10">
        <f>CHOOSE(CONTROL!$C$42, 53.851, 53.851) * CHOOSE(CONTROL!$C$21, $C$9, 100%, $E$9)</f>
        <v>53.850999999999999</v>
      </c>
      <c r="Q825" s="10">
        <f>CHOOSE(CONTROL!$C$42, 54.6743, 54.6743) * CHOOSE(CONTROL!$C$21, $C$9, 100%, $E$9)</f>
        <v>54.674300000000002</v>
      </c>
      <c r="R825" s="10">
        <f>CHOOSE(CONTROL!$C$42, 55.398, 55.398) * CHOOSE(CONTROL!$C$21, $C$9, 100%, $E$9)</f>
        <v>55.398000000000003</v>
      </c>
      <c r="S825" s="10">
        <f>CHOOSE(CONTROL!$C$42, 52.8099, 52.8099) * CHOOSE(CONTROL!$C$21, $C$9, 100%, $E$9)</f>
        <v>52.809899999999999</v>
      </c>
      <c r="T8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57">
        <f>(1000*CHOOSE(CONTROL!$C$42, 695, 695)*CHOOSE(CONTROL!$C$42, 0.5599, 0.5599)*CHOOSE(CONTROL!$C$42, 30, 30))/1000000</f>
        <v>11.673914999999997</v>
      </c>
      <c r="V825" s="57">
        <f>(1000*CHOOSE(CONTROL!$C$42, 500, 500)*CHOOSE(CONTROL!$C$42, 0.275, 0.275)*CHOOSE(CONTROL!$C$42, 30, 30))/1000000</f>
        <v>4.125</v>
      </c>
      <c r="W825" s="57">
        <f>(1000*CHOOSE(CONTROL!$C$42, 0.1146, 0.1146)*CHOOSE(CONTROL!$C$42, 121.5, 121.5)*CHOOSE(CONTROL!$C$42, 30, 30))/1000000</f>
        <v>0.417717</v>
      </c>
      <c r="X825" s="57">
        <f>(30*0.1790888*245000/1000000)+(30*0.2374*100000/1000000)</f>
        <v>2.0285026799999999</v>
      </c>
      <c r="Y825" s="57"/>
      <c r="Z825" s="10"/>
      <c r="AA825" s="56"/>
      <c r="AB825" s="50">
        <f>(B825*194.205+C825*267.466+D825*133.845+E825*53.484+F825*40+G825*185+H825*0+I825*100+J825*300)/(194.205+267.466+133.845+53.484+0+40+185+100+300)</f>
        <v>54.410887284693878</v>
      </c>
      <c r="AC825" s="45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53.94312661870503</v>
      </c>
    </row>
    <row r="826" spans="1:29" ht="15.75" x14ac:dyDescent="0.25">
      <c r="A826" s="13">
        <v>66050</v>
      </c>
      <c r="B826" s="10">
        <f>CHOOSE(CONTROL!$C$42, 53.28, 53.28) * CHOOSE(CONTROL!$C$21, $C$9, 100%, $E$9)</f>
        <v>53.28</v>
      </c>
      <c r="C826" s="10">
        <f>CHOOSE(CONTROL!$C$42, 53.2852, 53.2852) * CHOOSE(CONTROL!$C$21, $C$9, 100%, $E$9)</f>
        <v>53.285200000000003</v>
      </c>
      <c r="D826" s="10">
        <f>CHOOSE(CONTROL!$C$42, 53.4929, 53.4929) * CHOOSE(CONTROL!$C$21, $C$9, 100%, $E$9)</f>
        <v>53.492899999999999</v>
      </c>
      <c r="E826" s="10">
        <f>CHOOSE(CONTROL!$C$42, 53.5217, 53.5217) * CHOOSE(CONTROL!$C$21, $C$9, 100%, $E$9)</f>
        <v>53.521700000000003</v>
      </c>
      <c r="F826" s="10">
        <f>CHOOSE(CONTROL!$C$42, 53.2587, 53.2587)*CHOOSE(CONTROL!$C$21, $C$9, 100%, $E$9)</f>
        <v>53.258699999999997</v>
      </c>
      <c r="G826" s="10">
        <f>CHOOSE(CONTROL!$C$42, 53.2737, 53.2737)*CHOOSE(CONTROL!$C$21, $C$9, 100%, $E$9)</f>
        <v>53.273699999999998</v>
      </c>
      <c r="H826" s="10">
        <f>CHOOSE(CONTROL!$C$42, 53.5122, 53.5122) * CHOOSE(CONTROL!$C$21, $C$9, 100%, $E$9)</f>
        <v>53.5122</v>
      </c>
      <c r="I826" s="10">
        <f>CHOOSE(CONTROL!$C$42, 53.2818, 53.2818)* CHOOSE(CONTROL!$C$21, $C$9, 100%, $E$9)</f>
        <v>53.281799999999997</v>
      </c>
      <c r="J826" s="10">
        <f>CHOOSE(CONTROL!$C$42, 53.2517, 53.2517)* CHOOSE(CONTROL!$C$21, $C$9, 100%, $E$9)</f>
        <v>53.2517</v>
      </c>
      <c r="K826" s="53">
        <f>CHOOSE(CONTROL!$C$42, 53.2779, 53.2779) * CHOOSE(CONTROL!$C$21, $C$9, 100%, $E$9)</f>
        <v>53.277900000000002</v>
      </c>
      <c r="L826" s="10">
        <f>CHOOSE(CONTROL!$C$42, 54.0992, 54.0992) * CHOOSE(CONTROL!$C$21, $C$9, 100%, $E$9)</f>
        <v>54.099200000000003</v>
      </c>
      <c r="M826" s="10">
        <f>CHOOSE(CONTROL!$C$42, 52.7282, 52.7282) * CHOOSE(CONTROL!$C$21, $C$9, 100%, $E$9)</f>
        <v>52.728200000000001</v>
      </c>
      <c r="N826" s="10">
        <f>CHOOSE(CONTROL!$C$42, 52.743, 52.743) * CHOOSE(CONTROL!$C$21, $C$9, 100%, $E$9)</f>
        <v>52.743000000000002</v>
      </c>
      <c r="O826" s="10">
        <f>CHOOSE(CONTROL!$C$42, 52.986, 52.986) * CHOOSE(CONTROL!$C$21, $C$9, 100%, $E$9)</f>
        <v>52.985999999999997</v>
      </c>
      <c r="P826" s="10">
        <f>CHOOSE(CONTROL!$C$42, 52.758, 52.758) * CHOOSE(CONTROL!$C$21, $C$9, 100%, $E$9)</f>
        <v>52.758000000000003</v>
      </c>
      <c r="Q826" s="10">
        <f>CHOOSE(CONTROL!$C$42, 53.5813, 53.5813) * CHOOSE(CONTROL!$C$21, $C$9, 100%, $E$9)</f>
        <v>53.581299999999999</v>
      </c>
      <c r="R826" s="10">
        <f>CHOOSE(CONTROL!$C$42, 54.3023, 54.3023) * CHOOSE(CONTROL!$C$21, $C$9, 100%, $E$9)</f>
        <v>54.302300000000002</v>
      </c>
      <c r="S826" s="10">
        <f>CHOOSE(CONTROL!$C$42, 51.7377, 51.7377) * CHOOSE(CONTROL!$C$21, $C$9, 100%, $E$9)</f>
        <v>51.737699999999997</v>
      </c>
      <c r="T8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57">
        <f>(1000*CHOOSE(CONTROL!$C$42, 695, 695)*CHOOSE(CONTROL!$C$42, 0.5599, 0.5599)*CHOOSE(CONTROL!$C$42, 31, 31))/1000000</f>
        <v>12.063045499999998</v>
      </c>
      <c r="V826" s="57">
        <f>(1000*CHOOSE(CONTROL!$C$42, 500, 500)*CHOOSE(CONTROL!$C$42, 0.275, 0.275)*CHOOSE(CONTROL!$C$42, 31, 31))/1000000</f>
        <v>4.2625000000000002</v>
      </c>
      <c r="W826" s="57">
        <f>(1000*CHOOSE(CONTROL!$C$42, 0.1146, 0.1146)*CHOOSE(CONTROL!$C$42, 121.5, 121.5)*CHOOSE(CONTROL!$C$42, 31, 31))/1000000</f>
        <v>0.43164089999999994</v>
      </c>
      <c r="X826" s="57">
        <f>(31*0.1790888*245000/1000000)+(31*0.2374*100000/1000000)</f>
        <v>2.0961194359999999</v>
      </c>
      <c r="Y826" s="57"/>
      <c r="Z826" s="10"/>
      <c r="AA826" s="56"/>
      <c r="AB826" s="50">
        <f>(B826*131.881+C826*277.167+D826*79.08+E826*125.872+F826*40+G826*185+H826*0+I826*100+J826*300)/(131.881+277.167+79.08+125.872+0+40+185+100+300)</f>
        <v>53.310971075706206</v>
      </c>
      <c r="AC826" s="45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52.850184172661876</v>
      </c>
    </row>
    <row r="827" spans="1:29" ht="15.75" x14ac:dyDescent="0.25">
      <c r="A827" s="13">
        <v>66080</v>
      </c>
      <c r="B827" s="10">
        <f>CHOOSE(CONTROL!$C$42, 54.6832, 54.6832) * CHOOSE(CONTROL!$C$21, $C$9, 100%, $E$9)</f>
        <v>54.683199999999999</v>
      </c>
      <c r="C827" s="10">
        <f>CHOOSE(CONTROL!$C$42, 54.6881, 54.6881) * CHOOSE(CONTROL!$C$21, $C$9, 100%, $E$9)</f>
        <v>54.688099999999999</v>
      </c>
      <c r="D827" s="10">
        <f>CHOOSE(CONTROL!$C$42, 54.7486, 54.7486) * CHOOSE(CONTROL!$C$21, $C$9, 100%, $E$9)</f>
        <v>54.748600000000003</v>
      </c>
      <c r="E827" s="10">
        <f>CHOOSE(CONTROL!$C$42, 54.7824, 54.7824) * CHOOSE(CONTROL!$C$21, $C$9, 100%, $E$9)</f>
        <v>54.782400000000003</v>
      </c>
      <c r="F827" s="10">
        <f>CHOOSE(CONTROL!$C$42, 54.6788, 54.6788)*CHOOSE(CONTROL!$C$21, $C$9, 100%, $E$9)</f>
        <v>54.678800000000003</v>
      </c>
      <c r="G827" s="10">
        <f>CHOOSE(CONTROL!$C$42, 54.694, 54.694)*CHOOSE(CONTROL!$C$21, $C$9, 100%, $E$9)</f>
        <v>54.694000000000003</v>
      </c>
      <c r="H827" s="10">
        <f>CHOOSE(CONTROL!$C$42, 54.7716, 54.7716) * CHOOSE(CONTROL!$C$21, $C$9, 100%, $E$9)</f>
        <v>54.771599999999999</v>
      </c>
      <c r="I827" s="10">
        <f>CHOOSE(CONTROL!$C$42, 54.6957, 54.6957)* CHOOSE(CONTROL!$C$21, $C$9, 100%, $E$9)</f>
        <v>54.695700000000002</v>
      </c>
      <c r="J827" s="10">
        <f>CHOOSE(CONTROL!$C$42, 54.6718, 54.6718)* CHOOSE(CONTROL!$C$21, $C$9, 100%, $E$9)</f>
        <v>54.671799999999998</v>
      </c>
      <c r="K827" s="53">
        <f>CHOOSE(CONTROL!$C$42, 54.6918, 54.6918) * CHOOSE(CONTROL!$C$21, $C$9, 100%, $E$9)</f>
        <v>54.691800000000001</v>
      </c>
      <c r="L827" s="10">
        <f>CHOOSE(CONTROL!$C$42, 55.3586, 55.3586) * CHOOSE(CONTROL!$C$21, $C$9, 100%, $E$9)</f>
        <v>55.358600000000003</v>
      </c>
      <c r="M827" s="10">
        <f>CHOOSE(CONTROL!$C$42, 54.1339, 54.1339) * CHOOSE(CONTROL!$C$21, $C$9, 100%, $E$9)</f>
        <v>54.133899999999997</v>
      </c>
      <c r="N827" s="10">
        <f>CHOOSE(CONTROL!$C$42, 54.149, 54.149) * CHOOSE(CONTROL!$C$21, $C$9, 100%, $E$9)</f>
        <v>54.149000000000001</v>
      </c>
      <c r="O827" s="10">
        <f>CHOOSE(CONTROL!$C$42, 54.2327, 54.2327) * CHOOSE(CONTROL!$C$21, $C$9, 100%, $E$9)</f>
        <v>54.232700000000001</v>
      </c>
      <c r="P827" s="10">
        <f>CHOOSE(CONTROL!$C$42, 54.1576, 54.1576) * CHOOSE(CONTROL!$C$21, $C$9, 100%, $E$9)</f>
        <v>54.157600000000002</v>
      </c>
      <c r="Q827" s="10">
        <f>CHOOSE(CONTROL!$C$42, 54.828, 54.828) * CHOOSE(CONTROL!$C$21, $C$9, 100%, $E$9)</f>
        <v>54.828000000000003</v>
      </c>
      <c r="R827" s="10">
        <f>CHOOSE(CONTROL!$C$42, 55.5521, 55.5521) * CHOOSE(CONTROL!$C$21, $C$9, 100%, $E$9)</f>
        <v>55.552100000000003</v>
      </c>
      <c r="S827" s="10">
        <f>CHOOSE(CONTROL!$C$42, 53.1007, 53.1007) * CHOOSE(CONTROL!$C$21, $C$9, 100%, $E$9)</f>
        <v>53.100700000000003</v>
      </c>
      <c r="T8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57">
        <f>(1000*CHOOSE(CONTROL!$C$42, 695, 695)*CHOOSE(CONTROL!$C$42, 0.5599, 0.5599)*CHOOSE(CONTROL!$C$42, 30, 30))/1000000</f>
        <v>11.673914999999997</v>
      </c>
      <c r="V827" s="57">
        <f>(1000*CHOOSE(CONTROL!$C$42, 500, 500)*CHOOSE(CONTROL!$C$42, 0.275, 0.275)*CHOOSE(CONTROL!$C$42, 30, 30))/1000000</f>
        <v>4.125</v>
      </c>
      <c r="W827" s="57">
        <f>(1000*CHOOSE(CONTROL!$C$42, 0.1146, 0.1146)*CHOOSE(CONTROL!$C$42, 121.5, 121.5)*CHOOSE(CONTROL!$C$42, 30, 30))/1000000</f>
        <v>0.417717</v>
      </c>
      <c r="X827" s="57">
        <f>(30*0.1790888*100000/1000000)+(30*0.2374*100000/1000000)</f>
        <v>1.2494664</v>
      </c>
      <c r="Y827" s="57"/>
      <c r="Z827" s="10"/>
      <c r="AA827" s="56"/>
      <c r="AB827" s="50">
        <f>(B827*122.58+C827*297.941+D827*89.177+E827*40.302+F827*40+G827*160+H827*0+I827*100+J827*300)/(122.58+297.941+89.177+40.302+0+40+160+100+300)</f>
        <v>54.692480039217394</v>
      </c>
      <c r="AC827" s="45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54.182958992805752</v>
      </c>
    </row>
    <row r="828" spans="1:29" ht="15.75" x14ac:dyDescent="0.25">
      <c r="A828" s="13">
        <v>66111</v>
      </c>
      <c r="B828" s="10">
        <f>CHOOSE(CONTROL!$C$42, 58.4112, 58.4112) * CHOOSE(CONTROL!$C$21, $C$9, 100%, $E$9)</f>
        <v>58.411200000000001</v>
      </c>
      <c r="C828" s="10">
        <f>CHOOSE(CONTROL!$C$42, 58.4162, 58.4162) * CHOOSE(CONTROL!$C$21, $C$9, 100%, $E$9)</f>
        <v>58.416200000000003</v>
      </c>
      <c r="D828" s="10">
        <f>CHOOSE(CONTROL!$C$42, 58.4767, 58.4767) * CHOOSE(CONTROL!$C$21, $C$9, 100%, $E$9)</f>
        <v>58.476700000000001</v>
      </c>
      <c r="E828" s="10">
        <f>CHOOSE(CONTROL!$C$42, 58.5105, 58.5105) * CHOOSE(CONTROL!$C$21, $C$9, 100%, $E$9)</f>
        <v>58.5105</v>
      </c>
      <c r="F828" s="10">
        <f>CHOOSE(CONTROL!$C$42, 58.4087, 58.4087)*CHOOSE(CONTROL!$C$21, $C$9, 100%, $E$9)</f>
        <v>58.408700000000003</v>
      </c>
      <c r="G828" s="10">
        <f>CHOOSE(CONTROL!$C$42, 58.4244, 58.4244)*CHOOSE(CONTROL!$C$21, $C$9, 100%, $E$9)</f>
        <v>58.424399999999999</v>
      </c>
      <c r="H828" s="10">
        <f>CHOOSE(CONTROL!$C$42, 58.4997, 58.4997) * CHOOSE(CONTROL!$C$21, $C$9, 100%, $E$9)</f>
        <v>58.499699999999997</v>
      </c>
      <c r="I828" s="10">
        <f>CHOOSE(CONTROL!$C$42, 58.4238, 58.4238)* CHOOSE(CONTROL!$C$21, $C$9, 100%, $E$9)</f>
        <v>58.4238</v>
      </c>
      <c r="J828" s="10">
        <f>CHOOSE(CONTROL!$C$42, 58.4017, 58.4017)* CHOOSE(CONTROL!$C$21, $C$9, 100%, $E$9)</f>
        <v>58.401699999999998</v>
      </c>
      <c r="K828" s="53">
        <f>CHOOSE(CONTROL!$C$42, 58.4199, 58.4199) * CHOOSE(CONTROL!$C$21, $C$9, 100%, $E$9)</f>
        <v>58.419899999999998</v>
      </c>
      <c r="L828" s="10">
        <f>CHOOSE(CONTROL!$C$42, 59.0867, 59.0867) * CHOOSE(CONTROL!$C$21, $C$9, 100%, $E$9)</f>
        <v>59.0867</v>
      </c>
      <c r="M828" s="10">
        <f>CHOOSE(CONTROL!$C$42, 57.8262, 57.8262) * CHOOSE(CONTROL!$C$21, $C$9, 100%, $E$9)</f>
        <v>57.8262</v>
      </c>
      <c r="N828" s="10">
        <f>CHOOSE(CONTROL!$C$42, 57.8417, 57.8417) * CHOOSE(CONTROL!$C$21, $C$9, 100%, $E$9)</f>
        <v>57.841700000000003</v>
      </c>
      <c r="O828" s="10">
        <f>CHOOSE(CONTROL!$C$42, 57.9231, 57.9231) * CHOOSE(CONTROL!$C$21, $C$9, 100%, $E$9)</f>
        <v>57.923099999999998</v>
      </c>
      <c r="P828" s="10">
        <f>CHOOSE(CONTROL!$C$42, 57.848, 57.848) * CHOOSE(CONTROL!$C$21, $C$9, 100%, $E$9)</f>
        <v>57.847999999999999</v>
      </c>
      <c r="Q828" s="10">
        <f>CHOOSE(CONTROL!$C$42, 58.5184, 58.5184) * CHOOSE(CONTROL!$C$21, $C$9, 100%, $E$9)</f>
        <v>58.5184</v>
      </c>
      <c r="R828" s="10">
        <f>CHOOSE(CONTROL!$C$42, 59.2517, 59.2517) * CHOOSE(CONTROL!$C$21, $C$9, 100%, $E$9)</f>
        <v>59.2517</v>
      </c>
      <c r="S828" s="10">
        <f>CHOOSE(CONTROL!$C$42, 56.721, 56.721) * CHOOSE(CONTROL!$C$21, $C$9, 100%, $E$9)</f>
        <v>56.720999999999997</v>
      </c>
      <c r="T8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57">
        <f>(1000*CHOOSE(CONTROL!$C$42, 695, 695)*CHOOSE(CONTROL!$C$42, 0.5599, 0.5599)*CHOOSE(CONTROL!$C$42, 31, 31))/1000000</f>
        <v>12.063045499999998</v>
      </c>
      <c r="V828" s="57">
        <f>(1000*CHOOSE(CONTROL!$C$42, 500, 500)*CHOOSE(CONTROL!$C$42, 0.275, 0.275)*CHOOSE(CONTROL!$C$42, 31, 31))/1000000</f>
        <v>4.2625000000000002</v>
      </c>
      <c r="W828" s="57">
        <f>(1000*CHOOSE(CONTROL!$C$42, 0.1146, 0.1146)*CHOOSE(CONTROL!$C$42, 121.5, 121.5)*CHOOSE(CONTROL!$C$42, 31, 31))/1000000</f>
        <v>0.43164089999999994</v>
      </c>
      <c r="X828" s="57">
        <f>(31*0.1790888*100000/1000000)+(31*0.2374*100000/1000000)</f>
        <v>1.2911152800000001</v>
      </c>
      <c r="Y828" s="57"/>
      <c r="Z828" s="10"/>
      <c r="AA828" s="56"/>
      <c r="AB828" s="50">
        <f>(B828*122.58+C828*297.941+D828*89.177+E828*40.302+F828*40+G828*160+H828*0+I828*100+J828*300)/(122.58+297.941+89.177+40.302+0+40+160+100+300)</f>
        <v>58.421421554000005</v>
      </c>
      <c r="AC828" s="45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57.874147482014394</v>
      </c>
    </row>
    <row r="829" spans="1:29" ht="15.75" x14ac:dyDescent="0.25">
      <c r="A829" s="13">
        <v>66142</v>
      </c>
      <c r="B829" s="10">
        <f>CHOOSE(CONTROL!$C$42, 63.197, 63.197) * CHOOSE(CONTROL!$C$21, $C$9, 100%, $E$9)</f>
        <v>63.197000000000003</v>
      </c>
      <c r="C829" s="10">
        <f>CHOOSE(CONTROL!$C$42, 63.202, 63.202) * CHOOSE(CONTROL!$C$21, $C$9, 100%, $E$9)</f>
        <v>63.201999999999998</v>
      </c>
      <c r="D829" s="10">
        <f>CHOOSE(CONTROL!$C$42, 63.2591, 63.2591) * CHOOSE(CONTROL!$C$21, $C$9, 100%, $E$9)</f>
        <v>63.259099999999997</v>
      </c>
      <c r="E829" s="10">
        <f>CHOOSE(CONTROL!$C$42, 63.2928, 63.2928) * CHOOSE(CONTROL!$C$21, $C$9, 100%, $E$9)</f>
        <v>63.2928</v>
      </c>
      <c r="F829" s="10">
        <f>CHOOSE(CONTROL!$C$42, 63.1949, 63.1949)*CHOOSE(CONTROL!$C$21, $C$9, 100%, $E$9)</f>
        <v>63.194899999999997</v>
      </c>
      <c r="G829" s="10">
        <f>CHOOSE(CONTROL!$C$42, 63.2095, 63.2095)*CHOOSE(CONTROL!$C$21, $C$9, 100%, $E$9)</f>
        <v>63.209499999999998</v>
      </c>
      <c r="H829" s="10">
        <f>CHOOSE(CONTROL!$C$42, 63.282, 63.282) * CHOOSE(CONTROL!$C$21, $C$9, 100%, $E$9)</f>
        <v>63.281999999999996</v>
      </c>
      <c r="I829" s="10">
        <f>CHOOSE(CONTROL!$C$42, 63.2078, 63.2078)* CHOOSE(CONTROL!$C$21, $C$9, 100%, $E$9)</f>
        <v>63.207799999999999</v>
      </c>
      <c r="J829" s="10">
        <f>CHOOSE(CONTROL!$C$42, 63.1879, 63.1879)* CHOOSE(CONTROL!$C$21, $C$9, 100%, $E$9)</f>
        <v>63.187899999999999</v>
      </c>
      <c r="K829" s="53">
        <f>CHOOSE(CONTROL!$C$42, 63.2039, 63.2039) * CHOOSE(CONTROL!$C$21, $C$9, 100%, $E$9)</f>
        <v>63.203899999999997</v>
      </c>
      <c r="L829" s="10">
        <f>CHOOSE(CONTROL!$C$42, 63.869, 63.869) * CHOOSE(CONTROL!$C$21, $C$9, 100%, $E$9)</f>
        <v>63.869</v>
      </c>
      <c r="M829" s="10">
        <f>CHOOSE(CONTROL!$C$42, 62.564, 62.564) * CHOOSE(CONTROL!$C$21, $C$9, 100%, $E$9)</f>
        <v>62.564</v>
      </c>
      <c r="N829" s="10">
        <f>CHOOSE(CONTROL!$C$42, 62.5785, 62.5785) * CHOOSE(CONTROL!$C$21, $C$9, 100%, $E$9)</f>
        <v>62.578499999999998</v>
      </c>
      <c r="O829" s="10">
        <f>CHOOSE(CONTROL!$C$42, 62.6572, 62.6572) * CHOOSE(CONTROL!$C$21, $C$9, 100%, $E$9)</f>
        <v>62.657200000000003</v>
      </c>
      <c r="P829" s="10">
        <f>CHOOSE(CONTROL!$C$42, 62.5838, 62.5838) * CHOOSE(CONTROL!$C$21, $C$9, 100%, $E$9)</f>
        <v>62.583799999999997</v>
      </c>
      <c r="Q829" s="10">
        <f>CHOOSE(CONTROL!$C$42, 63.2525, 63.2525) * CHOOSE(CONTROL!$C$21, $C$9, 100%, $E$9)</f>
        <v>63.252499999999998</v>
      </c>
      <c r="R829" s="10">
        <f>CHOOSE(CONTROL!$C$42, 63.9977, 63.9977) * CHOOSE(CONTROL!$C$21, $C$9, 100%, $E$9)</f>
        <v>63.997700000000002</v>
      </c>
      <c r="S829" s="10">
        <f>CHOOSE(CONTROL!$C$42, 61.3685, 61.3685) * CHOOSE(CONTROL!$C$21, $C$9, 100%, $E$9)</f>
        <v>61.368499999999997</v>
      </c>
      <c r="T8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57">
        <f>(1000*CHOOSE(CONTROL!$C$42, 695, 695)*CHOOSE(CONTROL!$C$42, 0.5599, 0.5599)*CHOOSE(CONTROL!$C$42, 31, 31))/1000000</f>
        <v>12.063045499999998</v>
      </c>
      <c r="V829" s="57">
        <f>(1000*CHOOSE(CONTROL!$C$42, 500, 500)*CHOOSE(CONTROL!$C$42, 0.275, 0.275)*CHOOSE(CONTROL!$C$42, 31, 31))/1000000</f>
        <v>4.2625000000000002</v>
      </c>
      <c r="W829" s="57">
        <f>(1000*CHOOSE(CONTROL!$C$42, 0.1146, 0.1146)*CHOOSE(CONTROL!$C$42, 121.5, 121.5)*CHOOSE(CONTROL!$C$42, 31, 31))/1000000</f>
        <v>0.43164089999999994</v>
      </c>
      <c r="X829" s="57">
        <f>(31*0.1790888*100000/1000000)+(31*0.2374*100000/1000000)</f>
        <v>1.2911152800000001</v>
      </c>
      <c r="Y829" s="57"/>
      <c r="Z829" s="10"/>
      <c r="AA829" s="56"/>
      <c r="AB829" s="50">
        <f>(B829*122.58+C829*297.941+D829*89.177+E829*40.302+F829*40+G829*160+H829*0+I829*100+J829*300)/(122.58+297.941+89.177+40.302+0+40+160+100+300)</f>
        <v>63.20669958982608</v>
      </c>
      <c r="AC829" s="45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62.609925179856106</v>
      </c>
    </row>
    <row r="830" spans="1:29" ht="15.75" x14ac:dyDescent="0.25">
      <c r="A830" s="13">
        <v>66170</v>
      </c>
      <c r="B830" s="10">
        <f>CHOOSE(CONTROL!$C$42, 64.322, 64.322) * CHOOSE(CONTROL!$C$21, $C$9, 100%, $E$9)</f>
        <v>64.322000000000003</v>
      </c>
      <c r="C830" s="10">
        <f>CHOOSE(CONTROL!$C$42, 64.3269, 64.3269) * CHOOSE(CONTROL!$C$21, $C$9, 100%, $E$9)</f>
        <v>64.326899999999995</v>
      </c>
      <c r="D830" s="10">
        <f>CHOOSE(CONTROL!$C$42, 64.384, 64.384) * CHOOSE(CONTROL!$C$21, $C$9, 100%, $E$9)</f>
        <v>64.384</v>
      </c>
      <c r="E830" s="10">
        <f>CHOOSE(CONTROL!$C$42, 64.4178, 64.4178) * CHOOSE(CONTROL!$C$21, $C$9, 100%, $E$9)</f>
        <v>64.4178</v>
      </c>
      <c r="F830" s="10">
        <f>CHOOSE(CONTROL!$C$42, 64.3199, 64.3199)*CHOOSE(CONTROL!$C$21, $C$9, 100%, $E$9)</f>
        <v>64.319900000000004</v>
      </c>
      <c r="G830" s="10">
        <f>CHOOSE(CONTROL!$C$42, 64.3346, 64.3346)*CHOOSE(CONTROL!$C$21, $C$9, 100%, $E$9)</f>
        <v>64.334599999999995</v>
      </c>
      <c r="H830" s="10">
        <f>CHOOSE(CONTROL!$C$42, 64.407, 64.407) * CHOOSE(CONTROL!$C$21, $C$9, 100%, $E$9)</f>
        <v>64.406999999999996</v>
      </c>
      <c r="I830" s="10">
        <f>CHOOSE(CONTROL!$C$42, 64.3328, 64.3328)* CHOOSE(CONTROL!$C$21, $C$9, 100%, $E$9)</f>
        <v>64.332800000000006</v>
      </c>
      <c r="J830" s="10">
        <f>CHOOSE(CONTROL!$C$42, 64.3129, 64.3129)* CHOOSE(CONTROL!$C$21, $C$9, 100%, $E$9)</f>
        <v>64.312899999999999</v>
      </c>
      <c r="K830" s="53">
        <f>CHOOSE(CONTROL!$C$42, 64.3289, 64.3289) * CHOOSE(CONTROL!$C$21, $C$9, 100%, $E$9)</f>
        <v>64.328900000000004</v>
      </c>
      <c r="L830" s="10">
        <f>CHOOSE(CONTROL!$C$42, 64.994, 64.994) * CHOOSE(CONTROL!$C$21, $C$9, 100%, $E$9)</f>
        <v>64.994</v>
      </c>
      <c r="M830" s="10">
        <f>CHOOSE(CONTROL!$C$42, 63.6777, 63.6777) * CHOOSE(CONTROL!$C$21, $C$9, 100%, $E$9)</f>
        <v>63.677700000000002</v>
      </c>
      <c r="N830" s="10">
        <f>CHOOSE(CONTROL!$C$42, 63.6922, 63.6922) * CHOOSE(CONTROL!$C$21, $C$9, 100%, $E$9)</f>
        <v>63.6922</v>
      </c>
      <c r="O830" s="10">
        <f>CHOOSE(CONTROL!$C$42, 63.7708, 63.7708) * CHOOSE(CONTROL!$C$21, $C$9, 100%, $E$9)</f>
        <v>63.770800000000001</v>
      </c>
      <c r="P830" s="10">
        <f>CHOOSE(CONTROL!$C$42, 63.6974, 63.6974) * CHOOSE(CONTROL!$C$21, $C$9, 100%, $E$9)</f>
        <v>63.697400000000002</v>
      </c>
      <c r="Q830" s="10">
        <f>CHOOSE(CONTROL!$C$42, 64.3661, 64.3661) * CHOOSE(CONTROL!$C$21, $C$9, 100%, $E$9)</f>
        <v>64.366100000000003</v>
      </c>
      <c r="R830" s="10">
        <f>CHOOSE(CONTROL!$C$42, 65.114, 65.114) * CHOOSE(CONTROL!$C$21, $C$9, 100%, $E$9)</f>
        <v>65.114000000000004</v>
      </c>
      <c r="S830" s="10">
        <f>CHOOSE(CONTROL!$C$42, 62.4609, 62.4609) * CHOOSE(CONTROL!$C$21, $C$9, 100%, $E$9)</f>
        <v>62.460900000000002</v>
      </c>
      <c r="T8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57">
        <f>(1000*CHOOSE(CONTROL!$C$42, 695, 695)*CHOOSE(CONTROL!$C$42, 0.5599, 0.5599)*CHOOSE(CONTROL!$C$42, 28, 28))/1000000</f>
        <v>10.895653999999999</v>
      </c>
      <c r="V830" s="57">
        <f>(1000*CHOOSE(CONTROL!$C$42, 500, 500)*CHOOSE(CONTROL!$C$42, 0.275, 0.275)*CHOOSE(CONTROL!$C$42, 28, 28))/1000000</f>
        <v>3.85</v>
      </c>
      <c r="W830" s="57">
        <f>(1000*CHOOSE(CONTROL!$C$42, 0.1146, 0.1146)*CHOOSE(CONTROL!$C$42, 121.5, 121.5)*CHOOSE(CONTROL!$C$42, 28, 28))/1000000</f>
        <v>0.38986920000000003</v>
      </c>
      <c r="X830" s="57">
        <f>(28*0.1790888*100000/1000000)+(28*0.2374*100000/1000000)</f>
        <v>1.16616864</v>
      </c>
      <c r="Y830" s="57"/>
      <c r="Z830" s="10"/>
      <c r="AA830" s="56"/>
      <c r="AB830" s="50">
        <f>(B830*122.58+C830*297.941+D830*89.177+E830*40.302+F830*40+G830*160+H830*0+I830*100+J830*300)/(122.58+297.941+89.177+40.302+0+40+160+100+300)</f>
        <v>64.331679840434788</v>
      </c>
      <c r="AC830" s="45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63.723565467625903</v>
      </c>
    </row>
    <row r="831" spans="1:29" ht="15.75" x14ac:dyDescent="0.25">
      <c r="A831" s="13">
        <v>66201</v>
      </c>
      <c r="B831" s="10">
        <f>CHOOSE(CONTROL!$C$42, 62.4959, 62.4959) * CHOOSE(CONTROL!$C$21, $C$9, 100%, $E$9)</f>
        <v>62.495899999999999</v>
      </c>
      <c r="C831" s="10">
        <f>CHOOSE(CONTROL!$C$42, 62.5009, 62.5009) * CHOOSE(CONTROL!$C$21, $C$9, 100%, $E$9)</f>
        <v>62.500900000000001</v>
      </c>
      <c r="D831" s="10">
        <f>CHOOSE(CONTROL!$C$42, 62.5579, 62.5579) * CHOOSE(CONTROL!$C$21, $C$9, 100%, $E$9)</f>
        <v>62.557899999999997</v>
      </c>
      <c r="E831" s="10">
        <f>CHOOSE(CONTROL!$C$42, 62.5917, 62.5917) * CHOOSE(CONTROL!$C$21, $C$9, 100%, $E$9)</f>
        <v>62.591700000000003</v>
      </c>
      <c r="F831" s="10">
        <f>CHOOSE(CONTROL!$C$42, 62.4937, 62.4937)*CHOOSE(CONTROL!$C$21, $C$9, 100%, $E$9)</f>
        <v>62.493699999999997</v>
      </c>
      <c r="G831" s="10">
        <f>CHOOSE(CONTROL!$C$42, 62.5083, 62.5083)*CHOOSE(CONTROL!$C$21, $C$9, 100%, $E$9)</f>
        <v>62.508299999999998</v>
      </c>
      <c r="H831" s="10">
        <f>CHOOSE(CONTROL!$C$42, 62.5809, 62.5809) * CHOOSE(CONTROL!$C$21, $C$9, 100%, $E$9)</f>
        <v>62.5809</v>
      </c>
      <c r="I831" s="10">
        <f>CHOOSE(CONTROL!$C$42, 62.5067, 62.5067)* CHOOSE(CONTROL!$C$21, $C$9, 100%, $E$9)</f>
        <v>62.506700000000002</v>
      </c>
      <c r="J831" s="10">
        <f>CHOOSE(CONTROL!$C$42, 62.4867, 62.4867)* CHOOSE(CONTROL!$C$21, $C$9, 100%, $E$9)</f>
        <v>62.486699999999999</v>
      </c>
      <c r="K831" s="53">
        <f>CHOOSE(CONTROL!$C$42, 62.5028, 62.5028) * CHOOSE(CONTROL!$C$21, $C$9, 100%, $E$9)</f>
        <v>62.502800000000001</v>
      </c>
      <c r="L831" s="10">
        <f>CHOOSE(CONTROL!$C$42, 63.1679, 63.1679) * CHOOSE(CONTROL!$C$21, $C$9, 100%, $E$9)</f>
        <v>63.167900000000003</v>
      </c>
      <c r="M831" s="10">
        <f>CHOOSE(CONTROL!$C$42, 61.87, 61.87) * CHOOSE(CONTROL!$C$21, $C$9, 100%, $E$9)</f>
        <v>61.87</v>
      </c>
      <c r="N831" s="10">
        <f>CHOOSE(CONTROL!$C$42, 61.8844, 61.8844) * CHOOSE(CONTROL!$C$21, $C$9, 100%, $E$9)</f>
        <v>61.884399999999999</v>
      </c>
      <c r="O831" s="10">
        <f>CHOOSE(CONTROL!$C$42, 61.9632, 61.9632) * CHOOSE(CONTROL!$C$21, $C$9, 100%, $E$9)</f>
        <v>61.963200000000001</v>
      </c>
      <c r="P831" s="10">
        <f>CHOOSE(CONTROL!$C$42, 61.8898, 61.8898) * CHOOSE(CONTROL!$C$21, $C$9, 100%, $E$9)</f>
        <v>61.889800000000001</v>
      </c>
      <c r="Q831" s="10">
        <f>CHOOSE(CONTROL!$C$42, 62.5585, 62.5585) * CHOOSE(CONTROL!$C$21, $C$9, 100%, $E$9)</f>
        <v>62.558500000000002</v>
      </c>
      <c r="R831" s="10">
        <f>CHOOSE(CONTROL!$C$42, 63.3019, 63.3019) * CHOOSE(CONTROL!$C$21, $C$9, 100%, $E$9)</f>
        <v>63.301900000000003</v>
      </c>
      <c r="S831" s="10">
        <f>CHOOSE(CONTROL!$C$42, 60.6877, 60.6877) * CHOOSE(CONTROL!$C$21, $C$9, 100%, $E$9)</f>
        <v>60.6877</v>
      </c>
      <c r="T8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57">
        <f>(1000*CHOOSE(CONTROL!$C$42, 695, 695)*CHOOSE(CONTROL!$C$42, 0.5599, 0.5599)*CHOOSE(CONTROL!$C$42, 31, 31))/1000000</f>
        <v>12.063045499999998</v>
      </c>
      <c r="V831" s="57">
        <f>(1000*CHOOSE(CONTROL!$C$42, 500, 500)*CHOOSE(CONTROL!$C$42, 0.275, 0.275)*CHOOSE(CONTROL!$C$42, 31, 31))/1000000</f>
        <v>4.2625000000000002</v>
      </c>
      <c r="W831" s="57">
        <f>(1000*CHOOSE(CONTROL!$C$42, 0.1146, 0.1146)*CHOOSE(CONTROL!$C$42, 121.5, 121.5)*CHOOSE(CONTROL!$C$42, 31, 31))/1000000</f>
        <v>0.43164089999999994</v>
      </c>
      <c r="X831" s="57">
        <f>(31*0.1790888*100000/1000000)+(31*0.2374*100000/1000000)</f>
        <v>1.2911152800000001</v>
      </c>
      <c r="Y831" s="57"/>
      <c r="Z831" s="10"/>
      <c r="AA831" s="56"/>
      <c r="AB831" s="50">
        <f>(B831*122.58+C831*297.941+D831*89.177+E831*40.302+F831*40+G831*160+H831*0+I831*100+J831*300)/(122.58+297.941+89.177+40.302+0+40+160+100+300)</f>
        <v>62.505548357043473</v>
      </c>
      <c r="AC831" s="45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61.915919424460441</v>
      </c>
    </row>
    <row r="832" spans="1:29" ht="15.75" x14ac:dyDescent="0.25">
      <c r="A832" s="13">
        <v>66231</v>
      </c>
      <c r="B832" s="10">
        <f>CHOOSE(CONTROL!$C$42, 62.31, 62.31) * CHOOSE(CONTROL!$C$21, $C$9, 100%, $E$9)</f>
        <v>62.31</v>
      </c>
      <c r="C832" s="10">
        <f>CHOOSE(CONTROL!$C$42, 62.3144, 62.3144) * CHOOSE(CONTROL!$C$21, $C$9, 100%, $E$9)</f>
        <v>62.314399999999999</v>
      </c>
      <c r="D832" s="10">
        <f>CHOOSE(CONTROL!$C$42, 62.5202, 62.5202) * CHOOSE(CONTROL!$C$21, $C$9, 100%, $E$9)</f>
        <v>62.520200000000003</v>
      </c>
      <c r="E832" s="10">
        <f>CHOOSE(CONTROL!$C$42, 62.552, 62.552) * CHOOSE(CONTROL!$C$21, $C$9, 100%, $E$9)</f>
        <v>62.552</v>
      </c>
      <c r="F832" s="10">
        <f>CHOOSE(CONTROL!$C$42, 62.2867, 62.2867)*CHOOSE(CONTROL!$C$21, $C$9, 100%, $E$9)</f>
        <v>62.286700000000003</v>
      </c>
      <c r="G832" s="10">
        <f>CHOOSE(CONTROL!$C$42, 62.3013, 62.3013)*CHOOSE(CONTROL!$C$21, $C$9, 100%, $E$9)</f>
        <v>62.301299999999998</v>
      </c>
      <c r="H832" s="10">
        <f>CHOOSE(CONTROL!$C$42, 62.5418, 62.5418) * CHOOSE(CONTROL!$C$21, $C$9, 100%, $E$9)</f>
        <v>62.541800000000002</v>
      </c>
      <c r="I832" s="10">
        <f>CHOOSE(CONTROL!$C$42, 62.3114, 62.3114)* CHOOSE(CONTROL!$C$21, $C$9, 100%, $E$9)</f>
        <v>62.311399999999999</v>
      </c>
      <c r="J832" s="10">
        <f>CHOOSE(CONTROL!$C$42, 62.2797, 62.2797)* CHOOSE(CONTROL!$C$21, $C$9, 100%, $E$9)</f>
        <v>62.279699999999998</v>
      </c>
      <c r="K832" s="53">
        <f>CHOOSE(CONTROL!$C$42, 62.3075, 62.3075) * CHOOSE(CONTROL!$C$21, $C$9, 100%, $E$9)</f>
        <v>62.307499999999997</v>
      </c>
      <c r="L832" s="10">
        <f>CHOOSE(CONTROL!$C$42, 63.1288, 63.1288) * CHOOSE(CONTROL!$C$21, $C$9, 100%, $E$9)</f>
        <v>63.128799999999998</v>
      </c>
      <c r="M832" s="10">
        <f>CHOOSE(CONTROL!$C$42, 61.6651, 61.6651) * CHOOSE(CONTROL!$C$21, $C$9, 100%, $E$9)</f>
        <v>61.665100000000002</v>
      </c>
      <c r="N832" s="10">
        <f>CHOOSE(CONTROL!$C$42, 61.6794, 61.6794) * CHOOSE(CONTROL!$C$21, $C$9, 100%, $E$9)</f>
        <v>61.679400000000001</v>
      </c>
      <c r="O832" s="10">
        <f>CHOOSE(CONTROL!$C$42, 61.9245, 61.9245) * CHOOSE(CONTROL!$C$21, $C$9, 100%, $E$9)</f>
        <v>61.924500000000002</v>
      </c>
      <c r="P832" s="10">
        <f>CHOOSE(CONTROL!$C$42, 61.6964, 61.6964) * CHOOSE(CONTROL!$C$21, $C$9, 100%, $E$9)</f>
        <v>61.696399999999997</v>
      </c>
      <c r="Q832" s="10">
        <f>CHOOSE(CONTROL!$C$42, 62.5198, 62.5198) * CHOOSE(CONTROL!$C$21, $C$9, 100%, $E$9)</f>
        <v>62.519799999999996</v>
      </c>
      <c r="R832" s="10">
        <f>CHOOSE(CONTROL!$C$42, 63.2631, 63.2631) * CHOOSE(CONTROL!$C$21, $C$9, 100%, $E$9)</f>
        <v>63.263100000000001</v>
      </c>
      <c r="S832" s="10">
        <f>CHOOSE(CONTROL!$C$42, 60.5063, 60.5063) * CHOOSE(CONTROL!$C$21, $C$9, 100%, $E$9)</f>
        <v>60.506300000000003</v>
      </c>
      <c r="T8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57">
        <f>(1000*CHOOSE(CONTROL!$C$42, 695, 695)*CHOOSE(CONTROL!$C$42, 0.5599, 0.5599)*CHOOSE(CONTROL!$C$42, 30, 30))/1000000</f>
        <v>11.673914999999997</v>
      </c>
      <c r="V832" s="57">
        <f>(1000*CHOOSE(CONTROL!$C$42, 500, 500)*CHOOSE(CONTROL!$C$42, 0.275, 0.275)*CHOOSE(CONTROL!$C$42, 30, 30))/1000000</f>
        <v>4.125</v>
      </c>
      <c r="W832" s="57">
        <f>(1000*CHOOSE(CONTROL!$C$42, 0.1146, 0.1146)*CHOOSE(CONTROL!$C$42, 121.5, 121.5)*CHOOSE(CONTROL!$C$42, 30, 30))/1000000</f>
        <v>0.417717</v>
      </c>
      <c r="X832" s="57">
        <f>(30*0.1790888*245000/1000000)+(30*0.2374*100000/1000000)</f>
        <v>2.0285026799999999</v>
      </c>
      <c r="Y832" s="57"/>
      <c r="Z832" s="10"/>
      <c r="AA832" s="56"/>
      <c r="AB832" s="50">
        <f>(B832*141.293+C832*267.993+D832*115.016+E832*89.698+F832*40+G832*185+H832*0+I832*100+J832*300)/(141.293+267.993+115.016+89.698+0+40+185+100+300)</f>
        <v>62.338709401452789</v>
      </c>
      <c r="AC832" s="45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61.787996402877702</v>
      </c>
    </row>
    <row r="833" spans="1:29" ht="15.75" x14ac:dyDescent="0.25">
      <c r="A833" s="13">
        <v>66262</v>
      </c>
      <c r="B833" s="10">
        <f>CHOOSE(CONTROL!$C$42, 62.8613, 62.8613) * CHOOSE(CONTROL!$C$21, $C$9, 100%, $E$9)</f>
        <v>62.8613</v>
      </c>
      <c r="C833" s="10">
        <f>CHOOSE(CONTROL!$C$42, 62.8692, 62.8692) * CHOOSE(CONTROL!$C$21, $C$9, 100%, $E$9)</f>
        <v>62.869199999999999</v>
      </c>
      <c r="D833" s="10">
        <f>CHOOSE(CONTROL!$C$42, 63.0719, 63.0719) * CHOOSE(CONTROL!$C$21, $C$9, 100%, $E$9)</f>
        <v>63.071899999999999</v>
      </c>
      <c r="E833" s="10">
        <f>CHOOSE(CONTROL!$C$42, 63.1031, 63.1031) * CHOOSE(CONTROL!$C$21, $C$9, 100%, $E$9)</f>
        <v>63.103099999999998</v>
      </c>
      <c r="F833" s="10">
        <f>CHOOSE(CONTROL!$C$42, 62.837, 62.837)*CHOOSE(CONTROL!$C$21, $C$9, 100%, $E$9)</f>
        <v>62.837000000000003</v>
      </c>
      <c r="G833" s="10">
        <f>CHOOSE(CONTROL!$C$42, 62.852, 62.852)*CHOOSE(CONTROL!$C$21, $C$9, 100%, $E$9)</f>
        <v>62.851999999999997</v>
      </c>
      <c r="H833" s="10">
        <f>CHOOSE(CONTROL!$C$42, 63.0917, 63.0917) * CHOOSE(CONTROL!$C$21, $C$9, 100%, $E$9)</f>
        <v>63.091700000000003</v>
      </c>
      <c r="I833" s="10">
        <f>CHOOSE(CONTROL!$C$42, 62.8613, 62.8613)* CHOOSE(CONTROL!$C$21, $C$9, 100%, $E$9)</f>
        <v>62.8613</v>
      </c>
      <c r="J833" s="10">
        <f>CHOOSE(CONTROL!$C$42, 62.83, 62.83)* CHOOSE(CONTROL!$C$21, $C$9, 100%, $E$9)</f>
        <v>62.83</v>
      </c>
      <c r="K833" s="53">
        <f>CHOOSE(CONTROL!$C$42, 62.8574, 62.8574) * CHOOSE(CONTROL!$C$21, $C$9, 100%, $E$9)</f>
        <v>62.857399999999998</v>
      </c>
      <c r="L833" s="10">
        <f>CHOOSE(CONTROL!$C$42, 63.6787, 63.6787) * CHOOSE(CONTROL!$C$21, $C$9, 100%, $E$9)</f>
        <v>63.678699999999999</v>
      </c>
      <c r="M833" s="10">
        <f>CHOOSE(CONTROL!$C$42, 62.2098, 62.2098) * CHOOSE(CONTROL!$C$21, $C$9, 100%, $E$9)</f>
        <v>62.209800000000001</v>
      </c>
      <c r="N833" s="10">
        <f>CHOOSE(CONTROL!$C$42, 62.2246, 62.2246) * CHOOSE(CONTROL!$C$21, $C$9, 100%, $E$9)</f>
        <v>62.224600000000002</v>
      </c>
      <c r="O833" s="10">
        <f>CHOOSE(CONTROL!$C$42, 62.4688, 62.4688) * CHOOSE(CONTROL!$C$21, $C$9, 100%, $E$9)</f>
        <v>62.468800000000002</v>
      </c>
      <c r="P833" s="10">
        <f>CHOOSE(CONTROL!$C$42, 62.2408, 62.2408) * CHOOSE(CONTROL!$C$21, $C$9, 100%, $E$9)</f>
        <v>62.2408</v>
      </c>
      <c r="Q833" s="10">
        <f>CHOOSE(CONTROL!$C$42, 63.0641, 63.0641) * CHOOSE(CONTROL!$C$21, $C$9, 100%, $E$9)</f>
        <v>63.064100000000003</v>
      </c>
      <c r="R833" s="10">
        <f>CHOOSE(CONTROL!$C$42, 63.8088, 63.8088) * CHOOSE(CONTROL!$C$21, $C$9, 100%, $E$9)</f>
        <v>63.808799999999998</v>
      </c>
      <c r="S833" s="10">
        <f>CHOOSE(CONTROL!$C$42, 61.0404, 61.0404) * CHOOSE(CONTROL!$C$21, $C$9, 100%, $E$9)</f>
        <v>61.040399999999998</v>
      </c>
      <c r="T8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57">
        <f>(1000*CHOOSE(CONTROL!$C$42, 695, 695)*CHOOSE(CONTROL!$C$42, 0.5599, 0.5599)*CHOOSE(CONTROL!$C$42, 31, 31))/1000000</f>
        <v>12.063045499999998</v>
      </c>
      <c r="V833" s="57">
        <f>(1000*CHOOSE(CONTROL!$C$42, 500, 500)*CHOOSE(CONTROL!$C$42, 0.275, 0.275)*CHOOSE(CONTROL!$C$42, 31, 31))/1000000</f>
        <v>4.2625000000000002</v>
      </c>
      <c r="W833" s="57">
        <f>(1000*CHOOSE(CONTROL!$C$42, 0.1146, 0.1146)*CHOOSE(CONTROL!$C$42, 121.5, 121.5)*CHOOSE(CONTROL!$C$42, 31, 31))/1000000</f>
        <v>0.43164089999999994</v>
      </c>
      <c r="X833" s="57">
        <f>(31*0.1790888*245000/1000000)+(31*0.2374*100000/1000000)</f>
        <v>2.0961194359999999</v>
      </c>
      <c r="Y833" s="57"/>
      <c r="Z833" s="10"/>
      <c r="AA833" s="56"/>
      <c r="AB833" s="50">
        <f>(B833*194.205+C833*267.466+D833*133.845+E833*53.484+F833*40+G833*185+H833*0+I833*100+J833*300)/(194.205+267.466+133.845+53.484+0+40+185+100+300)</f>
        <v>62.885751075039252</v>
      </c>
      <c r="AC833" s="45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62.332500719424466</v>
      </c>
    </row>
    <row r="834" spans="1:29" ht="15.75" x14ac:dyDescent="0.25">
      <c r="A834" s="13">
        <v>66292</v>
      </c>
      <c r="B834" s="10">
        <f>CHOOSE(CONTROL!$C$42, 64.6443, 64.6443) * CHOOSE(CONTROL!$C$21, $C$9, 100%, $E$9)</f>
        <v>64.644300000000001</v>
      </c>
      <c r="C834" s="10">
        <f>CHOOSE(CONTROL!$C$42, 64.6522, 64.6522) * CHOOSE(CONTROL!$C$21, $C$9, 100%, $E$9)</f>
        <v>64.652199999999993</v>
      </c>
      <c r="D834" s="10">
        <f>CHOOSE(CONTROL!$C$42, 64.8549, 64.8549) * CHOOSE(CONTROL!$C$21, $C$9, 100%, $E$9)</f>
        <v>64.854900000000001</v>
      </c>
      <c r="E834" s="10">
        <f>CHOOSE(CONTROL!$C$42, 64.8861, 64.8861) * CHOOSE(CONTROL!$C$21, $C$9, 100%, $E$9)</f>
        <v>64.886099999999999</v>
      </c>
      <c r="F834" s="10">
        <f>CHOOSE(CONTROL!$C$42, 64.6205, 64.6205)*CHOOSE(CONTROL!$C$21, $C$9, 100%, $E$9)</f>
        <v>64.620500000000007</v>
      </c>
      <c r="G834" s="10">
        <f>CHOOSE(CONTROL!$C$42, 64.6357, 64.6357)*CHOOSE(CONTROL!$C$21, $C$9, 100%, $E$9)</f>
        <v>64.6357</v>
      </c>
      <c r="H834" s="10">
        <f>CHOOSE(CONTROL!$C$42, 64.8747, 64.8747) * CHOOSE(CONTROL!$C$21, $C$9, 100%, $E$9)</f>
        <v>64.874700000000004</v>
      </c>
      <c r="I834" s="10">
        <f>CHOOSE(CONTROL!$C$42, 64.6443, 64.6443)* CHOOSE(CONTROL!$C$21, $C$9, 100%, $E$9)</f>
        <v>64.644300000000001</v>
      </c>
      <c r="J834" s="10">
        <f>CHOOSE(CONTROL!$C$42, 64.6135, 64.6135)* CHOOSE(CONTROL!$C$21, $C$9, 100%, $E$9)</f>
        <v>64.613500000000002</v>
      </c>
      <c r="K834" s="53">
        <f>CHOOSE(CONTROL!$C$42, 64.6404, 64.6404) * CHOOSE(CONTROL!$C$21, $C$9, 100%, $E$9)</f>
        <v>64.6404</v>
      </c>
      <c r="L834" s="10">
        <f>CHOOSE(CONTROL!$C$42, 65.4617, 65.4617) * CHOOSE(CONTROL!$C$21, $C$9, 100%, $E$9)</f>
        <v>65.461699999999993</v>
      </c>
      <c r="M834" s="10">
        <f>CHOOSE(CONTROL!$C$42, 63.9753, 63.9753) * CHOOSE(CONTROL!$C$21, $C$9, 100%, $E$9)</f>
        <v>63.975299999999997</v>
      </c>
      <c r="N834" s="10">
        <f>CHOOSE(CONTROL!$C$42, 63.9903, 63.9903) * CHOOSE(CONTROL!$C$21, $C$9, 100%, $E$9)</f>
        <v>63.990299999999998</v>
      </c>
      <c r="O834" s="10">
        <f>CHOOSE(CONTROL!$C$42, 64.2338, 64.2338) * CHOOSE(CONTROL!$C$21, $C$9, 100%, $E$9)</f>
        <v>64.233800000000002</v>
      </c>
      <c r="P834" s="10">
        <f>CHOOSE(CONTROL!$C$42, 64.0058, 64.0058) * CHOOSE(CONTROL!$C$21, $C$9, 100%, $E$9)</f>
        <v>64.005799999999994</v>
      </c>
      <c r="Q834" s="10">
        <f>CHOOSE(CONTROL!$C$42, 64.8291, 64.8291) * CHOOSE(CONTROL!$C$21, $C$9, 100%, $E$9)</f>
        <v>64.829099999999997</v>
      </c>
      <c r="R834" s="10">
        <f>CHOOSE(CONTROL!$C$42, 65.5782, 65.5782) * CHOOSE(CONTROL!$C$21, $C$9, 100%, $E$9)</f>
        <v>65.578199999999995</v>
      </c>
      <c r="S834" s="10">
        <f>CHOOSE(CONTROL!$C$42, 62.7718, 62.7718) * CHOOSE(CONTROL!$C$21, $C$9, 100%, $E$9)</f>
        <v>62.771799999999999</v>
      </c>
      <c r="T8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57">
        <f>(1000*CHOOSE(CONTROL!$C$42, 695, 695)*CHOOSE(CONTROL!$C$42, 0.5599, 0.5599)*CHOOSE(CONTROL!$C$42, 30, 30))/1000000</f>
        <v>11.673914999999997</v>
      </c>
      <c r="V834" s="57">
        <f>(1000*CHOOSE(CONTROL!$C$42, 500, 500)*CHOOSE(CONTROL!$C$42, 0.275, 0.275)*CHOOSE(CONTROL!$C$42, 30, 30))/1000000</f>
        <v>4.125</v>
      </c>
      <c r="W834" s="57">
        <f>(1000*CHOOSE(CONTROL!$C$42, 0.1146, 0.1146)*CHOOSE(CONTROL!$C$42, 121.5, 121.5)*CHOOSE(CONTROL!$C$42, 30, 30))/1000000</f>
        <v>0.417717</v>
      </c>
      <c r="X834" s="57">
        <f>(30*0.1790888*245000/1000000)+(30*0.2374*100000/1000000)</f>
        <v>2.0285026799999999</v>
      </c>
      <c r="Y834" s="57"/>
      <c r="Z834" s="10"/>
      <c r="AA834" s="56"/>
      <c r="AB834" s="50">
        <f>(B834*194.205+C834*267.466+D834*133.845+E834*53.484+F834*40+G834*185+H834*0+I834*100+J834*300)/(194.205+267.466+133.845+53.484+0+40+185+100+300)</f>
        <v>64.668986161381468</v>
      </c>
      <c r="AC834" s="45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64.09771366906476</v>
      </c>
    </row>
    <row r="835" spans="1:29" ht="15.75" x14ac:dyDescent="0.25">
      <c r="A835" s="13">
        <v>66323</v>
      </c>
      <c r="B835" s="10">
        <f>CHOOSE(CONTROL!$C$42, 63.4042, 63.4042) * CHOOSE(CONTROL!$C$21, $C$9, 100%, $E$9)</f>
        <v>63.404200000000003</v>
      </c>
      <c r="C835" s="10">
        <f>CHOOSE(CONTROL!$C$42, 63.4121, 63.4121) * CHOOSE(CONTROL!$C$21, $C$9, 100%, $E$9)</f>
        <v>63.412100000000002</v>
      </c>
      <c r="D835" s="10">
        <f>CHOOSE(CONTROL!$C$42, 63.6149, 63.6149) * CHOOSE(CONTROL!$C$21, $C$9, 100%, $E$9)</f>
        <v>63.614899999999999</v>
      </c>
      <c r="E835" s="10">
        <f>CHOOSE(CONTROL!$C$42, 63.646, 63.646) * CHOOSE(CONTROL!$C$21, $C$9, 100%, $E$9)</f>
        <v>63.646000000000001</v>
      </c>
      <c r="F835" s="10">
        <f>CHOOSE(CONTROL!$C$42, 63.381, 63.381)*CHOOSE(CONTROL!$C$21, $C$9, 100%, $E$9)</f>
        <v>63.381</v>
      </c>
      <c r="G835" s="10">
        <f>CHOOSE(CONTROL!$C$42, 63.3962, 63.3962)*CHOOSE(CONTROL!$C$21, $C$9, 100%, $E$9)</f>
        <v>63.3962</v>
      </c>
      <c r="H835" s="10">
        <f>CHOOSE(CONTROL!$C$42, 63.6346, 63.6346) * CHOOSE(CONTROL!$C$21, $C$9, 100%, $E$9)</f>
        <v>63.634599999999999</v>
      </c>
      <c r="I835" s="10">
        <f>CHOOSE(CONTROL!$C$42, 63.4042, 63.4042)* CHOOSE(CONTROL!$C$21, $C$9, 100%, $E$9)</f>
        <v>63.404200000000003</v>
      </c>
      <c r="J835" s="10">
        <f>CHOOSE(CONTROL!$C$42, 63.374, 63.374)* CHOOSE(CONTROL!$C$21, $C$9, 100%, $E$9)</f>
        <v>63.374000000000002</v>
      </c>
      <c r="K835" s="53">
        <f>CHOOSE(CONTROL!$C$42, 63.4004, 63.4004) * CHOOSE(CONTROL!$C$21, $C$9, 100%, $E$9)</f>
        <v>63.400399999999998</v>
      </c>
      <c r="L835" s="10">
        <f>CHOOSE(CONTROL!$C$42, 64.2216, 64.2216) * CHOOSE(CONTROL!$C$21, $C$9, 100%, $E$9)</f>
        <v>64.221599999999995</v>
      </c>
      <c r="M835" s="10">
        <f>CHOOSE(CONTROL!$C$42, 62.7482, 62.7482) * CHOOSE(CONTROL!$C$21, $C$9, 100%, $E$9)</f>
        <v>62.748199999999997</v>
      </c>
      <c r="N835" s="10">
        <f>CHOOSE(CONTROL!$C$42, 62.7634, 62.7634) * CHOOSE(CONTROL!$C$21, $C$9, 100%, $E$9)</f>
        <v>62.763399999999997</v>
      </c>
      <c r="O835" s="10">
        <f>CHOOSE(CONTROL!$C$42, 63.0063, 63.0063) * CHOOSE(CONTROL!$C$21, $C$9, 100%, $E$9)</f>
        <v>63.006300000000003</v>
      </c>
      <c r="P835" s="10">
        <f>CHOOSE(CONTROL!$C$42, 62.7783, 62.7783) * CHOOSE(CONTROL!$C$21, $C$9, 100%, $E$9)</f>
        <v>62.778300000000002</v>
      </c>
      <c r="Q835" s="10">
        <f>CHOOSE(CONTROL!$C$42, 63.6016, 63.6016) * CHOOSE(CONTROL!$C$21, $C$9, 100%, $E$9)</f>
        <v>63.601599999999998</v>
      </c>
      <c r="R835" s="10">
        <f>CHOOSE(CONTROL!$C$42, 64.3476, 64.3476) * CHOOSE(CONTROL!$C$21, $C$9, 100%, $E$9)</f>
        <v>64.3476</v>
      </c>
      <c r="S835" s="10">
        <f>CHOOSE(CONTROL!$C$42, 61.5676, 61.5676) * CHOOSE(CONTROL!$C$21, $C$9, 100%, $E$9)</f>
        <v>61.567599999999999</v>
      </c>
      <c r="T8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57">
        <f>(1000*CHOOSE(CONTROL!$C$42, 695, 695)*CHOOSE(CONTROL!$C$42, 0.5599, 0.5599)*CHOOSE(CONTROL!$C$42, 31, 31))/1000000</f>
        <v>12.063045499999998</v>
      </c>
      <c r="V835" s="57">
        <f>(1000*CHOOSE(CONTROL!$C$42, 500, 500)*CHOOSE(CONTROL!$C$42, 0.275, 0.275)*CHOOSE(CONTROL!$C$42, 31, 31))/1000000</f>
        <v>4.2625000000000002</v>
      </c>
      <c r="W835" s="57">
        <f>(1000*CHOOSE(CONTROL!$C$42, 0.1146, 0.1146)*CHOOSE(CONTROL!$C$42, 121.5, 121.5)*CHOOSE(CONTROL!$C$42, 31, 31))/1000000</f>
        <v>0.43164089999999994</v>
      </c>
      <c r="X835" s="57">
        <f>(31*0.1790888*245000/1000000)+(31*0.2374*100000/1000000)</f>
        <v>2.0961194359999999</v>
      </c>
      <c r="Y835" s="57"/>
      <c r="Z835" s="10"/>
      <c r="AA835" s="56"/>
      <c r="AB835" s="50">
        <f>(B835*194.205+C835*267.466+D835*133.845+E835*53.484+F835*40+G835*185+H835*0+I835*100+J835*300)/(194.205+267.466+133.845+53.484+0+40+185+100+300)</f>
        <v>63.429143920015697</v>
      </c>
      <c r="AC835" s="45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62.870386330935254</v>
      </c>
    </row>
    <row r="836" spans="1:29" ht="15.75" x14ac:dyDescent="0.25">
      <c r="A836" s="13">
        <v>66354</v>
      </c>
      <c r="B836" s="10">
        <f>CHOOSE(CONTROL!$C$42, 60.2726, 60.2726) * CHOOSE(CONTROL!$C$21, $C$9, 100%, $E$9)</f>
        <v>60.272599999999997</v>
      </c>
      <c r="C836" s="10">
        <f>CHOOSE(CONTROL!$C$42, 60.2805, 60.2805) * CHOOSE(CONTROL!$C$21, $C$9, 100%, $E$9)</f>
        <v>60.280500000000004</v>
      </c>
      <c r="D836" s="10">
        <f>CHOOSE(CONTROL!$C$42, 60.4833, 60.4833) * CHOOSE(CONTROL!$C$21, $C$9, 100%, $E$9)</f>
        <v>60.4833</v>
      </c>
      <c r="E836" s="10">
        <f>CHOOSE(CONTROL!$C$42, 60.5144, 60.5144) * CHOOSE(CONTROL!$C$21, $C$9, 100%, $E$9)</f>
        <v>60.514400000000002</v>
      </c>
      <c r="F836" s="10">
        <f>CHOOSE(CONTROL!$C$42, 60.2495, 60.2495)*CHOOSE(CONTROL!$C$21, $C$9, 100%, $E$9)</f>
        <v>60.249499999999998</v>
      </c>
      <c r="G836" s="10">
        <f>CHOOSE(CONTROL!$C$42, 60.2649, 60.2649)*CHOOSE(CONTROL!$C$21, $C$9, 100%, $E$9)</f>
        <v>60.264899999999997</v>
      </c>
      <c r="H836" s="10">
        <f>CHOOSE(CONTROL!$C$42, 60.503, 60.503) * CHOOSE(CONTROL!$C$21, $C$9, 100%, $E$9)</f>
        <v>60.503</v>
      </c>
      <c r="I836" s="10">
        <f>CHOOSE(CONTROL!$C$42, 60.2726, 60.2726)* CHOOSE(CONTROL!$C$21, $C$9, 100%, $E$9)</f>
        <v>60.272599999999997</v>
      </c>
      <c r="J836" s="10">
        <f>CHOOSE(CONTROL!$C$42, 60.2425, 60.2425)* CHOOSE(CONTROL!$C$21, $C$9, 100%, $E$9)</f>
        <v>60.2425</v>
      </c>
      <c r="K836" s="53">
        <f>CHOOSE(CONTROL!$C$42, 60.2688, 60.2688) * CHOOSE(CONTROL!$C$21, $C$9, 100%, $E$9)</f>
        <v>60.268799999999999</v>
      </c>
      <c r="L836" s="10">
        <f>CHOOSE(CONTROL!$C$42, 61.09, 61.09) * CHOOSE(CONTROL!$C$21, $C$9, 100%, $E$9)</f>
        <v>61.09</v>
      </c>
      <c r="M836" s="10">
        <f>CHOOSE(CONTROL!$C$42, 59.6484, 59.6484) * CHOOSE(CONTROL!$C$21, $C$9, 100%, $E$9)</f>
        <v>59.648400000000002</v>
      </c>
      <c r="N836" s="10">
        <f>CHOOSE(CONTROL!$C$42, 59.6636, 59.6636) * CHOOSE(CONTROL!$C$21, $C$9, 100%, $E$9)</f>
        <v>59.663600000000002</v>
      </c>
      <c r="O836" s="10">
        <f>CHOOSE(CONTROL!$C$42, 59.9063, 59.9063) * CHOOSE(CONTROL!$C$21, $C$9, 100%, $E$9)</f>
        <v>59.906300000000002</v>
      </c>
      <c r="P836" s="10">
        <f>CHOOSE(CONTROL!$C$42, 59.6783, 59.6783) * CHOOSE(CONTROL!$C$21, $C$9, 100%, $E$9)</f>
        <v>59.6783</v>
      </c>
      <c r="Q836" s="10">
        <f>CHOOSE(CONTROL!$C$42, 60.5016, 60.5016) * CHOOSE(CONTROL!$C$21, $C$9, 100%, $E$9)</f>
        <v>60.501600000000003</v>
      </c>
      <c r="R836" s="10">
        <f>CHOOSE(CONTROL!$C$42, 61.2398, 61.2398) * CHOOSE(CONTROL!$C$21, $C$9, 100%, $E$9)</f>
        <v>61.239800000000002</v>
      </c>
      <c r="S836" s="10">
        <f>CHOOSE(CONTROL!$C$42, 58.5265, 58.5265) * CHOOSE(CONTROL!$C$21, $C$9, 100%, $E$9)</f>
        <v>58.526499999999999</v>
      </c>
      <c r="T8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57">
        <f>(1000*CHOOSE(CONTROL!$C$42, 695, 695)*CHOOSE(CONTROL!$C$42, 0.5599, 0.5599)*CHOOSE(CONTROL!$C$42, 31, 31))/1000000</f>
        <v>12.063045499999998</v>
      </c>
      <c r="V836" s="57">
        <f>(1000*CHOOSE(CONTROL!$C$42, 500, 500)*CHOOSE(CONTROL!$C$42, 0.275, 0.275)*CHOOSE(CONTROL!$C$42, 31, 31))/1000000</f>
        <v>4.2625000000000002</v>
      </c>
      <c r="W836" s="57">
        <f>(1000*CHOOSE(CONTROL!$C$42, 0.1146, 0.1146)*CHOOSE(CONTROL!$C$42, 121.5, 121.5)*CHOOSE(CONTROL!$C$42, 31, 31))/1000000</f>
        <v>0.43164089999999994</v>
      </c>
      <c r="X836" s="57">
        <f>(31*0.1790888*245000/1000000)+(31*0.2374*100000/1000000)</f>
        <v>2.0961194359999999</v>
      </c>
      <c r="Y836" s="57"/>
      <c r="Z836" s="10"/>
      <c r="AA836" s="56"/>
      <c r="AB836" s="50">
        <f>(B836*194.205+C836*267.466+D836*133.845+E836*53.484+F836*40+G836*185+H836*0+I836*100+J836*300)/(194.205+267.466+133.845+53.484+0+40+185+100+300)</f>
        <v>60.297614171193089</v>
      </c>
      <c r="AC836" s="45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59.770466906474823</v>
      </c>
    </row>
    <row r="837" spans="1:29" ht="15.75" x14ac:dyDescent="0.25">
      <c r="A837" s="13">
        <v>66384</v>
      </c>
      <c r="B837" s="10">
        <f>CHOOSE(CONTROL!$C$42, 56.446, 56.446) * CHOOSE(CONTROL!$C$21, $C$9, 100%, $E$9)</f>
        <v>56.445999999999998</v>
      </c>
      <c r="C837" s="10">
        <f>CHOOSE(CONTROL!$C$42, 56.4539, 56.4539) * CHOOSE(CONTROL!$C$21, $C$9, 100%, $E$9)</f>
        <v>56.453899999999997</v>
      </c>
      <c r="D837" s="10">
        <f>CHOOSE(CONTROL!$C$42, 56.6566, 56.6566) * CHOOSE(CONTROL!$C$21, $C$9, 100%, $E$9)</f>
        <v>56.656599999999997</v>
      </c>
      <c r="E837" s="10">
        <f>CHOOSE(CONTROL!$C$42, 56.6878, 56.6878) * CHOOSE(CONTROL!$C$21, $C$9, 100%, $E$9)</f>
        <v>56.687800000000003</v>
      </c>
      <c r="F837" s="10">
        <f>CHOOSE(CONTROL!$C$42, 56.4228, 56.4228)*CHOOSE(CONTROL!$C$21, $C$9, 100%, $E$9)</f>
        <v>56.422800000000002</v>
      </c>
      <c r="G837" s="10">
        <f>CHOOSE(CONTROL!$C$42, 56.4381, 56.4381)*CHOOSE(CONTROL!$C$21, $C$9, 100%, $E$9)</f>
        <v>56.438099999999999</v>
      </c>
      <c r="H837" s="10">
        <f>CHOOSE(CONTROL!$C$42, 56.6764, 56.6764) * CHOOSE(CONTROL!$C$21, $C$9, 100%, $E$9)</f>
        <v>56.676400000000001</v>
      </c>
      <c r="I837" s="10">
        <f>CHOOSE(CONTROL!$C$42, 56.446, 56.446)* CHOOSE(CONTROL!$C$21, $C$9, 100%, $E$9)</f>
        <v>56.445999999999998</v>
      </c>
      <c r="J837" s="10">
        <f>CHOOSE(CONTROL!$C$42, 56.4158, 56.4158)* CHOOSE(CONTROL!$C$21, $C$9, 100%, $E$9)</f>
        <v>56.415799999999997</v>
      </c>
      <c r="K837" s="53">
        <f>CHOOSE(CONTROL!$C$42, 56.4421, 56.4421) * CHOOSE(CONTROL!$C$21, $C$9, 100%, $E$9)</f>
        <v>56.442100000000003</v>
      </c>
      <c r="L837" s="10">
        <f>CHOOSE(CONTROL!$C$42, 57.2634, 57.2634) * CHOOSE(CONTROL!$C$21, $C$9, 100%, $E$9)</f>
        <v>57.263399999999997</v>
      </c>
      <c r="M837" s="10">
        <f>CHOOSE(CONTROL!$C$42, 55.8603, 55.8603) * CHOOSE(CONTROL!$C$21, $C$9, 100%, $E$9)</f>
        <v>55.860300000000002</v>
      </c>
      <c r="N837" s="10">
        <f>CHOOSE(CONTROL!$C$42, 55.8754, 55.8754) * CHOOSE(CONTROL!$C$21, $C$9, 100%, $E$9)</f>
        <v>55.875399999999999</v>
      </c>
      <c r="O837" s="10">
        <f>CHOOSE(CONTROL!$C$42, 56.1183, 56.1183) * CHOOSE(CONTROL!$C$21, $C$9, 100%, $E$9)</f>
        <v>56.118299999999998</v>
      </c>
      <c r="P837" s="10">
        <f>CHOOSE(CONTROL!$C$42, 55.8902, 55.8902) * CHOOSE(CONTROL!$C$21, $C$9, 100%, $E$9)</f>
        <v>55.8902</v>
      </c>
      <c r="Q837" s="10">
        <f>CHOOSE(CONTROL!$C$42, 56.7136, 56.7136) * CHOOSE(CONTROL!$C$21, $C$9, 100%, $E$9)</f>
        <v>56.7136</v>
      </c>
      <c r="R837" s="10">
        <f>CHOOSE(CONTROL!$C$42, 57.4424, 57.4424) * CHOOSE(CONTROL!$C$21, $C$9, 100%, $E$9)</f>
        <v>57.442399999999999</v>
      </c>
      <c r="S837" s="10">
        <f>CHOOSE(CONTROL!$C$42, 54.8104, 54.8104) * CHOOSE(CONTROL!$C$21, $C$9, 100%, $E$9)</f>
        <v>54.810400000000001</v>
      </c>
      <c r="T8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57">
        <f>(1000*CHOOSE(CONTROL!$C$42, 695, 695)*CHOOSE(CONTROL!$C$42, 0.5599, 0.5599)*CHOOSE(CONTROL!$C$42, 30, 30))/1000000</f>
        <v>11.673914999999997</v>
      </c>
      <c r="V837" s="57">
        <f>(1000*CHOOSE(CONTROL!$C$42, 500, 500)*CHOOSE(CONTROL!$C$42, 0.275, 0.275)*CHOOSE(CONTROL!$C$42, 30, 30))/1000000</f>
        <v>4.125</v>
      </c>
      <c r="W837" s="57">
        <f>(1000*CHOOSE(CONTROL!$C$42, 0.1146, 0.1146)*CHOOSE(CONTROL!$C$42, 121.5, 121.5)*CHOOSE(CONTROL!$C$42, 30, 30))/1000000</f>
        <v>0.417717</v>
      </c>
      <c r="X837" s="57">
        <f>(30*0.1790888*245000/1000000)+(30*0.2374*100000/1000000)</f>
        <v>2.0285026799999999</v>
      </c>
      <c r="Y837" s="57"/>
      <c r="Z837" s="10"/>
      <c r="AA837" s="56"/>
      <c r="AB837" s="50">
        <f>(B837*194.205+C837*267.466+D837*133.845+E837*53.484+F837*40+G837*185+H837*0+I837*100+J837*300)/(194.205+267.466+133.845+53.484+0+40+185+100+300)</f>
        <v>56.470947935321817</v>
      </c>
      <c r="AC837" s="45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55.982406474820152</v>
      </c>
    </row>
    <row r="838" spans="1:29" ht="15.75" x14ac:dyDescent="0.25">
      <c r="A838" s="13">
        <v>66415</v>
      </c>
      <c r="B838" s="10">
        <f>CHOOSE(CONTROL!$C$42, 55.2982, 55.2982) * CHOOSE(CONTROL!$C$21, $C$9, 100%, $E$9)</f>
        <v>55.298200000000001</v>
      </c>
      <c r="C838" s="10">
        <f>CHOOSE(CONTROL!$C$42, 55.3035, 55.3035) * CHOOSE(CONTROL!$C$21, $C$9, 100%, $E$9)</f>
        <v>55.3035</v>
      </c>
      <c r="D838" s="10">
        <f>CHOOSE(CONTROL!$C$42, 55.5112, 55.5112) * CHOOSE(CONTROL!$C$21, $C$9, 100%, $E$9)</f>
        <v>55.511200000000002</v>
      </c>
      <c r="E838" s="10">
        <f>CHOOSE(CONTROL!$C$42, 55.54, 55.54) * CHOOSE(CONTROL!$C$21, $C$9, 100%, $E$9)</f>
        <v>55.54</v>
      </c>
      <c r="F838" s="10">
        <f>CHOOSE(CONTROL!$C$42, 55.277, 55.277)*CHOOSE(CONTROL!$C$21, $C$9, 100%, $E$9)</f>
        <v>55.277000000000001</v>
      </c>
      <c r="G838" s="10">
        <f>CHOOSE(CONTROL!$C$42, 55.2919, 55.2919)*CHOOSE(CONTROL!$C$21, $C$9, 100%, $E$9)</f>
        <v>55.291899999999998</v>
      </c>
      <c r="H838" s="10">
        <f>CHOOSE(CONTROL!$C$42, 55.5304, 55.5304) * CHOOSE(CONTROL!$C$21, $C$9, 100%, $E$9)</f>
        <v>55.5304</v>
      </c>
      <c r="I838" s="10">
        <f>CHOOSE(CONTROL!$C$42, 55.3, 55.3)* CHOOSE(CONTROL!$C$21, $C$9, 100%, $E$9)</f>
        <v>55.3</v>
      </c>
      <c r="J838" s="10">
        <f>CHOOSE(CONTROL!$C$42, 55.27, 55.27)* CHOOSE(CONTROL!$C$21, $C$9, 100%, $E$9)</f>
        <v>55.27</v>
      </c>
      <c r="K838" s="53">
        <f>CHOOSE(CONTROL!$C$42, 55.2962, 55.2962) * CHOOSE(CONTROL!$C$21, $C$9, 100%, $E$9)</f>
        <v>55.296199999999999</v>
      </c>
      <c r="L838" s="10">
        <f>CHOOSE(CONTROL!$C$42, 56.1174, 56.1174) * CHOOSE(CONTROL!$C$21, $C$9, 100%, $E$9)</f>
        <v>56.117400000000004</v>
      </c>
      <c r="M838" s="10">
        <f>CHOOSE(CONTROL!$C$42, 54.726, 54.726) * CHOOSE(CONTROL!$C$21, $C$9, 100%, $E$9)</f>
        <v>54.725999999999999</v>
      </c>
      <c r="N838" s="10">
        <f>CHOOSE(CONTROL!$C$42, 54.7408, 54.7408) * CHOOSE(CONTROL!$C$21, $C$9, 100%, $E$9)</f>
        <v>54.7408</v>
      </c>
      <c r="O838" s="10">
        <f>CHOOSE(CONTROL!$C$42, 54.9839, 54.9839) * CHOOSE(CONTROL!$C$21, $C$9, 100%, $E$9)</f>
        <v>54.983899999999998</v>
      </c>
      <c r="P838" s="10">
        <f>CHOOSE(CONTROL!$C$42, 54.7558, 54.7558) * CHOOSE(CONTROL!$C$21, $C$9, 100%, $E$9)</f>
        <v>54.755800000000001</v>
      </c>
      <c r="Q838" s="10">
        <f>CHOOSE(CONTROL!$C$42, 55.5792, 55.5792) * CHOOSE(CONTROL!$C$21, $C$9, 100%, $E$9)</f>
        <v>55.5792</v>
      </c>
      <c r="R838" s="10">
        <f>CHOOSE(CONTROL!$C$42, 56.3051, 56.3051) * CHOOSE(CONTROL!$C$21, $C$9, 100%, $E$9)</f>
        <v>56.305100000000003</v>
      </c>
      <c r="S838" s="10">
        <f>CHOOSE(CONTROL!$C$42, 53.6976, 53.6976) * CHOOSE(CONTROL!$C$21, $C$9, 100%, $E$9)</f>
        <v>53.697600000000001</v>
      </c>
      <c r="T8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57">
        <f>(1000*CHOOSE(CONTROL!$C$42, 695, 695)*CHOOSE(CONTROL!$C$42, 0.5599, 0.5599)*CHOOSE(CONTROL!$C$42, 31, 31))/1000000</f>
        <v>12.063045499999998</v>
      </c>
      <c r="V838" s="57">
        <f>(1000*CHOOSE(CONTROL!$C$42, 500, 500)*CHOOSE(CONTROL!$C$42, 0.275, 0.275)*CHOOSE(CONTROL!$C$42, 31, 31))/1000000</f>
        <v>4.2625000000000002</v>
      </c>
      <c r="W838" s="57">
        <f>(1000*CHOOSE(CONTROL!$C$42, 0.1146, 0.1146)*CHOOSE(CONTROL!$C$42, 121.5, 121.5)*CHOOSE(CONTROL!$C$42, 31, 31))/1000000</f>
        <v>0.43164089999999994</v>
      </c>
      <c r="X838" s="57">
        <f>(31*0.1790888*245000/1000000)+(31*0.2374*100000/1000000)</f>
        <v>2.0961194359999999</v>
      </c>
      <c r="Y838" s="57"/>
      <c r="Z838" s="10"/>
      <c r="AA838" s="56"/>
      <c r="AB838" s="50">
        <f>(B838*131.881+C838*277.167+D838*79.08+E838*125.872+F838*40+G838*185+H838*0+I838*100+J838*300)/(131.881+277.167+79.08+125.872+0+40+185+100+300)</f>
        <v>55.329237429136398</v>
      </c>
      <c r="AC838" s="45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54.84802949640288</v>
      </c>
    </row>
    <row r="839" spans="1:29" ht="15.75" x14ac:dyDescent="0.25">
      <c r="A839" s="13">
        <v>66445</v>
      </c>
      <c r="B839" s="10">
        <f>CHOOSE(CONTROL!$C$42, 56.7546, 56.7546) * CHOOSE(CONTROL!$C$21, $C$9, 100%, $E$9)</f>
        <v>56.754600000000003</v>
      </c>
      <c r="C839" s="10">
        <f>CHOOSE(CONTROL!$C$42, 56.7595, 56.7595) * CHOOSE(CONTROL!$C$21, $C$9, 100%, $E$9)</f>
        <v>56.759500000000003</v>
      </c>
      <c r="D839" s="10">
        <f>CHOOSE(CONTROL!$C$42, 56.82, 56.82) * CHOOSE(CONTROL!$C$21, $C$9, 100%, $E$9)</f>
        <v>56.82</v>
      </c>
      <c r="E839" s="10">
        <f>CHOOSE(CONTROL!$C$42, 56.8538, 56.8538) * CHOOSE(CONTROL!$C$21, $C$9, 100%, $E$9)</f>
        <v>56.8538</v>
      </c>
      <c r="F839" s="10">
        <f>CHOOSE(CONTROL!$C$42, 56.7502, 56.7502)*CHOOSE(CONTROL!$C$21, $C$9, 100%, $E$9)</f>
        <v>56.7502</v>
      </c>
      <c r="G839" s="10">
        <f>CHOOSE(CONTROL!$C$42, 56.7654, 56.7654)*CHOOSE(CONTROL!$C$21, $C$9, 100%, $E$9)</f>
        <v>56.7654</v>
      </c>
      <c r="H839" s="10">
        <f>CHOOSE(CONTROL!$C$42, 56.843, 56.843) * CHOOSE(CONTROL!$C$21, $C$9, 100%, $E$9)</f>
        <v>56.843000000000004</v>
      </c>
      <c r="I839" s="10">
        <f>CHOOSE(CONTROL!$C$42, 56.7671, 56.7671)* CHOOSE(CONTROL!$C$21, $C$9, 100%, $E$9)</f>
        <v>56.767099999999999</v>
      </c>
      <c r="J839" s="10">
        <f>CHOOSE(CONTROL!$C$42, 56.7432, 56.7432)* CHOOSE(CONTROL!$C$21, $C$9, 100%, $E$9)</f>
        <v>56.743200000000002</v>
      </c>
      <c r="K839" s="53">
        <f>CHOOSE(CONTROL!$C$42, 56.7632, 56.7632) * CHOOSE(CONTROL!$C$21, $C$9, 100%, $E$9)</f>
        <v>56.763199999999998</v>
      </c>
      <c r="L839" s="10">
        <f>CHOOSE(CONTROL!$C$42, 57.43, 57.43) * CHOOSE(CONTROL!$C$21, $C$9, 100%, $E$9)</f>
        <v>57.43</v>
      </c>
      <c r="M839" s="10">
        <f>CHOOSE(CONTROL!$C$42, 56.1844, 56.1844) * CHOOSE(CONTROL!$C$21, $C$9, 100%, $E$9)</f>
        <v>56.184399999999997</v>
      </c>
      <c r="N839" s="10">
        <f>CHOOSE(CONTROL!$C$42, 56.1994, 56.1994) * CHOOSE(CONTROL!$C$21, $C$9, 100%, $E$9)</f>
        <v>56.199399999999997</v>
      </c>
      <c r="O839" s="10">
        <f>CHOOSE(CONTROL!$C$42, 56.2832, 56.2832) * CHOOSE(CONTROL!$C$21, $C$9, 100%, $E$9)</f>
        <v>56.283200000000001</v>
      </c>
      <c r="P839" s="10">
        <f>CHOOSE(CONTROL!$C$42, 56.2081, 56.2081) * CHOOSE(CONTROL!$C$21, $C$9, 100%, $E$9)</f>
        <v>56.208100000000002</v>
      </c>
      <c r="Q839" s="10">
        <f>CHOOSE(CONTROL!$C$42, 56.8785, 56.8785) * CHOOSE(CONTROL!$C$21, $C$9, 100%, $E$9)</f>
        <v>56.878500000000003</v>
      </c>
      <c r="R839" s="10">
        <f>CHOOSE(CONTROL!$C$42, 57.6077, 57.6077) * CHOOSE(CONTROL!$C$21, $C$9, 100%, $E$9)</f>
        <v>57.607700000000001</v>
      </c>
      <c r="S839" s="10">
        <f>CHOOSE(CONTROL!$C$42, 55.1122, 55.1122) * CHOOSE(CONTROL!$C$21, $C$9, 100%, $E$9)</f>
        <v>55.112200000000001</v>
      </c>
      <c r="T8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57">
        <f>(1000*CHOOSE(CONTROL!$C$42, 695, 695)*CHOOSE(CONTROL!$C$42, 0.5599, 0.5599)*CHOOSE(CONTROL!$C$42, 30, 30))/1000000</f>
        <v>11.673914999999997</v>
      </c>
      <c r="V839" s="57">
        <f>(1000*CHOOSE(CONTROL!$C$42, 500, 500)*CHOOSE(CONTROL!$C$42, 0.275, 0.275)*CHOOSE(CONTROL!$C$42, 30, 30))/1000000</f>
        <v>4.125</v>
      </c>
      <c r="W839" s="57">
        <f>(1000*CHOOSE(CONTROL!$C$42, 0.1146, 0.1146)*CHOOSE(CONTROL!$C$42, 121.5, 121.5)*CHOOSE(CONTROL!$C$42, 30, 30))/1000000</f>
        <v>0.417717</v>
      </c>
      <c r="X839" s="57">
        <f>(30*0.1790888*100000/1000000)+(30*0.2374*100000/1000000)</f>
        <v>1.2494664</v>
      </c>
      <c r="Y839" s="57"/>
      <c r="Z839" s="10"/>
      <c r="AA839" s="56"/>
      <c r="AB839" s="50">
        <f>(B839*122.58+C839*297.941+D839*89.177+E839*40.302+F839*40+G839*160+H839*0+I839*100+J839*300)/(122.58+297.941+89.177+40.302+0+40+160+100+300)</f>
        <v>56.763880039217383</v>
      </c>
      <c r="AC839" s="45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56.233453237410075</v>
      </c>
    </row>
    <row r="840" spans="1:29" ht="15.75" x14ac:dyDescent="0.25">
      <c r="A840" s="13">
        <v>66476</v>
      </c>
      <c r="B840" s="10">
        <f>CHOOSE(CONTROL!$C$42, 60.6239, 60.6239) * CHOOSE(CONTROL!$C$21, $C$9, 100%, $E$9)</f>
        <v>60.623899999999999</v>
      </c>
      <c r="C840" s="10">
        <f>CHOOSE(CONTROL!$C$42, 60.6288, 60.6288) * CHOOSE(CONTROL!$C$21, $C$9, 100%, $E$9)</f>
        <v>60.628799999999998</v>
      </c>
      <c r="D840" s="10">
        <f>CHOOSE(CONTROL!$C$42, 60.6893, 60.6893) * CHOOSE(CONTROL!$C$21, $C$9, 100%, $E$9)</f>
        <v>60.689300000000003</v>
      </c>
      <c r="E840" s="10">
        <f>CHOOSE(CONTROL!$C$42, 60.7231, 60.7231) * CHOOSE(CONTROL!$C$21, $C$9, 100%, $E$9)</f>
        <v>60.723100000000002</v>
      </c>
      <c r="F840" s="10">
        <f>CHOOSE(CONTROL!$C$42, 60.6213, 60.6213)*CHOOSE(CONTROL!$C$21, $C$9, 100%, $E$9)</f>
        <v>60.621299999999998</v>
      </c>
      <c r="G840" s="10">
        <f>CHOOSE(CONTROL!$C$42, 60.637, 60.637)*CHOOSE(CONTROL!$C$21, $C$9, 100%, $E$9)</f>
        <v>60.637</v>
      </c>
      <c r="H840" s="10">
        <f>CHOOSE(CONTROL!$C$42, 60.7123, 60.7123) * CHOOSE(CONTROL!$C$21, $C$9, 100%, $E$9)</f>
        <v>60.712299999999999</v>
      </c>
      <c r="I840" s="10">
        <f>CHOOSE(CONTROL!$C$42, 60.6364, 60.6364)* CHOOSE(CONTROL!$C$21, $C$9, 100%, $E$9)</f>
        <v>60.636400000000002</v>
      </c>
      <c r="J840" s="10">
        <f>CHOOSE(CONTROL!$C$42, 60.6143, 60.6143)* CHOOSE(CONTROL!$C$21, $C$9, 100%, $E$9)</f>
        <v>60.6143</v>
      </c>
      <c r="K840" s="53">
        <f>CHOOSE(CONTROL!$C$42, 60.6325, 60.6325) * CHOOSE(CONTROL!$C$21, $C$9, 100%, $E$9)</f>
        <v>60.6325</v>
      </c>
      <c r="L840" s="10">
        <f>CHOOSE(CONTROL!$C$42, 61.2993, 61.2993) * CHOOSE(CONTROL!$C$21, $C$9, 100%, $E$9)</f>
        <v>61.299300000000002</v>
      </c>
      <c r="M840" s="10">
        <f>CHOOSE(CONTROL!$C$42, 60.0164, 60.0164) * CHOOSE(CONTROL!$C$21, $C$9, 100%, $E$9)</f>
        <v>60.016399999999997</v>
      </c>
      <c r="N840" s="10">
        <f>CHOOSE(CONTROL!$C$42, 60.032, 60.032) * CHOOSE(CONTROL!$C$21, $C$9, 100%, $E$9)</f>
        <v>60.031999999999996</v>
      </c>
      <c r="O840" s="10">
        <f>CHOOSE(CONTROL!$C$42, 60.1134, 60.1134) * CHOOSE(CONTROL!$C$21, $C$9, 100%, $E$9)</f>
        <v>60.113399999999999</v>
      </c>
      <c r="P840" s="10">
        <f>CHOOSE(CONTROL!$C$42, 60.0383, 60.0383) * CHOOSE(CONTROL!$C$21, $C$9, 100%, $E$9)</f>
        <v>60.0383</v>
      </c>
      <c r="Q840" s="10">
        <f>CHOOSE(CONTROL!$C$42, 60.7087, 60.7087) * CHOOSE(CONTROL!$C$21, $C$9, 100%, $E$9)</f>
        <v>60.7087</v>
      </c>
      <c r="R840" s="10">
        <f>CHOOSE(CONTROL!$C$42, 61.4475, 61.4475) * CHOOSE(CONTROL!$C$21, $C$9, 100%, $E$9)</f>
        <v>61.447499999999998</v>
      </c>
      <c r="S840" s="10">
        <f>CHOOSE(CONTROL!$C$42, 58.8697, 58.8697) * CHOOSE(CONTROL!$C$21, $C$9, 100%, $E$9)</f>
        <v>58.869700000000002</v>
      </c>
      <c r="T8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57">
        <f>(1000*CHOOSE(CONTROL!$C$42, 695, 695)*CHOOSE(CONTROL!$C$42, 0.5599, 0.5599)*CHOOSE(CONTROL!$C$42, 31, 31))/1000000</f>
        <v>12.063045499999998</v>
      </c>
      <c r="V840" s="57">
        <f>(1000*CHOOSE(CONTROL!$C$42, 500, 500)*CHOOSE(CONTROL!$C$42, 0.275, 0.275)*CHOOSE(CONTROL!$C$42, 31, 31))/1000000</f>
        <v>4.2625000000000002</v>
      </c>
      <c r="W840" s="57">
        <f>(1000*CHOOSE(CONTROL!$C$42, 0.1146, 0.1146)*CHOOSE(CONTROL!$C$42, 121.5, 121.5)*CHOOSE(CONTROL!$C$42, 31, 31))/1000000</f>
        <v>0.43164089999999994</v>
      </c>
      <c r="X840" s="57">
        <f>(31*0.1790888*100000/1000000)+(31*0.2374*100000/1000000)</f>
        <v>1.2911152800000001</v>
      </c>
      <c r="Y840" s="57"/>
      <c r="Z840" s="10"/>
      <c r="AA840" s="56"/>
      <c r="AB840" s="50">
        <f>(B840*122.58+C840*297.941+D840*89.177+E840*40.302+F840*40+G840*160+H840*0+I840*100+J840*300)/(122.58+297.941+89.177+40.302+0+40+160+100+300)</f>
        <v>60.634032213130432</v>
      </c>
      <c r="AC840" s="45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60.0644129496403</v>
      </c>
    </row>
    <row r="841" spans="1:29" ht="15.75" x14ac:dyDescent="0.25">
      <c r="A841" s="13">
        <v>66507</v>
      </c>
      <c r="B841" s="10">
        <f>CHOOSE(CONTROL!$C$42, 65.591, 65.591) * CHOOSE(CONTROL!$C$21, $C$9, 100%, $E$9)</f>
        <v>65.590999999999994</v>
      </c>
      <c r="C841" s="10">
        <f>CHOOSE(CONTROL!$C$42, 65.5959, 65.5959) * CHOOSE(CONTROL!$C$21, $C$9, 100%, $E$9)</f>
        <v>65.5959</v>
      </c>
      <c r="D841" s="10">
        <f>CHOOSE(CONTROL!$C$42, 65.653, 65.653) * CHOOSE(CONTROL!$C$21, $C$9, 100%, $E$9)</f>
        <v>65.653000000000006</v>
      </c>
      <c r="E841" s="10">
        <f>CHOOSE(CONTROL!$C$42, 65.6868, 65.6868) * CHOOSE(CONTROL!$C$21, $C$9, 100%, $E$9)</f>
        <v>65.686800000000005</v>
      </c>
      <c r="F841" s="10">
        <f>CHOOSE(CONTROL!$C$42, 65.5888, 65.5888)*CHOOSE(CONTROL!$C$21, $C$9, 100%, $E$9)</f>
        <v>65.588800000000006</v>
      </c>
      <c r="G841" s="10">
        <f>CHOOSE(CONTROL!$C$42, 65.6034, 65.6034)*CHOOSE(CONTROL!$C$21, $C$9, 100%, $E$9)</f>
        <v>65.603399999999993</v>
      </c>
      <c r="H841" s="10">
        <f>CHOOSE(CONTROL!$C$42, 65.6759, 65.6759) * CHOOSE(CONTROL!$C$21, $C$9, 100%, $E$9)</f>
        <v>65.675899999999999</v>
      </c>
      <c r="I841" s="10">
        <f>CHOOSE(CONTROL!$C$42, 65.6017, 65.6017)* CHOOSE(CONTROL!$C$21, $C$9, 100%, $E$9)</f>
        <v>65.601699999999994</v>
      </c>
      <c r="J841" s="10">
        <f>CHOOSE(CONTROL!$C$42, 65.5818, 65.5818)* CHOOSE(CONTROL!$C$21, $C$9, 100%, $E$9)</f>
        <v>65.581800000000001</v>
      </c>
      <c r="K841" s="53">
        <f>CHOOSE(CONTROL!$C$42, 65.5979, 65.5979) * CHOOSE(CONTROL!$C$21, $C$9, 100%, $E$9)</f>
        <v>65.597899999999996</v>
      </c>
      <c r="L841" s="10">
        <f>CHOOSE(CONTROL!$C$42, 66.2629, 66.2629) * CHOOSE(CONTROL!$C$21, $C$9, 100%, $E$9)</f>
        <v>66.262900000000002</v>
      </c>
      <c r="M841" s="10">
        <f>CHOOSE(CONTROL!$C$42, 64.9338, 64.9338) * CHOOSE(CONTROL!$C$21, $C$9, 100%, $E$9)</f>
        <v>64.933800000000005</v>
      </c>
      <c r="N841" s="10">
        <f>CHOOSE(CONTROL!$C$42, 64.9482, 64.9482) * CHOOSE(CONTROL!$C$21, $C$9, 100%, $E$9)</f>
        <v>64.9482</v>
      </c>
      <c r="O841" s="10">
        <f>CHOOSE(CONTROL!$C$42, 65.027, 65.027) * CHOOSE(CONTROL!$C$21, $C$9, 100%, $E$9)</f>
        <v>65.027000000000001</v>
      </c>
      <c r="P841" s="10">
        <f>CHOOSE(CONTROL!$C$42, 64.9536, 64.9536) * CHOOSE(CONTROL!$C$21, $C$9, 100%, $E$9)</f>
        <v>64.953599999999994</v>
      </c>
      <c r="Q841" s="10">
        <f>CHOOSE(CONTROL!$C$42, 65.6223, 65.6223) * CHOOSE(CONTROL!$C$21, $C$9, 100%, $E$9)</f>
        <v>65.622299999999996</v>
      </c>
      <c r="R841" s="10">
        <f>CHOOSE(CONTROL!$C$42, 66.3733, 66.3733) * CHOOSE(CONTROL!$C$21, $C$9, 100%, $E$9)</f>
        <v>66.3733</v>
      </c>
      <c r="S841" s="10">
        <f>CHOOSE(CONTROL!$C$42, 63.6932, 63.6932) * CHOOSE(CONTROL!$C$21, $C$9, 100%, $E$9)</f>
        <v>63.693199999999997</v>
      </c>
      <c r="T8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57">
        <f>(1000*CHOOSE(CONTROL!$C$42, 695, 695)*CHOOSE(CONTROL!$C$42, 0.5599, 0.5599)*CHOOSE(CONTROL!$C$42, 31, 31))/1000000</f>
        <v>12.063045499999998</v>
      </c>
      <c r="V841" s="57">
        <f>(1000*CHOOSE(CONTROL!$C$42, 500, 500)*CHOOSE(CONTROL!$C$42, 0.275, 0.275)*CHOOSE(CONTROL!$C$42, 31, 31))/1000000</f>
        <v>4.2625000000000002</v>
      </c>
      <c r="W841" s="57">
        <f>(1000*CHOOSE(CONTROL!$C$42, 0.1146, 0.1146)*CHOOSE(CONTROL!$C$42, 121.5, 121.5)*CHOOSE(CONTROL!$C$42, 31, 31))/1000000</f>
        <v>0.43164089999999994</v>
      </c>
      <c r="X841" s="57">
        <f>(31*0.1790888*100000/1000000)+(31*0.2374*100000/1000000)</f>
        <v>1.2911152800000001</v>
      </c>
      <c r="Y841" s="57"/>
      <c r="Z841" s="10"/>
      <c r="AA841" s="56"/>
      <c r="AB841" s="50">
        <f>(B841*122.58+C841*297.941+D841*89.177+E841*40.302+F841*40+G841*160+H841*0+I841*100+J841*300)/(122.58+297.941+89.177+40.302+0+40+160+100+300)</f>
        <v>65.600613753478271</v>
      </c>
      <c r="AC841" s="45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64.979719424460427</v>
      </c>
    </row>
    <row r="842" spans="1:29" ht="15.75" x14ac:dyDescent="0.25">
      <c r="A842" s="13">
        <v>66535</v>
      </c>
      <c r="B842" s="10">
        <f>CHOOSE(CONTROL!$C$42, 66.7585, 66.7585) * CHOOSE(CONTROL!$C$21, $C$9, 100%, $E$9)</f>
        <v>66.758499999999998</v>
      </c>
      <c r="C842" s="10">
        <f>CHOOSE(CONTROL!$C$42, 66.7635, 66.7635) * CHOOSE(CONTROL!$C$21, $C$9, 100%, $E$9)</f>
        <v>66.763499999999993</v>
      </c>
      <c r="D842" s="10">
        <f>CHOOSE(CONTROL!$C$42, 66.8205, 66.8205) * CHOOSE(CONTROL!$C$21, $C$9, 100%, $E$9)</f>
        <v>66.820499999999996</v>
      </c>
      <c r="E842" s="10">
        <f>CHOOSE(CONTROL!$C$42, 66.8543, 66.8543) * CHOOSE(CONTROL!$C$21, $C$9, 100%, $E$9)</f>
        <v>66.854299999999995</v>
      </c>
      <c r="F842" s="10">
        <f>CHOOSE(CONTROL!$C$42, 66.7565, 66.7565)*CHOOSE(CONTROL!$C$21, $C$9, 100%, $E$9)</f>
        <v>66.756500000000003</v>
      </c>
      <c r="G842" s="10">
        <f>CHOOSE(CONTROL!$C$42, 66.7711, 66.7711)*CHOOSE(CONTROL!$C$21, $C$9, 100%, $E$9)</f>
        <v>66.771100000000004</v>
      </c>
      <c r="H842" s="10">
        <f>CHOOSE(CONTROL!$C$42, 66.8435, 66.8435) * CHOOSE(CONTROL!$C$21, $C$9, 100%, $E$9)</f>
        <v>66.843500000000006</v>
      </c>
      <c r="I842" s="10">
        <f>CHOOSE(CONTROL!$C$42, 66.7693, 66.7693)* CHOOSE(CONTROL!$C$21, $C$9, 100%, $E$9)</f>
        <v>66.769300000000001</v>
      </c>
      <c r="J842" s="10">
        <f>CHOOSE(CONTROL!$C$42, 66.7495, 66.7495)* CHOOSE(CONTROL!$C$21, $C$9, 100%, $E$9)</f>
        <v>66.749499999999998</v>
      </c>
      <c r="K842" s="53">
        <f>CHOOSE(CONTROL!$C$42, 66.7654, 66.7654) * CHOOSE(CONTROL!$C$21, $C$9, 100%, $E$9)</f>
        <v>66.7654</v>
      </c>
      <c r="L842" s="10">
        <f>CHOOSE(CONTROL!$C$42, 67.4305, 67.4305) * CHOOSE(CONTROL!$C$21, $C$9, 100%, $E$9)</f>
        <v>67.430499999999995</v>
      </c>
      <c r="M842" s="10">
        <f>CHOOSE(CONTROL!$C$42, 66.0897, 66.0897) * CHOOSE(CONTROL!$C$21, $C$9, 100%, $E$9)</f>
        <v>66.089699999999993</v>
      </c>
      <c r="N842" s="10">
        <f>CHOOSE(CONTROL!$C$42, 66.1042, 66.1042) * CHOOSE(CONTROL!$C$21, $C$9, 100%, $E$9)</f>
        <v>66.104200000000006</v>
      </c>
      <c r="O842" s="10">
        <f>CHOOSE(CONTROL!$C$42, 66.1828, 66.1828) * CHOOSE(CONTROL!$C$21, $C$9, 100%, $E$9)</f>
        <v>66.1828</v>
      </c>
      <c r="P842" s="10">
        <f>CHOOSE(CONTROL!$C$42, 66.1094, 66.1094) * CHOOSE(CONTROL!$C$21, $C$9, 100%, $E$9)</f>
        <v>66.109399999999994</v>
      </c>
      <c r="Q842" s="10">
        <f>CHOOSE(CONTROL!$C$42, 66.7781, 66.7781) * CHOOSE(CONTROL!$C$21, $C$9, 100%, $E$9)</f>
        <v>66.778099999999995</v>
      </c>
      <c r="R842" s="10">
        <f>CHOOSE(CONTROL!$C$42, 67.532, 67.532) * CHOOSE(CONTROL!$C$21, $C$9, 100%, $E$9)</f>
        <v>67.531999999999996</v>
      </c>
      <c r="S842" s="10">
        <f>CHOOSE(CONTROL!$C$42, 64.8271, 64.8271) * CHOOSE(CONTROL!$C$21, $C$9, 100%, $E$9)</f>
        <v>64.827100000000002</v>
      </c>
      <c r="T8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57">
        <f>(1000*CHOOSE(CONTROL!$C$42, 695, 695)*CHOOSE(CONTROL!$C$42, 0.5599, 0.5599)*CHOOSE(CONTROL!$C$42, 28, 28))/1000000</f>
        <v>10.895653999999999</v>
      </c>
      <c r="V842" s="57">
        <f>(1000*CHOOSE(CONTROL!$C$42, 500, 500)*CHOOSE(CONTROL!$C$42, 0.275, 0.275)*CHOOSE(CONTROL!$C$42, 28, 28))/1000000</f>
        <v>3.85</v>
      </c>
      <c r="W842" s="57">
        <f>(1000*CHOOSE(CONTROL!$C$42, 0.1146, 0.1146)*CHOOSE(CONTROL!$C$42, 121.5, 121.5)*CHOOSE(CONTROL!$C$42, 28, 28))/1000000</f>
        <v>0.38986920000000003</v>
      </c>
      <c r="X842" s="57">
        <f>(28*0.1790888*100000/1000000)+(28*0.2374*100000/1000000)</f>
        <v>1.16616864</v>
      </c>
      <c r="Y842" s="57"/>
      <c r="Z842" s="10"/>
      <c r="AA842" s="56"/>
      <c r="AB842" s="50">
        <f>(B842*122.58+C842*297.941+D842*89.177+E842*40.302+F842*40+G842*160+H842*0+I842*100+J842*300)/(122.58+297.941+89.177+40.302+0+40+160+100+300)</f>
        <v>66.768235313565214</v>
      </c>
      <c r="AC842" s="45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66.135565467625895</v>
      </c>
    </row>
    <row r="843" spans="1:29" ht="15.75" x14ac:dyDescent="0.25">
      <c r="A843" s="13">
        <v>66566</v>
      </c>
      <c r="B843" s="10">
        <f>CHOOSE(CONTROL!$C$42, 64.8633, 64.8633) * CHOOSE(CONTROL!$C$21, $C$9, 100%, $E$9)</f>
        <v>64.863299999999995</v>
      </c>
      <c r="C843" s="10">
        <f>CHOOSE(CONTROL!$C$42, 64.8682, 64.8682) * CHOOSE(CONTROL!$C$21, $C$9, 100%, $E$9)</f>
        <v>64.868200000000002</v>
      </c>
      <c r="D843" s="10">
        <f>CHOOSE(CONTROL!$C$42, 64.9253, 64.9253) * CHOOSE(CONTROL!$C$21, $C$9, 100%, $E$9)</f>
        <v>64.925299999999993</v>
      </c>
      <c r="E843" s="10">
        <f>CHOOSE(CONTROL!$C$42, 64.9591, 64.9591) * CHOOSE(CONTROL!$C$21, $C$9, 100%, $E$9)</f>
        <v>64.959100000000007</v>
      </c>
      <c r="F843" s="10">
        <f>CHOOSE(CONTROL!$C$42, 64.8611, 64.8611)*CHOOSE(CONTROL!$C$21, $C$9, 100%, $E$9)</f>
        <v>64.861099999999993</v>
      </c>
      <c r="G843" s="10">
        <f>CHOOSE(CONTROL!$C$42, 64.8757, 64.8757)*CHOOSE(CONTROL!$C$21, $C$9, 100%, $E$9)</f>
        <v>64.875699999999995</v>
      </c>
      <c r="H843" s="10">
        <f>CHOOSE(CONTROL!$C$42, 64.9483, 64.9483) * CHOOSE(CONTROL!$C$21, $C$9, 100%, $E$9)</f>
        <v>64.948300000000003</v>
      </c>
      <c r="I843" s="10">
        <f>CHOOSE(CONTROL!$C$42, 64.8741, 64.8741)* CHOOSE(CONTROL!$C$21, $C$9, 100%, $E$9)</f>
        <v>64.874099999999999</v>
      </c>
      <c r="J843" s="10">
        <f>CHOOSE(CONTROL!$C$42, 64.8541, 64.8541)* CHOOSE(CONTROL!$C$21, $C$9, 100%, $E$9)</f>
        <v>64.854100000000003</v>
      </c>
      <c r="K843" s="53">
        <f>CHOOSE(CONTROL!$C$42, 64.8702, 64.8702) * CHOOSE(CONTROL!$C$21, $C$9, 100%, $E$9)</f>
        <v>64.870199999999997</v>
      </c>
      <c r="L843" s="10">
        <f>CHOOSE(CONTROL!$C$42, 65.5353, 65.5353) * CHOOSE(CONTROL!$C$21, $C$9, 100%, $E$9)</f>
        <v>65.535300000000007</v>
      </c>
      <c r="M843" s="10">
        <f>CHOOSE(CONTROL!$C$42, 64.2134, 64.2134) * CHOOSE(CONTROL!$C$21, $C$9, 100%, $E$9)</f>
        <v>64.213399999999993</v>
      </c>
      <c r="N843" s="10">
        <f>CHOOSE(CONTROL!$C$42, 64.2279, 64.2279) * CHOOSE(CONTROL!$C$21, $C$9, 100%, $E$9)</f>
        <v>64.227900000000005</v>
      </c>
      <c r="O843" s="10">
        <f>CHOOSE(CONTROL!$C$42, 64.3067, 64.3067) * CHOOSE(CONTROL!$C$21, $C$9, 100%, $E$9)</f>
        <v>64.306700000000006</v>
      </c>
      <c r="P843" s="10">
        <f>CHOOSE(CONTROL!$C$42, 64.2332, 64.2332) * CHOOSE(CONTROL!$C$21, $C$9, 100%, $E$9)</f>
        <v>64.233199999999997</v>
      </c>
      <c r="Q843" s="10">
        <f>CHOOSE(CONTROL!$C$42, 64.902, 64.902) * CHOOSE(CONTROL!$C$21, $C$9, 100%, $E$9)</f>
        <v>64.902000000000001</v>
      </c>
      <c r="R843" s="10">
        <f>CHOOSE(CONTROL!$C$42, 65.6512, 65.6512) * CHOOSE(CONTROL!$C$21, $C$9, 100%, $E$9)</f>
        <v>65.651200000000003</v>
      </c>
      <c r="S843" s="10">
        <f>CHOOSE(CONTROL!$C$42, 62.9866, 62.9866) * CHOOSE(CONTROL!$C$21, $C$9, 100%, $E$9)</f>
        <v>62.986600000000003</v>
      </c>
      <c r="T8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57">
        <f>(1000*CHOOSE(CONTROL!$C$42, 695, 695)*CHOOSE(CONTROL!$C$42, 0.5599, 0.5599)*CHOOSE(CONTROL!$C$42, 31, 31))/1000000</f>
        <v>12.063045499999998</v>
      </c>
      <c r="V843" s="57">
        <f>(1000*CHOOSE(CONTROL!$C$42, 500, 500)*CHOOSE(CONTROL!$C$42, 0.275, 0.275)*CHOOSE(CONTROL!$C$42, 31, 31))/1000000</f>
        <v>4.2625000000000002</v>
      </c>
      <c r="W843" s="57">
        <f>(1000*CHOOSE(CONTROL!$C$42, 0.1146, 0.1146)*CHOOSE(CONTROL!$C$42, 121.5, 121.5)*CHOOSE(CONTROL!$C$42, 31, 31))/1000000</f>
        <v>0.43164089999999994</v>
      </c>
      <c r="X843" s="57">
        <f>(31*0.1790888*100000/1000000)+(31*0.2374*100000/1000000)</f>
        <v>1.2911152800000001</v>
      </c>
      <c r="Y843" s="57"/>
      <c r="Z843" s="10"/>
      <c r="AA843" s="56"/>
      <c r="AB843" s="50">
        <f>(B843*122.58+C843*297.941+D843*89.177+E843*40.302+F843*40+G843*160+H843*0+I843*100+J843*300)/(122.58+297.941+89.177+40.302+0+40+160+100+300)</f>
        <v>64.872922449130428</v>
      </c>
      <c r="AC843" s="45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64.259370503597125</v>
      </c>
    </row>
    <row r="844" spans="1:29" ht="15.75" x14ac:dyDescent="0.25">
      <c r="A844" s="13">
        <v>66596</v>
      </c>
      <c r="B844" s="10">
        <f>CHOOSE(CONTROL!$C$42, 64.6702, 64.6702) * CHOOSE(CONTROL!$C$21, $C$9, 100%, $E$9)</f>
        <v>64.670199999999994</v>
      </c>
      <c r="C844" s="10">
        <f>CHOOSE(CONTROL!$C$42, 64.6746, 64.6746) * CHOOSE(CONTROL!$C$21, $C$9, 100%, $E$9)</f>
        <v>64.674599999999998</v>
      </c>
      <c r="D844" s="10">
        <f>CHOOSE(CONTROL!$C$42, 64.8805, 64.8805) * CHOOSE(CONTROL!$C$21, $C$9, 100%, $E$9)</f>
        <v>64.880499999999998</v>
      </c>
      <c r="E844" s="10">
        <f>CHOOSE(CONTROL!$C$42, 64.9123, 64.9123) * CHOOSE(CONTROL!$C$21, $C$9, 100%, $E$9)</f>
        <v>64.912300000000002</v>
      </c>
      <c r="F844" s="10">
        <f>CHOOSE(CONTROL!$C$42, 64.647, 64.647)*CHOOSE(CONTROL!$C$21, $C$9, 100%, $E$9)</f>
        <v>64.647000000000006</v>
      </c>
      <c r="G844" s="10">
        <f>CHOOSE(CONTROL!$C$42, 64.6615, 64.6615)*CHOOSE(CONTROL!$C$21, $C$9, 100%, $E$9)</f>
        <v>64.661500000000004</v>
      </c>
      <c r="H844" s="10">
        <f>CHOOSE(CONTROL!$C$42, 64.9021, 64.9021) * CHOOSE(CONTROL!$C$21, $C$9, 100%, $E$9)</f>
        <v>64.902100000000004</v>
      </c>
      <c r="I844" s="10">
        <f>CHOOSE(CONTROL!$C$42, 64.6717, 64.6717)* CHOOSE(CONTROL!$C$21, $C$9, 100%, $E$9)</f>
        <v>64.671700000000001</v>
      </c>
      <c r="J844" s="10">
        <f>CHOOSE(CONTROL!$C$42, 64.64, 64.64)* CHOOSE(CONTROL!$C$21, $C$9, 100%, $E$9)</f>
        <v>64.64</v>
      </c>
      <c r="K844" s="53">
        <f>CHOOSE(CONTROL!$C$42, 64.6678, 64.6678) * CHOOSE(CONTROL!$C$21, $C$9, 100%, $E$9)</f>
        <v>64.6678</v>
      </c>
      <c r="L844" s="10">
        <f>CHOOSE(CONTROL!$C$42, 65.4891, 65.4891) * CHOOSE(CONTROL!$C$21, $C$9, 100%, $E$9)</f>
        <v>65.489099999999993</v>
      </c>
      <c r="M844" s="10">
        <f>CHOOSE(CONTROL!$C$42, 64.0015, 64.0015) * CHOOSE(CONTROL!$C$21, $C$9, 100%, $E$9)</f>
        <v>64.001499999999993</v>
      </c>
      <c r="N844" s="10">
        <f>CHOOSE(CONTROL!$C$42, 64.0159, 64.0159) * CHOOSE(CONTROL!$C$21, $C$9, 100%, $E$9)</f>
        <v>64.015900000000002</v>
      </c>
      <c r="O844" s="10">
        <f>CHOOSE(CONTROL!$C$42, 64.2609, 64.2609) * CHOOSE(CONTROL!$C$21, $C$9, 100%, $E$9)</f>
        <v>64.260900000000007</v>
      </c>
      <c r="P844" s="10">
        <f>CHOOSE(CONTROL!$C$42, 64.0329, 64.0329) * CHOOSE(CONTROL!$C$21, $C$9, 100%, $E$9)</f>
        <v>64.032899999999998</v>
      </c>
      <c r="Q844" s="10">
        <f>CHOOSE(CONTROL!$C$42, 64.8562, 64.8562) * CHOOSE(CONTROL!$C$21, $C$9, 100%, $E$9)</f>
        <v>64.856200000000001</v>
      </c>
      <c r="R844" s="10">
        <f>CHOOSE(CONTROL!$C$42, 65.6054, 65.6054) * CHOOSE(CONTROL!$C$21, $C$9, 100%, $E$9)</f>
        <v>65.605400000000003</v>
      </c>
      <c r="S844" s="10">
        <f>CHOOSE(CONTROL!$C$42, 62.7984, 62.7984) * CHOOSE(CONTROL!$C$21, $C$9, 100%, $E$9)</f>
        <v>62.798400000000001</v>
      </c>
      <c r="T8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57">
        <f>(1000*CHOOSE(CONTROL!$C$42, 695, 695)*CHOOSE(CONTROL!$C$42, 0.5599, 0.5599)*CHOOSE(CONTROL!$C$42, 30, 30))/1000000</f>
        <v>11.673914999999997</v>
      </c>
      <c r="V844" s="57">
        <f>(1000*CHOOSE(CONTROL!$C$42, 500, 500)*CHOOSE(CONTROL!$C$42, 0.275, 0.275)*CHOOSE(CONTROL!$C$42, 30, 30))/1000000</f>
        <v>4.125</v>
      </c>
      <c r="W844" s="57">
        <f>(1000*CHOOSE(CONTROL!$C$42, 0.1146, 0.1146)*CHOOSE(CONTROL!$C$42, 121.5, 121.5)*CHOOSE(CONTROL!$C$42, 30, 30))/1000000</f>
        <v>0.417717</v>
      </c>
      <c r="X844" s="57">
        <f>(30*0.1790888*245000/1000000)+(30*0.2374*100000/1000000)</f>
        <v>2.0285026799999999</v>
      </c>
      <c r="Y844" s="57"/>
      <c r="Z844" s="10"/>
      <c r="AA844" s="56"/>
      <c r="AB844" s="50">
        <f>(B844*141.293+C844*267.993+D844*115.016+E844*89.698+F844*40+G844*185+H844*0+I844*100+J844*300)/(141.293+267.993+115.016+89.698+0+40+185+100+300)</f>
        <v>64.698961436481028</v>
      </c>
      <c r="AC844" s="45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64.124416546762589</v>
      </c>
    </row>
    <row r="845" spans="1:29" ht="15.75" x14ac:dyDescent="0.25">
      <c r="A845" s="13">
        <v>66627</v>
      </c>
      <c r="B845" s="10">
        <f>CHOOSE(CONTROL!$C$42, 65.2424, 65.2424) * CHOOSE(CONTROL!$C$21, $C$9, 100%, $E$9)</f>
        <v>65.242400000000004</v>
      </c>
      <c r="C845" s="10">
        <f>CHOOSE(CONTROL!$C$42, 65.2503, 65.2503) * CHOOSE(CONTROL!$C$21, $C$9, 100%, $E$9)</f>
        <v>65.250299999999996</v>
      </c>
      <c r="D845" s="10">
        <f>CHOOSE(CONTROL!$C$42, 65.453, 65.453) * CHOOSE(CONTROL!$C$21, $C$9, 100%, $E$9)</f>
        <v>65.453000000000003</v>
      </c>
      <c r="E845" s="10">
        <f>CHOOSE(CONTROL!$C$42, 65.4842, 65.4842) * CHOOSE(CONTROL!$C$21, $C$9, 100%, $E$9)</f>
        <v>65.484200000000001</v>
      </c>
      <c r="F845" s="10">
        <f>CHOOSE(CONTROL!$C$42, 65.2181, 65.2181)*CHOOSE(CONTROL!$C$21, $C$9, 100%, $E$9)</f>
        <v>65.218100000000007</v>
      </c>
      <c r="G845" s="10">
        <f>CHOOSE(CONTROL!$C$42, 65.2331, 65.2331)*CHOOSE(CONTROL!$C$21, $C$9, 100%, $E$9)</f>
        <v>65.233099999999993</v>
      </c>
      <c r="H845" s="10">
        <f>CHOOSE(CONTROL!$C$42, 65.4728, 65.4728) * CHOOSE(CONTROL!$C$21, $C$9, 100%, $E$9)</f>
        <v>65.472800000000007</v>
      </c>
      <c r="I845" s="10">
        <f>CHOOSE(CONTROL!$C$42, 65.2424, 65.2424)* CHOOSE(CONTROL!$C$21, $C$9, 100%, $E$9)</f>
        <v>65.242400000000004</v>
      </c>
      <c r="J845" s="10">
        <f>CHOOSE(CONTROL!$C$42, 65.2111, 65.2111)* CHOOSE(CONTROL!$C$21, $C$9, 100%, $E$9)</f>
        <v>65.211100000000002</v>
      </c>
      <c r="K845" s="53">
        <f>CHOOSE(CONTROL!$C$42, 65.2385, 65.2385) * CHOOSE(CONTROL!$C$21, $C$9, 100%, $E$9)</f>
        <v>65.238500000000002</v>
      </c>
      <c r="L845" s="10">
        <f>CHOOSE(CONTROL!$C$42, 66.0598, 66.0598) * CHOOSE(CONTROL!$C$21, $C$9, 100%, $E$9)</f>
        <v>66.059799999999996</v>
      </c>
      <c r="M845" s="10">
        <f>CHOOSE(CONTROL!$C$42, 64.5668, 64.5668) * CHOOSE(CONTROL!$C$21, $C$9, 100%, $E$9)</f>
        <v>64.566800000000001</v>
      </c>
      <c r="N845" s="10">
        <f>CHOOSE(CONTROL!$C$42, 64.5817, 64.5817) * CHOOSE(CONTROL!$C$21, $C$9, 100%, $E$9)</f>
        <v>64.581699999999998</v>
      </c>
      <c r="O845" s="10">
        <f>CHOOSE(CONTROL!$C$42, 64.8259, 64.8259) * CHOOSE(CONTROL!$C$21, $C$9, 100%, $E$9)</f>
        <v>64.825900000000004</v>
      </c>
      <c r="P845" s="10">
        <f>CHOOSE(CONTROL!$C$42, 64.5979, 64.5979) * CHOOSE(CONTROL!$C$21, $C$9, 100%, $E$9)</f>
        <v>64.597899999999996</v>
      </c>
      <c r="Q845" s="10">
        <f>CHOOSE(CONTROL!$C$42, 65.4212, 65.4212) * CHOOSE(CONTROL!$C$21, $C$9, 100%, $E$9)</f>
        <v>65.421199999999999</v>
      </c>
      <c r="R845" s="10">
        <f>CHOOSE(CONTROL!$C$42, 66.1718, 66.1718) * CHOOSE(CONTROL!$C$21, $C$9, 100%, $E$9)</f>
        <v>66.171800000000005</v>
      </c>
      <c r="S845" s="10">
        <f>CHOOSE(CONTROL!$C$42, 63.3526, 63.3526) * CHOOSE(CONTROL!$C$21, $C$9, 100%, $E$9)</f>
        <v>63.352600000000002</v>
      </c>
      <c r="T8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57">
        <f>(1000*CHOOSE(CONTROL!$C$42, 695, 695)*CHOOSE(CONTROL!$C$42, 0.5599, 0.5599)*CHOOSE(CONTROL!$C$42, 31, 31))/1000000</f>
        <v>12.063045499999998</v>
      </c>
      <c r="V845" s="57">
        <f>(1000*CHOOSE(CONTROL!$C$42, 500, 500)*CHOOSE(CONTROL!$C$42, 0.275, 0.275)*CHOOSE(CONTROL!$C$42, 31, 31))/1000000</f>
        <v>4.2625000000000002</v>
      </c>
      <c r="W845" s="57">
        <f>(1000*CHOOSE(CONTROL!$C$42, 0.1146, 0.1146)*CHOOSE(CONTROL!$C$42, 121.5, 121.5)*CHOOSE(CONTROL!$C$42, 31, 31))/1000000</f>
        <v>0.43164089999999994</v>
      </c>
      <c r="X845" s="57">
        <f>(31*0.1790888*245000/1000000)+(31*0.2374*100000/1000000)</f>
        <v>2.0961194359999999</v>
      </c>
      <c r="Y845" s="57"/>
      <c r="Z845" s="10"/>
      <c r="AA845" s="56"/>
      <c r="AB845" s="50">
        <f>(B845*194.205+C845*267.466+D845*133.845+E845*53.484+F845*40+G845*185+H845*0+I845*100+J845*300)/(194.205+267.466+133.845+53.484+0+40+185+100+300)</f>
        <v>65.266851075039256</v>
      </c>
      <c r="AC845" s="45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64.68956618705036</v>
      </c>
    </row>
    <row r="846" spans="1:29" ht="15.75" x14ac:dyDescent="0.25">
      <c r="A846" s="13">
        <v>66657</v>
      </c>
      <c r="B846" s="10">
        <f>CHOOSE(CONTROL!$C$42, 67.0929, 67.0929) * CHOOSE(CONTROL!$C$21, $C$9, 100%, $E$9)</f>
        <v>67.0929</v>
      </c>
      <c r="C846" s="10">
        <f>CHOOSE(CONTROL!$C$42, 67.1008, 67.1008) * CHOOSE(CONTROL!$C$21, $C$9, 100%, $E$9)</f>
        <v>67.100800000000007</v>
      </c>
      <c r="D846" s="10">
        <f>CHOOSE(CONTROL!$C$42, 67.3036, 67.3036) * CHOOSE(CONTROL!$C$21, $C$9, 100%, $E$9)</f>
        <v>67.303600000000003</v>
      </c>
      <c r="E846" s="10">
        <f>CHOOSE(CONTROL!$C$42, 67.3347, 67.3347) * CHOOSE(CONTROL!$C$21, $C$9, 100%, $E$9)</f>
        <v>67.334699999999998</v>
      </c>
      <c r="F846" s="10">
        <f>CHOOSE(CONTROL!$C$42, 67.0692, 67.0692)*CHOOSE(CONTROL!$C$21, $C$9, 100%, $E$9)</f>
        <v>67.069199999999995</v>
      </c>
      <c r="G846" s="10">
        <f>CHOOSE(CONTROL!$C$42, 67.0843, 67.0843)*CHOOSE(CONTROL!$C$21, $C$9, 100%, $E$9)</f>
        <v>67.084299999999999</v>
      </c>
      <c r="H846" s="10">
        <f>CHOOSE(CONTROL!$C$42, 67.3233, 67.3233) * CHOOSE(CONTROL!$C$21, $C$9, 100%, $E$9)</f>
        <v>67.323300000000003</v>
      </c>
      <c r="I846" s="10">
        <f>CHOOSE(CONTROL!$C$42, 67.093, 67.093)* CHOOSE(CONTROL!$C$21, $C$9, 100%, $E$9)</f>
        <v>67.093000000000004</v>
      </c>
      <c r="J846" s="10">
        <f>CHOOSE(CONTROL!$C$42, 67.0622, 67.0622)* CHOOSE(CONTROL!$C$21, $C$9, 100%, $E$9)</f>
        <v>67.062200000000004</v>
      </c>
      <c r="K846" s="53">
        <f>CHOOSE(CONTROL!$C$42, 67.0891, 67.0891) * CHOOSE(CONTROL!$C$21, $C$9, 100%, $E$9)</f>
        <v>67.089100000000002</v>
      </c>
      <c r="L846" s="10">
        <f>CHOOSE(CONTROL!$C$42, 67.9103, 67.9103) * CHOOSE(CONTROL!$C$21, $C$9, 100%, $E$9)</f>
        <v>67.910300000000007</v>
      </c>
      <c r="M846" s="10">
        <f>CHOOSE(CONTROL!$C$42, 66.3992, 66.3992) * CHOOSE(CONTROL!$C$21, $C$9, 100%, $E$9)</f>
        <v>66.399199999999993</v>
      </c>
      <c r="N846" s="10">
        <f>CHOOSE(CONTROL!$C$42, 66.4142, 66.4142) * CHOOSE(CONTROL!$C$21, $C$9, 100%, $E$9)</f>
        <v>66.414199999999994</v>
      </c>
      <c r="O846" s="10">
        <f>CHOOSE(CONTROL!$C$42, 66.6578, 66.6578) * CHOOSE(CONTROL!$C$21, $C$9, 100%, $E$9)</f>
        <v>66.657799999999995</v>
      </c>
      <c r="P846" s="10">
        <f>CHOOSE(CONTROL!$C$42, 66.4298, 66.4298) * CHOOSE(CONTROL!$C$21, $C$9, 100%, $E$9)</f>
        <v>66.4298</v>
      </c>
      <c r="Q846" s="10">
        <f>CHOOSE(CONTROL!$C$42, 67.2531, 67.2531) * CHOOSE(CONTROL!$C$21, $C$9, 100%, $E$9)</f>
        <v>67.253100000000003</v>
      </c>
      <c r="R846" s="10">
        <f>CHOOSE(CONTROL!$C$42, 68.0082, 68.0082) * CHOOSE(CONTROL!$C$21, $C$9, 100%, $E$9)</f>
        <v>68.008200000000002</v>
      </c>
      <c r="S846" s="10">
        <f>CHOOSE(CONTROL!$C$42, 65.1497, 65.1497) * CHOOSE(CONTROL!$C$21, $C$9, 100%, $E$9)</f>
        <v>65.149699999999996</v>
      </c>
      <c r="T8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57">
        <f>(1000*CHOOSE(CONTROL!$C$42, 695, 695)*CHOOSE(CONTROL!$C$42, 0.5599, 0.5599)*CHOOSE(CONTROL!$C$42, 30, 30))/1000000</f>
        <v>11.673914999999997</v>
      </c>
      <c r="V846" s="57">
        <f>(1000*CHOOSE(CONTROL!$C$42, 500, 500)*CHOOSE(CONTROL!$C$42, 0.275, 0.275)*CHOOSE(CONTROL!$C$42, 30, 30))/1000000</f>
        <v>4.125</v>
      </c>
      <c r="W846" s="57">
        <f>(1000*CHOOSE(CONTROL!$C$42, 0.1146, 0.1146)*CHOOSE(CONTROL!$C$42, 121.5, 121.5)*CHOOSE(CONTROL!$C$42, 30, 30))/1000000</f>
        <v>0.417717</v>
      </c>
      <c r="X846" s="57">
        <f>(30*0.1790888*245000/1000000)+(30*0.2374*100000/1000000)</f>
        <v>2.0285026799999999</v>
      </c>
      <c r="Y846" s="57"/>
      <c r="Z846" s="10"/>
      <c r="AA846" s="56"/>
      <c r="AB846" s="50">
        <f>(B846*194.205+C846*267.466+D846*133.845+E846*53.484+F846*40+G846*185+H846*0+I846*100+J846*300)/(194.205+267.466+133.845+53.484+0+40+185+100+300)</f>
        <v>67.117631204160134</v>
      </c>
      <c r="AC846" s="45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66.52167338129496</v>
      </c>
    </row>
    <row r="847" spans="1:29" ht="15.75" x14ac:dyDescent="0.25">
      <c r="A847" s="13">
        <v>66688</v>
      </c>
      <c r="B847" s="10">
        <f>CHOOSE(CONTROL!$C$42, 65.8059, 65.8059) * CHOOSE(CONTROL!$C$21, $C$9, 100%, $E$9)</f>
        <v>65.805899999999994</v>
      </c>
      <c r="C847" s="10">
        <f>CHOOSE(CONTROL!$C$42, 65.8138, 65.8138) * CHOOSE(CONTROL!$C$21, $C$9, 100%, $E$9)</f>
        <v>65.813800000000001</v>
      </c>
      <c r="D847" s="10">
        <f>CHOOSE(CONTROL!$C$42, 66.0165, 66.0165) * CHOOSE(CONTROL!$C$21, $C$9, 100%, $E$9)</f>
        <v>66.016499999999994</v>
      </c>
      <c r="E847" s="10">
        <f>CHOOSE(CONTROL!$C$42, 66.0477, 66.0477) * CHOOSE(CONTROL!$C$21, $C$9, 100%, $E$9)</f>
        <v>66.047700000000006</v>
      </c>
      <c r="F847" s="10">
        <f>CHOOSE(CONTROL!$C$42, 65.7826, 65.7826)*CHOOSE(CONTROL!$C$21, $C$9, 100%, $E$9)</f>
        <v>65.782600000000002</v>
      </c>
      <c r="G847" s="10">
        <f>CHOOSE(CONTROL!$C$42, 65.7979, 65.7979)*CHOOSE(CONTROL!$C$21, $C$9, 100%, $E$9)</f>
        <v>65.797899999999998</v>
      </c>
      <c r="H847" s="10">
        <f>CHOOSE(CONTROL!$C$42, 66.0363, 66.0363) * CHOOSE(CONTROL!$C$21, $C$9, 100%, $E$9)</f>
        <v>66.036299999999997</v>
      </c>
      <c r="I847" s="10">
        <f>CHOOSE(CONTROL!$C$42, 65.8059, 65.8059)* CHOOSE(CONTROL!$C$21, $C$9, 100%, $E$9)</f>
        <v>65.805899999999994</v>
      </c>
      <c r="J847" s="10">
        <f>CHOOSE(CONTROL!$C$42, 65.7756, 65.7756)* CHOOSE(CONTROL!$C$21, $C$9, 100%, $E$9)</f>
        <v>65.775599999999997</v>
      </c>
      <c r="K847" s="53">
        <f>CHOOSE(CONTROL!$C$42, 65.802, 65.802) * CHOOSE(CONTROL!$C$21, $C$9, 100%, $E$9)</f>
        <v>65.802000000000007</v>
      </c>
      <c r="L847" s="10">
        <f>CHOOSE(CONTROL!$C$42, 66.6233, 66.6233) * CHOOSE(CONTROL!$C$21, $C$9, 100%, $E$9)</f>
        <v>66.6233</v>
      </c>
      <c r="M847" s="10">
        <f>CHOOSE(CONTROL!$C$42, 65.1257, 65.1257) * CHOOSE(CONTROL!$C$21, $C$9, 100%, $E$9)</f>
        <v>65.125699999999995</v>
      </c>
      <c r="N847" s="10">
        <f>CHOOSE(CONTROL!$C$42, 65.1408, 65.1408) * CHOOSE(CONTROL!$C$21, $C$9, 100%, $E$9)</f>
        <v>65.140799999999999</v>
      </c>
      <c r="O847" s="10">
        <f>CHOOSE(CONTROL!$C$42, 65.3837, 65.3837) * CHOOSE(CONTROL!$C$21, $C$9, 100%, $E$9)</f>
        <v>65.383700000000005</v>
      </c>
      <c r="P847" s="10">
        <f>CHOOSE(CONTROL!$C$42, 65.1557, 65.1557) * CHOOSE(CONTROL!$C$21, $C$9, 100%, $E$9)</f>
        <v>65.155699999999996</v>
      </c>
      <c r="Q847" s="10">
        <f>CHOOSE(CONTROL!$C$42, 65.979, 65.979) * CHOOSE(CONTROL!$C$21, $C$9, 100%, $E$9)</f>
        <v>65.978999999999999</v>
      </c>
      <c r="R847" s="10">
        <f>CHOOSE(CONTROL!$C$42, 66.7309, 66.7309) * CHOOSE(CONTROL!$C$21, $C$9, 100%, $E$9)</f>
        <v>66.730900000000005</v>
      </c>
      <c r="S847" s="10">
        <f>CHOOSE(CONTROL!$C$42, 63.8998, 63.8998) * CHOOSE(CONTROL!$C$21, $C$9, 100%, $E$9)</f>
        <v>63.899799999999999</v>
      </c>
      <c r="T8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57">
        <f>(1000*CHOOSE(CONTROL!$C$42, 695, 695)*CHOOSE(CONTROL!$C$42, 0.5599, 0.5599)*CHOOSE(CONTROL!$C$42, 31, 31))/1000000</f>
        <v>12.063045499999998</v>
      </c>
      <c r="V847" s="57">
        <f>(1000*CHOOSE(CONTROL!$C$42, 500, 500)*CHOOSE(CONTROL!$C$42, 0.275, 0.275)*CHOOSE(CONTROL!$C$42, 31, 31))/1000000</f>
        <v>4.2625000000000002</v>
      </c>
      <c r="W847" s="57">
        <f>(1000*CHOOSE(CONTROL!$C$42, 0.1146, 0.1146)*CHOOSE(CONTROL!$C$42, 121.5, 121.5)*CHOOSE(CONTROL!$C$42, 31, 31))/1000000</f>
        <v>0.43164089999999994</v>
      </c>
      <c r="X847" s="57">
        <f>(31*0.1790888*245000/1000000)+(31*0.2374*100000/1000000)</f>
        <v>2.0961194359999999</v>
      </c>
      <c r="Y847" s="57"/>
      <c r="Z847" s="10"/>
      <c r="AA847" s="56"/>
      <c r="AB847" s="50">
        <f>(B847*194.205+C847*267.466+D847*133.845+E847*53.484+F847*40+G847*185+H847*0+I847*100+J847*300)/(194.205+267.466+133.845+53.484+0+40+185+100+300)</f>
        <v>65.830806726530611</v>
      </c>
      <c r="AC847" s="45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65.247820863309357</v>
      </c>
    </row>
    <row r="848" spans="1:29" ht="15.75" x14ac:dyDescent="0.25">
      <c r="A848" s="13">
        <v>66719</v>
      </c>
      <c r="B848" s="10">
        <f>CHOOSE(CONTROL!$C$42, 62.5556, 62.5556) * CHOOSE(CONTROL!$C$21, $C$9, 100%, $E$9)</f>
        <v>62.555599999999998</v>
      </c>
      <c r="C848" s="10">
        <f>CHOOSE(CONTROL!$C$42, 62.5636, 62.5636) * CHOOSE(CONTROL!$C$21, $C$9, 100%, $E$9)</f>
        <v>62.563600000000001</v>
      </c>
      <c r="D848" s="10">
        <f>CHOOSE(CONTROL!$C$42, 62.7663, 62.7663) * CHOOSE(CONTROL!$C$21, $C$9, 100%, $E$9)</f>
        <v>62.766300000000001</v>
      </c>
      <c r="E848" s="10">
        <f>CHOOSE(CONTROL!$C$42, 62.7974, 62.7974) * CHOOSE(CONTROL!$C$21, $C$9, 100%, $E$9)</f>
        <v>62.797400000000003</v>
      </c>
      <c r="F848" s="10">
        <f>CHOOSE(CONTROL!$C$42, 62.5326, 62.5326)*CHOOSE(CONTROL!$C$21, $C$9, 100%, $E$9)</f>
        <v>62.532600000000002</v>
      </c>
      <c r="G848" s="10">
        <f>CHOOSE(CONTROL!$C$42, 62.5479, 62.5479)*CHOOSE(CONTROL!$C$21, $C$9, 100%, $E$9)</f>
        <v>62.547899999999998</v>
      </c>
      <c r="H848" s="10">
        <f>CHOOSE(CONTROL!$C$42, 62.7861, 62.7861) * CHOOSE(CONTROL!$C$21, $C$9, 100%, $E$9)</f>
        <v>62.786099999999998</v>
      </c>
      <c r="I848" s="10">
        <f>CHOOSE(CONTROL!$C$42, 62.5557, 62.5557)* CHOOSE(CONTROL!$C$21, $C$9, 100%, $E$9)</f>
        <v>62.555700000000002</v>
      </c>
      <c r="J848" s="10">
        <f>CHOOSE(CONTROL!$C$42, 62.5256, 62.5256)* CHOOSE(CONTROL!$C$21, $C$9, 100%, $E$9)</f>
        <v>62.525599999999997</v>
      </c>
      <c r="K848" s="53">
        <f>CHOOSE(CONTROL!$C$42, 62.5518, 62.5518) * CHOOSE(CONTROL!$C$21, $C$9, 100%, $E$9)</f>
        <v>62.5518</v>
      </c>
      <c r="L848" s="10">
        <f>CHOOSE(CONTROL!$C$42, 63.3731, 63.3731) * CHOOSE(CONTROL!$C$21, $C$9, 100%, $E$9)</f>
        <v>63.373100000000001</v>
      </c>
      <c r="M848" s="10">
        <f>CHOOSE(CONTROL!$C$42, 61.9084, 61.9084) * CHOOSE(CONTROL!$C$21, $C$9, 100%, $E$9)</f>
        <v>61.9084</v>
      </c>
      <c r="N848" s="10">
        <f>CHOOSE(CONTROL!$C$42, 61.9236, 61.9236) * CHOOSE(CONTROL!$C$21, $C$9, 100%, $E$9)</f>
        <v>61.9236</v>
      </c>
      <c r="O848" s="10">
        <f>CHOOSE(CONTROL!$C$42, 62.1663, 62.1663) * CHOOSE(CONTROL!$C$21, $C$9, 100%, $E$9)</f>
        <v>62.1663</v>
      </c>
      <c r="P848" s="10">
        <f>CHOOSE(CONTROL!$C$42, 61.9382, 61.9382) * CHOOSE(CONTROL!$C$21, $C$9, 100%, $E$9)</f>
        <v>61.938200000000002</v>
      </c>
      <c r="Q848" s="10">
        <f>CHOOSE(CONTROL!$C$42, 62.7616, 62.7616) * CHOOSE(CONTROL!$C$21, $C$9, 100%, $E$9)</f>
        <v>62.761600000000001</v>
      </c>
      <c r="R848" s="10">
        <f>CHOOSE(CONTROL!$C$42, 63.5055, 63.5055) * CHOOSE(CONTROL!$C$21, $C$9, 100%, $E$9)</f>
        <v>63.505499999999998</v>
      </c>
      <c r="S848" s="10">
        <f>CHOOSE(CONTROL!$C$42, 60.7435, 60.7435) * CHOOSE(CONTROL!$C$21, $C$9, 100%, $E$9)</f>
        <v>60.743499999999997</v>
      </c>
      <c r="T8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57">
        <f>(1000*CHOOSE(CONTROL!$C$42, 695, 695)*CHOOSE(CONTROL!$C$42, 0.5599, 0.5599)*CHOOSE(CONTROL!$C$42, 31, 31))/1000000</f>
        <v>12.063045499999998</v>
      </c>
      <c r="V848" s="57">
        <f>(1000*CHOOSE(CONTROL!$C$42, 500, 500)*CHOOSE(CONTROL!$C$42, 0.275, 0.275)*CHOOSE(CONTROL!$C$42, 31, 31))/1000000</f>
        <v>4.2625000000000002</v>
      </c>
      <c r="W848" s="57">
        <f>(1000*CHOOSE(CONTROL!$C$42, 0.1146, 0.1146)*CHOOSE(CONTROL!$C$42, 121.5, 121.5)*CHOOSE(CONTROL!$C$42, 31, 31))/1000000</f>
        <v>0.43164089999999994</v>
      </c>
      <c r="X848" s="57">
        <f>(31*0.1790888*245000/1000000)+(31*0.2374*100000/1000000)</f>
        <v>2.0961194359999999</v>
      </c>
      <c r="Y848" s="57"/>
      <c r="Z848" s="10"/>
      <c r="AA848" s="56"/>
      <c r="AB848" s="50">
        <f>(B848*194.205+C848*267.466+D848*133.845+E848*53.484+F848*40+G848*185+H848*0+I848*100+J848*300)/(194.205+267.466+133.845+53.484+0+40+185+100+300)</f>
        <v>62.580669702276296</v>
      </c>
      <c r="AC848" s="45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62.030452517985609</v>
      </c>
    </row>
    <row r="849" spans="1:29" ht="15.75" x14ac:dyDescent="0.25">
      <c r="A849" s="13">
        <v>66749</v>
      </c>
      <c r="B849" s="10">
        <f>CHOOSE(CONTROL!$C$42, 58.5841, 58.5841) * CHOOSE(CONTROL!$C$21, $C$9, 100%, $E$9)</f>
        <v>58.584099999999999</v>
      </c>
      <c r="C849" s="10">
        <f>CHOOSE(CONTROL!$C$42, 58.592, 58.592) * CHOOSE(CONTROL!$C$21, $C$9, 100%, $E$9)</f>
        <v>58.591999999999999</v>
      </c>
      <c r="D849" s="10">
        <f>CHOOSE(CONTROL!$C$42, 58.7947, 58.7947) * CHOOSE(CONTROL!$C$21, $C$9, 100%, $E$9)</f>
        <v>58.794699999999999</v>
      </c>
      <c r="E849" s="10">
        <f>CHOOSE(CONTROL!$C$42, 58.8259, 58.8259) * CHOOSE(CONTROL!$C$21, $C$9, 100%, $E$9)</f>
        <v>58.825899999999997</v>
      </c>
      <c r="F849" s="10">
        <f>CHOOSE(CONTROL!$C$42, 58.5609, 58.5609)*CHOOSE(CONTROL!$C$21, $C$9, 100%, $E$9)</f>
        <v>58.560899999999997</v>
      </c>
      <c r="G849" s="10">
        <f>CHOOSE(CONTROL!$C$42, 58.5762, 58.5762)*CHOOSE(CONTROL!$C$21, $C$9, 100%, $E$9)</f>
        <v>58.5762</v>
      </c>
      <c r="H849" s="10">
        <f>CHOOSE(CONTROL!$C$42, 58.8145, 58.8145) * CHOOSE(CONTROL!$C$21, $C$9, 100%, $E$9)</f>
        <v>58.814500000000002</v>
      </c>
      <c r="I849" s="10">
        <f>CHOOSE(CONTROL!$C$42, 58.5841, 58.5841)* CHOOSE(CONTROL!$C$21, $C$9, 100%, $E$9)</f>
        <v>58.584099999999999</v>
      </c>
      <c r="J849" s="10">
        <f>CHOOSE(CONTROL!$C$42, 58.5539, 58.5539)* CHOOSE(CONTROL!$C$21, $C$9, 100%, $E$9)</f>
        <v>58.553899999999999</v>
      </c>
      <c r="K849" s="53">
        <f>CHOOSE(CONTROL!$C$42, 58.5802, 58.5802) * CHOOSE(CONTROL!$C$21, $C$9, 100%, $E$9)</f>
        <v>58.580199999999998</v>
      </c>
      <c r="L849" s="10">
        <f>CHOOSE(CONTROL!$C$42, 59.4015, 59.4015) * CHOOSE(CONTROL!$C$21, $C$9, 100%, $E$9)</f>
        <v>59.401499999999999</v>
      </c>
      <c r="M849" s="10">
        <f>CHOOSE(CONTROL!$C$42, 57.9768, 57.9768) * CHOOSE(CONTROL!$C$21, $C$9, 100%, $E$9)</f>
        <v>57.976799999999997</v>
      </c>
      <c r="N849" s="10">
        <f>CHOOSE(CONTROL!$C$42, 57.9919, 57.9919) * CHOOSE(CONTROL!$C$21, $C$9, 100%, $E$9)</f>
        <v>57.991900000000001</v>
      </c>
      <c r="O849" s="10">
        <f>CHOOSE(CONTROL!$C$42, 58.2348, 58.2348) * CHOOSE(CONTROL!$C$21, $C$9, 100%, $E$9)</f>
        <v>58.2348</v>
      </c>
      <c r="P849" s="10">
        <f>CHOOSE(CONTROL!$C$42, 58.0068, 58.0068) * CHOOSE(CONTROL!$C$21, $C$9, 100%, $E$9)</f>
        <v>58.006799999999998</v>
      </c>
      <c r="Q849" s="10">
        <f>CHOOSE(CONTROL!$C$42, 58.8301, 58.8301) * CHOOSE(CONTROL!$C$21, $C$9, 100%, $E$9)</f>
        <v>58.830100000000002</v>
      </c>
      <c r="R849" s="10">
        <f>CHOOSE(CONTROL!$C$42, 59.5642, 59.5642) * CHOOSE(CONTROL!$C$21, $C$9, 100%, $E$9)</f>
        <v>59.5642</v>
      </c>
      <c r="S849" s="10">
        <f>CHOOSE(CONTROL!$C$42, 56.8867, 56.8867) * CHOOSE(CONTROL!$C$21, $C$9, 100%, $E$9)</f>
        <v>56.886699999999998</v>
      </c>
      <c r="T8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57">
        <f>(1000*CHOOSE(CONTROL!$C$42, 695, 695)*CHOOSE(CONTROL!$C$42, 0.5599, 0.5599)*CHOOSE(CONTROL!$C$42, 30, 30))/1000000</f>
        <v>11.673914999999997</v>
      </c>
      <c r="V849" s="57">
        <f>(1000*CHOOSE(CONTROL!$C$42, 500, 500)*CHOOSE(CONTROL!$C$42, 0.275, 0.275)*CHOOSE(CONTROL!$C$42, 30, 30))/1000000</f>
        <v>4.125</v>
      </c>
      <c r="W849" s="57">
        <f>(1000*CHOOSE(CONTROL!$C$42, 0.1146, 0.1146)*CHOOSE(CONTROL!$C$42, 121.5, 121.5)*CHOOSE(CONTROL!$C$42, 30, 30))/1000000</f>
        <v>0.417717</v>
      </c>
      <c r="X849" s="57">
        <f>(30*0.1790888*245000/1000000)+(30*0.2374*100000/1000000)</f>
        <v>2.0285026799999999</v>
      </c>
      <c r="Y849" s="57"/>
      <c r="Z849" s="10"/>
      <c r="AA849" s="56"/>
      <c r="AB849" s="50">
        <f>(B849*194.205+C849*267.466+D849*133.845+E849*53.484+F849*40+G849*185+H849*0+I849*100+J849*300)/(194.205+267.466+133.845+53.484+0+40+185+100+300)</f>
        <v>58.609047935321826</v>
      </c>
      <c r="AC849" s="45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58.098920863309353</v>
      </c>
    </row>
    <row r="850" spans="1:29" ht="15.75" x14ac:dyDescent="0.25">
      <c r="A850" s="13">
        <v>66780</v>
      </c>
      <c r="B850" s="10">
        <f>CHOOSE(CONTROL!$C$42, 57.3929, 57.3929) * CHOOSE(CONTROL!$C$21, $C$9, 100%, $E$9)</f>
        <v>57.392899999999997</v>
      </c>
      <c r="C850" s="10">
        <f>CHOOSE(CONTROL!$C$42, 57.3981, 57.3981) * CHOOSE(CONTROL!$C$21, $C$9, 100%, $E$9)</f>
        <v>57.398099999999999</v>
      </c>
      <c r="D850" s="10">
        <f>CHOOSE(CONTROL!$C$42, 57.6058, 57.6058) * CHOOSE(CONTROL!$C$21, $C$9, 100%, $E$9)</f>
        <v>57.605800000000002</v>
      </c>
      <c r="E850" s="10">
        <f>CHOOSE(CONTROL!$C$42, 57.6346, 57.6346) * CHOOSE(CONTROL!$C$21, $C$9, 100%, $E$9)</f>
        <v>57.634599999999999</v>
      </c>
      <c r="F850" s="10">
        <f>CHOOSE(CONTROL!$C$42, 57.3716, 57.3716)*CHOOSE(CONTROL!$C$21, $C$9, 100%, $E$9)</f>
        <v>57.371600000000001</v>
      </c>
      <c r="G850" s="10">
        <f>CHOOSE(CONTROL!$C$42, 57.3866, 57.3866)*CHOOSE(CONTROL!$C$21, $C$9, 100%, $E$9)</f>
        <v>57.386600000000001</v>
      </c>
      <c r="H850" s="10">
        <f>CHOOSE(CONTROL!$C$42, 57.6251, 57.6251) * CHOOSE(CONTROL!$C$21, $C$9, 100%, $E$9)</f>
        <v>57.625100000000003</v>
      </c>
      <c r="I850" s="10">
        <f>CHOOSE(CONTROL!$C$42, 57.3947, 57.3947)* CHOOSE(CONTROL!$C$21, $C$9, 100%, $E$9)</f>
        <v>57.3947</v>
      </c>
      <c r="J850" s="10">
        <f>CHOOSE(CONTROL!$C$42, 57.3646, 57.3646)* CHOOSE(CONTROL!$C$21, $C$9, 100%, $E$9)</f>
        <v>57.364600000000003</v>
      </c>
      <c r="K850" s="53">
        <f>CHOOSE(CONTROL!$C$42, 57.3908, 57.3908) * CHOOSE(CONTROL!$C$21, $C$9, 100%, $E$9)</f>
        <v>57.390799999999999</v>
      </c>
      <c r="L850" s="10">
        <f>CHOOSE(CONTROL!$C$42, 58.2121, 58.2121) * CHOOSE(CONTROL!$C$21, $C$9, 100%, $E$9)</f>
        <v>58.2121</v>
      </c>
      <c r="M850" s="10">
        <f>CHOOSE(CONTROL!$C$42, 56.7996, 56.7996) * CHOOSE(CONTROL!$C$21, $C$9, 100%, $E$9)</f>
        <v>56.799599999999998</v>
      </c>
      <c r="N850" s="10">
        <f>CHOOSE(CONTROL!$C$42, 56.8144, 56.8144) * CHOOSE(CONTROL!$C$21, $C$9, 100%, $E$9)</f>
        <v>56.814399999999999</v>
      </c>
      <c r="O850" s="10">
        <f>CHOOSE(CONTROL!$C$42, 57.0574, 57.0574) * CHOOSE(CONTROL!$C$21, $C$9, 100%, $E$9)</f>
        <v>57.057400000000001</v>
      </c>
      <c r="P850" s="10">
        <f>CHOOSE(CONTROL!$C$42, 56.8294, 56.8294) * CHOOSE(CONTROL!$C$21, $C$9, 100%, $E$9)</f>
        <v>56.8294</v>
      </c>
      <c r="Q850" s="10">
        <f>CHOOSE(CONTROL!$C$42, 57.6527, 57.6527) * CHOOSE(CONTROL!$C$21, $C$9, 100%, $E$9)</f>
        <v>57.652700000000003</v>
      </c>
      <c r="R850" s="10">
        <f>CHOOSE(CONTROL!$C$42, 58.3838, 58.3838) * CHOOSE(CONTROL!$C$21, $C$9, 100%, $E$9)</f>
        <v>58.383800000000001</v>
      </c>
      <c r="S850" s="10">
        <f>CHOOSE(CONTROL!$C$42, 55.7317, 55.7317) * CHOOSE(CONTROL!$C$21, $C$9, 100%, $E$9)</f>
        <v>55.731699999999996</v>
      </c>
      <c r="T8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57">
        <f>(1000*CHOOSE(CONTROL!$C$42, 695, 695)*CHOOSE(CONTROL!$C$42, 0.5599, 0.5599)*CHOOSE(CONTROL!$C$42, 31, 31))/1000000</f>
        <v>12.063045499999998</v>
      </c>
      <c r="V850" s="57">
        <f>(1000*CHOOSE(CONTROL!$C$42, 500, 500)*CHOOSE(CONTROL!$C$42, 0.275, 0.275)*CHOOSE(CONTROL!$C$42, 31, 31))/1000000</f>
        <v>4.2625000000000002</v>
      </c>
      <c r="W850" s="57">
        <f>(1000*CHOOSE(CONTROL!$C$42, 0.1146, 0.1146)*CHOOSE(CONTROL!$C$42, 121.5, 121.5)*CHOOSE(CONTROL!$C$42, 31, 31))/1000000</f>
        <v>0.43164089999999994</v>
      </c>
      <c r="X850" s="57">
        <f>(31*0.1790888*245000/1000000)+(31*0.2374*100000/1000000)</f>
        <v>2.0961194359999999</v>
      </c>
      <c r="Y850" s="57"/>
      <c r="Z850" s="10"/>
      <c r="AA850" s="56"/>
      <c r="AB850" s="50">
        <f>(B850*131.881+C850*277.167+D850*79.08+E850*125.872+F850*40+G850*185+H850*0+I850*100+J850*300)/(131.881+277.167+79.08+125.872+0+40+185+100+300)</f>
        <v>57.423871075706217</v>
      </c>
      <c r="AC850" s="45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56.921584172661873</v>
      </c>
    </row>
    <row r="851" spans="1:29" ht="15.75" x14ac:dyDescent="0.25">
      <c r="A851" s="13">
        <v>66810</v>
      </c>
      <c r="B851" s="10">
        <f>CHOOSE(CONTROL!$C$42, 58.9044, 58.9044) * CHOOSE(CONTROL!$C$21, $C$9, 100%, $E$9)</f>
        <v>58.904400000000003</v>
      </c>
      <c r="C851" s="10">
        <f>CHOOSE(CONTROL!$C$42, 58.9094, 58.9094) * CHOOSE(CONTROL!$C$21, $C$9, 100%, $E$9)</f>
        <v>58.909399999999998</v>
      </c>
      <c r="D851" s="10">
        <f>CHOOSE(CONTROL!$C$42, 58.9699, 58.9699) * CHOOSE(CONTROL!$C$21, $C$9, 100%, $E$9)</f>
        <v>58.969900000000003</v>
      </c>
      <c r="E851" s="10">
        <f>CHOOSE(CONTROL!$C$42, 59.0037, 59.0037) * CHOOSE(CONTROL!$C$21, $C$9, 100%, $E$9)</f>
        <v>59.003700000000002</v>
      </c>
      <c r="F851" s="10">
        <f>CHOOSE(CONTROL!$C$42, 58.9001, 58.9001)*CHOOSE(CONTROL!$C$21, $C$9, 100%, $E$9)</f>
        <v>58.900100000000002</v>
      </c>
      <c r="G851" s="10">
        <f>CHOOSE(CONTROL!$C$42, 58.9153, 58.9153)*CHOOSE(CONTROL!$C$21, $C$9, 100%, $E$9)</f>
        <v>58.915300000000002</v>
      </c>
      <c r="H851" s="10">
        <f>CHOOSE(CONTROL!$C$42, 58.9929, 58.9929) * CHOOSE(CONTROL!$C$21, $C$9, 100%, $E$9)</f>
        <v>58.992899999999999</v>
      </c>
      <c r="I851" s="10">
        <f>CHOOSE(CONTROL!$C$42, 58.9169, 58.9169)* CHOOSE(CONTROL!$C$21, $C$9, 100%, $E$9)</f>
        <v>58.916899999999998</v>
      </c>
      <c r="J851" s="10">
        <f>CHOOSE(CONTROL!$C$42, 58.8931, 58.8931)* CHOOSE(CONTROL!$C$21, $C$9, 100%, $E$9)</f>
        <v>58.893099999999997</v>
      </c>
      <c r="K851" s="53">
        <f>CHOOSE(CONTROL!$C$42, 58.913, 58.913) * CHOOSE(CONTROL!$C$21, $C$9, 100%, $E$9)</f>
        <v>58.912999999999997</v>
      </c>
      <c r="L851" s="10">
        <f>CHOOSE(CONTROL!$C$42, 59.5799, 59.5799) * CHOOSE(CONTROL!$C$21, $C$9, 100%, $E$9)</f>
        <v>59.579900000000002</v>
      </c>
      <c r="M851" s="10">
        <f>CHOOSE(CONTROL!$C$42, 58.3125, 58.3125) * CHOOSE(CONTROL!$C$21, $C$9, 100%, $E$9)</f>
        <v>58.3125</v>
      </c>
      <c r="N851" s="10">
        <f>CHOOSE(CONTROL!$C$42, 58.3276, 58.3276) * CHOOSE(CONTROL!$C$21, $C$9, 100%, $E$9)</f>
        <v>58.327599999999997</v>
      </c>
      <c r="O851" s="10">
        <f>CHOOSE(CONTROL!$C$42, 58.4113, 58.4113) * CHOOSE(CONTROL!$C$21, $C$9, 100%, $E$9)</f>
        <v>58.411299999999997</v>
      </c>
      <c r="P851" s="10">
        <f>CHOOSE(CONTROL!$C$42, 58.3362, 58.3362) * CHOOSE(CONTROL!$C$21, $C$9, 100%, $E$9)</f>
        <v>58.336199999999998</v>
      </c>
      <c r="Q851" s="10">
        <f>CHOOSE(CONTROL!$C$42, 59.0066, 59.0066) * CHOOSE(CONTROL!$C$21, $C$9, 100%, $E$9)</f>
        <v>59.006599999999999</v>
      </c>
      <c r="R851" s="10">
        <f>CHOOSE(CONTROL!$C$42, 59.7412, 59.7412) * CHOOSE(CONTROL!$C$21, $C$9, 100%, $E$9)</f>
        <v>59.741199999999999</v>
      </c>
      <c r="S851" s="10">
        <f>CHOOSE(CONTROL!$C$42, 57.1999, 57.1999) * CHOOSE(CONTROL!$C$21, $C$9, 100%, $E$9)</f>
        <v>57.1999</v>
      </c>
      <c r="T8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57">
        <f>(1000*CHOOSE(CONTROL!$C$42, 695, 695)*CHOOSE(CONTROL!$C$42, 0.5599, 0.5599)*CHOOSE(CONTROL!$C$42, 30, 30))/1000000</f>
        <v>11.673914999999997</v>
      </c>
      <c r="V851" s="57">
        <f>(1000*CHOOSE(CONTROL!$C$42, 500, 500)*CHOOSE(CONTROL!$C$42, 0.275, 0.275)*CHOOSE(CONTROL!$C$42, 30, 30))/1000000</f>
        <v>4.125</v>
      </c>
      <c r="W851" s="57">
        <f>(1000*CHOOSE(CONTROL!$C$42, 0.1146, 0.1146)*CHOOSE(CONTROL!$C$42, 121.5, 121.5)*CHOOSE(CONTROL!$C$42, 30, 30))/1000000</f>
        <v>0.417717</v>
      </c>
      <c r="X851" s="57">
        <f>(30*0.1790888*100000/1000000)+(30*0.2374*100000/1000000)</f>
        <v>1.2494664</v>
      </c>
      <c r="Y851" s="57"/>
      <c r="Z851" s="10"/>
      <c r="AA851" s="56"/>
      <c r="AB851" s="50">
        <f>(B851*122.58+C851*297.941+D851*89.177+E851*40.302+F851*40+G851*160+H851*0+I851*100+J851*300)/(122.58+297.941+89.177+40.302+0+40+160+100+300)</f>
        <v>58.913760684434777</v>
      </c>
      <c r="AC851" s="45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58.361558992805755</v>
      </c>
    </row>
    <row r="852" spans="1:29" ht="15.75" x14ac:dyDescent="0.25">
      <c r="A852" s="13">
        <v>66841</v>
      </c>
      <c r="B852" s="10">
        <f>CHOOSE(CONTROL!$C$42, 62.9203, 62.9203) * CHOOSE(CONTROL!$C$21, $C$9, 100%, $E$9)</f>
        <v>62.920299999999997</v>
      </c>
      <c r="C852" s="10">
        <f>CHOOSE(CONTROL!$C$42, 62.9253, 62.9253) * CHOOSE(CONTROL!$C$21, $C$9, 100%, $E$9)</f>
        <v>62.9253</v>
      </c>
      <c r="D852" s="10">
        <f>CHOOSE(CONTROL!$C$42, 62.9858, 62.9858) * CHOOSE(CONTROL!$C$21, $C$9, 100%, $E$9)</f>
        <v>62.985799999999998</v>
      </c>
      <c r="E852" s="10">
        <f>CHOOSE(CONTROL!$C$42, 63.0195, 63.0195) * CHOOSE(CONTROL!$C$21, $C$9, 100%, $E$9)</f>
        <v>63.019500000000001</v>
      </c>
      <c r="F852" s="10">
        <f>CHOOSE(CONTROL!$C$42, 62.9178, 62.9178)*CHOOSE(CONTROL!$C$21, $C$9, 100%, $E$9)</f>
        <v>62.9178</v>
      </c>
      <c r="G852" s="10">
        <f>CHOOSE(CONTROL!$C$42, 62.9335, 62.9335)*CHOOSE(CONTROL!$C$21, $C$9, 100%, $E$9)</f>
        <v>62.933500000000002</v>
      </c>
      <c r="H852" s="10">
        <f>CHOOSE(CONTROL!$C$42, 63.0087, 63.0087) * CHOOSE(CONTROL!$C$21, $C$9, 100%, $E$9)</f>
        <v>63.008699999999997</v>
      </c>
      <c r="I852" s="10">
        <f>CHOOSE(CONTROL!$C$42, 62.9328, 62.9328)* CHOOSE(CONTROL!$C$21, $C$9, 100%, $E$9)</f>
        <v>62.9328</v>
      </c>
      <c r="J852" s="10">
        <f>CHOOSE(CONTROL!$C$42, 62.9108, 62.9108)* CHOOSE(CONTROL!$C$21, $C$9, 100%, $E$9)</f>
        <v>62.910800000000002</v>
      </c>
      <c r="K852" s="53">
        <f>CHOOSE(CONTROL!$C$42, 62.9289, 62.9289) * CHOOSE(CONTROL!$C$21, $C$9, 100%, $E$9)</f>
        <v>62.928899999999999</v>
      </c>
      <c r="L852" s="10">
        <f>CHOOSE(CONTROL!$C$42, 63.5957, 63.5957) * CHOOSE(CONTROL!$C$21, $C$9, 100%, $E$9)</f>
        <v>63.595700000000001</v>
      </c>
      <c r="M852" s="10">
        <f>CHOOSE(CONTROL!$C$42, 62.2897, 62.2897) * CHOOSE(CONTROL!$C$21, $C$9, 100%, $E$9)</f>
        <v>62.289700000000003</v>
      </c>
      <c r="N852" s="10">
        <f>CHOOSE(CONTROL!$C$42, 62.3052, 62.3052) * CHOOSE(CONTROL!$C$21, $C$9, 100%, $E$9)</f>
        <v>62.305199999999999</v>
      </c>
      <c r="O852" s="10">
        <f>CHOOSE(CONTROL!$C$42, 62.3867, 62.3867) * CHOOSE(CONTROL!$C$21, $C$9, 100%, $E$9)</f>
        <v>62.386699999999998</v>
      </c>
      <c r="P852" s="10">
        <f>CHOOSE(CONTROL!$C$42, 62.3116, 62.3116) * CHOOSE(CONTROL!$C$21, $C$9, 100%, $E$9)</f>
        <v>62.311599999999999</v>
      </c>
      <c r="Q852" s="10">
        <f>CHOOSE(CONTROL!$C$42, 62.982, 62.982) * CHOOSE(CONTROL!$C$21, $C$9, 100%, $E$9)</f>
        <v>62.981999999999999</v>
      </c>
      <c r="R852" s="10">
        <f>CHOOSE(CONTROL!$C$42, 63.7264, 63.7264) * CHOOSE(CONTROL!$C$21, $C$9, 100%, $E$9)</f>
        <v>63.726399999999998</v>
      </c>
      <c r="S852" s="10">
        <f>CHOOSE(CONTROL!$C$42, 61.0998, 61.0998) * CHOOSE(CONTROL!$C$21, $C$9, 100%, $E$9)</f>
        <v>61.099800000000002</v>
      </c>
      <c r="T8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57">
        <f>(1000*CHOOSE(CONTROL!$C$42, 695, 695)*CHOOSE(CONTROL!$C$42, 0.5599, 0.5599)*CHOOSE(CONTROL!$C$42, 31, 31))/1000000</f>
        <v>12.063045499999998</v>
      </c>
      <c r="V852" s="57">
        <f>(1000*CHOOSE(CONTROL!$C$42, 500, 500)*CHOOSE(CONTROL!$C$42, 0.275, 0.275)*CHOOSE(CONTROL!$C$42, 31, 31))/1000000</f>
        <v>4.2625000000000002</v>
      </c>
      <c r="W852" s="57">
        <f>(1000*CHOOSE(CONTROL!$C$42, 0.1146, 0.1146)*CHOOSE(CONTROL!$C$42, 121.5, 121.5)*CHOOSE(CONTROL!$C$42, 31, 31))/1000000</f>
        <v>0.43164089999999994</v>
      </c>
      <c r="X852" s="57">
        <f>(31*0.1790888*100000/1000000)+(31*0.2374*100000/1000000)</f>
        <v>1.2911152800000001</v>
      </c>
      <c r="Y852" s="57"/>
      <c r="Z852" s="10"/>
      <c r="AA852" s="56"/>
      <c r="AB852" s="50">
        <f>(B852*122.58+C852*297.941+D852*89.177+E852*40.302+F852*40+G852*160+H852*0+I852*100+J852*300)/(122.58+297.941+89.177+40.302+0+40+160+100+300)</f>
        <v>62.930509353826082</v>
      </c>
      <c r="AC852" s="45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62.337707194244608</v>
      </c>
    </row>
    <row r="853" spans="1:29" ht="15.75" x14ac:dyDescent="0.25">
      <c r="A853" s="13">
        <v>66872</v>
      </c>
      <c r="B853" s="10">
        <f>CHOOSE(CONTROL!$C$42, 68.0756, 68.0756) * CHOOSE(CONTROL!$C$21, $C$9, 100%, $E$9)</f>
        <v>68.075599999999994</v>
      </c>
      <c r="C853" s="10">
        <f>CHOOSE(CONTROL!$C$42, 68.0805, 68.0805) * CHOOSE(CONTROL!$C$21, $C$9, 100%, $E$9)</f>
        <v>68.080500000000001</v>
      </c>
      <c r="D853" s="10">
        <f>CHOOSE(CONTROL!$C$42, 68.1376, 68.1376) * CHOOSE(CONTROL!$C$21, $C$9, 100%, $E$9)</f>
        <v>68.137600000000006</v>
      </c>
      <c r="E853" s="10">
        <f>CHOOSE(CONTROL!$C$42, 68.1714, 68.1714) * CHOOSE(CONTROL!$C$21, $C$9, 100%, $E$9)</f>
        <v>68.171400000000006</v>
      </c>
      <c r="F853" s="10">
        <f>CHOOSE(CONTROL!$C$42, 68.0734, 68.0734)*CHOOSE(CONTROL!$C$21, $C$9, 100%, $E$9)</f>
        <v>68.073400000000007</v>
      </c>
      <c r="G853" s="10">
        <f>CHOOSE(CONTROL!$C$42, 68.088, 68.088)*CHOOSE(CONTROL!$C$21, $C$9, 100%, $E$9)</f>
        <v>68.087999999999994</v>
      </c>
      <c r="H853" s="10">
        <f>CHOOSE(CONTROL!$C$42, 68.1605, 68.1605) * CHOOSE(CONTROL!$C$21, $C$9, 100%, $E$9)</f>
        <v>68.160499999999999</v>
      </c>
      <c r="I853" s="10">
        <f>CHOOSE(CONTROL!$C$42, 68.0863, 68.0863)* CHOOSE(CONTROL!$C$21, $C$9, 100%, $E$9)</f>
        <v>68.086299999999994</v>
      </c>
      <c r="J853" s="10">
        <f>CHOOSE(CONTROL!$C$42, 68.0664, 68.0664)* CHOOSE(CONTROL!$C$21, $C$9, 100%, $E$9)</f>
        <v>68.066400000000002</v>
      </c>
      <c r="K853" s="53">
        <f>CHOOSE(CONTROL!$C$42, 68.0825, 68.0825) * CHOOSE(CONTROL!$C$21, $C$9, 100%, $E$9)</f>
        <v>68.082499999999996</v>
      </c>
      <c r="L853" s="10">
        <f>CHOOSE(CONTROL!$C$42, 68.7475, 68.7475) * CHOOSE(CONTROL!$C$21, $C$9, 100%, $E$9)</f>
        <v>68.747500000000002</v>
      </c>
      <c r="M853" s="10">
        <f>CHOOSE(CONTROL!$C$42, 67.3933, 67.3933) * CHOOSE(CONTROL!$C$21, $C$9, 100%, $E$9)</f>
        <v>67.393299999999996</v>
      </c>
      <c r="N853" s="10">
        <f>CHOOSE(CONTROL!$C$42, 67.4078, 67.4078) * CHOOSE(CONTROL!$C$21, $C$9, 100%, $E$9)</f>
        <v>67.407799999999995</v>
      </c>
      <c r="O853" s="10">
        <f>CHOOSE(CONTROL!$C$42, 67.4865, 67.4865) * CHOOSE(CONTROL!$C$21, $C$9, 100%, $E$9)</f>
        <v>67.486500000000007</v>
      </c>
      <c r="P853" s="10">
        <f>CHOOSE(CONTROL!$C$42, 67.4131, 67.4131) * CHOOSE(CONTROL!$C$21, $C$9, 100%, $E$9)</f>
        <v>67.4131</v>
      </c>
      <c r="Q853" s="10">
        <f>CHOOSE(CONTROL!$C$42, 68.0818, 68.0818) * CHOOSE(CONTROL!$C$21, $C$9, 100%, $E$9)</f>
        <v>68.081800000000001</v>
      </c>
      <c r="R853" s="10">
        <f>CHOOSE(CONTROL!$C$42, 68.839, 68.839) * CHOOSE(CONTROL!$C$21, $C$9, 100%, $E$9)</f>
        <v>68.838999999999999</v>
      </c>
      <c r="S853" s="10">
        <f>CHOOSE(CONTROL!$C$42, 66.106, 66.106) * CHOOSE(CONTROL!$C$21, $C$9, 100%, $E$9)</f>
        <v>66.105999999999995</v>
      </c>
      <c r="T8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57">
        <f>(1000*CHOOSE(CONTROL!$C$42, 695, 695)*CHOOSE(CONTROL!$C$42, 0.5599, 0.5599)*CHOOSE(CONTROL!$C$42, 31, 31))/1000000</f>
        <v>12.063045499999998</v>
      </c>
      <c r="V853" s="57">
        <f>(1000*CHOOSE(CONTROL!$C$42, 500, 500)*CHOOSE(CONTROL!$C$42, 0.275, 0.275)*CHOOSE(CONTROL!$C$42, 31, 31))/1000000</f>
        <v>4.2625000000000002</v>
      </c>
      <c r="W853" s="57">
        <f>(1000*CHOOSE(CONTROL!$C$42, 0.1146, 0.1146)*CHOOSE(CONTROL!$C$42, 121.5, 121.5)*CHOOSE(CONTROL!$C$42, 31, 31))/1000000</f>
        <v>0.43164089999999994</v>
      </c>
      <c r="X853" s="57">
        <f>(31*0.1790888*100000/1000000)+(31*0.2374*100000/1000000)</f>
        <v>1.2911152800000001</v>
      </c>
      <c r="Y853" s="57"/>
      <c r="Z853" s="10"/>
      <c r="AA853" s="56"/>
      <c r="AB853" s="50">
        <f>(B853*122.58+C853*297.941+D853*89.177+E853*40.302+F853*40+G853*160+H853*0+I853*100+J853*300)/(122.58+297.941+89.177+40.302+0+40+160+100+300)</f>
        <v>68.085213753478257</v>
      </c>
      <c r="AC853" s="45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67.439225179856109</v>
      </c>
    </row>
    <row r="854" spans="1:29" ht="15.75" x14ac:dyDescent="0.25">
      <c r="A854" s="13">
        <v>66900</v>
      </c>
      <c r="B854" s="10">
        <f>CHOOSE(CONTROL!$C$42, 69.2873, 69.2873) * CHOOSE(CONTROL!$C$21, $C$9, 100%, $E$9)</f>
        <v>69.287300000000002</v>
      </c>
      <c r="C854" s="10">
        <f>CHOOSE(CONTROL!$C$42, 69.2923, 69.2923) * CHOOSE(CONTROL!$C$21, $C$9, 100%, $E$9)</f>
        <v>69.292299999999997</v>
      </c>
      <c r="D854" s="10">
        <f>CHOOSE(CONTROL!$C$42, 69.3494, 69.3494) * CHOOSE(CONTROL!$C$21, $C$9, 100%, $E$9)</f>
        <v>69.349400000000003</v>
      </c>
      <c r="E854" s="10">
        <f>CHOOSE(CONTROL!$C$42, 69.3831, 69.3831) * CHOOSE(CONTROL!$C$21, $C$9, 100%, $E$9)</f>
        <v>69.383099999999999</v>
      </c>
      <c r="F854" s="10">
        <f>CHOOSE(CONTROL!$C$42, 69.2853, 69.2853)*CHOOSE(CONTROL!$C$21, $C$9, 100%, $E$9)</f>
        <v>69.285300000000007</v>
      </c>
      <c r="G854" s="10">
        <f>CHOOSE(CONTROL!$C$42, 69.2999, 69.2999)*CHOOSE(CONTROL!$C$21, $C$9, 100%, $E$9)</f>
        <v>69.299899999999994</v>
      </c>
      <c r="H854" s="10">
        <f>CHOOSE(CONTROL!$C$42, 69.3723, 69.3723) * CHOOSE(CONTROL!$C$21, $C$9, 100%, $E$9)</f>
        <v>69.372299999999996</v>
      </c>
      <c r="I854" s="10">
        <f>CHOOSE(CONTROL!$C$42, 69.2981, 69.2981)* CHOOSE(CONTROL!$C$21, $C$9, 100%, $E$9)</f>
        <v>69.298100000000005</v>
      </c>
      <c r="J854" s="10">
        <f>CHOOSE(CONTROL!$C$42, 69.2783, 69.2783)* CHOOSE(CONTROL!$C$21, $C$9, 100%, $E$9)</f>
        <v>69.278300000000002</v>
      </c>
      <c r="K854" s="53">
        <f>CHOOSE(CONTROL!$C$42, 69.2942, 69.2942) * CHOOSE(CONTROL!$C$21, $C$9, 100%, $E$9)</f>
        <v>69.294200000000004</v>
      </c>
      <c r="L854" s="10">
        <f>CHOOSE(CONTROL!$C$42, 69.9593, 69.9593) * CHOOSE(CONTROL!$C$21, $C$9, 100%, $E$9)</f>
        <v>69.959299999999999</v>
      </c>
      <c r="M854" s="10">
        <f>CHOOSE(CONTROL!$C$42, 68.593, 68.593) * CHOOSE(CONTROL!$C$21, $C$9, 100%, $E$9)</f>
        <v>68.593000000000004</v>
      </c>
      <c r="N854" s="10">
        <f>CHOOSE(CONTROL!$C$42, 68.6075, 68.6075) * CHOOSE(CONTROL!$C$21, $C$9, 100%, $E$9)</f>
        <v>68.607500000000002</v>
      </c>
      <c r="O854" s="10">
        <f>CHOOSE(CONTROL!$C$42, 68.6861, 68.6861) * CHOOSE(CONTROL!$C$21, $C$9, 100%, $E$9)</f>
        <v>68.686099999999996</v>
      </c>
      <c r="P854" s="10">
        <f>CHOOSE(CONTROL!$C$42, 68.6127, 68.6127) * CHOOSE(CONTROL!$C$21, $C$9, 100%, $E$9)</f>
        <v>68.612700000000004</v>
      </c>
      <c r="Q854" s="10">
        <f>CHOOSE(CONTROL!$C$42, 69.2814, 69.2814) * CHOOSE(CONTROL!$C$21, $C$9, 100%, $E$9)</f>
        <v>69.281400000000005</v>
      </c>
      <c r="R854" s="10">
        <f>CHOOSE(CONTROL!$C$42, 70.0416, 70.0416) * CHOOSE(CONTROL!$C$21, $C$9, 100%, $E$9)</f>
        <v>70.041600000000003</v>
      </c>
      <c r="S854" s="10">
        <f>CHOOSE(CONTROL!$C$42, 67.2828, 67.2828) * CHOOSE(CONTROL!$C$21, $C$9, 100%, $E$9)</f>
        <v>67.282799999999995</v>
      </c>
      <c r="T8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54" s="57">
        <f>(1000*CHOOSE(CONTROL!$C$42, 695, 695)*CHOOSE(CONTROL!$C$42, 0.5599, 0.5599)*CHOOSE(CONTROL!$C$42, 28, 28))/1000000</f>
        <v>10.895653999999999</v>
      </c>
      <c r="V854" s="57">
        <f>(1000*CHOOSE(CONTROL!$C$42, 500, 500)*CHOOSE(CONTROL!$C$42, 0.275, 0.275)*CHOOSE(CONTROL!$C$42, 28, 28))/1000000</f>
        <v>3.85</v>
      </c>
      <c r="W854" s="57">
        <f>(1000*CHOOSE(CONTROL!$C$42, 0.1146, 0.1146)*CHOOSE(CONTROL!$C$42, 121.5, 121.5)*CHOOSE(CONTROL!$C$42, 28, 28))/1000000</f>
        <v>0.38986920000000003</v>
      </c>
      <c r="X854" s="57">
        <f>(28*0.1790888*100000/1000000)+(28*0.2374*100000/1000000)</f>
        <v>1.16616864</v>
      </c>
      <c r="Y854" s="57"/>
      <c r="Z854" s="10"/>
      <c r="AA854" s="56"/>
      <c r="AB854" s="50">
        <f>(B854*122.58+C854*297.941+D854*89.177+E854*40.302+F854*40+G854*160+H854*0+I854*100+J854*300)/(122.58+297.941+89.177+40.302+0+40+160+100+300)</f>
        <v>69.29704306808695</v>
      </c>
      <c r="AC854" s="45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68.638865467625891</v>
      </c>
    </row>
    <row r="855" spans="1:29" ht="15.75" x14ac:dyDescent="0.25">
      <c r="A855" s="13">
        <v>66931</v>
      </c>
      <c r="B855" s="10">
        <f>CHOOSE(CONTROL!$C$42, 67.3203, 67.3203) * CHOOSE(CONTROL!$C$21, $C$9, 100%, $E$9)</f>
        <v>67.320300000000003</v>
      </c>
      <c r="C855" s="10">
        <f>CHOOSE(CONTROL!$C$42, 67.3253, 67.3253) * CHOOSE(CONTROL!$C$21, $C$9, 100%, $E$9)</f>
        <v>67.325299999999999</v>
      </c>
      <c r="D855" s="10">
        <f>CHOOSE(CONTROL!$C$42, 67.3823, 67.3823) * CHOOSE(CONTROL!$C$21, $C$9, 100%, $E$9)</f>
        <v>67.382300000000001</v>
      </c>
      <c r="E855" s="10">
        <f>CHOOSE(CONTROL!$C$42, 67.4161, 67.4161) * CHOOSE(CONTROL!$C$21, $C$9, 100%, $E$9)</f>
        <v>67.4161</v>
      </c>
      <c r="F855" s="10">
        <f>CHOOSE(CONTROL!$C$42, 67.3181, 67.3181)*CHOOSE(CONTROL!$C$21, $C$9, 100%, $E$9)</f>
        <v>67.318100000000001</v>
      </c>
      <c r="G855" s="10">
        <f>CHOOSE(CONTROL!$C$42, 67.3327, 67.3327)*CHOOSE(CONTROL!$C$21, $C$9, 100%, $E$9)</f>
        <v>67.332700000000003</v>
      </c>
      <c r="H855" s="10">
        <f>CHOOSE(CONTROL!$C$42, 67.4053, 67.4053) * CHOOSE(CONTROL!$C$21, $C$9, 100%, $E$9)</f>
        <v>67.405299999999997</v>
      </c>
      <c r="I855" s="10">
        <f>CHOOSE(CONTROL!$C$42, 67.3311, 67.3311)* CHOOSE(CONTROL!$C$21, $C$9, 100%, $E$9)</f>
        <v>67.331100000000006</v>
      </c>
      <c r="J855" s="10">
        <f>CHOOSE(CONTROL!$C$42, 67.3111, 67.3111)* CHOOSE(CONTROL!$C$21, $C$9, 100%, $E$9)</f>
        <v>67.311099999999996</v>
      </c>
      <c r="K855" s="53">
        <f>CHOOSE(CONTROL!$C$42, 67.3272, 67.3272) * CHOOSE(CONTROL!$C$21, $C$9, 100%, $E$9)</f>
        <v>67.327200000000005</v>
      </c>
      <c r="L855" s="10">
        <f>CHOOSE(CONTROL!$C$42, 67.9923, 67.9923) * CHOOSE(CONTROL!$C$21, $C$9, 100%, $E$9)</f>
        <v>67.9923</v>
      </c>
      <c r="M855" s="10">
        <f>CHOOSE(CONTROL!$C$42, 66.6457, 66.6457) * CHOOSE(CONTROL!$C$21, $C$9, 100%, $E$9)</f>
        <v>66.645700000000005</v>
      </c>
      <c r="N855" s="10">
        <f>CHOOSE(CONTROL!$C$42, 66.6601, 66.6601) * CHOOSE(CONTROL!$C$21, $C$9, 100%, $E$9)</f>
        <v>66.6601</v>
      </c>
      <c r="O855" s="10">
        <f>CHOOSE(CONTROL!$C$42, 66.7389, 66.7389) * CHOOSE(CONTROL!$C$21, $C$9, 100%, $E$9)</f>
        <v>66.738900000000001</v>
      </c>
      <c r="P855" s="10">
        <f>CHOOSE(CONTROL!$C$42, 66.6655, 66.6655) * CHOOSE(CONTROL!$C$21, $C$9, 100%, $E$9)</f>
        <v>66.665499999999994</v>
      </c>
      <c r="Q855" s="10">
        <f>CHOOSE(CONTROL!$C$42, 67.3342, 67.3342) * CHOOSE(CONTROL!$C$21, $C$9, 100%, $E$9)</f>
        <v>67.334199999999996</v>
      </c>
      <c r="R855" s="10">
        <f>CHOOSE(CONTROL!$C$42, 68.0895, 68.0895) * CHOOSE(CONTROL!$C$21, $C$9, 100%, $E$9)</f>
        <v>68.089500000000001</v>
      </c>
      <c r="S855" s="10">
        <f>CHOOSE(CONTROL!$C$42, 65.3726, 65.3726) * CHOOSE(CONTROL!$C$21, $C$9, 100%, $E$9)</f>
        <v>65.372600000000006</v>
      </c>
      <c r="T8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57">
        <f>(1000*CHOOSE(CONTROL!$C$42, 695, 695)*CHOOSE(CONTROL!$C$42, 0.5599, 0.5599)*CHOOSE(CONTROL!$C$42, 31, 31))/1000000</f>
        <v>12.063045499999998</v>
      </c>
      <c r="V855" s="57">
        <f>(1000*CHOOSE(CONTROL!$C$42, 500, 500)*CHOOSE(CONTROL!$C$42, 0.275, 0.275)*CHOOSE(CONTROL!$C$42, 31, 31))/1000000</f>
        <v>4.2625000000000002</v>
      </c>
      <c r="W855" s="57">
        <f>(1000*CHOOSE(CONTROL!$C$42, 0.1146, 0.1146)*CHOOSE(CONTROL!$C$42, 121.5, 121.5)*CHOOSE(CONTROL!$C$42, 31, 31))/1000000</f>
        <v>0.43164089999999994</v>
      </c>
      <c r="X855" s="57">
        <f>(31*0.1790888*100000/1000000)+(31*0.2374*100000/1000000)</f>
        <v>1.2911152800000001</v>
      </c>
      <c r="Y855" s="57"/>
      <c r="Z855" s="10"/>
      <c r="AA855" s="56"/>
      <c r="AB855" s="50">
        <f>(B855*122.58+C855*297.941+D855*89.177+E855*40.302+F855*40+G855*160+H855*0+I855*100+J855*300)/(122.58+297.941+89.177+40.302+0+40+160+100+300)</f>
        <v>67.329948357043477</v>
      </c>
      <c r="AC855" s="45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66.691619424460427</v>
      </c>
    </row>
    <row r="856" spans="1:29" ht="15.75" x14ac:dyDescent="0.25">
      <c r="A856" s="13">
        <v>66961</v>
      </c>
      <c r="B856" s="10">
        <f>CHOOSE(CONTROL!$C$42, 67.1199, 67.1199) * CHOOSE(CONTROL!$C$21, $C$9, 100%, $E$9)</f>
        <v>67.119900000000001</v>
      </c>
      <c r="C856" s="10">
        <f>CHOOSE(CONTROL!$C$42, 67.1243, 67.1243) * CHOOSE(CONTROL!$C$21, $C$9, 100%, $E$9)</f>
        <v>67.124300000000005</v>
      </c>
      <c r="D856" s="10">
        <f>CHOOSE(CONTROL!$C$42, 67.3302, 67.3302) * CHOOSE(CONTROL!$C$21, $C$9, 100%, $E$9)</f>
        <v>67.330200000000005</v>
      </c>
      <c r="E856" s="10">
        <f>CHOOSE(CONTROL!$C$42, 67.3619, 67.3619) * CHOOSE(CONTROL!$C$21, $C$9, 100%, $E$9)</f>
        <v>67.361900000000006</v>
      </c>
      <c r="F856" s="10">
        <f>CHOOSE(CONTROL!$C$42, 67.0967, 67.0967)*CHOOSE(CONTROL!$C$21, $C$9, 100%, $E$9)</f>
        <v>67.096699999999998</v>
      </c>
      <c r="G856" s="10">
        <f>CHOOSE(CONTROL!$C$42, 67.1112, 67.1112)*CHOOSE(CONTROL!$C$21, $C$9, 100%, $E$9)</f>
        <v>67.111199999999997</v>
      </c>
      <c r="H856" s="10">
        <f>CHOOSE(CONTROL!$C$42, 67.3517, 67.3517) * CHOOSE(CONTROL!$C$21, $C$9, 100%, $E$9)</f>
        <v>67.351699999999994</v>
      </c>
      <c r="I856" s="10">
        <f>CHOOSE(CONTROL!$C$42, 67.1214, 67.1214)* CHOOSE(CONTROL!$C$21, $C$9, 100%, $E$9)</f>
        <v>67.121399999999994</v>
      </c>
      <c r="J856" s="10">
        <f>CHOOSE(CONTROL!$C$42, 67.0897, 67.0897)* CHOOSE(CONTROL!$C$21, $C$9, 100%, $E$9)</f>
        <v>67.089699999999993</v>
      </c>
      <c r="K856" s="53">
        <f>CHOOSE(CONTROL!$C$42, 67.1175, 67.1175) * CHOOSE(CONTROL!$C$21, $C$9, 100%, $E$9)</f>
        <v>67.117500000000007</v>
      </c>
      <c r="L856" s="10">
        <f>CHOOSE(CONTROL!$C$42, 67.9387, 67.9387) * CHOOSE(CONTROL!$C$21, $C$9, 100%, $E$9)</f>
        <v>67.938699999999997</v>
      </c>
      <c r="M856" s="10">
        <f>CHOOSE(CONTROL!$C$42, 66.4265, 66.4265) * CHOOSE(CONTROL!$C$21, $C$9, 100%, $E$9)</f>
        <v>66.426500000000004</v>
      </c>
      <c r="N856" s="10">
        <f>CHOOSE(CONTROL!$C$42, 66.4408, 66.4408) * CHOOSE(CONTROL!$C$21, $C$9, 100%, $E$9)</f>
        <v>66.440799999999996</v>
      </c>
      <c r="O856" s="10">
        <f>CHOOSE(CONTROL!$C$42, 66.6859, 66.6859) * CHOOSE(CONTROL!$C$21, $C$9, 100%, $E$9)</f>
        <v>66.685900000000004</v>
      </c>
      <c r="P856" s="10">
        <f>CHOOSE(CONTROL!$C$42, 66.4578, 66.4578) * CHOOSE(CONTROL!$C$21, $C$9, 100%, $E$9)</f>
        <v>66.457800000000006</v>
      </c>
      <c r="Q856" s="10">
        <f>CHOOSE(CONTROL!$C$42, 67.2812, 67.2812) * CHOOSE(CONTROL!$C$21, $C$9, 100%, $E$9)</f>
        <v>67.281199999999998</v>
      </c>
      <c r="R856" s="10">
        <f>CHOOSE(CONTROL!$C$42, 68.0364, 68.0364) * CHOOSE(CONTROL!$C$21, $C$9, 100%, $E$9)</f>
        <v>68.0364</v>
      </c>
      <c r="S856" s="10">
        <f>CHOOSE(CONTROL!$C$42, 65.1773, 65.1773) * CHOOSE(CONTROL!$C$21, $C$9, 100%, $E$9)</f>
        <v>65.177300000000002</v>
      </c>
      <c r="T8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57">
        <f>(1000*CHOOSE(CONTROL!$C$42, 695, 695)*CHOOSE(CONTROL!$C$42, 0.5599, 0.5599)*CHOOSE(CONTROL!$C$42, 30, 30))/1000000</f>
        <v>11.673914999999997</v>
      </c>
      <c r="V856" s="57">
        <f>(1000*CHOOSE(CONTROL!$C$42, 500, 500)*CHOOSE(CONTROL!$C$42, 0.275, 0.275)*CHOOSE(CONTROL!$C$42, 30, 30))/1000000</f>
        <v>4.125</v>
      </c>
      <c r="W856" s="57">
        <f>(1000*CHOOSE(CONTROL!$C$42, 0.1146, 0.1146)*CHOOSE(CONTROL!$C$42, 121.5, 121.5)*CHOOSE(CONTROL!$C$42, 30, 30))/1000000</f>
        <v>0.417717</v>
      </c>
      <c r="X856" s="57">
        <f>(30*0.1790888*245000/1000000)+(30*0.2374*100000/1000000)</f>
        <v>2.0285026799999999</v>
      </c>
      <c r="Y856" s="57"/>
      <c r="Z856" s="10"/>
      <c r="AA856" s="56"/>
      <c r="AB856" s="50">
        <f>(B856*141.293+C856*267.993+D856*115.016+E856*89.698+F856*40+G856*185+H856*0+I856*100+J856*300)/(141.293+267.993+115.016+89.698+0+40+185+100+300)</f>
        <v>67.148654196933009</v>
      </c>
      <c r="AC856" s="45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66.54939640287769</v>
      </c>
    </row>
    <row r="857" spans="1:29" ht="15.75" x14ac:dyDescent="0.25">
      <c r="A857" s="13">
        <v>66992</v>
      </c>
      <c r="B857" s="10">
        <f>CHOOSE(CONTROL!$C$42, 67.7137, 67.7137) * CHOOSE(CONTROL!$C$21, $C$9, 100%, $E$9)</f>
        <v>67.713700000000003</v>
      </c>
      <c r="C857" s="10">
        <f>CHOOSE(CONTROL!$C$42, 67.7216, 67.7216) * CHOOSE(CONTROL!$C$21, $C$9, 100%, $E$9)</f>
        <v>67.721599999999995</v>
      </c>
      <c r="D857" s="10">
        <f>CHOOSE(CONTROL!$C$42, 67.9243, 67.9243) * CHOOSE(CONTROL!$C$21, $C$9, 100%, $E$9)</f>
        <v>67.924300000000002</v>
      </c>
      <c r="E857" s="10">
        <f>CHOOSE(CONTROL!$C$42, 67.9555, 67.9555) * CHOOSE(CONTROL!$C$21, $C$9, 100%, $E$9)</f>
        <v>67.955500000000001</v>
      </c>
      <c r="F857" s="10">
        <f>CHOOSE(CONTROL!$C$42, 67.6894, 67.6894)*CHOOSE(CONTROL!$C$21, $C$9, 100%, $E$9)</f>
        <v>67.689400000000006</v>
      </c>
      <c r="G857" s="10">
        <f>CHOOSE(CONTROL!$C$42, 67.7044, 67.7044)*CHOOSE(CONTROL!$C$21, $C$9, 100%, $E$9)</f>
        <v>67.704400000000007</v>
      </c>
      <c r="H857" s="10">
        <f>CHOOSE(CONTROL!$C$42, 67.9441, 67.9441) * CHOOSE(CONTROL!$C$21, $C$9, 100%, $E$9)</f>
        <v>67.944100000000006</v>
      </c>
      <c r="I857" s="10">
        <f>CHOOSE(CONTROL!$C$42, 67.7137, 67.7137)* CHOOSE(CONTROL!$C$21, $C$9, 100%, $E$9)</f>
        <v>67.713700000000003</v>
      </c>
      <c r="J857" s="10">
        <f>CHOOSE(CONTROL!$C$42, 67.6824, 67.6824)* CHOOSE(CONTROL!$C$21, $C$9, 100%, $E$9)</f>
        <v>67.682400000000001</v>
      </c>
      <c r="K857" s="53">
        <f>CHOOSE(CONTROL!$C$42, 67.7098, 67.7098) * CHOOSE(CONTROL!$C$21, $C$9, 100%, $E$9)</f>
        <v>67.709800000000001</v>
      </c>
      <c r="L857" s="10">
        <f>CHOOSE(CONTROL!$C$42, 68.5311, 68.5311) * CHOOSE(CONTROL!$C$21, $C$9, 100%, $E$9)</f>
        <v>68.531099999999995</v>
      </c>
      <c r="M857" s="10">
        <f>CHOOSE(CONTROL!$C$42, 67.0132, 67.0132) * CHOOSE(CONTROL!$C$21, $C$9, 100%, $E$9)</f>
        <v>67.013199999999998</v>
      </c>
      <c r="N857" s="10">
        <f>CHOOSE(CONTROL!$C$42, 67.0281, 67.0281) * CHOOSE(CONTROL!$C$21, $C$9, 100%, $E$9)</f>
        <v>67.028099999999995</v>
      </c>
      <c r="O857" s="10">
        <f>CHOOSE(CONTROL!$C$42, 67.2723, 67.2723) * CHOOSE(CONTROL!$C$21, $C$9, 100%, $E$9)</f>
        <v>67.272300000000001</v>
      </c>
      <c r="P857" s="10">
        <f>CHOOSE(CONTROL!$C$42, 67.0442, 67.0442) * CHOOSE(CONTROL!$C$21, $C$9, 100%, $E$9)</f>
        <v>67.044200000000004</v>
      </c>
      <c r="Q857" s="10">
        <f>CHOOSE(CONTROL!$C$42, 67.8676, 67.8676) * CHOOSE(CONTROL!$C$21, $C$9, 100%, $E$9)</f>
        <v>67.867599999999996</v>
      </c>
      <c r="R857" s="10">
        <f>CHOOSE(CONTROL!$C$42, 68.6242, 68.6242) * CHOOSE(CONTROL!$C$21, $C$9, 100%, $E$9)</f>
        <v>68.624200000000002</v>
      </c>
      <c r="S857" s="10">
        <f>CHOOSE(CONTROL!$C$42, 65.7525, 65.7525) * CHOOSE(CONTROL!$C$21, $C$9, 100%, $E$9)</f>
        <v>65.752499999999998</v>
      </c>
      <c r="T8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57">
        <f>(1000*CHOOSE(CONTROL!$C$42, 695, 695)*CHOOSE(CONTROL!$C$42, 0.5599, 0.5599)*CHOOSE(CONTROL!$C$42, 31, 31))/1000000</f>
        <v>12.063045499999998</v>
      </c>
      <c r="V857" s="57">
        <f>(1000*CHOOSE(CONTROL!$C$42, 500, 500)*CHOOSE(CONTROL!$C$42, 0.275, 0.275)*CHOOSE(CONTROL!$C$42, 31, 31))/1000000</f>
        <v>4.2625000000000002</v>
      </c>
      <c r="W857" s="57">
        <f>(1000*CHOOSE(CONTROL!$C$42, 0.1146, 0.1146)*CHOOSE(CONTROL!$C$42, 121.5, 121.5)*CHOOSE(CONTROL!$C$42, 31, 31))/1000000</f>
        <v>0.43164089999999994</v>
      </c>
      <c r="X857" s="57">
        <f>(31*0.1790888*245000/1000000)+(31*0.2374*100000/1000000)</f>
        <v>2.0961194359999999</v>
      </c>
      <c r="Y857" s="57"/>
      <c r="Z857" s="10"/>
      <c r="AA857" s="56"/>
      <c r="AB857" s="50">
        <f>(B857*194.205+C857*267.466+D857*133.845+E857*53.484+F857*40+G857*185+H857*0+I857*100+J857*300)/(194.205+267.466+133.845+53.484+0+40+185+100+300)</f>
        <v>67.738151075039255</v>
      </c>
      <c r="AC857" s="45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67.135951798561152</v>
      </c>
    </row>
    <row r="858" spans="1:29" ht="15.75" x14ac:dyDescent="0.25">
      <c r="A858" s="13">
        <v>67022</v>
      </c>
      <c r="B858" s="10">
        <f>CHOOSE(CONTROL!$C$42, 69.6343, 69.6343) * CHOOSE(CONTROL!$C$21, $C$9, 100%, $E$9)</f>
        <v>69.634299999999996</v>
      </c>
      <c r="C858" s="10">
        <f>CHOOSE(CONTROL!$C$42, 69.6422, 69.6422) * CHOOSE(CONTROL!$C$21, $C$9, 100%, $E$9)</f>
        <v>69.642200000000003</v>
      </c>
      <c r="D858" s="10">
        <f>CHOOSE(CONTROL!$C$42, 69.845, 69.845) * CHOOSE(CONTROL!$C$21, $C$9, 100%, $E$9)</f>
        <v>69.844999999999999</v>
      </c>
      <c r="E858" s="10">
        <f>CHOOSE(CONTROL!$C$42, 69.8761, 69.8761) * CHOOSE(CONTROL!$C$21, $C$9, 100%, $E$9)</f>
        <v>69.876099999999994</v>
      </c>
      <c r="F858" s="10">
        <f>CHOOSE(CONTROL!$C$42, 69.6106, 69.6106)*CHOOSE(CONTROL!$C$21, $C$9, 100%, $E$9)</f>
        <v>69.610600000000005</v>
      </c>
      <c r="G858" s="10">
        <f>CHOOSE(CONTROL!$C$42, 69.6257, 69.6257)*CHOOSE(CONTROL!$C$21, $C$9, 100%, $E$9)</f>
        <v>69.625699999999995</v>
      </c>
      <c r="H858" s="10">
        <f>CHOOSE(CONTROL!$C$42, 69.8647, 69.8647) * CHOOSE(CONTROL!$C$21, $C$9, 100%, $E$9)</f>
        <v>69.864699999999999</v>
      </c>
      <c r="I858" s="10">
        <f>CHOOSE(CONTROL!$C$42, 69.6344, 69.6344)* CHOOSE(CONTROL!$C$21, $C$9, 100%, $E$9)</f>
        <v>69.634399999999999</v>
      </c>
      <c r="J858" s="10">
        <f>CHOOSE(CONTROL!$C$42, 69.6036, 69.6036)* CHOOSE(CONTROL!$C$21, $C$9, 100%, $E$9)</f>
        <v>69.6036</v>
      </c>
      <c r="K858" s="53">
        <f>CHOOSE(CONTROL!$C$42, 69.6305, 69.6305) * CHOOSE(CONTROL!$C$21, $C$9, 100%, $E$9)</f>
        <v>69.630499999999998</v>
      </c>
      <c r="L858" s="10">
        <f>CHOOSE(CONTROL!$C$42, 70.4517, 70.4517) * CHOOSE(CONTROL!$C$21, $C$9, 100%, $E$9)</f>
        <v>70.451700000000002</v>
      </c>
      <c r="M858" s="10">
        <f>CHOOSE(CONTROL!$C$42, 68.915, 68.915) * CHOOSE(CONTROL!$C$21, $C$9, 100%, $E$9)</f>
        <v>68.915000000000006</v>
      </c>
      <c r="N858" s="10">
        <f>CHOOSE(CONTROL!$C$42, 68.93, 68.93) * CHOOSE(CONTROL!$C$21, $C$9, 100%, $E$9)</f>
        <v>68.930000000000007</v>
      </c>
      <c r="O858" s="10">
        <f>CHOOSE(CONTROL!$C$42, 69.1735, 69.1735) * CHOOSE(CONTROL!$C$21, $C$9, 100%, $E$9)</f>
        <v>69.173500000000004</v>
      </c>
      <c r="P858" s="10">
        <f>CHOOSE(CONTROL!$C$42, 68.9455, 68.9455) * CHOOSE(CONTROL!$C$21, $C$9, 100%, $E$9)</f>
        <v>68.945499999999996</v>
      </c>
      <c r="Q858" s="10">
        <f>CHOOSE(CONTROL!$C$42, 69.7688, 69.7688) * CHOOSE(CONTROL!$C$21, $C$9, 100%, $E$9)</f>
        <v>69.768799999999999</v>
      </c>
      <c r="R858" s="10">
        <f>CHOOSE(CONTROL!$C$42, 70.5302, 70.5302) * CHOOSE(CONTROL!$C$21, $C$9, 100%, $E$9)</f>
        <v>70.530199999999994</v>
      </c>
      <c r="S858" s="10">
        <f>CHOOSE(CONTROL!$C$42, 67.6177, 67.6177) * CHOOSE(CONTROL!$C$21, $C$9, 100%, $E$9)</f>
        <v>67.617699999999999</v>
      </c>
      <c r="T8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57">
        <f>(1000*CHOOSE(CONTROL!$C$42, 695, 695)*CHOOSE(CONTROL!$C$42, 0.5599, 0.5599)*CHOOSE(CONTROL!$C$42, 30, 30))/1000000</f>
        <v>11.673914999999997</v>
      </c>
      <c r="V858" s="57">
        <f>(1000*CHOOSE(CONTROL!$C$42, 500, 500)*CHOOSE(CONTROL!$C$42, 0.275, 0.275)*CHOOSE(CONTROL!$C$42, 30, 30))/1000000</f>
        <v>4.125</v>
      </c>
      <c r="W858" s="57">
        <f>(1000*CHOOSE(CONTROL!$C$42, 0.1146, 0.1146)*CHOOSE(CONTROL!$C$42, 121.5, 121.5)*CHOOSE(CONTROL!$C$42, 30, 30))/1000000</f>
        <v>0.417717</v>
      </c>
      <c r="X858" s="57">
        <f>(30*0.1790888*245000/1000000)+(30*0.2374*100000/1000000)</f>
        <v>2.0285026799999999</v>
      </c>
      <c r="Y858" s="57"/>
      <c r="Z858" s="10"/>
      <c r="AA858" s="56"/>
      <c r="AB858" s="50">
        <f>(B858*194.205+C858*267.466+D858*133.845+E858*53.484+F858*40+G858*185+H858*0+I858*100+J858*300)/(194.205+267.466+133.845+53.484+0+40+185+100+300)</f>
        <v>69.659031204160129</v>
      </c>
      <c r="AC858" s="45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69.037413669064748</v>
      </c>
    </row>
    <row r="859" spans="1:29" ht="15.75" x14ac:dyDescent="0.25">
      <c r="A859" s="13">
        <v>67053</v>
      </c>
      <c r="B859" s="10">
        <f>CHOOSE(CONTROL!$C$42, 68.2985, 68.2985) * CHOOSE(CONTROL!$C$21, $C$9, 100%, $E$9)</f>
        <v>68.298500000000004</v>
      </c>
      <c r="C859" s="10">
        <f>CHOOSE(CONTROL!$C$42, 68.3064, 68.3064) * CHOOSE(CONTROL!$C$21, $C$9, 100%, $E$9)</f>
        <v>68.306399999999996</v>
      </c>
      <c r="D859" s="10">
        <f>CHOOSE(CONTROL!$C$42, 68.5092, 68.5092) * CHOOSE(CONTROL!$C$21, $C$9, 100%, $E$9)</f>
        <v>68.509200000000007</v>
      </c>
      <c r="E859" s="10">
        <f>CHOOSE(CONTROL!$C$42, 68.5403, 68.5403) * CHOOSE(CONTROL!$C$21, $C$9, 100%, $E$9)</f>
        <v>68.540300000000002</v>
      </c>
      <c r="F859" s="10">
        <f>CHOOSE(CONTROL!$C$42, 68.2753, 68.2753)*CHOOSE(CONTROL!$C$21, $C$9, 100%, $E$9)</f>
        <v>68.275300000000001</v>
      </c>
      <c r="G859" s="10">
        <f>CHOOSE(CONTROL!$C$42, 68.2905, 68.2905)*CHOOSE(CONTROL!$C$21, $C$9, 100%, $E$9)</f>
        <v>68.290499999999994</v>
      </c>
      <c r="H859" s="10">
        <f>CHOOSE(CONTROL!$C$42, 68.5289, 68.5289) * CHOOSE(CONTROL!$C$21, $C$9, 100%, $E$9)</f>
        <v>68.528899999999993</v>
      </c>
      <c r="I859" s="10">
        <f>CHOOSE(CONTROL!$C$42, 68.2986, 68.2986)* CHOOSE(CONTROL!$C$21, $C$9, 100%, $E$9)</f>
        <v>68.298599999999993</v>
      </c>
      <c r="J859" s="10">
        <f>CHOOSE(CONTROL!$C$42, 68.2683, 68.2683)* CHOOSE(CONTROL!$C$21, $C$9, 100%, $E$9)</f>
        <v>68.268299999999996</v>
      </c>
      <c r="K859" s="53">
        <f>CHOOSE(CONTROL!$C$42, 68.2947, 68.2947) * CHOOSE(CONTROL!$C$21, $C$9, 100%, $E$9)</f>
        <v>68.294700000000006</v>
      </c>
      <c r="L859" s="10">
        <f>CHOOSE(CONTROL!$C$42, 69.1159, 69.1159) * CHOOSE(CONTROL!$C$21, $C$9, 100%, $E$9)</f>
        <v>69.115899999999996</v>
      </c>
      <c r="M859" s="10">
        <f>CHOOSE(CONTROL!$C$42, 67.5931, 67.5931) * CHOOSE(CONTROL!$C$21, $C$9, 100%, $E$9)</f>
        <v>67.593100000000007</v>
      </c>
      <c r="N859" s="10">
        <f>CHOOSE(CONTROL!$C$42, 67.6083, 67.6083) * CHOOSE(CONTROL!$C$21, $C$9, 100%, $E$9)</f>
        <v>67.6083</v>
      </c>
      <c r="O859" s="10">
        <f>CHOOSE(CONTROL!$C$42, 67.8512, 67.8512) * CHOOSE(CONTROL!$C$21, $C$9, 100%, $E$9)</f>
        <v>67.851200000000006</v>
      </c>
      <c r="P859" s="10">
        <f>CHOOSE(CONTROL!$C$42, 67.6232, 67.6232) * CHOOSE(CONTROL!$C$21, $C$9, 100%, $E$9)</f>
        <v>67.623199999999997</v>
      </c>
      <c r="Q859" s="10">
        <f>CHOOSE(CONTROL!$C$42, 68.4465, 68.4465) * CHOOSE(CONTROL!$C$21, $C$9, 100%, $E$9)</f>
        <v>68.4465</v>
      </c>
      <c r="R859" s="10">
        <f>CHOOSE(CONTROL!$C$42, 69.2046, 69.2046) * CHOOSE(CONTROL!$C$21, $C$9, 100%, $E$9)</f>
        <v>69.204599999999999</v>
      </c>
      <c r="S859" s="10">
        <f>CHOOSE(CONTROL!$C$42, 66.3204, 66.3204) * CHOOSE(CONTROL!$C$21, $C$9, 100%, $E$9)</f>
        <v>66.320400000000006</v>
      </c>
      <c r="T8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57">
        <f>(1000*CHOOSE(CONTROL!$C$42, 695, 695)*CHOOSE(CONTROL!$C$42, 0.5599, 0.5599)*CHOOSE(CONTROL!$C$42, 31, 31))/1000000</f>
        <v>12.063045499999998</v>
      </c>
      <c r="V859" s="57">
        <f>(1000*CHOOSE(CONTROL!$C$42, 500, 500)*CHOOSE(CONTROL!$C$42, 0.275, 0.275)*CHOOSE(CONTROL!$C$42, 31, 31))/1000000</f>
        <v>4.2625000000000002</v>
      </c>
      <c r="W859" s="57">
        <f>(1000*CHOOSE(CONTROL!$C$42, 0.1146, 0.1146)*CHOOSE(CONTROL!$C$42, 121.5, 121.5)*CHOOSE(CONTROL!$C$42, 31, 31))/1000000</f>
        <v>0.43164089999999994</v>
      </c>
      <c r="X859" s="57">
        <f>(31*0.1790888*245000/1000000)+(31*0.2374*100000/1000000)</f>
        <v>2.0961194359999999</v>
      </c>
      <c r="Y859" s="57"/>
      <c r="Z859" s="10"/>
      <c r="AA859" s="56"/>
      <c r="AB859" s="50">
        <f>(B859*194.205+C859*267.466+D859*133.845+E859*53.484+F859*40+G859*185+H859*0+I859*100+J859*300)/(194.205+267.466+133.845+53.484+0+40+185+100+300)</f>
        <v>68.323451769309258</v>
      </c>
      <c r="AC859" s="45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67.715286330935257</v>
      </c>
    </row>
    <row r="860" spans="1:29" ht="15.75" x14ac:dyDescent="0.25">
      <c r="A860" s="13">
        <v>67084</v>
      </c>
      <c r="B860" s="10">
        <f>CHOOSE(CONTROL!$C$42, 64.9252, 64.9252) * CHOOSE(CONTROL!$C$21, $C$9, 100%, $E$9)</f>
        <v>64.925200000000004</v>
      </c>
      <c r="C860" s="10">
        <f>CHOOSE(CONTROL!$C$42, 64.9331, 64.9331) * CHOOSE(CONTROL!$C$21, $C$9, 100%, $E$9)</f>
        <v>64.933099999999996</v>
      </c>
      <c r="D860" s="10">
        <f>CHOOSE(CONTROL!$C$42, 65.1358, 65.1358) * CHOOSE(CONTROL!$C$21, $C$9, 100%, $E$9)</f>
        <v>65.135800000000003</v>
      </c>
      <c r="E860" s="10">
        <f>CHOOSE(CONTROL!$C$42, 65.1669, 65.1669) * CHOOSE(CONTROL!$C$21, $C$9, 100%, $E$9)</f>
        <v>65.166899999999998</v>
      </c>
      <c r="F860" s="10">
        <f>CHOOSE(CONTROL!$C$42, 64.9021, 64.9021)*CHOOSE(CONTROL!$C$21, $C$9, 100%, $E$9)</f>
        <v>64.902100000000004</v>
      </c>
      <c r="G860" s="10">
        <f>CHOOSE(CONTROL!$C$42, 64.9174, 64.9174)*CHOOSE(CONTROL!$C$21, $C$9, 100%, $E$9)</f>
        <v>64.917400000000001</v>
      </c>
      <c r="H860" s="10">
        <f>CHOOSE(CONTROL!$C$42, 65.1556, 65.1556) * CHOOSE(CONTROL!$C$21, $C$9, 100%, $E$9)</f>
        <v>65.155600000000007</v>
      </c>
      <c r="I860" s="10">
        <f>CHOOSE(CONTROL!$C$42, 64.9252, 64.9252)* CHOOSE(CONTROL!$C$21, $C$9, 100%, $E$9)</f>
        <v>64.925200000000004</v>
      </c>
      <c r="J860" s="10">
        <f>CHOOSE(CONTROL!$C$42, 64.8951, 64.8951)* CHOOSE(CONTROL!$C$21, $C$9, 100%, $E$9)</f>
        <v>64.895099999999999</v>
      </c>
      <c r="K860" s="53">
        <f>CHOOSE(CONTROL!$C$42, 64.9213, 64.9213) * CHOOSE(CONTROL!$C$21, $C$9, 100%, $E$9)</f>
        <v>64.921300000000002</v>
      </c>
      <c r="L860" s="10">
        <f>CHOOSE(CONTROL!$C$42, 65.7426, 65.7426) * CHOOSE(CONTROL!$C$21, $C$9, 100%, $E$9)</f>
        <v>65.742599999999996</v>
      </c>
      <c r="M860" s="10">
        <f>CHOOSE(CONTROL!$C$42, 64.254, 64.254) * CHOOSE(CONTROL!$C$21, $C$9, 100%, $E$9)</f>
        <v>64.254000000000005</v>
      </c>
      <c r="N860" s="10">
        <f>CHOOSE(CONTROL!$C$42, 64.2692, 64.2692) * CHOOSE(CONTROL!$C$21, $C$9, 100%, $E$9)</f>
        <v>64.269199999999998</v>
      </c>
      <c r="O860" s="10">
        <f>CHOOSE(CONTROL!$C$42, 64.5119, 64.5119) * CHOOSE(CONTROL!$C$21, $C$9, 100%, $E$9)</f>
        <v>64.511899999999997</v>
      </c>
      <c r="P860" s="10">
        <f>CHOOSE(CONTROL!$C$42, 64.2839, 64.2839) * CHOOSE(CONTROL!$C$21, $C$9, 100%, $E$9)</f>
        <v>64.283900000000003</v>
      </c>
      <c r="Q860" s="10">
        <f>CHOOSE(CONTROL!$C$42, 65.1072, 65.1072) * CHOOSE(CONTROL!$C$21, $C$9, 100%, $E$9)</f>
        <v>65.107200000000006</v>
      </c>
      <c r="R860" s="10">
        <f>CHOOSE(CONTROL!$C$42, 65.8569, 65.8569) * CHOOSE(CONTROL!$C$21, $C$9, 100%, $E$9)</f>
        <v>65.856899999999996</v>
      </c>
      <c r="S860" s="10">
        <f>CHOOSE(CONTROL!$C$42, 63.0446, 63.0446) * CHOOSE(CONTROL!$C$21, $C$9, 100%, $E$9)</f>
        <v>63.044600000000003</v>
      </c>
      <c r="T8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57">
        <f>(1000*CHOOSE(CONTROL!$C$42, 695, 695)*CHOOSE(CONTROL!$C$42, 0.5599, 0.5599)*CHOOSE(CONTROL!$C$42, 31, 31))/1000000</f>
        <v>12.063045499999998</v>
      </c>
      <c r="V860" s="57">
        <f>(1000*CHOOSE(CONTROL!$C$42, 500, 500)*CHOOSE(CONTROL!$C$42, 0.275, 0.275)*CHOOSE(CONTROL!$C$42, 31, 31))/1000000</f>
        <v>4.2625000000000002</v>
      </c>
      <c r="W860" s="57">
        <f>(1000*CHOOSE(CONTROL!$C$42, 0.1146, 0.1146)*CHOOSE(CONTROL!$C$42, 121.5, 121.5)*CHOOSE(CONTROL!$C$42, 31, 31))/1000000</f>
        <v>0.43164089999999994</v>
      </c>
      <c r="X860" s="57">
        <f>(31*0.1790888*245000/1000000)+(31*0.2374*100000/1000000)</f>
        <v>2.0961194359999999</v>
      </c>
      <c r="Y860" s="57"/>
      <c r="Z860" s="10"/>
      <c r="AA860" s="56"/>
      <c r="AB860" s="50">
        <f>(B860*194.205+C860*267.466+D860*133.845+E860*53.484+F860*40+G860*185+H860*0+I860*100+J860*300)/(194.205+267.466+133.845+53.484+0+40+185+100+300)</f>
        <v>64.950184945996867</v>
      </c>
      <c r="AC860" s="45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64.376066906474819</v>
      </c>
    </row>
    <row r="861" spans="1:29" ht="15.75" x14ac:dyDescent="0.25">
      <c r="A861" s="13">
        <v>67114</v>
      </c>
      <c r="B861" s="10">
        <f>CHOOSE(CONTROL!$C$42, 60.8032, 60.8032) * CHOOSE(CONTROL!$C$21, $C$9, 100%, $E$9)</f>
        <v>60.803199999999997</v>
      </c>
      <c r="C861" s="10">
        <f>CHOOSE(CONTROL!$C$42, 60.8111, 60.8111) * CHOOSE(CONTROL!$C$21, $C$9, 100%, $E$9)</f>
        <v>60.811100000000003</v>
      </c>
      <c r="D861" s="10">
        <f>CHOOSE(CONTROL!$C$42, 61.0138, 61.0138) * CHOOSE(CONTROL!$C$21, $C$9, 100%, $E$9)</f>
        <v>61.013800000000003</v>
      </c>
      <c r="E861" s="10">
        <f>CHOOSE(CONTROL!$C$42, 61.0449, 61.0449) * CHOOSE(CONTROL!$C$21, $C$9, 100%, $E$9)</f>
        <v>61.044899999999998</v>
      </c>
      <c r="F861" s="10">
        <f>CHOOSE(CONTROL!$C$42, 60.78, 60.78)*CHOOSE(CONTROL!$C$21, $C$9, 100%, $E$9)</f>
        <v>60.78</v>
      </c>
      <c r="G861" s="10">
        <f>CHOOSE(CONTROL!$C$42, 60.7952, 60.7952)*CHOOSE(CONTROL!$C$21, $C$9, 100%, $E$9)</f>
        <v>60.795200000000001</v>
      </c>
      <c r="H861" s="10">
        <f>CHOOSE(CONTROL!$C$42, 61.0336, 61.0336) * CHOOSE(CONTROL!$C$21, $C$9, 100%, $E$9)</f>
        <v>61.0336</v>
      </c>
      <c r="I861" s="10">
        <f>CHOOSE(CONTROL!$C$42, 60.8032, 60.8032)* CHOOSE(CONTROL!$C$21, $C$9, 100%, $E$9)</f>
        <v>60.803199999999997</v>
      </c>
      <c r="J861" s="10">
        <f>CHOOSE(CONTROL!$C$42, 60.773, 60.773)* CHOOSE(CONTROL!$C$21, $C$9, 100%, $E$9)</f>
        <v>60.773000000000003</v>
      </c>
      <c r="K861" s="53">
        <f>CHOOSE(CONTROL!$C$42, 60.7993, 60.7993) * CHOOSE(CONTROL!$C$21, $C$9, 100%, $E$9)</f>
        <v>60.799300000000002</v>
      </c>
      <c r="L861" s="10">
        <f>CHOOSE(CONTROL!$C$42, 61.6206, 61.6206) * CHOOSE(CONTROL!$C$21, $C$9, 100%, $E$9)</f>
        <v>61.620600000000003</v>
      </c>
      <c r="M861" s="10">
        <f>CHOOSE(CONTROL!$C$42, 60.1735, 60.1735) * CHOOSE(CONTROL!$C$21, $C$9, 100%, $E$9)</f>
        <v>60.173499999999997</v>
      </c>
      <c r="N861" s="10">
        <f>CHOOSE(CONTROL!$C$42, 60.1886, 60.1886) * CHOOSE(CONTROL!$C$21, $C$9, 100%, $E$9)</f>
        <v>60.188600000000001</v>
      </c>
      <c r="O861" s="10">
        <f>CHOOSE(CONTROL!$C$42, 60.4315, 60.4315) * CHOOSE(CONTROL!$C$21, $C$9, 100%, $E$9)</f>
        <v>60.4315</v>
      </c>
      <c r="P861" s="10">
        <f>CHOOSE(CONTROL!$C$42, 60.2034, 60.2034) * CHOOSE(CONTROL!$C$21, $C$9, 100%, $E$9)</f>
        <v>60.203400000000002</v>
      </c>
      <c r="Q861" s="10">
        <f>CHOOSE(CONTROL!$C$42, 61.0268, 61.0268) * CHOOSE(CONTROL!$C$21, $C$9, 100%, $E$9)</f>
        <v>61.026800000000001</v>
      </c>
      <c r="R861" s="10">
        <f>CHOOSE(CONTROL!$C$42, 61.7663, 61.7663) * CHOOSE(CONTROL!$C$21, $C$9, 100%, $E$9)</f>
        <v>61.766300000000001</v>
      </c>
      <c r="S861" s="10">
        <f>CHOOSE(CONTROL!$C$42, 59.0417, 59.0417) * CHOOSE(CONTROL!$C$21, $C$9, 100%, $E$9)</f>
        <v>59.041699999999999</v>
      </c>
      <c r="T8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57">
        <f>(1000*CHOOSE(CONTROL!$C$42, 695, 695)*CHOOSE(CONTROL!$C$42, 0.5599, 0.5599)*CHOOSE(CONTROL!$C$42, 30, 30))/1000000</f>
        <v>11.673914999999997</v>
      </c>
      <c r="V861" s="57">
        <f>(1000*CHOOSE(CONTROL!$C$42, 500, 500)*CHOOSE(CONTROL!$C$42, 0.275, 0.275)*CHOOSE(CONTROL!$C$42, 30, 30))/1000000</f>
        <v>4.125</v>
      </c>
      <c r="W861" s="57">
        <f>(1000*CHOOSE(CONTROL!$C$42, 0.1146, 0.1146)*CHOOSE(CONTROL!$C$42, 121.5, 121.5)*CHOOSE(CONTROL!$C$42, 30, 30))/1000000</f>
        <v>0.417717</v>
      </c>
      <c r="X861" s="57">
        <f>(30*0.1790888*245000/1000000)+(30*0.2374*100000/1000000)</f>
        <v>2.0285026799999999</v>
      </c>
      <c r="Y861" s="57"/>
      <c r="Z861" s="10"/>
      <c r="AA861" s="56"/>
      <c r="AB861" s="50">
        <f>(B861*194.205+C861*267.466+D861*133.845+E861*53.484+F861*40+G861*185+H861*0+I861*100+J861*300)/(194.205+267.466+133.845+53.484+0+40+185+100+300)</f>
        <v>60.828129216012563</v>
      </c>
      <c r="AC861" s="45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60.295606474820154</v>
      </c>
    </row>
    <row r="862" spans="1:29" ht="15.75" x14ac:dyDescent="0.25">
      <c r="A862" s="13">
        <v>67145</v>
      </c>
      <c r="B862" s="10">
        <f>CHOOSE(CONTROL!$C$42, 59.5669, 59.5669) * CHOOSE(CONTROL!$C$21, $C$9, 100%, $E$9)</f>
        <v>59.566899999999997</v>
      </c>
      <c r="C862" s="10">
        <f>CHOOSE(CONTROL!$C$42, 59.5722, 59.5722) * CHOOSE(CONTROL!$C$21, $C$9, 100%, $E$9)</f>
        <v>59.572200000000002</v>
      </c>
      <c r="D862" s="10">
        <f>CHOOSE(CONTROL!$C$42, 59.7799, 59.7799) * CHOOSE(CONTROL!$C$21, $C$9, 100%, $E$9)</f>
        <v>59.779899999999998</v>
      </c>
      <c r="E862" s="10">
        <f>CHOOSE(CONTROL!$C$42, 59.8087, 59.8087) * CHOOSE(CONTROL!$C$21, $C$9, 100%, $E$9)</f>
        <v>59.808700000000002</v>
      </c>
      <c r="F862" s="10">
        <f>CHOOSE(CONTROL!$C$42, 59.5457, 59.5457)*CHOOSE(CONTROL!$C$21, $C$9, 100%, $E$9)</f>
        <v>59.545699999999997</v>
      </c>
      <c r="G862" s="10">
        <f>CHOOSE(CONTROL!$C$42, 59.5606, 59.5606)*CHOOSE(CONTROL!$C$21, $C$9, 100%, $E$9)</f>
        <v>59.560600000000001</v>
      </c>
      <c r="H862" s="10">
        <f>CHOOSE(CONTROL!$C$42, 59.7991, 59.7991) * CHOOSE(CONTROL!$C$21, $C$9, 100%, $E$9)</f>
        <v>59.799100000000003</v>
      </c>
      <c r="I862" s="10">
        <f>CHOOSE(CONTROL!$C$42, 59.5687, 59.5687)* CHOOSE(CONTROL!$C$21, $C$9, 100%, $E$9)</f>
        <v>59.5687</v>
      </c>
      <c r="J862" s="10">
        <f>CHOOSE(CONTROL!$C$42, 59.5387, 59.5387)* CHOOSE(CONTROL!$C$21, $C$9, 100%, $E$9)</f>
        <v>59.538699999999999</v>
      </c>
      <c r="K862" s="53">
        <f>CHOOSE(CONTROL!$C$42, 59.5649, 59.5649) * CHOOSE(CONTROL!$C$21, $C$9, 100%, $E$9)</f>
        <v>59.564900000000002</v>
      </c>
      <c r="L862" s="10">
        <f>CHOOSE(CONTROL!$C$42, 60.3861, 60.3861) * CHOOSE(CONTROL!$C$21, $C$9, 100%, $E$9)</f>
        <v>60.386099999999999</v>
      </c>
      <c r="M862" s="10">
        <f>CHOOSE(CONTROL!$C$42, 58.9516, 58.9516) * CHOOSE(CONTROL!$C$21, $C$9, 100%, $E$9)</f>
        <v>58.951599999999999</v>
      </c>
      <c r="N862" s="10">
        <f>CHOOSE(CONTROL!$C$42, 58.9664, 58.9664) * CHOOSE(CONTROL!$C$21, $C$9, 100%, $E$9)</f>
        <v>58.9664</v>
      </c>
      <c r="O862" s="10">
        <f>CHOOSE(CONTROL!$C$42, 59.2095, 59.2095) * CHOOSE(CONTROL!$C$21, $C$9, 100%, $E$9)</f>
        <v>59.209499999999998</v>
      </c>
      <c r="P862" s="10">
        <f>CHOOSE(CONTROL!$C$42, 58.9815, 58.9815) * CHOOSE(CONTROL!$C$21, $C$9, 100%, $E$9)</f>
        <v>58.981499999999997</v>
      </c>
      <c r="Q862" s="10">
        <f>CHOOSE(CONTROL!$C$42, 59.8048, 59.8048) * CHOOSE(CONTROL!$C$21, $C$9, 100%, $E$9)</f>
        <v>59.8048</v>
      </c>
      <c r="R862" s="10">
        <f>CHOOSE(CONTROL!$C$42, 60.5413, 60.5413) * CHOOSE(CONTROL!$C$21, $C$9, 100%, $E$9)</f>
        <v>60.5413</v>
      </c>
      <c r="S862" s="10">
        <f>CHOOSE(CONTROL!$C$42, 57.8429, 57.8429) * CHOOSE(CONTROL!$C$21, $C$9, 100%, $E$9)</f>
        <v>57.8429</v>
      </c>
      <c r="T8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57">
        <f>(1000*CHOOSE(CONTROL!$C$42, 695, 695)*CHOOSE(CONTROL!$C$42, 0.5599, 0.5599)*CHOOSE(CONTROL!$C$42, 31, 31))/1000000</f>
        <v>12.063045499999998</v>
      </c>
      <c r="V862" s="57">
        <f>(1000*CHOOSE(CONTROL!$C$42, 500, 500)*CHOOSE(CONTROL!$C$42, 0.275, 0.275)*CHOOSE(CONTROL!$C$42, 31, 31))/1000000</f>
        <v>4.2625000000000002</v>
      </c>
      <c r="W862" s="57">
        <f>(1000*CHOOSE(CONTROL!$C$42, 0.1146, 0.1146)*CHOOSE(CONTROL!$C$42, 121.5, 121.5)*CHOOSE(CONTROL!$C$42, 31, 31))/1000000</f>
        <v>0.43164089999999994</v>
      </c>
      <c r="X862" s="57">
        <f>(31*0.1790888*245000/1000000)+(31*0.2374*100000/1000000)</f>
        <v>2.0961194359999999</v>
      </c>
      <c r="Y862" s="57"/>
      <c r="Z862" s="10"/>
      <c r="AA862" s="56"/>
      <c r="AB862" s="50">
        <f>(B862*131.881+C862*277.167+D862*79.08+E862*125.872+F862*40+G862*185+H862*0+I862*100+J862*300)/(131.881+277.167+79.08+125.872+0+40+185+100+300)</f>
        <v>59.597937429136415</v>
      </c>
      <c r="AC862" s="45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59.073643884892093</v>
      </c>
    </row>
    <row r="863" spans="1:29" ht="15.75" x14ac:dyDescent="0.25">
      <c r="A863" s="13">
        <v>67175</v>
      </c>
      <c r="B863" s="10">
        <f>CHOOSE(CONTROL!$C$42, 61.1357, 61.1357) * CHOOSE(CONTROL!$C$21, $C$9, 100%, $E$9)</f>
        <v>61.1357</v>
      </c>
      <c r="C863" s="10">
        <f>CHOOSE(CONTROL!$C$42, 61.1407, 61.1407) * CHOOSE(CONTROL!$C$21, $C$9, 100%, $E$9)</f>
        <v>61.140700000000002</v>
      </c>
      <c r="D863" s="10">
        <f>CHOOSE(CONTROL!$C$42, 61.2012, 61.2012) * CHOOSE(CONTROL!$C$21, $C$9, 100%, $E$9)</f>
        <v>61.2012</v>
      </c>
      <c r="E863" s="10">
        <f>CHOOSE(CONTROL!$C$42, 61.235, 61.235) * CHOOSE(CONTROL!$C$21, $C$9, 100%, $E$9)</f>
        <v>61.234999999999999</v>
      </c>
      <c r="F863" s="10">
        <f>CHOOSE(CONTROL!$C$42, 61.1314, 61.1314)*CHOOSE(CONTROL!$C$21, $C$9, 100%, $E$9)</f>
        <v>61.131399999999999</v>
      </c>
      <c r="G863" s="10">
        <f>CHOOSE(CONTROL!$C$42, 61.1466, 61.1466)*CHOOSE(CONTROL!$C$21, $C$9, 100%, $E$9)</f>
        <v>61.146599999999999</v>
      </c>
      <c r="H863" s="10">
        <f>CHOOSE(CONTROL!$C$42, 61.2242, 61.2242) * CHOOSE(CONTROL!$C$21, $C$9, 100%, $E$9)</f>
        <v>61.224200000000003</v>
      </c>
      <c r="I863" s="10">
        <f>CHOOSE(CONTROL!$C$42, 61.1482, 61.1482)* CHOOSE(CONTROL!$C$21, $C$9, 100%, $E$9)</f>
        <v>61.148200000000003</v>
      </c>
      <c r="J863" s="10">
        <f>CHOOSE(CONTROL!$C$42, 61.1244, 61.1244)* CHOOSE(CONTROL!$C$21, $C$9, 100%, $E$9)</f>
        <v>61.124400000000001</v>
      </c>
      <c r="K863" s="53">
        <f>CHOOSE(CONTROL!$C$42, 61.1443, 61.1443) * CHOOSE(CONTROL!$C$21, $C$9, 100%, $E$9)</f>
        <v>61.144300000000001</v>
      </c>
      <c r="L863" s="10">
        <f>CHOOSE(CONTROL!$C$42, 61.8112, 61.8112) * CHOOSE(CONTROL!$C$21, $C$9, 100%, $E$9)</f>
        <v>61.811199999999999</v>
      </c>
      <c r="M863" s="10">
        <f>CHOOSE(CONTROL!$C$42, 60.5213, 60.5213) * CHOOSE(CONTROL!$C$21, $C$9, 100%, $E$9)</f>
        <v>60.521299999999997</v>
      </c>
      <c r="N863" s="10">
        <f>CHOOSE(CONTROL!$C$42, 60.5364, 60.5364) * CHOOSE(CONTROL!$C$21, $C$9, 100%, $E$9)</f>
        <v>60.5364</v>
      </c>
      <c r="O863" s="10">
        <f>CHOOSE(CONTROL!$C$42, 60.6201, 60.6201) * CHOOSE(CONTROL!$C$21, $C$9, 100%, $E$9)</f>
        <v>60.620100000000001</v>
      </c>
      <c r="P863" s="10">
        <f>CHOOSE(CONTROL!$C$42, 60.545, 60.545) * CHOOSE(CONTROL!$C$21, $C$9, 100%, $E$9)</f>
        <v>60.545000000000002</v>
      </c>
      <c r="Q863" s="10">
        <f>CHOOSE(CONTROL!$C$42, 61.2154, 61.2154) * CHOOSE(CONTROL!$C$21, $C$9, 100%, $E$9)</f>
        <v>61.215400000000002</v>
      </c>
      <c r="R863" s="10">
        <f>CHOOSE(CONTROL!$C$42, 61.9555, 61.9555) * CHOOSE(CONTROL!$C$21, $C$9, 100%, $E$9)</f>
        <v>61.955500000000001</v>
      </c>
      <c r="S863" s="10">
        <f>CHOOSE(CONTROL!$C$42, 59.3668, 59.3668) * CHOOSE(CONTROL!$C$21, $C$9, 100%, $E$9)</f>
        <v>59.366799999999998</v>
      </c>
      <c r="T8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57">
        <f>(1000*CHOOSE(CONTROL!$C$42, 695, 695)*CHOOSE(CONTROL!$C$42, 0.5599, 0.5599)*CHOOSE(CONTROL!$C$42, 30, 30))/1000000</f>
        <v>11.673914999999997</v>
      </c>
      <c r="V863" s="57">
        <f>(1000*CHOOSE(CONTROL!$C$42, 500, 500)*CHOOSE(CONTROL!$C$42, 0.275, 0.275)*CHOOSE(CONTROL!$C$42, 30, 30))/1000000</f>
        <v>4.125</v>
      </c>
      <c r="W863" s="57">
        <f>(1000*CHOOSE(CONTROL!$C$42, 0.1146, 0.1146)*CHOOSE(CONTROL!$C$42, 121.5, 121.5)*CHOOSE(CONTROL!$C$42, 30, 30))/1000000</f>
        <v>0.417717</v>
      </c>
      <c r="X863" s="57">
        <f>(30*0.1790888*100000/1000000)+(30*0.2374*100000/1000000)</f>
        <v>1.2494664</v>
      </c>
      <c r="Y863" s="57"/>
      <c r="Z863" s="10"/>
      <c r="AA863" s="56"/>
      <c r="AB863" s="50">
        <f>(B863*122.58+C863*297.941+D863*89.177+E863*40.302+F863*40+G863*160+H863*0+I863*100+J863*300)/(122.58+297.941+89.177+40.302+0+40+160+100+300)</f>
        <v>61.145060684434782</v>
      </c>
      <c r="AC863" s="45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60.570358992805758</v>
      </c>
    </row>
    <row r="864" spans="1:29" ht="15.75" x14ac:dyDescent="0.25">
      <c r="A864" s="13">
        <v>67206</v>
      </c>
      <c r="B864" s="10">
        <f>CHOOSE(CONTROL!$C$42, 65.3037, 65.3037) * CHOOSE(CONTROL!$C$21, $C$9, 100%, $E$9)</f>
        <v>65.303700000000006</v>
      </c>
      <c r="C864" s="10">
        <f>CHOOSE(CONTROL!$C$42, 65.3087, 65.3087) * CHOOSE(CONTROL!$C$21, $C$9, 100%, $E$9)</f>
        <v>65.308700000000002</v>
      </c>
      <c r="D864" s="10">
        <f>CHOOSE(CONTROL!$C$42, 65.3692, 65.3692) * CHOOSE(CONTROL!$C$21, $C$9, 100%, $E$9)</f>
        <v>65.369200000000006</v>
      </c>
      <c r="E864" s="10">
        <f>CHOOSE(CONTROL!$C$42, 65.403, 65.403) * CHOOSE(CONTROL!$C$21, $C$9, 100%, $E$9)</f>
        <v>65.403000000000006</v>
      </c>
      <c r="F864" s="10">
        <f>CHOOSE(CONTROL!$C$42, 65.3012, 65.3012)*CHOOSE(CONTROL!$C$21, $C$9, 100%, $E$9)</f>
        <v>65.301199999999994</v>
      </c>
      <c r="G864" s="10">
        <f>CHOOSE(CONTROL!$C$42, 65.3169, 65.3169)*CHOOSE(CONTROL!$C$21, $C$9, 100%, $E$9)</f>
        <v>65.316900000000004</v>
      </c>
      <c r="H864" s="10">
        <f>CHOOSE(CONTROL!$C$42, 65.3922, 65.3922) * CHOOSE(CONTROL!$C$21, $C$9, 100%, $E$9)</f>
        <v>65.392200000000003</v>
      </c>
      <c r="I864" s="10">
        <f>CHOOSE(CONTROL!$C$42, 65.3162, 65.3162)* CHOOSE(CONTROL!$C$21, $C$9, 100%, $E$9)</f>
        <v>65.316199999999995</v>
      </c>
      <c r="J864" s="10">
        <f>CHOOSE(CONTROL!$C$42, 65.2942, 65.2942)* CHOOSE(CONTROL!$C$21, $C$9, 100%, $E$9)</f>
        <v>65.294200000000004</v>
      </c>
      <c r="K864" s="53">
        <f>CHOOSE(CONTROL!$C$42, 65.3123, 65.3123) * CHOOSE(CONTROL!$C$21, $C$9, 100%, $E$9)</f>
        <v>65.312299999999993</v>
      </c>
      <c r="L864" s="10">
        <f>CHOOSE(CONTROL!$C$42, 65.9792, 65.9792) * CHOOSE(CONTROL!$C$21, $C$9, 100%, $E$9)</f>
        <v>65.979200000000006</v>
      </c>
      <c r="M864" s="10">
        <f>CHOOSE(CONTROL!$C$42, 64.6491, 64.6491) * CHOOSE(CONTROL!$C$21, $C$9, 100%, $E$9)</f>
        <v>64.649100000000004</v>
      </c>
      <c r="N864" s="10">
        <f>CHOOSE(CONTROL!$C$42, 64.6646, 64.6646) * CHOOSE(CONTROL!$C$21, $C$9, 100%, $E$9)</f>
        <v>64.664599999999993</v>
      </c>
      <c r="O864" s="10">
        <f>CHOOSE(CONTROL!$C$42, 64.7461, 64.7461) * CHOOSE(CONTROL!$C$21, $C$9, 100%, $E$9)</f>
        <v>64.746099999999998</v>
      </c>
      <c r="P864" s="10">
        <f>CHOOSE(CONTROL!$C$42, 64.6709, 64.6709) * CHOOSE(CONTROL!$C$21, $C$9, 100%, $E$9)</f>
        <v>64.670900000000003</v>
      </c>
      <c r="Q864" s="10">
        <f>CHOOSE(CONTROL!$C$42, 65.3414, 65.3414) * CHOOSE(CONTROL!$C$21, $C$9, 100%, $E$9)</f>
        <v>65.341399999999993</v>
      </c>
      <c r="R864" s="10">
        <f>CHOOSE(CONTROL!$C$42, 66.0917, 66.0917) * CHOOSE(CONTROL!$C$21, $C$9, 100%, $E$9)</f>
        <v>66.091700000000003</v>
      </c>
      <c r="S864" s="10">
        <f>CHOOSE(CONTROL!$C$42, 63.4143, 63.4143) * CHOOSE(CONTROL!$C$21, $C$9, 100%, $E$9)</f>
        <v>63.414299999999997</v>
      </c>
      <c r="T8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57">
        <f>(1000*CHOOSE(CONTROL!$C$42, 695, 695)*CHOOSE(CONTROL!$C$42, 0.5599, 0.5599)*CHOOSE(CONTROL!$C$42, 31, 31))/1000000</f>
        <v>12.063045499999998</v>
      </c>
      <c r="V864" s="57">
        <f>(1000*CHOOSE(CONTROL!$C$42, 500, 500)*CHOOSE(CONTROL!$C$42, 0.275, 0.275)*CHOOSE(CONTROL!$C$42, 31, 31))/1000000</f>
        <v>4.2625000000000002</v>
      </c>
      <c r="W864" s="57">
        <f>(1000*CHOOSE(CONTROL!$C$42, 0.1146, 0.1146)*CHOOSE(CONTROL!$C$42, 121.5, 121.5)*CHOOSE(CONTROL!$C$42, 31, 31))/1000000</f>
        <v>0.43164089999999994</v>
      </c>
      <c r="X864" s="57">
        <f>(31*0.1790888*100000/1000000)+(31*0.2374*100000/1000000)</f>
        <v>1.2911152800000001</v>
      </c>
      <c r="Y864" s="57"/>
      <c r="Z864" s="10"/>
      <c r="AA864" s="56"/>
      <c r="AB864" s="50">
        <f>(B864*122.58+C864*297.941+D864*89.177+E864*40.302+F864*40+G864*160+H864*0+I864*100+J864*300)/(122.58+297.941+89.177+40.302+0+40+160+100+300)</f>
        <v>65.313912858347834</v>
      </c>
      <c r="AC864" s="45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64.697092805755403</v>
      </c>
    </row>
    <row r="865" spans="1:29" ht="15.75" x14ac:dyDescent="0.25">
      <c r="A865" s="13">
        <v>67237</v>
      </c>
      <c r="B865" s="10">
        <f>CHOOSE(CONTROL!$C$42, 70.6543, 70.6543) * CHOOSE(CONTROL!$C$21, $C$9, 100%, $E$9)</f>
        <v>70.654300000000006</v>
      </c>
      <c r="C865" s="10">
        <f>CHOOSE(CONTROL!$C$42, 70.6592, 70.6592) * CHOOSE(CONTROL!$C$21, $C$9, 100%, $E$9)</f>
        <v>70.659199999999998</v>
      </c>
      <c r="D865" s="10">
        <f>CHOOSE(CONTROL!$C$42, 70.7163, 70.7163) * CHOOSE(CONTROL!$C$21, $C$9, 100%, $E$9)</f>
        <v>70.716300000000004</v>
      </c>
      <c r="E865" s="10">
        <f>CHOOSE(CONTROL!$C$42, 70.7501, 70.7501) * CHOOSE(CONTROL!$C$21, $C$9, 100%, $E$9)</f>
        <v>70.750100000000003</v>
      </c>
      <c r="F865" s="10">
        <f>CHOOSE(CONTROL!$C$42, 70.6521, 70.6521)*CHOOSE(CONTROL!$C$21, $C$9, 100%, $E$9)</f>
        <v>70.652100000000004</v>
      </c>
      <c r="G865" s="10">
        <f>CHOOSE(CONTROL!$C$42, 70.6667, 70.6667)*CHOOSE(CONTROL!$C$21, $C$9, 100%, $E$9)</f>
        <v>70.666700000000006</v>
      </c>
      <c r="H865" s="10">
        <f>CHOOSE(CONTROL!$C$42, 70.7393, 70.7393) * CHOOSE(CONTROL!$C$21, $C$9, 100%, $E$9)</f>
        <v>70.7393</v>
      </c>
      <c r="I865" s="10">
        <f>CHOOSE(CONTROL!$C$42, 70.6651, 70.6651)* CHOOSE(CONTROL!$C$21, $C$9, 100%, $E$9)</f>
        <v>70.665099999999995</v>
      </c>
      <c r="J865" s="10">
        <f>CHOOSE(CONTROL!$C$42, 70.6451, 70.6451)* CHOOSE(CONTROL!$C$21, $C$9, 100%, $E$9)</f>
        <v>70.645099999999999</v>
      </c>
      <c r="K865" s="53">
        <f>CHOOSE(CONTROL!$C$42, 70.6612, 70.6612) * CHOOSE(CONTROL!$C$21, $C$9, 100%, $E$9)</f>
        <v>70.661199999999994</v>
      </c>
      <c r="L865" s="10">
        <f>CHOOSE(CONTROL!$C$42, 71.3263, 71.3263) * CHOOSE(CONTROL!$C$21, $C$9, 100%, $E$9)</f>
        <v>71.326300000000003</v>
      </c>
      <c r="M865" s="10">
        <f>CHOOSE(CONTROL!$C$42, 69.946, 69.946) * CHOOSE(CONTROL!$C$21, $C$9, 100%, $E$9)</f>
        <v>69.945999999999998</v>
      </c>
      <c r="N865" s="10">
        <f>CHOOSE(CONTROL!$C$42, 69.9605, 69.9605) * CHOOSE(CONTROL!$C$21, $C$9, 100%, $E$9)</f>
        <v>69.960499999999996</v>
      </c>
      <c r="O865" s="10">
        <f>CHOOSE(CONTROL!$C$42, 70.0392, 70.0392) * CHOOSE(CONTROL!$C$21, $C$9, 100%, $E$9)</f>
        <v>70.039199999999994</v>
      </c>
      <c r="P865" s="10">
        <f>CHOOSE(CONTROL!$C$42, 69.9658, 69.9658) * CHOOSE(CONTROL!$C$21, $C$9, 100%, $E$9)</f>
        <v>69.965800000000002</v>
      </c>
      <c r="Q865" s="10">
        <f>CHOOSE(CONTROL!$C$42, 70.6345, 70.6345) * CHOOSE(CONTROL!$C$21, $C$9, 100%, $E$9)</f>
        <v>70.634500000000003</v>
      </c>
      <c r="R865" s="10">
        <f>CHOOSE(CONTROL!$C$42, 71.3981, 71.3981) * CHOOSE(CONTROL!$C$21, $C$9, 100%, $E$9)</f>
        <v>71.398099999999999</v>
      </c>
      <c r="S865" s="10">
        <f>CHOOSE(CONTROL!$C$42, 68.6102, 68.6102) * CHOOSE(CONTROL!$C$21, $C$9, 100%, $E$9)</f>
        <v>68.610200000000006</v>
      </c>
      <c r="T8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57">
        <f>(1000*CHOOSE(CONTROL!$C$42, 695, 695)*CHOOSE(CONTROL!$C$42, 0.5599, 0.5599)*CHOOSE(CONTROL!$C$42, 31, 31))/1000000</f>
        <v>12.063045499999998</v>
      </c>
      <c r="V865" s="57">
        <f>(1000*CHOOSE(CONTROL!$C$42, 500, 500)*CHOOSE(CONTROL!$C$42, 0.275, 0.275)*CHOOSE(CONTROL!$C$42, 31, 31))/1000000</f>
        <v>4.2625000000000002</v>
      </c>
      <c r="W865" s="57">
        <f>(1000*CHOOSE(CONTROL!$C$42, 0.1146, 0.1146)*CHOOSE(CONTROL!$C$42, 121.5, 121.5)*CHOOSE(CONTROL!$C$42, 31, 31))/1000000</f>
        <v>0.43164089999999994</v>
      </c>
      <c r="X865" s="57">
        <f>(31*0.1790888*100000/1000000)+(31*0.2374*100000/1000000)</f>
        <v>1.2911152800000001</v>
      </c>
      <c r="Y865" s="57"/>
      <c r="Z865" s="10"/>
      <c r="AA865" s="56"/>
      <c r="AB865" s="50">
        <f>(B865*122.58+C865*297.941+D865*89.177+E865*40.302+F865*40+G865*160+H865*0+I865*100+J865*300)/(122.58+297.941+89.177+40.302+0+40+160+100+300)</f>
        <v>70.663922449130439</v>
      </c>
      <c r="AC865" s="45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69.991925179856111</v>
      </c>
    </row>
    <row r="866" spans="1:29" ht="15.75" x14ac:dyDescent="0.25">
      <c r="A866" s="13">
        <v>67266</v>
      </c>
      <c r="B866" s="10">
        <f>CHOOSE(CONTROL!$C$42, 71.912, 71.912) * CHOOSE(CONTROL!$C$21, $C$9, 100%, $E$9)</f>
        <v>71.912000000000006</v>
      </c>
      <c r="C866" s="10">
        <f>CHOOSE(CONTROL!$C$42, 71.9169, 71.9169) * CHOOSE(CONTROL!$C$21, $C$9, 100%, $E$9)</f>
        <v>71.916899999999998</v>
      </c>
      <c r="D866" s="10">
        <f>CHOOSE(CONTROL!$C$42, 71.974, 71.974) * CHOOSE(CONTROL!$C$21, $C$9, 100%, $E$9)</f>
        <v>71.974000000000004</v>
      </c>
      <c r="E866" s="10">
        <f>CHOOSE(CONTROL!$C$42, 72.0078, 72.0078) * CHOOSE(CONTROL!$C$21, $C$9, 100%, $E$9)</f>
        <v>72.007800000000003</v>
      </c>
      <c r="F866" s="10">
        <f>CHOOSE(CONTROL!$C$42, 71.9099, 71.9099)*CHOOSE(CONTROL!$C$21, $C$9, 100%, $E$9)</f>
        <v>71.909899999999993</v>
      </c>
      <c r="G866" s="10">
        <f>CHOOSE(CONTROL!$C$42, 71.9246, 71.9246)*CHOOSE(CONTROL!$C$21, $C$9, 100%, $E$9)</f>
        <v>71.924599999999998</v>
      </c>
      <c r="H866" s="10">
        <f>CHOOSE(CONTROL!$C$42, 71.997, 71.997) * CHOOSE(CONTROL!$C$21, $C$9, 100%, $E$9)</f>
        <v>71.997</v>
      </c>
      <c r="I866" s="10">
        <f>CHOOSE(CONTROL!$C$42, 71.9228, 71.9228)* CHOOSE(CONTROL!$C$21, $C$9, 100%, $E$9)</f>
        <v>71.922799999999995</v>
      </c>
      <c r="J866" s="10">
        <f>CHOOSE(CONTROL!$C$42, 71.9029, 71.9029)* CHOOSE(CONTROL!$C$21, $C$9, 100%, $E$9)</f>
        <v>71.902900000000002</v>
      </c>
      <c r="K866" s="53">
        <f>CHOOSE(CONTROL!$C$42, 71.9189, 71.9189) * CHOOSE(CONTROL!$C$21, $C$9, 100%, $E$9)</f>
        <v>71.918899999999994</v>
      </c>
      <c r="L866" s="10">
        <f>CHOOSE(CONTROL!$C$42, 72.584, 72.584) * CHOOSE(CONTROL!$C$21, $C$9, 100%, $E$9)</f>
        <v>72.584000000000003</v>
      </c>
      <c r="M866" s="10">
        <f>CHOOSE(CONTROL!$C$42, 71.1911, 71.1911) * CHOOSE(CONTROL!$C$21, $C$9, 100%, $E$9)</f>
        <v>71.191100000000006</v>
      </c>
      <c r="N866" s="10">
        <f>CHOOSE(CONTROL!$C$42, 71.2056, 71.2056) * CHOOSE(CONTROL!$C$21, $C$9, 100%, $E$9)</f>
        <v>71.205600000000004</v>
      </c>
      <c r="O866" s="10">
        <f>CHOOSE(CONTROL!$C$42, 71.2842, 71.2842) * CHOOSE(CONTROL!$C$21, $C$9, 100%, $E$9)</f>
        <v>71.284199999999998</v>
      </c>
      <c r="P866" s="10">
        <f>CHOOSE(CONTROL!$C$42, 71.2108, 71.2108) * CHOOSE(CONTROL!$C$21, $C$9, 100%, $E$9)</f>
        <v>71.210800000000006</v>
      </c>
      <c r="Q866" s="10">
        <f>CHOOSE(CONTROL!$C$42, 71.8795, 71.8795) * CHOOSE(CONTROL!$C$21, $C$9, 100%, $E$9)</f>
        <v>71.879499999999993</v>
      </c>
      <c r="R866" s="10">
        <f>CHOOSE(CONTROL!$C$42, 72.6462, 72.6462) * CHOOSE(CONTROL!$C$21, $C$9, 100%, $E$9)</f>
        <v>72.646199999999993</v>
      </c>
      <c r="S866" s="10">
        <f>CHOOSE(CONTROL!$C$42, 69.8316, 69.8316) * CHOOSE(CONTROL!$C$21, $C$9, 100%, $E$9)</f>
        <v>69.831599999999995</v>
      </c>
      <c r="T86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6" s="57">
        <f>(1000*CHOOSE(CONTROL!$C$42, 695, 695)*CHOOSE(CONTROL!$C$42, 0.5599, 0.5599)*CHOOSE(CONTROL!$C$42, 29, 29))/1000000</f>
        <v>11.284784499999999</v>
      </c>
      <c r="V866" s="57">
        <f>(1000*CHOOSE(CONTROL!$C$42, 500, 500)*CHOOSE(CONTROL!$C$42, 0.275, 0.275)*CHOOSE(CONTROL!$C$42, 29, 29))/1000000</f>
        <v>3.9874999999999998</v>
      </c>
      <c r="W866" s="57">
        <f>(1000*CHOOSE(CONTROL!$C$42, 0.1146, 0.1146)*CHOOSE(CONTROL!$C$42, 121.5, 121.5)*CHOOSE(CONTROL!$C$42, 29, 29))/1000000</f>
        <v>0.40379309999999996</v>
      </c>
      <c r="X866" s="57">
        <f>(29*0.1790888*100000/1000000)+(29*0.2374*100000/1000000)</f>
        <v>1.2078175199999999</v>
      </c>
      <c r="Y866" s="57"/>
      <c r="Z866" s="10"/>
      <c r="AA866" s="56"/>
      <c r="AB866" s="50">
        <f>(B866*122.58+C866*297.941+D866*89.177+E866*40.302+F866*40+G866*160+H866*0+I866*100+J866*300)/(122.58+297.941+89.177+40.302+0+40+160+100+300)</f>
        <v>71.921679840434777</v>
      </c>
      <c r="AC866" s="45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71.236965467625907</v>
      </c>
    </row>
    <row r="867" spans="1:29" ht="15.75" x14ac:dyDescent="0.25">
      <c r="A867" s="13">
        <v>67297</v>
      </c>
      <c r="B867" s="10">
        <f>CHOOSE(CONTROL!$C$42, 69.8704, 69.8704) * CHOOSE(CONTROL!$C$21, $C$9, 100%, $E$9)</f>
        <v>69.870400000000004</v>
      </c>
      <c r="C867" s="10">
        <f>CHOOSE(CONTROL!$C$42, 69.8754, 69.8754) * CHOOSE(CONTROL!$C$21, $C$9, 100%, $E$9)</f>
        <v>69.875399999999999</v>
      </c>
      <c r="D867" s="10">
        <f>CHOOSE(CONTROL!$C$42, 69.9324, 69.9324) * CHOOSE(CONTROL!$C$21, $C$9, 100%, $E$9)</f>
        <v>69.932400000000001</v>
      </c>
      <c r="E867" s="10">
        <f>CHOOSE(CONTROL!$C$42, 69.9662, 69.9662) * CHOOSE(CONTROL!$C$21, $C$9, 100%, $E$9)</f>
        <v>69.966200000000001</v>
      </c>
      <c r="F867" s="10">
        <f>CHOOSE(CONTROL!$C$42, 69.8682, 69.8682)*CHOOSE(CONTROL!$C$21, $C$9, 100%, $E$9)</f>
        <v>69.868200000000002</v>
      </c>
      <c r="G867" s="10">
        <f>CHOOSE(CONTROL!$C$42, 69.8828, 69.8828)*CHOOSE(CONTROL!$C$21, $C$9, 100%, $E$9)</f>
        <v>69.882800000000003</v>
      </c>
      <c r="H867" s="10">
        <f>CHOOSE(CONTROL!$C$42, 69.9554, 69.9554) * CHOOSE(CONTROL!$C$21, $C$9, 100%, $E$9)</f>
        <v>69.955399999999997</v>
      </c>
      <c r="I867" s="10">
        <f>CHOOSE(CONTROL!$C$42, 69.8812, 69.8812)* CHOOSE(CONTROL!$C$21, $C$9, 100%, $E$9)</f>
        <v>69.881200000000007</v>
      </c>
      <c r="J867" s="10">
        <f>CHOOSE(CONTROL!$C$42, 69.8612, 69.8612)* CHOOSE(CONTROL!$C$21, $C$9, 100%, $E$9)</f>
        <v>69.861199999999997</v>
      </c>
      <c r="K867" s="53">
        <f>CHOOSE(CONTROL!$C$42, 69.8773, 69.8773) * CHOOSE(CONTROL!$C$21, $C$9, 100%, $E$9)</f>
        <v>69.877300000000005</v>
      </c>
      <c r="L867" s="10">
        <f>CHOOSE(CONTROL!$C$42, 70.5424, 70.5424) * CHOOSE(CONTROL!$C$21, $C$9, 100%, $E$9)</f>
        <v>70.542400000000001</v>
      </c>
      <c r="M867" s="10">
        <f>CHOOSE(CONTROL!$C$42, 69.17, 69.17) * CHOOSE(CONTROL!$C$21, $C$9, 100%, $E$9)</f>
        <v>69.17</v>
      </c>
      <c r="N867" s="10">
        <f>CHOOSE(CONTROL!$C$42, 69.1845, 69.1845) * CHOOSE(CONTROL!$C$21, $C$9, 100%, $E$9)</f>
        <v>69.1845</v>
      </c>
      <c r="O867" s="10">
        <f>CHOOSE(CONTROL!$C$42, 69.2633, 69.2633) * CHOOSE(CONTROL!$C$21, $C$9, 100%, $E$9)</f>
        <v>69.263300000000001</v>
      </c>
      <c r="P867" s="10">
        <f>CHOOSE(CONTROL!$C$42, 69.1899, 69.1899) * CHOOSE(CONTROL!$C$21, $C$9, 100%, $E$9)</f>
        <v>69.189899999999994</v>
      </c>
      <c r="Q867" s="10">
        <f>CHOOSE(CONTROL!$C$42, 69.8586, 69.8586) * CHOOSE(CONTROL!$C$21, $C$9, 100%, $E$9)</f>
        <v>69.858599999999996</v>
      </c>
      <c r="R867" s="10">
        <f>CHOOSE(CONTROL!$C$42, 70.6202, 70.6202) * CHOOSE(CONTROL!$C$21, $C$9, 100%, $E$9)</f>
        <v>70.620199999999997</v>
      </c>
      <c r="S867" s="10">
        <f>CHOOSE(CONTROL!$C$42, 67.849, 67.849) * CHOOSE(CONTROL!$C$21, $C$9, 100%, $E$9)</f>
        <v>67.849000000000004</v>
      </c>
      <c r="T8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57">
        <f>(1000*CHOOSE(CONTROL!$C$42, 695, 695)*CHOOSE(CONTROL!$C$42, 0.5599, 0.5599)*CHOOSE(CONTROL!$C$42, 31, 31))/1000000</f>
        <v>12.063045499999998</v>
      </c>
      <c r="V867" s="57">
        <f>(1000*CHOOSE(CONTROL!$C$42, 500, 500)*CHOOSE(CONTROL!$C$42, 0.275, 0.275)*CHOOSE(CONTROL!$C$42, 31, 31))/1000000</f>
        <v>4.2625000000000002</v>
      </c>
      <c r="W867" s="57">
        <f>(1000*CHOOSE(CONTROL!$C$42, 0.1146, 0.1146)*CHOOSE(CONTROL!$C$42, 121.5, 121.5)*CHOOSE(CONTROL!$C$42, 31, 31))/1000000</f>
        <v>0.43164089999999994</v>
      </c>
      <c r="X867" s="57">
        <f>(31*0.1790888*100000/1000000)+(31*0.2374*100000/1000000)</f>
        <v>1.2911152800000001</v>
      </c>
      <c r="Y867" s="57"/>
      <c r="Z867" s="10"/>
      <c r="AA867" s="56"/>
      <c r="AB867" s="50">
        <f>(B867*122.58+C867*297.941+D867*89.177+E867*40.302+F867*40+G867*160+H867*0+I867*100+J867*300)/(122.58+297.941+89.177+40.302+0+40+160+100+300)</f>
        <v>69.880048357043478</v>
      </c>
      <c r="AC867" s="45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69.215984892086325</v>
      </c>
    </row>
    <row r="868" spans="1:29" ht="15.75" x14ac:dyDescent="0.25">
      <c r="A868" s="13">
        <v>67327</v>
      </c>
      <c r="B868" s="10">
        <f>CHOOSE(CONTROL!$C$42, 69.6624, 69.6624) * CHOOSE(CONTROL!$C$21, $C$9, 100%, $E$9)</f>
        <v>69.662400000000005</v>
      </c>
      <c r="C868" s="10">
        <f>CHOOSE(CONTROL!$C$42, 69.6668, 69.6668) * CHOOSE(CONTROL!$C$21, $C$9, 100%, $E$9)</f>
        <v>69.666799999999995</v>
      </c>
      <c r="D868" s="10">
        <f>CHOOSE(CONTROL!$C$42, 69.8726, 69.8726) * CHOOSE(CONTROL!$C$21, $C$9, 100%, $E$9)</f>
        <v>69.872600000000006</v>
      </c>
      <c r="E868" s="10">
        <f>CHOOSE(CONTROL!$C$42, 69.9044, 69.9044) * CHOOSE(CONTROL!$C$21, $C$9, 100%, $E$9)</f>
        <v>69.904399999999995</v>
      </c>
      <c r="F868" s="10">
        <f>CHOOSE(CONTROL!$C$42, 69.6392, 69.6392)*CHOOSE(CONTROL!$C$21, $C$9, 100%, $E$9)</f>
        <v>69.639200000000002</v>
      </c>
      <c r="G868" s="10">
        <f>CHOOSE(CONTROL!$C$42, 69.6537, 69.6537)*CHOOSE(CONTROL!$C$21, $C$9, 100%, $E$9)</f>
        <v>69.653700000000001</v>
      </c>
      <c r="H868" s="10">
        <f>CHOOSE(CONTROL!$C$42, 69.8942, 69.8942) * CHOOSE(CONTROL!$C$21, $C$9, 100%, $E$9)</f>
        <v>69.894199999999998</v>
      </c>
      <c r="I868" s="10">
        <f>CHOOSE(CONTROL!$C$42, 69.6638, 69.6638)* CHOOSE(CONTROL!$C$21, $C$9, 100%, $E$9)</f>
        <v>69.663799999999995</v>
      </c>
      <c r="J868" s="10">
        <f>CHOOSE(CONTROL!$C$42, 69.6322, 69.6322)* CHOOSE(CONTROL!$C$21, $C$9, 100%, $E$9)</f>
        <v>69.632199999999997</v>
      </c>
      <c r="K868" s="53">
        <f>CHOOSE(CONTROL!$C$42, 69.6599, 69.6599) * CHOOSE(CONTROL!$C$21, $C$9, 100%, $E$9)</f>
        <v>69.659899999999993</v>
      </c>
      <c r="L868" s="10">
        <f>CHOOSE(CONTROL!$C$42, 70.4812, 70.4812) * CHOOSE(CONTROL!$C$21, $C$9, 100%, $E$9)</f>
        <v>70.481200000000001</v>
      </c>
      <c r="M868" s="10">
        <f>CHOOSE(CONTROL!$C$42, 68.9433, 68.9433) * CHOOSE(CONTROL!$C$21, $C$9, 100%, $E$9)</f>
        <v>68.943299999999994</v>
      </c>
      <c r="N868" s="10">
        <f>CHOOSE(CONTROL!$C$42, 68.9577, 68.9577) * CHOOSE(CONTROL!$C$21, $C$9, 100%, $E$9)</f>
        <v>68.957700000000003</v>
      </c>
      <c r="O868" s="10">
        <f>CHOOSE(CONTROL!$C$42, 69.2027, 69.2027) * CHOOSE(CONTROL!$C$21, $C$9, 100%, $E$9)</f>
        <v>69.202699999999993</v>
      </c>
      <c r="P868" s="10">
        <f>CHOOSE(CONTROL!$C$42, 68.9747, 68.9747) * CHOOSE(CONTROL!$C$21, $C$9, 100%, $E$9)</f>
        <v>68.974699999999999</v>
      </c>
      <c r="Q868" s="10">
        <f>CHOOSE(CONTROL!$C$42, 69.798, 69.798) * CHOOSE(CONTROL!$C$21, $C$9, 100%, $E$9)</f>
        <v>69.798000000000002</v>
      </c>
      <c r="R868" s="10">
        <f>CHOOSE(CONTROL!$C$42, 70.5595, 70.5595) * CHOOSE(CONTROL!$C$21, $C$9, 100%, $E$9)</f>
        <v>70.5595</v>
      </c>
      <c r="S868" s="10">
        <f>CHOOSE(CONTROL!$C$42, 67.6463, 67.6463) * CHOOSE(CONTROL!$C$21, $C$9, 100%, $E$9)</f>
        <v>67.646299999999997</v>
      </c>
      <c r="T8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57">
        <f>(1000*CHOOSE(CONTROL!$C$42, 695, 695)*CHOOSE(CONTROL!$C$42, 0.5599, 0.5599)*CHOOSE(CONTROL!$C$42, 30, 30))/1000000</f>
        <v>11.673914999999997</v>
      </c>
      <c r="V868" s="57">
        <f>(1000*CHOOSE(CONTROL!$C$42, 500, 500)*CHOOSE(CONTROL!$C$42, 0.275, 0.275)*CHOOSE(CONTROL!$C$42, 30, 30))/1000000</f>
        <v>4.125</v>
      </c>
      <c r="W868" s="57">
        <f>(1000*CHOOSE(CONTROL!$C$42, 0.1146, 0.1146)*CHOOSE(CONTROL!$C$42, 121.5, 121.5)*CHOOSE(CONTROL!$C$42, 30, 30))/1000000</f>
        <v>0.417717</v>
      </c>
      <c r="X868" s="57">
        <f>(30*0.1790888*245000/1000000)+(30*0.2374*100000/1000000)</f>
        <v>2.0285026799999999</v>
      </c>
      <c r="Y868" s="57"/>
      <c r="Z868" s="10"/>
      <c r="AA868" s="56"/>
      <c r="AB868" s="50">
        <f>(B868*141.293+C868*267.993+D868*115.016+E868*89.698+F868*40+G868*185+H868*0+I868*100+J868*300)/(141.293+267.993+115.016+89.698+0+40+185+100+300)</f>
        <v>69.691136842937851</v>
      </c>
      <c r="AC868" s="45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69.06621654676259</v>
      </c>
    </row>
    <row r="869" spans="1:29" ht="15.75" x14ac:dyDescent="0.25">
      <c r="A869" s="13">
        <v>67358</v>
      </c>
      <c r="B869" s="10">
        <f>CHOOSE(CONTROL!$C$42, 70.2786, 70.2786) * CHOOSE(CONTROL!$C$21, $C$9, 100%, $E$9)</f>
        <v>70.278599999999997</v>
      </c>
      <c r="C869" s="10">
        <f>CHOOSE(CONTROL!$C$42, 70.2865, 70.2865) * CHOOSE(CONTROL!$C$21, $C$9, 100%, $E$9)</f>
        <v>70.286500000000004</v>
      </c>
      <c r="D869" s="10">
        <f>CHOOSE(CONTROL!$C$42, 70.4893, 70.4893) * CHOOSE(CONTROL!$C$21, $C$9, 100%, $E$9)</f>
        <v>70.4893</v>
      </c>
      <c r="E869" s="10">
        <f>CHOOSE(CONTROL!$C$42, 70.5204, 70.5204) * CHOOSE(CONTROL!$C$21, $C$9, 100%, $E$9)</f>
        <v>70.520399999999995</v>
      </c>
      <c r="F869" s="10">
        <f>CHOOSE(CONTROL!$C$42, 70.2543, 70.2543)*CHOOSE(CONTROL!$C$21, $C$9, 100%, $E$9)</f>
        <v>70.254300000000001</v>
      </c>
      <c r="G869" s="10">
        <f>CHOOSE(CONTROL!$C$42, 70.2693, 70.2693)*CHOOSE(CONTROL!$C$21, $C$9, 100%, $E$9)</f>
        <v>70.269300000000001</v>
      </c>
      <c r="H869" s="10">
        <f>CHOOSE(CONTROL!$C$42, 70.509, 70.509) * CHOOSE(CONTROL!$C$21, $C$9, 100%, $E$9)</f>
        <v>70.509</v>
      </c>
      <c r="I869" s="10">
        <f>CHOOSE(CONTROL!$C$42, 70.2786, 70.2786)* CHOOSE(CONTROL!$C$21, $C$9, 100%, $E$9)</f>
        <v>70.278599999999997</v>
      </c>
      <c r="J869" s="10">
        <f>CHOOSE(CONTROL!$C$42, 70.2473, 70.2473)* CHOOSE(CONTROL!$C$21, $C$9, 100%, $E$9)</f>
        <v>70.247299999999996</v>
      </c>
      <c r="K869" s="53">
        <f>CHOOSE(CONTROL!$C$42, 70.2748, 70.2748) * CHOOSE(CONTROL!$C$21, $C$9, 100%, $E$9)</f>
        <v>70.274799999999999</v>
      </c>
      <c r="L869" s="10">
        <f>CHOOSE(CONTROL!$C$42, 71.096, 71.096) * CHOOSE(CONTROL!$C$21, $C$9, 100%, $E$9)</f>
        <v>71.096000000000004</v>
      </c>
      <c r="M869" s="10">
        <f>CHOOSE(CONTROL!$C$42, 69.5522, 69.5522) * CHOOSE(CONTROL!$C$21, $C$9, 100%, $E$9)</f>
        <v>69.552199999999999</v>
      </c>
      <c r="N869" s="10">
        <f>CHOOSE(CONTROL!$C$42, 69.5671, 69.5671) * CHOOSE(CONTROL!$C$21, $C$9, 100%, $E$9)</f>
        <v>69.567099999999996</v>
      </c>
      <c r="O869" s="10">
        <f>CHOOSE(CONTROL!$C$42, 69.8113, 69.8113) * CHOOSE(CONTROL!$C$21, $C$9, 100%, $E$9)</f>
        <v>69.811300000000003</v>
      </c>
      <c r="P869" s="10">
        <f>CHOOSE(CONTROL!$C$42, 69.5833, 69.5833) * CHOOSE(CONTROL!$C$21, $C$9, 100%, $E$9)</f>
        <v>69.583299999999994</v>
      </c>
      <c r="Q869" s="10">
        <f>CHOOSE(CONTROL!$C$42, 70.4066, 70.4066) * CHOOSE(CONTROL!$C$21, $C$9, 100%, $E$9)</f>
        <v>70.406599999999997</v>
      </c>
      <c r="R869" s="10">
        <f>CHOOSE(CONTROL!$C$42, 71.1696, 71.1696) * CHOOSE(CONTROL!$C$21, $C$9, 100%, $E$9)</f>
        <v>71.169600000000003</v>
      </c>
      <c r="S869" s="10">
        <f>CHOOSE(CONTROL!$C$42, 68.2433, 68.2433) * CHOOSE(CONTROL!$C$21, $C$9, 100%, $E$9)</f>
        <v>68.243300000000005</v>
      </c>
      <c r="T8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57">
        <f>(1000*CHOOSE(CONTROL!$C$42, 695, 695)*CHOOSE(CONTROL!$C$42, 0.5599, 0.5599)*CHOOSE(CONTROL!$C$42, 31, 31))/1000000</f>
        <v>12.063045499999998</v>
      </c>
      <c r="V869" s="57">
        <f>(1000*CHOOSE(CONTROL!$C$42, 500, 500)*CHOOSE(CONTROL!$C$42, 0.275, 0.275)*CHOOSE(CONTROL!$C$42, 31, 31))/1000000</f>
        <v>4.2625000000000002</v>
      </c>
      <c r="W869" s="57">
        <f>(1000*CHOOSE(CONTROL!$C$42, 0.1146, 0.1146)*CHOOSE(CONTROL!$C$42, 121.5, 121.5)*CHOOSE(CONTROL!$C$42, 31, 31))/1000000</f>
        <v>0.43164089999999994</v>
      </c>
      <c r="X869" s="57">
        <f>(31*0.1790888*245000/1000000)+(31*0.2374*100000/1000000)</f>
        <v>2.0961194359999999</v>
      </c>
      <c r="Y869" s="57"/>
      <c r="Z869" s="10"/>
      <c r="AA869" s="56"/>
      <c r="AB869" s="50">
        <f>(B869*194.205+C869*267.466+D869*133.845+E869*53.484+F869*40+G869*185+H869*0+I869*100+J869*300)/(194.205+267.466+133.845+53.484+0+40+185+100+300)</f>
        <v>70.303061580926212</v>
      </c>
      <c r="AC869" s="45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69.674966187050373</v>
      </c>
    </row>
    <row r="870" spans="1:29" ht="15.75" x14ac:dyDescent="0.25">
      <c r="A870" s="13">
        <v>67388</v>
      </c>
      <c r="B870" s="10">
        <f>CHOOSE(CONTROL!$C$42, 72.272, 72.272) * CHOOSE(CONTROL!$C$21, $C$9, 100%, $E$9)</f>
        <v>72.272000000000006</v>
      </c>
      <c r="C870" s="10">
        <f>CHOOSE(CONTROL!$C$42, 72.2799, 72.2799) * CHOOSE(CONTROL!$C$21, $C$9, 100%, $E$9)</f>
        <v>72.279899999999998</v>
      </c>
      <c r="D870" s="10">
        <f>CHOOSE(CONTROL!$C$42, 72.4827, 72.4827) * CHOOSE(CONTROL!$C$21, $C$9, 100%, $E$9)</f>
        <v>72.482699999999994</v>
      </c>
      <c r="E870" s="10">
        <f>CHOOSE(CONTROL!$C$42, 72.5138, 72.5138) * CHOOSE(CONTROL!$C$21, $C$9, 100%, $E$9)</f>
        <v>72.513800000000003</v>
      </c>
      <c r="F870" s="10">
        <f>CHOOSE(CONTROL!$C$42, 72.2482, 72.2482)*CHOOSE(CONTROL!$C$21, $C$9, 100%, $E$9)</f>
        <v>72.248199999999997</v>
      </c>
      <c r="G870" s="10">
        <f>CHOOSE(CONTROL!$C$42, 72.2634, 72.2634)*CHOOSE(CONTROL!$C$21, $C$9, 100%, $E$9)</f>
        <v>72.263400000000004</v>
      </c>
      <c r="H870" s="10">
        <f>CHOOSE(CONTROL!$C$42, 72.5024, 72.5024) * CHOOSE(CONTROL!$C$21, $C$9, 100%, $E$9)</f>
        <v>72.502399999999994</v>
      </c>
      <c r="I870" s="10">
        <f>CHOOSE(CONTROL!$C$42, 72.272, 72.272)* CHOOSE(CONTROL!$C$21, $C$9, 100%, $E$9)</f>
        <v>72.272000000000006</v>
      </c>
      <c r="J870" s="10">
        <f>CHOOSE(CONTROL!$C$42, 72.2412, 72.2412)* CHOOSE(CONTROL!$C$21, $C$9, 100%, $E$9)</f>
        <v>72.241200000000006</v>
      </c>
      <c r="K870" s="53">
        <f>CHOOSE(CONTROL!$C$42, 72.2682, 72.2682) * CHOOSE(CONTROL!$C$21, $C$9, 100%, $E$9)</f>
        <v>72.268199999999993</v>
      </c>
      <c r="L870" s="10">
        <f>CHOOSE(CONTROL!$C$42, 73.0894, 73.0894) * CHOOSE(CONTROL!$C$21, $C$9, 100%, $E$9)</f>
        <v>73.089399999999998</v>
      </c>
      <c r="M870" s="10">
        <f>CHOOSE(CONTROL!$C$42, 71.526, 71.526) * CHOOSE(CONTROL!$C$21, $C$9, 100%, $E$9)</f>
        <v>71.525999999999996</v>
      </c>
      <c r="N870" s="10">
        <f>CHOOSE(CONTROL!$C$42, 71.541, 71.541) * CHOOSE(CONTROL!$C$21, $C$9, 100%, $E$9)</f>
        <v>71.540999999999997</v>
      </c>
      <c r="O870" s="10">
        <f>CHOOSE(CONTROL!$C$42, 71.7846, 71.7846) * CHOOSE(CONTROL!$C$21, $C$9, 100%, $E$9)</f>
        <v>71.784599999999998</v>
      </c>
      <c r="P870" s="10">
        <f>CHOOSE(CONTROL!$C$42, 71.5566, 71.5566) * CHOOSE(CONTROL!$C$21, $C$9, 100%, $E$9)</f>
        <v>71.556600000000003</v>
      </c>
      <c r="Q870" s="10">
        <f>CHOOSE(CONTROL!$C$42, 72.3799, 72.3799) * CHOOSE(CONTROL!$C$21, $C$9, 100%, $E$9)</f>
        <v>72.379900000000006</v>
      </c>
      <c r="R870" s="10">
        <f>CHOOSE(CONTROL!$C$42, 73.1478, 73.1478) * CHOOSE(CONTROL!$C$21, $C$9, 100%, $E$9)</f>
        <v>73.147800000000004</v>
      </c>
      <c r="S870" s="10">
        <f>CHOOSE(CONTROL!$C$42, 70.1791, 70.1791) * CHOOSE(CONTROL!$C$21, $C$9, 100%, $E$9)</f>
        <v>70.179100000000005</v>
      </c>
      <c r="T8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57">
        <f>(1000*CHOOSE(CONTROL!$C$42, 695, 695)*CHOOSE(CONTROL!$C$42, 0.5599, 0.5599)*CHOOSE(CONTROL!$C$42, 30, 30))/1000000</f>
        <v>11.673914999999997</v>
      </c>
      <c r="V870" s="57">
        <f>(1000*CHOOSE(CONTROL!$C$42, 500, 500)*CHOOSE(CONTROL!$C$42, 0.275, 0.275)*CHOOSE(CONTROL!$C$42, 30, 30))/1000000</f>
        <v>4.125</v>
      </c>
      <c r="W870" s="57">
        <f>(1000*CHOOSE(CONTROL!$C$42, 0.1146, 0.1146)*CHOOSE(CONTROL!$C$42, 121.5, 121.5)*CHOOSE(CONTROL!$C$42, 30, 30))/1000000</f>
        <v>0.417717</v>
      </c>
      <c r="X870" s="57">
        <f>(30*0.1790888*245000/1000000)+(30*0.2374*100000/1000000)</f>
        <v>2.0285026799999999</v>
      </c>
      <c r="Y870" s="57"/>
      <c r="Z870" s="10"/>
      <c r="AA870" s="56"/>
      <c r="AB870" s="50">
        <f>(B870*194.205+C870*267.466+D870*133.845+E870*53.484+F870*40+G870*185+H870*0+I870*100+J870*300)/(194.205+267.466+133.845+53.484+0+40+185+100+300)</f>
        <v>72.296696667268435</v>
      </c>
      <c r="AC870" s="45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71.648473381294963</v>
      </c>
    </row>
    <row r="871" spans="1:29" ht="15.75" x14ac:dyDescent="0.25">
      <c r="A871" s="13">
        <v>67419</v>
      </c>
      <c r="B871" s="10">
        <f>CHOOSE(CONTROL!$C$42, 70.8856, 70.8856) * CHOOSE(CONTROL!$C$21, $C$9, 100%, $E$9)</f>
        <v>70.885599999999997</v>
      </c>
      <c r="C871" s="10">
        <f>CHOOSE(CONTROL!$C$42, 70.8935, 70.8935) * CHOOSE(CONTROL!$C$21, $C$9, 100%, $E$9)</f>
        <v>70.893500000000003</v>
      </c>
      <c r="D871" s="10">
        <f>CHOOSE(CONTROL!$C$42, 71.0962, 71.0962) * CHOOSE(CONTROL!$C$21, $C$9, 100%, $E$9)</f>
        <v>71.096199999999996</v>
      </c>
      <c r="E871" s="10">
        <f>CHOOSE(CONTROL!$C$42, 71.1274, 71.1274) * CHOOSE(CONTROL!$C$21, $C$9, 100%, $E$9)</f>
        <v>71.127399999999994</v>
      </c>
      <c r="F871" s="10">
        <f>CHOOSE(CONTROL!$C$42, 70.8623, 70.8623)*CHOOSE(CONTROL!$C$21, $C$9, 100%, $E$9)</f>
        <v>70.862300000000005</v>
      </c>
      <c r="G871" s="10">
        <f>CHOOSE(CONTROL!$C$42, 70.8776, 70.8776)*CHOOSE(CONTROL!$C$21, $C$9, 100%, $E$9)</f>
        <v>70.877600000000001</v>
      </c>
      <c r="H871" s="10">
        <f>CHOOSE(CONTROL!$C$42, 71.116, 71.116) * CHOOSE(CONTROL!$C$21, $C$9, 100%, $E$9)</f>
        <v>71.116</v>
      </c>
      <c r="I871" s="10">
        <f>CHOOSE(CONTROL!$C$42, 70.8856, 70.8856)* CHOOSE(CONTROL!$C$21, $C$9, 100%, $E$9)</f>
        <v>70.885599999999997</v>
      </c>
      <c r="J871" s="10">
        <f>CHOOSE(CONTROL!$C$42, 70.8553, 70.8553)* CHOOSE(CONTROL!$C$21, $C$9, 100%, $E$9)</f>
        <v>70.8553</v>
      </c>
      <c r="K871" s="53">
        <f>CHOOSE(CONTROL!$C$42, 70.8817, 70.8817) * CHOOSE(CONTROL!$C$21, $C$9, 100%, $E$9)</f>
        <v>70.881699999999995</v>
      </c>
      <c r="L871" s="10">
        <f>CHOOSE(CONTROL!$C$42, 71.703, 71.703) * CHOOSE(CONTROL!$C$21, $C$9, 100%, $E$9)</f>
        <v>71.703000000000003</v>
      </c>
      <c r="M871" s="10">
        <f>CHOOSE(CONTROL!$C$42, 70.1541, 70.1541) * CHOOSE(CONTROL!$C$21, $C$9, 100%, $E$9)</f>
        <v>70.1541</v>
      </c>
      <c r="N871" s="10">
        <f>CHOOSE(CONTROL!$C$42, 70.1692, 70.1692) * CHOOSE(CONTROL!$C$21, $C$9, 100%, $E$9)</f>
        <v>70.169200000000004</v>
      </c>
      <c r="O871" s="10">
        <f>CHOOSE(CONTROL!$C$42, 70.4121, 70.4121) * CHOOSE(CONTROL!$C$21, $C$9, 100%, $E$9)</f>
        <v>70.412099999999995</v>
      </c>
      <c r="P871" s="10">
        <f>CHOOSE(CONTROL!$C$42, 70.1841, 70.1841) * CHOOSE(CONTROL!$C$21, $C$9, 100%, $E$9)</f>
        <v>70.184100000000001</v>
      </c>
      <c r="Q871" s="10">
        <f>CHOOSE(CONTROL!$C$42, 71.0074, 71.0074) * CHOOSE(CONTROL!$C$21, $C$9, 100%, $E$9)</f>
        <v>71.007400000000004</v>
      </c>
      <c r="R871" s="10">
        <f>CHOOSE(CONTROL!$C$42, 71.772, 71.772) * CHOOSE(CONTROL!$C$21, $C$9, 100%, $E$9)</f>
        <v>71.772000000000006</v>
      </c>
      <c r="S871" s="10">
        <f>CHOOSE(CONTROL!$C$42, 68.8327, 68.8327) * CHOOSE(CONTROL!$C$21, $C$9, 100%, $E$9)</f>
        <v>68.832700000000003</v>
      </c>
      <c r="T8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57">
        <f>(1000*CHOOSE(CONTROL!$C$42, 695, 695)*CHOOSE(CONTROL!$C$42, 0.5599, 0.5599)*CHOOSE(CONTROL!$C$42, 31, 31))/1000000</f>
        <v>12.063045499999998</v>
      </c>
      <c r="V871" s="57">
        <f>(1000*CHOOSE(CONTROL!$C$42, 500, 500)*CHOOSE(CONTROL!$C$42, 0.275, 0.275)*CHOOSE(CONTROL!$C$42, 31, 31))/1000000</f>
        <v>4.2625000000000002</v>
      </c>
      <c r="W871" s="57">
        <f>(1000*CHOOSE(CONTROL!$C$42, 0.1146, 0.1146)*CHOOSE(CONTROL!$C$42, 121.5, 121.5)*CHOOSE(CONTROL!$C$42, 31, 31))/1000000</f>
        <v>0.43164089999999994</v>
      </c>
      <c r="X871" s="57">
        <f>(31*0.1790888*245000/1000000)+(31*0.2374*100000/1000000)</f>
        <v>2.0961194359999999</v>
      </c>
      <c r="Y871" s="57"/>
      <c r="Z871" s="10"/>
      <c r="AA871" s="56"/>
      <c r="AB871" s="50">
        <f>(B871*194.205+C871*267.466+D871*133.845+E871*53.484+F871*40+G871*185+H871*0+I871*100+J871*300)/(194.205+267.466+133.845+53.484+0+40+185+100+300)</f>
        <v>70.910506726530613</v>
      </c>
      <c r="AC871" s="45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70.276220863309362</v>
      </c>
    </row>
    <row r="872" spans="1:29" ht="15.75" x14ac:dyDescent="0.25">
      <c r="A872" s="13">
        <v>67450</v>
      </c>
      <c r="B872" s="10">
        <f>CHOOSE(CONTROL!$C$42, 67.3844, 67.3844) * CHOOSE(CONTROL!$C$21, $C$9, 100%, $E$9)</f>
        <v>67.384399999999999</v>
      </c>
      <c r="C872" s="10">
        <f>CHOOSE(CONTROL!$C$42, 67.3924, 67.3924) * CHOOSE(CONTROL!$C$21, $C$9, 100%, $E$9)</f>
        <v>67.392399999999995</v>
      </c>
      <c r="D872" s="10">
        <f>CHOOSE(CONTROL!$C$42, 67.5951, 67.5951) * CHOOSE(CONTROL!$C$21, $C$9, 100%, $E$9)</f>
        <v>67.595100000000002</v>
      </c>
      <c r="E872" s="10">
        <f>CHOOSE(CONTROL!$C$42, 67.6262, 67.6262) * CHOOSE(CONTROL!$C$21, $C$9, 100%, $E$9)</f>
        <v>67.626199999999997</v>
      </c>
      <c r="F872" s="10">
        <f>CHOOSE(CONTROL!$C$42, 67.3614, 67.3614)*CHOOSE(CONTROL!$C$21, $C$9, 100%, $E$9)</f>
        <v>67.361400000000003</v>
      </c>
      <c r="G872" s="10">
        <f>CHOOSE(CONTROL!$C$42, 67.3767, 67.3767)*CHOOSE(CONTROL!$C$21, $C$9, 100%, $E$9)</f>
        <v>67.3767</v>
      </c>
      <c r="H872" s="10">
        <f>CHOOSE(CONTROL!$C$42, 67.6149, 67.6149) * CHOOSE(CONTROL!$C$21, $C$9, 100%, $E$9)</f>
        <v>67.614900000000006</v>
      </c>
      <c r="I872" s="10">
        <f>CHOOSE(CONTROL!$C$42, 67.3845, 67.3845)* CHOOSE(CONTROL!$C$21, $C$9, 100%, $E$9)</f>
        <v>67.384500000000003</v>
      </c>
      <c r="J872" s="10">
        <f>CHOOSE(CONTROL!$C$42, 67.3544, 67.3544)* CHOOSE(CONTROL!$C$21, $C$9, 100%, $E$9)</f>
        <v>67.354399999999998</v>
      </c>
      <c r="K872" s="53">
        <f>CHOOSE(CONTROL!$C$42, 67.3806, 67.3806) * CHOOSE(CONTROL!$C$21, $C$9, 100%, $E$9)</f>
        <v>67.380600000000001</v>
      </c>
      <c r="L872" s="10">
        <f>CHOOSE(CONTROL!$C$42, 68.2019, 68.2019) * CHOOSE(CONTROL!$C$21, $C$9, 100%, $E$9)</f>
        <v>68.201899999999995</v>
      </c>
      <c r="M872" s="10">
        <f>CHOOSE(CONTROL!$C$42, 66.6885, 66.6885) * CHOOSE(CONTROL!$C$21, $C$9, 100%, $E$9)</f>
        <v>66.688500000000005</v>
      </c>
      <c r="N872" s="10">
        <f>CHOOSE(CONTROL!$C$42, 66.7036, 66.7036) * CHOOSE(CONTROL!$C$21, $C$9, 100%, $E$9)</f>
        <v>66.703599999999994</v>
      </c>
      <c r="O872" s="10">
        <f>CHOOSE(CONTROL!$C$42, 66.9463, 66.9463) * CHOOSE(CONTROL!$C$21, $C$9, 100%, $E$9)</f>
        <v>66.946299999999994</v>
      </c>
      <c r="P872" s="10">
        <f>CHOOSE(CONTROL!$C$42, 66.7183, 66.7183) * CHOOSE(CONTROL!$C$21, $C$9, 100%, $E$9)</f>
        <v>66.718299999999999</v>
      </c>
      <c r="Q872" s="10">
        <f>CHOOSE(CONTROL!$C$42, 67.5416, 67.5416) * CHOOSE(CONTROL!$C$21, $C$9, 100%, $E$9)</f>
        <v>67.541600000000003</v>
      </c>
      <c r="R872" s="10">
        <f>CHOOSE(CONTROL!$C$42, 68.2975, 68.2975) * CHOOSE(CONTROL!$C$21, $C$9, 100%, $E$9)</f>
        <v>68.297499999999999</v>
      </c>
      <c r="S872" s="10">
        <f>CHOOSE(CONTROL!$C$42, 65.4328, 65.4328) * CHOOSE(CONTROL!$C$21, $C$9, 100%, $E$9)</f>
        <v>65.4328</v>
      </c>
      <c r="T8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57">
        <f>(1000*CHOOSE(CONTROL!$C$42, 695, 695)*CHOOSE(CONTROL!$C$42, 0.5599, 0.5599)*CHOOSE(CONTROL!$C$42, 31, 31))/1000000</f>
        <v>12.063045499999998</v>
      </c>
      <c r="V872" s="57">
        <f>(1000*CHOOSE(CONTROL!$C$42, 500, 500)*CHOOSE(CONTROL!$C$42, 0.275, 0.275)*CHOOSE(CONTROL!$C$42, 31, 31))/1000000</f>
        <v>4.2625000000000002</v>
      </c>
      <c r="W872" s="57">
        <f>(1000*CHOOSE(CONTROL!$C$42, 0.1146, 0.1146)*CHOOSE(CONTROL!$C$42, 121.5, 121.5)*CHOOSE(CONTROL!$C$42, 31, 31))/1000000</f>
        <v>0.43164089999999994</v>
      </c>
      <c r="X872" s="57">
        <f>(31*0.1790888*245000/1000000)+(31*0.2374*100000/1000000)</f>
        <v>2.0961194359999999</v>
      </c>
      <c r="Y872" s="57"/>
      <c r="Z872" s="10"/>
      <c r="AA872" s="56"/>
      <c r="AB872" s="50">
        <f>(B872*194.205+C872*267.466+D872*133.845+E872*53.484+F872*40+G872*185+H872*0+I872*100+J872*300)/(194.205+267.466+133.845+53.484+0+40+185+100+300)</f>
        <v>67.409469702276283</v>
      </c>
      <c r="AC872" s="45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66.810501438848931</v>
      </c>
    </row>
    <row r="873" spans="1:29" ht="15.75" x14ac:dyDescent="0.25">
      <c r="A873" s="13">
        <v>67480</v>
      </c>
      <c r="B873" s="10">
        <f>CHOOSE(CONTROL!$C$42, 63.1063, 63.1063) * CHOOSE(CONTROL!$C$21, $C$9, 100%, $E$9)</f>
        <v>63.106299999999997</v>
      </c>
      <c r="C873" s="10">
        <f>CHOOSE(CONTROL!$C$42, 63.1142, 63.1142) * CHOOSE(CONTROL!$C$21, $C$9, 100%, $E$9)</f>
        <v>63.114199999999997</v>
      </c>
      <c r="D873" s="10">
        <f>CHOOSE(CONTROL!$C$42, 63.3169, 63.3169) * CHOOSE(CONTROL!$C$21, $C$9, 100%, $E$9)</f>
        <v>63.316899999999997</v>
      </c>
      <c r="E873" s="10">
        <f>CHOOSE(CONTROL!$C$42, 63.3481, 63.3481) * CHOOSE(CONTROL!$C$21, $C$9, 100%, $E$9)</f>
        <v>63.348100000000002</v>
      </c>
      <c r="F873" s="10">
        <f>CHOOSE(CONTROL!$C$42, 63.0831, 63.0831)*CHOOSE(CONTROL!$C$21, $C$9, 100%, $E$9)</f>
        <v>63.083100000000002</v>
      </c>
      <c r="G873" s="10">
        <f>CHOOSE(CONTROL!$C$42, 63.0984, 63.0984)*CHOOSE(CONTROL!$C$21, $C$9, 100%, $E$9)</f>
        <v>63.098399999999998</v>
      </c>
      <c r="H873" s="10">
        <f>CHOOSE(CONTROL!$C$42, 63.3367, 63.3367) * CHOOSE(CONTROL!$C$21, $C$9, 100%, $E$9)</f>
        <v>63.3367</v>
      </c>
      <c r="I873" s="10">
        <f>CHOOSE(CONTROL!$C$42, 63.1063, 63.1063)* CHOOSE(CONTROL!$C$21, $C$9, 100%, $E$9)</f>
        <v>63.106299999999997</v>
      </c>
      <c r="J873" s="10">
        <f>CHOOSE(CONTROL!$C$42, 63.0761, 63.0761)* CHOOSE(CONTROL!$C$21, $C$9, 100%, $E$9)</f>
        <v>63.076099999999997</v>
      </c>
      <c r="K873" s="53">
        <f>CHOOSE(CONTROL!$C$42, 63.1024, 63.1024) * CHOOSE(CONTROL!$C$21, $C$9, 100%, $E$9)</f>
        <v>63.102400000000003</v>
      </c>
      <c r="L873" s="10">
        <f>CHOOSE(CONTROL!$C$42, 63.9237, 63.9237) * CHOOSE(CONTROL!$C$21, $C$9, 100%, $E$9)</f>
        <v>63.923699999999997</v>
      </c>
      <c r="M873" s="10">
        <f>CHOOSE(CONTROL!$C$42, 62.4534, 62.4534) * CHOOSE(CONTROL!$C$21, $C$9, 100%, $E$9)</f>
        <v>62.453400000000002</v>
      </c>
      <c r="N873" s="10">
        <f>CHOOSE(CONTROL!$C$42, 62.4685, 62.4685) * CHOOSE(CONTROL!$C$21, $C$9, 100%, $E$9)</f>
        <v>62.468499999999999</v>
      </c>
      <c r="O873" s="10">
        <f>CHOOSE(CONTROL!$C$42, 62.7114, 62.7114) * CHOOSE(CONTROL!$C$21, $C$9, 100%, $E$9)</f>
        <v>62.711399999999998</v>
      </c>
      <c r="P873" s="10">
        <f>CHOOSE(CONTROL!$C$42, 62.4834, 62.4834) * CHOOSE(CONTROL!$C$21, $C$9, 100%, $E$9)</f>
        <v>62.483400000000003</v>
      </c>
      <c r="Q873" s="10">
        <f>CHOOSE(CONTROL!$C$42, 63.3067, 63.3067) * CHOOSE(CONTROL!$C$21, $C$9, 100%, $E$9)</f>
        <v>63.306699999999999</v>
      </c>
      <c r="R873" s="10">
        <f>CHOOSE(CONTROL!$C$42, 64.0519, 64.0519) * CHOOSE(CONTROL!$C$21, $C$9, 100%, $E$9)</f>
        <v>64.051900000000003</v>
      </c>
      <c r="S873" s="10">
        <f>CHOOSE(CONTROL!$C$42, 61.2783, 61.2783) * CHOOSE(CONTROL!$C$21, $C$9, 100%, $E$9)</f>
        <v>61.278300000000002</v>
      </c>
      <c r="T8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57">
        <f>(1000*CHOOSE(CONTROL!$C$42, 695, 695)*CHOOSE(CONTROL!$C$42, 0.5599, 0.5599)*CHOOSE(CONTROL!$C$42, 30, 30))/1000000</f>
        <v>11.673914999999997</v>
      </c>
      <c r="V873" s="57">
        <f>(1000*CHOOSE(CONTROL!$C$42, 500, 500)*CHOOSE(CONTROL!$C$42, 0.275, 0.275)*CHOOSE(CONTROL!$C$42, 30, 30))/1000000</f>
        <v>4.125</v>
      </c>
      <c r="W873" s="57">
        <f>(1000*CHOOSE(CONTROL!$C$42, 0.1146, 0.1146)*CHOOSE(CONTROL!$C$42, 121.5, 121.5)*CHOOSE(CONTROL!$C$42, 30, 30))/1000000</f>
        <v>0.417717</v>
      </c>
      <c r="X873" s="57">
        <f>(30*0.1790888*245000/1000000)+(30*0.2374*100000/1000000)</f>
        <v>2.0285026799999999</v>
      </c>
      <c r="Y873" s="57"/>
      <c r="Z873" s="10"/>
      <c r="AA873" s="56"/>
      <c r="AB873" s="50">
        <f>(B873*194.205+C873*267.466+D873*133.845+E873*53.484+F873*40+G873*185+H873*0+I873*100+J873*300)/(194.205+267.466+133.845+53.484+0+40+185+100+300)</f>
        <v>63.131247935321824</v>
      </c>
      <c r="AC873" s="45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62.575520863309343</v>
      </c>
    </row>
    <row r="874" spans="1:29" ht="15.75" x14ac:dyDescent="0.25">
      <c r="A874" s="13">
        <v>67511</v>
      </c>
      <c r="B874" s="10">
        <f>CHOOSE(CONTROL!$C$42, 61.8233, 61.8233) * CHOOSE(CONTROL!$C$21, $C$9, 100%, $E$9)</f>
        <v>61.823300000000003</v>
      </c>
      <c r="C874" s="10">
        <f>CHOOSE(CONTROL!$C$42, 61.8285, 61.8285) * CHOOSE(CONTROL!$C$21, $C$9, 100%, $E$9)</f>
        <v>61.828499999999998</v>
      </c>
      <c r="D874" s="10">
        <f>CHOOSE(CONTROL!$C$42, 62.0362, 62.0362) * CHOOSE(CONTROL!$C$21, $C$9, 100%, $E$9)</f>
        <v>62.036200000000001</v>
      </c>
      <c r="E874" s="10">
        <f>CHOOSE(CONTROL!$C$42, 62.065, 62.065) * CHOOSE(CONTROL!$C$21, $C$9, 100%, $E$9)</f>
        <v>62.064999999999998</v>
      </c>
      <c r="F874" s="10">
        <f>CHOOSE(CONTROL!$C$42, 61.8021, 61.8021)*CHOOSE(CONTROL!$C$21, $C$9, 100%, $E$9)</f>
        <v>61.802100000000003</v>
      </c>
      <c r="G874" s="10">
        <f>CHOOSE(CONTROL!$C$42, 61.817, 61.817)*CHOOSE(CONTROL!$C$21, $C$9, 100%, $E$9)</f>
        <v>61.817</v>
      </c>
      <c r="H874" s="10">
        <f>CHOOSE(CONTROL!$C$42, 62.0555, 62.0555) * CHOOSE(CONTROL!$C$21, $C$9, 100%, $E$9)</f>
        <v>62.055500000000002</v>
      </c>
      <c r="I874" s="10">
        <f>CHOOSE(CONTROL!$C$42, 61.8251, 61.8251)* CHOOSE(CONTROL!$C$21, $C$9, 100%, $E$9)</f>
        <v>61.825099999999999</v>
      </c>
      <c r="J874" s="10">
        <f>CHOOSE(CONTROL!$C$42, 61.7951, 61.7951)* CHOOSE(CONTROL!$C$21, $C$9, 100%, $E$9)</f>
        <v>61.795099999999998</v>
      </c>
      <c r="K874" s="53">
        <f>CHOOSE(CONTROL!$C$42, 61.8212, 61.8212) * CHOOSE(CONTROL!$C$21, $C$9, 100%, $E$9)</f>
        <v>61.821199999999997</v>
      </c>
      <c r="L874" s="10">
        <f>CHOOSE(CONTROL!$C$42, 62.6425, 62.6425) * CHOOSE(CONTROL!$C$21, $C$9, 100%, $E$9)</f>
        <v>62.642499999999998</v>
      </c>
      <c r="M874" s="10">
        <f>CHOOSE(CONTROL!$C$42, 61.1853, 61.1853) * CHOOSE(CONTROL!$C$21, $C$9, 100%, $E$9)</f>
        <v>61.185299999999998</v>
      </c>
      <c r="N874" s="10">
        <f>CHOOSE(CONTROL!$C$42, 61.2, 61.2) * CHOOSE(CONTROL!$C$21, $C$9, 100%, $E$9)</f>
        <v>61.2</v>
      </c>
      <c r="O874" s="10">
        <f>CHOOSE(CONTROL!$C$42, 61.4431, 61.4431) * CHOOSE(CONTROL!$C$21, $C$9, 100%, $E$9)</f>
        <v>61.443100000000001</v>
      </c>
      <c r="P874" s="10">
        <f>CHOOSE(CONTROL!$C$42, 61.2151, 61.2151) * CHOOSE(CONTROL!$C$21, $C$9, 100%, $E$9)</f>
        <v>61.2151</v>
      </c>
      <c r="Q874" s="10">
        <f>CHOOSE(CONTROL!$C$42, 62.0384, 62.0384) * CHOOSE(CONTROL!$C$21, $C$9, 100%, $E$9)</f>
        <v>62.038400000000003</v>
      </c>
      <c r="R874" s="10">
        <f>CHOOSE(CONTROL!$C$42, 62.7805, 62.7805) * CHOOSE(CONTROL!$C$21, $C$9, 100%, $E$9)</f>
        <v>62.780500000000004</v>
      </c>
      <c r="S874" s="10">
        <f>CHOOSE(CONTROL!$C$42, 60.0341, 60.0341) * CHOOSE(CONTROL!$C$21, $C$9, 100%, $E$9)</f>
        <v>60.034100000000002</v>
      </c>
      <c r="T8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57">
        <f>(1000*CHOOSE(CONTROL!$C$42, 695, 695)*CHOOSE(CONTROL!$C$42, 0.5599, 0.5599)*CHOOSE(CONTROL!$C$42, 31, 31))/1000000</f>
        <v>12.063045499999998</v>
      </c>
      <c r="V874" s="57">
        <f>(1000*CHOOSE(CONTROL!$C$42, 500, 500)*CHOOSE(CONTROL!$C$42, 0.275, 0.275)*CHOOSE(CONTROL!$C$42, 31, 31))/1000000</f>
        <v>4.2625000000000002</v>
      </c>
      <c r="W874" s="57">
        <f>(1000*CHOOSE(CONTROL!$C$42, 0.1146, 0.1146)*CHOOSE(CONTROL!$C$42, 121.5, 121.5)*CHOOSE(CONTROL!$C$42, 31, 31))/1000000</f>
        <v>0.43164089999999994</v>
      </c>
      <c r="X874" s="57">
        <f>(31*0.1790888*245000/1000000)+(31*0.2374*100000/1000000)</f>
        <v>2.0961194359999999</v>
      </c>
      <c r="Y874" s="57"/>
      <c r="Z874" s="10"/>
      <c r="AA874" s="56"/>
      <c r="AB874" s="50">
        <f>(B874*131.881+C874*277.167+D874*79.08+E874*125.872+F874*40+G874*185+H874*0+I874*100+J874*300)/(131.881+277.167+79.08+125.872+0+40+185+100+300)</f>
        <v>61.854298517191282</v>
      </c>
      <c r="AC874" s="45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61.307278417266197</v>
      </c>
    </row>
    <row r="875" spans="1:29" ht="15.75" x14ac:dyDescent="0.25">
      <c r="A875" s="13">
        <v>67541</v>
      </c>
      <c r="B875" s="10">
        <f>CHOOSE(CONTROL!$C$42, 63.4515, 63.4515) * CHOOSE(CONTROL!$C$21, $C$9, 100%, $E$9)</f>
        <v>63.451500000000003</v>
      </c>
      <c r="C875" s="10">
        <f>CHOOSE(CONTROL!$C$42, 63.4565, 63.4565) * CHOOSE(CONTROL!$C$21, $C$9, 100%, $E$9)</f>
        <v>63.456499999999998</v>
      </c>
      <c r="D875" s="10">
        <f>CHOOSE(CONTROL!$C$42, 63.517, 63.517) * CHOOSE(CONTROL!$C$21, $C$9, 100%, $E$9)</f>
        <v>63.517000000000003</v>
      </c>
      <c r="E875" s="10">
        <f>CHOOSE(CONTROL!$C$42, 63.5508, 63.5508) * CHOOSE(CONTROL!$C$21, $C$9, 100%, $E$9)</f>
        <v>63.550800000000002</v>
      </c>
      <c r="F875" s="10">
        <f>CHOOSE(CONTROL!$C$42, 63.4472, 63.4472)*CHOOSE(CONTROL!$C$21, $C$9, 100%, $E$9)</f>
        <v>63.447200000000002</v>
      </c>
      <c r="G875" s="10">
        <f>CHOOSE(CONTROL!$C$42, 63.4624, 63.4624)*CHOOSE(CONTROL!$C$21, $C$9, 100%, $E$9)</f>
        <v>63.462400000000002</v>
      </c>
      <c r="H875" s="10">
        <f>CHOOSE(CONTROL!$C$42, 63.54, 63.54) * CHOOSE(CONTROL!$C$21, $C$9, 100%, $E$9)</f>
        <v>63.54</v>
      </c>
      <c r="I875" s="10">
        <f>CHOOSE(CONTROL!$C$42, 63.4641, 63.4641)* CHOOSE(CONTROL!$C$21, $C$9, 100%, $E$9)</f>
        <v>63.464100000000002</v>
      </c>
      <c r="J875" s="10">
        <f>CHOOSE(CONTROL!$C$42, 63.4402, 63.4402)* CHOOSE(CONTROL!$C$21, $C$9, 100%, $E$9)</f>
        <v>63.440199999999997</v>
      </c>
      <c r="K875" s="53">
        <f>CHOOSE(CONTROL!$C$42, 63.4602, 63.4602) * CHOOSE(CONTROL!$C$21, $C$9, 100%, $E$9)</f>
        <v>63.4602</v>
      </c>
      <c r="L875" s="10">
        <f>CHOOSE(CONTROL!$C$42, 64.127, 64.127) * CHOOSE(CONTROL!$C$21, $C$9, 100%, $E$9)</f>
        <v>64.126999999999995</v>
      </c>
      <c r="M875" s="10">
        <f>CHOOSE(CONTROL!$C$42, 62.8138, 62.8138) * CHOOSE(CONTROL!$C$21, $C$9, 100%, $E$9)</f>
        <v>62.813800000000001</v>
      </c>
      <c r="N875" s="10">
        <f>CHOOSE(CONTROL!$C$42, 62.8288, 62.8288) * CHOOSE(CONTROL!$C$21, $C$9, 100%, $E$9)</f>
        <v>62.828800000000001</v>
      </c>
      <c r="O875" s="10">
        <f>CHOOSE(CONTROL!$C$42, 62.9126, 62.9126) * CHOOSE(CONTROL!$C$21, $C$9, 100%, $E$9)</f>
        <v>62.912599999999998</v>
      </c>
      <c r="P875" s="10">
        <f>CHOOSE(CONTROL!$C$42, 62.8375, 62.8375) * CHOOSE(CONTROL!$C$21, $C$9, 100%, $E$9)</f>
        <v>62.837499999999999</v>
      </c>
      <c r="Q875" s="10">
        <f>CHOOSE(CONTROL!$C$42, 63.5079, 63.5079) * CHOOSE(CONTROL!$C$21, $C$9, 100%, $E$9)</f>
        <v>63.507899999999999</v>
      </c>
      <c r="R875" s="10">
        <f>CHOOSE(CONTROL!$C$42, 64.2536, 64.2536) * CHOOSE(CONTROL!$C$21, $C$9, 100%, $E$9)</f>
        <v>64.253600000000006</v>
      </c>
      <c r="S875" s="10">
        <f>CHOOSE(CONTROL!$C$42, 61.6157, 61.6157) * CHOOSE(CONTROL!$C$21, $C$9, 100%, $E$9)</f>
        <v>61.615699999999997</v>
      </c>
      <c r="T8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57">
        <f>(1000*CHOOSE(CONTROL!$C$42, 695, 695)*CHOOSE(CONTROL!$C$42, 0.5599, 0.5599)*CHOOSE(CONTROL!$C$42, 30, 30))/1000000</f>
        <v>11.673914999999997</v>
      </c>
      <c r="V875" s="57">
        <f>(1000*CHOOSE(CONTROL!$C$42, 500, 500)*CHOOSE(CONTROL!$C$42, 0.275, 0.275)*CHOOSE(CONTROL!$C$42, 30, 30))/1000000</f>
        <v>4.125</v>
      </c>
      <c r="W875" s="57">
        <f>(1000*CHOOSE(CONTROL!$C$42, 0.1146, 0.1146)*CHOOSE(CONTROL!$C$42, 121.5, 121.5)*CHOOSE(CONTROL!$C$42, 30, 30))/1000000</f>
        <v>0.417717</v>
      </c>
      <c r="X875" s="57">
        <f>(30*0.1790888*100000/1000000)+(30*0.2374*100000/1000000)</f>
        <v>1.2494664</v>
      </c>
      <c r="Y875" s="57"/>
      <c r="Z875" s="10"/>
      <c r="AA875" s="56"/>
      <c r="AB875" s="50">
        <f>(B875*122.58+C875*297.941+D875*89.177+E875*40.302+F875*40+G875*160+H875*0+I875*100+J875*300)/(122.58+297.941+89.177+40.302+0+40+160+100+300)</f>
        <v>63.460869380086955</v>
      </c>
      <c r="AC875" s="45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62.862853237410079</v>
      </c>
    </row>
    <row r="876" spans="1:29" ht="15.75" x14ac:dyDescent="0.25">
      <c r="A876" s="13">
        <v>67572</v>
      </c>
      <c r="B876" s="10">
        <f>CHOOSE(CONTROL!$C$42, 67.7774, 67.7774) * CHOOSE(CONTROL!$C$21, $C$9, 100%, $E$9)</f>
        <v>67.7774</v>
      </c>
      <c r="C876" s="10">
        <f>CHOOSE(CONTROL!$C$42, 67.7824, 67.7824) * CHOOSE(CONTROL!$C$21, $C$9, 100%, $E$9)</f>
        <v>67.782399999999996</v>
      </c>
      <c r="D876" s="10">
        <f>CHOOSE(CONTROL!$C$42, 67.8429, 67.8429) * CHOOSE(CONTROL!$C$21, $C$9, 100%, $E$9)</f>
        <v>67.8429</v>
      </c>
      <c r="E876" s="10">
        <f>CHOOSE(CONTROL!$C$42, 67.8767, 67.8767) * CHOOSE(CONTROL!$C$21, $C$9, 100%, $E$9)</f>
        <v>67.8767</v>
      </c>
      <c r="F876" s="10">
        <f>CHOOSE(CONTROL!$C$42, 67.7749, 67.7749)*CHOOSE(CONTROL!$C$21, $C$9, 100%, $E$9)</f>
        <v>67.774900000000002</v>
      </c>
      <c r="G876" s="10">
        <f>CHOOSE(CONTROL!$C$42, 67.7906, 67.7906)*CHOOSE(CONTROL!$C$21, $C$9, 100%, $E$9)</f>
        <v>67.790599999999998</v>
      </c>
      <c r="H876" s="10">
        <f>CHOOSE(CONTROL!$C$42, 67.8659, 67.8659) * CHOOSE(CONTROL!$C$21, $C$9, 100%, $E$9)</f>
        <v>67.865899999999996</v>
      </c>
      <c r="I876" s="10">
        <f>CHOOSE(CONTROL!$C$42, 67.79, 67.79)* CHOOSE(CONTROL!$C$21, $C$9, 100%, $E$9)</f>
        <v>67.790000000000006</v>
      </c>
      <c r="J876" s="10">
        <f>CHOOSE(CONTROL!$C$42, 67.7679, 67.7679)* CHOOSE(CONTROL!$C$21, $C$9, 100%, $E$9)</f>
        <v>67.767899999999997</v>
      </c>
      <c r="K876" s="53">
        <f>CHOOSE(CONTROL!$C$42, 67.7861, 67.7861) * CHOOSE(CONTROL!$C$21, $C$9, 100%, $E$9)</f>
        <v>67.786100000000005</v>
      </c>
      <c r="L876" s="10">
        <f>CHOOSE(CONTROL!$C$42, 68.4529, 68.4529) * CHOOSE(CONTROL!$C$21, $C$9, 100%, $E$9)</f>
        <v>68.4529</v>
      </c>
      <c r="M876" s="10">
        <f>CHOOSE(CONTROL!$C$42, 67.0978, 67.0978) * CHOOSE(CONTROL!$C$21, $C$9, 100%, $E$9)</f>
        <v>67.097800000000007</v>
      </c>
      <c r="N876" s="10">
        <f>CHOOSE(CONTROL!$C$42, 67.1134, 67.1134) * CHOOSE(CONTROL!$C$21, $C$9, 100%, $E$9)</f>
        <v>67.113399999999999</v>
      </c>
      <c r="O876" s="10">
        <f>CHOOSE(CONTROL!$C$42, 67.1948, 67.1948) * CHOOSE(CONTROL!$C$21, $C$9, 100%, $E$9)</f>
        <v>67.194800000000001</v>
      </c>
      <c r="P876" s="10">
        <f>CHOOSE(CONTROL!$C$42, 67.1197, 67.1197) * CHOOSE(CONTROL!$C$21, $C$9, 100%, $E$9)</f>
        <v>67.119699999999995</v>
      </c>
      <c r="Q876" s="10">
        <f>CHOOSE(CONTROL!$C$42, 67.7901, 67.7901) * CHOOSE(CONTROL!$C$21, $C$9, 100%, $E$9)</f>
        <v>67.790099999999995</v>
      </c>
      <c r="R876" s="10">
        <f>CHOOSE(CONTROL!$C$42, 68.5466, 68.5466) * CHOOSE(CONTROL!$C$21, $C$9, 100%, $E$9)</f>
        <v>68.546599999999998</v>
      </c>
      <c r="S876" s="10">
        <f>CHOOSE(CONTROL!$C$42, 65.8165, 65.8165) * CHOOSE(CONTROL!$C$21, $C$9, 100%, $E$9)</f>
        <v>65.816500000000005</v>
      </c>
      <c r="T8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57">
        <f>(1000*CHOOSE(CONTROL!$C$42, 695, 695)*CHOOSE(CONTROL!$C$42, 0.5599, 0.5599)*CHOOSE(CONTROL!$C$42, 31, 31))/1000000</f>
        <v>12.063045499999998</v>
      </c>
      <c r="V876" s="57">
        <f>(1000*CHOOSE(CONTROL!$C$42, 500, 500)*CHOOSE(CONTROL!$C$42, 0.275, 0.275)*CHOOSE(CONTROL!$C$42, 31, 31))/1000000</f>
        <v>4.2625000000000002</v>
      </c>
      <c r="W876" s="57">
        <f>(1000*CHOOSE(CONTROL!$C$42, 0.1146, 0.1146)*CHOOSE(CONTROL!$C$42, 121.5, 121.5)*CHOOSE(CONTROL!$C$42, 31, 31))/1000000</f>
        <v>0.43164089999999994</v>
      </c>
      <c r="X876" s="57">
        <f>(31*0.1790888*100000/1000000)+(31*0.2374*100000/1000000)</f>
        <v>1.2911152800000001</v>
      </c>
      <c r="Y876" s="57"/>
      <c r="Z876" s="10"/>
      <c r="AA876" s="56"/>
      <c r="AB876" s="50">
        <f>(B876*122.58+C876*297.941+D876*89.177+E876*40.302+F876*40+G876*160+H876*0+I876*100+J876*300)/(122.58+297.941+89.177+40.302+0+40+160+100+300)</f>
        <v>67.787621553999998</v>
      </c>
      <c r="AC876" s="45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67.145812949640288</v>
      </c>
    </row>
    <row r="877" spans="1:29" ht="15.75" x14ac:dyDescent="0.25">
      <c r="A877" s="13">
        <v>67603</v>
      </c>
      <c r="B877" s="10">
        <f>CHOOSE(CONTROL!$C$42, 73.3307, 73.3307) * CHOOSE(CONTROL!$C$21, $C$9, 100%, $E$9)</f>
        <v>73.330699999999993</v>
      </c>
      <c r="C877" s="10">
        <f>CHOOSE(CONTROL!$C$42, 73.3356, 73.3356) * CHOOSE(CONTROL!$C$21, $C$9, 100%, $E$9)</f>
        <v>73.335599999999999</v>
      </c>
      <c r="D877" s="10">
        <f>CHOOSE(CONTROL!$C$42, 73.3927, 73.3927) * CHOOSE(CONTROL!$C$21, $C$9, 100%, $E$9)</f>
        <v>73.392700000000005</v>
      </c>
      <c r="E877" s="10">
        <f>CHOOSE(CONTROL!$C$42, 73.4265, 73.4265) * CHOOSE(CONTROL!$C$21, $C$9, 100%, $E$9)</f>
        <v>73.426500000000004</v>
      </c>
      <c r="F877" s="10">
        <f>CHOOSE(CONTROL!$C$42, 73.3285, 73.3285)*CHOOSE(CONTROL!$C$21, $C$9, 100%, $E$9)</f>
        <v>73.328500000000005</v>
      </c>
      <c r="G877" s="10">
        <f>CHOOSE(CONTROL!$C$42, 73.3431, 73.3431)*CHOOSE(CONTROL!$C$21, $C$9, 100%, $E$9)</f>
        <v>73.343100000000007</v>
      </c>
      <c r="H877" s="10">
        <f>CHOOSE(CONTROL!$C$42, 73.4157, 73.4157) * CHOOSE(CONTROL!$C$21, $C$9, 100%, $E$9)</f>
        <v>73.415700000000001</v>
      </c>
      <c r="I877" s="10">
        <f>CHOOSE(CONTROL!$C$42, 73.3415, 73.3415)* CHOOSE(CONTROL!$C$21, $C$9, 100%, $E$9)</f>
        <v>73.341499999999996</v>
      </c>
      <c r="J877" s="10">
        <f>CHOOSE(CONTROL!$C$42, 73.3215, 73.3215)* CHOOSE(CONTROL!$C$21, $C$9, 100%, $E$9)</f>
        <v>73.3215</v>
      </c>
      <c r="K877" s="53">
        <f>CHOOSE(CONTROL!$C$42, 73.3376, 73.3376) * CHOOSE(CONTROL!$C$21, $C$9, 100%, $E$9)</f>
        <v>73.337599999999995</v>
      </c>
      <c r="L877" s="10">
        <f>CHOOSE(CONTROL!$C$42, 74.0027, 74.0027) * CHOOSE(CONTROL!$C$21, $C$9, 100%, $E$9)</f>
        <v>74.002700000000004</v>
      </c>
      <c r="M877" s="10">
        <f>CHOOSE(CONTROL!$C$42, 72.5954, 72.5954) * CHOOSE(CONTROL!$C$21, $C$9, 100%, $E$9)</f>
        <v>72.595399999999998</v>
      </c>
      <c r="N877" s="10">
        <f>CHOOSE(CONTROL!$C$42, 72.6099, 72.6099) * CHOOSE(CONTROL!$C$21, $C$9, 100%, $E$9)</f>
        <v>72.609899999999996</v>
      </c>
      <c r="O877" s="10">
        <f>CHOOSE(CONTROL!$C$42, 72.6886, 72.6886) * CHOOSE(CONTROL!$C$21, $C$9, 100%, $E$9)</f>
        <v>72.688599999999994</v>
      </c>
      <c r="P877" s="10">
        <f>CHOOSE(CONTROL!$C$42, 72.6152, 72.6152) * CHOOSE(CONTROL!$C$21, $C$9, 100%, $E$9)</f>
        <v>72.615200000000002</v>
      </c>
      <c r="Q877" s="10">
        <f>CHOOSE(CONTROL!$C$42, 73.2839, 73.2839) * CHOOSE(CONTROL!$C$21, $C$9, 100%, $E$9)</f>
        <v>73.283900000000003</v>
      </c>
      <c r="R877" s="10">
        <f>CHOOSE(CONTROL!$C$42, 74.0541, 74.0541) * CHOOSE(CONTROL!$C$21, $C$9, 100%, $E$9)</f>
        <v>74.054100000000005</v>
      </c>
      <c r="S877" s="10">
        <f>CHOOSE(CONTROL!$C$42, 71.2093, 71.2093) * CHOOSE(CONTROL!$C$21, $C$9, 100%, $E$9)</f>
        <v>71.209299999999999</v>
      </c>
      <c r="T8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57">
        <f>(1000*CHOOSE(CONTROL!$C$42, 695, 695)*CHOOSE(CONTROL!$C$42, 0.5599, 0.5599)*CHOOSE(CONTROL!$C$42, 31, 31))/1000000</f>
        <v>12.063045499999998</v>
      </c>
      <c r="V877" s="57">
        <f>(1000*CHOOSE(CONTROL!$C$42, 500, 500)*CHOOSE(CONTROL!$C$42, 0.275, 0.275)*CHOOSE(CONTROL!$C$42, 31, 31))/1000000</f>
        <v>4.2625000000000002</v>
      </c>
      <c r="W877" s="57">
        <f>(1000*CHOOSE(CONTROL!$C$42, 0.1146, 0.1146)*CHOOSE(CONTROL!$C$42, 121.5, 121.5)*CHOOSE(CONTROL!$C$42, 31, 31))/1000000</f>
        <v>0.43164089999999994</v>
      </c>
      <c r="X877" s="57">
        <f>(31*0.1790888*100000/1000000)+(31*0.2374*100000/1000000)</f>
        <v>1.2911152800000001</v>
      </c>
      <c r="Y877" s="57"/>
      <c r="Z877" s="10"/>
      <c r="AA877" s="56"/>
      <c r="AB877" s="50">
        <f>(B877*122.58+C877*297.941+D877*89.177+E877*40.302+F877*40+G877*160+H877*0+I877*100+J877*300)/(122.58+297.941+89.177+40.302+0+40+160+100+300)</f>
        <v>73.34032244913044</v>
      </c>
      <c r="AC877" s="45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72.641325179856125</v>
      </c>
    </row>
    <row r="878" spans="1:29" ht="15.75" x14ac:dyDescent="0.25">
      <c r="A878" s="13">
        <v>67631</v>
      </c>
      <c r="B878" s="10">
        <f>CHOOSE(CONTROL!$C$42, 74.636, 74.636) * CHOOSE(CONTROL!$C$21, $C$9, 100%, $E$9)</f>
        <v>74.635999999999996</v>
      </c>
      <c r="C878" s="10">
        <f>CHOOSE(CONTROL!$C$42, 74.641, 74.641) * CHOOSE(CONTROL!$C$21, $C$9, 100%, $E$9)</f>
        <v>74.641000000000005</v>
      </c>
      <c r="D878" s="10">
        <f>CHOOSE(CONTROL!$C$42, 74.698, 74.698) * CHOOSE(CONTROL!$C$21, $C$9, 100%, $E$9)</f>
        <v>74.697999999999993</v>
      </c>
      <c r="E878" s="10">
        <f>CHOOSE(CONTROL!$C$42, 74.7318, 74.7318) * CHOOSE(CONTROL!$C$21, $C$9, 100%, $E$9)</f>
        <v>74.731800000000007</v>
      </c>
      <c r="F878" s="10">
        <f>CHOOSE(CONTROL!$C$42, 74.634, 74.634)*CHOOSE(CONTROL!$C$21, $C$9, 100%, $E$9)</f>
        <v>74.634</v>
      </c>
      <c r="G878" s="10">
        <f>CHOOSE(CONTROL!$C$42, 74.6486, 74.6486)*CHOOSE(CONTROL!$C$21, $C$9, 100%, $E$9)</f>
        <v>74.648600000000002</v>
      </c>
      <c r="H878" s="10">
        <f>CHOOSE(CONTROL!$C$42, 74.721, 74.721) * CHOOSE(CONTROL!$C$21, $C$9, 100%, $E$9)</f>
        <v>74.721000000000004</v>
      </c>
      <c r="I878" s="10">
        <f>CHOOSE(CONTROL!$C$42, 74.6468, 74.6468)* CHOOSE(CONTROL!$C$21, $C$9, 100%, $E$9)</f>
        <v>74.646799999999999</v>
      </c>
      <c r="J878" s="10">
        <f>CHOOSE(CONTROL!$C$42, 74.627, 74.627)* CHOOSE(CONTROL!$C$21, $C$9, 100%, $E$9)</f>
        <v>74.626999999999995</v>
      </c>
      <c r="K878" s="53">
        <f>CHOOSE(CONTROL!$C$42, 74.6429, 74.6429) * CHOOSE(CONTROL!$C$21, $C$9, 100%, $E$9)</f>
        <v>74.642899999999997</v>
      </c>
      <c r="L878" s="10">
        <f>CHOOSE(CONTROL!$C$42, 75.308, 75.308) * CHOOSE(CONTROL!$C$21, $C$9, 100%, $E$9)</f>
        <v>75.308000000000007</v>
      </c>
      <c r="M878" s="10">
        <f>CHOOSE(CONTROL!$C$42, 73.8877, 73.8877) * CHOOSE(CONTROL!$C$21, $C$9, 100%, $E$9)</f>
        <v>73.887699999999995</v>
      </c>
      <c r="N878" s="10">
        <f>CHOOSE(CONTROL!$C$42, 73.9022, 73.9022) * CHOOSE(CONTROL!$C$21, $C$9, 100%, $E$9)</f>
        <v>73.902199999999993</v>
      </c>
      <c r="O878" s="10">
        <f>CHOOSE(CONTROL!$C$42, 73.9808, 73.9808) * CHOOSE(CONTROL!$C$21, $C$9, 100%, $E$9)</f>
        <v>73.980800000000002</v>
      </c>
      <c r="P878" s="10">
        <f>CHOOSE(CONTROL!$C$42, 73.9074, 73.9074) * CHOOSE(CONTROL!$C$21, $C$9, 100%, $E$9)</f>
        <v>73.907399999999996</v>
      </c>
      <c r="Q878" s="10">
        <f>CHOOSE(CONTROL!$C$42, 74.5761, 74.5761) * CHOOSE(CONTROL!$C$21, $C$9, 100%, $E$9)</f>
        <v>74.576099999999997</v>
      </c>
      <c r="R878" s="10">
        <f>CHOOSE(CONTROL!$C$42, 75.3495, 75.3495) * CHOOSE(CONTROL!$C$21, $C$9, 100%, $E$9)</f>
        <v>75.349500000000006</v>
      </c>
      <c r="S878" s="10">
        <f>CHOOSE(CONTROL!$C$42, 72.4769, 72.4769) * CHOOSE(CONTROL!$C$21, $C$9, 100%, $E$9)</f>
        <v>72.476900000000001</v>
      </c>
      <c r="T8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57">
        <f>(1000*CHOOSE(CONTROL!$C$42, 695, 695)*CHOOSE(CONTROL!$C$42, 0.5599, 0.5599)*CHOOSE(CONTROL!$C$42, 28, 28))/1000000</f>
        <v>10.895653999999999</v>
      </c>
      <c r="V878" s="57">
        <f>(1000*CHOOSE(CONTROL!$C$42, 500, 500)*CHOOSE(CONTROL!$C$42, 0.275, 0.275)*CHOOSE(CONTROL!$C$42, 28, 28))/1000000</f>
        <v>3.85</v>
      </c>
      <c r="W878" s="57">
        <f>(1000*CHOOSE(CONTROL!$C$42, 0.1146, 0.1146)*CHOOSE(CONTROL!$C$42, 121.5, 121.5)*CHOOSE(CONTROL!$C$42, 28, 28))/1000000</f>
        <v>0.38986920000000003</v>
      </c>
      <c r="X878" s="57">
        <f>(28*0.1790888*100000/1000000)+(28*0.2374*100000/1000000)</f>
        <v>1.16616864</v>
      </c>
      <c r="Y878" s="57"/>
      <c r="Z878" s="10"/>
      <c r="AA878" s="56"/>
      <c r="AB878" s="50">
        <f>(B878*122.58+C878*297.941+D878*89.177+E878*40.302+F878*40+G878*160+H878*0+I878*100+J878*300)/(122.58+297.941+89.177+40.302+0+40+160+100+300)</f>
        <v>74.645735313565211</v>
      </c>
      <c r="AC878" s="45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73.933565467625897</v>
      </c>
    </row>
    <row r="879" spans="1:29" ht="15.75" x14ac:dyDescent="0.25">
      <c r="A879" s="13">
        <v>67662</v>
      </c>
      <c r="B879" s="10">
        <f>CHOOSE(CONTROL!$C$42, 72.5171, 72.5171) * CHOOSE(CONTROL!$C$21, $C$9, 100%, $E$9)</f>
        <v>72.517099999999999</v>
      </c>
      <c r="C879" s="10">
        <f>CHOOSE(CONTROL!$C$42, 72.5221, 72.5221) * CHOOSE(CONTROL!$C$21, $C$9, 100%, $E$9)</f>
        <v>72.522099999999995</v>
      </c>
      <c r="D879" s="10">
        <f>CHOOSE(CONTROL!$C$42, 72.5792, 72.5792) * CHOOSE(CONTROL!$C$21, $C$9, 100%, $E$9)</f>
        <v>72.5792</v>
      </c>
      <c r="E879" s="10">
        <f>CHOOSE(CONTROL!$C$42, 72.6129, 72.6129) * CHOOSE(CONTROL!$C$21, $C$9, 100%, $E$9)</f>
        <v>72.612899999999996</v>
      </c>
      <c r="F879" s="10">
        <f>CHOOSE(CONTROL!$C$42, 72.5149, 72.5149)*CHOOSE(CONTROL!$C$21, $C$9, 100%, $E$9)</f>
        <v>72.514899999999997</v>
      </c>
      <c r="G879" s="10">
        <f>CHOOSE(CONTROL!$C$42, 72.5296, 72.5296)*CHOOSE(CONTROL!$C$21, $C$9, 100%, $E$9)</f>
        <v>72.529600000000002</v>
      </c>
      <c r="H879" s="10">
        <f>CHOOSE(CONTROL!$C$42, 72.6021, 72.6021) * CHOOSE(CONTROL!$C$21, $C$9, 100%, $E$9)</f>
        <v>72.602099999999993</v>
      </c>
      <c r="I879" s="10">
        <f>CHOOSE(CONTROL!$C$42, 72.5279, 72.5279)* CHOOSE(CONTROL!$C$21, $C$9, 100%, $E$9)</f>
        <v>72.527900000000002</v>
      </c>
      <c r="J879" s="10">
        <f>CHOOSE(CONTROL!$C$42, 72.5079, 72.5079)* CHOOSE(CONTROL!$C$21, $C$9, 100%, $E$9)</f>
        <v>72.507900000000006</v>
      </c>
      <c r="K879" s="53">
        <f>CHOOSE(CONTROL!$C$42, 72.524, 72.524) * CHOOSE(CONTROL!$C$21, $C$9, 100%, $E$9)</f>
        <v>72.524000000000001</v>
      </c>
      <c r="L879" s="10">
        <f>CHOOSE(CONTROL!$C$42, 73.1891, 73.1891) * CHOOSE(CONTROL!$C$21, $C$9, 100%, $E$9)</f>
        <v>73.189099999999996</v>
      </c>
      <c r="M879" s="10">
        <f>CHOOSE(CONTROL!$C$42, 71.79, 71.79) * CHOOSE(CONTROL!$C$21, $C$9, 100%, $E$9)</f>
        <v>71.790000000000006</v>
      </c>
      <c r="N879" s="10">
        <f>CHOOSE(CONTROL!$C$42, 71.8045, 71.8045) * CHOOSE(CONTROL!$C$21, $C$9, 100%, $E$9)</f>
        <v>71.804500000000004</v>
      </c>
      <c r="O879" s="10">
        <f>CHOOSE(CONTROL!$C$42, 71.8833, 71.8833) * CHOOSE(CONTROL!$C$21, $C$9, 100%, $E$9)</f>
        <v>71.883300000000006</v>
      </c>
      <c r="P879" s="10">
        <f>CHOOSE(CONTROL!$C$42, 71.8099, 71.8099) * CHOOSE(CONTROL!$C$21, $C$9, 100%, $E$9)</f>
        <v>71.809899999999999</v>
      </c>
      <c r="Q879" s="10">
        <f>CHOOSE(CONTROL!$C$42, 72.4786, 72.4786) * CHOOSE(CONTROL!$C$21, $C$9, 100%, $E$9)</f>
        <v>72.4786</v>
      </c>
      <c r="R879" s="10">
        <f>CHOOSE(CONTROL!$C$42, 73.2468, 73.2468) * CHOOSE(CONTROL!$C$21, $C$9, 100%, $E$9)</f>
        <v>73.246799999999993</v>
      </c>
      <c r="S879" s="10">
        <f>CHOOSE(CONTROL!$C$42, 70.4193, 70.4193) * CHOOSE(CONTROL!$C$21, $C$9, 100%, $E$9)</f>
        <v>70.419300000000007</v>
      </c>
      <c r="T8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57">
        <f>(1000*CHOOSE(CONTROL!$C$42, 695, 695)*CHOOSE(CONTROL!$C$42, 0.5599, 0.5599)*CHOOSE(CONTROL!$C$42, 31, 31))/1000000</f>
        <v>12.063045499999998</v>
      </c>
      <c r="V879" s="57">
        <f>(1000*CHOOSE(CONTROL!$C$42, 500, 500)*CHOOSE(CONTROL!$C$42, 0.275, 0.275)*CHOOSE(CONTROL!$C$42, 31, 31))/1000000</f>
        <v>4.2625000000000002</v>
      </c>
      <c r="W879" s="57">
        <f>(1000*CHOOSE(CONTROL!$C$42, 0.1146, 0.1146)*CHOOSE(CONTROL!$C$42, 121.5, 121.5)*CHOOSE(CONTROL!$C$42, 31, 31))/1000000</f>
        <v>0.43164089999999994</v>
      </c>
      <c r="X879" s="57">
        <f>(31*0.1790888*100000/1000000)+(31*0.2374*100000/1000000)</f>
        <v>1.2911152800000001</v>
      </c>
      <c r="Y879" s="57"/>
      <c r="Z879" s="10"/>
      <c r="AA879" s="56"/>
      <c r="AB879" s="50">
        <f>(B879*122.58+C879*297.941+D879*89.177+E879*40.302+F879*40+G879*160+H879*0+I879*100+J879*300)/(122.58+297.941+89.177+40.302+0+40+160+100+300)</f>
        <v>72.526770024608695</v>
      </c>
      <c r="AC879" s="45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71.835984892086344</v>
      </c>
    </row>
    <row r="880" spans="1:29" ht="15.75" x14ac:dyDescent="0.25">
      <c r="A880" s="13">
        <v>67692</v>
      </c>
      <c r="B880" s="10">
        <f>CHOOSE(CONTROL!$C$42, 72.3012, 72.3012) * CHOOSE(CONTROL!$C$21, $C$9, 100%, $E$9)</f>
        <v>72.301199999999994</v>
      </c>
      <c r="C880" s="10">
        <f>CHOOSE(CONTROL!$C$42, 72.3056, 72.3056) * CHOOSE(CONTROL!$C$21, $C$9, 100%, $E$9)</f>
        <v>72.305599999999998</v>
      </c>
      <c r="D880" s="10">
        <f>CHOOSE(CONTROL!$C$42, 72.5114, 72.5114) * CHOOSE(CONTROL!$C$21, $C$9, 100%, $E$9)</f>
        <v>72.511399999999995</v>
      </c>
      <c r="E880" s="10">
        <f>CHOOSE(CONTROL!$C$42, 72.5432, 72.5432) * CHOOSE(CONTROL!$C$21, $C$9, 100%, $E$9)</f>
        <v>72.543199999999999</v>
      </c>
      <c r="F880" s="10">
        <f>CHOOSE(CONTROL!$C$42, 72.278, 72.278)*CHOOSE(CONTROL!$C$21, $C$9, 100%, $E$9)</f>
        <v>72.278000000000006</v>
      </c>
      <c r="G880" s="10">
        <f>CHOOSE(CONTROL!$C$42, 72.2925, 72.2925)*CHOOSE(CONTROL!$C$21, $C$9, 100%, $E$9)</f>
        <v>72.292500000000004</v>
      </c>
      <c r="H880" s="10">
        <f>CHOOSE(CONTROL!$C$42, 72.533, 72.533) * CHOOSE(CONTROL!$C$21, $C$9, 100%, $E$9)</f>
        <v>72.533000000000001</v>
      </c>
      <c r="I880" s="10">
        <f>CHOOSE(CONTROL!$C$42, 72.3026, 72.3026)* CHOOSE(CONTROL!$C$21, $C$9, 100%, $E$9)</f>
        <v>72.302599999999998</v>
      </c>
      <c r="J880" s="10">
        <f>CHOOSE(CONTROL!$C$42, 72.271, 72.271)* CHOOSE(CONTROL!$C$21, $C$9, 100%, $E$9)</f>
        <v>72.271000000000001</v>
      </c>
      <c r="K880" s="53">
        <f>CHOOSE(CONTROL!$C$42, 72.2987, 72.2987) * CHOOSE(CONTROL!$C$21, $C$9, 100%, $E$9)</f>
        <v>72.298699999999997</v>
      </c>
      <c r="L880" s="10">
        <f>CHOOSE(CONTROL!$C$42, 73.12, 73.12) * CHOOSE(CONTROL!$C$21, $C$9, 100%, $E$9)</f>
        <v>73.12</v>
      </c>
      <c r="M880" s="10">
        <f>CHOOSE(CONTROL!$C$42, 71.5554, 71.5554) * CHOOSE(CONTROL!$C$21, $C$9, 100%, $E$9)</f>
        <v>71.555400000000006</v>
      </c>
      <c r="N880" s="10">
        <f>CHOOSE(CONTROL!$C$42, 71.5698, 71.5698) * CHOOSE(CONTROL!$C$21, $C$9, 100%, $E$9)</f>
        <v>71.569800000000001</v>
      </c>
      <c r="O880" s="10">
        <f>CHOOSE(CONTROL!$C$42, 71.8148, 71.8148) * CHOOSE(CONTROL!$C$21, $C$9, 100%, $E$9)</f>
        <v>71.814800000000005</v>
      </c>
      <c r="P880" s="10">
        <f>CHOOSE(CONTROL!$C$42, 71.5868, 71.5868) * CHOOSE(CONTROL!$C$21, $C$9, 100%, $E$9)</f>
        <v>71.586799999999997</v>
      </c>
      <c r="Q880" s="10">
        <f>CHOOSE(CONTROL!$C$42, 72.4101, 72.4101) * CHOOSE(CONTROL!$C$21, $C$9, 100%, $E$9)</f>
        <v>72.4101</v>
      </c>
      <c r="R880" s="10">
        <f>CHOOSE(CONTROL!$C$42, 73.1782, 73.1782) * CHOOSE(CONTROL!$C$21, $C$9, 100%, $E$9)</f>
        <v>73.178200000000004</v>
      </c>
      <c r="S880" s="10">
        <f>CHOOSE(CONTROL!$C$42, 70.2088, 70.2088) * CHOOSE(CONTROL!$C$21, $C$9, 100%, $E$9)</f>
        <v>70.208799999999997</v>
      </c>
      <c r="T8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57">
        <f>(1000*CHOOSE(CONTROL!$C$42, 695, 695)*CHOOSE(CONTROL!$C$42, 0.5599, 0.5599)*CHOOSE(CONTROL!$C$42, 30, 30))/1000000</f>
        <v>11.673914999999997</v>
      </c>
      <c r="V880" s="57">
        <f>(1000*CHOOSE(CONTROL!$C$42, 500, 500)*CHOOSE(CONTROL!$C$42, 0.275, 0.275)*CHOOSE(CONTROL!$C$42, 30, 30))/1000000</f>
        <v>4.125</v>
      </c>
      <c r="W880" s="57">
        <f>(1000*CHOOSE(CONTROL!$C$42, 0.1146, 0.1146)*CHOOSE(CONTROL!$C$42, 121.5, 121.5)*CHOOSE(CONTROL!$C$42, 30, 30))/1000000</f>
        <v>0.417717</v>
      </c>
      <c r="X880" s="57">
        <f>(30*0.1790888*245000/1000000)+(30*0.2374*100000/1000000)</f>
        <v>2.0285026799999999</v>
      </c>
      <c r="Y880" s="57"/>
      <c r="Z880" s="10"/>
      <c r="AA880" s="56"/>
      <c r="AB880" s="50">
        <f>(B880*141.293+C880*267.993+D880*115.016+E880*89.698+F880*40+G880*185+H880*0+I880*100+J880*300)/(141.293+267.993+115.016+89.698+0+40+185+100+300)</f>
        <v>72.329936842937855</v>
      </c>
      <c r="AC880" s="45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71.678316546762588</v>
      </c>
    </row>
    <row r="881" spans="1:29" ht="15.75" x14ac:dyDescent="0.25">
      <c r="A881" s="13">
        <v>67723</v>
      </c>
      <c r="B881" s="10">
        <f>CHOOSE(CONTROL!$C$42, 72.9407, 72.9407) * CHOOSE(CONTROL!$C$21, $C$9, 100%, $E$9)</f>
        <v>72.940700000000007</v>
      </c>
      <c r="C881" s="10">
        <f>CHOOSE(CONTROL!$C$42, 72.9486, 72.9486) * CHOOSE(CONTROL!$C$21, $C$9, 100%, $E$9)</f>
        <v>72.948599999999999</v>
      </c>
      <c r="D881" s="10">
        <f>CHOOSE(CONTROL!$C$42, 73.1513, 73.1513) * CHOOSE(CONTROL!$C$21, $C$9, 100%, $E$9)</f>
        <v>73.151300000000006</v>
      </c>
      <c r="E881" s="10">
        <f>CHOOSE(CONTROL!$C$42, 73.1825, 73.1825) * CHOOSE(CONTROL!$C$21, $C$9, 100%, $E$9)</f>
        <v>73.182500000000005</v>
      </c>
      <c r="F881" s="10">
        <f>CHOOSE(CONTROL!$C$42, 72.9164, 72.9164)*CHOOSE(CONTROL!$C$21, $C$9, 100%, $E$9)</f>
        <v>72.916399999999996</v>
      </c>
      <c r="G881" s="10">
        <f>CHOOSE(CONTROL!$C$42, 72.9314, 72.9314)*CHOOSE(CONTROL!$C$21, $C$9, 100%, $E$9)</f>
        <v>72.931399999999996</v>
      </c>
      <c r="H881" s="10">
        <f>CHOOSE(CONTROL!$C$42, 73.1711, 73.1711) * CHOOSE(CONTROL!$C$21, $C$9, 100%, $E$9)</f>
        <v>73.171099999999996</v>
      </c>
      <c r="I881" s="10">
        <f>CHOOSE(CONTROL!$C$42, 72.9407, 72.9407)* CHOOSE(CONTROL!$C$21, $C$9, 100%, $E$9)</f>
        <v>72.940700000000007</v>
      </c>
      <c r="J881" s="10">
        <f>CHOOSE(CONTROL!$C$42, 72.9094, 72.9094)* CHOOSE(CONTROL!$C$21, $C$9, 100%, $E$9)</f>
        <v>72.909400000000005</v>
      </c>
      <c r="K881" s="53">
        <f>CHOOSE(CONTROL!$C$42, 72.9368, 72.9368) * CHOOSE(CONTROL!$C$21, $C$9, 100%, $E$9)</f>
        <v>72.936800000000005</v>
      </c>
      <c r="L881" s="10">
        <f>CHOOSE(CONTROL!$C$42, 73.7581, 73.7581) * CHOOSE(CONTROL!$C$21, $C$9, 100%, $E$9)</f>
        <v>73.758099999999999</v>
      </c>
      <c r="M881" s="10">
        <f>CHOOSE(CONTROL!$C$42, 72.1874, 72.1874) * CHOOSE(CONTROL!$C$21, $C$9, 100%, $E$9)</f>
        <v>72.187399999999997</v>
      </c>
      <c r="N881" s="10">
        <f>CHOOSE(CONTROL!$C$42, 72.2023, 72.2023) * CHOOSE(CONTROL!$C$21, $C$9, 100%, $E$9)</f>
        <v>72.202299999999994</v>
      </c>
      <c r="O881" s="10">
        <f>CHOOSE(CONTROL!$C$42, 72.4465, 72.4465) * CHOOSE(CONTROL!$C$21, $C$9, 100%, $E$9)</f>
        <v>72.4465</v>
      </c>
      <c r="P881" s="10">
        <f>CHOOSE(CONTROL!$C$42, 72.2185, 72.2185) * CHOOSE(CONTROL!$C$21, $C$9, 100%, $E$9)</f>
        <v>72.218500000000006</v>
      </c>
      <c r="Q881" s="10">
        <f>CHOOSE(CONTROL!$C$42, 73.0418, 73.0418) * CHOOSE(CONTROL!$C$21, $C$9, 100%, $E$9)</f>
        <v>73.041799999999995</v>
      </c>
      <c r="R881" s="10">
        <f>CHOOSE(CONTROL!$C$42, 73.8114, 73.8114) * CHOOSE(CONTROL!$C$21, $C$9, 100%, $E$9)</f>
        <v>73.811400000000006</v>
      </c>
      <c r="S881" s="10">
        <f>CHOOSE(CONTROL!$C$42, 70.8285, 70.8285) * CHOOSE(CONTROL!$C$21, $C$9, 100%, $E$9)</f>
        <v>70.828500000000005</v>
      </c>
      <c r="T8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57">
        <f>(1000*CHOOSE(CONTROL!$C$42, 695, 695)*CHOOSE(CONTROL!$C$42, 0.5599, 0.5599)*CHOOSE(CONTROL!$C$42, 31, 31))/1000000</f>
        <v>12.063045499999998</v>
      </c>
      <c r="V881" s="57">
        <f>(1000*CHOOSE(CONTROL!$C$42, 500, 500)*CHOOSE(CONTROL!$C$42, 0.275, 0.275)*CHOOSE(CONTROL!$C$42, 31, 31))/1000000</f>
        <v>4.2625000000000002</v>
      </c>
      <c r="W881" s="57">
        <f>(1000*CHOOSE(CONTROL!$C$42, 0.1146, 0.1146)*CHOOSE(CONTROL!$C$42, 121.5, 121.5)*CHOOSE(CONTROL!$C$42, 31, 31))/1000000</f>
        <v>0.43164089999999994</v>
      </c>
      <c r="X881" s="57">
        <f>(31*0.1790888*245000/1000000)+(31*0.2374*100000/1000000)</f>
        <v>2.0961194359999999</v>
      </c>
      <c r="Y881" s="57"/>
      <c r="Z881" s="10"/>
      <c r="AA881" s="56"/>
      <c r="AB881" s="50">
        <f>(B881*194.205+C881*267.466+D881*133.845+E881*53.484+F881*40+G881*185+H881*0+I881*100+J881*300)/(194.205+267.466+133.845+53.484+0+40+185+100+300)</f>
        <v>72.965151075039259</v>
      </c>
      <c r="AC881" s="45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72.310166187050356</v>
      </c>
    </row>
    <row r="882" spans="1:29" ht="15.75" x14ac:dyDescent="0.25">
      <c r="A882" s="13">
        <v>67753</v>
      </c>
      <c r="B882" s="10">
        <f>CHOOSE(CONTROL!$C$42, 75.0096, 75.0096) * CHOOSE(CONTROL!$C$21, $C$9, 100%, $E$9)</f>
        <v>75.009600000000006</v>
      </c>
      <c r="C882" s="10">
        <f>CHOOSE(CONTROL!$C$42, 75.0175, 75.0175) * CHOOSE(CONTROL!$C$21, $C$9, 100%, $E$9)</f>
        <v>75.017499999999998</v>
      </c>
      <c r="D882" s="10">
        <f>CHOOSE(CONTROL!$C$42, 75.2202, 75.2202) * CHOOSE(CONTROL!$C$21, $C$9, 100%, $E$9)</f>
        <v>75.220200000000006</v>
      </c>
      <c r="E882" s="10">
        <f>CHOOSE(CONTROL!$C$42, 75.2514, 75.2514) * CHOOSE(CONTROL!$C$21, $C$9, 100%, $E$9)</f>
        <v>75.251400000000004</v>
      </c>
      <c r="F882" s="10">
        <f>CHOOSE(CONTROL!$C$42, 74.9858, 74.9858)*CHOOSE(CONTROL!$C$21, $C$9, 100%, $E$9)</f>
        <v>74.985799999999998</v>
      </c>
      <c r="G882" s="10">
        <f>CHOOSE(CONTROL!$C$42, 75.001, 75.001)*CHOOSE(CONTROL!$C$21, $C$9, 100%, $E$9)</f>
        <v>75.001000000000005</v>
      </c>
      <c r="H882" s="10">
        <f>CHOOSE(CONTROL!$C$42, 75.24, 75.24) * CHOOSE(CONTROL!$C$21, $C$9, 100%, $E$9)</f>
        <v>75.239999999999995</v>
      </c>
      <c r="I882" s="10">
        <f>CHOOSE(CONTROL!$C$42, 75.0096, 75.0096)* CHOOSE(CONTROL!$C$21, $C$9, 100%, $E$9)</f>
        <v>75.009600000000006</v>
      </c>
      <c r="J882" s="10">
        <f>CHOOSE(CONTROL!$C$42, 74.9788, 74.9788)* CHOOSE(CONTROL!$C$21, $C$9, 100%, $E$9)</f>
        <v>74.978800000000007</v>
      </c>
      <c r="K882" s="53">
        <f>CHOOSE(CONTROL!$C$42, 75.0057, 75.0057) * CHOOSE(CONTROL!$C$21, $C$9, 100%, $E$9)</f>
        <v>75.005700000000004</v>
      </c>
      <c r="L882" s="10">
        <f>CHOOSE(CONTROL!$C$42, 75.827, 75.827) * CHOOSE(CONTROL!$C$21, $C$9, 100%, $E$9)</f>
        <v>75.826999999999998</v>
      </c>
      <c r="M882" s="10">
        <f>CHOOSE(CONTROL!$C$42, 74.236, 74.236) * CHOOSE(CONTROL!$C$21, $C$9, 100%, $E$9)</f>
        <v>74.236000000000004</v>
      </c>
      <c r="N882" s="10">
        <f>CHOOSE(CONTROL!$C$42, 74.251, 74.251) * CHOOSE(CONTROL!$C$21, $C$9, 100%, $E$9)</f>
        <v>74.251000000000005</v>
      </c>
      <c r="O882" s="10">
        <f>CHOOSE(CONTROL!$C$42, 74.4945, 74.4945) * CHOOSE(CONTROL!$C$21, $C$9, 100%, $E$9)</f>
        <v>74.494500000000002</v>
      </c>
      <c r="P882" s="10">
        <f>CHOOSE(CONTROL!$C$42, 74.2665, 74.2665) * CHOOSE(CONTROL!$C$21, $C$9, 100%, $E$9)</f>
        <v>74.266499999999994</v>
      </c>
      <c r="Q882" s="10">
        <f>CHOOSE(CONTROL!$C$42, 75.0898, 75.0898) * CHOOSE(CONTROL!$C$21, $C$9, 100%, $E$9)</f>
        <v>75.089799999999997</v>
      </c>
      <c r="R882" s="10">
        <f>CHOOSE(CONTROL!$C$42, 75.8646, 75.8646) * CHOOSE(CONTROL!$C$21, $C$9, 100%, $E$9)</f>
        <v>75.864599999999996</v>
      </c>
      <c r="S882" s="10">
        <f>CHOOSE(CONTROL!$C$42, 72.8376, 72.8376) * CHOOSE(CONTROL!$C$21, $C$9, 100%, $E$9)</f>
        <v>72.837599999999995</v>
      </c>
      <c r="T8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57">
        <f>(1000*CHOOSE(CONTROL!$C$42, 695, 695)*CHOOSE(CONTROL!$C$42, 0.5599, 0.5599)*CHOOSE(CONTROL!$C$42, 30, 30))/1000000</f>
        <v>11.673914999999997</v>
      </c>
      <c r="V882" s="57">
        <f>(1000*CHOOSE(CONTROL!$C$42, 500, 500)*CHOOSE(CONTROL!$C$42, 0.275, 0.275)*CHOOSE(CONTROL!$C$42, 30, 30))/1000000</f>
        <v>4.125</v>
      </c>
      <c r="W882" s="57">
        <f>(1000*CHOOSE(CONTROL!$C$42, 0.1146, 0.1146)*CHOOSE(CONTROL!$C$42, 121.5, 121.5)*CHOOSE(CONTROL!$C$42, 30, 30))/1000000</f>
        <v>0.417717</v>
      </c>
      <c r="X882" s="57">
        <f>(30*0.1790888*245000/1000000)+(30*0.2374*100000/1000000)</f>
        <v>2.0285026799999999</v>
      </c>
      <c r="Y882" s="57"/>
      <c r="Z882" s="10"/>
      <c r="AA882" s="56"/>
      <c r="AB882" s="50">
        <f>(B882*194.205+C882*267.466+D882*133.845+E882*53.484+F882*40+G882*185+H882*0+I882*100+J882*300)/(194.205+267.466+133.845+53.484+0+40+185+100+300)</f>
        <v>75.034286161381488</v>
      </c>
      <c r="AC882" s="45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74.35841366906476</v>
      </c>
    </row>
    <row r="883" spans="1:29" ht="15.75" x14ac:dyDescent="0.25">
      <c r="A883" s="13">
        <v>67784</v>
      </c>
      <c r="B883" s="10">
        <f>CHOOSE(CONTROL!$C$42, 73.5707, 73.5707) * CHOOSE(CONTROL!$C$21, $C$9, 100%, $E$9)</f>
        <v>73.570700000000002</v>
      </c>
      <c r="C883" s="10">
        <f>CHOOSE(CONTROL!$C$42, 73.5786, 73.5786) * CHOOSE(CONTROL!$C$21, $C$9, 100%, $E$9)</f>
        <v>73.578599999999994</v>
      </c>
      <c r="D883" s="10">
        <f>CHOOSE(CONTROL!$C$42, 73.7813, 73.7813) * CHOOSE(CONTROL!$C$21, $C$9, 100%, $E$9)</f>
        <v>73.781300000000002</v>
      </c>
      <c r="E883" s="10">
        <f>CHOOSE(CONTROL!$C$42, 73.8124, 73.8124) * CHOOSE(CONTROL!$C$21, $C$9, 100%, $E$9)</f>
        <v>73.812399999999997</v>
      </c>
      <c r="F883" s="10">
        <f>CHOOSE(CONTROL!$C$42, 73.5474, 73.5474)*CHOOSE(CONTROL!$C$21, $C$9, 100%, $E$9)</f>
        <v>73.547399999999996</v>
      </c>
      <c r="G883" s="10">
        <f>CHOOSE(CONTROL!$C$42, 73.5627, 73.5627)*CHOOSE(CONTROL!$C$21, $C$9, 100%, $E$9)</f>
        <v>73.562700000000007</v>
      </c>
      <c r="H883" s="10">
        <f>CHOOSE(CONTROL!$C$42, 73.8011, 73.8011) * CHOOSE(CONTROL!$C$21, $C$9, 100%, $E$9)</f>
        <v>73.801100000000005</v>
      </c>
      <c r="I883" s="10">
        <f>CHOOSE(CONTROL!$C$42, 73.5707, 73.5707)* CHOOSE(CONTROL!$C$21, $C$9, 100%, $E$9)</f>
        <v>73.570700000000002</v>
      </c>
      <c r="J883" s="10">
        <f>CHOOSE(CONTROL!$C$42, 73.5404, 73.5404)* CHOOSE(CONTROL!$C$21, $C$9, 100%, $E$9)</f>
        <v>73.540400000000005</v>
      </c>
      <c r="K883" s="53">
        <f>CHOOSE(CONTROL!$C$42, 73.5668, 73.5668) * CHOOSE(CONTROL!$C$21, $C$9, 100%, $E$9)</f>
        <v>73.566800000000001</v>
      </c>
      <c r="L883" s="10">
        <f>CHOOSE(CONTROL!$C$42, 74.3881, 74.3881) * CHOOSE(CONTROL!$C$21, $C$9, 100%, $E$9)</f>
        <v>74.388099999999994</v>
      </c>
      <c r="M883" s="10">
        <f>CHOOSE(CONTROL!$C$42, 72.8121, 72.8121) * CHOOSE(CONTROL!$C$21, $C$9, 100%, $E$9)</f>
        <v>72.812100000000001</v>
      </c>
      <c r="N883" s="10">
        <f>CHOOSE(CONTROL!$C$42, 72.8272, 72.8272) * CHOOSE(CONTROL!$C$21, $C$9, 100%, $E$9)</f>
        <v>72.827200000000005</v>
      </c>
      <c r="O883" s="10">
        <f>CHOOSE(CONTROL!$C$42, 73.0701, 73.0701) * CHOOSE(CONTROL!$C$21, $C$9, 100%, $E$9)</f>
        <v>73.070099999999996</v>
      </c>
      <c r="P883" s="10">
        <f>CHOOSE(CONTROL!$C$42, 72.8421, 72.8421) * CHOOSE(CONTROL!$C$21, $C$9, 100%, $E$9)</f>
        <v>72.842100000000002</v>
      </c>
      <c r="Q883" s="10">
        <f>CHOOSE(CONTROL!$C$42, 73.6654, 73.6654) * CHOOSE(CONTROL!$C$21, $C$9, 100%, $E$9)</f>
        <v>73.665400000000005</v>
      </c>
      <c r="R883" s="10">
        <f>CHOOSE(CONTROL!$C$42, 74.4366, 74.4366) * CHOOSE(CONTROL!$C$21, $C$9, 100%, $E$9)</f>
        <v>74.436599999999999</v>
      </c>
      <c r="S883" s="10">
        <f>CHOOSE(CONTROL!$C$42, 71.4402, 71.4402) * CHOOSE(CONTROL!$C$21, $C$9, 100%, $E$9)</f>
        <v>71.440200000000004</v>
      </c>
      <c r="T8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57">
        <f>(1000*CHOOSE(CONTROL!$C$42, 695, 695)*CHOOSE(CONTROL!$C$42, 0.5599, 0.5599)*CHOOSE(CONTROL!$C$42, 31, 31))/1000000</f>
        <v>12.063045499999998</v>
      </c>
      <c r="V883" s="57">
        <f>(1000*CHOOSE(CONTROL!$C$42, 500, 500)*CHOOSE(CONTROL!$C$42, 0.275, 0.275)*CHOOSE(CONTROL!$C$42, 31, 31))/1000000</f>
        <v>4.2625000000000002</v>
      </c>
      <c r="W883" s="57">
        <f>(1000*CHOOSE(CONTROL!$C$42, 0.1146, 0.1146)*CHOOSE(CONTROL!$C$42, 121.5, 121.5)*CHOOSE(CONTROL!$C$42, 31, 31))/1000000</f>
        <v>0.43164089999999994</v>
      </c>
      <c r="X883" s="57">
        <f>(31*0.1790888*245000/1000000)+(31*0.2374*100000/1000000)</f>
        <v>2.0961194359999999</v>
      </c>
      <c r="Y883" s="57"/>
      <c r="Z883" s="10"/>
      <c r="AA883" s="56"/>
      <c r="AB883" s="50">
        <f>(B883*194.205+C883*267.466+D883*133.845+E883*53.484+F883*40+G883*185+H883*0+I883*100+J883*300)/(194.205+267.466+133.845+53.484+0+40+185+100+300)</f>
        <v>73.595602528414446</v>
      </c>
      <c r="AC883" s="45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72.934220863309349</v>
      </c>
    </row>
    <row r="884" spans="1:29" ht="15.75" x14ac:dyDescent="0.25">
      <c r="A884" s="13">
        <v>67815</v>
      </c>
      <c r="B884" s="10">
        <f>CHOOSE(CONTROL!$C$42, 69.9369, 69.9369) * CHOOSE(CONTROL!$C$21, $C$9, 100%, $E$9)</f>
        <v>69.936899999999994</v>
      </c>
      <c r="C884" s="10">
        <f>CHOOSE(CONTROL!$C$42, 69.9448, 69.9448) * CHOOSE(CONTROL!$C$21, $C$9, 100%, $E$9)</f>
        <v>69.944800000000001</v>
      </c>
      <c r="D884" s="10">
        <f>CHOOSE(CONTROL!$C$42, 70.1475, 70.1475) * CHOOSE(CONTROL!$C$21, $C$9, 100%, $E$9)</f>
        <v>70.147499999999994</v>
      </c>
      <c r="E884" s="10">
        <f>CHOOSE(CONTROL!$C$42, 70.1787, 70.1787) * CHOOSE(CONTROL!$C$21, $C$9, 100%, $E$9)</f>
        <v>70.178700000000006</v>
      </c>
      <c r="F884" s="10">
        <f>CHOOSE(CONTROL!$C$42, 69.9138, 69.9138)*CHOOSE(CONTROL!$C$21, $C$9, 100%, $E$9)</f>
        <v>69.913799999999995</v>
      </c>
      <c r="G884" s="10">
        <f>CHOOSE(CONTROL!$C$42, 69.9291, 69.9291)*CHOOSE(CONTROL!$C$21, $C$9, 100%, $E$9)</f>
        <v>69.929100000000005</v>
      </c>
      <c r="H884" s="10">
        <f>CHOOSE(CONTROL!$C$42, 70.1673, 70.1673) * CHOOSE(CONTROL!$C$21, $C$9, 100%, $E$9)</f>
        <v>70.167299999999997</v>
      </c>
      <c r="I884" s="10">
        <f>CHOOSE(CONTROL!$C$42, 69.9369, 69.9369)* CHOOSE(CONTROL!$C$21, $C$9, 100%, $E$9)</f>
        <v>69.936899999999994</v>
      </c>
      <c r="J884" s="10">
        <f>CHOOSE(CONTROL!$C$42, 69.9068, 69.9068)* CHOOSE(CONTROL!$C$21, $C$9, 100%, $E$9)</f>
        <v>69.906800000000004</v>
      </c>
      <c r="K884" s="53">
        <f>CHOOSE(CONTROL!$C$42, 69.933, 69.933) * CHOOSE(CONTROL!$C$21, $C$9, 100%, $E$9)</f>
        <v>69.933000000000007</v>
      </c>
      <c r="L884" s="10">
        <f>CHOOSE(CONTROL!$C$42, 70.7543, 70.7543) * CHOOSE(CONTROL!$C$21, $C$9, 100%, $E$9)</f>
        <v>70.754300000000001</v>
      </c>
      <c r="M884" s="10">
        <f>CHOOSE(CONTROL!$C$42, 69.2152, 69.2152) * CHOOSE(CONTROL!$C$21, $C$9, 100%, $E$9)</f>
        <v>69.215199999999996</v>
      </c>
      <c r="N884" s="10">
        <f>CHOOSE(CONTROL!$C$42, 69.2303, 69.2303) * CHOOSE(CONTROL!$C$21, $C$9, 100%, $E$9)</f>
        <v>69.2303</v>
      </c>
      <c r="O884" s="10">
        <f>CHOOSE(CONTROL!$C$42, 69.473, 69.473) * CHOOSE(CONTROL!$C$21, $C$9, 100%, $E$9)</f>
        <v>69.472999999999999</v>
      </c>
      <c r="P884" s="10">
        <f>CHOOSE(CONTROL!$C$42, 69.245, 69.245) * CHOOSE(CONTROL!$C$21, $C$9, 100%, $E$9)</f>
        <v>69.245000000000005</v>
      </c>
      <c r="Q884" s="10">
        <f>CHOOSE(CONTROL!$C$42, 70.0683, 70.0683) * CHOOSE(CONTROL!$C$21, $C$9, 100%, $E$9)</f>
        <v>70.068299999999994</v>
      </c>
      <c r="R884" s="10">
        <f>CHOOSE(CONTROL!$C$42, 70.8305, 70.8305) * CHOOSE(CONTROL!$C$21, $C$9, 100%, $E$9)</f>
        <v>70.830500000000001</v>
      </c>
      <c r="S884" s="10">
        <f>CHOOSE(CONTROL!$C$42, 67.9115, 67.9115) * CHOOSE(CONTROL!$C$21, $C$9, 100%, $E$9)</f>
        <v>67.911500000000004</v>
      </c>
      <c r="T8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57">
        <f>(1000*CHOOSE(CONTROL!$C$42, 695, 695)*CHOOSE(CONTROL!$C$42, 0.5599, 0.5599)*CHOOSE(CONTROL!$C$42, 31, 31))/1000000</f>
        <v>12.063045499999998</v>
      </c>
      <c r="V884" s="57">
        <f>(1000*CHOOSE(CONTROL!$C$42, 500, 500)*CHOOSE(CONTROL!$C$42, 0.275, 0.275)*CHOOSE(CONTROL!$C$42, 31, 31))/1000000</f>
        <v>4.2625000000000002</v>
      </c>
      <c r="W884" s="57">
        <f>(1000*CHOOSE(CONTROL!$C$42, 0.1146, 0.1146)*CHOOSE(CONTROL!$C$42, 121.5, 121.5)*CHOOSE(CONTROL!$C$42, 31, 31))/1000000</f>
        <v>0.43164089999999994</v>
      </c>
      <c r="X884" s="57">
        <f>(31*0.1790888*245000/1000000)+(31*0.2374*100000/1000000)</f>
        <v>2.0961194359999999</v>
      </c>
      <c r="Y884" s="57"/>
      <c r="Z884" s="10"/>
      <c r="AA884" s="56"/>
      <c r="AB884" s="50">
        <f>(B884*194.205+C884*267.466+D884*133.845+E884*53.484+F884*40+G884*185+H884*0+I884*100+J884*300)/(194.205+267.466+133.845+53.484+0+40+185+100+300)</f>
        <v>69.96188914411303</v>
      </c>
      <c r="AC884" s="45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69.337201438848922</v>
      </c>
    </row>
    <row r="885" spans="1:29" ht="15.75" x14ac:dyDescent="0.25">
      <c r="A885" s="13">
        <v>67845</v>
      </c>
      <c r="B885" s="10">
        <f>CHOOSE(CONTROL!$C$42, 65.4967, 65.4967) * CHOOSE(CONTROL!$C$21, $C$9, 100%, $E$9)</f>
        <v>65.496700000000004</v>
      </c>
      <c r="C885" s="10">
        <f>CHOOSE(CONTROL!$C$42, 65.5046, 65.5046) * CHOOSE(CONTROL!$C$21, $C$9, 100%, $E$9)</f>
        <v>65.504599999999996</v>
      </c>
      <c r="D885" s="10">
        <f>CHOOSE(CONTROL!$C$42, 65.7073, 65.7073) * CHOOSE(CONTROL!$C$21, $C$9, 100%, $E$9)</f>
        <v>65.707300000000004</v>
      </c>
      <c r="E885" s="10">
        <f>CHOOSE(CONTROL!$C$42, 65.7385, 65.7385) * CHOOSE(CONTROL!$C$21, $C$9, 100%, $E$9)</f>
        <v>65.738500000000002</v>
      </c>
      <c r="F885" s="10">
        <f>CHOOSE(CONTROL!$C$42, 65.4735, 65.4735)*CHOOSE(CONTROL!$C$21, $C$9, 100%, $E$9)</f>
        <v>65.473500000000001</v>
      </c>
      <c r="G885" s="10">
        <f>CHOOSE(CONTROL!$C$42, 65.4888, 65.4888)*CHOOSE(CONTROL!$C$21, $C$9, 100%, $E$9)</f>
        <v>65.488799999999998</v>
      </c>
      <c r="H885" s="10">
        <f>CHOOSE(CONTROL!$C$42, 65.7271, 65.7271) * CHOOSE(CONTROL!$C$21, $C$9, 100%, $E$9)</f>
        <v>65.727099999999993</v>
      </c>
      <c r="I885" s="10">
        <f>CHOOSE(CONTROL!$C$42, 65.4967, 65.4967)* CHOOSE(CONTROL!$C$21, $C$9, 100%, $E$9)</f>
        <v>65.496700000000004</v>
      </c>
      <c r="J885" s="10">
        <f>CHOOSE(CONTROL!$C$42, 65.4665, 65.4665)* CHOOSE(CONTROL!$C$21, $C$9, 100%, $E$9)</f>
        <v>65.466499999999996</v>
      </c>
      <c r="K885" s="53">
        <f>CHOOSE(CONTROL!$C$42, 65.4928, 65.4928) * CHOOSE(CONTROL!$C$21, $C$9, 100%, $E$9)</f>
        <v>65.492800000000003</v>
      </c>
      <c r="L885" s="10">
        <f>CHOOSE(CONTROL!$C$42, 66.3141, 66.3141) * CHOOSE(CONTROL!$C$21, $C$9, 100%, $E$9)</f>
        <v>66.314099999999996</v>
      </c>
      <c r="M885" s="10">
        <f>CHOOSE(CONTROL!$C$42, 64.8197, 64.8197) * CHOOSE(CONTROL!$C$21, $C$9, 100%, $E$9)</f>
        <v>64.819699999999997</v>
      </c>
      <c r="N885" s="10">
        <f>CHOOSE(CONTROL!$C$42, 64.8348, 64.8348) * CHOOSE(CONTROL!$C$21, $C$9, 100%, $E$9)</f>
        <v>64.834800000000001</v>
      </c>
      <c r="O885" s="10">
        <f>CHOOSE(CONTROL!$C$42, 65.0776, 65.0776) * CHOOSE(CONTROL!$C$21, $C$9, 100%, $E$9)</f>
        <v>65.077600000000004</v>
      </c>
      <c r="P885" s="10">
        <f>CHOOSE(CONTROL!$C$42, 64.8496, 64.8496) * CHOOSE(CONTROL!$C$21, $C$9, 100%, $E$9)</f>
        <v>64.849599999999995</v>
      </c>
      <c r="Q885" s="10">
        <f>CHOOSE(CONTROL!$C$42, 65.6729, 65.6729) * CHOOSE(CONTROL!$C$21, $C$9, 100%, $E$9)</f>
        <v>65.672899999999998</v>
      </c>
      <c r="R885" s="10">
        <f>CHOOSE(CONTROL!$C$42, 66.4241, 66.4241) * CHOOSE(CONTROL!$C$21, $C$9, 100%, $E$9)</f>
        <v>66.424099999999996</v>
      </c>
      <c r="S885" s="10">
        <f>CHOOSE(CONTROL!$C$42, 63.5996, 63.5996) * CHOOSE(CONTROL!$C$21, $C$9, 100%, $E$9)</f>
        <v>63.599600000000002</v>
      </c>
      <c r="T8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57">
        <f>(1000*CHOOSE(CONTROL!$C$42, 695, 695)*CHOOSE(CONTROL!$C$42, 0.5599, 0.5599)*CHOOSE(CONTROL!$C$42, 30, 30))/1000000</f>
        <v>11.673914999999997</v>
      </c>
      <c r="V885" s="57">
        <f>(1000*CHOOSE(CONTROL!$C$42, 500, 500)*CHOOSE(CONTROL!$C$42, 0.275, 0.275)*CHOOSE(CONTROL!$C$42, 30, 30))/1000000</f>
        <v>4.125</v>
      </c>
      <c r="W885" s="57">
        <f>(1000*CHOOSE(CONTROL!$C$42, 0.1146, 0.1146)*CHOOSE(CONTROL!$C$42, 121.5, 121.5)*CHOOSE(CONTROL!$C$42, 30, 30))/1000000</f>
        <v>0.417717</v>
      </c>
      <c r="X885" s="57">
        <f>(30*0.1790888*245000/1000000)+(30*0.2374*100000/1000000)</f>
        <v>2.0285026799999999</v>
      </c>
      <c r="Y885" s="57"/>
      <c r="Z885" s="10"/>
      <c r="AA885" s="56"/>
      <c r="AB885" s="50">
        <f>(B885*194.205+C885*267.466+D885*133.845+E885*53.484+F885*40+G885*185+H885*0+I885*100+J885*300)/(194.205+267.466+133.845+53.484+0+40+185+100+300)</f>
        <v>65.521647935321823</v>
      </c>
      <c r="AC885" s="45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64.941761151079135</v>
      </c>
    </row>
    <row r="886" spans="1:29" ht="15.75" x14ac:dyDescent="0.25">
      <c r="A886" s="13">
        <v>67876</v>
      </c>
      <c r="B886" s="10">
        <f>CHOOSE(CONTROL!$C$42, 64.1652, 64.1652) * CHOOSE(CONTROL!$C$21, $C$9, 100%, $E$9)</f>
        <v>64.165199999999999</v>
      </c>
      <c r="C886" s="10">
        <f>CHOOSE(CONTROL!$C$42, 64.1704, 64.1704) * CHOOSE(CONTROL!$C$21, $C$9, 100%, $E$9)</f>
        <v>64.170400000000001</v>
      </c>
      <c r="D886" s="10">
        <f>CHOOSE(CONTROL!$C$42, 64.3781, 64.3781) * CHOOSE(CONTROL!$C$21, $C$9, 100%, $E$9)</f>
        <v>64.378100000000003</v>
      </c>
      <c r="E886" s="10">
        <f>CHOOSE(CONTROL!$C$42, 64.4069, 64.4069) * CHOOSE(CONTROL!$C$21, $C$9, 100%, $E$9)</f>
        <v>64.406899999999993</v>
      </c>
      <c r="F886" s="10">
        <f>CHOOSE(CONTROL!$C$42, 64.1439, 64.1439)*CHOOSE(CONTROL!$C$21, $C$9, 100%, $E$9)</f>
        <v>64.143900000000002</v>
      </c>
      <c r="G886" s="10">
        <f>CHOOSE(CONTROL!$C$42, 64.1589, 64.1589)*CHOOSE(CONTROL!$C$21, $C$9, 100%, $E$9)</f>
        <v>64.158900000000003</v>
      </c>
      <c r="H886" s="10">
        <f>CHOOSE(CONTROL!$C$42, 64.3974, 64.3974) * CHOOSE(CONTROL!$C$21, $C$9, 100%, $E$9)</f>
        <v>64.397400000000005</v>
      </c>
      <c r="I886" s="10">
        <f>CHOOSE(CONTROL!$C$42, 64.167, 64.167)* CHOOSE(CONTROL!$C$21, $C$9, 100%, $E$9)</f>
        <v>64.167000000000002</v>
      </c>
      <c r="J886" s="10">
        <f>CHOOSE(CONTROL!$C$42, 64.1369, 64.1369)* CHOOSE(CONTROL!$C$21, $C$9, 100%, $E$9)</f>
        <v>64.136899999999997</v>
      </c>
      <c r="K886" s="53">
        <f>CHOOSE(CONTROL!$C$42, 64.1631, 64.1631) * CHOOSE(CONTROL!$C$21, $C$9, 100%, $E$9)</f>
        <v>64.1631</v>
      </c>
      <c r="L886" s="10">
        <f>CHOOSE(CONTROL!$C$42, 64.9844, 64.9844) * CHOOSE(CONTROL!$C$21, $C$9, 100%, $E$9)</f>
        <v>64.984399999999994</v>
      </c>
      <c r="M886" s="10">
        <f>CHOOSE(CONTROL!$C$42, 63.5035, 63.5035) * CHOOSE(CONTROL!$C$21, $C$9, 100%, $E$9)</f>
        <v>63.503500000000003</v>
      </c>
      <c r="N886" s="10">
        <f>CHOOSE(CONTROL!$C$42, 63.5183, 63.5183) * CHOOSE(CONTROL!$C$21, $C$9, 100%, $E$9)</f>
        <v>63.518300000000004</v>
      </c>
      <c r="O886" s="10">
        <f>CHOOSE(CONTROL!$C$42, 63.7613, 63.7613) * CHOOSE(CONTROL!$C$21, $C$9, 100%, $E$9)</f>
        <v>63.761299999999999</v>
      </c>
      <c r="P886" s="10">
        <f>CHOOSE(CONTROL!$C$42, 63.5333, 63.5333) * CHOOSE(CONTROL!$C$21, $C$9, 100%, $E$9)</f>
        <v>63.533299999999997</v>
      </c>
      <c r="Q886" s="10">
        <f>CHOOSE(CONTROL!$C$42, 64.3566, 64.3566) * CHOOSE(CONTROL!$C$21, $C$9, 100%, $E$9)</f>
        <v>64.3566</v>
      </c>
      <c r="R886" s="10">
        <f>CHOOSE(CONTROL!$C$42, 65.1045, 65.1045) * CHOOSE(CONTROL!$C$21, $C$9, 100%, $E$9)</f>
        <v>65.104500000000002</v>
      </c>
      <c r="S886" s="10">
        <f>CHOOSE(CONTROL!$C$42, 62.3083, 62.3083) * CHOOSE(CONTROL!$C$21, $C$9, 100%, $E$9)</f>
        <v>62.308300000000003</v>
      </c>
      <c r="T8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57">
        <f>(1000*CHOOSE(CONTROL!$C$42, 695, 695)*CHOOSE(CONTROL!$C$42, 0.5599, 0.5599)*CHOOSE(CONTROL!$C$42, 31, 31))/1000000</f>
        <v>12.063045499999998</v>
      </c>
      <c r="V886" s="57">
        <f>(1000*CHOOSE(CONTROL!$C$42, 500, 500)*CHOOSE(CONTROL!$C$42, 0.275, 0.275)*CHOOSE(CONTROL!$C$42, 31, 31))/1000000</f>
        <v>4.2625000000000002</v>
      </c>
      <c r="W886" s="57">
        <f>(1000*CHOOSE(CONTROL!$C$42, 0.1146, 0.1146)*CHOOSE(CONTROL!$C$42, 121.5, 121.5)*CHOOSE(CONTROL!$C$42, 31, 31))/1000000</f>
        <v>0.43164089999999994</v>
      </c>
      <c r="X886" s="57">
        <f>(31*0.1790888*245000/1000000)+(31*0.2374*100000/1000000)</f>
        <v>2.0961194359999999</v>
      </c>
      <c r="Y886" s="57"/>
      <c r="Z886" s="10"/>
      <c r="AA886" s="56"/>
      <c r="AB886" s="50">
        <f>(B886*131.881+C886*277.167+D886*79.08+E886*125.872+F886*40+G886*185+H886*0+I886*100+J886*300)/(131.881+277.167+79.08+125.872+0+40+185+100+300)</f>
        <v>64.196171075706204</v>
      </c>
      <c r="AC886" s="45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63.625484172661878</v>
      </c>
    </row>
    <row r="887" spans="1:29" ht="15.75" x14ac:dyDescent="0.25">
      <c r="A887" s="13">
        <v>67906</v>
      </c>
      <c r="B887" s="10">
        <f>CHOOSE(CONTROL!$C$42, 65.8551, 65.8551) * CHOOSE(CONTROL!$C$21, $C$9, 100%, $E$9)</f>
        <v>65.855099999999993</v>
      </c>
      <c r="C887" s="10">
        <f>CHOOSE(CONTROL!$C$42, 65.8601, 65.8601) * CHOOSE(CONTROL!$C$21, $C$9, 100%, $E$9)</f>
        <v>65.860100000000003</v>
      </c>
      <c r="D887" s="10">
        <f>CHOOSE(CONTROL!$C$42, 65.9206, 65.9206) * CHOOSE(CONTROL!$C$21, $C$9, 100%, $E$9)</f>
        <v>65.920599999999993</v>
      </c>
      <c r="E887" s="10">
        <f>CHOOSE(CONTROL!$C$42, 65.9543, 65.9543) * CHOOSE(CONTROL!$C$21, $C$9, 100%, $E$9)</f>
        <v>65.954300000000003</v>
      </c>
      <c r="F887" s="10">
        <f>CHOOSE(CONTROL!$C$42, 65.8507, 65.8507)*CHOOSE(CONTROL!$C$21, $C$9, 100%, $E$9)</f>
        <v>65.850700000000003</v>
      </c>
      <c r="G887" s="10">
        <f>CHOOSE(CONTROL!$C$42, 65.866, 65.866)*CHOOSE(CONTROL!$C$21, $C$9, 100%, $E$9)</f>
        <v>65.866</v>
      </c>
      <c r="H887" s="10">
        <f>CHOOSE(CONTROL!$C$42, 65.9435, 65.9435) * CHOOSE(CONTROL!$C$21, $C$9, 100%, $E$9)</f>
        <v>65.9435</v>
      </c>
      <c r="I887" s="10">
        <f>CHOOSE(CONTROL!$C$42, 65.8676, 65.8676)* CHOOSE(CONTROL!$C$21, $C$9, 100%, $E$9)</f>
        <v>65.867599999999996</v>
      </c>
      <c r="J887" s="10">
        <f>CHOOSE(CONTROL!$C$42, 65.8437, 65.8437)* CHOOSE(CONTROL!$C$21, $C$9, 100%, $E$9)</f>
        <v>65.843699999999998</v>
      </c>
      <c r="K887" s="53">
        <f>CHOOSE(CONTROL!$C$42, 65.8637, 65.8637) * CHOOSE(CONTROL!$C$21, $C$9, 100%, $E$9)</f>
        <v>65.863699999999994</v>
      </c>
      <c r="L887" s="10">
        <f>CHOOSE(CONTROL!$C$42, 66.5305, 66.5305) * CHOOSE(CONTROL!$C$21, $C$9, 100%, $E$9)</f>
        <v>66.530500000000004</v>
      </c>
      <c r="M887" s="10">
        <f>CHOOSE(CONTROL!$C$42, 65.1931, 65.1931) * CHOOSE(CONTROL!$C$21, $C$9, 100%, $E$9)</f>
        <v>65.193100000000001</v>
      </c>
      <c r="N887" s="10">
        <f>CHOOSE(CONTROL!$C$42, 65.2081, 65.2081) * CHOOSE(CONTROL!$C$21, $C$9, 100%, $E$9)</f>
        <v>65.208100000000002</v>
      </c>
      <c r="O887" s="10">
        <f>CHOOSE(CONTROL!$C$42, 65.2919, 65.2919) * CHOOSE(CONTROL!$C$21, $C$9, 100%, $E$9)</f>
        <v>65.291899999999998</v>
      </c>
      <c r="P887" s="10">
        <f>CHOOSE(CONTROL!$C$42, 65.2168, 65.2168) * CHOOSE(CONTROL!$C$21, $C$9, 100%, $E$9)</f>
        <v>65.216800000000006</v>
      </c>
      <c r="Q887" s="10">
        <f>CHOOSE(CONTROL!$C$42, 65.8872, 65.8872) * CHOOSE(CONTROL!$C$21, $C$9, 100%, $E$9)</f>
        <v>65.887200000000007</v>
      </c>
      <c r="R887" s="10">
        <f>CHOOSE(CONTROL!$C$42, 66.6389, 66.6389) * CHOOSE(CONTROL!$C$21, $C$9, 100%, $E$9)</f>
        <v>66.638900000000007</v>
      </c>
      <c r="S887" s="10">
        <f>CHOOSE(CONTROL!$C$42, 63.9498, 63.9498) * CHOOSE(CONTROL!$C$21, $C$9, 100%, $E$9)</f>
        <v>63.949800000000003</v>
      </c>
      <c r="T8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57">
        <f>(1000*CHOOSE(CONTROL!$C$42, 695, 695)*CHOOSE(CONTROL!$C$42, 0.5599, 0.5599)*CHOOSE(CONTROL!$C$42, 30, 30))/1000000</f>
        <v>11.673914999999997</v>
      </c>
      <c r="V887" s="57">
        <f>(1000*CHOOSE(CONTROL!$C$42, 500, 500)*CHOOSE(CONTROL!$C$42, 0.275, 0.275)*CHOOSE(CONTROL!$C$42, 30, 30))/1000000</f>
        <v>4.125</v>
      </c>
      <c r="W887" s="57">
        <f>(1000*CHOOSE(CONTROL!$C$42, 0.1146, 0.1146)*CHOOSE(CONTROL!$C$42, 121.5, 121.5)*CHOOSE(CONTROL!$C$42, 30, 30))/1000000</f>
        <v>0.417717</v>
      </c>
      <c r="X887" s="57">
        <f>(30*0.1790888*100000/1000000)+(30*0.2374*100000/1000000)</f>
        <v>1.2494664</v>
      </c>
      <c r="Y887" s="57"/>
      <c r="Z887" s="10"/>
      <c r="AA887" s="56"/>
      <c r="AB887" s="50">
        <f>(B887*122.58+C887*297.941+D887*89.177+E887*40.302+F887*40+G887*160+H887*0+I887*100+J887*300)/(122.58+297.941+89.177+40.302+0+40+160+100+300)</f>
        <v>65.864427614695657</v>
      </c>
      <c r="AC887" s="45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65.242153237410079</v>
      </c>
    </row>
    <row r="888" spans="1:29" ht="15.75" x14ac:dyDescent="0.25">
      <c r="A888" s="13">
        <v>67937</v>
      </c>
      <c r="B888" s="10">
        <f>CHOOSE(CONTROL!$C$42, 70.3449, 70.3449) * CHOOSE(CONTROL!$C$21, $C$9, 100%, $E$9)</f>
        <v>70.344899999999996</v>
      </c>
      <c r="C888" s="10">
        <f>CHOOSE(CONTROL!$C$42, 70.3498, 70.3498) * CHOOSE(CONTROL!$C$21, $C$9, 100%, $E$9)</f>
        <v>70.349800000000002</v>
      </c>
      <c r="D888" s="10">
        <f>CHOOSE(CONTROL!$C$42, 70.4103, 70.4103) * CHOOSE(CONTROL!$C$21, $C$9, 100%, $E$9)</f>
        <v>70.410300000000007</v>
      </c>
      <c r="E888" s="10">
        <f>CHOOSE(CONTROL!$C$42, 70.4441, 70.4441) * CHOOSE(CONTROL!$C$21, $C$9, 100%, $E$9)</f>
        <v>70.444100000000006</v>
      </c>
      <c r="F888" s="10">
        <f>CHOOSE(CONTROL!$C$42, 70.3423, 70.3423)*CHOOSE(CONTROL!$C$21, $C$9, 100%, $E$9)</f>
        <v>70.342299999999994</v>
      </c>
      <c r="G888" s="10">
        <f>CHOOSE(CONTROL!$C$42, 70.358, 70.358)*CHOOSE(CONTROL!$C$21, $C$9, 100%, $E$9)</f>
        <v>70.358000000000004</v>
      </c>
      <c r="H888" s="10">
        <f>CHOOSE(CONTROL!$C$42, 70.4333, 70.4333) * CHOOSE(CONTROL!$C$21, $C$9, 100%, $E$9)</f>
        <v>70.433300000000003</v>
      </c>
      <c r="I888" s="10">
        <f>CHOOSE(CONTROL!$C$42, 70.3574, 70.3574)* CHOOSE(CONTROL!$C$21, $C$9, 100%, $E$9)</f>
        <v>70.357399999999998</v>
      </c>
      <c r="J888" s="10">
        <f>CHOOSE(CONTROL!$C$42, 70.3353, 70.3353)* CHOOSE(CONTROL!$C$21, $C$9, 100%, $E$9)</f>
        <v>70.335300000000004</v>
      </c>
      <c r="K888" s="53">
        <f>CHOOSE(CONTROL!$C$42, 70.3535, 70.3535) * CHOOSE(CONTROL!$C$21, $C$9, 100%, $E$9)</f>
        <v>70.353499999999997</v>
      </c>
      <c r="L888" s="10">
        <f>CHOOSE(CONTROL!$C$42, 71.0203, 71.0203) * CHOOSE(CONTROL!$C$21, $C$9, 100%, $E$9)</f>
        <v>71.020300000000006</v>
      </c>
      <c r="M888" s="10">
        <f>CHOOSE(CONTROL!$C$42, 69.6394, 69.6394) * CHOOSE(CONTROL!$C$21, $C$9, 100%, $E$9)</f>
        <v>69.639399999999995</v>
      </c>
      <c r="N888" s="10">
        <f>CHOOSE(CONTROL!$C$42, 69.6549, 69.6549) * CHOOSE(CONTROL!$C$21, $C$9, 100%, $E$9)</f>
        <v>69.654899999999998</v>
      </c>
      <c r="O888" s="10">
        <f>CHOOSE(CONTROL!$C$42, 69.7363, 69.7363) * CHOOSE(CONTROL!$C$21, $C$9, 100%, $E$9)</f>
        <v>69.7363</v>
      </c>
      <c r="P888" s="10">
        <f>CHOOSE(CONTROL!$C$42, 69.6612, 69.6612) * CHOOSE(CONTROL!$C$21, $C$9, 100%, $E$9)</f>
        <v>69.661199999999994</v>
      </c>
      <c r="Q888" s="10">
        <f>CHOOSE(CONTROL!$C$42, 70.3316, 70.3316) * CHOOSE(CONTROL!$C$21, $C$9, 100%, $E$9)</f>
        <v>70.331599999999995</v>
      </c>
      <c r="R888" s="10">
        <f>CHOOSE(CONTROL!$C$42, 71.0945, 71.0945) * CHOOSE(CONTROL!$C$21, $C$9, 100%, $E$9)</f>
        <v>71.094499999999996</v>
      </c>
      <c r="S888" s="10">
        <f>CHOOSE(CONTROL!$C$42, 68.3098, 68.3098) * CHOOSE(CONTROL!$C$21, $C$9, 100%, $E$9)</f>
        <v>68.309799999999996</v>
      </c>
      <c r="T8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57">
        <f>(1000*CHOOSE(CONTROL!$C$42, 695, 695)*CHOOSE(CONTROL!$C$42, 0.5599, 0.5599)*CHOOSE(CONTROL!$C$42, 31, 31))/1000000</f>
        <v>12.063045499999998</v>
      </c>
      <c r="V888" s="57">
        <f>(1000*CHOOSE(CONTROL!$C$42, 500, 500)*CHOOSE(CONTROL!$C$42, 0.275, 0.275)*CHOOSE(CONTROL!$C$42, 31, 31))/1000000</f>
        <v>4.2625000000000002</v>
      </c>
      <c r="W888" s="57">
        <f>(1000*CHOOSE(CONTROL!$C$42, 0.1146, 0.1146)*CHOOSE(CONTROL!$C$42, 121.5, 121.5)*CHOOSE(CONTROL!$C$42, 31, 31))/1000000</f>
        <v>0.43164089999999994</v>
      </c>
      <c r="X888" s="57">
        <f>(31*0.1790888*100000/1000000)+(31*0.2374*100000/1000000)</f>
        <v>1.2911152800000001</v>
      </c>
      <c r="Y888" s="57"/>
      <c r="Z888" s="10"/>
      <c r="AA888" s="56"/>
      <c r="AB888" s="50">
        <f>(B888*122.58+C888*297.941+D888*89.177+E888*40.302+F888*40+G888*160+H888*0+I888*100+J888*300)/(122.58+297.941+89.177+40.302+0+40+160+100+300)</f>
        <v>70.355032213130428</v>
      </c>
      <c r="AC888" s="45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69.687347482014388</v>
      </c>
    </row>
    <row r="889" spans="1:29" ht="15.75" x14ac:dyDescent="0.25">
      <c r="A889" s="13">
        <v>67968</v>
      </c>
      <c r="B889" s="10">
        <f>CHOOSE(CONTROL!$C$42, 76.1085, 76.1085) * CHOOSE(CONTROL!$C$21, $C$9, 100%, $E$9)</f>
        <v>76.108500000000006</v>
      </c>
      <c r="C889" s="10">
        <f>CHOOSE(CONTROL!$C$42, 76.1134, 76.1134) * CHOOSE(CONTROL!$C$21, $C$9, 100%, $E$9)</f>
        <v>76.113399999999999</v>
      </c>
      <c r="D889" s="10">
        <f>CHOOSE(CONTROL!$C$42, 76.1705, 76.1705) * CHOOSE(CONTROL!$C$21, $C$9, 100%, $E$9)</f>
        <v>76.170500000000004</v>
      </c>
      <c r="E889" s="10">
        <f>CHOOSE(CONTROL!$C$42, 76.2043, 76.2043) * CHOOSE(CONTROL!$C$21, $C$9, 100%, $E$9)</f>
        <v>76.204300000000003</v>
      </c>
      <c r="F889" s="10">
        <f>CHOOSE(CONTROL!$C$42, 76.1063, 76.1063)*CHOOSE(CONTROL!$C$21, $C$9, 100%, $E$9)</f>
        <v>76.106300000000005</v>
      </c>
      <c r="G889" s="10">
        <f>CHOOSE(CONTROL!$C$42, 76.1209, 76.1209)*CHOOSE(CONTROL!$C$21, $C$9, 100%, $E$9)</f>
        <v>76.120900000000006</v>
      </c>
      <c r="H889" s="10">
        <f>CHOOSE(CONTROL!$C$42, 76.1935, 76.1935) * CHOOSE(CONTROL!$C$21, $C$9, 100%, $E$9)</f>
        <v>76.1935</v>
      </c>
      <c r="I889" s="10">
        <f>CHOOSE(CONTROL!$C$42, 76.1193, 76.1193)* CHOOSE(CONTROL!$C$21, $C$9, 100%, $E$9)</f>
        <v>76.119299999999996</v>
      </c>
      <c r="J889" s="10">
        <f>CHOOSE(CONTROL!$C$42, 76.0993, 76.0993)* CHOOSE(CONTROL!$C$21, $C$9, 100%, $E$9)</f>
        <v>76.099299999999999</v>
      </c>
      <c r="K889" s="53">
        <f>CHOOSE(CONTROL!$C$42, 76.1154, 76.1154) * CHOOSE(CONTROL!$C$21, $C$9, 100%, $E$9)</f>
        <v>76.115399999999994</v>
      </c>
      <c r="L889" s="10">
        <f>CHOOSE(CONTROL!$C$42, 76.7805, 76.7805) * CHOOSE(CONTROL!$C$21, $C$9, 100%, $E$9)</f>
        <v>76.780500000000004</v>
      </c>
      <c r="M889" s="10">
        <f>CHOOSE(CONTROL!$C$42, 75.3451, 75.3451) * CHOOSE(CONTROL!$C$21, $C$9, 100%, $E$9)</f>
        <v>75.345100000000002</v>
      </c>
      <c r="N889" s="10">
        <f>CHOOSE(CONTROL!$C$42, 75.3596, 75.3596) * CHOOSE(CONTROL!$C$21, $C$9, 100%, $E$9)</f>
        <v>75.3596</v>
      </c>
      <c r="O889" s="10">
        <f>CHOOSE(CONTROL!$C$42, 75.4384, 75.4384) * CHOOSE(CONTROL!$C$21, $C$9, 100%, $E$9)</f>
        <v>75.438400000000001</v>
      </c>
      <c r="P889" s="10">
        <f>CHOOSE(CONTROL!$C$42, 75.365, 75.365) * CHOOSE(CONTROL!$C$21, $C$9, 100%, $E$9)</f>
        <v>75.364999999999995</v>
      </c>
      <c r="Q889" s="10">
        <f>CHOOSE(CONTROL!$C$42, 76.0337, 76.0337) * CHOOSE(CONTROL!$C$21, $C$9, 100%, $E$9)</f>
        <v>76.033699999999996</v>
      </c>
      <c r="R889" s="10">
        <f>CHOOSE(CONTROL!$C$42, 76.8108, 76.8108) * CHOOSE(CONTROL!$C$21, $C$9, 100%, $E$9)</f>
        <v>76.8108</v>
      </c>
      <c r="S889" s="10">
        <f>CHOOSE(CONTROL!$C$42, 73.9068, 73.9068) * CHOOSE(CONTROL!$C$21, $C$9, 100%, $E$9)</f>
        <v>73.906800000000004</v>
      </c>
      <c r="T8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57">
        <f>(1000*CHOOSE(CONTROL!$C$42, 695, 695)*CHOOSE(CONTROL!$C$42, 0.5599, 0.5599)*CHOOSE(CONTROL!$C$42, 31, 31))/1000000</f>
        <v>12.063045499999998</v>
      </c>
      <c r="V889" s="57">
        <f>(1000*CHOOSE(CONTROL!$C$42, 500, 500)*CHOOSE(CONTROL!$C$42, 0.275, 0.275)*CHOOSE(CONTROL!$C$42, 31, 31))/1000000</f>
        <v>4.2625000000000002</v>
      </c>
      <c r="W889" s="57">
        <f>(1000*CHOOSE(CONTROL!$C$42, 0.1146, 0.1146)*CHOOSE(CONTROL!$C$42, 121.5, 121.5)*CHOOSE(CONTROL!$C$42, 31, 31))/1000000</f>
        <v>0.43164089999999994</v>
      </c>
      <c r="X889" s="57">
        <f>(31*0.1790888*100000/1000000)+(31*0.2374*100000/1000000)</f>
        <v>1.2911152800000001</v>
      </c>
      <c r="Y889" s="57"/>
      <c r="Z889" s="10"/>
      <c r="AA889" s="56"/>
      <c r="AB889" s="50">
        <f>(B889*122.58+C889*297.941+D889*89.177+E889*40.302+F889*40+G889*160+H889*0+I889*100+J889*300)/(122.58+297.941+89.177+40.302+0+40+160+100+300)</f>
        <v>76.118122449130439</v>
      </c>
      <c r="AC889" s="45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75.39108489208634</v>
      </c>
    </row>
    <row r="890" spans="1:29" ht="15.75" x14ac:dyDescent="0.25">
      <c r="A890" s="13">
        <v>67996</v>
      </c>
      <c r="B890" s="10">
        <f>CHOOSE(CONTROL!$C$42, 77.4633, 77.4633) * CHOOSE(CONTROL!$C$21, $C$9, 100%, $E$9)</f>
        <v>77.463300000000004</v>
      </c>
      <c r="C890" s="10">
        <f>CHOOSE(CONTROL!$C$42, 77.4682, 77.4682) * CHOOSE(CONTROL!$C$21, $C$9, 100%, $E$9)</f>
        <v>77.468199999999996</v>
      </c>
      <c r="D890" s="10">
        <f>CHOOSE(CONTROL!$C$42, 77.5253, 77.5253) * CHOOSE(CONTROL!$C$21, $C$9, 100%, $E$9)</f>
        <v>77.525300000000001</v>
      </c>
      <c r="E890" s="10">
        <f>CHOOSE(CONTROL!$C$42, 77.5591, 77.5591) * CHOOSE(CONTROL!$C$21, $C$9, 100%, $E$9)</f>
        <v>77.559100000000001</v>
      </c>
      <c r="F890" s="10">
        <f>CHOOSE(CONTROL!$C$42, 77.4612, 77.4612)*CHOOSE(CONTROL!$C$21, $C$9, 100%, $E$9)</f>
        <v>77.461200000000005</v>
      </c>
      <c r="G890" s="10">
        <f>CHOOSE(CONTROL!$C$42, 77.4759, 77.4759)*CHOOSE(CONTROL!$C$21, $C$9, 100%, $E$9)</f>
        <v>77.475899999999996</v>
      </c>
      <c r="H890" s="10">
        <f>CHOOSE(CONTROL!$C$42, 77.5483, 77.5483) * CHOOSE(CONTROL!$C$21, $C$9, 100%, $E$9)</f>
        <v>77.548299999999998</v>
      </c>
      <c r="I890" s="10">
        <f>CHOOSE(CONTROL!$C$42, 77.4741, 77.4741)* CHOOSE(CONTROL!$C$21, $C$9, 100%, $E$9)</f>
        <v>77.474100000000007</v>
      </c>
      <c r="J890" s="10">
        <f>CHOOSE(CONTROL!$C$42, 77.4542, 77.4542)* CHOOSE(CONTROL!$C$21, $C$9, 100%, $E$9)</f>
        <v>77.4542</v>
      </c>
      <c r="K890" s="53">
        <f>CHOOSE(CONTROL!$C$42, 77.4702, 77.4702) * CHOOSE(CONTROL!$C$21, $C$9, 100%, $E$9)</f>
        <v>77.470200000000006</v>
      </c>
      <c r="L890" s="10">
        <f>CHOOSE(CONTROL!$C$42, 78.1353, 78.1353) * CHOOSE(CONTROL!$C$21, $C$9, 100%, $E$9)</f>
        <v>78.135300000000001</v>
      </c>
      <c r="M890" s="10">
        <f>CHOOSE(CONTROL!$C$42, 76.6864, 76.6864) * CHOOSE(CONTROL!$C$21, $C$9, 100%, $E$9)</f>
        <v>76.686400000000006</v>
      </c>
      <c r="N890" s="10">
        <f>CHOOSE(CONTROL!$C$42, 76.7009, 76.7009) * CHOOSE(CONTROL!$C$21, $C$9, 100%, $E$9)</f>
        <v>76.700900000000004</v>
      </c>
      <c r="O890" s="10">
        <f>CHOOSE(CONTROL!$C$42, 76.7795, 76.7795) * CHOOSE(CONTROL!$C$21, $C$9, 100%, $E$9)</f>
        <v>76.779499999999999</v>
      </c>
      <c r="P890" s="10">
        <f>CHOOSE(CONTROL!$C$42, 76.7061, 76.7061) * CHOOSE(CONTROL!$C$21, $C$9, 100%, $E$9)</f>
        <v>76.706100000000006</v>
      </c>
      <c r="Q890" s="10">
        <f>CHOOSE(CONTROL!$C$42, 77.3748, 77.3748) * CHOOSE(CONTROL!$C$21, $C$9, 100%, $E$9)</f>
        <v>77.374799999999993</v>
      </c>
      <c r="R890" s="10">
        <f>CHOOSE(CONTROL!$C$42, 78.1552, 78.1552) * CHOOSE(CONTROL!$C$21, $C$9, 100%, $E$9)</f>
        <v>78.155199999999994</v>
      </c>
      <c r="S890" s="10">
        <f>CHOOSE(CONTROL!$C$42, 75.2224, 75.2224) * CHOOSE(CONTROL!$C$21, $C$9, 100%, $E$9)</f>
        <v>75.222399999999993</v>
      </c>
      <c r="T8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57">
        <f>(1000*CHOOSE(CONTROL!$C$42, 695, 695)*CHOOSE(CONTROL!$C$42, 0.5599, 0.5599)*CHOOSE(CONTROL!$C$42, 28, 28))/1000000</f>
        <v>10.895653999999999</v>
      </c>
      <c r="V890" s="57">
        <f>(1000*CHOOSE(CONTROL!$C$42, 500, 500)*CHOOSE(CONTROL!$C$42, 0.275, 0.275)*CHOOSE(CONTROL!$C$42, 28, 28))/1000000</f>
        <v>3.85</v>
      </c>
      <c r="W890" s="57">
        <f>(1000*CHOOSE(CONTROL!$C$42, 0.1146, 0.1146)*CHOOSE(CONTROL!$C$42, 121.5, 121.5)*CHOOSE(CONTROL!$C$42, 28, 28))/1000000</f>
        <v>0.38986920000000003</v>
      </c>
      <c r="X890" s="57">
        <f>(28*0.1790888*100000/1000000)+(28*0.2374*100000/1000000)</f>
        <v>1.16616864</v>
      </c>
      <c r="Y890" s="57"/>
      <c r="Z890" s="10"/>
      <c r="AA890" s="56"/>
      <c r="AB890" s="50">
        <f>(B890*122.58+C890*297.941+D890*89.177+E890*40.302+F890*40+G890*160+H890*0+I890*100+J890*300)/(122.58+297.941+89.177+40.302+0+40+160+100+300)</f>
        <v>77.472979840434775</v>
      </c>
      <c r="AC890" s="45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76.732265467625908</v>
      </c>
    </row>
    <row r="891" spans="1:29" ht="15.75" x14ac:dyDescent="0.25">
      <c r="A891" s="13">
        <v>68027</v>
      </c>
      <c r="B891" s="10">
        <f>CHOOSE(CONTROL!$C$42, 75.2641, 75.2641) * CHOOSE(CONTROL!$C$21, $C$9, 100%, $E$9)</f>
        <v>75.264099999999999</v>
      </c>
      <c r="C891" s="10">
        <f>CHOOSE(CONTROL!$C$42, 75.2691, 75.2691) * CHOOSE(CONTROL!$C$21, $C$9, 100%, $E$9)</f>
        <v>75.269099999999995</v>
      </c>
      <c r="D891" s="10">
        <f>CHOOSE(CONTROL!$C$42, 75.3261, 75.3261) * CHOOSE(CONTROL!$C$21, $C$9, 100%, $E$9)</f>
        <v>75.326099999999997</v>
      </c>
      <c r="E891" s="10">
        <f>CHOOSE(CONTROL!$C$42, 75.3599, 75.3599) * CHOOSE(CONTROL!$C$21, $C$9, 100%, $E$9)</f>
        <v>75.359899999999996</v>
      </c>
      <c r="F891" s="10">
        <f>CHOOSE(CONTROL!$C$42, 75.2619, 75.2619)*CHOOSE(CONTROL!$C$21, $C$9, 100%, $E$9)</f>
        <v>75.261899999999997</v>
      </c>
      <c r="G891" s="10">
        <f>CHOOSE(CONTROL!$C$42, 75.2765, 75.2765)*CHOOSE(CONTROL!$C$21, $C$9, 100%, $E$9)</f>
        <v>75.276499999999999</v>
      </c>
      <c r="H891" s="10">
        <f>CHOOSE(CONTROL!$C$42, 75.3491, 75.3491) * CHOOSE(CONTROL!$C$21, $C$9, 100%, $E$9)</f>
        <v>75.349100000000007</v>
      </c>
      <c r="I891" s="10">
        <f>CHOOSE(CONTROL!$C$42, 75.2749, 75.2749)* CHOOSE(CONTROL!$C$21, $C$9, 100%, $E$9)</f>
        <v>75.274900000000002</v>
      </c>
      <c r="J891" s="10">
        <f>CHOOSE(CONTROL!$C$42, 75.2549, 75.2549)* CHOOSE(CONTROL!$C$21, $C$9, 100%, $E$9)</f>
        <v>75.254900000000006</v>
      </c>
      <c r="K891" s="53">
        <f>CHOOSE(CONTROL!$C$42, 75.271, 75.271) * CHOOSE(CONTROL!$C$21, $C$9, 100%, $E$9)</f>
        <v>75.271000000000001</v>
      </c>
      <c r="L891" s="10">
        <f>CHOOSE(CONTROL!$C$42, 75.9361, 75.9361) * CHOOSE(CONTROL!$C$21, $C$9, 100%, $E$9)</f>
        <v>75.936099999999996</v>
      </c>
      <c r="M891" s="10">
        <f>CHOOSE(CONTROL!$C$42, 74.5093, 74.5093) * CHOOSE(CONTROL!$C$21, $C$9, 100%, $E$9)</f>
        <v>74.509299999999996</v>
      </c>
      <c r="N891" s="10">
        <f>CHOOSE(CONTROL!$C$42, 74.5238, 74.5238) * CHOOSE(CONTROL!$C$21, $C$9, 100%, $E$9)</f>
        <v>74.523799999999994</v>
      </c>
      <c r="O891" s="10">
        <f>CHOOSE(CONTROL!$C$42, 74.6025, 74.6025) * CHOOSE(CONTROL!$C$21, $C$9, 100%, $E$9)</f>
        <v>74.602500000000006</v>
      </c>
      <c r="P891" s="10">
        <f>CHOOSE(CONTROL!$C$42, 74.5291, 74.5291) * CHOOSE(CONTROL!$C$21, $C$9, 100%, $E$9)</f>
        <v>74.5291</v>
      </c>
      <c r="Q891" s="10">
        <f>CHOOSE(CONTROL!$C$42, 75.1978, 75.1978) * CHOOSE(CONTROL!$C$21, $C$9, 100%, $E$9)</f>
        <v>75.197800000000001</v>
      </c>
      <c r="R891" s="10">
        <f>CHOOSE(CONTROL!$C$42, 75.9728, 75.9728) * CHOOSE(CONTROL!$C$21, $C$9, 100%, $E$9)</f>
        <v>75.972800000000007</v>
      </c>
      <c r="S891" s="10">
        <f>CHOOSE(CONTROL!$C$42, 73.0868, 73.0868) * CHOOSE(CONTROL!$C$21, $C$9, 100%, $E$9)</f>
        <v>73.086799999999997</v>
      </c>
      <c r="T8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57">
        <f>(1000*CHOOSE(CONTROL!$C$42, 695, 695)*CHOOSE(CONTROL!$C$42, 0.5599, 0.5599)*CHOOSE(CONTROL!$C$42, 31, 31))/1000000</f>
        <v>12.063045499999998</v>
      </c>
      <c r="V891" s="57">
        <f>(1000*CHOOSE(CONTROL!$C$42, 500, 500)*CHOOSE(CONTROL!$C$42, 0.275, 0.275)*CHOOSE(CONTROL!$C$42, 31, 31))/1000000</f>
        <v>4.2625000000000002</v>
      </c>
      <c r="W891" s="57">
        <f>(1000*CHOOSE(CONTROL!$C$42, 0.1146, 0.1146)*CHOOSE(CONTROL!$C$42, 121.5, 121.5)*CHOOSE(CONTROL!$C$42, 31, 31))/1000000</f>
        <v>0.43164089999999994</v>
      </c>
      <c r="X891" s="57">
        <f>(31*0.1790888*100000/1000000)+(31*0.2374*100000/1000000)</f>
        <v>1.2911152800000001</v>
      </c>
      <c r="Y891" s="57"/>
      <c r="Z891" s="10"/>
      <c r="AA891" s="56"/>
      <c r="AB891" s="50">
        <f>(B891*122.58+C891*297.941+D891*89.177+E891*40.302+F891*40+G891*160+H891*0+I891*100+J891*300)/(122.58+297.941+89.177+40.302+0+40+160+100+300)</f>
        <v>75.273748357043473</v>
      </c>
      <c r="AC891" s="45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74.555225179856123</v>
      </c>
    </row>
    <row r="892" spans="1:29" ht="15.75" x14ac:dyDescent="0.25">
      <c r="A892" s="13">
        <v>68057</v>
      </c>
      <c r="B892" s="10">
        <f>CHOOSE(CONTROL!$C$42, 75.0399, 75.0399) * CHOOSE(CONTROL!$C$21, $C$9, 100%, $E$9)</f>
        <v>75.039900000000003</v>
      </c>
      <c r="C892" s="10">
        <f>CHOOSE(CONTROL!$C$42, 75.0443, 75.0443) * CHOOSE(CONTROL!$C$21, $C$9, 100%, $E$9)</f>
        <v>75.044300000000007</v>
      </c>
      <c r="D892" s="10">
        <f>CHOOSE(CONTROL!$C$42, 75.2502, 75.2502) * CHOOSE(CONTROL!$C$21, $C$9, 100%, $E$9)</f>
        <v>75.250200000000007</v>
      </c>
      <c r="E892" s="10">
        <f>CHOOSE(CONTROL!$C$42, 75.282, 75.282) * CHOOSE(CONTROL!$C$21, $C$9, 100%, $E$9)</f>
        <v>75.281999999999996</v>
      </c>
      <c r="F892" s="10">
        <f>CHOOSE(CONTROL!$C$42, 75.0167, 75.0167)*CHOOSE(CONTROL!$C$21, $C$9, 100%, $E$9)</f>
        <v>75.0167</v>
      </c>
      <c r="G892" s="10">
        <f>CHOOSE(CONTROL!$C$42, 75.0312, 75.0312)*CHOOSE(CONTROL!$C$21, $C$9, 100%, $E$9)</f>
        <v>75.031199999999998</v>
      </c>
      <c r="H892" s="10">
        <f>CHOOSE(CONTROL!$C$42, 75.2717, 75.2717) * CHOOSE(CONTROL!$C$21, $C$9, 100%, $E$9)</f>
        <v>75.271699999999996</v>
      </c>
      <c r="I892" s="10">
        <f>CHOOSE(CONTROL!$C$42, 75.0414, 75.0414)* CHOOSE(CONTROL!$C$21, $C$9, 100%, $E$9)</f>
        <v>75.041399999999996</v>
      </c>
      <c r="J892" s="10">
        <f>CHOOSE(CONTROL!$C$42, 75.0097, 75.0097)* CHOOSE(CONTROL!$C$21, $C$9, 100%, $E$9)</f>
        <v>75.009699999999995</v>
      </c>
      <c r="K892" s="53">
        <f>CHOOSE(CONTROL!$C$42, 75.0375, 75.0375) * CHOOSE(CONTROL!$C$21, $C$9, 100%, $E$9)</f>
        <v>75.037499999999994</v>
      </c>
      <c r="L892" s="10">
        <f>CHOOSE(CONTROL!$C$42, 75.8587, 75.8587) * CHOOSE(CONTROL!$C$21, $C$9, 100%, $E$9)</f>
        <v>75.858699999999999</v>
      </c>
      <c r="M892" s="10">
        <f>CHOOSE(CONTROL!$C$42, 74.2666, 74.2666) * CHOOSE(CONTROL!$C$21, $C$9, 100%, $E$9)</f>
        <v>74.266599999999997</v>
      </c>
      <c r="N892" s="10">
        <f>CHOOSE(CONTROL!$C$42, 74.2809, 74.2809) * CHOOSE(CONTROL!$C$21, $C$9, 100%, $E$9)</f>
        <v>74.280900000000003</v>
      </c>
      <c r="O892" s="10">
        <f>CHOOSE(CONTROL!$C$42, 74.526, 74.526) * CHOOSE(CONTROL!$C$21, $C$9, 100%, $E$9)</f>
        <v>74.525999999999996</v>
      </c>
      <c r="P892" s="10">
        <f>CHOOSE(CONTROL!$C$42, 74.2979, 74.2979) * CHOOSE(CONTROL!$C$21, $C$9, 100%, $E$9)</f>
        <v>74.297899999999998</v>
      </c>
      <c r="Q892" s="10">
        <f>CHOOSE(CONTROL!$C$42, 75.1213, 75.1213) * CHOOSE(CONTROL!$C$21, $C$9, 100%, $E$9)</f>
        <v>75.121300000000005</v>
      </c>
      <c r="R892" s="10">
        <f>CHOOSE(CONTROL!$C$42, 75.8961, 75.8961) * CHOOSE(CONTROL!$C$21, $C$9, 100%, $E$9)</f>
        <v>75.896100000000004</v>
      </c>
      <c r="S892" s="10">
        <f>CHOOSE(CONTROL!$C$42, 72.8684, 72.8684) * CHOOSE(CONTROL!$C$21, $C$9, 100%, $E$9)</f>
        <v>72.868399999999994</v>
      </c>
      <c r="T8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57">
        <f>(1000*CHOOSE(CONTROL!$C$42, 695, 695)*CHOOSE(CONTROL!$C$42, 0.5599, 0.5599)*CHOOSE(CONTROL!$C$42, 30, 30))/1000000</f>
        <v>11.673914999999997</v>
      </c>
      <c r="V892" s="57">
        <f>(1000*CHOOSE(CONTROL!$C$42, 500, 500)*CHOOSE(CONTROL!$C$42, 0.275, 0.275)*CHOOSE(CONTROL!$C$42, 30, 30))/1000000</f>
        <v>4.125</v>
      </c>
      <c r="W892" s="57">
        <f>(1000*CHOOSE(CONTROL!$C$42, 0.1146, 0.1146)*CHOOSE(CONTROL!$C$42, 121.5, 121.5)*CHOOSE(CONTROL!$C$42, 30, 30))/1000000</f>
        <v>0.417717</v>
      </c>
      <c r="X892" s="57">
        <f>(30*0.1790888*245000/1000000)+(30*0.2374*100000/1000000)</f>
        <v>2.0285026799999999</v>
      </c>
      <c r="Y892" s="57"/>
      <c r="Z892" s="10"/>
      <c r="AA892" s="56"/>
      <c r="AB892" s="50">
        <f>(B892*141.293+C892*267.993+D892*115.016+E892*89.698+F892*40+G892*185+H892*0+I892*100+J892*300)/(141.293+267.993+115.016+89.698+0+40+185+100+300)</f>
        <v>75.068661436481037</v>
      </c>
      <c r="AC892" s="45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74.389496402877711</v>
      </c>
    </row>
    <row r="893" spans="1:29" ht="15.75" x14ac:dyDescent="0.25">
      <c r="A893" s="13">
        <v>68088</v>
      </c>
      <c r="B893" s="10">
        <f>CHOOSE(CONTROL!$C$42, 75.7036, 75.7036) * CHOOSE(CONTROL!$C$21, $C$9, 100%, $E$9)</f>
        <v>75.703599999999994</v>
      </c>
      <c r="C893" s="10">
        <f>CHOOSE(CONTROL!$C$42, 75.7115, 75.7115) * CHOOSE(CONTROL!$C$21, $C$9, 100%, $E$9)</f>
        <v>75.711500000000001</v>
      </c>
      <c r="D893" s="10">
        <f>CHOOSE(CONTROL!$C$42, 75.9143, 75.9143) * CHOOSE(CONTROL!$C$21, $C$9, 100%, $E$9)</f>
        <v>75.914299999999997</v>
      </c>
      <c r="E893" s="10">
        <f>CHOOSE(CONTROL!$C$42, 75.9454, 75.9454) * CHOOSE(CONTROL!$C$21, $C$9, 100%, $E$9)</f>
        <v>75.945400000000006</v>
      </c>
      <c r="F893" s="10">
        <f>CHOOSE(CONTROL!$C$42, 75.6793, 75.6793)*CHOOSE(CONTROL!$C$21, $C$9, 100%, $E$9)</f>
        <v>75.679299999999998</v>
      </c>
      <c r="G893" s="10">
        <f>CHOOSE(CONTROL!$C$42, 75.6943, 75.6943)*CHOOSE(CONTROL!$C$21, $C$9, 100%, $E$9)</f>
        <v>75.694299999999998</v>
      </c>
      <c r="H893" s="10">
        <f>CHOOSE(CONTROL!$C$42, 75.934, 75.934) * CHOOSE(CONTROL!$C$21, $C$9, 100%, $E$9)</f>
        <v>75.933999999999997</v>
      </c>
      <c r="I893" s="10">
        <f>CHOOSE(CONTROL!$C$42, 75.7036, 75.7036)* CHOOSE(CONTROL!$C$21, $C$9, 100%, $E$9)</f>
        <v>75.703599999999994</v>
      </c>
      <c r="J893" s="10">
        <f>CHOOSE(CONTROL!$C$42, 75.6723, 75.6723)* CHOOSE(CONTROL!$C$21, $C$9, 100%, $E$9)</f>
        <v>75.672300000000007</v>
      </c>
      <c r="K893" s="53">
        <f>CHOOSE(CONTROL!$C$42, 75.6998, 75.6998) * CHOOSE(CONTROL!$C$21, $C$9, 100%, $E$9)</f>
        <v>75.699799999999996</v>
      </c>
      <c r="L893" s="10">
        <f>CHOOSE(CONTROL!$C$42, 76.521, 76.521) * CHOOSE(CONTROL!$C$21, $C$9, 100%, $E$9)</f>
        <v>76.521000000000001</v>
      </c>
      <c r="M893" s="10">
        <f>CHOOSE(CONTROL!$C$42, 74.9225, 74.9225) * CHOOSE(CONTROL!$C$21, $C$9, 100%, $E$9)</f>
        <v>74.922499999999999</v>
      </c>
      <c r="N893" s="10">
        <f>CHOOSE(CONTROL!$C$42, 74.9373, 74.9373) * CHOOSE(CONTROL!$C$21, $C$9, 100%, $E$9)</f>
        <v>74.937299999999993</v>
      </c>
      <c r="O893" s="10">
        <f>CHOOSE(CONTROL!$C$42, 75.1815, 75.1815) * CHOOSE(CONTROL!$C$21, $C$9, 100%, $E$9)</f>
        <v>75.1815</v>
      </c>
      <c r="P893" s="10">
        <f>CHOOSE(CONTROL!$C$42, 74.9535, 74.9535) * CHOOSE(CONTROL!$C$21, $C$9, 100%, $E$9)</f>
        <v>74.953500000000005</v>
      </c>
      <c r="Q893" s="10">
        <f>CHOOSE(CONTROL!$C$42, 75.7768, 75.7768) * CHOOSE(CONTROL!$C$21, $C$9, 100%, $E$9)</f>
        <v>75.776799999999994</v>
      </c>
      <c r="R893" s="10">
        <f>CHOOSE(CONTROL!$C$42, 76.5533, 76.5533) * CHOOSE(CONTROL!$C$21, $C$9, 100%, $E$9)</f>
        <v>76.553299999999993</v>
      </c>
      <c r="S893" s="10">
        <f>CHOOSE(CONTROL!$C$42, 73.5115, 73.5115) * CHOOSE(CONTROL!$C$21, $C$9, 100%, $E$9)</f>
        <v>73.511499999999998</v>
      </c>
      <c r="T8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57">
        <f>(1000*CHOOSE(CONTROL!$C$42, 695, 695)*CHOOSE(CONTROL!$C$42, 0.5599, 0.5599)*CHOOSE(CONTROL!$C$42, 31, 31))/1000000</f>
        <v>12.063045499999998</v>
      </c>
      <c r="V893" s="57">
        <f>(1000*CHOOSE(CONTROL!$C$42, 500, 500)*CHOOSE(CONTROL!$C$42, 0.275, 0.275)*CHOOSE(CONTROL!$C$42, 31, 31))/1000000</f>
        <v>4.2625000000000002</v>
      </c>
      <c r="W893" s="57">
        <f>(1000*CHOOSE(CONTROL!$C$42, 0.1146, 0.1146)*CHOOSE(CONTROL!$C$42, 121.5, 121.5)*CHOOSE(CONTROL!$C$42, 31, 31))/1000000</f>
        <v>0.43164089999999994</v>
      </c>
      <c r="X893" s="57">
        <f>(31*0.1790888*245000/1000000)+(31*0.2374*100000/1000000)</f>
        <v>2.0961194359999999</v>
      </c>
      <c r="Y893" s="57"/>
      <c r="Z893" s="10"/>
      <c r="AA893" s="56"/>
      <c r="AB893" s="50">
        <f>(B893*194.205+C893*267.466+D893*133.845+E893*53.484+F893*40+G893*185+H893*0+I893*100+J893*300)/(194.205+267.466+133.845+53.484+0+40+185+100+300)</f>
        <v>75.728061580926223</v>
      </c>
      <c r="AC893" s="45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75.045200719424457</v>
      </c>
    </row>
    <row r="894" spans="1:29" ht="15.75" x14ac:dyDescent="0.25">
      <c r="A894" s="13">
        <v>68118</v>
      </c>
      <c r="B894" s="10">
        <f>CHOOSE(CONTROL!$C$42, 77.8509, 77.8509) * CHOOSE(CONTROL!$C$21, $C$9, 100%, $E$9)</f>
        <v>77.850899999999996</v>
      </c>
      <c r="C894" s="10">
        <f>CHOOSE(CONTROL!$C$42, 77.8588, 77.8588) * CHOOSE(CONTROL!$C$21, $C$9, 100%, $E$9)</f>
        <v>77.858800000000002</v>
      </c>
      <c r="D894" s="10">
        <f>CHOOSE(CONTROL!$C$42, 78.0615, 78.0615) * CHOOSE(CONTROL!$C$21, $C$9, 100%, $E$9)</f>
        <v>78.061499999999995</v>
      </c>
      <c r="E894" s="10">
        <f>CHOOSE(CONTROL!$C$42, 78.0927, 78.0927) * CHOOSE(CONTROL!$C$21, $C$9, 100%, $E$9)</f>
        <v>78.092699999999994</v>
      </c>
      <c r="F894" s="10">
        <f>CHOOSE(CONTROL!$C$42, 77.8271, 77.8271)*CHOOSE(CONTROL!$C$21, $C$9, 100%, $E$9)</f>
        <v>77.827100000000002</v>
      </c>
      <c r="G894" s="10">
        <f>CHOOSE(CONTROL!$C$42, 77.8423, 77.8423)*CHOOSE(CONTROL!$C$21, $C$9, 100%, $E$9)</f>
        <v>77.842299999999994</v>
      </c>
      <c r="H894" s="10">
        <f>CHOOSE(CONTROL!$C$42, 78.0813, 78.0813) * CHOOSE(CONTROL!$C$21, $C$9, 100%, $E$9)</f>
        <v>78.081299999999999</v>
      </c>
      <c r="I894" s="10">
        <f>CHOOSE(CONTROL!$C$42, 77.8509, 77.8509)* CHOOSE(CONTROL!$C$21, $C$9, 100%, $E$9)</f>
        <v>77.850899999999996</v>
      </c>
      <c r="J894" s="10">
        <f>CHOOSE(CONTROL!$C$42, 77.8201, 77.8201)* CHOOSE(CONTROL!$C$21, $C$9, 100%, $E$9)</f>
        <v>77.820099999999996</v>
      </c>
      <c r="K894" s="53">
        <f>CHOOSE(CONTROL!$C$42, 77.847, 77.847) * CHOOSE(CONTROL!$C$21, $C$9, 100%, $E$9)</f>
        <v>77.846999999999994</v>
      </c>
      <c r="L894" s="10">
        <f>CHOOSE(CONTROL!$C$42, 78.6683, 78.6683) * CHOOSE(CONTROL!$C$21, $C$9, 100%, $E$9)</f>
        <v>78.668300000000002</v>
      </c>
      <c r="M894" s="10">
        <f>CHOOSE(CONTROL!$C$42, 77.0486, 77.0486) * CHOOSE(CONTROL!$C$21, $C$9, 100%, $E$9)</f>
        <v>77.048599999999993</v>
      </c>
      <c r="N894" s="10">
        <f>CHOOSE(CONTROL!$C$42, 77.0636, 77.0636) * CHOOSE(CONTROL!$C$21, $C$9, 100%, $E$9)</f>
        <v>77.063599999999994</v>
      </c>
      <c r="O894" s="10">
        <f>CHOOSE(CONTROL!$C$42, 77.3072, 77.3072) * CHOOSE(CONTROL!$C$21, $C$9, 100%, $E$9)</f>
        <v>77.307199999999995</v>
      </c>
      <c r="P894" s="10">
        <f>CHOOSE(CONTROL!$C$42, 77.0791, 77.0791) * CHOOSE(CONTROL!$C$21, $C$9, 100%, $E$9)</f>
        <v>77.079099999999997</v>
      </c>
      <c r="Q894" s="10">
        <f>CHOOSE(CONTROL!$C$42, 77.9025, 77.9025) * CHOOSE(CONTROL!$C$21, $C$9, 100%, $E$9)</f>
        <v>77.902500000000003</v>
      </c>
      <c r="R894" s="10">
        <f>CHOOSE(CONTROL!$C$42, 78.6842, 78.6842) * CHOOSE(CONTROL!$C$21, $C$9, 100%, $E$9)</f>
        <v>78.684200000000004</v>
      </c>
      <c r="S894" s="10">
        <f>CHOOSE(CONTROL!$C$42, 75.5968, 75.5968) * CHOOSE(CONTROL!$C$21, $C$9, 100%, $E$9)</f>
        <v>75.596800000000002</v>
      </c>
      <c r="T8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57">
        <f>(1000*CHOOSE(CONTROL!$C$42, 695, 695)*CHOOSE(CONTROL!$C$42, 0.5599, 0.5599)*CHOOSE(CONTROL!$C$42, 30, 30))/1000000</f>
        <v>11.673914999999997</v>
      </c>
      <c r="V894" s="57">
        <f>(1000*CHOOSE(CONTROL!$C$42, 500, 500)*CHOOSE(CONTROL!$C$42, 0.275, 0.275)*CHOOSE(CONTROL!$C$42, 30, 30))/1000000</f>
        <v>4.125</v>
      </c>
      <c r="W894" s="57">
        <f>(1000*CHOOSE(CONTROL!$C$42, 0.1146, 0.1146)*CHOOSE(CONTROL!$C$42, 121.5, 121.5)*CHOOSE(CONTROL!$C$42, 30, 30))/1000000</f>
        <v>0.417717</v>
      </c>
      <c r="X894" s="57">
        <f>(30*0.1790888*245000/1000000)+(30*0.2374*100000/1000000)</f>
        <v>2.0285026799999999</v>
      </c>
      <c r="Y894" s="57"/>
      <c r="Z894" s="10"/>
      <c r="AA894" s="56"/>
      <c r="AB894" s="50">
        <f>(B894*194.205+C894*267.466+D894*133.845+E894*53.484+F894*40+G894*185+H894*0+I894*100+J894*300)/(194.205+267.466+133.845+53.484+0+40+185+100+300)</f>
        <v>77.875586161381477</v>
      </c>
      <c r="AC894" s="45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77.171058992805754</v>
      </c>
    </row>
    <row r="895" spans="1:29" ht="15.75" x14ac:dyDescent="0.25">
      <c r="A895" s="13">
        <v>68149</v>
      </c>
      <c r="B895" s="10">
        <f>CHOOSE(CONTROL!$C$42, 76.3574, 76.3574) * CHOOSE(CONTROL!$C$21, $C$9, 100%, $E$9)</f>
        <v>76.357399999999998</v>
      </c>
      <c r="C895" s="10">
        <f>CHOOSE(CONTROL!$C$42, 76.3654, 76.3654) * CHOOSE(CONTROL!$C$21, $C$9, 100%, $E$9)</f>
        <v>76.365399999999994</v>
      </c>
      <c r="D895" s="10">
        <f>CHOOSE(CONTROL!$C$42, 76.5681, 76.5681) * CHOOSE(CONTROL!$C$21, $C$9, 100%, $E$9)</f>
        <v>76.568100000000001</v>
      </c>
      <c r="E895" s="10">
        <f>CHOOSE(CONTROL!$C$42, 76.5992, 76.5992) * CHOOSE(CONTROL!$C$21, $C$9, 100%, $E$9)</f>
        <v>76.599199999999996</v>
      </c>
      <c r="F895" s="10">
        <f>CHOOSE(CONTROL!$C$42, 76.3342, 76.3342)*CHOOSE(CONTROL!$C$21, $C$9, 100%, $E$9)</f>
        <v>76.334199999999996</v>
      </c>
      <c r="G895" s="10">
        <f>CHOOSE(CONTROL!$C$42, 76.3495, 76.3495)*CHOOSE(CONTROL!$C$21, $C$9, 100%, $E$9)</f>
        <v>76.349500000000006</v>
      </c>
      <c r="H895" s="10">
        <f>CHOOSE(CONTROL!$C$42, 76.5879, 76.5879) * CHOOSE(CONTROL!$C$21, $C$9, 100%, $E$9)</f>
        <v>76.587900000000005</v>
      </c>
      <c r="I895" s="10">
        <f>CHOOSE(CONTROL!$C$42, 76.3575, 76.3575)* CHOOSE(CONTROL!$C$21, $C$9, 100%, $E$9)</f>
        <v>76.357500000000002</v>
      </c>
      <c r="J895" s="10">
        <f>CHOOSE(CONTROL!$C$42, 76.3272, 76.3272)* CHOOSE(CONTROL!$C$21, $C$9, 100%, $E$9)</f>
        <v>76.327200000000005</v>
      </c>
      <c r="K895" s="53">
        <f>CHOOSE(CONTROL!$C$42, 76.3536, 76.3536) * CHOOSE(CONTROL!$C$21, $C$9, 100%, $E$9)</f>
        <v>76.3536</v>
      </c>
      <c r="L895" s="10">
        <f>CHOOSE(CONTROL!$C$42, 77.1749, 77.1749) * CHOOSE(CONTROL!$C$21, $C$9, 100%, $E$9)</f>
        <v>77.174899999999994</v>
      </c>
      <c r="M895" s="10">
        <f>CHOOSE(CONTROL!$C$42, 75.5707, 75.5707) * CHOOSE(CONTROL!$C$21, $C$9, 100%, $E$9)</f>
        <v>75.570700000000002</v>
      </c>
      <c r="N895" s="10">
        <f>CHOOSE(CONTROL!$C$42, 75.5859, 75.5859) * CHOOSE(CONTROL!$C$21, $C$9, 100%, $E$9)</f>
        <v>75.585899999999995</v>
      </c>
      <c r="O895" s="10">
        <f>CHOOSE(CONTROL!$C$42, 75.8288, 75.8288) * CHOOSE(CONTROL!$C$21, $C$9, 100%, $E$9)</f>
        <v>75.828800000000001</v>
      </c>
      <c r="P895" s="10">
        <f>CHOOSE(CONTROL!$C$42, 75.6008, 75.6008) * CHOOSE(CONTROL!$C$21, $C$9, 100%, $E$9)</f>
        <v>75.600800000000007</v>
      </c>
      <c r="Q895" s="10">
        <f>CHOOSE(CONTROL!$C$42, 76.4241, 76.4241) * CHOOSE(CONTROL!$C$21, $C$9, 100%, $E$9)</f>
        <v>76.424099999999996</v>
      </c>
      <c r="R895" s="10">
        <f>CHOOSE(CONTROL!$C$42, 77.2021, 77.2021) * CHOOSE(CONTROL!$C$21, $C$9, 100%, $E$9)</f>
        <v>77.202100000000002</v>
      </c>
      <c r="S895" s="10">
        <f>CHOOSE(CONTROL!$C$42, 74.1465, 74.1465) * CHOOSE(CONTROL!$C$21, $C$9, 100%, $E$9)</f>
        <v>74.146500000000003</v>
      </c>
      <c r="T8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57">
        <f>(1000*CHOOSE(CONTROL!$C$42, 695, 695)*CHOOSE(CONTROL!$C$42, 0.5599, 0.5599)*CHOOSE(CONTROL!$C$42, 31, 31))/1000000</f>
        <v>12.063045499999998</v>
      </c>
      <c r="V895" s="57">
        <f>(1000*CHOOSE(CONTROL!$C$42, 500, 500)*CHOOSE(CONTROL!$C$42, 0.275, 0.275)*CHOOSE(CONTROL!$C$42, 31, 31))/1000000</f>
        <v>4.2625000000000002</v>
      </c>
      <c r="W895" s="57">
        <f>(1000*CHOOSE(CONTROL!$C$42, 0.1146, 0.1146)*CHOOSE(CONTROL!$C$42, 121.5, 121.5)*CHOOSE(CONTROL!$C$42, 31, 31))/1000000</f>
        <v>0.43164089999999994</v>
      </c>
      <c r="X895" s="57">
        <f>(31*0.1790888*245000/1000000)+(31*0.2374*100000/1000000)</f>
        <v>2.0961194359999999</v>
      </c>
      <c r="Y895" s="57"/>
      <c r="Z895" s="10"/>
      <c r="AA895" s="56"/>
      <c r="AB895" s="50">
        <f>(B895*194.205+C895*267.466+D895*133.845+E895*53.484+F895*40+G895*185+H895*0+I895*100+J895*300)/(194.205+267.466+133.845+53.484+0+40+185+100+300)</f>
        <v>76.382387284693891</v>
      </c>
      <c r="AC895" s="45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75.692886330935252</v>
      </c>
    </row>
    <row r="896" spans="1:29" ht="15.75" x14ac:dyDescent="0.25">
      <c r="A896" s="13">
        <v>68180</v>
      </c>
      <c r="B896" s="10">
        <f>CHOOSE(CONTROL!$C$42, 72.586, 72.586) * CHOOSE(CONTROL!$C$21, $C$9, 100%, $E$9)</f>
        <v>72.585999999999999</v>
      </c>
      <c r="C896" s="10">
        <f>CHOOSE(CONTROL!$C$42, 72.5939, 72.5939) * CHOOSE(CONTROL!$C$21, $C$9, 100%, $E$9)</f>
        <v>72.593900000000005</v>
      </c>
      <c r="D896" s="10">
        <f>CHOOSE(CONTROL!$C$42, 72.7967, 72.7967) * CHOOSE(CONTROL!$C$21, $C$9, 100%, $E$9)</f>
        <v>72.796700000000001</v>
      </c>
      <c r="E896" s="10">
        <f>CHOOSE(CONTROL!$C$42, 72.8278, 72.8278) * CHOOSE(CONTROL!$C$21, $C$9, 100%, $E$9)</f>
        <v>72.827799999999996</v>
      </c>
      <c r="F896" s="10">
        <f>CHOOSE(CONTROL!$C$42, 72.5629, 72.5629)*CHOOSE(CONTROL!$C$21, $C$9, 100%, $E$9)</f>
        <v>72.562899999999999</v>
      </c>
      <c r="G896" s="10">
        <f>CHOOSE(CONTROL!$C$42, 72.5783, 72.5783)*CHOOSE(CONTROL!$C$21, $C$9, 100%, $E$9)</f>
        <v>72.578299999999999</v>
      </c>
      <c r="H896" s="10">
        <f>CHOOSE(CONTROL!$C$42, 72.8164, 72.8164) * CHOOSE(CONTROL!$C$21, $C$9, 100%, $E$9)</f>
        <v>72.816400000000002</v>
      </c>
      <c r="I896" s="10">
        <f>CHOOSE(CONTROL!$C$42, 72.5861, 72.5861)* CHOOSE(CONTROL!$C$21, $C$9, 100%, $E$9)</f>
        <v>72.586100000000002</v>
      </c>
      <c r="J896" s="10">
        <f>CHOOSE(CONTROL!$C$42, 72.5559, 72.5559)* CHOOSE(CONTROL!$C$21, $C$9, 100%, $E$9)</f>
        <v>72.555899999999994</v>
      </c>
      <c r="K896" s="53">
        <f>CHOOSE(CONTROL!$C$42, 72.5822, 72.5822) * CHOOSE(CONTROL!$C$21, $C$9, 100%, $E$9)</f>
        <v>72.5822</v>
      </c>
      <c r="L896" s="10">
        <f>CHOOSE(CONTROL!$C$42, 73.4034, 73.4034) * CHOOSE(CONTROL!$C$21, $C$9, 100%, $E$9)</f>
        <v>73.403400000000005</v>
      </c>
      <c r="M896" s="10">
        <f>CHOOSE(CONTROL!$C$42, 71.8376, 71.8376) * CHOOSE(CONTROL!$C$21, $C$9, 100%, $E$9)</f>
        <v>71.837599999999995</v>
      </c>
      <c r="N896" s="10">
        <f>CHOOSE(CONTROL!$C$42, 71.8527, 71.8527) * CHOOSE(CONTROL!$C$21, $C$9, 100%, $E$9)</f>
        <v>71.852699999999999</v>
      </c>
      <c r="O896" s="10">
        <f>CHOOSE(CONTROL!$C$42, 72.0954, 72.0954) * CHOOSE(CONTROL!$C$21, $C$9, 100%, $E$9)</f>
        <v>72.095399999999998</v>
      </c>
      <c r="P896" s="10">
        <f>CHOOSE(CONTROL!$C$42, 71.8674, 71.8674) * CHOOSE(CONTROL!$C$21, $C$9, 100%, $E$9)</f>
        <v>71.867400000000004</v>
      </c>
      <c r="Q896" s="10">
        <f>CHOOSE(CONTROL!$C$42, 72.6907, 72.6907) * CHOOSE(CONTROL!$C$21, $C$9, 100%, $E$9)</f>
        <v>72.690700000000007</v>
      </c>
      <c r="R896" s="10">
        <f>CHOOSE(CONTROL!$C$42, 73.4594, 73.4594) * CHOOSE(CONTROL!$C$21, $C$9, 100%, $E$9)</f>
        <v>73.459400000000002</v>
      </c>
      <c r="S896" s="10">
        <f>CHOOSE(CONTROL!$C$42, 70.484, 70.484) * CHOOSE(CONTROL!$C$21, $C$9, 100%, $E$9)</f>
        <v>70.483999999999995</v>
      </c>
      <c r="T8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57">
        <f>(1000*CHOOSE(CONTROL!$C$42, 695, 695)*CHOOSE(CONTROL!$C$42, 0.5599, 0.5599)*CHOOSE(CONTROL!$C$42, 31, 31))/1000000</f>
        <v>12.063045499999998</v>
      </c>
      <c r="V896" s="57">
        <f>(1000*CHOOSE(CONTROL!$C$42, 500, 500)*CHOOSE(CONTROL!$C$42, 0.275, 0.275)*CHOOSE(CONTROL!$C$42, 31, 31))/1000000</f>
        <v>4.2625000000000002</v>
      </c>
      <c r="W896" s="57">
        <f>(1000*CHOOSE(CONTROL!$C$42, 0.1146, 0.1146)*CHOOSE(CONTROL!$C$42, 121.5, 121.5)*CHOOSE(CONTROL!$C$42, 31, 31))/1000000</f>
        <v>0.43164089999999994</v>
      </c>
      <c r="X896" s="57">
        <f>(31*0.1790888*245000/1000000)+(31*0.2374*100000/1000000)</f>
        <v>2.0961194359999999</v>
      </c>
      <c r="Y896" s="57"/>
      <c r="Z896" s="10"/>
      <c r="AA896" s="56"/>
      <c r="AB896" s="50">
        <f>(B896*194.205+C896*267.466+D896*133.845+E896*53.484+F896*40+G896*185+H896*0+I896*100+J896*300)/(194.205+267.466+133.845+53.484+0+40+185+100+300)</f>
        <v>72.611022020486672</v>
      </c>
      <c r="AC896" s="45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71.959601438848921</v>
      </c>
    </row>
    <row r="897" spans="1:29" ht="15.75" x14ac:dyDescent="0.25">
      <c r="A897" s="13">
        <v>68210</v>
      </c>
      <c r="B897" s="10">
        <f>CHOOSE(CONTROL!$C$42, 67.9776, 67.9776) * CHOOSE(CONTROL!$C$21, $C$9, 100%, $E$9)</f>
        <v>67.977599999999995</v>
      </c>
      <c r="C897" s="10">
        <f>CHOOSE(CONTROL!$C$42, 67.9856, 67.9856) * CHOOSE(CONTROL!$C$21, $C$9, 100%, $E$9)</f>
        <v>67.985600000000005</v>
      </c>
      <c r="D897" s="10">
        <f>CHOOSE(CONTROL!$C$42, 68.1883, 68.1883) * CHOOSE(CONTROL!$C$21, $C$9, 100%, $E$9)</f>
        <v>68.188299999999998</v>
      </c>
      <c r="E897" s="10">
        <f>CHOOSE(CONTROL!$C$42, 68.2194, 68.2194) * CHOOSE(CONTROL!$C$21, $C$9, 100%, $E$9)</f>
        <v>68.219399999999993</v>
      </c>
      <c r="F897" s="10">
        <f>CHOOSE(CONTROL!$C$42, 67.9544, 67.9544)*CHOOSE(CONTROL!$C$21, $C$9, 100%, $E$9)</f>
        <v>67.954400000000007</v>
      </c>
      <c r="G897" s="10">
        <f>CHOOSE(CONTROL!$C$42, 67.9697, 67.9697)*CHOOSE(CONTROL!$C$21, $C$9, 100%, $E$9)</f>
        <v>67.969700000000003</v>
      </c>
      <c r="H897" s="10">
        <f>CHOOSE(CONTROL!$C$42, 68.2081, 68.2081) * CHOOSE(CONTROL!$C$21, $C$9, 100%, $E$9)</f>
        <v>68.208100000000002</v>
      </c>
      <c r="I897" s="10">
        <f>CHOOSE(CONTROL!$C$42, 67.9777, 67.9777)* CHOOSE(CONTROL!$C$21, $C$9, 100%, $E$9)</f>
        <v>67.977699999999999</v>
      </c>
      <c r="J897" s="10">
        <f>CHOOSE(CONTROL!$C$42, 67.9474, 67.9474)* CHOOSE(CONTROL!$C$21, $C$9, 100%, $E$9)</f>
        <v>67.947400000000002</v>
      </c>
      <c r="K897" s="53">
        <f>CHOOSE(CONTROL!$C$42, 67.9738, 67.9738) * CHOOSE(CONTROL!$C$21, $C$9, 100%, $E$9)</f>
        <v>67.973799999999997</v>
      </c>
      <c r="L897" s="10">
        <f>CHOOSE(CONTROL!$C$42, 68.7951, 68.7951) * CHOOSE(CONTROL!$C$21, $C$9, 100%, $E$9)</f>
        <v>68.795100000000005</v>
      </c>
      <c r="M897" s="10">
        <f>CHOOSE(CONTROL!$C$42, 67.2756, 67.2756) * CHOOSE(CONTROL!$C$21, $C$9, 100%, $E$9)</f>
        <v>67.275599999999997</v>
      </c>
      <c r="N897" s="10">
        <f>CHOOSE(CONTROL!$C$42, 67.2907, 67.2907) * CHOOSE(CONTROL!$C$21, $C$9, 100%, $E$9)</f>
        <v>67.290700000000001</v>
      </c>
      <c r="O897" s="10">
        <f>CHOOSE(CONTROL!$C$42, 67.5335, 67.5335) * CHOOSE(CONTROL!$C$21, $C$9, 100%, $E$9)</f>
        <v>67.533500000000004</v>
      </c>
      <c r="P897" s="10">
        <f>CHOOSE(CONTROL!$C$42, 67.3055, 67.3055) * CHOOSE(CONTROL!$C$21, $C$9, 100%, $E$9)</f>
        <v>67.305499999999995</v>
      </c>
      <c r="Q897" s="10">
        <f>CHOOSE(CONTROL!$C$42, 68.1288, 68.1288) * CHOOSE(CONTROL!$C$21, $C$9, 100%, $E$9)</f>
        <v>68.128799999999998</v>
      </c>
      <c r="R897" s="10">
        <f>CHOOSE(CONTROL!$C$42, 68.8862, 68.8862) * CHOOSE(CONTROL!$C$21, $C$9, 100%, $E$9)</f>
        <v>68.886200000000002</v>
      </c>
      <c r="S897" s="10">
        <f>CHOOSE(CONTROL!$C$42, 66.0088, 66.0088) * CHOOSE(CONTROL!$C$21, $C$9, 100%, $E$9)</f>
        <v>66.008799999999994</v>
      </c>
      <c r="T8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57">
        <f>(1000*CHOOSE(CONTROL!$C$42, 695, 695)*CHOOSE(CONTROL!$C$42, 0.5599, 0.5599)*CHOOSE(CONTROL!$C$42, 30, 30))/1000000</f>
        <v>11.673914999999997</v>
      </c>
      <c r="V897" s="57">
        <f>(1000*CHOOSE(CONTROL!$C$42, 500, 500)*CHOOSE(CONTROL!$C$42, 0.275, 0.275)*CHOOSE(CONTROL!$C$42, 30, 30))/1000000</f>
        <v>4.125</v>
      </c>
      <c r="W897" s="57">
        <f>(1000*CHOOSE(CONTROL!$C$42, 0.1146, 0.1146)*CHOOSE(CONTROL!$C$42, 121.5, 121.5)*CHOOSE(CONTROL!$C$42, 30, 30))/1000000</f>
        <v>0.417717</v>
      </c>
      <c r="X897" s="57">
        <f>(30*0.1790888*245000/1000000)+(30*0.2374*100000/1000000)</f>
        <v>2.0285026799999999</v>
      </c>
      <c r="Y897" s="57"/>
      <c r="Z897" s="10"/>
      <c r="AA897" s="56"/>
      <c r="AB897" s="50">
        <f>(B897*194.205+C897*267.466+D897*133.845+E897*53.484+F897*40+G897*185+H897*0+I897*100+J897*300)/(194.205+267.466+133.845+53.484+0+40+185+100+300)</f>
        <v>68.002587284693874</v>
      </c>
      <c r="AC897" s="45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67.397661151079149</v>
      </c>
    </row>
    <row r="898" spans="1:29" ht="15.75" x14ac:dyDescent="0.25">
      <c r="A898" s="13">
        <v>68241</v>
      </c>
      <c r="B898" s="10">
        <f>CHOOSE(CONTROL!$C$42, 66.5958, 66.5958) * CHOOSE(CONTROL!$C$21, $C$9, 100%, $E$9)</f>
        <v>66.595799999999997</v>
      </c>
      <c r="C898" s="10">
        <f>CHOOSE(CONTROL!$C$42, 66.601, 66.601) * CHOOSE(CONTROL!$C$21, $C$9, 100%, $E$9)</f>
        <v>66.600999999999999</v>
      </c>
      <c r="D898" s="10">
        <f>CHOOSE(CONTROL!$C$42, 66.8087, 66.8087) * CHOOSE(CONTROL!$C$21, $C$9, 100%, $E$9)</f>
        <v>66.808700000000002</v>
      </c>
      <c r="E898" s="10">
        <f>CHOOSE(CONTROL!$C$42, 66.8375, 66.8375) * CHOOSE(CONTROL!$C$21, $C$9, 100%, $E$9)</f>
        <v>66.837500000000006</v>
      </c>
      <c r="F898" s="10">
        <f>CHOOSE(CONTROL!$C$42, 66.5745, 66.5745)*CHOOSE(CONTROL!$C$21, $C$9, 100%, $E$9)</f>
        <v>66.5745</v>
      </c>
      <c r="G898" s="10">
        <f>CHOOSE(CONTROL!$C$42, 66.5894, 66.5894)*CHOOSE(CONTROL!$C$21, $C$9, 100%, $E$9)</f>
        <v>66.589399999999998</v>
      </c>
      <c r="H898" s="10">
        <f>CHOOSE(CONTROL!$C$42, 66.8279, 66.8279) * CHOOSE(CONTROL!$C$21, $C$9, 100%, $E$9)</f>
        <v>66.8279</v>
      </c>
      <c r="I898" s="10">
        <f>CHOOSE(CONTROL!$C$42, 66.5976, 66.5976)* CHOOSE(CONTROL!$C$21, $C$9, 100%, $E$9)</f>
        <v>66.5976</v>
      </c>
      <c r="J898" s="10">
        <f>CHOOSE(CONTROL!$C$42, 66.5675, 66.5675)* CHOOSE(CONTROL!$C$21, $C$9, 100%, $E$9)</f>
        <v>66.567499999999995</v>
      </c>
      <c r="K898" s="53">
        <f>CHOOSE(CONTROL!$C$42, 66.5937, 66.5937) * CHOOSE(CONTROL!$C$21, $C$9, 100%, $E$9)</f>
        <v>66.593699999999998</v>
      </c>
      <c r="L898" s="10">
        <f>CHOOSE(CONTROL!$C$42, 67.4149, 67.4149) * CHOOSE(CONTROL!$C$21, $C$9, 100%, $E$9)</f>
        <v>67.414900000000003</v>
      </c>
      <c r="M898" s="10">
        <f>CHOOSE(CONTROL!$C$42, 65.9095, 65.9095) * CHOOSE(CONTROL!$C$21, $C$9, 100%, $E$9)</f>
        <v>65.909499999999994</v>
      </c>
      <c r="N898" s="10">
        <f>CHOOSE(CONTROL!$C$42, 65.9243, 65.9243) * CHOOSE(CONTROL!$C$21, $C$9, 100%, $E$9)</f>
        <v>65.924300000000002</v>
      </c>
      <c r="O898" s="10">
        <f>CHOOSE(CONTROL!$C$42, 66.1674, 66.1674) * CHOOSE(CONTROL!$C$21, $C$9, 100%, $E$9)</f>
        <v>66.167400000000001</v>
      </c>
      <c r="P898" s="10">
        <f>CHOOSE(CONTROL!$C$42, 65.9393, 65.9393) * CHOOSE(CONTROL!$C$21, $C$9, 100%, $E$9)</f>
        <v>65.939300000000003</v>
      </c>
      <c r="Q898" s="10">
        <f>CHOOSE(CONTROL!$C$42, 66.7627, 66.7627) * CHOOSE(CONTROL!$C$21, $C$9, 100%, $E$9)</f>
        <v>66.762699999999995</v>
      </c>
      <c r="R898" s="10">
        <f>CHOOSE(CONTROL!$C$42, 67.5166, 67.5166) * CHOOSE(CONTROL!$C$21, $C$9, 100%, $E$9)</f>
        <v>67.516599999999997</v>
      </c>
      <c r="S898" s="10">
        <f>CHOOSE(CONTROL!$C$42, 64.6686, 64.6686) * CHOOSE(CONTROL!$C$21, $C$9, 100%, $E$9)</f>
        <v>64.668599999999998</v>
      </c>
      <c r="T8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57">
        <f>(1000*CHOOSE(CONTROL!$C$42, 695, 695)*CHOOSE(CONTROL!$C$42, 0.5599, 0.5599)*CHOOSE(CONTROL!$C$42, 31, 31))/1000000</f>
        <v>12.063045499999998</v>
      </c>
      <c r="V898" s="57">
        <f>(1000*CHOOSE(CONTROL!$C$42, 500, 500)*CHOOSE(CONTROL!$C$42, 0.275, 0.275)*CHOOSE(CONTROL!$C$42, 31, 31))/1000000</f>
        <v>4.2625000000000002</v>
      </c>
      <c r="W898" s="57">
        <f>(1000*CHOOSE(CONTROL!$C$42, 0.1146, 0.1146)*CHOOSE(CONTROL!$C$42, 121.5, 121.5)*CHOOSE(CONTROL!$C$42, 31, 31))/1000000</f>
        <v>0.43164089999999994</v>
      </c>
      <c r="X898" s="57">
        <f>(31*0.1790888*245000/1000000)+(31*0.2374*100000/1000000)</f>
        <v>2.0961194359999999</v>
      </c>
      <c r="Y898" s="57"/>
      <c r="Z898" s="10"/>
      <c r="AA898" s="56"/>
      <c r="AB898" s="50">
        <f>(B898*131.881+C898*277.167+D898*79.08+E898*125.872+F898*40+G898*185+H898*0+I898*100+J898*300)/(131.881+277.167+79.08+125.872+0+40+185+100+300)</f>
        <v>66.626756144309937</v>
      </c>
      <c r="AC898" s="45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66.031529496402882</v>
      </c>
    </row>
    <row r="899" spans="1:29" ht="15.75" x14ac:dyDescent="0.25">
      <c r="A899" s="13">
        <v>68271</v>
      </c>
      <c r="B899" s="10">
        <f>CHOOSE(CONTROL!$C$42, 68.3497, 68.3497) * CHOOSE(CONTROL!$C$21, $C$9, 100%, $E$9)</f>
        <v>68.349699999999999</v>
      </c>
      <c r="C899" s="10">
        <f>CHOOSE(CONTROL!$C$42, 68.3547, 68.3547) * CHOOSE(CONTROL!$C$21, $C$9, 100%, $E$9)</f>
        <v>68.354699999999994</v>
      </c>
      <c r="D899" s="10">
        <f>CHOOSE(CONTROL!$C$42, 68.4152, 68.4152) * CHOOSE(CONTROL!$C$21, $C$9, 100%, $E$9)</f>
        <v>68.415199999999999</v>
      </c>
      <c r="E899" s="10">
        <f>CHOOSE(CONTROL!$C$42, 68.4489, 68.4489) * CHOOSE(CONTROL!$C$21, $C$9, 100%, $E$9)</f>
        <v>68.448899999999995</v>
      </c>
      <c r="F899" s="10">
        <f>CHOOSE(CONTROL!$C$42, 68.3453, 68.3453)*CHOOSE(CONTROL!$C$21, $C$9, 100%, $E$9)</f>
        <v>68.345299999999995</v>
      </c>
      <c r="G899" s="10">
        <f>CHOOSE(CONTROL!$C$42, 68.3606, 68.3606)*CHOOSE(CONTROL!$C$21, $C$9, 100%, $E$9)</f>
        <v>68.360600000000005</v>
      </c>
      <c r="H899" s="10">
        <f>CHOOSE(CONTROL!$C$42, 68.4381, 68.4381) * CHOOSE(CONTROL!$C$21, $C$9, 100%, $E$9)</f>
        <v>68.438100000000006</v>
      </c>
      <c r="I899" s="10">
        <f>CHOOSE(CONTROL!$C$42, 68.3622, 68.3622)* CHOOSE(CONTROL!$C$21, $C$9, 100%, $E$9)</f>
        <v>68.362200000000001</v>
      </c>
      <c r="J899" s="10">
        <f>CHOOSE(CONTROL!$C$42, 68.3383, 68.3383)* CHOOSE(CONTROL!$C$21, $C$9, 100%, $E$9)</f>
        <v>68.338300000000004</v>
      </c>
      <c r="K899" s="53">
        <f>CHOOSE(CONTROL!$C$42, 68.3583, 68.3583) * CHOOSE(CONTROL!$C$21, $C$9, 100%, $E$9)</f>
        <v>68.3583</v>
      </c>
      <c r="L899" s="10">
        <f>CHOOSE(CONTROL!$C$42, 69.0251, 69.0251) * CHOOSE(CONTROL!$C$21, $C$9, 100%, $E$9)</f>
        <v>69.025099999999995</v>
      </c>
      <c r="M899" s="10">
        <f>CHOOSE(CONTROL!$C$42, 67.6625, 67.6625) * CHOOSE(CONTROL!$C$21, $C$9, 100%, $E$9)</f>
        <v>67.662499999999994</v>
      </c>
      <c r="N899" s="10">
        <f>CHOOSE(CONTROL!$C$42, 67.6776, 67.6776) * CHOOSE(CONTROL!$C$21, $C$9, 100%, $E$9)</f>
        <v>67.677599999999998</v>
      </c>
      <c r="O899" s="10">
        <f>CHOOSE(CONTROL!$C$42, 67.7613, 67.7613) * CHOOSE(CONTROL!$C$21, $C$9, 100%, $E$9)</f>
        <v>67.761300000000006</v>
      </c>
      <c r="P899" s="10">
        <f>CHOOSE(CONTROL!$C$42, 67.6862, 67.6862) * CHOOSE(CONTROL!$C$21, $C$9, 100%, $E$9)</f>
        <v>67.686199999999999</v>
      </c>
      <c r="Q899" s="10">
        <f>CHOOSE(CONTROL!$C$42, 68.3566, 68.3566) * CHOOSE(CONTROL!$C$21, $C$9, 100%, $E$9)</f>
        <v>68.3566</v>
      </c>
      <c r="R899" s="10">
        <f>CHOOSE(CONTROL!$C$42, 69.1145, 69.1145) * CHOOSE(CONTROL!$C$21, $C$9, 100%, $E$9)</f>
        <v>69.114500000000007</v>
      </c>
      <c r="S899" s="10">
        <f>CHOOSE(CONTROL!$C$42, 66.3723, 66.3723) * CHOOSE(CONTROL!$C$21, $C$9, 100%, $E$9)</f>
        <v>66.372299999999996</v>
      </c>
      <c r="T8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57">
        <f>(1000*CHOOSE(CONTROL!$C$42, 695, 695)*CHOOSE(CONTROL!$C$42, 0.5599, 0.5599)*CHOOSE(CONTROL!$C$42, 30, 30))/1000000</f>
        <v>11.673914999999997</v>
      </c>
      <c r="V899" s="57">
        <f>(1000*CHOOSE(CONTROL!$C$42, 500, 500)*CHOOSE(CONTROL!$C$42, 0.275, 0.275)*CHOOSE(CONTROL!$C$42, 30, 30))/1000000</f>
        <v>4.125</v>
      </c>
      <c r="W899" s="57">
        <f>(1000*CHOOSE(CONTROL!$C$42, 0.1146, 0.1146)*CHOOSE(CONTROL!$C$42, 121.5, 121.5)*CHOOSE(CONTROL!$C$42, 30, 30))/1000000</f>
        <v>0.417717</v>
      </c>
      <c r="X899" s="57">
        <f>(30*0.1790888*100000/1000000)+(30*0.2374*100000/1000000)</f>
        <v>1.2494664</v>
      </c>
      <c r="Y899" s="57"/>
      <c r="Z899" s="10"/>
      <c r="AA899" s="56"/>
      <c r="AB899" s="50">
        <f>(B899*122.58+C899*297.941+D899*89.177+E899*40.302+F899*40+G899*160+H899*0+I899*100+J899*300)/(122.58+297.941+89.177+40.302+0+40+160+100+300)</f>
        <v>68.359027614695663</v>
      </c>
      <c r="AC899" s="45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67.711558992805763</v>
      </c>
    </row>
    <row r="900" spans="1:29" ht="15.75" x14ac:dyDescent="0.25">
      <c r="A900" s="13">
        <v>68302</v>
      </c>
      <c r="B900" s="10">
        <f>CHOOSE(CONTROL!$C$42, 73.0096, 73.0096) * CHOOSE(CONTROL!$C$21, $C$9, 100%, $E$9)</f>
        <v>73.009600000000006</v>
      </c>
      <c r="C900" s="10">
        <f>CHOOSE(CONTROL!$C$42, 73.0145, 73.0145) * CHOOSE(CONTROL!$C$21, $C$9, 100%, $E$9)</f>
        <v>73.014499999999998</v>
      </c>
      <c r="D900" s="10">
        <f>CHOOSE(CONTROL!$C$42, 73.075, 73.075) * CHOOSE(CONTROL!$C$21, $C$9, 100%, $E$9)</f>
        <v>73.075000000000003</v>
      </c>
      <c r="E900" s="10">
        <f>CHOOSE(CONTROL!$C$42, 73.1088, 73.1088) * CHOOSE(CONTROL!$C$21, $C$9, 100%, $E$9)</f>
        <v>73.108800000000002</v>
      </c>
      <c r="F900" s="10">
        <f>CHOOSE(CONTROL!$C$42, 73.007, 73.007)*CHOOSE(CONTROL!$C$21, $C$9, 100%, $E$9)</f>
        <v>73.007000000000005</v>
      </c>
      <c r="G900" s="10">
        <f>CHOOSE(CONTROL!$C$42, 73.0227, 73.0227)*CHOOSE(CONTROL!$C$21, $C$9, 100%, $E$9)</f>
        <v>73.0227</v>
      </c>
      <c r="H900" s="10">
        <f>CHOOSE(CONTROL!$C$42, 73.098, 73.098) * CHOOSE(CONTROL!$C$21, $C$9, 100%, $E$9)</f>
        <v>73.097999999999999</v>
      </c>
      <c r="I900" s="10">
        <f>CHOOSE(CONTROL!$C$42, 73.0221, 73.0221)* CHOOSE(CONTROL!$C$21, $C$9, 100%, $E$9)</f>
        <v>73.022099999999995</v>
      </c>
      <c r="J900" s="10">
        <f>CHOOSE(CONTROL!$C$42, 73, 73)* CHOOSE(CONTROL!$C$21, $C$9, 100%, $E$9)</f>
        <v>73</v>
      </c>
      <c r="K900" s="53">
        <f>CHOOSE(CONTROL!$C$42, 73.0182, 73.0182) * CHOOSE(CONTROL!$C$21, $C$9, 100%, $E$9)</f>
        <v>73.018199999999993</v>
      </c>
      <c r="L900" s="10">
        <f>CHOOSE(CONTROL!$C$42, 73.685, 73.685) * CHOOSE(CONTROL!$C$21, $C$9, 100%, $E$9)</f>
        <v>73.685000000000002</v>
      </c>
      <c r="M900" s="10">
        <f>CHOOSE(CONTROL!$C$42, 72.2771, 72.2771) * CHOOSE(CONTROL!$C$21, $C$9, 100%, $E$9)</f>
        <v>72.277100000000004</v>
      </c>
      <c r="N900" s="10">
        <f>CHOOSE(CONTROL!$C$42, 72.2927, 72.2927) * CHOOSE(CONTROL!$C$21, $C$9, 100%, $E$9)</f>
        <v>72.292699999999996</v>
      </c>
      <c r="O900" s="10">
        <f>CHOOSE(CONTROL!$C$42, 72.3741, 72.3741) * CHOOSE(CONTROL!$C$21, $C$9, 100%, $E$9)</f>
        <v>72.374099999999999</v>
      </c>
      <c r="P900" s="10">
        <f>CHOOSE(CONTROL!$C$42, 72.299, 72.299) * CHOOSE(CONTROL!$C$21, $C$9, 100%, $E$9)</f>
        <v>72.299000000000007</v>
      </c>
      <c r="Q900" s="10">
        <f>CHOOSE(CONTROL!$C$42, 72.9694, 72.9694) * CHOOSE(CONTROL!$C$21, $C$9, 100%, $E$9)</f>
        <v>72.969399999999993</v>
      </c>
      <c r="R900" s="10">
        <f>CHOOSE(CONTROL!$C$42, 73.7389, 73.7389) * CHOOSE(CONTROL!$C$21, $C$9, 100%, $E$9)</f>
        <v>73.738900000000001</v>
      </c>
      <c r="S900" s="10">
        <f>CHOOSE(CONTROL!$C$42, 70.8974, 70.8974) * CHOOSE(CONTROL!$C$21, $C$9, 100%, $E$9)</f>
        <v>70.897400000000005</v>
      </c>
      <c r="T9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57">
        <f>(1000*CHOOSE(CONTROL!$C$42, 695, 695)*CHOOSE(CONTROL!$C$42, 0.5599, 0.5599)*CHOOSE(CONTROL!$C$42, 31, 31))/1000000</f>
        <v>12.063045499999998</v>
      </c>
      <c r="V900" s="57">
        <f>(1000*CHOOSE(CONTROL!$C$42, 500, 500)*CHOOSE(CONTROL!$C$42, 0.275, 0.275)*CHOOSE(CONTROL!$C$42, 31, 31))/1000000</f>
        <v>4.2625000000000002</v>
      </c>
      <c r="W900" s="57">
        <f>(1000*CHOOSE(CONTROL!$C$42, 0.1146, 0.1146)*CHOOSE(CONTROL!$C$42, 121.5, 121.5)*CHOOSE(CONTROL!$C$42, 31, 31))/1000000</f>
        <v>0.43164089999999994</v>
      </c>
      <c r="X900" s="57">
        <f>(31*0.1790888*100000/1000000)+(31*0.2374*100000/1000000)</f>
        <v>1.2911152800000001</v>
      </c>
      <c r="Y900" s="57"/>
      <c r="Z900" s="10"/>
      <c r="AA900" s="56"/>
      <c r="AB900" s="50">
        <f>(B900*122.58+C900*297.941+D900*89.177+E900*40.302+F900*40+G900*160+H900*0+I900*100+J900*300)/(122.58+297.941+89.177+40.302+0+40+160+100+300)</f>
        <v>73.019732213130425</v>
      </c>
      <c r="AC900" s="45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72.325112949640285</v>
      </c>
    </row>
    <row r="901" spans="1:29" ht="15.75" x14ac:dyDescent="0.25">
      <c r="A901" s="13">
        <v>68333</v>
      </c>
      <c r="B901" s="10">
        <f>CHOOSE(CONTROL!$C$42, 78.9915, 78.9915) * CHOOSE(CONTROL!$C$21, $C$9, 100%, $E$9)</f>
        <v>78.991500000000002</v>
      </c>
      <c r="C901" s="10">
        <f>CHOOSE(CONTROL!$C$42, 78.9965, 78.9965) * CHOOSE(CONTROL!$C$21, $C$9, 100%, $E$9)</f>
        <v>78.996499999999997</v>
      </c>
      <c r="D901" s="10">
        <f>CHOOSE(CONTROL!$C$42, 79.0535, 79.0535) * CHOOSE(CONTROL!$C$21, $C$9, 100%, $E$9)</f>
        <v>79.0535</v>
      </c>
      <c r="E901" s="10">
        <f>CHOOSE(CONTROL!$C$42, 79.0873, 79.0873) * CHOOSE(CONTROL!$C$21, $C$9, 100%, $E$9)</f>
        <v>79.087299999999999</v>
      </c>
      <c r="F901" s="10">
        <f>CHOOSE(CONTROL!$C$42, 78.9893, 78.9893)*CHOOSE(CONTROL!$C$21, $C$9, 100%, $E$9)</f>
        <v>78.9893</v>
      </c>
      <c r="G901" s="10">
        <f>CHOOSE(CONTROL!$C$42, 79.0039, 79.0039)*CHOOSE(CONTROL!$C$21, $C$9, 100%, $E$9)</f>
        <v>79.003900000000002</v>
      </c>
      <c r="H901" s="10">
        <f>CHOOSE(CONTROL!$C$42, 79.0765, 79.0765) * CHOOSE(CONTROL!$C$21, $C$9, 100%, $E$9)</f>
        <v>79.076499999999996</v>
      </c>
      <c r="I901" s="10">
        <f>CHOOSE(CONTROL!$C$42, 79.0023, 79.0023)* CHOOSE(CONTROL!$C$21, $C$9, 100%, $E$9)</f>
        <v>79.002300000000005</v>
      </c>
      <c r="J901" s="10">
        <f>CHOOSE(CONTROL!$C$42, 78.9823, 78.9823)* CHOOSE(CONTROL!$C$21, $C$9, 100%, $E$9)</f>
        <v>78.982299999999995</v>
      </c>
      <c r="K901" s="53">
        <f>CHOOSE(CONTROL!$C$42, 78.9984, 78.9984) * CHOOSE(CONTROL!$C$21, $C$9, 100%, $E$9)</f>
        <v>78.998400000000004</v>
      </c>
      <c r="L901" s="10">
        <f>CHOOSE(CONTROL!$C$42, 79.6635, 79.6635) * CHOOSE(CONTROL!$C$21, $C$9, 100%, $E$9)</f>
        <v>79.663499999999999</v>
      </c>
      <c r="M901" s="10">
        <f>CHOOSE(CONTROL!$C$42, 78.1991, 78.1991) * CHOOSE(CONTROL!$C$21, $C$9, 100%, $E$9)</f>
        <v>78.199100000000001</v>
      </c>
      <c r="N901" s="10">
        <f>CHOOSE(CONTROL!$C$42, 78.2135, 78.2135) * CHOOSE(CONTROL!$C$21, $C$9, 100%, $E$9)</f>
        <v>78.213499999999996</v>
      </c>
      <c r="O901" s="10">
        <f>CHOOSE(CONTROL!$C$42, 78.2923, 78.2923) * CHOOSE(CONTROL!$C$21, $C$9, 100%, $E$9)</f>
        <v>78.292299999999997</v>
      </c>
      <c r="P901" s="10">
        <f>CHOOSE(CONTROL!$C$42, 78.2189, 78.2189) * CHOOSE(CONTROL!$C$21, $C$9, 100%, $E$9)</f>
        <v>78.218900000000005</v>
      </c>
      <c r="Q901" s="10">
        <f>CHOOSE(CONTROL!$C$42, 78.8876, 78.8876) * CHOOSE(CONTROL!$C$21, $C$9, 100%, $E$9)</f>
        <v>78.887600000000006</v>
      </c>
      <c r="R901" s="10">
        <f>CHOOSE(CONTROL!$C$42, 79.6718, 79.6718) * CHOOSE(CONTROL!$C$21, $C$9, 100%, $E$9)</f>
        <v>79.671800000000005</v>
      </c>
      <c r="S901" s="10">
        <f>CHOOSE(CONTROL!$C$42, 76.7065, 76.7065) * CHOOSE(CONTROL!$C$21, $C$9, 100%, $E$9)</f>
        <v>76.706500000000005</v>
      </c>
      <c r="T9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57">
        <f>(1000*CHOOSE(CONTROL!$C$42, 695, 695)*CHOOSE(CONTROL!$C$42, 0.5599, 0.5599)*CHOOSE(CONTROL!$C$42, 31, 31))/1000000</f>
        <v>12.063045499999998</v>
      </c>
      <c r="V901" s="57">
        <f>(1000*CHOOSE(CONTROL!$C$42, 500, 500)*CHOOSE(CONTROL!$C$42, 0.275, 0.275)*CHOOSE(CONTROL!$C$42, 31, 31))/1000000</f>
        <v>4.2625000000000002</v>
      </c>
      <c r="W901" s="57">
        <f>(1000*CHOOSE(CONTROL!$C$42, 0.1146, 0.1146)*CHOOSE(CONTROL!$C$42, 121.5, 121.5)*CHOOSE(CONTROL!$C$42, 31, 31))/1000000</f>
        <v>0.43164089999999994</v>
      </c>
      <c r="X901" s="57">
        <f>(31*0.1790888*100000/1000000)+(31*0.2374*100000/1000000)</f>
        <v>1.2911152800000001</v>
      </c>
      <c r="Y901" s="57"/>
      <c r="Z901" s="10"/>
      <c r="AA901" s="56"/>
      <c r="AB901" s="50">
        <f>(B901*122.58+C901*297.941+D901*89.177+E901*40.302+F901*40+G901*160+H901*0+I901*100+J901*300)/(122.58+297.941+89.177+40.302+0+40+160+100+300)</f>
        <v>79.001148357043476</v>
      </c>
      <c r="AC901" s="45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78.245019424460423</v>
      </c>
    </row>
    <row r="902" spans="1:29" ht="15.75" x14ac:dyDescent="0.25">
      <c r="A902" s="13">
        <v>68361</v>
      </c>
      <c r="B902" s="10">
        <f>CHOOSE(CONTROL!$C$42, 80.3976, 80.3976) * CHOOSE(CONTROL!$C$21, $C$9, 100%, $E$9)</f>
        <v>80.397599999999997</v>
      </c>
      <c r="C902" s="10">
        <f>CHOOSE(CONTROL!$C$42, 80.4026, 80.4026) * CHOOSE(CONTROL!$C$21, $C$9, 100%, $E$9)</f>
        <v>80.402600000000007</v>
      </c>
      <c r="D902" s="10">
        <f>CHOOSE(CONTROL!$C$42, 80.4596, 80.4596) * CHOOSE(CONTROL!$C$21, $C$9, 100%, $E$9)</f>
        <v>80.459599999999995</v>
      </c>
      <c r="E902" s="10">
        <f>CHOOSE(CONTROL!$C$42, 80.4934, 80.4934) * CHOOSE(CONTROL!$C$21, $C$9, 100%, $E$9)</f>
        <v>80.493399999999994</v>
      </c>
      <c r="F902" s="10">
        <f>CHOOSE(CONTROL!$C$42, 80.3955, 80.3955)*CHOOSE(CONTROL!$C$21, $C$9, 100%, $E$9)</f>
        <v>80.395499999999998</v>
      </c>
      <c r="G902" s="10">
        <f>CHOOSE(CONTROL!$C$42, 80.4102, 80.4102)*CHOOSE(CONTROL!$C$21, $C$9, 100%, $E$9)</f>
        <v>80.410200000000003</v>
      </c>
      <c r="H902" s="10">
        <f>CHOOSE(CONTROL!$C$42, 80.4826, 80.4826) * CHOOSE(CONTROL!$C$21, $C$9, 100%, $E$9)</f>
        <v>80.482600000000005</v>
      </c>
      <c r="I902" s="10">
        <f>CHOOSE(CONTROL!$C$42, 80.4084, 80.4084)* CHOOSE(CONTROL!$C$21, $C$9, 100%, $E$9)</f>
        <v>80.4084</v>
      </c>
      <c r="J902" s="10">
        <f>CHOOSE(CONTROL!$C$42, 80.3885, 80.3885)* CHOOSE(CONTROL!$C$21, $C$9, 100%, $E$9)</f>
        <v>80.388499999999993</v>
      </c>
      <c r="K902" s="53">
        <f>CHOOSE(CONTROL!$C$42, 80.4045, 80.4045) * CHOOSE(CONTROL!$C$21, $C$9, 100%, $E$9)</f>
        <v>80.404499999999999</v>
      </c>
      <c r="L902" s="10">
        <f>CHOOSE(CONTROL!$C$42, 81.0696, 81.0696) * CHOOSE(CONTROL!$C$21, $C$9, 100%, $E$9)</f>
        <v>81.069599999999994</v>
      </c>
      <c r="M902" s="10">
        <f>CHOOSE(CONTROL!$C$42, 79.5911, 79.5911) * CHOOSE(CONTROL!$C$21, $C$9, 100%, $E$9)</f>
        <v>79.591099999999997</v>
      </c>
      <c r="N902" s="10">
        <f>CHOOSE(CONTROL!$C$42, 79.6056, 79.6056) * CHOOSE(CONTROL!$C$21, $C$9, 100%, $E$9)</f>
        <v>79.605599999999995</v>
      </c>
      <c r="O902" s="10">
        <f>CHOOSE(CONTROL!$C$42, 79.6842, 79.6842) * CHOOSE(CONTROL!$C$21, $C$9, 100%, $E$9)</f>
        <v>79.684200000000004</v>
      </c>
      <c r="P902" s="10">
        <f>CHOOSE(CONTROL!$C$42, 79.6108, 79.6108) * CHOOSE(CONTROL!$C$21, $C$9, 100%, $E$9)</f>
        <v>79.610799999999998</v>
      </c>
      <c r="Q902" s="10">
        <f>CHOOSE(CONTROL!$C$42, 80.2795, 80.2795) * CHOOSE(CONTROL!$C$21, $C$9, 100%, $E$9)</f>
        <v>80.279499999999999</v>
      </c>
      <c r="R902" s="10">
        <f>CHOOSE(CONTROL!$C$42, 81.0672, 81.0672) * CHOOSE(CONTROL!$C$21, $C$9, 100%, $E$9)</f>
        <v>81.0672</v>
      </c>
      <c r="S902" s="10">
        <f>CHOOSE(CONTROL!$C$42, 78.072, 78.072) * CHOOSE(CONTROL!$C$21, $C$9, 100%, $E$9)</f>
        <v>78.072000000000003</v>
      </c>
      <c r="T9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02" s="57">
        <f>(1000*CHOOSE(CONTROL!$C$42, 695, 695)*CHOOSE(CONTROL!$C$42, 0.5599, 0.5599)*CHOOSE(CONTROL!$C$42, 28, 28))/1000000</f>
        <v>10.895653999999999</v>
      </c>
      <c r="V902" s="57">
        <f>(1000*CHOOSE(CONTROL!$C$42, 500, 500)*CHOOSE(CONTROL!$C$42, 0.275, 0.275)*CHOOSE(CONTROL!$C$42, 28, 28))/1000000</f>
        <v>3.85</v>
      </c>
      <c r="W902" s="57">
        <f>(1000*CHOOSE(CONTROL!$C$42, 0.1146, 0.1146)*CHOOSE(CONTROL!$C$42, 121.5, 121.5)*CHOOSE(CONTROL!$C$42, 28, 28))/1000000</f>
        <v>0.38986920000000003</v>
      </c>
      <c r="X902" s="57">
        <f>(28*0.1790888*100000/1000000)+(28*0.2374*100000/1000000)</f>
        <v>1.16616864</v>
      </c>
      <c r="Y902" s="57"/>
      <c r="Z902" s="10"/>
      <c r="AA902" s="56"/>
      <c r="AB902" s="50">
        <f>(B902*122.58+C902*297.941+D902*89.177+E902*40.302+F902*40+G902*160+H902*0+I902*100+J902*300)/(122.58+297.941+89.177+40.302+0+40+160+100+300)</f>
        <v>80.407305748347824</v>
      </c>
      <c r="AC902" s="45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79.636965467625899</v>
      </c>
    </row>
    <row r="903" spans="1:29" ht="15.75" x14ac:dyDescent="0.25">
      <c r="A903" s="13">
        <v>68392</v>
      </c>
      <c r="B903" s="10">
        <f>CHOOSE(CONTROL!$C$42, 78.1151, 78.1151) * CHOOSE(CONTROL!$C$21, $C$9, 100%, $E$9)</f>
        <v>78.115099999999998</v>
      </c>
      <c r="C903" s="10">
        <f>CHOOSE(CONTROL!$C$42, 78.1201, 78.1201) * CHOOSE(CONTROL!$C$21, $C$9, 100%, $E$9)</f>
        <v>78.120099999999994</v>
      </c>
      <c r="D903" s="10">
        <f>CHOOSE(CONTROL!$C$42, 78.1772, 78.1772) * CHOOSE(CONTROL!$C$21, $C$9, 100%, $E$9)</f>
        <v>78.177199999999999</v>
      </c>
      <c r="E903" s="10">
        <f>CHOOSE(CONTROL!$C$42, 78.2109, 78.2109) * CHOOSE(CONTROL!$C$21, $C$9, 100%, $E$9)</f>
        <v>78.210899999999995</v>
      </c>
      <c r="F903" s="10">
        <f>CHOOSE(CONTROL!$C$42, 78.113, 78.113)*CHOOSE(CONTROL!$C$21, $C$9, 100%, $E$9)</f>
        <v>78.113</v>
      </c>
      <c r="G903" s="10">
        <f>CHOOSE(CONTROL!$C$42, 78.1276, 78.1276)*CHOOSE(CONTROL!$C$21, $C$9, 100%, $E$9)</f>
        <v>78.127600000000001</v>
      </c>
      <c r="H903" s="10">
        <f>CHOOSE(CONTROL!$C$42, 78.2001, 78.2001) * CHOOSE(CONTROL!$C$21, $C$9, 100%, $E$9)</f>
        <v>78.200100000000006</v>
      </c>
      <c r="I903" s="10">
        <f>CHOOSE(CONTROL!$C$42, 78.1259, 78.1259)* CHOOSE(CONTROL!$C$21, $C$9, 100%, $E$9)</f>
        <v>78.125900000000001</v>
      </c>
      <c r="J903" s="10">
        <f>CHOOSE(CONTROL!$C$42, 78.106, 78.106)* CHOOSE(CONTROL!$C$21, $C$9, 100%, $E$9)</f>
        <v>78.105999999999995</v>
      </c>
      <c r="K903" s="53">
        <f>CHOOSE(CONTROL!$C$42, 78.1221, 78.1221) * CHOOSE(CONTROL!$C$21, $C$9, 100%, $E$9)</f>
        <v>78.122100000000003</v>
      </c>
      <c r="L903" s="10">
        <f>CHOOSE(CONTROL!$C$42, 78.7871, 78.7871) * CHOOSE(CONTROL!$C$21, $C$9, 100%, $E$9)</f>
        <v>78.787099999999995</v>
      </c>
      <c r="M903" s="10">
        <f>CHOOSE(CONTROL!$C$42, 77.3316, 77.3316) * CHOOSE(CONTROL!$C$21, $C$9, 100%, $E$9)</f>
        <v>77.331599999999995</v>
      </c>
      <c r="N903" s="10">
        <f>CHOOSE(CONTROL!$C$42, 77.346, 77.346) * CHOOSE(CONTROL!$C$21, $C$9, 100%, $E$9)</f>
        <v>77.346000000000004</v>
      </c>
      <c r="O903" s="10">
        <f>CHOOSE(CONTROL!$C$42, 77.4248, 77.4248) * CHOOSE(CONTROL!$C$21, $C$9, 100%, $E$9)</f>
        <v>77.424800000000005</v>
      </c>
      <c r="P903" s="10">
        <f>CHOOSE(CONTROL!$C$42, 77.3514, 77.3514) * CHOOSE(CONTROL!$C$21, $C$9, 100%, $E$9)</f>
        <v>77.351399999999998</v>
      </c>
      <c r="Q903" s="10">
        <f>CHOOSE(CONTROL!$C$42, 78.0201, 78.0201) * CHOOSE(CONTROL!$C$21, $C$9, 100%, $E$9)</f>
        <v>78.020099999999999</v>
      </c>
      <c r="R903" s="10">
        <f>CHOOSE(CONTROL!$C$42, 78.8021, 78.8021) * CHOOSE(CONTROL!$C$21, $C$9, 100%, $E$9)</f>
        <v>78.802099999999996</v>
      </c>
      <c r="S903" s="10">
        <f>CHOOSE(CONTROL!$C$42, 75.8555, 75.8555) * CHOOSE(CONTROL!$C$21, $C$9, 100%, $E$9)</f>
        <v>75.855500000000006</v>
      </c>
      <c r="T9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57">
        <f>(1000*CHOOSE(CONTROL!$C$42, 695, 695)*CHOOSE(CONTROL!$C$42, 0.5599, 0.5599)*CHOOSE(CONTROL!$C$42, 31, 31))/1000000</f>
        <v>12.063045499999998</v>
      </c>
      <c r="V903" s="57">
        <f>(1000*CHOOSE(CONTROL!$C$42, 500, 500)*CHOOSE(CONTROL!$C$42, 0.275, 0.275)*CHOOSE(CONTROL!$C$42, 31, 31))/1000000</f>
        <v>4.2625000000000002</v>
      </c>
      <c r="W903" s="57">
        <f>(1000*CHOOSE(CONTROL!$C$42, 0.1146, 0.1146)*CHOOSE(CONTROL!$C$42, 121.5, 121.5)*CHOOSE(CONTROL!$C$42, 31, 31))/1000000</f>
        <v>0.43164089999999994</v>
      </c>
      <c r="X903" s="57">
        <f>(31*0.1790888*100000/1000000)+(31*0.2374*100000/1000000)</f>
        <v>1.2911152800000001</v>
      </c>
      <c r="Y903" s="57"/>
      <c r="Z903" s="10"/>
      <c r="AA903" s="56"/>
      <c r="AB903" s="50">
        <f>(B903*122.58+C903*297.941+D903*89.177+E903*40.302+F903*40+G903*160+H903*0+I903*100+J903*300)/(122.58+297.941+89.177+40.302+0+40+160+100+300)</f>
        <v>78.124799589826083</v>
      </c>
      <c r="AC903" s="45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77.377519424460431</v>
      </c>
    </row>
    <row r="904" spans="1:29" ht="15.75" x14ac:dyDescent="0.25">
      <c r="A904" s="13">
        <v>68422</v>
      </c>
      <c r="B904" s="10">
        <f>CHOOSE(CONTROL!$C$42, 77.8824, 77.8824) * CHOOSE(CONTROL!$C$21, $C$9, 100%, $E$9)</f>
        <v>77.882400000000004</v>
      </c>
      <c r="C904" s="10">
        <f>CHOOSE(CONTROL!$C$42, 77.8868, 77.8868) * CHOOSE(CONTROL!$C$21, $C$9, 100%, $E$9)</f>
        <v>77.886799999999994</v>
      </c>
      <c r="D904" s="10">
        <f>CHOOSE(CONTROL!$C$42, 78.0927, 78.0927) * CHOOSE(CONTROL!$C$21, $C$9, 100%, $E$9)</f>
        <v>78.092699999999994</v>
      </c>
      <c r="E904" s="10">
        <f>CHOOSE(CONTROL!$C$42, 78.1245, 78.1245) * CHOOSE(CONTROL!$C$21, $C$9, 100%, $E$9)</f>
        <v>78.124499999999998</v>
      </c>
      <c r="F904" s="10">
        <f>CHOOSE(CONTROL!$C$42, 77.8592, 77.8592)*CHOOSE(CONTROL!$C$21, $C$9, 100%, $E$9)</f>
        <v>77.859200000000001</v>
      </c>
      <c r="G904" s="10">
        <f>CHOOSE(CONTROL!$C$42, 77.8737, 77.8737)*CHOOSE(CONTROL!$C$21, $C$9, 100%, $E$9)</f>
        <v>77.873699999999999</v>
      </c>
      <c r="H904" s="10">
        <f>CHOOSE(CONTROL!$C$42, 78.1142, 78.1142) * CHOOSE(CONTROL!$C$21, $C$9, 100%, $E$9)</f>
        <v>78.114199999999997</v>
      </c>
      <c r="I904" s="10">
        <f>CHOOSE(CONTROL!$C$42, 77.8839, 77.8839)* CHOOSE(CONTROL!$C$21, $C$9, 100%, $E$9)</f>
        <v>77.883899999999997</v>
      </c>
      <c r="J904" s="10">
        <f>CHOOSE(CONTROL!$C$42, 77.8522, 77.8522)* CHOOSE(CONTROL!$C$21, $C$9, 100%, $E$9)</f>
        <v>77.852199999999996</v>
      </c>
      <c r="K904" s="53">
        <f>CHOOSE(CONTROL!$C$42, 77.88, 77.88) * CHOOSE(CONTROL!$C$21, $C$9, 100%, $E$9)</f>
        <v>77.88</v>
      </c>
      <c r="L904" s="10">
        <f>CHOOSE(CONTROL!$C$42, 78.7012, 78.7012) * CHOOSE(CONTROL!$C$21, $C$9, 100%, $E$9)</f>
        <v>78.7012</v>
      </c>
      <c r="M904" s="10">
        <f>CHOOSE(CONTROL!$C$42, 77.0804, 77.0804) * CHOOSE(CONTROL!$C$21, $C$9, 100%, $E$9)</f>
        <v>77.080399999999997</v>
      </c>
      <c r="N904" s="10">
        <f>CHOOSE(CONTROL!$C$42, 77.0947, 77.0947) * CHOOSE(CONTROL!$C$21, $C$9, 100%, $E$9)</f>
        <v>77.094700000000003</v>
      </c>
      <c r="O904" s="10">
        <f>CHOOSE(CONTROL!$C$42, 77.3398, 77.3398) * CHOOSE(CONTROL!$C$21, $C$9, 100%, $E$9)</f>
        <v>77.339799999999997</v>
      </c>
      <c r="P904" s="10">
        <f>CHOOSE(CONTROL!$C$42, 77.1118, 77.1118) * CHOOSE(CONTROL!$C$21, $C$9, 100%, $E$9)</f>
        <v>77.111800000000002</v>
      </c>
      <c r="Q904" s="10">
        <f>CHOOSE(CONTROL!$C$42, 77.9351, 77.9351) * CHOOSE(CONTROL!$C$21, $C$9, 100%, $E$9)</f>
        <v>77.935100000000006</v>
      </c>
      <c r="R904" s="10">
        <f>CHOOSE(CONTROL!$C$42, 78.7169, 78.7169) * CHOOSE(CONTROL!$C$21, $C$9, 100%, $E$9)</f>
        <v>78.716899999999995</v>
      </c>
      <c r="S904" s="10">
        <f>CHOOSE(CONTROL!$C$42, 75.6287, 75.6287) * CHOOSE(CONTROL!$C$21, $C$9, 100%, $E$9)</f>
        <v>75.628699999999995</v>
      </c>
      <c r="T9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57">
        <f>(1000*CHOOSE(CONTROL!$C$42, 695, 695)*CHOOSE(CONTROL!$C$42, 0.5599, 0.5599)*CHOOSE(CONTROL!$C$42, 30, 30))/1000000</f>
        <v>11.673914999999997</v>
      </c>
      <c r="V904" s="57">
        <f>(1000*CHOOSE(CONTROL!$C$42, 500, 500)*CHOOSE(CONTROL!$C$42, 0.275, 0.275)*CHOOSE(CONTROL!$C$42, 30, 30))/1000000</f>
        <v>4.125</v>
      </c>
      <c r="W904" s="57">
        <f>(1000*CHOOSE(CONTROL!$C$42, 0.1146, 0.1146)*CHOOSE(CONTROL!$C$42, 121.5, 121.5)*CHOOSE(CONTROL!$C$42, 30, 30))/1000000</f>
        <v>0.417717</v>
      </c>
      <c r="X904" s="57">
        <f>(30*0.1790888*245000/1000000)+(30*0.2374*100000/1000000)</f>
        <v>2.0285026799999999</v>
      </c>
      <c r="Y904" s="57"/>
      <c r="Z904" s="10"/>
      <c r="AA904" s="56"/>
      <c r="AB904" s="50">
        <f>(B904*141.293+C904*267.993+D904*115.016+E904*89.698+F904*40+G904*185+H904*0+I904*100+J904*300)/(141.293+267.993+115.016+89.698+0+40+185+100+300)</f>
        <v>77.911161436481038</v>
      </c>
      <c r="AC904" s="45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77.203310791366903</v>
      </c>
    </row>
    <row r="905" spans="1:29" ht="15.75" x14ac:dyDescent="0.25">
      <c r="A905" s="13">
        <v>68453</v>
      </c>
      <c r="B905" s="10">
        <f>CHOOSE(CONTROL!$C$42, 78.5712, 78.5712) * CHOOSE(CONTROL!$C$21, $C$9, 100%, $E$9)</f>
        <v>78.571200000000005</v>
      </c>
      <c r="C905" s="10">
        <f>CHOOSE(CONTROL!$C$42, 78.5791, 78.5791) * CHOOSE(CONTROL!$C$21, $C$9, 100%, $E$9)</f>
        <v>78.579099999999997</v>
      </c>
      <c r="D905" s="10">
        <f>CHOOSE(CONTROL!$C$42, 78.7818, 78.7818) * CHOOSE(CONTROL!$C$21, $C$9, 100%, $E$9)</f>
        <v>78.781800000000004</v>
      </c>
      <c r="E905" s="10">
        <f>CHOOSE(CONTROL!$C$42, 78.813, 78.813) * CHOOSE(CONTROL!$C$21, $C$9, 100%, $E$9)</f>
        <v>78.813000000000002</v>
      </c>
      <c r="F905" s="10">
        <f>CHOOSE(CONTROL!$C$42, 78.5469, 78.5469)*CHOOSE(CONTROL!$C$21, $C$9, 100%, $E$9)</f>
        <v>78.546899999999994</v>
      </c>
      <c r="G905" s="10">
        <f>CHOOSE(CONTROL!$C$42, 78.5619, 78.5619)*CHOOSE(CONTROL!$C$21, $C$9, 100%, $E$9)</f>
        <v>78.561899999999994</v>
      </c>
      <c r="H905" s="10">
        <f>CHOOSE(CONTROL!$C$42, 78.8016, 78.8016) * CHOOSE(CONTROL!$C$21, $C$9, 100%, $E$9)</f>
        <v>78.801599999999993</v>
      </c>
      <c r="I905" s="10">
        <f>CHOOSE(CONTROL!$C$42, 78.5712, 78.5712)* CHOOSE(CONTROL!$C$21, $C$9, 100%, $E$9)</f>
        <v>78.571200000000005</v>
      </c>
      <c r="J905" s="10">
        <f>CHOOSE(CONTROL!$C$42, 78.5399, 78.5399)* CHOOSE(CONTROL!$C$21, $C$9, 100%, $E$9)</f>
        <v>78.539900000000003</v>
      </c>
      <c r="K905" s="53">
        <f>CHOOSE(CONTROL!$C$42, 78.5673, 78.5673) * CHOOSE(CONTROL!$C$21, $C$9, 100%, $E$9)</f>
        <v>78.567300000000003</v>
      </c>
      <c r="L905" s="10">
        <f>CHOOSE(CONTROL!$C$42, 79.3886, 79.3886) * CHOOSE(CONTROL!$C$21, $C$9, 100%, $E$9)</f>
        <v>79.388599999999997</v>
      </c>
      <c r="M905" s="10">
        <f>CHOOSE(CONTROL!$C$42, 77.7611, 77.7611) * CHOOSE(CONTROL!$C$21, $C$9, 100%, $E$9)</f>
        <v>77.761099999999999</v>
      </c>
      <c r="N905" s="10">
        <f>CHOOSE(CONTROL!$C$42, 77.776, 77.776) * CHOOSE(CONTROL!$C$21, $C$9, 100%, $E$9)</f>
        <v>77.775999999999996</v>
      </c>
      <c r="O905" s="10">
        <f>CHOOSE(CONTROL!$C$42, 78.0202, 78.0202) * CHOOSE(CONTROL!$C$21, $C$9, 100%, $E$9)</f>
        <v>78.020200000000003</v>
      </c>
      <c r="P905" s="10">
        <f>CHOOSE(CONTROL!$C$42, 77.7922, 77.7922) * CHOOSE(CONTROL!$C$21, $C$9, 100%, $E$9)</f>
        <v>77.792199999999994</v>
      </c>
      <c r="Q905" s="10">
        <f>CHOOSE(CONTROL!$C$42, 78.6155, 78.6155) * CHOOSE(CONTROL!$C$21, $C$9, 100%, $E$9)</f>
        <v>78.615499999999997</v>
      </c>
      <c r="R905" s="10">
        <f>CHOOSE(CONTROL!$C$42, 79.399, 79.399) * CHOOSE(CONTROL!$C$21, $C$9, 100%, $E$9)</f>
        <v>79.399000000000001</v>
      </c>
      <c r="S905" s="10">
        <f>CHOOSE(CONTROL!$C$42, 76.2962, 76.2962) * CHOOSE(CONTROL!$C$21, $C$9, 100%, $E$9)</f>
        <v>76.296199999999999</v>
      </c>
      <c r="T9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57">
        <f>(1000*CHOOSE(CONTROL!$C$42, 695, 695)*CHOOSE(CONTROL!$C$42, 0.5599, 0.5599)*CHOOSE(CONTROL!$C$42, 31, 31))/1000000</f>
        <v>12.063045499999998</v>
      </c>
      <c r="V905" s="57">
        <f>(1000*CHOOSE(CONTROL!$C$42, 500, 500)*CHOOSE(CONTROL!$C$42, 0.275, 0.275)*CHOOSE(CONTROL!$C$42, 31, 31))/1000000</f>
        <v>4.2625000000000002</v>
      </c>
      <c r="W905" s="57">
        <f>(1000*CHOOSE(CONTROL!$C$42, 0.1146, 0.1146)*CHOOSE(CONTROL!$C$42, 121.5, 121.5)*CHOOSE(CONTROL!$C$42, 31, 31))/1000000</f>
        <v>0.43164089999999994</v>
      </c>
      <c r="X905" s="57">
        <f>(31*0.1790888*245000/1000000)+(31*0.2374*100000/1000000)</f>
        <v>2.0961194359999999</v>
      </c>
      <c r="Y905" s="57"/>
      <c r="Z905" s="10"/>
      <c r="AA905" s="56"/>
      <c r="AB905" s="50">
        <f>(B905*194.205+C905*267.466+D905*133.845+E905*53.484+F905*40+G905*185+H905*0+I905*100+J905*300)/(194.205+267.466+133.845+53.484+0+40+185+100+300)</f>
        <v>78.595651075039243</v>
      </c>
      <c r="AC905" s="45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77.883866187050359</v>
      </c>
    </row>
    <row r="906" spans="1:29" ht="15.75" x14ac:dyDescent="0.25">
      <c r="A906" s="13">
        <v>68483</v>
      </c>
      <c r="B906" s="10">
        <f>CHOOSE(CONTROL!$C$42, 80.7998, 80.7998) * CHOOSE(CONTROL!$C$21, $C$9, 100%, $E$9)</f>
        <v>80.799800000000005</v>
      </c>
      <c r="C906" s="10">
        <f>CHOOSE(CONTROL!$C$42, 80.8077, 80.8077) * CHOOSE(CONTROL!$C$21, $C$9, 100%, $E$9)</f>
        <v>80.807699999999997</v>
      </c>
      <c r="D906" s="10">
        <f>CHOOSE(CONTROL!$C$42, 81.0105, 81.0105) * CHOOSE(CONTROL!$C$21, $C$9, 100%, $E$9)</f>
        <v>81.010499999999993</v>
      </c>
      <c r="E906" s="10">
        <f>CHOOSE(CONTROL!$C$42, 81.0416, 81.0416) * CHOOSE(CONTROL!$C$21, $C$9, 100%, $E$9)</f>
        <v>81.041600000000003</v>
      </c>
      <c r="F906" s="10">
        <f>CHOOSE(CONTROL!$C$42, 80.7761, 80.7761)*CHOOSE(CONTROL!$C$21, $C$9, 100%, $E$9)</f>
        <v>80.7761</v>
      </c>
      <c r="G906" s="10">
        <f>CHOOSE(CONTROL!$C$42, 80.7912, 80.7912)*CHOOSE(CONTROL!$C$21, $C$9, 100%, $E$9)</f>
        <v>80.791200000000003</v>
      </c>
      <c r="H906" s="10">
        <f>CHOOSE(CONTROL!$C$42, 81.0302, 81.0302) * CHOOSE(CONTROL!$C$21, $C$9, 100%, $E$9)</f>
        <v>81.030199999999994</v>
      </c>
      <c r="I906" s="10">
        <f>CHOOSE(CONTROL!$C$42, 80.7999, 80.7999)* CHOOSE(CONTROL!$C$21, $C$9, 100%, $E$9)</f>
        <v>80.799899999999994</v>
      </c>
      <c r="J906" s="10">
        <f>CHOOSE(CONTROL!$C$42, 80.7691, 80.7691)* CHOOSE(CONTROL!$C$21, $C$9, 100%, $E$9)</f>
        <v>80.769099999999995</v>
      </c>
      <c r="K906" s="53">
        <f>CHOOSE(CONTROL!$C$42, 80.796, 80.796) * CHOOSE(CONTROL!$C$21, $C$9, 100%, $E$9)</f>
        <v>80.796000000000006</v>
      </c>
      <c r="L906" s="10">
        <f>CHOOSE(CONTROL!$C$42, 81.6172, 81.6172) * CHOOSE(CONTROL!$C$21, $C$9, 100%, $E$9)</f>
        <v>81.617199999999997</v>
      </c>
      <c r="M906" s="10">
        <f>CHOOSE(CONTROL!$C$42, 79.9678, 79.9678) * CHOOSE(CONTROL!$C$21, $C$9, 100%, $E$9)</f>
        <v>79.967799999999997</v>
      </c>
      <c r="N906" s="10">
        <f>CHOOSE(CONTROL!$C$42, 79.9828, 79.9828) * CHOOSE(CONTROL!$C$21, $C$9, 100%, $E$9)</f>
        <v>79.982799999999997</v>
      </c>
      <c r="O906" s="10">
        <f>CHOOSE(CONTROL!$C$42, 80.2263, 80.2263) * CHOOSE(CONTROL!$C$21, $C$9, 100%, $E$9)</f>
        <v>80.226299999999995</v>
      </c>
      <c r="P906" s="10">
        <f>CHOOSE(CONTROL!$C$42, 79.9983, 79.9983) * CHOOSE(CONTROL!$C$21, $C$9, 100%, $E$9)</f>
        <v>79.9983</v>
      </c>
      <c r="Q906" s="10">
        <f>CHOOSE(CONTROL!$C$42, 80.8216, 80.8216) * CHOOSE(CONTROL!$C$21, $C$9, 100%, $E$9)</f>
        <v>80.821600000000004</v>
      </c>
      <c r="R906" s="10">
        <f>CHOOSE(CONTROL!$C$42, 81.6107, 81.6107) * CHOOSE(CONTROL!$C$21, $C$9, 100%, $E$9)</f>
        <v>81.610699999999994</v>
      </c>
      <c r="S906" s="10">
        <f>CHOOSE(CONTROL!$C$42, 78.4605, 78.4605) * CHOOSE(CONTROL!$C$21, $C$9, 100%, $E$9)</f>
        <v>78.460499999999996</v>
      </c>
      <c r="T9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57">
        <f>(1000*CHOOSE(CONTROL!$C$42, 695, 695)*CHOOSE(CONTROL!$C$42, 0.5599, 0.5599)*CHOOSE(CONTROL!$C$42, 30, 30))/1000000</f>
        <v>11.673914999999997</v>
      </c>
      <c r="V906" s="57">
        <f>(1000*CHOOSE(CONTROL!$C$42, 500, 500)*CHOOSE(CONTROL!$C$42, 0.275, 0.275)*CHOOSE(CONTROL!$C$42, 30, 30))/1000000</f>
        <v>4.125</v>
      </c>
      <c r="W906" s="57">
        <f>(1000*CHOOSE(CONTROL!$C$42, 0.1146, 0.1146)*CHOOSE(CONTROL!$C$42, 121.5, 121.5)*CHOOSE(CONTROL!$C$42, 30, 30))/1000000</f>
        <v>0.417717</v>
      </c>
      <c r="X906" s="57">
        <f>(30*0.1790888*245000/1000000)+(30*0.2374*100000/1000000)</f>
        <v>2.0285026799999999</v>
      </c>
      <c r="Y906" s="57"/>
      <c r="Z906" s="10"/>
      <c r="AA906" s="56"/>
      <c r="AB906" s="50">
        <f>(B906*194.205+C906*267.466+D906*133.845+E906*53.484+F906*40+G906*185+H906*0+I906*100+J906*300)/(194.205+267.466+133.845+53.484+0+40+185+100+300)</f>
        <v>80.824531204160124</v>
      </c>
      <c r="AC906" s="45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80.090213669064752</v>
      </c>
    </row>
    <row r="907" spans="1:29" ht="15.75" x14ac:dyDescent="0.25">
      <c r="A907" s="13">
        <v>68514</v>
      </c>
      <c r="B907" s="10">
        <f>CHOOSE(CONTROL!$C$42, 79.2498, 79.2498) * CHOOSE(CONTROL!$C$21, $C$9, 100%, $E$9)</f>
        <v>79.249799999999993</v>
      </c>
      <c r="C907" s="10">
        <f>CHOOSE(CONTROL!$C$42, 79.2577, 79.2577) * CHOOSE(CONTROL!$C$21, $C$9, 100%, $E$9)</f>
        <v>79.2577</v>
      </c>
      <c r="D907" s="10">
        <f>CHOOSE(CONTROL!$C$42, 79.4605, 79.4605) * CHOOSE(CONTROL!$C$21, $C$9, 100%, $E$9)</f>
        <v>79.460499999999996</v>
      </c>
      <c r="E907" s="10">
        <f>CHOOSE(CONTROL!$C$42, 79.4916, 79.4916) * CHOOSE(CONTROL!$C$21, $C$9, 100%, $E$9)</f>
        <v>79.491600000000005</v>
      </c>
      <c r="F907" s="10">
        <f>CHOOSE(CONTROL!$C$42, 79.2266, 79.2266)*CHOOSE(CONTROL!$C$21, $C$9, 100%, $E$9)</f>
        <v>79.226600000000005</v>
      </c>
      <c r="G907" s="10">
        <f>CHOOSE(CONTROL!$C$42, 79.2418, 79.2418)*CHOOSE(CONTROL!$C$21, $C$9, 100%, $E$9)</f>
        <v>79.241799999999998</v>
      </c>
      <c r="H907" s="10">
        <f>CHOOSE(CONTROL!$C$42, 79.4802, 79.4802) * CHOOSE(CONTROL!$C$21, $C$9, 100%, $E$9)</f>
        <v>79.480199999999996</v>
      </c>
      <c r="I907" s="10">
        <f>CHOOSE(CONTROL!$C$42, 79.2498, 79.2498)* CHOOSE(CONTROL!$C$21, $C$9, 100%, $E$9)</f>
        <v>79.249799999999993</v>
      </c>
      <c r="J907" s="10">
        <f>CHOOSE(CONTROL!$C$42, 79.2196, 79.2196)* CHOOSE(CONTROL!$C$21, $C$9, 100%, $E$9)</f>
        <v>79.2196</v>
      </c>
      <c r="K907" s="53">
        <f>CHOOSE(CONTROL!$C$42, 79.246, 79.246) * CHOOSE(CONTROL!$C$21, $C$9, 100%, $E$9)</f>
        <v>79.245999999999995</v>
      </c>
      <c r="L907" s="10">
        <f>CHOOSE(CONTROL!$C$42, 80.0672, 80.0672) * CHOOSE(CONTROL!$C$21, $C$9, 100%, $E$9)</f>
        <v>80.0672</v>
      </c>
      <c r="M907" s="10">
        <f>CHOOSE(CONTROL!$C$42, 78.4339, 78.4339) * CHOOSE(CONTROL!$C$21, $C$9, 100%, $E$9)</f>
        <v>78.433899999999994</v>
      </c>
      <c r="N907" s="10">
        <f>CHOOSE(CONTROL!$C$42, 78.449, 78.449) * CHOOSE(CONTROL!$C$21, $C$9, 100%, $E$9)</f>
        <v>78.448999999999998</v>
      </c>
      <c r="O907" s="10">
        <f>CHOOSE(CONTROL!$C$42, 78.692, 78.692) * CHOOSE(CONTROL!$C$21, $C$9, 100%, $E$9)</f>
        <v>78.691999999999993</v>
      </c>
      <c r="P907" s="10">
        <f>CHOOSE(CONTROL!$C$42, 78.4639, 78.4639) * CHOOSE(CONTROL!$C$21, $C$9, 100%, $E$9)</f>
        <v>78.463899999999995</v>
      </c>
      <c r="Q907" s="10">
        <f>CHOOSE(CONTROL!$C$42, 79.2873, 79.2873) * CHOOSE(CONTROL!$C$21, $C$9, 100%, $E$9)</f>
        <v>79.287300000000002</v>
      </c>
      <c r="R907" s="10">
        <f>CHOOSE(CONTROL!$C$42, 80.0725, 80.0725) * CHOOSE(CONTROL!$C$21, $C$9, 100%, $E$9)</f>
        <v>80.072500000000005</v>
      </c>
      <c r="S907" s="10">
        <f>CHOOSE(CONTROL!$C$42, 76.9552, 76.9552) * CHOOSE(CONTROL!$C$21, $C$9, 100%, $E$9)</f>
        <v>76.955200000000005</v>
      </c>
      <c r="T9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57">
        <f>(1000*CHOOSE(CONTROL!$C$42, 695, 695)*CHOOSE(CONTROL!$C$42, 0.5599, 0.5599)*CHOOSE(CONTROL!$C$42, 31, 31))/1000000</f>
        <v>12.063045499999998</v>
      </c>
      <c r="V907" s="57">
        <f>(1000*CHOOSE(CONTROL!$C$42, 500, 500)*CHOOSE(CONTROL!$C$42, 0.275, 0.275)*CHOOSE(CONTROL!$C$42, 31, 31))/1000000</f>
        <v>4.2625000000000002</v>
      </c>
      <c r="W907" s="57">
        <f>(1000*CHOOSE(CONTROL!$C$42, 0.1146, 0.1146)*CHOOSE(CONTROL!$C$42, 121.5, 121.5)*CHOOSE(CONTROL!$C$42, 31, 31))/1000000</f>
        <v>0.43164089999999994</v>
      </c>
      <c r="X907" s="57">
        <f>(31*0.1790888*245000/1000000)+(31*0.2374*100000/1000000)</f>
        <v>2.0961194359999999</v>
      </c>
      <c r="Y907" s="57"/>
      <c r="Z907" s="10"/>
      <c r="AA907" s="56"/>
      <c r="AB907" s="50">
        <f>(B907*194.205+C907*267.466+D907*133.845+E907*53.484+F907*40+G907*185+H907*0+I907*100+J907*300)/(194.205+267.466+133.845+53.484+0+40+185+100+300)</f>
        <v>79.274743920015695</v>
      </c>
      <c r="AC907" s="45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78.556066187050362</v>
      </c>
    </row>
    <row r="908" spans="1:29" ht="15.75" x14ac:dyDescent="0.25">
      <c r="A908" s="13">
        <v>68545</v>
      </c>
      <c r="B908" s="10">
        <f>CHOOSE(CONTROL!$C$42, 75.3355, 75.3355) * CHOOSE(CONTROL!$C$21, $C$9, 100%, $E$9)</f>
        <v>75.335499999999996</v>
      </c>
      <c r="C908" s="10">
        <f>CHOOSE(CONTROL!$C$42, 75.3434, 75.3434) * CHOOSE(CONTROL!$C$21, $C$9, 100%, $E$9)</f>
        <v>75.343400000000003</v>
      </c>
      <c r="D908" s="10">
        <f>CHOOSE(CONTROL!$C$42, 75.5462, 75.5462) * CHOOSE(CONTROL!$C$21, $C$9, 100%, $E$9)</f>
        <v>75.546199999999999</v>
      </c>
      <c r="E908" s="10">
        <f>CHOOSE(CONTROL!$C$42, 75.5773, 75.5773) * CHOOSE(CONTROL!$C$21, $C$9, 100%, $E$9)</f>
        <v>75.577299999999994</v>
      </c>
      <c r="F908" s="10">
        <f>CHOOSE(CONTROL!$C$42, 75.3124, 75.3124)*CHOOSE(CONTROL!$C$21, $C$9, 100%, $E$9)</f>
        <v>75.312399999999997</v>
      </c>
      <c r="G908" s="10">
        <f>CHOOSE(CONTROL!$C$42, 75.3278, 75.3278)*CHOOSE(CONTROL!$C$21, $C$9, 100%, $E$9)</f>
        <v>75.327799999999996</v>
      </c>
      <c r="H908" s="10">
        <f>CHOOSE(CONTROL!$C$42, 75.5659, 75.5659) * CHOOSE(CONTROL!$C$21, $C$9, 100%, $E$9)</f>
        <v>75.565899999999999</v>
      </c>
      <c r="I908" s="10">
        <f>CHOOSE(CONTROL!$C$42, 75.3355, 75.3355)* CHOOSE(CONTROL!$C$21, $C$9, 100%, $E$9)</f>
        <v>75.335499999999996</v>
      </c>
      <c r="J908" s="10">
        <f>CHOOSE(CONTROL!$C$42, 75.3054, 75.3054)* CHOOSE(CONTROL!$C$21, $C$9, 100%, $E$9)</f>
        <v>75.305400000000006</v>
      </c>
      <c r="K908" s="53">
        <f>CHOOSE(CONTROL!$C$42, 75.3317, 75.3317) * CHOOSE(CONTROL!$C$21, $C$9, 100%, $E$9)</f>
        <v>75.331699999999998</v>
      </c>
      <c r="L908" s="10">
        <f>CHOOSE(CONTROL!$C$42, 76.1529, 76.1529) * CHOOSE(CONTROL!$C$21, $C$9, 100%, $E$9)</f>
        <v>76.152900000000002</v>
      </c>
      <c r="M908" s="10">
        <f>CHOOSE(CONTROL!$C$42, 74.5593, 74.5593) * CHOOSE(CONTROL!$C$21, $C$9, 100%, $E$9)</f>
        <v>74.559299999999993</v>
      </c>
      <c r="N908" s="10">
        <f>CHOOSE(CONTROL!$C$42, 74.5745, 74.5745) * CHOOSE(CONTROL!$C$21, $C$9, 100%, $E$9)</f>
        <v>74.5745</v>
      </c>
      <c r="O908" s="10">
        <f>CHOOSE(CONTROL!$C$42, 74.8172, 74.8172) * CHOOSE(CONTROL!$C$21, $C$9, 100%, $E$9)</f>
        <v>74.8172</v>
      </c>
      <c r="P908" s="10">
        <f>CHOOSE(CONTROL!$C$42, 74.5891, 74.5891) * CHOOSE(CONTROL!$C$21, $C$9, 100%, $E$9)</f>
        <v>74.589100000000002</v>
      </c>
      <c r="Q908" s="10">
        <f>CHOOSE(CONTROL!$C$42, 75.4125, 75.4125) * CHOOSE(CONTROL!$C$21, $C$9, 100%, $E$9)</f>
        <v>75.412499999999994</v>
      </c>
      <c r="R908" s="10">
        <f>CHOOSE(CONTROL!$C$42, 76.188, 76.188) * CHOOSE(CONTROL!$C$21, $C$9, 100%, $E$9)</f>
        <v>76.188000000000002</v>
      </c>
      <c r="S908" s="10">
        <f>CHOOSE(CONTROL!$C$42, 73.1541, 73.1541) * CHOOSE(CONTROL!$C$21, $C$9, 100%, $E$9)</f>
        <v>73.1541</v>
      </c>
      <c r="T9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57">
        <f>(1000*CHOOSE(CONTROL!$C$42, 695, 695)*CHOOSE(CONTROL!$C$42, 0.5599, 0.5599)*CHOOSE(CONTROL!$C$42, 31, 31))/1000000</f>
        <v>12.063045499999998</v>
      </c>
      <c r="V908" s="57">
        <f>(1000*CHOOSE(CONTROL!$C$42, 500, 500)*CHOOSE(CONTROL!$C$42, 0.275, 0.275)*CHOOSE(CONTROL!$C$42, 31, 31))/1000000</f>
        <v>4.2625000000000002</v>
      </c>
      <c r="W908" s="57">
        <f>(1000*CHOOSE(CONTROL!$C$42, 0.1146, 0.1146)*CHOOSE(CONTROL!$C$42, 121.5, 121.5)*CHOOSE(CONTROL!$C$42, 31, 31))/1000000</f>
        <v>0.43164089999999994</v>
      </c>
      <c r="X908" s="57">
        <f>(31*0.1790888*245000/1000000)+(31*0.2374*100000/1000000)</f>
        <v>2.0961194359999999</v>
      </c>
      <c r="Y908" s="57"/>
      <c r="Z908" s="10"/>
      <c r="AA908" s="56"/>
      <c r="AB908" s="50">
        <f>(B908*194.205+C908*267.466+D908*133.845+E908*53.484+F908*40+G908*185+H908*0+I908*100+J908*300)/(194.205+267.466+133.845+53.484+0+40+185+100+300)</f>
        <v>75.360514171193103</v>
      </c>
      <c r="AC908" s="45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74.68135251798563</v>
      </c>
    </row>
    <row r="909" spans="1:29" ht="15.75" x14ac:dyDescent="0.25">
      <c r="A909" s="13">
        <v>68575</v>
      </c>
      <c r="B909" s="10">
        <f>CHOOSE(CONTROL!$C$42, 70.5526, 70.5526) * CHOOSE(CONTROL!$C$21, $C$9, 100%, $E$9)</f>
        <v>70.552599999999998</v>
      </c>
      <c r="C909" s="10">
        <f>CHOOSE(CONTROL!$C$42, 70.5605, 70.5605) * CHOOSE(CONTROL!$C$21, $C$9, 100%, $E$9)</f>
        <v>70.560500000000005</v>
      </c>
      <c r="D909" s="10">
        <f>CHOOSE(CONTROL!$C$42, 70.7632, 70.7632) * CHOOSE(CONTROL!$C$21, $C$9, 100%, $E$9)</f>
        <v>70.763199999999998</v>
      </c>
      <c r="E909" s="10">
        <f>CHOOSE(CONTROL!$C$42, 70.7944, 70.7944) * CHOOSE(CONTROL!$C$21, $C$9, 100%, $E$9)</f>
        <v>70.794399999999996</v>
      </c>
      <c r="F909" s="10">
        <f>CHOOSE(CONTROL!$C$42, 70.5294, 70.5294)*CHOOSE(CONTROL!$C$21, $C$9, 100%, $E$9)</f>
        <v>70.529399999999995</v>
      </c>
      <c r="G909" s="10">
        <f>CHOOSE(CONTROL!$C$42, 70.5447, 70.5447)*CHOOSE(CONTROL!$C$21, $C$9, 100%, $E$9)</f>
        <v>70.544700000000006</v>
      </c>
      <c r="H909" s="10">
        <f>CHOOSE(CONTROL!$C$42, 70.783, 70.783) * CHOOSE(CONTROL!$C$21, $C$9, 100%, $E$9)</f>
        <v>70.783000000000001</v>
      </c>
      <c r="I909" s="10">
        <f>CHOOSE(CONTROL!$C$42, 70.5526, 70.5526)* CHOOSE(CONTROL!$C$21, $C$9, 100%, $E$9)</f>
        <v>70.552599999999998</v>
      </c>
      <c r="J909" s="10">
        <f>CHOOSE(CONTROL!$C$42, 70.5224, 70.5224)* CHOOSE(CONTROL!$C$21, $C$9, 100%, $E$9)</f>
        <v>70.522400000000005</v>
      </c>
      <c r="K909" s="53">
        <f>CHOOSE(CONTROL!$C$42, 70.5487, 70.5487) * CHOOSE(CONTROL!$C$21, $C$9, 100%, $E$9)</f>
        <v>70.548699999999997</v>
      </c>
      <c r="L909" s="10">
        <f>CHOOSE(CONTROL!$C$42, 71.37, 71.37) * CHOOSE(CONTROL!$C$21, $C$9, 100%, $E$9)</f>
        <v>71.37</v>
      </c>
      <c r="M909" s="10">
        <f>CHOOSE(CONTROL!$C$42, 69.8245, 69.8245) * CHOOSE(CONTROL!$C$21, $C$9, 100%, $E$9)</f>
        <v>69.8245</v>
      </c>
      <c r="N909" s="10">
        <f>CHOOSE(CONTROL!$C$42, 69.8396, 69.8396) * CHOOSE(CONTROL!$C$21, $C$9, 100%, $E$9)</f>
        <v>69.839600000000004</v>
      </c>
      <c r="O909" s="10">
        <f>CHOOSE(CONTROL!$C$42, 70.0825, 70.0825) * CHOOSE(CONTROL!$C$21, $C$9, 100%, $E$9)</f>
        <v>70.082499999999996</v>
      </c>
      <c r="P909" s="10">
        <f>CHOOSE(CONTROL!$C$42, 69.8545, 69.8545) * CHOOSE(CONTROL!$C$21, $C$9, 100%, $E$9)</f>
        <v>69.854500000000002</v>
      </c>
      <c r="Q909" s="10">
        <f>CHOOSE(CONTROL!$C$42, 70.6778, 70.6778) * CHOOSE(CONTROL!$C$21, $C$9, 100%, $E$9)</f>
        <v>70.677800000000005</v>
      </c>
      <c r="R909" s="10">
        <f>CHOOSE(CONTROL!$C$42, 71.4415, 71.4415) * CHOOSE(CONTROL!$C$21, $C$9, 100%, $E$9)</f>
        <v>71.441500000000005</v>
      </c>
      <c r="S909" s="10">
        <f>CHOOSE(CONTROL!$C$42, 68.5093, 68.5093) * CHOOSE(CONTROL!$C$21, $C$9, 100%, $E$9)</f>
        <v>68.509299999999996</v>
      </c>
      <c r="T9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57">
        <f>(1000*CHOOSE(CONTROL!$C$42, 695, 695)*CHOOSE(CONTROL!$C$42, 0.5599, 0.5599)*CHOOSE(CONTROL!$C$42, 30, 30))/1000000</f>
        <v>11.673914999999997</v>
      </c>
      <c r="V909" s="57">
        <f>(1000*CHOOSE(CONTROL!$C$42, 500, 500)*CHOOSE(CONTROL!$C$42, 0.275, 0.275)*CHOOSE(CONTROL!$C$42, 30, 30))/1000000</f>
        <v>4.125</v>
      </c>
      <c r="W909" s="57">
        <f>(1000*CHOOSE(CONTROL!$C$42, 0.1146, 0.1146)*CHOOSE(CONTROL!$C$42, 121.5, 121.5)*CHOOSE(CONTROL!$C$42, 30, 30))/1000000</f>
        <v>0.417717</v>
      </c>
      <c r="X909" s="57">
        <f>(30*0.1790888*245000/1000000)+(30*0.2374*100000/1000000)</f>
        <v>2.0285026799999999</v>
      </c>
      <c r="Y909" s="57"/>
      <c r="Z909" s="10"/>
      <c r="AA909" s="56"/>
      <c r="AB909" s="50">
        <f>(B909*194.205+C909*267.466+D909*133.845+E909*53.484+F909*40+G909*185+H909*0+I909*100+J909*300)/(194.205+267.466+133.845+53.484+0+40+185+100+300)</f>
        <v>70.577547935321817</v>
      </c>
      <c r="AC909" s="45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69.946620863309349</v>
      </c>
    </row>
    <row r="910" spans="1:29" ht="15.75" x14ac:dyDescent="0.25">
      <c r="A910" s="13">
        <v>68606</v>
      </c>
      <c r="B910" s="10">
        <f>CHOOSE(CONTROL!$C$42, 69.1184, 69.1184) * CHOOSE(CONTROL!$C$21, $C$9, 100%, $E$9)</f>
        <v>69.118399999999994</v>
      </c>
      <c r="C910" s="10">
        <f>CHOOSE(CONTROL!$C$42, 69.1236, 69.1236) * CHOOSE(CONTROL!$C$21, $C$9, 100%, $E$9)</f>
        <v>69.123599999999996</v>
      </c>
      <c r="D910" s="10">
        <f>CHOOSE(CONTROL!$C$42, 69.3313, 69.3313) * CHOOSE(CONTROL!$C$21, $C$9, 100%, $E$9)</f>
        <v>69.331299999999999</v>
      </c>
      <c r="E910" s="10">
        <f>CHOOSE(CONTROL!$C$42, 69.3601, 69.3601) * CHOOSE(CONTROL!$C$21, $C$9, 100%, $E$9)</f>
        <v>69.360100000000003</v>
      </c>
      <c r="F910" s="10">
        <f>CHOOSE(CONTROL!$C$42, 69.0971, 69.0971)*CHOOSE(CONTROL!$C$21, $C$9, 100%, $E$9)</f>
        <v>69.097099999999998</v>
      </c>
      <c r="G910" s="10">
        <f>CHOOSE(CONTROL!$C$42, 69.1121, 69.1121)*CHOOSE(CONTROL!$C$21, $C$9, 100%, $E$9)</f>
        <v>69.112099999999998</v>
      </c>
      <c r="H910" s="10">
        <f>CHOOSE(CONTROL!$C$42, 69.3506, 69.3506) * CHOOSE(CONTROL!$C$21, $C$9, 100%, $E$9)</f>
        <v>69.3506</v>
      </c>
      <c r="I910" s="10">
        <f>CHOOSE(CONTROL!$C$42, 69.1202, 69.1202)* CHOOSE(CONTROL!$C$21, $C$9, 100%, $E$9)</f>
        <v>69.120199999999997</v>
      </c>
      <c r="J910" s="10">
        <f>CHOOSE(CONTROL!$C$42, 69.0901, 69.0901)* CHOOSE(CONTROL!$C$21, $C$9, 100%, $E$9)</f>
        <v>69.090100000000007</v>
      </c>
      <c r="K910" s="53">
        <f>CHOOSE(CONTROL!$C$42, 69.1163, 69.1163) * CHOOSE(CONTROL!$C$21, $C$9, 100%, $E$9)</f>
        <v>69.116299999999995</v>
      </c>
      <c r="L910" s="10">
        <f>CHOOSE(CONTROL!$C$42, 69.9376, 69.9376) * CHOOSE(CONTROL!$C$21, $C$9, 100%, $E$9)</f>
        <v>69.937600000000003</v>
      </c>
      <c r="M910" s="10">
        <f>CHOOSE(CONTROL!$C$42, 68.4067, 68.4067) * CHOOSE(CONTROL!$C$21, $C$9, 100%, $E$9)</f>
        <v>68.406700000000001</v>
      </c>
      <c r="N910" s="10">
        <f>CHOOSE(CONTROL!$C$42, 68.4215, 68.4215) * CHOOSE(CONTROL!$C$21, $C$9, 100%, $E$9)</f>
        <v>68.421499999999995</v>
      </c>
      <c r="O910" s="10">
        <f>CHOOSE(CONTROL!$C$42, 68.6645, 68.6645) * CHOOSE(CONTROL!$C$21, $C$9, 100%, $E$9)</f>
        <v>68.664500000000004</v>
      </c>
      <c r="P910" s="10">
        <f>CHOOSE(CONTROL!$C$42, 68.4365, 68.4365) * CHOOSE(CONTROL!$C$21, $C$9, 100%, $E$9)</f>
        <v>68.436499999999995</v>
      </c>
      <c r="Q910" s="10">
        <f>CHOOSE(CONTROL!$C$42, 69.2598, 69.2598) * CHOOSE(CONTROL!$C$21, $C$9, 100%, $E$9)</f>
        <v>69.259799999999998</v>
      </c>
      <c r="R910" s="10">
        <f>CHOOSE(CONTROL!$C$42, 70.02, 70.02) * CHOOSE(CONTROL!$C$21, $C$9, 100%, $E$9)</f>
        <v>70.02</v>
      </c>
      <c r="S910" s="10">
        <f>CHOOSE(CONTROL!$C$42, 67.1183, 67.1183) * CHOOSE(CONTROL!$C$21, $C$9, 100%, $E$9)</f>
        <v>67.118300000000005</v>
      </c>
      <c r="T9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57">
        <f>(1000*CHOOSE(CONTROL!$C$42, 695, 695)*CHOOSE(CONTROL!$C$42, 0.5599, 0.5599)*CHOOSE(CONTROL!$C$42, 31, 31))/1000000</f>
        <v>12.063045499999998</v>
      </c>
      <c r="V910" s="57">
        <f>(1000*CHOOSE(CONTROL!$C$42, 500, 500)*CHOOSE(CONTROL!$C$42, 0.275, 0.275)*CHOOSE(CONTROL!$C$42, 31, 31))/1000000</f>
        <v>4.2625000000000002</v>
      </c>
      <c r="W910" s="57">
        <f>(1000*CHOOSE(CONTROL!$C$42, 0.1146, 0.1146)*CHOOSE(CONTROL!$C$42, 121.5, 121.5)*CHOOSE(CONTROL!$C$42, 31, 31))/1000000</f>
        <v>0.43164089999999994</v>
      </c>
      <c r="X910" s="57">
        <f>(31*0.1790888*245000/1000000)+(31*0.2374*100000/1000000)</f>
        <v>2.0961194359999999</v>
      </c>
      <c r="Y910" s="57"/>
      <c r="Z910" s="10"/>
      <c r="AA910" s="56"/>
      <c r="AB910" s="50">
        <f>(B910*131.881+C910*277.167+D910*79.08+E910*125.872+F910*40+G910*185+H910*0+I910*100+J910*300)/(131.881+277.167+79.08+125.872+0+40+185+100+300)</f>
        <v>69.149371075706213</v>
      </c>
      <c r="AC910" s="45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68.528684172661869</v>
      </c>
    </row>
    <row r="911" spans="1:29" ht="15.75" x14ac:dyDescent="0.25">
      <c r="A911" s="13">
        <v>68636</v>
      </c>
      <c r="B911" s="10">
        <f>CHOOSE(CONTROL!$C$42, 70.9388, 70.9388) * CHOOSE(CONTROL!$C$21, $C$9, 100%, $E$9)</f>
        <v>70.938800000000001</v>
      </c>
      <c r="C911" s="10">
        <f>CHOOSE(CONTROL!$C$42, 70.9438, 70.9438) * CHOOSE(CONTROL!$C$21, $C$9, 100%, $E$9)</f>
        <v>70.943799999999996</v>
      </c>
      <c r="D911" s="10">
        <f>CHOOSE(CONTROL!$C$42, 71.0043, 71.0043) * CHOOSE(CONTROL!$C$21, $C$9, 100%, $E$9)</f>
        <v>71.004300000000001</v>
      </c>
      <c r="E911" s="10">
        <f>CHOOSE(CONTROL!$C$42, 71.038, 71.038) * CHOOSE(CONTROL!$C$21, $C$9, 100%, $E$9)</f>
        <v>71.037999999999997</v>
      </c>
      <c r="F911" s="10">
        <f>CHOOSE(CONTROL!$C$42, 70.9344, 70.9344)*CHOOSE(CONTROL!$C$21, $C$9, 100%, $E$9)</f>
        <v>70.934399999999997</v>
      </c>
      <c r="G911" s="10">
        <f>CHOOSE(CONTROL!$C$42, 70.9497, 70.9497)*CHOOSE(CONTROL!$C$21, $C$9, 100%, $E$9)</f>
        <v>70.949700000000007</v>
      </c>
      <c r="H911" s="10">
        <f>CHOOSE(CONTROL!$C$42, 71.0272, 71.0272) * CHOOSE(CONTROL!$C$21, $C$9, 100%, $E$9)</f>
        <v>71.027199999999993</v>
      </c>
      <c r="I911" s="10">
        <f>CHOOSE(CONTROL!$C$42, 70.9513, 70.9513)* CHOOSE(CONTROL!$C$21, $C$9, 100%, $E$9)</f>
        <v>70.951300000000003</v>
      </c>
      <c r="J911" s="10">
        <f>CHOOSE(CONTROL!$C$42, 70.9274, 70.9274)* CHOOSE(CONTROL!$C$21, $C$9, 100%, $E$9)</f>
        <v>70.927400000000006</v>
      </c>
      <c r="K911" s="53">
        <f>CHOOSE(CONTROL!$C$42, 70.9474, 70.9474) * CHOOSE(CONTROL!$C$21, $C$9, 100%, $E$9)</f>
        <v>70.947400000000002</v>
      </c>
      <c r="L911" s="10">
        <f>CHOOSE(CONTROL!$C$42, 71.6142, 71.6142) * CHOOSE(CONTROL!$C$21, $C$9, 100%, $E$9)</f>
        <v>71.614199999999997</v>
      </c>
      <c r="M911" s="10">
        <f>CHOOSE(CONTROL!$C$42, 70.2255, 70.2255) * CHOOSE(CONTROL!$C$21, $C$9, 100%, $E$9)</f>
        <v>70.225499999999997</v>
      </c>
      <c r="N911" s="10">
        <f>CHOOSE(CONTROL!$C$42, 70.2406, 70.2406) * CHOOSE(CONTROL!$C$21, $C$9, 100%, $E$9)</f>
        <v>70.240600000000001</v>
      </c>
      <c r="O911" s="10">
        <f>CHOOSE(CONTROL!$C$42, 70.3243, 70.3243) * CHOOSE(CONTROL!$C$21, $C$9, 100%, $E$9)</f>
        <v>70.324299999999994</v>
      </c>
      <c r="P911" s="10">
        <f>CHOOSE(CONTROL!$C$42, 70.2492, 70.2492) * CHOOSE(CONTROL!$C$21, $C$9, 100%, $E$9)</f>
        <v>70.249200000000002</v>
      </c>
      <c r="Q911" s="10">
        <f>CHOOSE(CONTROL!$C$42, 70.9196, 70.9196) * CHOOSE(CONTROL!$C$21, $C$9, 100%, $E$9)</f>
        <v>70.919600000000003</v>
      </c>
      <c r="R911" s="10">
        <f>CHOOSE(CONTROL!$C$42, 71.6839, 71.6839) * CHOOSE(CONTROL!$C$21, $C$9, 100%, $E$9)</f>
        <v>71.683899999999994</v>
      </c>
      <c r="S911" s="10">
        <f>CHOOSE(CONTROL!$C$42, 68.8865, 68.8865) * CHOOSE(CONTROL!$C$21, $C$9, 100%, $E$9)</f>
        <v>68.886499999999998</v>
      </c>
      <c r="T9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57">
        <f>(1000*CHOOSE(CONTROL!$C$42, 695, 695)*CHOOSE(CONTROL!$C$42, 0.5599, 0.5599)*CHOOSE(CONTROL!$C$42, 30, 30))/1000000</f>
        <v>11.673914999999997</v>
      </c>
      <c r="V911" s="57">
        <f>(1000*CHOOSE(CONTROL!$C$42, 500, 500)*CHOOSE(CONTROL!$C$42, 0.275, 0.275)*CHOOSE(CONTROL!$C$42, 30, 30))/1000000</f>
        <v>4.125</v>
      </c>
      <c r="W911" s="57">
        <f>(1000*CHOOSE(CONTROL!$C$42, 0.1146, 0.1146)*CHOOSE(CONTROL!$C$42, 121.5, 121.5)*CHOOSE(CONTROL!$C$42, 30, 30))/1000000</f>
        <v>0.417717</v>
      </c>
      <c r="X911" s="57">
        <f>(30*0.1790888*100000/1000000)+(30*0.2374*100000/1000000)</f>
        <v>1.2494664</v>
      </c>
      <c r="Y911" s="57"/>
      <c r="Z911" s="10"/>
      <c r="AA911" s="56"/>
      <c r="AB911" s="50">
        <f>(B911*122.58+C911*297.941+D911*89.177+E911*40.302+F911*40+G911*160+H911*0+I911*100+J911*300)/(122.58+297.941+89.177+40.302+0+40+160+100+300)</f>
        <v>70.94812761469565</v>
      </c>
      <c r="AC911" s="45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70.274558992805751</v>
      </c>
    </row>
    <row r="912" spans="1:29" ht="15.75" x14ac:dyDescent="0.25">
      <c r="A912" s="13">
        <v>68667</v>
      </c>
      <c r="B912" s="10">
        <f>CHOOSE(CONTROL!$C$42, 75.7752, 75.7752) * CHOOSE(CONTROL!$C$21, $C$9, 100%, $E$9)</f>
        <v>75.775199999999998</v>
      </c>
      <c r="C912" s="10">
        <f>CHOOSE(CONTROL!$C$42, 75.7801, 75.7801) * CHOOSE(CONTROL!$C$21, $C$9, 100%, $E$9)</f>
        <v>75.780100000000004</v>
      </c>
      <c r="D912" s="10">
        <f>CHOOSE(CONTROL!$C$42, 75.8406, 75.8406) * CHOOSE(CONTROL!$C$21, $C$9, 100%, $E$9)</f>
        <v>75.840599999999995</v>
      </c>
      <c r="E912" s="10">
        <f>CHOOSE(CONTROL!$C$42, 75.8744, 75.8744) * CHOOSE(CONTROL!$C$21, $C$9, 100%, $E$9)</f>
        <v>75.874399999999994</v>
      </c>
      <c r="F912" s="10">
        <f>CHOOSE(CONTROL!$C$42, 75.7726, 75.7726)*CHOOSE(CONTROL!$C$21, $C$9, 100%, $E$9)</f>
        <v>75.772599999999997</v>
      </c>
      <c r="G912" s="10">
        <f>CHOOSE(CONTROL!$C$42, 75.7883, 75.7883)*CHOOSE(CONTROL!$C$21, $C$9, 100%, $E$9)</f>
        <v>75.788300000000007</v>
      </c>
      <c r="H912" s="10">
        <f>CHOOSE(CONTROL!$C$42, 75.8636, 75.8636) * CHOOSE(CONTROL!$C$21, $C$9, 100%, $E$9)</f>
        <v>75.863600000000005</v>
      </c>
      <c r="I912" s="10">
        <f>CHOOSE(CONTROL!$C$42, 75.7877, 75.7877)* CHOOSE(CONTROL!$C$21, $C$9, 100%, $E$9)</f>
        <v>75.787700000000001</v>
      </c>
      <c r="J912" s="10">
        <f>CHOOSE(CONTROL!$C$42, 75.7656, 75.7656)* CHOOSE(CONTROL!$C$21, $C$9, 100%, $E$9)</f>
        <v>75.765600000000006</v>
      </c>
      <c r="K912" s="53">
        <f>CHOOSE(CONTROL!$C$42, 75.7838, 75.7838) * CHOOSE(CONTROL!$C$21, $C$9, 100%, $E$9)</f>
        <v>75.783799999999999</v>
      </c>
      <c r="L912" s="10">
        <f>CHOOSE(CONTROL!$C$42, 76.4506, 76.4506) * CHOOSE(CONTROL!$C$21, $C$9, 100%, $E$9)</f>
        <v>76.450599999999994</v>
      </c>
      <c r="M912" s="10">
        <f>CHOOSE(CONTROL!$C$42, 75.0149, 75.0149) * CHOOSE(CONTROL!$C$21, $C$9, 100%, $E$9)</f>
        <v>75.014899999999997</v>
      </c>
      <c r="N912" s="10">
        <f>CHOOSE(CONTROL!$C$42, 75.0304, 75.0304) * CHOOSE(CONTROL!$C$21, $C$9, 100%, $E$9)</f>
        <v>75.0304</v>
      </c>
      <c r="O912" s="10">
        <f>CHOOSE(CONTROL!$C$42, 75.1118, 75.1118) * CHOOSE(CONTROL!$C$21, $C$9, 100%, $E$9)</f>
        <v>75.111800000000002</v>
      </c>
      <c r="P912" s="10">
        <f>CHOOSE(CONTROL!$C$42, 75.0367, 75.0367) * CHOOSE(CONTROL!$C$21, $C$9, 100%, $E$9)</f>
        <v>75.036699999999996</v>
      </c>
      <c r="Q912" s="10">
        <f>CHOOSE(CONTROL!$C$42, 75.7071, 75.7071) * CHOOSE(CONTROL!$C$21, $C$9, 100%, $E$9)</f>
        <v>75.707099999999997</v>
      </c>
      <c r="R912" s="10">
        <f>CHOOSE(CONTROL!$C$42, 76.4834, 76.4834) * CHOOSE(CONTROL!$C$21, $C$9, 100%, $E$9)</f>
        <v>76.483400000000003</v>
      </c>
      <c r="S912" s="10">
        <f>CHOOSE(CONTROL!$C$42, 73.5832, 73.5832) * CHOOSE(CONTROL!$C$21, $C$9, 100%, $E$9)</f>
        <v>73.583200000000005</v>
      </c>
      <c r="T9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57">
        <f>(1000*CHOOSE(CONTROL!$C$42, 695, 695)*CHOOSE(CONTROL!$C$42, 0.5599, 0.5599)*CHOOSE(CONTROL!$C$42, 31, 31))/1000000</f>
        <v>12.063045499999998</v>
      </c>
      <c r="V912" s="57">
        <f>(1000*CHOOSE(CONTROL!$C$42, 500, 500)*CHOOSE(CONTROL!$C$42, 0.275, 0.275)*CHOOSE(CONTROL!$C$42, 31, 31))/1000000</f>
        <v>4.2625000000000002</v>
      </c>
      <c r="W912" s="57">
        <f>(1000*CHOOSE(CONTROL!$C$42, 0.1146, 0.1146)*CHOOSE(CONTROL!$C$42, 121.5, 121.5)*CHOOSE(CONTROL!$C$42, 31, 31))/1000000</f>
        <v>0.43164089999999994</v>
      </c>
      <c r="X912" s="57">
        <f>(31*0.1790888*100000/1000000)+(31*0.2374*100000/1000000)</f>
        <v>1.2911152800000001</v>
      </c>
      <c r="Y912" s="57"/>
      <c r="Z912" s="10"/>
      <c r="AA912" s="56"/>
      <c r="AB912" s="50">
        <f>(B912*122.58+C912*297.941+D912*89.177+E912*40.302+F912*40+G912*160+H912*0+I912*100+J912*300)/(122.58+297.941+89.177+40.302+0+40+160+100+300)</f>
        <v>75.785332213130445</v>
      </c>
      <c r="AC912" s="45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75.062847482014391</v>
      </c>
    </row>
    <row r="913" spans="1:29" ht="15.75" x14ac:dyDescent="0.25">
      <c r="A913" s="13">
        <v>68698</v>
      </c>
      <c r="B913" s="10">
        <f>CHOOSE(CONTROL!$C$42, 81.9837, 81.9837) * CHOOSE(CONTROL!$C$21, $C$9, 100%, $E$9)</f>
        <v>81.983699999999999</v>
      </c>
      <c r="C913" s="10">
        <f>CHOOSE(CONTROL!$C$42, 81.9887, 81.9887) * CHOOSE(CONTROL!$C$21, $C$9, 100%, $E$9)</f>
        <v>81.988699999999994</v>
      </c>
      <c r="D913" s="10">
        <f>CHOOSE(CONTROL!$C$42, 82.0458, 82.0458) * CHOOSE(CONTROL!$C$21, $C$9, 100%, $E$9)</f>
        <v>82.0458</v>
      </c>
      <c r="E913" s="10">
        <f>CHOOSE(CONTROL!$C$42, 82.0795, 82.0795) * CHOOSE(CONTROL!$C$21, $C$9, 100%, $E$9)</f>
        <v>82.079499999999996</v>
      </c>
      <c r="F913" s="10">
        <f>CHOOSE(CONTROL!$C$42, 81.9816, 81.9816)*CHOOSE(CONTROL!$C$21, $C$9, 100%, $E$9)</f>
        <v>81.9816</v>
      </c>
      <c r="G913" s="10">
        <f>CHOOSE(CONTROL!$C$42, 81.9962, 81.9962)*CHOOSE(CONTROL!$C$21, $C$9, 100%, $E$9)</f>
        <v>81.996200000000002</v>
      </c>
      <c r="H913" s="10">
        <f>CHOOSE(CONTROL!$C$42, 82.0687, 82.0687) * CHOOSE(CONTROL!$C$21, $C$9, 100%, $E$9)</f>
        <v>82.068700000000007</v>
      </c>
      <c r="I913" s="10">
        <f>CHOOSE(CONTROL!$C$42, 81.9945, 81.9945)* CHOOSE(CONTROL!$C$21, $C$9, 100%, $E$9)</f>
        <v>81.994500000000002</v>
      </c>
      <c r="J913" s="10">
        <f>CHOOSE(CONTROL!$C$42, 81.9746, 81.9746)* CHOOSE(CONTROL!$C$21, $C$9, 100%, $E$9)</f>
        <v>81.974599999999995</v>
      </c>
      <c r="K913" s="53">
        <f>CHOOSE(CONTROL!$C$42, 81.9906, 81.9906) * CHOOSE(CONTROL!$C$21, $C$9, 100%, $E$9)</f>
        <v>81.990600000000001</v>
      </c>
      <c r="L913" s="10">
        <f>CHOOSE(CONTROL!$C$42, 82.6557, 82.6557) * CHOOSE(CONTROL!$C$21, $C$9, 100%, $E$9)</f>
        <v>82.655699999999996</v>
      </c>
      <c r="M913" s="10">
        <f>CHOOSE(CONTROL!$C$42, 81.1611, 81.1611) * CHOOSE(CONTROL!$C$21, $C$9, 100%, $E$9)</f>
        <v>81.161100000000005</v>
      </c>
      <c r="N913" s="10">
        <f>CHOOSE(CONTROL!$C$42, 81.1756, 81.1756) * CHOOSE(CONTROL!$C$21, $C$9, 100%, $E$9)</f>
        <v>81.175600000000003</v>
      </c>
      <c r="O913" s="10">
        <f>CHOOSE(CONTROL!$C$42, 81.2543, 81.2543) * CHOOSE(CONTROL!$C$21, $C$9, 100%, $E$9)</f>
        <v>81.254300000000001</v>
      </c>
      <c r="P913" s="10">
        <f>CHOOSE(CONTROL!$C$42, 81.1809, 81.1809) * CHOOSE(CONTROL!$C$21, $C$9, 100%, $E$9)</f>
        <v>81.180899999999994</v>
      </c>
      <c r="Q913" s="10">
        <f>CHOOSE(CONTROL!$C$42, 81.8496, 81.8496) * CHOOSE(CONTROL!$C$21, $C$9, 100%, $E$9)</f>
        <v>81.849599999999995</v>
      </c>
      <c r="R913" s="10">
        <f>CHOOSE(CONTROL!$C$42, 82.6413, 82.6413) * CHOOSE(CONTROL!$C$21, $C$9, 100%, $E$9)</f>
        <v>82.641300000000001</v>
      </c>
      <c r="S913" s="10">
        <f>CHOOSE(CONTROL!$C$42, 79.6123, 79.6123) * CHOOSE(CONTROL!$C$21, $C$9, 100%, $E$9)</f>
        <v>79.612300000000005</v>
      </c>
      <c r="T9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57">
        <f>(1000*CHOOSE(CONTROL!$C$42, 695, 695)*CHOOSE(CONTROL!$C$42, 0.5599, 0.5599)*CHOOSE(CONTROL!$C$42, 31, 31))/1000000</f>
        <v>12.063045499999998</v>
      </c>
      <c r="V913" s="57">
        <f>(1000*CHOOSE(CONTROL!$C$42, 500, 500)*CHOOSE(CONTROL!$C$42, 0.275, 0.275)*CHOOSE(CONTROL!$C$42, 31, 31))/1000000</f>
        <v>4.2625000000000002</v>
      </c>
      <c r="W913" s="57">
        <f>(1000*CHOOSE(CONTROL!$C$42, 0.1146, 0.1146)*CHOOSE(CONTROL!$C$42, 121.5, 121.5)*CHOOSE(CONTROL!$C$42, 31, 31))/1000000</f>
        <v>0.43164089999999994</v>
      </c>
      <c r="X913" s="57">
        <f>(31*0.1790888*100000/1000000)+(31*0.2374*100000/1000000)</f>
        <v>1.2911152800000001</v>
      </c>
      <c r="Y913" s="57"/>
      <c r="Z913" s="10"/>
      <c r="AA913" s="56"/>
      <c r="AB913" s="50">
        <f>(B913*122.58+C913*297.941+D913*89.177+E913*40.302+F913*40+G913*160+H913*0+I913*100+J913*300)/(122.58+297.941+89.177+40.302+0+40+160+100+300)</f>
        <v>81.993399589826083</v>
      </c>
      <c r="AC913" s="45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81.207025179856117</v>
      </c>
    </row>
    <row r="914" spans="1:29" ht="15.75" x14ac:dyDescent="0.25">
      <c r="A914" s="13">
        <v>68727</v>
      </c>
      <c r="B914" s="10">
        <f>CHOOSE(CONTROL!$C$42, 83.4431, 83.4431) * CHOOSE(CONTROL!$C$21, $C$9, 100%, $E$9)</f>
        <v>83.443100000000001</v>
      </c>
      <c r="C914" s="10">
        <f>CHOOSE(CONTROL!$C$42, 83.4481, 83.4481) * CHOOSE(CONTROL!$C$21, $C$9, 100%, $E$9)</f>
        <v>83.448099999999997</v>
      </c>
      <c r="D914" s="10">
        <f>CHOOSE(CONTROL!$C$42, 83.5051, 83.5051) * CHOOSE(CONTROL!$C$21, $C$9, 100%, $E$9)</f>
        <v>83.505099999999999</v>
      </c>
      <c r="E914" s="10">
        <f>CHOOSE(CONTROL!$C$42, 83.5389, 83.5389) * CHOOSE(CONTROL!$C$21, $C$9, 100%, $E$9)</f>
        <v>83.538899999999998</v>
      </c>
      <c r="F914" s="10">
        <f>CHOOSE(CONTROL!$C$42, 83.4411, 83.4411)*CHOOSE(CONTROL!$C$21, $C$9, 100%, $E$9)</f>
        <v>83.441100000000006</v>
      </c>
      <c r="G914" s="10">
        <f>CHOOSE(CONTROL!$C$42, 83.4557, 83.4557)*CHOOSE(CONTROL!$C$21, $C$9, 100%, $E$9)</f>
        <v>83.455699999999993</v>
      </c>
      <c r="H914" s="10">
        <f>CHOOSE(CONTROL!$C$42, 83.5281, 83.5281) * CHOOSE(CONTROL!$C$21, $C$9, 100%, $E$9)</f>
        <v>83.528099999999995</v>
      </c>
      <c r="I914" s="10">
        <f>CHOOSE(CONTROL!$C$42, 83.4539, 83.4539)* CHOOSE(CONTROL!$C$21, $C$9, 100%, $E$9)</f>
        <v>83.453900000000004</v>
      </c>
      <c r="J914" s="10">
        <f>CHOOSE(CONTROL!$C$42, 83.4341, 83.4341)* CHOOSE(CONTROL!$C$21, $C$9, 100%, $E$9)</f>
        <v>83.434100000000001</v>
      </c>
      <c r="K914" s="53">
        <f>CHOOSE(CONTROL!$C$42, 83.45, 83.45) * CHOOSE(CONTROL!$C$21, $C$9, 100%, $E$9)</f>
        <v>83.45</v>
      </c>
      <c r="L914" s="10">
        <f>CHOOSE(CONTROL!$C$42, 84.1151, 84.1151) * CHOOSE(CONTROL!$C$21, $C$9, 100%, $E$9)</f>
        <v>84.115099999999998</v>
      </c>
      <c r="M914" s="10">
        <f>CHOOSE(CONTROL!$C$42, 82.6059, 82.6059) * CHOOSE(CONTROL!$C$21, $C$9, 100%, $E$9)</f>
        <v>82.605900000000005</v>
      </c>
      <c r="N914" s="10">
        <f>CHOOSE(CONTROL!$C$42, 82.6204, 82.6204) * CHOOSE(CONTROL!$C$21, $C$9, 100%, $E$9)</f>
        <v>82.620400000000004</v>
      </c>
      <c r="O914" s="10">
        <f>CHOOSE(CONTROL!$C$42, 82.699, 82.699) * CHOOSE(CONTROL!$C$21, $C$9, 100%, $E$9)</f>
        <v>82.698999999999998</v>
      </c>
      <c r="P914" s="10">
        <f>CHOOSE(CONTROL!$C$42, 82.6256, 82.6256) * CHOOSE(CONTROL!$C$21, $C$9, 100%, $E$9)</f>
        <v>82.625600000000006</v>
      </c>
      <c r="Q914" s="10">
        <f>CHOOSE(CONTROL!$C$42, 83.2943, 83.2943) * CHOOSE(CONTROL!$C$21, $C$9, 100%, $E$9)</f>
        <v>83.294300000000007</v>
      </c>
      <c r="R914" s="10">
        <f>CHOOSE(CONTROL!$C$42, 84.0895, 84.0895) * CHOOSE(CONTROL!$C$21, $C$9, 100%, $E$9)</f>
        <v>84.089500000000001</v>
      </c>
      <c r="S914" s="10">
        <f>CHOOSE(CONTROL!$C$42, 81.0295, 81.0295) * CHOOSE(CONTROL!$C$21, $C$9, 100%, $E$9)</f>
        <v>81.029499999999999</v>
      </c>
      <c r="T91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14" s="57">
        <f>(1000*CHOOSE(CONTROL!$C$42, 695, 695)*CHOOSE(CONTROL!$C$42, 0.5599, 0.5599)*CHOOSE(CONTROL!$C$42, 29, 29))/1000000</f>
        <v>11.284784499999999</v>
      </c>
      <c r="V914" s="57">
        <f>(1000*CHOOSE(CONTROL!$C$42, 500, 500)*CHOOSE(CONTROL!$C$42, 0.275, 0.275)*CHOOSE(CONTROL!$C$42, 29, 29))/1000000</f>
        <v>3.9874999999999998</v>
      </c>
      <c r="W914" s="57">
        <f>(1000*CHOOSE(CONTROL!$C$42, 0.1146, 0.1146)*CHOOSE(CONTROL!$C$42, 121.5, 121.5)*CHOOSE(CONTROL!$C$42, 29, 29))/1000000</f>
        <v>0.40379309999999996</v>
      </c>
      <c r="X914" s="57">
        <f>(29*0.1790888*100000/1000000)+(29*0.2374*100000/1000000)</f>
        <v>1.2078175199999999</v>
      </c>
      <c r="Y914" s="57"/>
      <c r="Z914" s="10"/>
      <c r="AA914" s="56"/>
      <c r="AB914" s="50">
        <f>(B914*122.58+C914*297.941+D914*89.177+E914*40.302+F914*40+G914*160+H914*0+I914*100+J914*300)/(122.58+297.941+89.177+40.302+0+40+160+100+300)</f>
        <v>83.452835313565203</v>
      </c>
      <c r="AC914" s="45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82.651765467625893</v>
      </c>
    </row>
    <row r="915" spans="1:29" ht="15.75" x14ac:dyDescent="0.25">
      <c r="A915" s="13">
        <v>68758</v>
      </c>
      <c r="B915" s="10">
        <f>CHOOSE(CONTROL!$C$42, 81.0742, 81.0742) * CHOOSE(CONTROL!$C$21, $C$9, 100%, $E$9)</f>
        <v>81.074200000000005</v>
      </c>
      <c r="C915" s="10">
        <f>CHOOSE(CONTROL!$C$42, 81.0791, 81.0791) * CHOOSE(CONTROL!$C$21, $C$9, 100%, $E$9)</f>
        <v>81.079099999999997</v>
      </c>
      <c r="D915" s="10">
        <f>CHOOSE(CONTROL!$C$42, 81.1362, 81.1362) * CHOOSE(CONTROL!$C$21, $C$9, 100%, $E$9)</f>
        <v>81.136200000000002</v>
      </c>
      <c r="E915" s="10">
        <f>CHOOSE(CONTROL!$C$42, 81.17, 81.17) * CHOOSE(CONTROL!$C$21, $C$9, 100%, $E$9)</f>
        <v>81.17</v>
      </c>
      <c r="F915" s="10">
        <f>CHOOSE(CONTROL!$C$42, 81.072, 81.072)*CHOOSE(CONTROL!$C$21, $C$9, 100%, $E$9)</f>
        <v>81.072000000000003</v>
      </c>
      <c r="G915" s="10">
        <f>CHOOSE(CONTROL!$C$42, 81.0866, 81.0866)*CHOOSE(CONTROL!$C$21, $C$9, 100%, $E$9)</f>
        <v>81.086600000000004</v>
      </c>
      <c r="H915" s="10">
        <f>CHOOSE(CONTROL!$C$42, 81.1592, 81.1592) * CHOOSE(CONTROL!$C$21, $C$9, 100%, $E$9)</f>
        <v>81.159199999999998</v>
      </c>
      <c r="I915" s="10">
        <f>CHOOSE(CONTROL!$C$42, 81.085, 81.085)* CHOOSE(CONTROL!$C$21, $C$9, 100%, $E$9)</f>
        <v>81.084999999999994</v>
      </c>
      <c r="J915" s="10">
        <f>CHOOSE(CONTROL!$C$42, 81.065, 81.065)* CHOOSE(CONTROL!$C$21, $C$9, 100%, $E$9)</f>
        <v>81.064999999999998</v>
      </c>
      <c r="K915" s="53">
        <f>CHOOSE(CONTROL!$C$42, 81.0811, 81.0811) * CHOOSE(CONTROL!$C$21, $C$9, 100%, $E$9)</f>
        <v>81.081100000000006</v>
      </c>
      <c r="L915" s="10">
        <f>CHOOSE(CONTROL!$C$42, 81.7462, 81.7462) * CHOOSE(CONTROL!$C$21, $C$9, 100%, $E$9)</f>
        <v>81.746200000000002</v>
      </c>
      <c r="M915" s="10">
        <f>CHOOSE(CONTROL!$C$42, 80.2607, 80.2607) * CHOOSE(CONTROL!$C$21, $C$9, 100%, $E$9)</f>
        <v>80.2607</v>
      </c>
      <c r="N915" s="10">
        <f>CHOOSE(CONTROL!$C$42, 80.2752, 80.2752) * CHOOSE(CONTROL!$C$21, $C$9, 100%, $E$9)</f>
        <v>80.275199999999998</v>
      </c>
      <c r="O915" s="10">
        <f>CHOOSE(CONTROL!$C$42, 80.354, 80.354) * CHOOSE(CONTROL!$C$21, $C$9, 100%, $E$9)</f>
        <v>80.353999999999999</v>
      </c>
      <c r="P915" s="10">
        <f>CHOOSE(CONTROL!$C$42, 80.2806, 80.2806) * CHOOSE(CONTROL!$C$21, $C$9, 100%, $E$9)</f>
        <v>80.280600000000007</v>
      </c>
      <c r="Q915" s="10">
        <f>CHOOSE(CONTROL!$C$42, 80.9493, 80.9493) * CHOOSE(CONTROL!$C$21, $C$9, 100%, $E$9)</f>
        <v>80.949299999999994</v>
      </c>
      <c r="R915" s="10">
        <f>CHOOSE(CONTROL!$C$42, 81.7386, 81.7386) * CHOOSE(CONTROL!$C$21, $C$9, 100%, $E$9)</f>
        <v>81.738600000000005</v>
      </c>
      <c r="S915" s="10">
        <f>CHOOSE(CONTROL!$C$42, 78.729, 78.729) * CHOOSE(CONTROL!$C$21, $C$9, 100%, $E$9)</f>
        <v>78.728999999999999</v>
      </c>
      <c r="T9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57">
        <f>(1000*CHOOSE(CONTROL!$C$42, 695, 695)*CHOOSE(CONTROL!$C$42, 0.5599, 0.5599)*CHOOSE(CONTROL!$C$42, 31, 31))/1000000</f>
        <v>12.063045499999998</v>
      </c>
      <c r="V915" s="57">
        <f>(1000*CHOOSE(CONTROL!$C$42, 500, 500)*CHOOSE(CONTROL!$C$42, 0.275, 0.275)*CHOOSE(CONTROL!$C$42, 31, 31))/1000000</f>
        <v>4.2625000000000002</v>
      </c>
      <c r="W915" s="57">
        <f>(1000*CHOOSE(CONTROL!$C$42, 0.1146, 0.1146)*CHOOSE(CONTROL!$C$42, 121.5, 121.5)*CHOOSE(CONTROL!$C$42, 31, 31))/1000000</f>
        <v>0.43164089999999994</v>
      </c>
      <c r="X915" s="57">
        <f>(31*0.1790888*100000/1000000)+(31*0.2374*100000/1000000)</f>
        <v>1.2911152800000001</v>
      </c>
      <c r="Y915" s="57"/>
      <c r="Z915" s="10"/>
      <c r="AA915" s="56"/>
      <c r="AB915" s="50">
        <f>(B915*122.58+C915*297.941+D915*89.177+E915*40.302+F915*40+G915*160+H915*0+I915*100+J915*300)/(122.58+297.941+89.177+40.302+0+40+160+100+300)</f>
        <v>81.083822449130423</v>
      </c>
      <c r="AC915" s="45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80.306684892086324</v>
      </c>
    </row>
    <row r="916" spans="1:29" ht="15.75" x14ac:dyDescent="0.25">
      <c r="A916" s="13">
        <v>68788</v>
      </c>
      <c r="B916" s="10">
        <f>CHOOSE(CONTROL!$C$42, 80.8326, 80.8326) * CHOOSE(CONTROL!$C$21, $C$9, 100%, $E$9)</f>
        <v>80.832599999999999</v>
      </c>
      <c r="C916" s="10">
        <f>CHOOSE(CONTROL!$C$42, 80.837, 80.837) * CHOOSE(CONTROL!$C$21, $C$9, 100%, $E$9)</f>
        <v>80.837000000000003</v>
      </c>
      <c r="D916" s="10">
        <f>CHOOSE(CONTROL!$C$42, 81.0429, 81.0429) * CHOOSE(CONTROL!$C$21, $C$9, 100%, $E$9)</f>
        <v>81.042900000000003</v>
      </c>
      <c r="E916" s="10">
        <f>CHOOSE(CONTROL!$C$42, 81.0746, 81.0746) * CHOOSE(CONTROL!$C$21, $C$9, 100%, $E$9)</f>
        <v>81.074600000000004</v>
      </c>
      <c r="F916" s="10">
        <f>CHOOSE(CONTROL!$C$42, 80.8094, 80.8094)*CHOOSE(CONTROL!$C$21, $C$9, 100%, $E$9)</f>
        <v>80.809399999999997</v>
      </c>
      <c r="G916" s="10">
        <f>CHOOSE(CONTROL!$C$42, 80.8239, 80.8239)*CHOOSE(CONTROL!$C$21, $C$9, 100%, $E$9)</f>
        <v>80.823899999999995</v>
      </c>
      <c r="H916" s="10">
        <f>CHOOSE(CONTROL!$C$42, 81.0644, 81.0644) * CHOOSE(CONTROL!$C$21, $C$9, 100%, $E$9)</f>
        <v>81.064400000000006</v>
      </c>
      <c r="I916" s="10">
        <f>CHOOSE(CONTROL!$C$42, 80.834, 80.834)* CHOOSE(CONTROL!$C$21, $C$9, 100%, $E$9)</f>
        <v>80.834000000000003</v>
      </c>
      <c r="J916" s="10">
        <f>CHOOSE(CONTROL!$C$42, 80.8024, 80.8024)* CHOOSE(CONTROL!$C$21, $C$9, 100%, $E$9)</f>
        <v>80.802400000000006</v>
      </c>
      <c r="K916" s="53">
        <f>CHOOSE(CONTROL!$C$42, 80.8302, 80.8302) * CHOOSE(CONTROL!$C$21, $C$9, 100%, $E$9)</f>
        <v>80.830200000000005</v>
      </c>
      <c r="L916" s="10">
        <f>CHOOSE(CONTROL!$C$42, 81.6514, 81.6514) * CHOOSE(CONTROL!$C$21, $C$9, 100%, $E$9)</f>
        <v>81.651399999999995</v>
      </c>
      <c r="M916" s="10">
        <f>CHOOSE(CONTROL!$C$42, 80.0008, 80.0008) * CHOOSE(CONTROL!$C$21, $C$9, 100%, $E$9)</f>
        <v>80.000799999999998</v>
      </c>
      <c r="N916" s="10">
        <f>CHOOSE(CONTROL!$C$42, 80.0151, 80.0151) * CHOOSE(CONTROL!$C$21, $C$9, 100%, $E$9)</f>
        <v>80.015100000000004</v>
      </c>
      <c r="O916" s="10">
        <f>CHOOSE(CONTROL!$C$42, 80.2602, 80.2602) * CHOOSE(CONTROL!$C$21, $C$9, 100%, $E$9)</f>
        <v>80.260199999999998</v>
      </c>
      <c r="P916" s="10">
        <f>CHOOSE(CONTROL!$C$42, 80.0322, 80.0322) * CHOOSE(CONTROL!$C$21, $C$9, 100%, $E$9)</f>
        <v>80.032200000000003</v>
      </c>
      <c r="Q916" s="10">
        <f>CHOOSE(CONTROL!$C$42, 80.8555, 80.8555) * CHOOSE(CONTROL!$C$21, $C$9, 100%, $E$9)</f>
        <v>80.855500000000006</v>
      </c>
      <c r="R916" s="10">
        <f>CHOOSE(CONTROL!$C$42, 81.6446, 81.6446) * CHOOSE(CONTROL!$C$21, $C$9, 100%, $E$9)</f>
        <v>81.644599999999997</v>
      </c>
      <c r="S916" s="10">
        <f>CHOOSE(CONTROL!$C$42, 78.4937, 78.4937) * CHOOSE(CONTROL!$C$21, $C$9, 100%, $E$9)</f>
        <v>78.493700000000004</v>
      </c>
      <c r="T9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57">
        <f>(1000*CHOOSE(CONTROL!$C$42, 695, 695)*CHOOSE(CONTROL!$C$42, 0.5599, 0.5599)*CHOOSE(CONTROL!$C$42, 30, 30))/1000000</f>
        <v>11.673914999999997</v>
      </c>
      <c r="V916" s="57">
        <f>(1000*CHOOSE(CONTROL!$C$42, 500, 500)*CHOOSE(CONTROL!$C$42, 0.275, 0.275)*CHOOSE(CONTROL!$C$42, 30, 30))/1000000</f>
        <v>4.125</v>
      </c>
      <c r="W916" s="57">
        <f>(1000*CHOOSE(CONTROL!$C$42, 0.1146, 0.1146)*CHOOSE(CONTROL!$C$42, 121.5, 121.5)*CHOOSE(CONTROL!$C$42, 30, 30))/1000000</f>
        <v>0.417717</v>
      </c>
      <c r="X916" s="57">
        <f>(30*0.1790888*245000/1000000)+(30*0.2374*100000/1000000)</f>
        <v>2.0285026799999999</v>
      </c>
      <c r="Y916" s="57"/>
      <c r="Z916" s="10"/>
      <c r="AA916" s="56"/>
      <c r="AB916" s="50">
        <f>(B916*141.293+C916*267.993+D916*115.016+E916*89.698+F916*40+G916*185+H916*0+I916*100+J916*300)/(141.293+267.993+115.016+89.698+0+40+185+100+300)</f>
        <v>80.861346125907986</v>
      </c>
      <c r="AC916" s="45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80.123710791366904</v>
      </c>
    </row>
    <row r="917" spans="1:29" ht="15.75" x14ac:dyDescent="0.25">
      <c r="A917" s="13">
        <v>68819</v>
      </c>
      <c r="B917" s="10">
        <f>CHOOSE(CONTROL!$C$42, 81.5474, 81.5474) * CHOOSE(CONTROL!$C$21, $C$9, 100%, $E$9)</f>
        <v>81.547399999999996</v>
      </c>
      <c r="C917" s="10">
        <f>CHOOSE(CONTROL!$C$42, 81.5553, 81.5553) * CHOOSE(CONTROL!$C$21, $C$9, 100%, $E$9)</f>
        <v>81.555300000000003</v>
      </c>
      <c r="D917" s="10">
        <f>CHOOSE(CONTROL!$C$42, 81.7581, 81.7581) * CHOOSE(CONTROL!$C$21, $C$9, 100%, $E$9)</f>
        <v>81.758099999999999</v>
      </c>
      <c r="E917" s="10">
        <f>CHOOSE(CONTROL!$C$42, 81.7892, 81.7892) * CHOOSE(CONTROL!$C$21, $C$9, 100%, $E$9)</f>
        <v>81.789199999999994</v>
      </c>
      <c r="F917" s="10">
        <f>CHOOSE(CONTROL!$C$42, 81.5231, 81.5231)*CHOOSE(CONTROL!$C$21, $C$9, 100%, $E$9)</f>
        <v>81.523099999999999</v>
      </c>
      <c r="G917" s="10">
        <f>CHOOSE(CONTROL!$C$42, 81.5381, 81.5381)*CHOOSE(CONTROL!$C$21, $C$9, 100%, $E$9)</f>
        <v>81.5381</v>
      </c>
      <c r="H917" s="10">
        <f>CHOOSE(CONTROL!$C$42, 81.7778, 81.7778) * CHOOSE(CONTROL!$C$21, $C$9, 100%, $E$9)</f>
        <v>81.777799999999999</v>
      </c>
      <c r="I917" s="10">
        <f>CHOOSE(CONTROL!$C$42, 81.5475, 81.5475)* CHOOSE(CONTROL!$C$21, $C$9, 100%, $E$9)</f>
        <v>81.547499999999999</v>
      </c>
      <c r="J917" s="10">
        <f>CHOOSE(CONTROL!$C$42, 81.5161, 81.5161)* CHOOSE(CONTROL!$C$21, $C$9, 100%, $E$9)</f>
        <v>81.516099999999994</v>
      </c>
      <c r="K917" s="53">
        <f>CHOOSE(CONTROL!$C$42, 81.5436, 81.5436) * CHOOSE(CONTROL!$C$21, $C$9, 100%, $E$9)</f>
        <v>81.543599999999998</v>
      </c>
      <c r="L917" s="10">
        <f>CHOOSE(CONTROL!$C$42, 82.3648, 82.3648) * CHOOSE(CONTROL!$C$21, $C$9, 100%, $E$9)</f>
        <v>82.364800000000002</v>
      </c>
      <c r="M917" s="10">
        <f>CHOOSE(CONTROL!$C$42, 80.7073, 80.7073) * CHOOSE(CONTROL!$C$21, $C$9, 100%, $E$9)</f>
        <v>80.707300000000004</v>
      </c>
      <c r="N917" s="10">
        <f>CHOOSE(CONTROL!$C$42, 80.7222, 80.7222) * CHOOSE(CONTROL!$C$21, $C$9, 100%, $E$9)</f>
        <v>80.722200000000001</v>
      </c>
      <c r="O917" s="10">
        <f>CHOOSE(CONTROL!$C$42, 80.9664, 80.9664) * CHOOSE(CONTROL!$C$21, $C$9, 100%, $E$9)</f>
        <v>80.966399999999993</v>
      </c>
      <c r="P917" s="10">
        <f>CHOOSE(CONTROL!$C$42, 80.7384, 80.7384) * CHOOSE(CONTROL!$C$21, $C$9, 100%, $E$9)</f>
        <v>80.738399999999999</v>
      </c>
      <c r="Q917" s="10">
        <f>CHOOSE(CONTROL!$C$42, 81.5617, 81.5617) * CHOOSE(CONTROL!$C$21, $C$9, 100%, $E$9)</f>
        <v>81.561700000000002</v>
      </c>
      <c r="R917" s="10">
        <f>CHOOSE(CONTROL!$C$42, 82.3526, 82.3526) * CHOOSE(CONTROL!$C$21, $C$9, 100%, $E$9)</f>
        <v>82.352599999999995</v>
      </c>
      <c r="S917" s="10">
        <f>CHOOSE(CONTROL!$C$42, 79.1864, 79.1864) * CHOOSE(CONTROL!$C$21, $C$9, 100%, $E$9)</f>
        <v>79.186400000000006</v>
      </c>
      <c r="T9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57">
        <f>(1000*CHOOSE(CONTROL!$C$42, 695, 695)*CHOOSE(CONTROL!$C$42, 0.5599, 0.5599)*CHOOSE(CONTROL!$C$42, 31, 31))/1000000</f>
        <v>12.063045499999998</v>
      </c>
      <c r="V917" s="57">
        <f>(1000*CHOOSE(CONTROL!$C$42, 500, 500)*CHOOSE(CONTROL!$C$42, 0.275, 0.275)*CHOOSE(CONTROL!$C$42, 31, 31))/1000000</f>
        <v>4.2625000000000002</v>
      </c>
      <c r="W917" s="57">
        <f>(1000*CHOOSE(CONTROL!$C$42, 0.1146, 0.1146)*CHOOSE(CONTROL!$C$42, 121.5, 121.5)*CHOOSE(CONTROL!$C$42, 31, 31))/1000000</f>
        <v>0.43164089999999994</v>
      </c>
      <c r="X917" s="57">
        <f>(31*0.1790888*245000/1000000)+(31*0.2374*100000/1000000)</f>
        <v>2.0961194359999999</v>
      </c>
      <c r="Y917" s="57"/>
      <c r="Z917" s="10"/>
      <c r="AA917" s="56"/>
      <c r="AB917" s="50">
        <f>(B917*194.205+C917*267.466+D917*133.845+E917*53.484+F917*40+G917*185+H917*0+I917*100+J917*300)/(194.205+267.466+133.845+53.484+0+40+185+100+300)</f>
        <v>81.571869430219778</v>
      </c>
      <c r="AC917" s="45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80.830066187050349</v>
      </c>
    </row>
    <row r="918" spans="1:29" ht="15.75" x14ac:dyDescent="0.25">
      <c r="A918" s="13">
        <v>68849</v>
      </c>
      <c r="B918" s="10">
        <f>CHOOSE(CONTROL!$C$42, 83.8605, 83.8605) * CHOOSE(CONTROL!$C$21, $C$9, 100%, $E$9)</f>
        <v>83.860500000000002</v>
      </c>
      <c r="C918" s="10">
        <f>CHOOSE(CONTROL!$C$42, 83.8684, 83.8684) * CHOOSE(CONTROL!$C$21, $C$9, 100%, $E$9)</f>
        <v>83.868399999999994</v>
      </c>
      <c r="D918" s="10">
        <f>CHOOSE(CONTROL!$C$42, 84.0711, 84.0711) * CHOOSE(CONTROL!$C$21, $C$9, 100%, $E$9)</f>
        <v>84.071100000000001</v>
      </c>
      <c r="E918" s="10">
        <f>CHOOSE(CONTROL!$C$42, 84.1023, 84.1023) * CHOOSE(CONTROL!$C$21, $C$9, 100%, $E$9)</f>
        <v>84.1023</v>
      </c>
      <c r="F918" s="10">
        <f>CHOOSE(CONTROL!$C$42, 83.8367, 83.8367)*CHOOSE(CONTROL!$C$21, $C$9, 100%, $E$9)</f>
        <v>83.836699999999993</v>
      </c>
      <c r="G918" s="10">
        <f>CHOOSE(CONTROL!$C$42, 83.8518, 83.8518)*CHOOSE(CONTROL!$C$21, $C$9, 100%, $E$9)</f>
        <v>83.851799999999997</v>
      </c>
      <c r="H918" s="10">
        <f>CHOOSE(CONTROL!$C$42, 84.0909, 84.0909) * CHOOSE(CONTROL!$C$21, $C$9, 100%, $E$9)</f>
        <v>84.090900000000005</v>
      </c>
      <c r="I918" s="10">
        <f>CHOOSE(CONTROL!$C$42, 83.8605, 83.8605)* CHOOSE(CONTROL!$C$21, $C$9, 100%, $E$9)</f>
        <v>83.860500000000002</v>
      </c>
      <c r="J918" s="10">
        <f>CHOOSE(CONTROL!$C$42, 83.8297, 83.8297)* CHOOSE(CONTROL!$C$21, $C$9, 100%, $E$9)</f>
        <v>83.829700000000003</v>
      </c>
      <c r="K918" s="53">
        <f>CHOOSE(CONTROL!$C$42, 83.8566, 83.8566) * CHOOSE(CONTROL!$C$21, $C$9, 100%, $E$9)</f>
        <v>83.8566</v>
      </c>
      <c r="L918" s="10">
        <f>CHOOSE(CONTROL!$C$42, 84.6779, 84.6779) * CHOOSE(CONTROL!$C$21, $C$9, 100%, $E$9)</f>
        <v>84.677899999999994</v>
      </c>
      <c r="M918" s="10">
        <f>CHOOSE(CONTROL!$C$42, 82.9975, 82.9975) * CHOOSE(CONTROL!$C$21, $C$9, 100%, $E$9)</f>
        <v>82.997500000000002</v>
      </c>
      <c r="N918" s="10">
        <f>CHOOSE(CONTROL!$C$42, 83.0125, 83.0125) * CHOOSE(CONTROL!$C$21, $C$9, 100%, $E$9)</f>
        <v>83.012500000000003</v>
      </c>
      <c r="O918" s="10">
        <f>CHOOSE(CONTROL!$C$42, 83.2561, 83.2561) * CHOOSE(CONTROL!$C$21, $C$9, 100%, $E$9)</f>
        <v>83.256100000000004</v>
      </c>
      <c r="P918" s="10">
        <f>CHOOSE(CONTROL!$C$42, 83.0281, 83.0281) * CHOOSE(CONTROL!$C$21, $C$9, 100%, $E$9)</f>
        <v>83.028099999999995</v>
      </c>
      <c r="Q918" s="10">
        <f>CHOOSE(CONTROL!$C$42, 83.8514, 83.8514) * CHOOSE(CONTROL!$C$21, $C$9, 100%, $E$9)</f>
        <v>83.851399999999998</v>
      </c>
      <c r="R918" s="10">
        <f>CHOOSE(CONTROL!$C$42, 84.648, 84.648) * CHOOSE(CONTROL!$C$21, $C$9, 100%, $E$9)</f>
        <v>84.647999999999996</v>
      </c>
      <c r="S918" s="10">
        <f>CHOOSE(CONTROL!$C$42, 81.4327, 81.4327) * CHOOSE(CONTROL!$C$21, $C$9, 100%, $E$9)</f>
        <v>81.432699999999997</v>
      </c>
      <c r="T9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57">
        <f>(1000*CHOOSE(CONTROL!$C$42, 695, 695)*CHOOSE(CONTROL!$C$42, 0.5599, 0.5599)*CHOOSE(CONTROL!$C$42, 30, 30))/1000000</f>
        <v>11.673914999999997</v>
      </c>
      <c r="V918" s="57">
        <f>(1000*CHOOSE(CONTROL!$C$42, 500, 500)*CHOOSE(CONTROL!$C$42, 0.275, 0.275)*CHOOSE(CONTROL!$C$42, 30, 30))/1000000</f>
        <v>4.125</v>
      </c>
      <c r="W918" s="57">
        <f>(1000*CHOOSE(CONTROL!$C$42, 0.1146, 0.1146)*CHOOSE(CONTROL!$C$42, 121.5, 121.5)*CHOOSE(CONTROL!$C$42, 30, 30))/1000000</f>
        <v>0.417717</v>
      </c>
      <c r="X918" s="57">
        <f>(30*0.1790888*245000/1000000)+(30*0.2374*100000/1000000)</f>
        <v>2.0285026799999999</v>
      </c>
      <c r="Y918" s="57"/>
      <c r="Z918" s="10"/>
      <c r="AA918" s="56"/>
      <c r="AB918" s="50">
        <f>(B918*194.205+C918*267.466+D918*133.845+E918*53.484+F918*40+G918*185+H918*0+I918*100+J918*300)/(194.205+267.466+133.845+53.484+0+40+185+100+300)</f>
        <v>83.885171640188389</v>
      </c>
      <c r="AC918" s="45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83.119973381294969</v>
      </c>
    </row>
    <row r="919" spans="1:29" ht="15.75" x14ac:dyDescent="0.25">
      <c r="A919" s="13">
        <v>68880</v>
      </c>
      <c r="B919" s="10">
        <f>CHOOSE(CONTROL!$C$42, 82.2517, 82.2517) * CHOOSE(CONTROL!$C$21, $C$9, 100%, $E$9)</f>
        <v>82.2517</v>
      </c>
      <c r="C919" s="10">
        <f>CHOOSE(CONTROL!$C$42, 82.2596, 82.2596) * CHOOSE(CONTROL!$C$21, $C$9, 100%, $E$9)</f>
        <v>82.259600000000006</v>
      </c>
      <c r="D919" s="10">
        <f>CHOOSE(CONTROL!$C$42, 82.4624, 82.4624) * CHOOSE(CONTROL!$C$21, $C$9, 100%, $E$9)</f>
        <v>82.462400000000002</v>
      </c>
      <c r="E919" s="10">
        <f>CHOOSE(CONTROL!$C$42, 82.4935, 82.4935) * CHOOSE(CONTROL!$C$21, $C$9, 100%, $E$9)</f>
        <v>82.493499999999997</v>
      </c>
      <c r="F919" s="10">
        <f>CHOOSE(CONTROL!$C$42, 82.2285, 82.2285)*CHOOSE(CONTROL!$C$21, $C$9, 100%, $E$9)</f>
        <v>82.228499999999997</v>
      </c>
      <c r="G919" s="10">
        <f>CHOOSE(CONTROL!$C$42, 82.2438, 82.2438)*CHOOSE(CONTROL!$C$21, $C$9, 100%, $E$9)</f>
        <v>82.243799999999993</v>
      </c>
      <c r="H919" s="10">
        <f>CHOOSE(CONTROL!$C$42, 82.4821, 82.4821) * CHOOSE(CONTROL!$C$21, $C$9, 100%, $E$9)</f>
        <v>82.482100000000003</v>
      </c>
      <c r="I919" s="10">
        <f>CHOOSE(CONTROL!$C$42, 82.2518, 82.2518)* CHOOSE(CONTROL!$C$21, $C$9, 100%, $E$9)</f>
        <v>82.251800000000003</v>
      </c>
      <c r="J919" s="10">
        <f>CHOOSE(CONTROL!$C$42, 82.2215, 82.2215)* CHOOSE(CONTROL!$C$21, $C$9, 100%, $E$9)</f>
        <v>82.221500000000006</v>
      </c>
      <c r="K919" s="53">
        <f>CHOOSE(CONTROL!$C$42, 82.2479, 82.2479) * CHOOSE(CONTROL!$C$21, $C$9, 100%, $E$9)</f>
        <v>82.247900000000001</v>
      </c>
      <c r="L919" s="10">
        <f>CHOOSE(CONTROL!$C$42, 83.0691, 83.0691) * CHOOSE(CONTROL!$C$21, $C$9, 100%, $E$9)</f>
        <v>83.069100000000006</v>
      </c>
      <c r="M919" s="10">
        <f>CHOOSE(CONTROL!$C$42, 81.4055, 81.4055) * CHOOSE(CONTROL!$C$21, $C$9, 100%, $E$9)</f>
        <v>81.405500000000004</v>
      </c>
      <c r="N919" s="10">
        <f>CHOOSE(CONTROL!$C$42, 81.4207, 81.4207) * CHOOSE(CONTROL!$C$21, $C$9, 100%, $E$9)</f>
        <v>81.420699999999997</v>
      </c>
      <c r="O919" s="10">
        <f>CHOOSE(CONTROL!$C$42, 81.6636, 81.6636) * CHOOSE(CONTROL!$C$21, $C$9, 100%, $E$9)</f>
        <v>81.663600000000002</v>
      </c>
      <c r="P919" s="10">
        <f>CHOOSE(CONTROL!$C$42, 81.4356, 81.4356) * CHOOSE(CONTROL!$C$21, $C$9, 100%, $E$9)</f>
        <v>81.435599999999994</v>
      </c>
      <c r="Q919" s="10">
        <f>CHOOSE(CONTROL!$C$42, 82.2589, 82.2589) * CHOOSE(CONTROL!$C$21, $C$9, 100%, $E$9)</f>
        <v>82.258899999999997</v>
      </c>
      <c r="R919" s="10">
        <f>CHOOSE(CONTROL!$C$42, 83.0515, 83.0515) * CHOOSE(CONTROL!$C$21, $C$9, 100%, $E$9)</f>
        <v>83.051500000000004</v>
      </c>
      <c r="S919" s="10">
        <f>CHOOSE(CONTROL!$C$42, 79.8704, 79.8704) * CHOOSE(CONTROL!$C$21, $C$9, 100%, $E$9)</f>
        <v>79.870400000000004</v>
      </c>
      <c r="T9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57">
        <f>(1000*CHOOSE(CONTROL!$C$42, 695, 695)*CHOOSE(CONTROL!$C$42, 0.5599, 0.5599)*CHOOSE(CONTROL!$C$42, 31, 31))/1000000</f>
        <v>12.063045499999998</v>
      </c>
      <c r="V919" s="57">
        <f>(1000*CHOOSE(CONTROL!$C$42, 500, 500)*CHOOSE(CONTROL!$C$42, 0.275, 0.275)*CHOOSE(CONTROL!$C$42, 31, 31))/1000000</f>
        <v>4.2625000000000002</v>
      </c>
      <c r="W919" s="57">
        <f>(1000*CHOOSE(CONTROL!$C$42, 0.1146, 0.1146)*CHOOSE(CONTROL!$C$42, 121.5, 121.5)*CHOOSE(CONTROL!$C$42, 31, 31))/1000000</f>
        <v>0.43164089999999994</v>
      </c>
      <c r="X919" s="57">
        <f>(31*0.1790888*245000/1000000)+(31*0.2374*100000/1000000)</f>
        <v>2.0961194359999999</v>
      </c>
      <c r="Y919" s="57"/>
      <c r="Z919" s="10"/>
      <c r="AA919" s="56"/>
      <c r="AB919" s="50">
        <f>(B919*194.205+C919*267.466+D919*133.845+E919*53.484+F919*40+G919*185+H919*0+I919*100+J919*300)/(194.205+267.466+133.845+53.484+0+40+185+100+300)</f>
        <v>82.276666290502362</v>
      </c>
      <c r="AC919" s="45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81.527686330935254</v>
      </c>
    </row>
    <row r="920" spans="1:29" ht="15.75" x14ac:dyDescent="0.25">
      <c r="A920" s="13">
        <v>68911</v>
      </c>
      <c r="B920" s="10">
        <f>CHOOSE(CONTROL!$C$42, 78.1891, 78.1891) * CHOOSE(CONTROL!$C$21, $C$9, 100%, $E$9)</f>
        <v>78.189099999999996</v>
      </c>
      <c r="C920" s="10">
        <f>CHOOSE(CONTROL!$C$42, 78.1971, 78.1971) * CHOOSE(CONTROL!$C$21, $C$9, 100%, $E$9)</f>
        <v>78.197100000000006</v>
      </c>
      <c r="D920" s="10">
        <f>CHOOSE(CONTROL!$C$42, 78.3998, 78.3998) * CHOOSE(CONTROL!$C$21, $C$9, 100%, $E$9)</f>
        <v>78.399799999999999</v>
      </c>
      <c r="E920" s="10">
        <f>CHOOSE(CONTROL!$C$42, 78.4309, 78.4309) * CHOOSE(CONTROL!$C$21, $C$9, 100%, $E$9)</f>
        <v>78.430899999999994</v>
      </c>
      <c r="F920" s="10">
        <f>CHOOSE(CONTROL!$C$42, 78.1661, 78.1661)*CHOOSE(CONTROL!$C$21, $C$9, 100%, $E$9)</f>
        <v>78.1661</v>
      </c>
      <c r="G920" s="10">
        <f>CHOOSE(CONTROL!$C$42, 78.1814, 78.1814)*CHOOSE(CONTROL!$C$21, $C$9, 100%, $E$9)</f>
        <v>78.181399999999996</v>
      </c>
      <c r="H920" s="10">
        <f>CHOOSE(CONTROL!$C$42, 78.4196, 78.4196) * CHOOSE(CONTROL!$C$21, $C$9, 100%, $E$9)</f>
        <v>78.419600000000003</v>
      </c>
      <c r="I920" s="10">
        <f>CHOOSE(CONTROL!$C$42, 78.1892, 78.1892)* CHOOSE(CONTROL!$C$21, $C$9, 100%, $E$9)</f>
        <v>78.1892</v>
      </c>
      <c r="J920" s="10">
        <f>CHOOSE(CONTROL!$C$42, 78.1591, 78.1591)* CHOOSE(CONTROL!$C$21, $C$9, 100%, $E$9)</f>
        <v>78.159099999999995</v>
      </c>
      <c r="K920" s="53">
        <f>CHOOSE(CONTROL!$C$42, 78.1853, 78.1853) * CHOOSE(CONTROL!$C$21, $C$9, 100%, $E$9)</f>
        <v>78.185299999999998</v>
      </c>
      <c r="L920" s="10">
        <f>CHOOSE(CONTROL!$C$42, 79.0066, 79.0066) * CHOOSE(CONTROL!$C$21, $C$9, 100%, $E$9)</f>
        <v>79.006600000000006</v>
      </c>
      <c r="M920" s="10">
        <f>CHOOSE(CONTROL!$C$42, 77.3841, 77.3841) * CHOOSE(CONTROL!$C$21, $C$9, 100%, $E$9)</f>
        <v>77.384100000000004</v>
      </c>
      <c r="N920" s="10">
        <f>CHOOSE(CONTROL!$C$42, 77.3993, 77.3993) * CHOOSE(CONTROL!$C$21, $C$9, 100%, $E$9)</f>
        <v>77.399299999999997</v>
      </c>
      <c r="O920" s="10">
        <f>CHOOSE(CONTROL!$C$42, 77.642, 77.642) * CHOOSE(CONTROL!$C$21, $C$9, 100%, $E$9)</f>
        <v>77.641999999999996</v>
      </c>
      <c r="P920" s="10">
        <f>CHOOSE(CONTROL!$C$42, 77.414, 77.414) * CHOOSE(CONTROL!$C$21, $C$9, 100%, $E$9)</f>
        <v>77.414000000000001</v>
      </c>
      <c r="Q920" s="10">
        <f>CHOOSE(CONTROL!$C$42, 78.2373, 78.2373) * CHOOSE(CONTROL!$C$21, $C$9, 100%, $E$9)</f>
        <v>78.237300000000005</v>
      </c>
      <c r="R920" s="10">
        <f>CHOOSE(CONTROL!$C$42, 79.0199, 79.0199) * CHOOSE(CONTROL!$C$21, $C$9, 100%, $E$9)</f>
        <v>79.019900000000007</v>
      </c>
      <c r="S920" s="10">
        <f>CHOOSE(CONTROL!$C$42, 75.9252, 75.9252) * CHOOSE(CONTROL!$C$21, $C$9, 100%, $E$9)</f>
        <v>75.925200000000004</v>
      </c>
      <c r="T9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57">
        <f>(1000*CHOOSE(CONTROL!$C$42, 695, 695)*CHOOSE(CONTROL!$C$42, 0.5599, 0.5599)*CHOOSE(CONTROL!$C$42, 31, 31))/1000000</f>
        <v>12.063045499999998</v>
      </c>
      <c r="V920" s="57">
        <f>(1000*CHOOSE(CONTROL!$C$42, 500, 500)*CHOOSE(CONTROL!$C$42, 0.275, 0.275)*CHOOSE(CONTROL!$C$42, 31, 31))/1000000</f>
        <v>4.2625000000000002</v>
      </c>
      <c r="W920" s="57">
        <f>(1000*CHOOSE(CONTROL!$C$42, 0.1146, 0.1146)*CHOOSE(CONTROL!$C$42, 121.5, 121.5)*CHOOSE(CONTROL!$C$42, 31, 31))/1000000</f>
        <v>0.43164089999999994</v>
      </c>
      <c r="X920" s="57">
        <f>(31*0.1790888*245000/1000000)+(31*0.2374*100000/1000000)</f>
        <v>2.0961194359999999</v>
      </c>
      <c r="Y920" s="57"/>
      <c r="Z920" s="10"/>
      <c r="AA920" s="56"/>
      <c r="AB920" s="50">
        <f>(B920*194.205+C920*267.466+D920*133.845+E920*53.484+F920*40+G920*185+H920*0+I920*100+J920*300)/(194.205+267.466+133.845+53.484+0+40+185+100+300)</f>
        <v>78.214169702276294</v>
      </c>
      <c r="AC920" s="45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77.506166906474817</v>
      </c>
    </row>
    <row r="921" spans="1:29" ht="15.75" x14ac:dyDescent="0.25">
      <c r="A921" s="13">
        <v>68941</v>
      </c>
      <c r="B921" s="10">
        <f>CHOOSE(CONTROL!$C$42, 73.225, 73.225) * CHOOSE(CONTROL!$C$21, $C$9, 100%, $E$9)</f>
        <v>73.224999999999994</v>
      </c>
      <c r="C921" s="10">
        <f>CHOOSE(CONTROL!$C$42, 73.233, 73.233) * CHOOSE(CONTROL!$C$21, $C$9, 100%, $E$9)</f>
        <v>73.233000000000004</v>
      </c>
      <c r="D921" s="10">
        <f>CHOOSE(CONTROL!$C$42, 73.4357, 73.4357) * CHOOSE(CONTROL!$C$21, $C$9, 100%, $E$9)</f>
        <v>73.435699999999997</v>
      </c>
      <c r="E921" s="10">
        <f>CHOOSE(CONTROL!$C$42, 73.4668, 73.4668) * CHOOSE(CONTROL!$C$21, $C$9, 100%, $E$9)</f>
        <v>73.466800000000006</v>
      </c>
      <c r="F921" s="10">
        <f>CHOOSE(CONTROL!$C$42, 73.2018, 73.2018)*CHOOSE(CONTROL!$C$21, $C$9, 100%, $E$9)</f>
        <v>73.201800000000006</v>
      </c>
      <c r="G921" s="10">
        <f>CHOOSE(CONTROL!$C$42, 73.2171, 73.2171)*CHOOSE(CONTROL!$C$21, $C$9, 100%, $E$9)</f>
        <v>73.217100000000002</v>
      </c>
      <c r="H921" s="10">
        <f>CHOOSE(CONTROL!$C$42, 73.4555, 73.4555) * CHOOSE(CONTROL!$C$21, $C$9, 100%, $E$9)</f>
        <v>73.455500000000001</v>
      </c>
      <c r="I921" s="10">
        <f>CHOOSE(CONTROL!$C$42, 73.2251, 73.2251)* CHOOSE(CONTROL!$C$21, $C$9, 100%, $E$9)</f>
        <v>73.225099999999998</v>
      </c>
      <c r="J921" s="10">
        <f>CHOOSE(CONTROL!$C$42, 73.1948, 73.1948)* CHOOSE(CONTROL!$C$21, $C$9, 100%, $E$9)</f>
        <v>73.194800000000001</v>
      </c>
      <c r="K921" s="53">
        <f>CHOOSE(CONTROL!$C$42, 73.2212, 73.2212) * CHOOSE(CONTROL!$C$21, $C$9, 100%, $E$9)</f>
        <v>73.221199999999996</v>
      </c>
      <c r="L921" s="10">
        <f>CHOOSE(CONTROL!$C$42, 74.0425, 74.0425) * CHOOSE(CONTROL!$C$21, $C$9, 100%, $E$9)</f>
        <v>74.042500000000004</v>
      </c>
      <c r="M921" s="10">
        <f>CHOOSE(CONTROL!$C$42, 72.47, 72.47) * CHOOSE(CONTROL!$C$21, $C$9, 100%, $E$9)</f>
        <v>72.47</v>
      </c>
      <c r="N921" s="10">
        <f>CHOOSE(CONTROL!$C$42, 72.4851, 72.4851) * CHOOSE(CONTROL!$C$21, $C$9, 100%, $E$9)</f>
        <v>72.485100000000003</v>
      </c>
      <c r="O921" s="10">
        <f>CHOOSE(CONTROL!$C$42, 72.728, 72.728) * CHOOSE(CONTROL!$C$21, $C$9, 100%, $E$9)</f>
        <v>72.727999999999994</v>
      </c>
      <c r="P921" s="10">
        <f>CHOOSE(CONTROL!$C$42, 72.5, 72.5) * CHOOSE(CONTROL!$C$21, $C$9, 100%, $E$9)</f>
        <v>72.5</v>
      </c>
      <c r="Q921" s="10">
        <f>CHOOSE(CONTROL!$C$42, 73.3233, 73.3233) * CHOOSE(CONTROL!$C$21, $C$9, 100%, $E$9)</f>
        <v>73.323300000000003</v>
      </c>
      <c r="R921" s="10">
        <f>CHOOSE(CONTROL!$C$42, 74.0936, 74.0936) * CHOOSE(CONTROL!$C$21, $C$9, 100%, $E$9)</f>
        <v>74.093599999999995</v>
      </c>
      <c r="S921" s="10">
        <f>CHOOSE(CONTROL!$C$42, 71.1046, 71.1046) * CHOOSE(CONTROL!$C$21, $C$9, 100%, $E$9)</f>
        <v>71.104600000000005</v>
      </c>
      <c r="T9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57">
        <f>(1000*CHOOSE(CONTROL!$C$42, 695, 695)*CHOOSE(CONTROL!$C$42, 0.5599, 0.5599)*CHOOSE(CONTROL!$C$42, 30, 30))/1000000</f>
        <v>11.673914999999997</v>
      </c>
      <c r="V921" s="57">
        <f>(1000*CHOOSE(CONTROL!$C$42, 500, 500)*CHOOSE(CONTROL!$C$42, 0.275, 0.275)*CHOOSE(CONTROL!$C$42, 30, 30))/1000000</f>
        <v>4.125</v>
      </c>
      <c r="W921" s="57">
        <f>(1000*CHOOSE(CONTROL!$C$42, 0.1146, 0.1146)*CHOOSE(CONTROL!$C$42, 121.5, 121.5)*CHOOSE(CONTROL!$C$42, 30, 30))/1000000</f>
        <v>0.417717</v>
      </c>
      <c r="X921" s="57">
        <f>(30*0.1790888*245000/1000000)+(30*0.2374*100000/1000000)</f>
        <v>2.0285026799999999</v>
      </c>
      <c r="Y921" s="57"/>
      <c r="Z921" s="10"/>
      <c r="AA921" s="56"/>
      <c r="AB921" s="50">
        <f>(B921*194.205+C921*267.466+D921*133.845+E921*53.484+F921*40+G921*185+H921*0+I921*100+J921*300)/(194.205+267.466+133.845+53.484+0+40+185+100+300)</f>
        <v>73.249987284693887</v>
      </c>
      <c r="AC921" s="45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72.592120863309347</v>
      </c>
    </row>
    <row r="922" spans="1:29" ht="15.75" x14ac:dyDescent="0.25">
      <c r="A922" s="13">
        <v>68972</v>
      </c>
      <c r="B922" s="10">
        <f>CHOOSE(CONTROL!$C$42, 71.7366, 71.7366) * CHOOSE(CONTROL!$C$21, $C$9, 100%, $E$9)</f>
        <v>71.736599999999996</v>
      </c>
      <c r="C922" s="10">
        <f>CHOOSE(CONTROL!$C$42, 71.7418, 71.7418) * CHOOSE(CONTROL!$C$21, $C$9, 100%, $E$9)</f>
        <v>71.741799999999998</v>
      </c>
      <c r="D922" s="10">
        <f>CHOOSE(CONTROL!$C$42, 71.9495, 71.9495) * CHOOSE(CONTROL!$C$21, $C$9, 100%, $E$9)</f>
        <v>71.9495</v>
      </c>
      <c r="E922" s="10">
        <f>CHOOSE(CONTROL!$C$42, 71.9783, 71.9783) * CHOOSE(CONTROL!$C$21, $C$9, 100%, $E$9)</f>
        <v>71.978300000000004</v>
      </c>
      <c r="F922" s="10">
        <f>CHOOSE(CONTROL!$C$42, 71.7153, 71.7153)*CHOOSE(CONTROL!$C$21, $C$9, 100%, $E$9)</f>
        <v>71.715299999999999</v>
      </c>
      <c r="G922" s="10">
        <f>CHOOSE(CONTROL!$C$42, 71.7303, 71.7303)*CHOOSE(CONTROL!$C$21, $C$9, 100%, $E$9)</f>
        <v>71.7303</v>
      </c>
      <c r="H922" s="10">
        <f>CHOOSE(CONTROL!$C$42, 71.9688, 71.9688) * CHOOSE(CONTROL!$C$21, $C$9, 100%, $E$9)</f>
        <v>71.968800000000002</v>
      </c>
      <c r="I922" s="10">
        <f>CHOOSE(CONTROL!$C$42, 71.7384, 71.7384)* CHOOSE(CONTROL!$C$21, $C$9, 100%, $E$9)</f>
        <v>71.738399999999999</v>
      </c>
      <c r="J922" s="10">
        <f>CHOOSE(CONTROL!$C$42, 71.7083, 71.7083)* CHOOSE(CONTROL!$C$21, $C$9, 100%, $E$9)</f>
        <v>71.708299999999994</v>
      </c>
      <c r="K922" s="53">
        <f>CHOOSE(CONTROL!$C$42, 71.7345, 71.7345) * CHOOSE(CONTROL!$C$21, $C$9, 100%, $E$9)</f>
        <v>71.734499999999997</v>
      </c>
      <c r="L922" s="10">
        <f>CHOOSE(CONTROL!$C$42, 72.5558, 72.5558) * CHOOSE(CONTROL!$C$21, $C$9, 100%, $E$9)</f>
        <v>72.555800000000005</v>
      </c>
      <c r="M922" s="10">
        <f>CHOOSE(CONTROL!$C$42, 70.9985, 70.9985) * CHOOSE(CONTROL!$C$21, $C$9, 100%, $E$9)</f>
        <v>70.998500000000007</v>
      </c>
      <c r="N922" s="10">
        <f>CHOOSE(CONTROL!$C$42, 71.0133, 71.0133) * CHOOSE(CONTROL!$C$21, $C$9, 100%, $E$9)</f>
        <v>71.013300000000001</v>
      </c>
      <c r="O922" s="10">
        <f>CHOOSE(CONTROL!$C$42, 71.2563, 71.2563) * CHOOSE(CONTROL!$C$21, $C$9, 100%, $E$9)</f>
        <v>71.256299999999996</v>
      </c>
      <c r="P922" s="10">
        <f>CHOOSE(CONTROL!$C$42, 71.0283, 71.0283) * CHOOSE(CONTROL!$C$21, $C$9, 100%, $E$9)</f>
        <v>71.028300000000002</v>
      </c>
      <c r="Q922" s="10">
        <f>CHOOSE(CONTROL!$C$42, 71.8516, 71.8516) * CHOOSE(CONTROL!$C$21, $C$9, 100%, $E$9)</f>
        <v>71.851600000000005</v>
      </c>
      <c r="R922" s="10">
        <f>CHOOSE(CONTROL!$C$42, 72.6183, 72.6183) * CHOOSE(CONTROL!$C$21, $C$9, 100%, $E$9)</f>
        <v>72.618300000000005</v>
      </c>
      <c r="S922" s="10">
        <f>CHOOSE(CONTROL!$C$42, 69.6609, 69.6609) * CHOOSE(CONTROL!$C$21, $C$9, 100%, $E$9)</f>
        <v>69.660899999999998</v>
      </c>
      <c r="T9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57">
        <f>(1000*CHOOSE(CONTROL!$C$42, 695, 695)*CHOOSE(CONTROL!$C$42, 0.5599, 0.5599)*CHOOSE(CONTROL!$C$42, 31, 31))/1000000</f>
        <v>12.063045499999998</v>
      </c>
      <c r="V922" s="57">
        <f>(1000*CHOOSE(CONTROL!$C$42, 500, 500)*CHOOSE(CONTROL!$C$42, 0.275, 0.275)*CHOOSE(CONTROL!$C$42, 31, 31))/1000000</f>
        <v>4.2625000000000002</v>
      </c>
      <c r="W922" s="57">
        <f>(1000*CHOOSE(CONTROL!$C$42, 0.1146, 0.1146)*CHOOSE(CONTROL!$C$42, 121.5, 121.5)*CHOOSE(CONTROL!$C$42, 31, 31))/1000000</f>
        <v>0.43164089999999994</v>
      </c>
      <c r="X922" s="57">
        <f>(31*0.1790888*245000/1000000)+(31*0.2374*100000/1000000)</f>
        <v>2.0961194359999999</v>
      </c>
      <c r="Y922" s="57"/>
      <c r="Z922" s="10"/>
      <c r="AA922" s="56"/>
      <c r="AB922" s="50">
        <f>(B922*131.881+C922*277.167+D922*79.08+E922*125.872+F922*40+G922*185+H922*0+I922*100+J922*300)/(131.881+277.167+79.08+125.872+0+40+185+100+300)</f>
        <v>71.767571075706215</v>
      </c>
      <c r="AC922" s="45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71.120484172661875</v>
      </c>
    </row>
    <row r="923" spans="1:29" ht="15.75" x14ac:dyDescent="0.25">
      <c r="A923" s="13">
        <v>69002</v>
      </c>
      <c r="B923" s="10">
        <f>CHOOSE(CONTROL!$C$42, 73.626, 73.626) * CHOOSE(CONTROL!$C$21, $C$9, 100%, $E$9)</f>
        <v>73.626000000000005</v>
      </c>
      <c r="C923" s="10">
        <f>CHOOSE(CONTROL!$C$42, 73.631, 73.631) * CHOOSE(CONTROL!$C$21, $C$9, 100%, $E$9)</f>
        <v>73.631</v>
      </c>
      <c r="D923" s="10">
        <f>CHOOSE(CONTROL!$C$42, 73.6915, 73.6915) * CHOOSE(CONTROL!$C$21, $C$9, 100%, $E$9)</f>
        <v>73.691500000000005</v>
      </c>
      <c r="E923" s="10">
        <f>CHOOSE(CONTROL!$C$42, 73.7252, 73.7252) * CHOOSE(CONTROL!$C$21, $C$9, 100%, $E$9)</f>
        <v>73.725200000000001</v>
      </c>
      <c r="F923" s="10">
        <f>CHOOSE(CONTROL!$C$42, 73.6216, 73.6216)*CHOOSE(CONTROL!$C$21, $C$9, 100%, $E$9)</f>
        <v>73.621600000000001</v>
      </c>
      <c r="G923" s="10">
        <f>CHOOSE(CONTROL!$C$42, 73.6368, 73.6368)*CHOOSE(CONTROL!$C$21, $C$9, 100%, $E$9)</f>
        <v>73.636799999999994</v>
      </c>
      <c r="H923" s="10">
        <f>CHOOSE(CONTROL!$C$42, 73.7144, 73.7144) * CHOOSE(CONTROL!$C$21, $C$9, 100%, $E$9)</f>
        <v>73.714399999999998</v>
      </c>
      <c r="I923" s="10">
        <f>CHOOSE(CONTROL!$C$42, 73.6385, 73.6385)* CHOOSE(CONTROL!$C$21, $C$9, 100%, $E$9)</f>
        <v>73.638499999999993</v>
      </c>
      <c r="J923" s="10">
        <f>CHOOSE(CONTROL!$C$42, 73.6146, 73.6146)* CHOOSE(CONTROL!$C$21, $C$9, 100%, $E$9)</f>
        <v>73.614599999999996</v>
      </c>
      <c r="K923" s="53">
        <f>CHOOSE(CONTROL!$C$42, 73.6346, 73.6346) * CHOOSE(CONTROL!$C$21, $C$9, 100%, $E$9)</f>
        <v>73.634600000000006</v>
      </c>
      <c r="L923" s="10">
        <f>CHOOSE(CONTROL!$C$42, 74.3014, 74.3014) * CHOOSE(CONTROL!$C$21, $C$9, 100%, $E$9)</f>
        <v>74.301400000000001</v>
      </c>
      <c r="M923" s="10">
        <f>CHOOSE(CONTROL!$C$42, 72.8856, 72.8856) * CHOOSE(CONTROL!$C$21, $C$9, 100%, $E$9)</f>
        <v>72.885599999999997</v>
      </c>
      <c r="N923" s="10">
        <f>CHOOSE(CONTROL!$C$42, 72.9006, 72.9006) * CHOOSE(CONTROL!$C$21, $C$9, 100%, $E$9)</f>
        <v>72.900599999999997</v>
      </c>
      <c r="O923" s="10">
        <f>CHOOSE(CONTROL!$C$42, 72.9843, 72.9843) * CHOOSE(CONTROL!$C$21, $C$9, 100%, $E$9)</f>
        <v>72.984300000000005</v>
      </c>
      <c r="P923" s="10">
        <f>CHOOSE(CONTROL!$C$42, 72.9092, 72.9092) * CHOOSE(CONTROL!$C$21, $C$9, 100%, $E$9)</f>
        <v>72.909199999999998</v>
      </c>
      <c r="Q923" s="10">
        <f>CHOOSE(CONTROL!$C$42, 73.5796, 73.5796) * CHOOSE(CONTROL!$C$21, $C$9, 100%, $E$9)</f>
        <v>73.579599999999999</v>
      </c>
      <c r="R923" s="10">
        <f>CHOOSE(CONTROL!$C$42, 74.3506, 74.3506) * CHOOSE(CONTROL!$C$21, $C$9, 100%, $E$9)</f>
        <v>74.3506</v>
      </c>
      <c r="S923" s="10">
        <f>CHOOSE(CONTROL!$C$42, 71.4961, 71.4961) * CHOOSE(CONTROL!$C$21, $C$9, 100%, $E$9)</f>
        <v>71.496099999999998</v>
      </c>
      <c r="T9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57">
        <f>(1000*CHOOSE(CONTROL!$C$42, 695, 695)*CHOOSE(CONTROL!$C$42, 0.5599, 0.5599)*CHOOSE(CONTROL!$C$42, 30, 30))/1000000</f>
        <v>11.673914999999997</v>
      </c>
      <c r="V923" s="57">
        <f>(1000*CHOOSE(CONTROL!$C$42, 500, 500)*CHOOSE(CONTROL!$C$42, 0.275, 0.275)*CHOOSE(CONTROL!$C$42, 30, 30))/1000000</f>
        <v>4.125</v>
      </c>
      <c r="W923" s="57">
        <f>(1000*CHOOSE(CONTROL!$C$42, 0.1146, 0.1146)*CHOOSE(CONTROL!$C$42, 121.5, 121.5)*CHOOSE(CONTROL!$C$42, 30, 30))/1000000</f>
        <v>0.417717</v>
      </c>
      <c r="X923" s="57">
        <f>(30*0.1790888*100000/1000000)+(30*0.2374*100000/1000000)</f>
        <v>1.2494664</v>
      </c>
      <c r="Y923" s="57"/>
      <c r="Z923" s="10"/>
      <c r="AA923" s="56"/>
      <c r="AB923" s="50">
        <f>(B923*122.58+C923*297.941+D923*89.177+E923*40.302+F923*40+G923*160+H923*0+I923*100+J923*300)/(122.58+297.941+89.177+40.302+0+40+160+100+300)</f>
        <v>73.63531370165218</v>
      </c>
      <c r="AC923" s="45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72.934593525179849</v>
      </c>
    </row>
    <row r="924" spans="1:29" ht="15.75" x14ac:dyDescent="0.25">
      <c r="A924" s="13">
        <v>69033</v>
      </c>
      <c r="B924" s="10">
        <f>CHOOSE(CONTROL!$C$42, 78.6456, 78.6456) * CHOOSE(CONTROL!$C$21, $C$9, 100%, $E$9)</f>
        <v>78.645600000000002</v>
      </c>
      <c r="C924" s="10">
        <f>CHOOSE(CONTROL!$C$42, 78.6505, 78.6505) * CHOOSE(CONTROL!$C$21, $C$9, 100%, $E$9)</f>
        <v>78.650499999999994</v>
      </c>
      <c r="D924" s="10">
        <f>CHOOSE(CONTROL!$C$42, 78.711, 78.711) * CHOOSE(CONTROL!$C$21, $C$9, 100%, $E$9)</f>
        <v>78.710999999999999</v>
      </c>
      <c r="E924" s="10">
        <f>CHOOSE(CONTROL!$C$42, 78.7448, 78.7448) * CHOOSE(CONTROL!$C$21, $C$9, 100%, $E$9)</f>
        <v>78.744799999999998</v>
      </c>
      <c r="F924" s="10">
        <f>CHOOSE(CONTROL!$C$42, 78.643, 78.643)*CHOOSE(CONTROL!$C$21, $C$9, 100%, $E$9)</f>
        <v>78.643000000000001</v>
      </c>
      <c r="G924" s="10">
        <f>CHOOSE(CONTROL!$C$42, 78.6587, 78.6587)*CHOOSE(CONTROL!$C$21, $C$9, 100%, $E$9)</f>
        <v>78.658699999999996</v>
      </c>
      <c r="H924" s="10">
        <f>CHOOSE(CONTROL!$C$42, 78.734, 78.734) * CHOOSE(CONTROL!$C$21, $C$9, 100%, $E$9)</f>
        <v>78.733999999999995</v>
      </c>
      <c r="I924" s="10">
        <f>CHOOSE(CONTROL!$C$42, 78.6581, 78.6581)* CHOOSE(CONTROL!$C$21, $C$9, 100%, $E$9)</f>
        <v>78.658100000000005</v>
      </c>
      <c r="J924" s="10">
        <f>CHOOSE(CONTROL!$C$42, 78.636, 78.636)* CHOOSE(CONTROL!$C$21, $C$9, 100%, $E$9)</f>
        <v>78.635999999999996</v>
      </c>
      <c r="K924" s="53">
        <f>CHOOSE(CONTROL!$C$42, 78.6542, 78.6542) * CHOOSE(CONTROL!$C$21, $C$9, 100%, $E$9)</f>
        <v>78.654200000000003</v>
      </c>
      <c r="L924" s="10">
        <f>CHOOSE(CONTROL!$C$42, 79.321, 79.321) * CHOOSE(CONTROL!$C$21, $C$9, 100%, $E$9)</f>
        <v>79.320999999999998</v>
      </c>
      <c r="M924" s="10">
        <f>CHOOSE(CONTROL!$C$42, 77.8563, 77.8563) * CHOOSE(CONTROL!$C$21, $C$9, 100%, $E$9)</f>
        <v>77.856300000000005</v>
      </c>
      <c r="N924" s="10">
        <f>CHOOSE(CONTROL!$C$42, 77.8718, 77.8718) * CHOOSE(CONTROL!$C$21, $C$9, 100%, $E$9)</f>
        <v>77.871799999999993</v>
      </c>
      <c r="O924" s="10">
        <f>CHOOSE(CONTROL!$C$42, 77.9533, 77.9533) * CHOOSE(CONTROL!$C$21, $C$9, 100%, $E$9)</f>
        <v>77.953299999999999</v>
      </c>
      <c r="P924" s="10">
        <f>CHOOSE(CONTROL!$C$42, 77.8782, 77.8782) * CHOOSE(CONTROL!$C$21, $C$9, 100%, $E$9)</f>
        <v>77.878200000000007</v>
      </c>
      <c r="Q924" s="10">
        <f>CHOOSE(CONTROL!$C$42, 78.5486, 78.5486) * CHOOSE(CONTROL!$C$21, $C$9, 100%, $E$9)</f>
        <v>78.548599999999993</v>
      </c>
      <c r="R924" s="10">
        <f>CHOOSE(CONTROL!$C$42, 79.332, 79.332) * CHOOSE(CONTROL!$C$21, $C$9, 100%, $E$9)</f>
        <v>79.331999999999994</v>
      </c>
      <c r="S924" s="10">
        <f>CHOOSE(CONTROL!$C$42, 76.3706, 76.3706) * CHOOSE(CONTROL!$C$21, $C$9, 100%, $E$9)</f>
        <v>76.370599999999996</v>
      </c>
      <c r="T9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57">
        <f>(1000*CHOOSE(CONTROL!$C$42, 695, 695)*CHOOSE(CONTROL!$C$42, 0.5599, 0.5599)*CHOOSE(CONTROL!$C$42, 31, 31))/1000000</f>
        <v>12.063045499999998</v>
      </c>
      <c r="V924" s="57">
        <f>(1000*CHOOSE(CONTROL!$C$42, 500, 500)*CHOOSE(CONTROL!$C$42, 0.275, 0.275)*CHOOSE(CONTROL!$C$42, 31, 31))/1000000</f>
        <v>4.2625000000000002</v>
      </c>
      <c r="W924" s="57">
        <f>(1000*CHOOSE(CONTROL!$C$42, 0.1146, 0.1146)*CHOOSE(CONTROL!$C$42, 121.5, 121.5)*CHOOSE(CONTROL!$C$42, 31, 31))/1000000</f>
        <v>0.43164089999999994</v>
      </c>
      <c r="X924" s="57">
        <f>(31*0.1790888*100000/1000000)+(31*0.2374*100000/1000000)</f>
        <v>1.2911152800000001</v>
      </c>
      <c r="Y924" s="57"/>
      <c r="Z924" s="10"/>
      <c r="AA924" s="56"/>
      <c r="AB924" s="50">
        <f>(B924*122.58+C924*297.941+D924*89.177+E924*40.302+F924*40+G924*160+H924*0+I924*100+J924*300)/(122.58+297.941+89.177+40.302+0+40+160+100+300)</f>
        <v>78.655732213130435</v>
      </c>
      <c r="AC924" s="45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77.904307194244609</v>
      </c>
    </row>
    <row r="925" spans="1:29" ht="15.75" x14ac:dyDescent="0.25">
      <c r="A925" s="13">
        <v>69064</v>
      </c>
      <c r="B925" s="10">
        <f>CHOOSE(CONTROL!$C$42, 85.0893, 85.0893) * CHOOSE(CONTROL!$C$21, $C$9, 100%, $E$9)</f>
        <v>85.089299999999994</v>
      </c>
      <c r="C925" s="10">
        <f>CHOOSE(CONTROL!$C$42, 85.0943, 85.0943) * CHOOSE(CONTROL!$C$21, $C$9, 100%, $E$9)</f>
        <v>85.094300000000004</v>
      </c>
      <c r="D925" s="10">
        <f>CHOOSE(CONTROL!$C$42, 85.1513, 85.1513) * CHOOSE(CONTROL!$C$21, $C$9, 100%, $E$9)</f>
        <v>85.151300000000006</v>
      </c>
      <c r="E925" s="10">
        <f>CHOOSE(CONTROL!$C$42, 85.1851, 85.1851) * CHOOSE(CONTROL!$C$21, $C$9, 100%, $E$9)</f>
        <v>85.185100000000006</v>
      </c>
      <c r="F925" s="10">
        <f>CHOOSE(CONTROL!$C$42, 85.0871, 85.0871)*CHOOSE(CONTROL!$C$21, $C$9, 100%, $E$9)</f>
        <v>85.087100000000007</v>
      </c>
      <c r="G925" s="10">
        <f>CHOOSE(CONTROL!$C$42, 85.1018, 85.1018)*CHOOSE(CONTROL!$C$21, $C$9, 100%, $E$9)</f>
        <v>85.101799999999997</v>
      </c>
      <c r="H925" s="10">
        <f>CHOOSE(CONTROL!$C$42, 85.1743, 85.1743) * CHOOSE(CONTROL!$C$21, $C$9, 100%, $E$9)</f>
        <v>85.174300000000002</v>
      </c>
      <c r="I925" s="10">
        <f>CHOOSE(CONTROL!$C$42, 85.1001, 85.1001)* CHOOSE(CONTROL!$C$21, $C$9, 100%, $E$9)</f>
        <v>85.100099999999998</v>
      </c>
      <c r="J925" s="10">
        <f>CHOOSE(CONTROL!$C$42, 85.0801, 85.0801)* CHOOSE(CONTROL!$C$21, $C$9, 100%, $E$9)</f>
        <v>85.080100000000002</v>
      </c>
      <c r="K925" s="53">
        <f>CHOOSE(CONTROL!$C$42, 85.0962, 85.0962) * CHOOSE(CONTROL!$C$21, $C$9, 100%, $E$9)</f>
        <v>85.096199999999996</v>
      </c>
      <c r="L925" s="10">
        <f>CHOOSE(CONTROL!$C$42, 85.7613, 85.7613) * CHOOSE(CONTROL!$C$21, $C$9, 100%, $E$9)</f>
        <v>85.761300000000006</v>
      </c>
      <c r="M925" s="10">
        <f>CHOOSE(CONTROL!$C$42, 84.2354, 84.2354) * CHOOSE(CONTROL!$C$21, $C$9, 100%, $E$9)</f>
        <v>84.235399999999998</v>
      </c>
      <c r="N925" s="10">
        <f>CHOOSE(CONTROL!$C$42, 84.2498, 84.2498) * CHOOSE(CONTROL!$C$21, $C$9, 100%, $E$9)</f>
        <v>84.249799999999993</v>
      </c>
      <c r="O925" s="10">
        <f>CHOOSE(CONTROL!$C$42, 84.3286, 84.3286) * CHOOSE(CONTROL!$C$21, $C$9, 100%, $E$9)</f>
        <v>84.328599999999994</v>
      </c>
      <c r="P925" s="10">
        <f>CHOOSE(CONTROL!$C$42, 84.2552, 84.2552) * CHOOSE(CONTROL!$C$21, $C$9, 100%, $E$9)</f>
        <v>84.255200000000002</v>
      </c>
      <c r="Q925" s="10">
        <f>CHOOSE(CONTROL!$C$42, 84.9239, 84.9239) * CHOOSE(CONTROL!$C$21, $C$9, 100%, $E$9)</f>
        <v>84.923900000000003</v>
      </c>
      <c r="R925" s="10">
        <f>CHOOSE(CONTROL!$C$42, 85.7232, 85.7232) * CHOOSE(CONTROL!$C$21, $C$9, 100%, $E$9)</f>
        <v>85.723200000000006</v>
      </c>
      <c r="S925" s="10">
        <f>CHOOSE(CONTROL!$C$42, 82.6281, 82.6281) * CHOOSE(CONTROL!$C$21, $C$9, 100%, $E$9)</f>
        <v>82.628100000000003</v>
      </c>
      <c r="T9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57">
        <f>(1000*CHOOSE(CONTROL!$C$42, 695, 695)*CHOOSE(CONTROL!$C$42, 0.5599, 0.5599)*CHOOSE(CONTROL!$C$42, 31, 31))/1000000</f>
        <v>12.063045499999998</v>
      </c>
      <c r="V925" s="57">
        <f>(1000*CHOOSE(CONTROL!$C$42, 500, 500)*CHOOSE(CONTROL!$C$42, 0.275, 0.275)*CHOOSE(CONTROL!$C$42, 31, 31))/1000000</f>
        <v>4.2625000000000002</v>
      </c>
      <c r="W925" s="57">
        <f>(1000*CHOOSE(CONTROL!$C$42, 0.1146, 0.1146)*CHOOSE(CONTROL!$C$42, 121.5, 121.5)*CHOOSE(CONTROL!$C$42, 31, 31))/1000000</f>
        <v>0.43164089999999994</v>
      </c>
      <c r="X925" s="57">
        <f>(31*0.1790888*100000/1000000)+(31*0.2374*100000/1000000)</f>
        <v>1.2911152800000001</v>
      </c>
      <c r="Y925" s="57"/>
      <c r="Z925" s="10"/>
      <c r="AA925" s="56"/>
      <c r="AB925" s="50">
        <f>(B925*122.58+C925*297.941+D925*89.177+E925*40.302+F925*40+G925*160+H925*0+I925*100+J925*300)/(122.58+297.941+89.177+40.302+0+40+160+100+300)</f>
        <v>85.098962270086943</v>
      </c>
      <c r="AC925" s="45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84.28131942446042</v>
      </c>
    </row>
    <row r="926" spans="1:29" ht="15.75" x14ac:dyDescent="0.25">
      <c r="A926" s="13">
        <v>69092</v>
      </c>
      <c r="B926" s="10">
        <f>CHOOSE(CONTROL!$C$42, 86.604, 86.604) * CHOOSE(CONTROL!$C$21, $C$9, 100%, $E$9)</f>
        <v>86.603999999999999</v>
      </c>
      <c r="C926" s="10">
        <f>CHOOSE(CONTROL!$C$42, 86.6089, 86.6089) * CHOOSE(CONTROL!$C$21, $C$9, 100%, $E$9)</f>
        <v>86.608900000000006</v>
      </c>
      <c r="D926" s="10">
        <f>CHOOSE(CONTROL!$C$42, 86.666, 86.666) * CHOOSE(CONTROL!$C$21, $C$9, 100%, $E$9)</f>
        <v>86.665999999999997</v>
      </c>
      <c r="E926" s="10">
        <f>CHOOSE(CONTROL!$C$42, 86.6998, 86.6998) * CHOOSE(CONTROL!$C$21, $C$9, 100%, $E$9)</f>
        <v>86.699799999999996</v>
      </c>
      <c r="F926" s="10">
        <f>CHOOSE(CONTROL!$C$42, 86.6019, 86.6019)*CHOOSE(CONTROL!$C$21, $C$9, 100%, $E$9)</f>
        <v>86.601900000000001</v>
      </c>
      <c r="G926" s="10">
        <f>CHOOSE(CONTROL!$C$42, 86.6166, 86.6166)*CHOOSE(CONTROL!$C$21, $C$9, 100%, $E$9)</f>
        <v>86.616600000000005</v>
      </c>
      <c r="H926" s="10">
        <f>CHOOSE(CONTROL!$C$42, 86.689, 86.689) * CHOOSE(CONTROL!$C$21, $C$9, 100%, $E$9)</f>
        <v>86.688999999999993</v>
      </c>
      <c r="I926" s="10">
        <f>CHOOSE(CONTROL!$C$42, 86.6148, 86.6148)* CHOOSE(CONTROL!$C$21, $C$9, 100%, $E$9)</f>
        <v>86.614800000000002</v>
      </c>
      <c r="J926" s="10">
        <f>CHOOSE(CONTROL!$C$42, 86.5949, 86.5949)* CHOOSE(CONTROL!$C$21, $C$9, 100%, $E$9)</f>
        <v>86.594899999999996</v>
      </c>
      <c r="K926" s="53">
        <f>CHOOSE(CONTROL!$C$42, 86.6109, 86.6109) * CHOOSE(CONTROL!$C$21, $C$9, 100%, $E$9)</f>
        <v>86.610900000000001</v>
      </c>
      <c r="L926" s="10">
        <f>CHOOSE(CONTROL!$C$42, 87.276, 87.276) * CHOOSE(CONTROL!$C$21, $C$9, 100%, $E$9)</f>
        <v>87.275999999999996</v>
      </c>
      <c r="M926" s="10">
        <f>CHOOSE(CONTROL!$C$42, 85.7349, 85.7349) * CHOOSE(CONTROL!$C$21, $C$9, 100%, $E$9)</f>
        <v>85.734899999999996</v>
      </c>
      <c r="N926" s="10">
        <f>CHOOSE(CONTROL!$C$42, 85.7494, 85.7494) * CHOOSE(CONTROL!$C$21, $C$9, 100%, $E$9)</f>
        <v>85.749399999999994</v>
      </c>
      <c r="O926" s="10">
        <f>CHOOSE(CONTROL!$C$42, 85.828, 85.828) * CHOOSE(CONTROL!$C$21, $C$9, 100%, $E$9)</f>
        <v>85.828000000000003</v>
      </c>
      <c r="P926" s="10">
        <f>CHOOSE(CONTROL!$C$42, 85.7546, 85.7546) * CHOOSE(CONTROL!$C$21, $C$9, 100%, $E$9)</f>
        <v>85.754599999999996</v>
      </c>
      <c r="Q926" s="10">
        <f>CHOOSE(CONTROL!$C$42, 86.4233, 86.4233) * CHOOSE(CONTROL!$C$21, $C$9, 100%, $E$9)</f>
        <v>86.423299999999998</v>
      </c>
      <c r="R926" s="10">
        <f>CHOOSE(CONTROL!$C$42, 87.2263, 87.2263) * CHOOSE(CONTROL!$C$21, $C$9, 100%, $E$9)</f>
        <v>87.226299999999995</v>
      </c>
      <c r="S926" s="10">
        <f>CHOOSE(CONTROL!$C$42, 84.099, 84.099) * CHOOSE(CONTROL!$C$21, $C$9, 100%, $E$9)</f>
        <v>84.099000000000004</v>
      </c>
      <c r="T9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57">
        <f>(1000*CHOOSE(CONTROL!$C$42, 695, 695)*CHOOSE(CONTROL!$C$42, 0.5599, 0.5599)*CHOOSE(CONTROL!$C$42, 28, 28))/1000000</f>
        <v>10.895653999999999</v>
      </c>
      <c r="V926" s="57">
        <f>(1000*CHOOSE(CONTROL!$C$42, 500, 500)*CHOOSE(CONTROL!$C$42, 0.275, 0.275)*CHOOSE(CONTROL!$C$42, 28, 28))/1000000</f>
        <v>3.85</v>
      </c>
      <c r="W926" s="57">
        <f>(1000*CHOOSE(CONTROL!$C$42, 0.1146, 0.1146)*CHOOSE(CONTROL!$C$42, 121.5, 121.5)*CHOOSE(CONTROL!$C$42, 28, 28))/1000000</f>
        <v>0.38986920000000003</v>
      </c>
      <c r="X926" s="57">
        <f>(28*0.1790888*100000/1000000)+(28*0.2374*100000/1000000)</f>
        <v>1.16616864</v>
      </c>
      <c r="Y926" s="57"/>
      <c r="Z926" s="10"/>
      <c r="AA926" s="56"/>
      <c r="AB926" s="50">
        <f>(B926*122.58+C926*297.941+D926*89.177+E926*40.302+F926*40+G926*160+H926*0+I926*100+J926*300)/(122.58+297.941+89.177+40.302+0+40+160+100+300)</f>
        <v>86.613679840434784</v>
      </c>
      <c r="AC926" s="45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85.780765467625898</v>
      </c>
    </row>
    <row r="927" spans="1:29" ht="15.75" x14ac:dyDescent="0.25">
      <c r="A927" s="13">
        <v>69123</v>
      </c>
      <c r="B927" s="10">
        <f>CHOOSE(CONTROL!$C$42, 84.1453, 84.1453) * CHOOSE(CONTROL!$C$21, $C$9, 100%, $E$9)</f>
        <v>84.145300000000006</v>
      </c>
      <c r="C927" s="10">
        <f>CHOOSE(CONTROL!$C$42, 84.1503, 84.1503) * CHOOSE(CONTROL!$C$21, $C$9, 100%, $E$9)</f>
        <v>84.150300000000001</v>
      </c>
      <c r="D927" s="10">
        <f>CHOOSE(CONTROL!$C$42, 84.2073, 84.2073) * CHOOSE(CONTROL!$C$21, $C$9, 100%, $E$9)</f>
        <v>84.207300000000004</v>
      </c>
      <c r="E927" s="10">
        <f>CHOOSE(CONTROL!$C$42, 84.2411, 84.2411) * CHOOSE(CONTROL!$C$21, $C$9, 100%, $E$9)</f>
        <v>84.241100000000003</v>
      </c>
      <c r="F927" s="10">
        <f>CHOOSE(CONTROL!$C$42, 84.1431, 84.1431)*CHOOSE(CONTROL!$C$21, $C$9, 100%, $E$9)</f>
        <v>84.143100000000004</v>
      </c>
      <c r="G927" s="10">
        <f>CHOOSE(CONTROL!$C$42, 84.1577, 84.1577)*CHOOSE(CONTROL!$C$21, $C$9, 100%, $E$9)</f>
        <v>84.157700000000006</v>
      </c>
      <c r="H927" s="10">
        <f>CHOOSE(CONTROL!$C$42, 84.2303, 84.2303) * CHOOSE(CONTROL!$C$21, $C$9, 100%, $E$9)</f>
        <v>84.2303</v>
      </c>
      <c r="I927" s="10">
        <f>CHOOSE(CONTROL!$C$42, 84.1561, 84.1561)* CHOOSE(CONTROL!$C$21, $C$9, 100%, $E$9)</f>
        <v>84.156099999999995</v>
      </c>
      <c r="J927" s="10">
        <f>CHOOSE(CONTROL!$C$42, 84.1361, 84.1361)* CHOOSE(CONTROL!$C$21, $C$9, 100%, $E$9)</f>
        <v>84.136099999999999</v>
      </c>
      <c r="K927" s="53">
        <f>CHOOSE(CONTROL!$C$42, 84.1522, 84.1522) * CHOOSE(CONTROL!$C$21, $C$9, 100%, $E$9)</f>
        <v>84.152199999999993</v>
      </c>
      <c r="L927" s="10">
        <f>CHOOSE(CONTROL!$C$42, 84.8173, 84.8173) * CHOOSE(CONTROL!$C$21, $C$9, 100%, $E$9)</f>
        <v>84.817300000000003</v>
      </c>
      <c r="M927" s="10">
        <f>CHOOSE(CONTROL!$C$42, 83.3009, 83.3009) * CHOOSE(CONTROL!$C$21, $C$9, 100%, $E$9)</f>
        <v>83.300899999999999</v>
      </c>
      <c r="N927" s="10">
        <f>CHOOSE(CONTROL!$C$42, 83.3153, 83.3153) * CHOOSE(CONTROL!$C$21, $C$9, 100%, $E$9)</f>
        <v>83.315299999999993</v>
      </c>
      <c r="O927" s="10">
        <f>CHOOSE(CONTROL!$C$42, 83.3941, 83.3941) * CHOOSE(CONTROL!$C$21, $C$9, 100%, $E$9)</f>
        <v>83.394099999999995</v>
      </c>
      <c r="P927" s="10">
        <f>CHOOSE(CONTROL!$C$42, 83.3207, 83.3207) * CHOOSE(CONTROL!$C$21, $C$9, 100%, $E$9)</f>
        <v>83.320700000000002</v>
      </c>
      <c r="Q927" s="10">
        <f>CHOOSE(CONTROL!$C$42, 83.9894, 83.9894) * CHOOSE(CONTROL!$C$21, $C$9, 100%, $E$9)</f>
        <v>83.989400000000003</v>
      </c>
      <c r="R927" s="10">
        <f>CHOOSE(CONTROL!$C$42, 84.7864, 84.7864) * CHOOSE(CONTROL!$C$21, $C$9, 100%, $E$9)</f>
        <v>84.7864</v>
      </c>
      <c r="S927" s="10">
        <f>CHOOSE(CONTROL!$C$42, 81.7114, 81.7114) * CHOOSE(CONTROL!$C$21, $C$9, 100%, $E$9)</f>
        <v>81.711399999999998</v>
      </c>
      <c r="T9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57">
        <f>(1000*CHOOSE(CONTROL!$C$42, 695, 695)*CHOOSE(CONTROL!$C$42, 0.5599, 0.5599)*CHOOSE(CONTROL!$C$42, 31, 31))/1000000</f>
        <v>12.063045499999998</v>
      </c>
      <c r="V927" s="57">
        <f>(1000*CHOOSE(CONTROL!$C$42, 500, 500)*CHOOSE(CONTROL!$C$42, 0.275, 0.275)*CHOOSE(CONTROL!$C$42, 31, 31))/1000000</f>
        <v>4.2625000000000002</v>
      </c>
      <c r="W927" s="57">
        <f>(1000*CHOOSE(CONTROL!$C$42, 0.1146, 0.1146)*CHOOSE(CONTROL!$C$42, 121.5, 121.5)*CHOOSE(CONTROL!$C$42, 31, 31))/1000000</f>
        <v>0.43164089999999994</v>
      </c>
      <c r="X927" s="57">
        <f>(31*0.1790888*100000/1000000)+(31*0.2374*100000/1000000)</f>
        <v>1.2911152800000001</v>
      </c>
      <c r="Y927" s="57"/>
      <c r="Z927" s="10"/>
      <c r="AA927" s="56"/>
      <c r="AB927" s="50">
        <f>(B927*122.58+C927*297.941+D927*89.177+E927*40.302+F927*40+G927*160+H927*0+I927*100+J927*300)/(122.58+297.941+89.177+40.302+0+40+160+100+300)</f>
        <v>84.15494835704348</v>
      </c>
      <c r="AC927" s="45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83.346819424460435</v>
      </c>
    </row>
    <row r="928" spans="1:29" ht="15.75" x14ac:dyDescent="0.25">
      <c r="A928" s="13">
        <v>69153</v>
      </c>
      <c r="B928" s="10">
        <f>CHOOSE(CONTROL!$C$42, 83.8946, 83.8946) * CHOOSE(CONTROL!$C$21, $C$9, 100%, $E$9)</f>
        <v>83.894599999999997</v>
      </c>
      <c r="C928" s="10">
        <f>CHOOSE(CONTROL!$C$42, 83.8989, 83.8989) * CHOOSE(CONTROL!$C$21, $C$9, 100%, $E$9)</f>
        <v>83.898899999999998</v>
      </c>
      <c r="D928" s="10">
        <f>CHOOSE(CONTROL!$C$42, 84.1048, 84.1048) * CHOOSE(CONTROL!$C$21, $C$9, 100%, $E$9)</f>
        <v>84.104799999999997</v>
      </c>
      <c r="E928" s="10">
        <f>CHOOSE(CONTROL!$C$42, 84.1366, 84.1366) * CHOOSE(CONTROL!$C$21, $C$9, 100%, $E$9)</f>
        <v>84.136600000000001</v>
      </c>
      <c r="F928" s="10">
        <f>CHOOSE(CONTROL!$C$42, 83.8713, 83.8713)*CHOOSE(CONTROL!$C$21, $C$9, 100%, $E$9)</f>
        <v>83.871300000000005</v>
      </c>
      <c r="G928" s="10">
        <f>CHOOSE(CONTROL!$C$42, 83.8858, 83.8858)*CHOOSE(CONTROL!$C$21, $C$9, 100%, $E$9)</f>
        <v>83.885800000000003</v>
      </c>
      <c r="H928" s="10">
        <f>CHOOSE(CONTROL!$C$42, 84.1264, 84.1264) * CHOOSE(CONTROL!$C$21, $C$9, 100%, $E$9)</f>
        <v>84.126400000000004</v>
      </c>
      <c r="I928" s="10">
        <f>CHOOSE(CONTROL!$C$42, 83.896, 83.896)* CHOOSE(CONTROL!$C$21, $C$9, 100%, $E$9)</f>
        <v>83.896000000000001</v>
      </c>
      <c r="J928" s="10">
        <f>CHOOSE(CONTROL!$C$42, 83.8643, 83.8643)* CHOOSE(CONTROL!$C$21, $C$9, 100%, $E$9)</f>
        <v>83.8643</v>
      </c>
      <c r="K928" s="53">
        <f>CHOOSE(CONTROL!$C$42, 83.8921, 83.8921) * CHOOSE(CONTROL!$C$21, $C$9, 100%, $E$9)</f>
        <v>83.892099999999999</v>
      </c>
      <c r="L928" s="10">
        <f>CHOOSE(CONTROL!$C$42, 84.7134, 84.7134) * CHOOSE(CONTROL!$C$21, $C$9, 100%, $E$9)</f>
        <v>84.713399999999993</v>
      </c>
      <c r="M928" s="10">
        <f>CHOOSE(CONTROL!$C$42, 83.0318, 83.0318) * CHOOSE(CONTROL!$C$21, $C$9, 100%, $E$9)</f>
        <v>83.031800000000004</v>
      </c>
      <c r="N928" s="10">
        <f>CHOOSE(CONTROL!$C$42, 83.0462, 83.0462) * CHOOSE(CONTROL!$C$21, $C$9, 100%, $E$9)</f>
        <v>83.046199999999999</v>
      </c>
      <c r="O928" s="10">
        <f>CHOOSE(CONTROL!$C$42, 83.2912, 83.2912) * CHOOSE(CONTROL!$C$21, $C$9, 100%, $E$9)</f>
        <v>83.291200000000003</v>
      </c>
      <c r="P928" s="10">
        <f>CHOOSE(CONTROL!$C$42, 83.0632, 83.0632) * CHOOSE(CONTROL!$C$21, $C$9, 100%, $E$9)</f>
        <v>83.063199999999995</v>
      </c>
      <c r="Q928" s="10">
        <f>CHOOSE(CONTROL!$C$42, 83.8865, 83.8865) * CHOOSE(CONTROL!$C$21, $C$9, 100%, $E$9)</f>
        <v>83.886499999999998</v>
      </c>
      <c r="R928" s="10">
        <f>CHOOSE(CONTROL!$C$42, 84.6832, 84.6832) * CHOOSE(CONTROL!$C$21, $C$9, 100%, $E$9)</f>
        <v>84.683199999999999</v>
      </c>
      <c r="S928" s="10">
        <f>CHOOSE(CONTROL!$C$42, 81.4671, 81.4671) * CHOOSE(CONTROL!$C$21, $C$9, 100%, $E$9)</f>
        <v>81.467100000000002</v>
      </c>
      <c r="T9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57">
        <f>(1000*CHOOSE(CONTROL!$C$42, 695, 695)*CHOOSE(CONTROL!$C$42, 0.5599, 0.5599)*CHOOSE(CONTROL!$C$42, 30, 30))/1000000</f>
        <v>11.673914999999997</v>
      </c>
      <c r="V928" s="57">
        <f>(1000*CHOOSE(CONTROL!$C$42, 500, 500)*CHOOSE(CONTROL!$C$42, 0.275, 0.275)*CHOOSE(CONTROL!$C$42, 30, 30))/1000000</f>
        <v>4.125</v>
      </c>
      <c r="W928" s="57">
        <f>(1000*CHOOSE(CONTROL!$C$42, 0.1146, 0.1146)*CHOOSE(CONTROL!$C$42, 121.5, 121.5)*CHOOSE(CONTROL!$C$42, 30, 30))/1000000</f>
        <v>0.417717</v>
      </c>
      <c r="X928" s="57">
        <f>(30*0.1790888*245000/1000000)+(30*0.2374*100000/1000000)</f>
        <v>2.0285026799999999</v>
      </c>
      <c r="Y928" s="57"/>
      <c r="Z928" s="10"/>
      <c r="AA928" s="56"/>
      <c r="AB928" s="50">
        <f>(B928*141.293+C928*267.993+D928*115.016+E928*89.698+F928*40+G928*185+H928*0+I928*100+J928*300)/(141.293+267.993+115.016+89.698+0+40+185+100+300)</f>
        <v>83.923272840274436</v>
      </c>
      <c r="AC928" s="45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83.1547165467626</v>
      </c>
    </row>
    <row r="929" spans="1:29" ht="15.75" x14ac:dyDescent="0.25">
      <c r="A929" s="13">
        <v>69184</v>
      </c>
      <c r="B929" s="10">
        <f>CHOOSE(CONTROL!$C$42, 84.6364, 84.6364) * CHOOSE(CONTROL!$C$21, $C$9, 100%, $E$9)</f>
        <v>84.636399999999995</v>
      </c>
      <c r="C929" s="10">
        <f>CHOOSE(CONTROL!$C$42, 84.6443, 84.6443) * CHOOSE(CONTROL!$C$21, $C$9, 100%, $E$9)</f>
        <v>84.644300000000001</v>
      </c>
      <c r="D929" s="10">
        <f>CHOOSE(CONTROL!$C$42, 84.847, 84.847) * CHOOSE(CONTROL!$C$21, $C$9, 100%, $E$9)</f>
        <v>84.846999999999994</v>
      </c>
      <c r="E929" s="10">
        <f>CHOOSE(CONTROL!$C$42, 84.8782, 84.8782) * CHOOSE(CONTROL!$C$21, $C$9, 100%, $E$9)</f>
        <v>84.878200000000007</v>
      </c>
      <c r="F929" s="10">
        <f>CHOOSE(CONTROL!$C$42, 84.6121, 84.6121)*CHOOSE(CONTROL!$C$21, $C$9, 100%, $E$9)</f>
        <v>84.612099999999998</v>
      </c>
      <c r="G929" s="10">
        <f>CHOOSE(CONTROL!$C$42, 84.6271, 84.6271)*CHOOSE(CONTROL!$C$21, $C$9, 100%, $E$9)</f>
        <v>84.627099999999999</v>
      </c>
      <c r="H929" s="10">
        <f>CHOOSE(CONTROL!$C$42, 84.8668, 84.8668) * CHOOSE(CONTROL!$C$21, $C$9, 100%, $E$9)</f>
        <v>84.866799999999998</v>
      </c>
      <c r="I929" s="10">
        <f>CHOOSE(CONTROL!$C$42, 84.6364, 84.6364)* CHOOSE(CONTROL!$C$21, $C$9, 100%, $E$9)</f>
        <v>84.636399999999995</v>
      </c>
      <c r="J929" s="10">
        <f>CHOOSE(CONTROL!$C$42, 84.6051, 84.6051)* CHOOSE(CONTROL!$C$21, $C$9, 100%, $E$9)</f>
        <v>84.605099999999993</v>
      </c>
      <c r="K929" s="53">
        <f>CHOOSE(CONTROL!$C$42, 84.6325, 84.6325) * CHOOSE(CONTROL!$C$21, $C$9, 100%, $E$9)</f>
        <v>84.632499999999993</v>
      </c>
      <c r="L929" s="10">
        <f>CHOOSE(CONTROL!$C$42, 85.4538, 85.4538) * CHOOSE(CONTROL!$C$21, $C$9, 100%, $E$9)</f>
        <v>85.453800000000001</v>
      </c>
      <c r="M929" s="10">
        <f>CHOOSE(CONTROL!$C$42, 83.7651, 83.7651) * CHOOSE(CONTROL!$C$21, $C$9, 100%, $E$9)</f>
        <v>83.765100000000004</v>
      </c>
      <c r="N929" s="10">
        <f>CHOOSE(CONTROL!$C$42, 83.78, 83.78) * CHOOSE(CONTROL!$C$21, $C$9, 100%, $E$9)</f>
        <v>83.78</v>
      </c>
      <c r="O929" s="10">
        <f>CHOOSE(CONTROL!$C$42, 84.0242, 84.0242) * CHOOSE(CONTROL!$C$21, $C$9, 100%, $E$9)</f>
        <v>84.024199999999993</v>
      </c>
      <c r="P929" s="10">
        <f>CHOOSE(CONTROL!$C$42, 83.7962, 83.7962) * CHOOSE(CONTROL!$C$21, $C$9, 100%, $E$9)</f>
        <v>83.796199999999999</v>
      </c>
      <c r="Q929" s="10">
        <f>CHOOSE(CONTROL!$C$42, 84.6195, 84.6195) * CHOOSE(CONTROL!$C$21, $C$9, 100%, $E$9)</f>
        <v>84.619500000000002</v>
      </c>
      <c r="R929" s="10">
        <f>CHOOSE(CONTROL!$C$42, 85.418, 85.418) * CHOOSE(CONTROL!$C$21, $C$9, 100%, $E$9)</f>
        <v>85.418000000000006</v>
      </c>
      <c r="S929" s="10">
        <f>CHOOSE(CONTROL!$C$42, 82.1861, 82.1861) * CHOOSE(CONTROL!$C$21, $C$9, 100%, $E$9)</f>
        <v>82.186099999999996</v>
      </c>
      <c r="T9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57">
        <f>(1000*CHOOSE(CONTROL!$C$42, 695, 695)*CHOOSE(CONTROL!$C$42, 0.5599, 0.5599)*CHOOSE(CONTROL!$C$42, 31, 31))/1000000</f>
        <v>12.063045499999998</v>
      </c>
      <c r="V929" s="57">
        <f>(1000*CHOOSE(CONTROL!$C$42, 500, 500)*CHOOSE(CONTROL!$C$42, 0.275, 0.275)*CHOOSE(CONTROL!$C$42, 31, 31))/1000000</f>
        <v>4.2625000000000002</v>
      </c>
      <c r="W929" s="57">
        <f>(1000*CHOOSE(CONTROL!$C$42, 0.1146, 0.1146)*CHOOSE(CONTROL!$C$42, 121.5, 121.5)*CHOOSE(CONTROL!$C$42, 31, 31))/1000000</f>
        <v>0.43164089999999994</v>
      </c>
      <c r="X929" s="57">
        <f>(31*0.1790888*245000/1000000)+(31*0.2374*100000/1000000)</f>
        <v>2.0961194359999999</v>
      </c>
      <c r="Y929" s="57"/>
      <c r="Z929" s="10"/>
      <c r="AA929" s="56"/>
      <c r="AB929" s="50">
        <f>(B929*194.205+C929*267.466+D929*133.845+E929*53.484+F929*40+G929*185+H929*0+I929*100+J929*300)/(194.205+267.466+133.845+53.484+0+40+185+100+300)</f>
        <v>84.660851075039247</v>
      </c>
      <c r="AC929" s="45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83.887866187050349</v>
      </c>
    </row>
    <row r="930" spans="1:29" ht="15.75" x14ac:dyDescent="0.25">
      <c r="A930" s="13">
        <v>69214</v>
      </c>
      <c r="B930" s="10">
        <f>CHOOSE(CONTROL!$C$42, 87.0371, 87.0371) * CHOOSE(CONTROL!$C$21, $C$9, 100%, $E$9)</f>
        <v>87.037099999999995</v>
      </c>
      <c r="C930" s="10">
        <f>CHOOSE(CONTROL!$C$42, 87.045, 87.045) * CHOOSE(CONTROL!$C$21, $C$9, 100%, $E$9)</f>
        <v>87.045000000000002</v>
      </c>
      <c r="D930" s="10">
        <f>CHOOSE(CONTROL!$C$42, 87.2477, 87.2477) * CHOOSE(CONTROL!$C$21, $C$9, 100%, $E$9)</f>
        <v>87.247699999999995</v>
      </c>
      <c r="E930" s="10">
        <f>CHOOSE(CONTROL!$C$42, 87.2788, 87.2788) * CHOOSE(CONTROL!$C$21, $C$9, 100%, $E$9)</f>
        <v>87.278800000000004</v>
      </c>
      <c r="F930" s="10">
        <f>CHOOSE(CONTROL!$C$42, 87.0133, 87.0133)*CHOOSE(CONTROL!$C$21, $C$9, 100%, $E$9)</f>
        <v>87.013300000000001</v>
      </c>
      <c r="G930" s="10">
        <f>CHOOSE(CONTROL!$C$42, 87.0284, 87.0284)*CHOOSE(CONTROL!$C$21, $C$9, 100%, $E$9)</f>
        <v>87.028400000000005</v>
      </c>
      <c r="H930" s="10">
        <f>CHOOSE(CONTROL!$C$42, 87.2675, 87.2675) * CHOOSE(CONTROL!$C$21, $C$9, 100%, $E$9)</f>
        <v>87.267499999999998</v>
      </c>
      <c r="I930" s="10">
        <f>CHOOSE(CONTROL!$C$42, 87.0371, 87.0371)* CHOOSE(CONTROL!$C$21, $C$9, 100%, $E$9)</f>
        <v>87.037099999999995</v>
      </c>
      <c r="J930" s="10">
        <f>CHOOSE(CONTROL!$C$42, 87.0063, 87.0063)* CHOOSE(CONTROL!$C$21, $C$9, 100%, $E$9)</f>
        <v>87.006299999999996</v>
      </c>
      <c r="K930" s="53">
        <f>CHOOSE(CONTROL!$C$42, 87.0332, 87.0332) * CHOOSE(CONTROL!$C$21, $C$9, 100%, $E$9)</f>
        <v>87.033199999999994</v>
      </c>
      <c r="L930" s="10">
        <f>CHOOSE(CONTROL!$C$42, 87.8545, 87.8545) * CHOOSE(CONTROL!$C$21, $C$9, 100%, $E$9)</f>
        <v>87.854500000000002</v>
      </c>
      <c r="M930" s="10">
        <f>CHOOSE(CONTROL!$C$42, 86.1421, 86.1421) * CHOOSE(CONTROL!$C$21, $C$9, 100%, $E$9)</f>
        <v>86.142099999999999</v>
      </c>
      <c r="N930" s="10">
        <f>CHOOSE(CONTROL!$C$42, 86.1571, 86.1571) * CHOOSE(CONTROL!$C$21, $C$9, 100%, $E$9)</f>
        <v>86.1571</v>
      </c>
      <c r="O930" s="10">
        <f>CHOOSE(CONTROL!$C$42, 86.4006, 86.4006) * CHOOSE(CONTROL!$C$21, $C$9, 100%, $E$9)</f>
        <v>86.400599999999997</v>
      </c>
      <c r="P930" s="10">
        <f>CHOOSE(CONTROL!$C$42, 86.1726, 86.1726) * CHOOSE(CONTROL!$C$21, $C$9, 100%, $E$9)</f>
        <v>86.172600000000003</v>
      </c>
      <c r="Q930" s="10">
        <f>CHOOSE(CONTROL!$C$42, 86.9959, 86.9959) * CHOOSE(CONTROL!$C$21, $C$9, 100%, $E$9)</f>
        <v>86.995900000000006</v>
      </c>
      <c r="R930" s="10">
        <f>CHOOSE(CONTROL!$C$42, 87.8004, 87.8004) * CHOOSE(CONTROL!$C$21, $C$9, 100%, $E$9)</f>
        <v>87.800399999999996</v>
      </c>
      <c r="S930" s="10">
        <f>CHOOSE(CONTROL!$C$42, 84.5174, 84.5174) * CHOOSE(CONTROL!$C$21, $C$9, 100%, $E$9)</f>
        <v>84.517399999999995</v>
      </c>
      <c r="T9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57">
        <f>(1000*CHOOSE(CONTROL!$C$42, 695, 695)*CHOOSE(CONTROL!$C$42, 0.5599, 0.5599)*CHOOSE(CONTROL!$C$42, 30, 30))/1000000</f>
        <v>11.673914999999997</v>
      </c>
      <c r="V930" s="57">
        <f>(1000*CHOOSE(CONTROL!$C$42, 500, 500)*CHOOSE(CONTROL!$C$42, 0.275, 0.275)*CHOOSE(CONTROL!$C$42, 30, 30))/1000000</f>
        <v>4.125</v>
      </c>
      <c r="W930" s="57">
        <f>(1000*CHOOSE(CONTROL!$C$42, 0.1146, 0.1146)*CHOOSE(CONTROL!$C$42, 121.5, 121.5)*CHOOSE(CONTROL!$C$42, 30, 30))/1000000</f>
        <v>0.417717</v>
      </c>
      <c r="X930" s="57">
        <f>(30*0.1790888*245000/1000000)+(30*0.2374*100000/1000000)</f>
        <v>2.0285026799999999</v>
      </c>
      <c r="Y930" s="57"/>
      <c r="Z930" s="10"/>
      <c r="AA930" s="56"/>
      <c r="AB930" s="50">
        <f>(B930*194.205+C930*267.466+D930*133.845+E930*53.484+F930*40+G930*185+H930*0+I930*100+J930*300)/(194.205+267.466+133.845+53.484+0+40+185+100+300)</f>
        <v>87.06176744207221</v>
      </c>
      <c r="AC930" s="45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86.26451366906474</v>
      </c>
    </row>
    <row r="931" spans="1:29" ht="15.75" x14ac:dyDescent="0.25">
      <c r="A931" s="13">
        <v>69245</v>
      </c>
      <c r="B931" s="10">
        <f>CHOOSE(CONTROL!$C$42, 85.3674, 85.3674) * CHOOSE(CONTROL!$C$21, $C$9, 100%, $E$9)</f>
        <v>85.367400000000004</v>
      </c>
      <c r="C931" s="10">
        <f>CHOOSE(CONTROL!$C$42, 85.3753, 85.3753) * CHOOSE(CONTROL!$C$21, $C$9, 100%, $E$9)</f>
        <v>85.375299999999996</v>
      </c>
      <c r="D931" s="10">
        <f>CHOOSE(CONTROL!$C$42, 85.578, 85.578) * CHOOSE(CONTROL!$C$21, $C$9, 100%, $E$9)</f>
        <v>85.578000000000003</v>
      </c>
      <c r="E931" s="10">
        <f>CHOOSE(CONTROL!$C$42, 85.6092, 85.6092) * CHOOSE(CONTROL!$C$21, $C$9, 100%, $E$9)</f>
        <v>85.609200000000001</v>
      </c>
      <c r="F931" s="10">
        <f>CHOOSE(CONTROL!$C$42, 85.3441, 85.3441)*CHOOSE(CONTROL!$C$21, $C$9, 100%, $E$9)</f>
        <v>85.344099999999997</v>
      </c>
      <c r="G931" s="10">
        <f>CHOOSE(CONTROL!$C$42, 85.3594, 85.3594)*CHOOSE(CONTROL!$C$21, $C$9, 100%, $E$9)</f>
        <v>85.359399999999994</v>
      </c>
      <c r="H931" s="10">
        <f>CHOOSE(CONTROL!$C$42, 85.5978, 85.5978) * CHOOSE(CONTROL!$C$21, $C$9, 100%, $E$9)</f>
        <v>85.597800000000007</v>
      </c>
      <c r="I931" s="10">
        <f>CHOOSE(CONTROL!$C$42, 85.3674, 85.3674)* CHOOSE(CONTROL!$C$21, $C$9, 100%, $E$9)</f>
        <v>85.367400000000004</v>
      </c>
      <c r="J931" s="10">
        <f>CHOOSE(CONTROL!$C$42, 85.3371, 85.3371)* CHOOSE(CONTROL!$C$21, $C$9, 100%, $E$9)</f>
        <v>85.337100000000007</v>
      </c>
      <c r="K931" s="53">
        <f>CHOOSE(CONTROL!$C$42, 85.3635, 85.3635) * CHOOSE(CONTROL!$C$21, $C$9, 100%, $E$9)</f>
        <v>85.363500000000002</v>
      </c>
      <c r="L931" s="10">
        <f>CHOOSE(CONTROL!$C$42, 86.1848, 86.1848) * CHOOSE(CONTROL!$C$21, $C$9, 100%, $E$9)</f>
        <v>86.184799999999996</v>
      </c>
      <c r="M931" s="10">
        <f>CHOOSE(CONTROL!$C$42, 84.4897, 84.4897) * CHOOSE(CONTROL!$C$21, $C$9, 100%, $E$9)</f>
        <v>84.489699999999999</v>
      </c>
      <c r="N931" s="10">
        <f>CHOOSE(CONTROL!$C$42, 84.5049, 84.5049) * CHOOSE(CONTROL!$C$21, $C$9, 100%, $E$9)</f>
        <v>84.504900000000006</v>
      </c>
      <c r="O931" s="10">
        <f>CHOOSE(CONTROL!$C$42, 84.7478, 84.7478) * CHOOSE(CONTROL!$C$21, $C$9, 100%, $E$9)</f>
        <v>84.747799999999998</v>
      </c>
      <c r="P931" s="10">
        <f>CHOOSE(CONTROL!$C$42, 84.5198, 84.5198) * CHOOSE(CONTROL!$C$21, $C$9, 100%, $E$9)</f>
        <v>84.519800000000004</v>
      </c>
      <c r="Q931" s="10">
        <f>CHOOSE(CONTROL!$C$42, 85.3431, 85.3431) * CHOOSE(CONTROL!$C$21, $C$9, 100%, $E$9)</f>
        <v>85.343100000000007</v>
      </c>
      <c r="R931" s="10">
        <f>CHOOSE(CONTROL!$C$42, 86.1434, 86.1434) * CHOOSE(CONTROL!$C$21, $C$9, 100%, $E$9)</f>
        <v>86.1434</v>
      </c>
      <c r="S931" s="10">
        <f>CHOOSE(CONTROL!$C$42, 82.896, 82.896) * CHOOSE(CONTROL!$C$21, $C$9, 100%, $E$9)</f>
        <v>82.896000000000001</v>
      </c>
      <c r="T9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57">
        <f>(1000*CHOOSE(CONTROL!$C$42, 695, 695)*CHOOSE(CONTROL!$C$42, 0.5599, 0.5599)*CHOOSE(CONTROL!$C$42, 31, 31))/1000000</f>
        <v>12.063045499999998</v>
      </c>
      <c r="V931" s="57">
        <f>(1000*CHOOSE(CONTROL!$C$42, 500, 500)*CHOOSE(CONTROL!$C$42, 0.275, 0.275)*CHOOSE(CONTROL!$C$42, 31, 31))/1000000</f>
        <v>4.2625000000000002</v>
      </c>
      <c r="W931" s="57">
        <f>(1000*CHOOSE(CONTROL!$C$42, 0.1146, 0.1146)*CHOOSE(CONTROL!$C$42, 121.5, 121.5)*CHOOSE(CONTROL!$C$42, 31, 31))/1000000</f>
        <v>0.43164089999999994</v>
      </c>
      <c r="X931" s="57">
        <f>(31*0.1790888*245000/1000000)+(31*0.2374*100000/1000000)</f>
        <v>2.0961194359999999</v>
      </c>
      <c r="Y931" s="57"/>
      <c r="Z931" s="10"/>
      <c r="AA931" s="56"/>
      <c r="AB931" s="50">
        <f>(B931*194.205+C931*267.466+D931*133.845+E931*53.484+F931*40+G931*185+H931*0+I931*100+J931*300)/(194.205+267.466+133.845+53.484+0+40+185+100+300)</f>
        <v>85.392306726530634</v>
      </c>
      <c r="AC931" s="45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84.611886330935249</v>
      </c>
    </row>
    <row r="932" spans="1:29" ht="15.75" x14ac:dyDescent="0.25">
      <c r="A932" s="13">
        <v>69276</v>
      </c>
      <c r="B932" s="10">
        <f>CHOOSE(CONTROL!$C$42, 81.1509, 81.1509) * CHOOSE(CONTROL!$C$21, $C$9, 100%, $E$9)</f>
        <v>81.150899999999993</v>
      </c>
      <c r="C932" s="10">
        <f>CHOOSE(CONTROL!$C$42, 81.1588, 81.1588) * CHOOSE(CONTROL!$C$21, $C$9, 100%, $E$9)</f>
        <v>81.158799999999999</v>
      </c>
      <c r="D932" s="10">
        <f>CHOOSE(CONTROL!$C$42, 81.3615, 81.3615) * CHOOSE(CONTROL!$C$21, $C$9, 100%, $E$9)</f>
        <v>81.361500000000007</v>
      </c>
      <c r="E932" s="10">
        <f>CHOOSE(CONTROL!$C$42, 81.3927, 81.3927) * CHOOSE(CONTROL!$C$21, $C$9, 100%, $E$9)</f>
        <v>81.392700000000005</v>
      </c>
      <c r="F932" s="10">
        <f>CHOOSE(CONTROL!$C$42, 81.1278, 81.1278)*CHOOSE(CONTROL!$C$21, $C$9, 100%, $E$9)</f>
        <v>81.127799999999993</v>
      </c>
      <c r="G932" s="10">
        <f>CHOOSE(CONTROL!$C$42, 81.1432, 81.1432)*CHOOSE(CONTROL!$C$21, $C$9, 100%, $E$9)</f>
        <v>81.143199999999993</v>
      </c>
      <c r="H932" s="10">
        <f>CHOOSE(CONTROL!$C$42, 81.3813, 81.3813) * CHOOSE(CONTROL!$C$21, $C$9, 100%, $E$9)</f>
        <v>81.381299999999996</v>
      </c>
      <c r="I932" s="10">
        <f>CHOOSE(CONTROL!$C$42, 81.1509, 81.1509)* CHOOSE(CONTROL!$C$21, $C$9, 100%, $E$9)</f>
        <v>81.150899999999993</v>
      </c>
      <c r="J932" s="10">
        <f>CHOOSE(CONTROL!$C$42, 81.1208, 81.1208)* CHOOSE(CONTROL!$C$21, $C$9, 100%, $E$9)</f>
        <v>81.120800000000003</v>
      </c>
      <c r="K932" s="53">
        <f>CHOOSE(CONTROL!$C$42, 81.147, 81.147) * CHOOSE(CONTROL!$C$21, $C$9, 100%, $E$9)</f>
        <v>81.147000000000006</v>
      </c>
      <c r="L932" s="10">
        <f>CHOOSE(CONTROL!$C$42, 81.9683, 81.9683) * CHOOSE(CONTROL!$C$21, $C$9, 100%, $E$9)</f>
        <v>81.968299999999999</v>
      </c>
      <c r="M932" s="10">
        <f>CHOOSE(CONTROL!$C$42, 80.316, 80.316) * CHOOSE(CONTROL!$C$21, $C$9, 100%, $E$9)</f>
        <v>80.316000000000003</v>
      </c>
      <c r="N932" s="10">
        <f>CHOOSE(CONTROL!$C$42, 80.3312, 80.3312) * CHOOSE(CONTROL!$C$21, $C$9, 100%, $E$9)</f>
        <v>80.331199999999995</v>
      </c>
      <c r="O932" s="10">
        <f>CHOOSE(CONTROL!$C$42, 80.5739, 80.5739) * CHOOSE(CONTROL!$C$21, $C$9, 100%, $E$9)</f>
        <v>80.573899999999995</v>
      </c>
      <c r="P932" s="10">
        <f>CHOOSE(CONTROL!$C$42, 80.3458, 80.3458) * CHOOSE(CONTROL!$C$21, $C$9, 100%, $E$9)</f>
        <v>80.345799999999997</v>
      </c>
      <c r="Q932" s="10">
        <f>CHOOSE(CONTROL!$C$42, 81.1692, 81.1692) * CHOOSE(CONTROL!$C$21, $C$9, 100%, $E$9)</f>
        <v>81.169200000000004</v>
      </c>
      <c r="R932" s="10">
        <f>CHOOSE(CONTROL!$C$42, 81.9591, 81.9591) * CHOOSE(CONTROL!$C$21, $C$9, 100%, $E$9)</f>
        <v>81.959100000000007</v>
      </c>
      <c r="S932" s="10">
        <f>CHOOSE(CONTROL!$C$42, 78.8014, 78.8014) * CHOOSE(CONTROL!$C$21, $C$9, 100%, $E$9)</f>
        <v>78.801400000000001</v>
      </c>
      <c r="T9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57">
        <f>(1000*CHOOSE(CONTROL!$C$42, 695, 695)*CHOOSE(CONTROL!$C$42, 0.5599, 0.5599)*CHOOSE(CONTROL!$C$42, 31, 31))/1000000</f>
        <v>12.063045499999998</v>
      </c>
      <c r="V932" s="57">
        <f>(1000*CHOOSE(CONTROL!$C$42, 500, 500)*CHOOSE(CONTROL!$C$42, 0.275, 0.275)*CHOOSE(CONTROL!$C$42, 31, 31))/1000000</f>
        <v>4.2625000000000002</v>
      </c>
      <c r="W932" s="57">
        <f>(1000*CHOOSE(CONTROL!$C$42, 0.1146, 0.1146)*CHOOSE(CONTROL!$C$42, 121.5, 121.5)*CHOOSE(CONTROL!$C$42, 31, 31))/1000000</f>
        <v>0.43164089999999994</v>
      </c>
      <c r="X932" s="57">
        <f>(31*0.1790888*245000/1000000)+(31*0.2374*100000/1000000)</f>
        <v>2.0961194359999999</v>
      </c>
      <c r="Y932" s="57"/>
      <c r="Z932" s="10"/>
      <c r="AA932" s="56"/>
      <c r="AB932" s="50">
        <f>(B932*194.205+C932*267.466+D932*133.845+E932*53.484+F932*40+G932*185+H932*0+I932*100+J932*300)/(194.205+267.466+133.845+53.484+0+40+185+100+300)</f>
        <v>81.175903665306123</v>
      </c>
      <c r="AC932" s="45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80.438052517985611</v>
      </c>
    </row>
    <row r="933" spans="1:29" ht="15.75" x14ac:dyDescent="0.25">
      <c r="A933" s="13">
        <v>69306</v>
      </c>
      <c r="B933" s="10">
        <f>CHOOSE(CONTROL!$C$42, 75.9988, 75.9988) * CHOOSE(CONTROL!$C$21, $C$9, 100%, $E$9)</f>
        <v>75.998800000000003</v>
      </c>
      <c r="C933" s="10">
        <f>CHOOSE(CONTROL!$C$42, 76.0067, 76.0067) * CHOOSE(CONTROL!$C$21, $C$9, 100%, $E$9)</f>
        <v>76.006699999999995</v>
      </c>
      <c r="D933" s="10">
        <f>CHOOSE(CONTROL!$C$42, 76.2094, 76.2094) * CHOOSE(CONTROL!$C$21, $C$9, 100%, $E$9)</f>
        <v>76.209400000000002</v>
      </c>
      <c r="E933" s="10">
        <f>CHOOSE(CONTROL!$C$42, 76.2405, 76.2405) * CHOOSE(CONTROL!$C$21, $C$9, 100%, $E$9)</f>
        <v>76.240499999999997</v>
      </c>
      <c r="F933" s="10">
        <f>CHOOSE(CONTROL!$C$42, 75.9756, 75.9756)*CHOOSE(CONTROL!$C$21, $C$9, 100%, $E$9)</f>
        <v>75.9756</v>
      </c>
      <c r="G933" s="10">
        <f>CHOOSE(CONTROL!$C$42, 75.9908, 75.9908)*CHOOSE(CONTROL!$C$21, $C$9, 100%, $E$9)</f>
        <v>75.990799999999993</v>
      </c>
      <c r="H933" s="10">
        <f>CHOOSE(CONTROL!$C$42, 76.2292, 76.2292) * CHOOSE(CONTROL!$C$21, $C$9, 100%, $E$9)</f>
        <v>76.229200000000006</v>
      </c>
      <c r="I933" s="10">
        <f>CHOOSE(CONTROL!$C$42, 75.9988, 75.9988)* CHOOSE(CONTROL!$C$21, $C$9, 100%, $E$9)</f>
        <v>75.998800000000003</v>
      </c>
      <c r="J933" s="10">
        <f>CHOOSE(CONTROL!$C$42, 75.9686, 75.9686)* CHOOSE(CONTROL!$C$21, $C$9, 100%, $E$9)</f>
        <v>75.968599999999995</v>
      </c>
      <c r="K933" s="53">
        <f>CHOOSE(CONTROL!$C$42, 75.9949, 75.9949) * CHOOSE(CONTROL!$C$21, $C$9, 100%, $E$9)</f>
        <v>75.994900000000001</v>
      </c>
      <c r="L933" s="10">
        <f>CHOOSE(CONTROL!$C$42, 76.8162, 76.8162) * CHOOSE(CONTROL!$C$21, $C$9, 100%, $E$9)</f>
        <v>76.816199999999995</v>
      </c>
      <c r="M933" s="10">
        <f>CHOOSE(CONTROL!$C$42, 75.2157, 75.2157) * CHOOSE(CONTROL!$C$21, $C$9, 100%, $E$9)</f>
        <v>75.215699999999998</v>
      </c>
      <c r="N933" s="10">
        <f>CHOOSE(CONTROL!$C$42, 75.2309, 75.2309) * CHOOSE(CONTROL!$C$21, $C$9, 100%, $E$9)</f>
        <v>75.230900000000005</v>
      </c>
      <c r="O933" s="10">
        <f>CHOOSE(CONTROL!$C$42, 75.4737, 75.4737) * CHOOSE(CONTROL!$C$21, $C$9, 100%, $E$9)</f>
        <v>75.473699999999994</v>
      </c>
      <c r="P933" s="10">
        <f>CHOOSE(CONTROL!$C$42, 75.2457, 75.2457) * CHOOSE(CONTROL!$C$21, $C$9, 100%, $E$9)</f>
        <v>75.245699999999999</v>
      </c>
      <c r="Q933" s="10">
        <f>CHOOSE(CONTROL!$C$42, 76.069, 76.069) * CHOOSE(CONTROL!$C$21, $C$9, 100%, $E$9)</f>
        <v>76.069000000000003</v>
      </c>
      <c r="R933" s="10">
        <f>CHOOSE(CONTROL!$C$42, 76.8462, 76.8462) * CHOOSE(CONTROL!$C$21, $C$9, 100%, $E$9)</f>
        <v>76.846199999999996</v>
      </c>
      <c r="S933" s="10">
        <f>CHOOSE(CONTROL!$C$42, 73.7981, 73.7981) * CHOOSE(CONTROL!$C$21, $C$9, 100%, $E$9)</f>
        <v>73.798100000000005</v>
      </c>
      <c r="T9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57">
        <f>(1000*CHOOSE(CONTROL!$C$42, 695, 695)*CHOOSE(CONTROL!$C$42, 0.5599, 0.5599)*CHOOSE(CONTROL!$C$42, 30, 30))/1000000</f>
        <v>11.673914999999997</v>
      </c>
      <c r="V933" s="57">
        <f>(1000*CHOOSE(CONTROL!$C$42, 500, 500)*CHOOSE(CONTROL!$C$42, 0.275, 0.275)*CHOOSE(CONTROL!$C$42, 30, 30))/1000000</f>
        <v>4.125</v>
      </c>
      <c r="W933" s="57">
        <f>(1000*CHOOSE(CONTROL!$C$42, 0.1146, 0.1146)*CHOOSE(CONTROL!$C$42, 121.5, 121.5)*CHOOSE(CONTROL!$C$42, 30, 30))/1000000</f>
        <v>0.417717</v>
      </c>
      <c r="X933" s="57">
        <f>(30*0.1790888*245000/1000000)+(30*0.2374*100000/1000000)</f>
        <v>2.0285026799999999</v>
      </c>
      <c r="Y933" s="57"/>
      <c r="Z933" s="10"/>
      <c r="AA933" s="56"/>
      <c r="AB933" s="50">
        <f>(B933*194.205+C933*267.466+D933*133.845+E933*53.484+F933*40+G933*185+H933*0+I933*100+J933*300)/(194.205+267.466+133.845+53.484+0+40+185+100+300)</f>
        <v>76.023729216012555</v>
      </c>
      <c r="AC933" s="45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75.337826618705037</v>
      </c>
    </row>
    <row r="934" spans="1:29" ht="15.75" x14ac:dyDescent="0.25">
      <c r="A934" s="13">
        <v>69337</v>
      </c>
      <c r="B934" s="10">
        <f>CHOOSE(CONTROL!$C$42, 74.454, 74.454) * CHOOSE(CONTROL!$C$21, $C$9, 100%, $E$9)</f>
        <v>74.453999999999994</v>
      </c>
      <c r="C934" s="10">
        <f>CHOOSE(CONTROL!$C$42, 74.4592, 74.4592) * CHOOSE(CONTROL!$C$21, $C$9, 100%, $E$9)</f>
        <v>74.459199999999996</v>
      </c>
      <c r="D934" s="10">
        <f>CHOOSE(CONTROL!$C$42, 74.6669, 74.6669) * CHOOSE(CONTROL!$C$21, $C$9, 100%, $E$9)</f>
        <v>74.666899999999998</v>
      </c>
      <c r="E934" s="10">
        <f>CHOOSE(CONTROL!$C$42, 74.6957, 74.6957) * CHOOSE(CONTROL!$C$21, $C$9, 100%, $E$9)</f>
        <v>74.695700000000002</v>
      </c>
      <c r="F934" s="10">
        <f>CHOOSE(CONTROL!$C$42, 74.4327, 74.4327)*CHOOSE(CONTROL!$C$21, $C$9, 100%, $E$9)</f>
        <v>74.432699999999997</v>
      </c>
      <c r="G934" s="10">
        <f>CHOOSE(CONTROL!$C$42, 74.4477, 74.4477)*CHOOSE(CONTROL!$C$21, $C$9, 100%, $E$9)</f>
        <v>74.447699999999998</v>
      </c>
      <c r="H934" s="10">
        <f>CHOOSE(CONTROL!$C$42, 74.6862, 74.6862) * CHOOSE(CONTROL!$C$21, $C$9, 100%, $E$9)</f>
        <v>74.686199999999999</v>
      </c>
      <c r="I934" s="10">
        <f>CHOOSE(CONTROL!$C$42, 74.4558, 74.4558)* CHOOSE(CONTROL!$C$21, $C$9, 100%, $E$9)</f>
        <v>74.455799999999996</v>
      </c>
      <c r="J934" s="10">
        <f>CHOOSE(CONTROL!$C$42, 74.4257, 74.4257)* CHOOSE(CONTROL!$C$21, $C$9, 100%, $E$9)</f>
        <v>74.425700000000006</v>
      </c>
      <c r="K934" s="53">
        <f>CHOOSE(CONTROL!$C$42, 74.4519, 74.4519) * CHOOSE(CONTROL!$C$21, $C$9, 100%, $E$9)</f>
        <v>74.451899999999995</v>
      </c>
      <c r="L934" s="10">
        <f>CHOOSE(CONTROL!$C$42, 75.2732, 75.2732) * CHOOSE(CONTROL!$C$21, $C$9, 100%, $E$9)</f>
        <v>75.273200000000003</v>
      </c>
      <c r="M934" s="10">
        <f>CHOOSE(CONTROL!$C$42, 73.6885, 73.6885) * CHOOSE(CONTROL!$C$21, $C$9, 100%, $E$9)</f>
        <v>73.688500000000005</v>
      </c>
      <c r="N934" s="10">
        <f>CHOOSE(CONTROL!$C$42, 73.7033, 73.7033) * CHOOSE(CONTROL!$C$21, $C$9, 100%, $E$9)</f>
        <v>73.703299999999999</v>
      </c>
      <c r="O934" s="10">
        <f>CHOOSE(CONTROL!$C$42, 73.9463, 73.9463) * CHOOSE(CONTROL!$C$21, $C$9, 100%, $E$9)</f>
        <v>73.946299999999994</v>
      </c>
      <c r="P934" s="10">
        <f>CHOOSE(CONTROL!$C$42, 73.7183, 73.7183) * CHOOSE(CONTROL!$C$21, $C$9, 100%, $E$9)</f>
        <v>73.718299999999999</v>
      </c>
      <c r="Q934" s="10">
        <f>CHOOSE(CONTROL!$C$42, 74.5416, 74.5416) * CHOOSE(CONTROL!$C$21, $C$9, 100%, $E$9)</f>
        <v>74.541600000000003</v>
      </c>
      <c r="R934" s="10">
        <f>CHOOSE(CONTROL!$C$42, 75.315, 75.315) * CHOOSE(CONTROL!$C$21, $C$9, 100%, $E$9)</f>
        <v>75.314999999999998</v>
      </c>
      <c r="S934" s="10">
        <f>CHOOSE(CONTROL!$C$42, 72.2998, 72.2998) * CHOOSE(CONTROL!$C$21, $C$9, 100%, $E$9)</f>
        <v>72.299800000000005</v>
      </c>
      <c r="T9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57">
        <f>(1000*CHOOSE(CONTROL!$C$42, 695, 695)*CHOOSE(CONTROL!$C$42, 0.5599, 0.5599)*CHOOSE(CONTROL!$C$42, 31, 31))/1000000</f>
        <v>12.063045499999998</v>
      </c>
      <c r="V934" s="57">
        <f>(1000*CHOOSE(CONTROL!$C$42, 500, 500)*CHOOSE(CONTROL!$C$42, 0.275, 0.275)*CHOOSE(CONTROL!$C$42, 31, 31))/1000000</f>
        <v>4.2625000000000002</v>
      </c>
      <c r="W934" s="57">
        <f>(1000*CHOOSE(CONTROL!$C$42, 0.1146, 0.1146)*CHOOSE(CONTROL!$C$42, 121.5, 121.5)*CHOOSE(CONTROL!$C$42, 31, 31))/1000000</f>
        <v>0.43164089999999994</v>
      </c>
      <c r="X934" s="57">
        <f>(31*0.1790888*245000/1000000)+(31*0.2374*100000/1000000)</f>
        <v>2.0961194359999999</v>
      </c>
      <c r="Y934" s="57"/>
      <c r="Z934" s="10"/>
      <c r="AA934" s="56"/>
      <c r="AB934" s="50">
        <f>(B934*131.881+C934*277.167+D934*79.08+E934*125.872+F934*40+G934*185+H934*0+I934*100+J934*300)/(131.881+277.167+79.08+125.872+0+40+185+100+300)</f>
        <v>74.484971075706213</v>
      </c>
      <c r="AC934" s="45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73.810484172661873</v>
      </c>
    </row>
    <row r="935" spans="1:29" ht="15.75" x14ac:dyDescent="0.25">
      <c r="A935" s="13">
        <v>69367</v>
      </c>
      <c r="B935" s="10">
        <f>CHOOSE(CONTROL!$C$42, 76.415, 76.415) * CHOOSE(CONTROL!$C$21, $C$9, 100%, $E$9)</f>
        <v>76.415000000000006</v>
      </c>
      <c r="C935" s="10">
        <f>CHOOSE(CONTROL!$C$42, 76.4199, 76.4199) * CHOOSE(CONTROL!$C$21, $C$9, 100%, $E$9)</f>
        <v>76.419899999999998</v>
      </c>
      <c r="D935" s="10">
        <f>CHOOSE(CONTROL!$C$42, 76.4804, 76.4804) * CHOOSE(CONTROL!$C$21, $C$9, 100%, $E$9)</f>
        <v>76.480400000000003</v>
      </c>
      <c r="E935" s="10">
        <f>CHOOSE(CONTROL!$C$42, 76.5142, 76.5142) * CHOOSE(CONTROL!$C$21, $C$9, 100%, $E$9)</f>
        <v>76.514200000000002</v>
      </c>
      <c r="F935" s="10">
        <f>CHOOSE(CONTROL!$C$42, 76.4106, 76.4106)*CHOOSE(CONTROL!$C$21, $C$9, 100%, $E$9)</f>
        <v>76.410600000000002</v>
      </c>
      <c r="G935" s="10">
        <f>CHOOSE(CONTROL!$C$42, 76.4258, 76.4258)*CHOOSE(CONTROL!$C$21, $C$9, 100%, $E$9)</f>
        <v>76.425799999999995</v>
      </c>
      <c r="H935" s="10">
        <f>CHOOSE(CONTROL!$C$42, 76.5034, 76.5034) * CHOOSE(CONTROL!$C$21, $C$9, 100%, $E$9)</f>
        <v>76.503399999999999</v>
      </c>
      <c r="I935" s="10">
        <f>CHOOSE(CONTROL!$C$42, 76.4275, 76.4275)* CHOOSE(CONTROL!$C$21, $C$9, 100%, $E$9)</f>
        <v>76.427499999999995</v>
      </c>
      <c r="J935" s="10">
        <f>CHOOSE(CONTROL!$C$42, 76.4036, 76.4036)* CHOOSE(CONTROL!$C$21, $C$9, 100%, $E$9)</f>
        <v>76.403599999999997</v>
      </c>
      <c r="K935" s="53">
        <f>CHOOSE(CONTROL!$C$42, 76.4236, 76.4236) * CHOOSE(CONTROL!$C$21, $C$9, 100%, $E$9)</f>
        <v>76.423599999999993</v>
      </c>
      <c r="L935" s="10">
        <f>CHOOSE(CONTROL!$C$42, 77.0904, 77.0904) * CHOOSE(CONTROL!$C$21, $C$9, 100%, $E$9)</f>
        <v>77.090400000000002</v>
      </c>
      <c r="M935" s="10">
        <f>CHOOSE(CONTROL!$C$42, 75.6464, 75.6464) * CHOOSE(CONTROL!$C$21, $C$9, 100%, $E$9)</f>
        <v>75.6464</v>
      </c>
      <c r="N935" s="10">
        <f>CHOOSE(CONTROL!$C$42, 75.6615, 75.6615) * CHOOSE(CONTROL!$C$21, $C$9, 100%, $E$9)</f>
        <v>75.661500000000004</v>
      </c>
      <c r="O935" s="10">
        <f>CHOOSE(CONTROL!$C$42, 75.7452, 75.7452) * CHOOSE(CONTROL!$C$21, $C$9, 100%, $E$9)</f>
        <v>75.745199999999997</v>
      </c>
      <c r="P935" s="10">
        <f>CHOOSE(CONTROL!$C$42, 75.6701, 75.6701) * CHOOSE(CONTROL!$C$21, $C$9, 100%, $E$9)</f>
        <v>75.670100000000005</v>
      </c>
      <c r="Q935" s="10">
        <f>CHOOSE(CONTROL!$C$42, 76.3405, 76.3405) * CHOOSE(CONTROL!$C$21, $C$9, 100%, $E$9)</f>
        <v>76.340500000000006</v>
      </c>
      <c r="R935" s="10">
        <f>CHOOSE(CONTROL!$C$42, 77.1183, 77.1183) * CHOOSE(CONTROL!$C$21, $C$9, 100%, $E$9)</f>
        <v>77.118300000000005</v>
      </c>
      <c r="S935" s="10">
        <f>CHOOSE(CONTROL!$C$42, 74.2045, 74.2045) * CHOOSE(CONTROL!$C$21, $C$9, 100%, $E$9)</f>
        <v>74.204499999999996</v>
      </c>
      <c r="T9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57">
        <f>(1000*CHOOSE(CONTROL!$C$42, 695, 695)*CHOOSE(CONTROL!$C$42, 0.5599, 0.5599)*CHOOSE(CONTROL!$C$42, 30, 30))/1000000</f>
        <v>11.673914999999997</v>
      </c>
      <c r="V935" s="57">
        <f>(1000*CHOOSE(CONTROL!$C$42, 500, 500)*CHOOSE(CONTROL!$C$42, 0.275, 0.275)*CHOOSE(CONTROL!$C$42, 30, 30))/1000000</f>
        <v>4.125</v>
      </c>
      <c r="W935" s="57">
        <f>(1000*CHOOSE(CONTROL!$C$42, 0.1146, 0.1146)*CHOOSE(CONTROL!$C$42, 121.5, 121.5)*CHOOSE(CONTROL!$C$42, 30, 30))/1000000</f>
        <v>0.417717</v>
      </c>
      <c r="X935" s="57">
        <f>(30*0.1790888*100000/1000000)+(30*0.2374*100000/1000000)</f>
        <v>1.2494664</v>
      </c>
      <c r="Y935" s="57"/>
      <c r="Z935" s="10"/>
      <c r="AA935" s="56"/>
      <c r="AB935" s="50">
        <f>(B935*122.58+C935*297.941+D935*89.177+E935*40.302+F935*40+G935*160+H935*0+I935*100+J935*300)/(122.58+297.941+89.177+40.302+0+40+160+100+300)</f>
        <v>76.424280039217393</v>
      </c>
      <c r="AC935" s="45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75.695458992805754</v>
      </c>
    </row>
    <row r="936" spans="1:29" ht="15.75" x14ac:dyDescent="0.25">
      <c r="A936" s="13">
        <v>69398</v>
      </c>
      <c r="B936" s="10">
        <f>CHOOSE(CONTROL!$C$42, 81.6247, 81.6247) * CHOOSE(CONTROL!$C$21, $C$9, 100%, $E$9)</f>
        <v>81.624700000000004</v>
      </c>
      <c r="C936" s="10">
        <f>CHOOSE(CONTROL!$C$42, 81.6297, 81.6297) * CHOOSE(CONTROL!$C$21, $C$9, 100%, $E$9)</f>
        <v>81.6297</v>
      </c>
      <c r="D936" s="10">
        <f>CHOOSE(CONTROL!$C$42, 81.6902, 81.6902) * CHOOSE(CONTROL!$C$21, $C$9, 100%, $E$9)</f>
        <v>81.690200000000004</v>
      </c>
      <c r="E936" s="10">
        <f>CHOOSE(CONTROL!$C$42, 81.724, 81.724) * CHOOSE(CONTROL!$C$21, $C$9, 100%, $E$9)</f>
        <v>81.724000000000004</v>
      </c>
      <c r="F936" s="10">
        <f>CHOOSE(CONTROL!$C$42, 81.6222, 81.6222)*CHOOSE(CONTROL!$C$21, $C$9, 100%, $E$9)</f>
        <v>81.622200000000007</v>
      </c>
      <c r="G936" s="10">
        <f>CHOOSE(CONTROL!$C$42, 81.6379, 81.6379)*CHOOSE(CONTROL!$C$21, $C$9, 100%, $E$9)</f>
        <v>81.637900000000002</v>
      </c>
      <c r="H936" s="10">
        <f>CHOOSE(CONTROL!$C$42, 81.7131, 81.7131) * CHOOSE(CONTROL!$C$21, $C$9, 100%, $E$9)</f>
        <v>81.713099999999997</v>
      </c>
      <c r="I936" s="10">
        <f>CHOOSE(CONTROL!$C$42, 81.6372, 81.6372)* CHOOSE(CONTROL!$C$21, $C$9, 100%, $E$9)</f>
        <v>81.637200000000007</v>
      </c>
      <c r="J936" s="10">
        <f>CHOOSE(CONTROL!$C$42, 81.6152, 81.6152)* CHOOSE(CONTROL!$C$21, $C$9, 100%, $E$9)</f>
        <v>81.615200000000002</v>
      </c>
      <c r="K936" s="53">
        <f>CHOOSE(CONTROL!$C$42, 81.6333, 81.6333) * CHOOSE(CONTROL!$C$21, $C$9, 100%, $E$9)</f>
        <v>81.633300000000006</v>
      </c>
      <c r="L936" s="10">
        <f>CHOOSE(CONTROL!$C$42, 82.3001, 82.3001) * CHOOSE(CONTROL!$C$21, $C$9, 100%, $E$9)</f>
        <v>82.3001</v>
      </c>
      <c r="M936" s="10">
        <f>CHOOSE(CONTROL!$C$42, 80.8054, 80.8054) * CHOOSE(CONTROL!$C$21, $C$9, 100%, $E$9)</f>
        <v>80.805400000000006</v>
      </c>
      <c r="N936" s="10">
        <f>CHOOSE(CONTROL!$C$42, 80.8209, 80.8209) * CHOOSE(CONTROL!$C$21, $C$9, 100%, $E$9)</f>
        <v>80.820899999999995</v>
      </c>
      <c r="O936" s="10">
        <f>CHOOSE(CONTROL!$C$42, 80.9023, 80.9023) * CHOOSE(CONTROL!$C$21, $C$9, 100%, $E$9)</f>
        <v>80.902299999999997</v>
      </c>
      <c r="P936" s="10">
        <f>CHOOSE(CONTROL!$C$42, 80.8272, 80.8272) * CHOOSE(CONTROL!$C$21, $C$9, 100%, $E$9)</f>
        <v>80.827200000000005</v>
      </c>
      <c r="Q936" s="10">
        <f>CHOOSE(CONTROL!$C$42, 81.4976, 81.4976) * CHOOSE(CONTROL!$C$21, $C$9, 100%, $E$9)</f>
        <v>81.497600000000006</v>
      </c>
      <c r="R936" s="10">
        <f>CHOOSE(CONTROL!$C$42, 82.2884, 82.2884) * CHOOSE(CONTROL!$C$21, $C$9, 100%, $E$9)</f>
        <v>82.288399999999996</v>
      </c>
      <c r="S936" s="10">
        <f>CHOOSE(CONTROL!$C$42, 79.2636, 79.2636) * CHOOSE(CONTROL!$C$21, $C$9, 100%, $E$9)</f>
        <v>79.263599999999997</v>
      </c>
      <c r="T9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57">
        <f>(1000*CHOOSE(CONTROL!$C$42, 695, 695)*CHOOSE(CONTROL!$C$42, 0.5599, 0.5599)*CHOOSE(CONTROL!$C$42, 31, 31))/1000000</f>
        <v>12.063045499999998</v>
      </c>
      <c r="V936" s="57">
        <f>(1000*CHOOSE(CONTROL!$C$42, 500, 500)*CHOOSE(CONTROL!$C$42, 0.275, 0.275)*CHOOSE(CONTROL!$C$42, 31, 31))/1000000</f>
        <v>4.2625000000000002</v>
      </c>
      <c r="W936" s="57">
        <f>(1000*CHOOSE(CONTROL!$C$42, 0.1146, 0.1146)*CHOOSE(CONTROL!$C$42, 121.5, 121.5)*CHOOSE(CONTROL!$C$42, 31, 31))/1000000</f>
        <v>0.43164089999999994</v>
      </c>
      <c r="X936" s="57">
        <f>(31*0.1790888*100000/1000000)+(31*0.2374*100000/1000000)</f>
        <v>1.2911152800000001</v>
      </c>
      <c r="Y936" s="57"/>
      <c r="Z936" s="10"/>
      <c r="AA936" s="56"/>
      <c r="AB936" s="50">
        <f>(B936*122.58+C936*297.941+D936*89.177+E936*40.302+F936*40+G936*160+H936*0+I936*100+J936*300)/(122.58+297.941+89.177+40.302+0+40+160+100+300)</f>
        <v>81.634912858347832</v>
      </c>
      <c r="AC936" s="45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80.853347482014399</v>
      </c>
    </row>
    <row r="937" spans="1:29" ht="15.75" x14ac:dyDescent="0.25">
      <c r="A937" s="13">
        <v>69429</v>
      </c>
      <c r="B937" s="10">
        <f>CHOOSE(CONTROL!$C$42, 88.3126, 88.3126) * CHOOSE(CONTROL!$C$21, $C$9, 100%, $E$9)</f>
        <v>88.312600000000003</v>
      </c>
      <c r="C937" s="10">
        <f>CHOOSE(CONTROL!$C$42, 88.3175, 88.3175) * CHOOSE(CONTROL!$C$21, $C$9, 100%, $E$9)</f>
        <v>88.317499999999995</v>
      </c>
      <c r="D937" s="10">
        <f>CHOOSE(CONTROL!$C$42, 88.3746, 88.3746) * CHOOSE(CONTROL!$C$21, $C$9, 100%, $E$9)</f>
        <v>88.374600000000001</v>
      </c>
      <c r="E937" s="10">
        <f>CHOOSE(CONTROL!$C$42, 88.4084, 88.4084) * CHOOSE(CONTROL!$C$21, $C$9, 100%, $E$9)</f>
        <v>88.4084</v>
      </c>
      <c r="F937" s="10">
        <f>CHOOSE(CONTROL!$C$42, 88.3104, 88.3104)*CHOOSE(CONTROL!$C$21, $C$9, 100%, $E$9)</f>
        <v>88.310400000000001</v>
      </c>
      <c r="G937" s="10">
        <f>CHOOSE(CONTROL!$C$42, 88.325, 88.325)*CHOOSE(CONTROL!$C$21, $C$9, 100%, $E$9)</f>
        <v>88.325000000000003</v>
      </c>
      <c r="H937" s="10">
        <f>CHOOSE(CONTROL!$C$42, 88.3976, 88.3976) * CHOOSE(CONTROL!$C$21, $C$9, 100%, $E$9)</f>
        <v>88.397599999999997</v>
      </c>
      <c r="I937" s="10">
        <f>CHOOSE(CONTROL!$C$42, 88.3234, 88.3234)* CHOOSE(CONTROL!$C$21, $C$9, 100%, $E$9)</f>
        <v>88.323400000000007</v>
      </c>
      <c r="J937" s="10">
        <f>CHOOSE(CONTROL!$C$42, 88.3034, 88.3034)* CHOOSE(CONTROL!$C$21, $C$9, 100%, $E$9)</f>
        <v>88.303399999999996</v>
      </c>
      <c r="K937" s="53">
        <f>CHOOSE(CONTROL!$C$42, 88.3195, 88.3195) * CHOOSE(CONTROL!$C$21, $C$9, 100%, $E$9)</f>
        <v>88.319500000000005</v>
      </c>
      <c r="L937" s="10">
        <f>CHOOSE(CONTROL!$C$42, 88.9846, 88.9846) * CHOOSE(CONTROL!$C$21, $C$9, 100%, $E$9)</f>
        <v>88.9846</v>
      </c>
      <c r="M937" s="10">
        <f>CHOOSE(CONTROL!$C$42, 87.4261, 87.4261) * CHOOSE(CONTROL!$C$21, $C$9, 100%, $E$9)</f>
        <v>87.426100000000005</v>
      </c>
      <c r="N937" s="10">
        <f>CHOOSE(CONTROL!$C$42, 87.4405, 87.4405) * CHOOSE(CONTROL!$C$21, $C$9, 100%, $E$9)</f>
        <v>87.4405</v>
      </c>
      <c r="O937" s="10">
        <f>CHOOSE(CONTROL!$C$42, 87.5193, 87.5193) * CHOOSE(CONTROL!$C$21, $C$9, 100%, $E$9)</f>
        <v>87.519300000000001</v>
      </c>
      <c r="P937" s="10">
        <f>CHOOSE(CONTROL!$C$42, 87.4459, 87.4459) * CHOOSE(CONTROL!$C$21, $C$9, 100%, $E$9)</f>
        <v>87.445899999999995</v>
      </c>
      <c r="Q937" s="10">
        <f>CHOOSE(CONTROL!$C$42, 88.1146, 88.1146) * CHOOSE(CONTROL!$C$21, $C$9, 100%, $E$9)</f>
        <v>88.114599999999996</v>
      </c>
      <c r="R937" s="10">
        <f>CHOOSE(CONTROL!$C$42, 88.9219, 88.9219) * CHOOSE(CONTROL!$C$21, $C$9, 100%, $E$9)</f>
        <v>88.921899999999994</v>
      </c>
      <c r="S937" s="10">
        <f>CHOOSE(CONTROL!$C$42, 85.7582, 85.7582) * CHOOSE(CONTROL!$C$21, $C$9, 100%, $E$9)</f>
        <v>85.758200000000002</v>
      </c>
      <c r="T9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57">
        <f>(1000*CHOOSE(CONTROL!$C$42, 695, 695)*CHOOSE(CONTROL!$C$42, 0.5599, 0.5599)*CHOOSE(CONTROL!$C$42, 31, 31))/1000000</f>
        <v>12.063045499999998</v>
      </c>
      <c r="V937" s="57">
        <f>(1000*CHOOSE(CONTROL!$C$42, 500, 500)*CHOOSE(CONTROL!$C$42, 0.275, 0.275)*CHOOSE(CONTROL!$C$42, 31, 31))/1000000</f>
        <v>4.2625000000000002</v>
      </c>
      <c r="W937" s="57">
        <f>(1000*CHOOSE(CONTROL!$C$42, 0.1146, 0.1146)*CHOOSE(CONTROL!$C$42, 121.5, 121.5)*CHOOSE(CONTROL!$C$42, 31, 31))/1000000</f>
        <v>0.43164089999999994</v>
      </c>
      <c r="X937" s="57">
        <f>(31*0.1790888*100000/1000000)+(31*0.2374*100000/1000000)</f>
        <v>1.2911152800000001</v>
      </c>
      <c r="Y937" s="57"/>
      <c r="Z937" s="10"/>
      <c r="AA937" s="56"/>
      <c r="AB937" s="50">
        <f>(B937*122.58+C937*297.941+D937*89.177+E937*40.302+F937*40+G937*160+H937*0+I937*100+J937*300)/(122.58+297.941+89.177+40.302+0+40+160+100+300)</f>
        <v>88.322222449130436</v>
      </c>
      <c r="AC937" s="45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87.472019424460427</v>
      </c>
    </row>
    <row r="938" spans="1:29" ht="15.75" x14ac:dyDescent="0.25">
      <c r="A938" s="13">
        <v>69457</v>
      </c>
      <c r="B938" s="10">
        <f>CHOOSE(CONTROL!$C$42, 89.8846, 89.8846) * CHOOSE(CONTROL!$C$21, $C$9, 100%, $E$9)</f>
        <v>89.884600000000006</v>
      </c>
      <c r="C938" s="10">
        <f>CHOOSE(CONTROL!$C$42, 89.8896, 89.8896) * CHOOSE(CONTROL!$C$21, $C$9, 100%, $E$9)</f>
        <v>89.889600000000002</v>
      </c>
      <c r="D938" s="10">
        <f>CHOOSE(CONTROL!$C$42, 89.9466, 89.9466) * CHOOSE(CONTROL!$C$21, $C$9, 100%, $E$9)</f>
        <v>89.946600000000004</v>
      </c>
      <c r="E938" s="10">
        <f>CHOOSE(CONTROL!$C$42, 89.9804, 89.9804) * CHOOSE(CONTROL!$C$21, $C$9, 100%, $E$9)</f>
        <v>89.980400000000003</v>
      </c>
      <c r="F938" s="10">
        <f>CHOOSE(CONTROL!$C$42, 89.8825, 89.8825)*CHOOSE(CONTROL!$C$21, $C$9, 100%, $E$9)</f>
        <v>89.882499999999993</v>
      </c>
      <c r="G938" s="10">
        <f>CHOOSE(CONTROL!$C$42, 89.8972, 89.8972)*CHOOSE(CONTROL!$C$21, $C$9, 100%, $E$9)</f>
        <v>89.897199999999998</v>
      </c>
      <c r="H938" s="10">
        <f>CHOOSE(CONTROL!$C$42, 89.9696, 89.9696) * CHOOSE(CONTROL!$C$21, $C$9, 100%, $E$9)</f>
        <v>89.9696</v>
      </c>
      <c r="I938" s="10">
        <f>CHOOSE(CONTROL!$C$42, 89.8954, 89.8954)* CHOOSE(CONTROL!$C$21, $C$9, 100%, $E$9)</f>
        <v>89.895399999999995</v>
      </c>
      <c r="J938" s="10">
        <f>CHOOSE(CONTROL!$C$42, 89.8755, 89.8755)* CHOOSE(CONTROL!$C$21, $C$9, 100%, $E$9)</f>
        <v>89.875500000000002</v>
      </c>
      <c r="K938" s="53">
        <f>CHOOSE(CONTROL!$C$42, 89.8915, 89.8915) * CHOOSE(CONTROL!$C$21, $C$9, 100%, $E$9)</f>
        <v>89.891499999999994</v>
      </c>
      <c r="L938" s="10">
        <f>CHOOSE(CONTROL!$C$42, 90.5566, 90.5566) * CHOOSE(CONTROL!$C$21, $C$9, 100%, $E$9)</f>
        <v>90.556600000000003</v>
      </c>
      <c r="M938" s="10">
        <f>CHOOSE(CONTROL!$C$42, 88.9824, 88.9824) * CHOOSE(CONTROL!$C$21, $C$9, 100%, $E$9)</f>
        <v>88.982399999999998</v>
      </c>
      <c r="N938" s="10">
        <f>CHOOSE(CONTROL!$C$42, 88.9969, 88.9969) * CHOOSE(CONTROL!$C$21, $C$9, 100%, $E$9)</f>
        <v>88.996899999999997</v>
      </c>
      <c r="O938" s="10">
        <f>CHOOSE(CONTROL!$C$42, 89.0755, 89.0755) * CHOOSE(CONTROL!$C$21, $C$9, 100%, $E$9)</f>
        <v>89.075500000000005</v>
      </c>
      <c r="P938" s="10">
        <f>CHOOSE(CONTROL!$C$42, 89.0021, 89.0021) * CHOOSE(CONTROL!$C$21, $C$9, 100%, $E$9)</f>
        <v>89.002099999999999</v>
      </c>
      <c r="Q938" s="10">
        <f>CHOOSE(CONTROL!$C$42, 89.6708, 89.6708) * CHOOSE(CONTROL!$C$21, $C$9, 100%, $E$9)</f>
        <v>89.6708</v>
      </c>
      <c r="R938" s="10">
        <f>CHOOSE(CONTROL!$C$42, 90.482, 90.482) * CHOOSE(CONTROL!$C$21, $C$9, 100%, $E$9)</f>
        <v>90.481999999999999</v>
      </c>
      <c r="S938" s="10">
        <f>CHOOSE(CONTROL!$C$42, 87.2848, 87.2848) * CHOOSE(CONTROL!$C$21, $C$9, 100%, $E$9)</f>
        <v>87.284800000000004</v>
      </c>
      <c r="T9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57">
        <f>(1000*CHOOSE(CONTROL!$C$42, 695, 695)*CHOOSE(CONTROL!$C$42, 0.5599, 0.5599)*CHOOSE(CONTROL!$C$42, 28, 28))/1000000</f>
        <v>10.895653999999999</v>
      </c>
      <c r="V938" s="57">
        <f>(1000*CHOOSE(CONTROL!$C$42, 500, 500)*CHOOSE(CONTROL!$C$42, 0.275, 0.275)*CHOOSE(CONTROL!$C$42, 28, 28))/1000000</f>
        <v>3.85</v>
      </c>
      <c r="W938" s="57">
        <f>(1000*CHOOSE(CONTROL!$C$42, 0.1146, 0.1146)*CHOOSE(CONTROL!$C$42, 121.5, 121.5)*CHOOSE(CONTROL!$C$42, 28, 28))/1000000</f>
        <v>0.38986920000000003</v>
      </c>
      <c r="X938" s="57">
        <f>(28*0.1790888*100000/1000000)+(28*0.2374*100000/1000000)</f>
        <v>1.16616864</v>
      </c>
      <c r="Y938" s="57"/>
      <c r="Z938" s="10"/>
      <c r="AA938" s="56"/>
      <c r="AB938" s="50">
        <f>(B938*122.58+C938*297.941+D938*89.177+E938*40.302+F938*40+G938*160+H938*0+I938*100+J938*300)/(122.58+297.941+89.177+40.302+0+40+160+100+300)</f>
        <v>89.894305748347819</v>
      </c>
      <c r="AC938" s="45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89.0282654676259</v>
      </c>
    </row>
    <row r="939" spans="1:29" ht="15.75" x14ac:dyDescent="0.25">
      <c r="A939" s="13">
        <v>69488</v>
      </c>
      <c r="B939" s="10">
        <f>CHOOSE(CONTROL!$C$42, 87.3328, 87.3328) * CHOOSE(CONTROL!$C$21, $C$9, 100%, $E$9)</f>
        <v>87.332800000000006</v>
      </c>
      <c r="C939" s="10">
        <f>CHOOSE(CONTROL!$C$42, 87.3378, 87.3378) * CHOOSE(CONTROL!$C$21, $C$9, 100%, $E$9)</f>
        <v>87.337800000000001</v>
      </c>
      <c r="D939" s="10">
        <f>CHOOSE(CONTROL!$C$42, 87.3948, 87.3948) * CHOOSE(CONTROL!$C$21, $C$9, 100%, $E$9)</f>
        <v>87.394800000000004</v>
      </c>
      <c r="E939" s="10">
        <f>CHOOSE(CONTROL!$C$42, 87.4286, 87.4286) * CHOOSE(CONTROL!$C$21, $C$9, 100%, $E$9)</f>
        <v>87.428600000000003</v>
      </c>
      <c r="F939" s="10">
        <f>CHOOSE(CONTROL!$C$42, 87.3306, 87.3306)*CHOOSE(CONTROL!$C$21, $C$9, 100%, $E$9)</f>
        <v>87.330600000000004</v>
      </c>
      <c r="G939" s="10">
        <f>CHOOSE(CONTROL!$C$42, 87.3452, 87.3452)*CHOOSE(CONTROL!$C$21, $C$9, 100%, $E$9)</f>
        <v>87.345200000000006</v>
      </c>
      <c r="H939" s="10">
        <f>CHOOSE(CONTROL!$C$42, 87.4178, 87.4178) * CHOOSE(CONTROL!$C$21, $C$9, 100%, $E$9)</f>
        <v>87.4178</v>
      </c>
      <c r="I939" s="10">
        <f>CHOOSE(CONTROL!$C$42, 87.3436, 87.3436)* CHOOSE(CONTROL!$C$21, $C$9, 100%, $E$9)</f>
        <v>87.343599999999995</v>
      </c>
      <c r="J939" s="10">
        <f>CHOOSE(CONTROL!$C$42, 87.3236, 87.3236)* CHOOSE(CONTROL!$C$21, $C$9, 100%, $E$9)</f>
        <v>87.323599999999999</v>
      </c>
      <c r="K939" s="53">
        <f>CHOOSE(CONTROL!$C$42, 87.3397, 87.3397) * CHOOSE(CONTROL!$C$21, $C$9, 100%, $E$9)</f>
        <v>87.339699999999993</v>
      </c>
      <c r="L939" s="10">
        <f>CHOOSE(CONTROL!$C$42, 88.0048, 88.0048) * CHOOSE(CONTROL!$C$21, $C$9, 100%, $E$9)</f>
        <v>88.004800000000003</v>
      </c>
      <c r="M939" s="10">
        <f>CHOOSE(CONTROL!$C$42, 86.4562, 86.4562) * CHOOSE(CONTROL!$C$21, $C$9, 100%, $E$9)</f>
        <v>86.456199999999995</v>
      </c>
      <c r="N939" s="10">
        <f>CHOOSE(CONTROL!$C$42, 86.4707, 86.4707) * CHOOSE(CONTROL!$C$21, $C$9, 100%, $E$9)</f>
        <v>86.470699999999994</v>
      </c>
      <c r="O939" s="10">
        <f>CHOOSE(CONTROL!$C$42, 86.5494, 86.5494) * CHOOSE(CONTROL!$C$21, $C$9, 100%, $E$9)</f>
        <v>86.549400000000006</v>
      </c>
      <c r="P939" s="10">
        <f>CHOOSE(CONTROL!$C$42, 86.476, 86.476) * CHOOSE(CONTROL!$C$21, $C$9, 100%, $E$9)</f>
        <v>86.475999999999999</v>
      </c>
      <c r="Q939" s="10">
        <f>CHOOSE(CONTROL!$C$42, 87.1447, 87.1447) * CHOOSE(CONTROL!$C$21, $C$9, 100%, $E$9)</f>
        <v>87.1447</v>
      </c>
      <c r="R939" s="10">
        <f>CHOOSE(CONTROL!$C$42, 87.9496, 87.9496) * CHOOSE(CONTROL!$C$21, $C$9, 100%, $E$9)</f>
        <v>87.949600000000004</v>
      </c>
      <c r="S939" s="10">
        <f>CHOOSE(CONTROL!$C$42, 84.8067, 84.8067) * CHOOSE(CONTROL!$C$21, $C$9, 100%, $E$9)</f>
        <v>84.806700000000006</v>
      </c>
      <c r="T9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57">
        <f>(1000*CHOOSE(CONTROL!$C$42, 695, 695)*CHOOSE(CONTROL!$C$42, 0.5599, 0.5599)*CHOOSE(CONTROL!$C$42, 31, 31))/1000000</f>
        <v>12.063045499999998</v>
      </c>
      <c r="V939" s="57">
        <f>(1000*CHOOSE(CONTROL!$C$42, 500, 500)*CHOOSE(CONTROL!$C$42, 0.275, 0.275)*CHOOSE(CONTROL!$C$42, 31, 31))/1000000</f>
        <v>4.2625000000000002</v>
      </c>
      <c r="W939" s="57">
        <f>(1000*CHOOSE(CONTROL!$C$42, 0.1146, 0.1146)*CHOOSE(CONTROL!$C$42, 121.5, 121.5)*CHOOSE(CONTROL!$C$42, 31, 31))/1000000</f>
        <v>0.43164089999999994</v>
      </c>
      <c r="X939" s="57">
        <f>(31*0.1790888*100000/1000000)+(31*0.2374*100000/1000000)</f>
        <v>1.2911152800000001</v>
      </c>
      <c r="Y939" s="57"/>
      <c r="Z939" s="10"/>
      <c r="AA939" s="56"/>
      <c r="AB939" s="50">
        <f>(B939*122.58+C939*297.941+D939*89.177+E939*40.302+F939*40+G939*160+H939*0+I939*100+J939*300)/(122.58+297.941+89.177+40.302+0+40+160+100+300)</f>
        <v>87.34244835704348</v>
      </c>
      <c r="AC939" s="45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86.502125179856108</v>
      </c>
    </row>
    <row r="940" spans="1:29" ht="15.75" x14ac:dyDescent="0.25">
      <c r="A940" s="13">
        <v>69518</v>
      </c>
      <c r="B940" s="10">
        <f>CHOOSE(CONTROL!$C$42, 87.0725, 87.0725) * CHOOSE(CONTROL!$C$21, $C$9, 100%, $E$9)</f>
        <v>87.072500000000005</v>
      </c>
      <c r="C940" s="10">
        <f>CHOOSE(CONTROL!$C$42, 87.0769, 87.0769) * CHOOSE(CONTROL!$C$21, $C$9, 100%, $E$9)</f>
        <v>87.076899999999995</v>
      </c>
      <c r="D940" s="10">
        <f>CHOOSE(CONTROL!$C$42, 87.2827, 87.2827) * CHOOSE(CONTROL!$C$21, $C$9, 100%, $E$9)</f>
        <v>87.282700000000006</v>
      </c>
      <c r="E940" s="10">
        <f>CHOOSE(CONTROL!$C$42, 87.3145, 87.3145) * CHOOSE(CONTROL!$C$21, $C$9, 100%, $E$9)</f>
        <v>87.314499999999995</v>
      </c>
      <c r="F940" s="10">
        <f>CHOOSE(CONTROL!$C$42, 87.0493, 87.0493)*CHOOSE(CONTROL!$C$21, $C$9, 100%, $E$9)</f>
        <v>87.049300000000002</v>
      </c>
      <c r="G940" s="10">
        <f>CHOOSE(CONTROL!$C$42, 87.0638, 87.0638)*CHOOSE(CONTROL!$C$21, $C$9, 100%, $E$9)</f>
        <v>87.063800000000001</v>
      </c>
      <c r="H940" s="10">
        <f>CHOOSE(CONTROL!$C$42, 87.3043, 87.3043) * CHOOSE(CONTROL!$C$21, $C$9, 100%, $E$9)</f>
        <v>87.304299999999998</v>
      </c>
      <c r="I940" s="10">
        <f>CHOOSE(CONTROL!$C$42, 87.0739, 87.0739)* CHOOSE(CONTROL!$C$21, $C$9, 100%, $E$9)</f>
        <v>87.073899999999995</v>
      </c>
      <c r="J940" s="10">
        <f>CHOOSE(CONTROL!$C$42, 87.0423, 87.0423)* CHOOSE(CONTROL!$C$21, $C$9, 100%, $E$9)</f>
        <v>87.042299999999997</v>
      </c>
      <c r="K940" s="53">
        <f>CHOOSE(CONTROL!$C$42, 87.07, 87.07) * CHOOSE(CONTROL!$C$21, $C$9, 100%, $E$9)</f>
        <v>87.07</v>
      </c>
      <c r="L940" s="10">
        <f>CHOOSE(CONTROL!$C$42, 87.8913, 87.8913) * CHOOSE(CONTROL!$C$21, $C$9, 100%, $E$9)</f>
        <v>87.891300000000001</v>
      </c>
      <c r="M940" s="10">
        <f>CHOOSE(CONTROL!$C$42, 86.1777, 86.1777) * CHOOSE(CONTROL!$C$21, $C$9, 100%, $E$9)</f>
        <v>86.177700000000002</v>
      </c>
      <c r="N940" s="10">
        <f>CHOOSE(CONTROL!$C$42, 86.192, 86.192) * CHOOSE(CONTROL!$C$21, $C$9, 100%, $E$9)</f>
        <v>86.191999999999993</v>
      </c>
      <c r="O940" s="10">
        <f>CHOOSE(CONTROL!$C$42, 86.4371, 86.4371) * CHOOSE(CONTROL!$C$21, $C$9, 100%, $E$9)</f>
        <v>86.437100000000001</v>
      </c>
      <c r="P940" s="10">
        <f>CHOOSE(CONTROL!$C$42, 86.2091, 86.2091) * CHOOSE(CONTROL!$C$21, $C$9, 100%, $E$9)</f>
        <v>86.209100000000007</v>
      </c>
      <c r="Q940" s="10">
        <f>CHOOSE(CONTROL!$C$42, 87.0324, 87.0324) * CHOOSE(CONTROL!$C$21, $C$9, 100%, $E$9)</f>
        <v>87.032399999999996</v>
      </c>
      <c r="R940" s="10">
        <f>CHOOSE(CONTROL!$C$42, 87.837, 87.837) * CHOOSE(CONTROL!$C$21, $C$9, 100%, $E$9)</f>
        <v>87.837000000000003</v>
      </c>
      <c r="S940" s="10">
        <f>CHOOSE(CONTROL!$C$42, 84.5532, 84.5532) * CHOOSE(CONTROL!$C$21, $C$9, 100%, $E$9)</f>
        <v>84.553200000000004</v>
      </c>
      <c r="T9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57">
        <f>(1000*CHOOSE(CONTROL!$C$42, 695, 695)*CHOOSE(CONTROL!$C$42, 0.5599, 0.5599)*CHOOSE(CONTROL!$C$42, 30, 30))/1000000</f>
        <v>11.673914999999997</v>
      </c>
      <c r="V940" s="57">
        <f>(1000*CHOOSE(CONTROL!$C$42, 500, 500)*CHOOSE(CONTROL!$C$42, 0.275, 0.275)*CHOOSE(CONTROL!$C$42, 30, 30))/1000000</f>
        <v>4.125</v>
      </c>
      <c r="W940" s="57">
        <f>(1000*CHOOSE(CONTROL!$C$42, 0.1146, 0.1146)*CHOOSE(CONTROL!$C$42, 121.5, 121.5)*CHOOSE(CONTROL!$C$42, 30, 30))/1000000</f>
        <v>0.417717</v>
      </c>
      <c r="X940" s="57">
        <f>(30*0.1790888*245000/1000000)+(30*0.2374*100000/1000000)</f>
        <v>2.0285026799999999</v>
      </c>
      <c r="Y940" s="57"/>
      <c r="Z940" s="10"/>
      <c r="AA940" s="56"/>
      <c r="AB940" s="50">
        <f>(B940*141.293+C940*267.993+D940*115.016+E940*89.698+F940*40+G940*185+H940*0+I940*100+J940*300)/(141.293+267.993+115.016+89.698+0+40+185+100+300)</f>
        <v>87.101236842937865</v>
      </c>
      <c r="AC940" s="45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86.300610791366921</v>
      </c>
    </row>
    <row r="941" spans="1:29" ht="15.75" x14ac:dyDescent="0.25">
      <c r="A941" s="13">
        <v>69549</v>
      </c>
      <c r="B941" s="10">
        <f>CHOOSE(CONTROL!$C$42, 87.8424, 87.8424) * CHOOSE(CONTROL!$C$21, $C$9, 100%, $E$9)</f>
        <v>87.842399999999998</v>
      </c>
      <c r="C941" s="10">
        <f>CHOOSE(CONTROL!$C$42, 87.8503, 87.8503) * CHOOSE(CONTROL!$C$21, $C$9, 100%, $E$9)</f>
        <v>87.850300000000004</v>
      </c>
      <c r="D941" s="10">
        <f>CHOOSE(CONTROL!$C$42, 88.053, 88.053) * CHOOSE(CONTROL!$C$21, $C$9, 100%, $E$9)</f>
        <v>88.052999999999997</v>
      </c>
      <c r="E941" s="10">
        <f>CHOOSE(CONTROL!$C$42, 88.0841, 88.0841) * CHOOSE(CONTROL!$C$21, $C$9, 100%, $E$9)</f>
        <v>88.084100000000007</v>
      </c>
      <c r="F941" s="10">
        <f>CHOOSE(CONTROL!$C$42, 87.8181, 87.8181)*CHOOSE(CONTROL!$C$21, $C$9, 100%, $E$9)</f>
        <v>87.818100000000001</v>
      </c>
      <c r="G941" s="10">
        <f>CHOOSE(CONTROL!$C$42, 87.8331, 87.8331)*CHOOSE(CONTROL!$C$21, $C$9, 100%, $E$9)</f>
        <v>87.833100000000002</v>
      </c>
      <c r="H941" s="10">
        <f>CHOOSE(CONTROL!$C$42, 88.0728, 88.0728) * CHOOSE(CONTROL!$C$21, $C$9, 100%, $E$9)</f>
        <v>88.072800000000001</v>
      </c>
      <c r="I941" s="10">
        <f>CHOOSE(CONTROL!$C$42, 87.8424, 87.8424)* CHOOSE(CONTROL!$C$21, $C$9, 100%, $E$9)</f>
        <v>87.842399999999998</v>
      </c>
      <c r="J941" s="10">
        <f>CHOOSE(CONTROL!$C$42, 87.8111, 87.8111)* CHOOSE(CONTROL!$C$21, $C$9, 100%, $E$9)</f>
        <v>87.811099999999996</v>
      </c>
      <c r="K941" s="53">
        <f>CHOOSE(CONTROL!$C$42, 87.8385, 87.8385) * CHOOSE(CONTROL!$C$21, $C$9, 100%, $E$9)</f>
        <v>87.838499999999996</v>
      </c>
      <c r="L941" s="10">
        <f>CHOOSE(CONTROL!$C$42, 88.6598, 88.6598) * CHOOSE(CONTROL!$C$21, $C$9, 100%, $E$9)</f>
        <v>88.659800000000004</v>
      </c>
      <c r="M941" s="10">
        <f>CHOOSE(CONTROL!$C$42, 86.9387, 86.9387) * CHOOSE(CONTROL!$C$21, $C$9, 100%, $E$9)</f>
        <v>86.938699999999997</v>
      </c>
      <c r="N941" s="10">
        <f>CHOOSE(CONTROL!$C$42, 86.9536, 86.9536) * CHOOSE(CONTROL!$C$21, $C$9, 100%, $E$9)</f>
        <v>86.953599999999994</v>
      </c>
      <c r="O941" s="10">
        <f>CHOOSE(CONTROL!$C$42, 87.1978, 87.1978) * CHOOSE(CONTROL!$C$21, $C$9, 100%, $E$9)</f>
        <v>87.197800000000001</v>
      </c>
      <c r="P941" s="10">
        <f>CHOOSE(CONTROL!$C$42, 86.9698, 86.9698) * CHOOSE(CONTROL!$C$21, $C$9, 100%, $E$9)</f>
        <v>86.969800000000006</v>
      </c>
      <c r="Q941" s="10">
        <f>CHOOSE(CONTROL!$C$42, 87.7931, 87.7931) * CHOOSE(CONTROL!$C$21, $C$9, 100%, $E$9)</f>
        <v>87.793099999999995</v>
      </c>
      <c r="R941" s="10">
        <f>CHOOSE(CONTROL!$C$42, 88.5996, 88.5996) * CHOOSE(CONTROL!$C$21, $C$9, 100%, $E$9)</f>
        <v>88.599599999999995</v>
      </c>
      <c r="S941" s="10">
        <f>CHOOSE(CONTROL!$C$42, 85.2995, 85.2995) * CHOOSE(CONTROL!$C$21, $C$9, 100%, $E$9)</f>
        <v>85.299499999999995</v>
      </c>
      <c r="T9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57">
        <f>(1000*CHOOSE(CONTROL!$C$42, 695, 695)*CHOOSE(CONTROL!$C$42, 0.5599, 0.5599)*CHOOSE(CONTROL!$C$42, 31, 31))/1000000</f>
        <v>12.063045499999998</v>
      </c>
      <c r="V941" s="57">
        <f>(1000*CHOOSE(CONTROL!$C$42, 500, 500)*CHOOSE(CONTROL!$C$42, 0.275, 0.275)*CHOOSE(CONTROL!$C$42, 31, 31))/1000000</f>
        <v>4.2625000000000002</v>
      </c>
      <c r="W941" s="57">
        <f>(1000*CHOOSE(CONTROL!$C$42, 0.1146, 0.1146)*CHOOSE(CONTROL!$C$42, 121.5, 121.5)*CHOOSE(CONTROL!$C$42, 31, 31))/1000000</f>
        <v>0.43164089999999994</v>
      </c>
      <c r="X941" s="57">
        <f>(31*0.1790888*245000/1000000)+(31*0.2374*100000/1000000)</f>
        <v>2.0961194359999999</v>
      </c>
      <c r="Y941" s="57"/>
      <c r="Z941" s="10"/>
      <c r="AA941" s="56"/>
      <c r="AB941" s="50">
        <f>(B941*194.205+C941*267.466+D941*133.845+E941*53.484+F941*40+G941*185+H941*0+I941*100+J941*300)/(194.205+267.466+133.845+53.484+0+40+185+100+300)</f>
        <v>87.866846876923077</v>
      </c>
      <c r="AC941" s="45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87.061466187050371</v>
      </c>
    </row>
    <row r="942" spans="1:29" ht="15.75" x14ac:dyDescent="0.25">
      <c r="A942" s="13">
        <v>69579</v>
      </c>
      <c r="B942" s="10">
        <f>CHOOSE(CONTROL!$C$42, 90.334, 90.334) * CHOOSE(CONTROL!$C$21, $C$9, 100%, $E$9)</f>
        <v>90.334000000000003</v>
      </c>
      <c r="C942" s="10">
        <f>CHOOSE(CONTROL!$C$42, 90.3419, 90.3419) * CHOOSE(CONTROL!$C$21, $C$9, 100%, $E$9)</f>
        <v>90.341899999999995</v>
      </c>
      <c r="D942" s="10">
        <f>CHOOSE(CONTROL!$C$42, 90.5446, 90.5446) * CHOOSE(CONTROL!$C$21, $C$9, 100%, $E$9)</f>
        <v>90.544600000000003</v>
      </c>
      <c r="E942" s="10">
        <f>CHOOSE(CONTROL!$C$42, 90.5758, 90.5758) * CHOOSE(CONTROL!$C$21, $C$9, 100%, $E$9)</f>
        <v>90.575800000000001</v>
      </c>
      <c r="F942" s="10">
        <f>CHOOSE(CONTROL!$C$42, 90.3102, 90.3102)*CHOOSE(CONTROL!$C$21, $C$9, 100%, $E$9)</f>
        <v>90.310199999999995</v>
      </c>
      <c r="G942" s="10">
        <f>CHOOSE(CONTROL!$C$42, 90.3254, 90.3254)*CHOOSE(CONTROL!$C$21, $C$9, 100%, $E$9)</f>
        <v>90.325400000000002</v>
      </c>
      <c r="H942" s="10">
        <f>CHOOSE(CONTROL!$C$42, 90.5644, 90.5644) * CHOOSE(CONTROL!$C$21, $C$9, 100%, $E$9)</f>
        <v>90.564400000000006</v>
      </c>
      <c r="I942" s="10">
        <f>CHOOSE(CONTROL!$C$42, 90.334, 90.334)* CHOOSE(CONTROL!$C$21, $C$9, 100%, $E$9)</f>
        <v>90.334000000000003</v>
      </c>
      <c r="J942" s="10">
        <f>CHOOSE(CONTROL!$C$42, 90.3032, 90.3032)* CHOOSE(CONTROL!$C$21, $C$9, 100%, $E$9)</f>
        <v>90.303200000000004</v>
      </c>
      <c r="K942" s="53">
        <f>CHOOSE(CONTROL!$C$42, 90.3301, 90.3301) * CHOOSE(CONTROL!$C$21, $C$9, 100%, $E$9)</f>
        <v>90.330100000000002</v>
      </c>
      <c r="L942" s="10">
        <f>CHOOSE(CONTROL!$C$42, 91.1514, 91.1514) * CHOOSE(CONTROL!$C$21, $C$9, 100%, $E$9)</f>
        <v>91.151399999999995</v>
      </c>
      <c r="M942" s="10">
        <f>CHOOSE(CONTROL!$C$42, 89.4057, 89.4057) * CHOOSE(CONTROL!$C$21, $C$9, 100%, $E$9)</f>
        <v>89.405699999999996</v>
      </c>
      <c r="N942" s="10">
        <f>CHOOSE(CONTROL!$C$42, 89.4207, 89.4207) * CHOOSE(CONTROL!$C$21, $C$9, 100%, $E$9)</f>
        <v>89.420699999999997</v>
      </c>
      <c r="O942" s="10">
        <f>CHOOSE(CONTROL!$C$42, 89.6643, 89.6643) * CHOOSE(CONTROL!$C$21, $C$9, 100%, $E$9)</f>
        <v>89.664299999999997</v>
      </c>
      <c r="P942" s="10">
        <f>CHOOSE(CONTROL!$C$42, 89.4363, 89.4363) * CHOOSE(CONTROL!$C$21, $C$9, 100%, $E$9)</f>
        <v>89.436300000000003</v>
      </c>
      <c r="Q942" s="10">
        <f>CHOOSE(CONTROL!$C$42, 90.2596, 90.2596) * CHOOSE(CONTROL!$C$21, $C$9, 100%, $E$9)</f>
        <v>90.259600000000006</v>
      </c>
      <c r="R942" s="10">
        <f>CHOOSE(CONTROL!$C$42, 91.0722, 91.0722) * CHOOSE(CONTROL!$C$21, $C$9, 100%, $E$9)</f>
        <v>91.072199999999995</v>
      </c>
      <c r="S942" s="10">
        <f>CHOOSE(CONTROL!$C$42, 87.7191, 87.7191) * CHOOSE(CONTROL!$C$21, $C$9, 100%, $E$9)</f>
        <v>87.719099999999997</v>
      </c>
      <c r="T9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57">
        <f>(1000*CHOOSE(CONTROL!$C$42, 695, 695)*CHOOSE(CONTROL!$C$42, 0.5599, 0.5599)*CHOOSE(CONTROL!$C$42, 30, 30))/1000000</f>
        <v>11.673914999999997</v>
      </c>
      <c r="V942" s="57">
        <f>(1000*CHOOSE(CONTROL!$C$42, 500, 500)*CHOOSE(CONTROL!$C$42, 0.275, 0.275)*CHOOSE(CONTROL!$C$42, 30, 30))/1000000</f>
        <v>4.125</v>
      </c>
      <c r="W942" s="57">
        <f>(1000*CHOOSE(CONTROL!$C$42, 0.1146, 0.1146)*CHOOSE(CONTROL!$C$42, 121.5, 121.5)*CHOOSE(CONTROL!$C$42, 30, 30))/1000000</f>
        <v>0.417717</v>
      </c>
      <c r="X942" s="57">
        <f>(30*0.1790888*245000/1000000)+(30*0.2374*100000/1000000)</f>
        <v>2.0285026799999999</v>
      </c>
      <c r="Y942" s="57"/>
      <c r="Z942" s="10"/>
      <c r="AA942" s="56"/>
      <c r="AB942" s="50">
        <f>(B942*194.205+C942*267.466+D942*133.845+E942*53.484+F942*40+G942*185+H942*0+I942*100+J942*300)/(194.205+267.466+133.845+53.484+0+40+185+100+300)</f>
        <v>90.358686161381485</v>
      </c>
      <c r="AC942" s="45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89.528173381294962</v>
      </c>
    </row>
    <row r="943" spans="1:29" ht="15.75" x14ac:dyDescent="0.25">
      <c r="A943" s="13">
        <v>69610</v>
      </c>
      <c r="B943" s="10">
        <f>CHOOSE(CONTROL!$C$42, 88.601, 88.601) * CHOOSE(CONTROL!$C$21, $C$9, 100%, $E$9)</f>
        <v>88.600999999999999</v>
      </c>
      <c r="C943" s="10">
        <f>CHOOSE(CONTROL!$C$42, 88.609, 88.609) * CHOOSE(CONTROL!$C$21, $C$9, 100%, $E$9)</f>
        <v>88.608999999999995</v>
      </c>
      <c r="D943" s="10">
        <f>CHOOSE(CONTROL!$C$42, 88.8117, 88.8117) * CHOOSE(CONTROL!$C$21, $C$9, 100%, $E$9)</f>
        <v>88.811700000000002</v>
      </c>
      <c r="E943" s="10">
        <f>CHOOSE(CONTROL!$C$42, 88.8428, 88.8428) * CHOOSE(CONTROL!$C$21, $C$9, 100%, $E$9)</f>
        <v>88.842799999999997</v>
      </c>
      <c r="F943" s="10">
        <f>CHOOSE(CONTROL!$C$42, 88.5778, 88.5778)*CHOOSE(CONTROL!$C$21, $C$9, 100%, $E$9)</f>
        <v>88.577799999999996</v>
      </c>
      <c r="G943" s="10">
        <f>CHOOSE(CONTROL!$C$42, 88.5931, 88.5931)*CHOOSE(CONTROL!$C$21, $C$9, 100%, $E$9)</f>
        <v>88.593100000000007</v>
      </c>
      <c r="H943" s="10">
        <f>CHOOSE(CONTROL!$C$42, 88.8315, 88.8315) * CHOOSE(CONTROL!$C$21, $C$9, 100%, $E$9)</f>
        <v>88.831500000000005</v>
      </c>
      <c r="I943" s="10">
        <f>CHOOSE(CONTROL!$C$42, 88.6011, 88.6011)* CHOOSE(CONTROL!$C$21, $C$9, 100%, $E$9)</f>
        <v>88.601100000000002</v>
      </c>
      <c r="J943" s="10">
        <f>CHOOSE(CONTROL!$C$42, 88.5708, 88.5708)* CHOOSE(CONTROL!$C$21, $C$9, 100%, $E$9)</f>
        <v>88.570800000000006</v>
      </c>
      <c r="K943" s="53">
        <f>CHOOSE(CONTROL!$C$42, 88.5972, 88.5972) * CHOOSE(CONTROL!$C$21, $C$9, 100%, $E$9)</f>
        <v>88.597200000000001</v>
      </c>
      <c r="L943" s="10">
        <f>CHOOSE(CONTROL!$C$42, 89.4185, 89.4185) * CHOOSE(CONTROL!$C$21, $C$9, 100%, $E$9)</f>
        <v>89.418499999999995</v>
      </c>
      <c r="M943" s="10">
        <f>CHOOSE(CONTROL!$C$42, 87.6908, 87.6908) * CHOOSE(CONTROL!$C$21, $C$9, 100%, $E$9)</f>
        <v>87.690799999999996</v>
      </c>
      <c r="N943" s="10">
        <f>CHOOSE(CONTROL!$C$42, 87.7059, 87.7059) * CHOOSE(CONTROL!$C$21, $C$9, 100%, $E$9)</f>
        <v>87.7059</v>
      </c>
      <c r="O943" s="10">
        <f>CHOOSE(CONTROL!$C$42, 87.9488, 87.9488) * CHOOSE(CONTROL!$C$21, $C$9, 100%, $E$9)</f>
        <v>87.948800000000006</v>
      </c>
      <c r="P943" s="10">
        <f>CHOOSE(CONTROL!$C$42, 87.7208, 87.7208) * CHOOSE(CONTROL!$C$21, $C$9, 100%, $E$9)</f>
        <v>87.720799999999997</v>
      </c>
      <c r="Q943" s="10">
        <f>CHOOSE(CONTROL!$C$42, 88.5441, 88.5441) * CHOOSE(CONTROL!$C$21, $C$9, 100%, $E$9)</f>
        <v>88.5441</v>
      </c>
      <c r="R943" s="10">
        <f>CHOOSE(CONTROL!$C$42, 89.3525, 89.3525) * CHOOSE(CONTROL!$C$21, $C$9, 100%, $E$9)</f>
        <v>89.352500000000006</v>
      </c>
      <c r="S943" s="10">
        <f>CHOOSE(CONTROL!$C$42, 86.0362, 86.0362) * CHOOSE(CONTROL!$C$21, $C$9, 100%, $E$9)</f>
        <v>86.036199999999994</v>
      </c>
      <c r="T9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57">
        <f>(1000*CHOOSE(CONTROL!$C$42, 695, 695)*CHOOSE(CONTROL!$C$42, 0.5599, 0.5599)*CHOOSE(CONTROL!$C$42, 31, 31))/1000000</f>
        <v>12.063045499999998</v>
      </c>
      <c r="V943" s="57">
        <f>(1000*CHOOSE(CONTROL!$C$42, 500, 500)*CHOOSE(CONTROL!$C$42, 0.275, 0.275)*CHOOSE(CONTROL!$C$42, 31, 31))/1000000</f>
        <v>4.2625000000000002</v>
      </c>
      <c r="W943" s="57">
        <f>(1000*CHOOSE(CONTROL!$C$42, 0.1146, 0.1146)*CHOOSE(CONTROL!$C$42, 121.5, 121.5)*CHOOSE(CONTROL!$C$42, 31, 31))/1000000</f>
        <v>0.43164089999999994</v>
      </c>
      <c r="X943" s="57">
        <f>(31*0.1790888*245000/1000000)+(31*0.2374*100000/1000000)</f>
        <v>2.0961194359999999</v>
      </c>
      <c r="Y943" s="57"/>
      <c r="Z943" s="10"/>
      <c r="AA943" s="56"/>
      <c r="AB943" s="50">
        <f>(B943*194.205+C943*267.466+D943*133.845+E943*53.484+F943*40+G943*185+H943*0+I943*100+J943*300)/(194.205+267.466+133.845+53.484+0+40+185+100+300)</f>
        <v>88.625987284693878</v>
      </c>
      <c r="AC943" s="45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87.812920863309358</v>
      </c>
    </row>
    <row r="944" spans="1:29" ht="15.75" x14ac:dyDescent="0.25">
      <c r="A944" s="13">
        <v>69641</v>
      </c>
      <c r="B944" s="10">
        <f>CHOOSE(CONTROL!$C$42, 84.2248, 84.2248) * CHOOSE(CONTROL!$C$21, $C$9, 100%, $E$9)</f>
        <v>84.224800000000002</v>
      </c>
      <c r="C944" s="10">
        <f>CHOOSE(CONTROL!$C$42, 84.2328, 84.2328) * CHOOSE(CONTROL!$C$21, $C$9, 100%, $E$9)</f>
        <v>84.232799999999997</v>
      </c>
      <c r="D944" s="10">
        <f>CHOOSE(CONTROL!$C$42, 84.4355, 84.4355) * CHOOSE(CONTROL!$C$21, $C$9, 100%, $E$9)</f>
        <v>84.435500000000005</v>
      </c>
      <c r="E944" s="10">
        <f>CHOOSE(CONTROL!$C$42, 84.4666, 84.4666) * CHOOSE(CONTROL!$C$21, $C$9, 100%, $E$9)</f>
        <v>84.4666</v>
      </c>
      <c r="F944" s="10">
        <f>CHOOSE(CONTROL!$C$42, 84.2018, 84.2018)*CHOOSE(CONTROL!$C$21, $C$9, 100%, $E$9)</f>
        <v>84.201800000000006</v>
      </c>
      <c r="G944" s="10">
        <f>CHOOSE(CONTROL!$C$42, 84.2171, 84.2171)*CHOOSE(CONTROL!$C$21, $C$9, 100%, $E$9)</f>
        <v>84.217100000000002</v>
      </c>
      <c r="H944" s="10">
        <f>CHOOSE(CONTROL!$C$42, 84.4553, 84.4553) * CHOOSE(CONTROL!$C$21, $C$9, 100%, $E$9)</f>
        <v>84.455299999999994</v>
      </c>
      <c r="I944" s="10">
        <f>CHOOSE(CONTROL!$C$42, 84.2249, 84.2249)* CHOOSE(CONTROL!$C$21, $C$9, 100%, $E$9)</f>
        <v>84.224900000000005</v>
      </c>
      <c r="J944" s="10">
        <f>CHOOSE(CONTROL!$C$42, 84.1948, 84.1948)* CHOOSE(CONTROL!$C$21, $C$9, 100%, $E$9)</f>
        <v>84.194800000000001</v>
      </c>
      <c r="K944" s="53">
        <f>CHOOSE(CONTROL!$C$42, 84.221, 84.221) * CHOOSE(CONTROL!$C$21, $C$9, 100%, $E$9)</f>
        <v>84.221000000000004</v>
      </c>
      <c r="L944" s="10">
        <f>CHOOSE(CONTROL!$C$42, 85.0423, 85.0423) * CHOOSE(CONTROL!$C$21, $C$9, 100%, $E$9)</f>
        <v>85.042299999999997</v>
      </c>
      <c r="M944" s="10">
        <f>CHOOSE(CONTROL!$C$42, 83.3589, 83.3589) * CHOOSE(CONTROL!$C$21, $C$9, 100%, $E$9)</f>
        <v>83.358900000000006</v>
      </c>
      <c r="N944" s="10">
        <f>CHOOSE(CONTROL!$C$42, 83.3741, 83.3741) * CHOOSE(CONTROL!$C$21, $C$9, 100%, $E$9)</f>
        <v>83.374099999999999</v>
      </c>
      <c r="O944" s="10">
        <f>CHOOSE(CONTROL!$C$42, 83.6168, 83.6168) * CHOOSE(CONTROL!$C$21, $C$9, 100%, $E$9)</f>
        <v>83.616799999999998</v>
      </c>
      <c r="P944" s="10">
        <f>CHOOSE(CONTROL!$C$42, 83.3888, 83.3888) * CHOOSE(CONTROL!$C$21, $C$9, 100%, $E$9)</f>
        <v>83.388800000000003</v>
      </c>
      <c r="Q944" s="10">
        <f>CHOOSE(CONTROL!$C$42, 84.2121, 84.2121) * CHOOSE(CONTROL!$C$21, $C$9, 100%, $E$9)</f>
        <v>84.212100000000007</v>
      </c>
      <c r="R944" s="10">
        <f>CHOOSE(CONTROL!$C$42, 85.0096, 85.0096) * CHOOSE(CONTROL!$C$21, $C$9, 100%, $E$9)</f>
        <v>85.009600000000006</v>
      </c>
      <c r="S944" s="10">
        <f>CHOOSE(CONTROL!$C$42, 81.7865, 81.7865) * CHOOSE(CONTROL!$C$21, $C$9, 100%, $E$9)</f>
        <v>81.786500000000004</v>
      </c>
      <c r="T9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57">
        <f>(1000*CHOOSE(CONTROL!$C$42, 695, 695)*CHOOSE(CONTROL!$C$42, 0.5599, 0.5599)*CHOOSE(CONTROL!$C$42, 31, 31))/1000000</f>
        <v>12.063045499999998</v>
      </c>
      <c r="V944" s="57">
        <f>(1000*CHOOSE(CONTROL!$C$42, 500, 500)*CHOOSE(CONTROL!$C$42, 0.275, 0.275)*CHOOSE(CONTROL!$C$42, 31, 31))/1000000</f>
        <v>4.2625000000000002</v>
      </c>
      <c r="W944" s="57">
        <f>(1000*CHOOSE(CONTROL!$C$42, 0.1146, 0.1146)*CHOOSE(CONTROL!$C$42, 121.5, 121.5)*CHOOSE(CONTROL!$C$42, 31, 31))/1000000</f>
        <v>0.43164089999999994</v>
      </c>
      <c r="X944" s="57">
        <f>(31*0.1790888*245000/1000000)+(31*0.2374*100000/1000000)</f>
        <v>2.0961194359999999</v>
      </c>
      <c r="Y944" s="57"/>
      <c r="Z944" s="10"/>
      <c r="AA944" s="56"/>
      <c r="AB944" s="50">
        <f>(B944*194.205+C944*267.466+D944*133.845+E944*53.484+F944*40+G944*185+H944*0+I944*100+J944*300)/(194.205+267.466+133.845+53.484+0+40+185+100+300)</f>
        <v>84.2498697022763</v>
      </c>
      <c r="AC944" s="45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83.480966906474819</v>
      </c>
    </row>
    <row r="945" spans="1:29" ht="15.75" x14ac:dyDescent="0.25">
      <c r="A945" s="13">
        <v>69671</v>
      </c>
      <c r="B945" s="10">
        <f>CHOOSE(CONTROL!$C$42, 78.8775, 78.8775) * CHOOSE(CONTROL!$C$21, $C$9, 100%, $E$9)</f>
        <v>78.877499999999998</v>
      </c>
      <c r="C945" s="10">
        <f>CHOOSE(CONTROL!$C$42, 78.8855, 78.8855) * CHOOSE(CONTROL!$C$21, $C$9, 100%, $E$9)</f>
        <v>78.885499999999993</v>
      </c>
      <c r="D945" s="10">
        <f>CHOOSE(CONTROL!$C$42, 79.0882, 79.0882) * CHOOSE(CONTROL!$C$21, $C$9, 100%, $E$9)</f>
        <v>79.088200000000001</v>
      </c>
      <c r="E945" s="10">
        <f>CHOOSE(CONTROL!$C$42, 79.1193, 79.1193) * CHOOSE(CONTROL!$C$21, $C$9, 100%, $E$9)</f>
        <v>79.119299999999996</v>
      </c>
      <c r="F945" s="10">
        <f>CHOOSE(CONTROL!$C$42, 78.8543, 78.8543)*CHOOSE(CONTROL!$C$21, $C$9, 100%, $E$9)</f>
        <v>78.854299999999995</v>
      </c>
      <c r="G945" s="10">
        <f>CHOOSE(CONTROL!$C$42, 78.8696, 78.8696)*CHOOSE(CONTROL!$C$21, $C$9, 100%, $E$9)</f>
        <v>78.869600000000005</v>
      </c>
      <c r="H945" s="10">
        <f>CHOOSE(CONTROL!$C$42, 79.108, 79.108) * CHOOSE(CONTROL!$C$21, $C$9, 100%, $E$9)</f>
        <v>79.108000000000004</v>
      </c>
      <c r="I945" s="10">
        <f>CHOOSE(CONTROL!$C$42, 78.8776, 78.8776)* CHOOSE(CONTROL!$C$21, $C$9, 100%, $E$9)</f>
        <v>78.877600000000001</v>
      </c>
      <c r="J945" s="10">
        <f>CHOOSE(CONTROL!$C$42, 78.8473, 78.8473)* CHOOSE(CONTROL!$C$21, $C$9, 100%, $E$9)</f>
        <v>78.847300000000004</v>
      </c>
      <c r="K945" s="53">
        <f>CHOOSE(CONTROL!$C$42, 78.8737, 78.8737) * CHOOSE(CONTROL!$C$21, $C$9, 100%, $E$9)</f>
        <v>78.873699999999999</v>
      </c>
      <c r="L945" s="10">
        <f>CHOOSE(CONTROL!$C$42, 79.695, 79.695) * CHOOSE(CONTROL!$C$21, $C$9, 100%, $E$9)</f>
        <v>79.694999999999993</v>
      </c>
      <c r="M945" s="10">
        <f>CHOOSE(CONTROL!$C$42, 78.0655, 78.0655) * CHOOSE(CONTROL!$C$21, $C$9, 100%, $E$9)</f>
        <v>78.0655</v>
      </c>
      <c r="N945" s="10">
        <f>CHOOSE(CONTROL!$C$42, 78.0806, 78.0806) * CHOOSE(CONTROL!$C$21, $C$9, 100%, $E$9)</f>
        <v>78.080600000000004</v>
      </c>
      <c r="O945" s="10">
        <f>CHOOSE(CONTROL!$C$42, 78.3234, 78.3234) * CHOOSE(CONTROL!$C$21, $C$9, 100%, $E$9)</f>
        <v>78.323400000000007</v>
      </c>
      <c r="P945" s="10">
        <f>CHOOSE(CONTROL!$C$42, 78.0954, 78.0954) * CHOOSE(CONTROL!$C$21, $C$9, 100%, $E$9)</f>
        <v>78.095399999999998</v>
      </c>
      <c r="Q945" s="10">
        <f>CHOOSE(CONTROL!$C$42, 78.9187, 78.9187) * CHOOSE(CONTROL!$C$21, $C$9, 100%, $E$9)</f>
        <v>78.918700000000001</v>
      </c>
      <c r="R945" s="10">
        <f>CHOOSE(CONTROL!$C$42, 79.703, 79.703) * CHOOSE(CONTROL!$C$21, $C$9, 100%, $E$9)</f>
        <v>79.703000000000003</v>
      </c>
      <c r="S945" s="10">
        <f>CHOOSE(CONTROL!$C$42, 76.5937, 76.5937) * CHOOSE(CONTROL!$C$21, $C$9, 100%, $E$9)</f>
        <v>76.593699999999998</v>
      </c>
      <c r="T9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57">
        <f>(1000*CHOOSE(CONTROL!$C$42, 695, 695)*CHOOSE(CONTROL!$C$42, 0.5599, 0.5599)*CHOOSE(CONTROL!$C$42, 30, 30))/1000000</f>
        <v>11.673914999999997</v>
      </c>
      <c r="V945" s="57">
        <f>(1000*CHOOSE(CONTROL!$C$42, 500, 500)*CHOOSE(CONTROL!$C$42, 0.275, 0.275)*CHOOSE(CONTROL!$C$42, 30, 30))/1000000</f>
        <v>4.125</v>
      </c>
      <c r="W945" s="57">
        <f>(1000*CHOOSE(CONTROL!$C$42, 0.1146, 0.1146)*CHOOSE(CONTROL!$C$42, 121.5, 121.5)*CHOOSE(CONTROL!$C$42, 30, 30))/1000000</f>
        <v>0.417717</v>
      </c>
      <c r="X945" s="57">
        <f>(30*0.1790888*245000/1000000)+(30*0.2374*100000/1000000)</f>
        <v>2.0285026799999999</v>
      </c>
      <c r="Y945" s="57"/>
      <c r="Z945" s="10"/>
      <c r="AA945" s="56"/>
      <c r="AB945" s="50">
        <f>(B945*194.205+C945*267.466+D945*133.845+E945*53.484+F945*40+G945*185+H945*0+I945*100+J945*300)/(194.205+267.466+133.845+53.484+0+40+185+100+300)</f>
        <v>78.902487284693876</v>
      </c>
      <c r="AC945" s="45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78.187561151079137</v>
      </c>
    </row>
    <row r="946" spans="1:29" ht="15.75" x14ac:dyDescent="0.25">
      <c r="A946" s="13">
        <v>69702</v>
      </c>
      <c r="B946" s="10">
        <f>CHOOSE(CONTROL!$C$42, 77.2743, 77.2743) * CHOOSE(CONTROL!$C$21, $C$9, 100%, $E$9)</f>
        <v>77.274299999999997</v>
      </c>
      <c r="C946" s="10">
        <f>CHOOSE(CONTROL!$C$42, 77.2796, 77.2796) * CHOOSE(CONTROL!$C$21, $C$9, 100%, $E$9)</f>
        <v>77.279600000000002</v>
      </c>
      <c r="D946" s="10">
        <f>CHOOSE(CONTROL!$C$42, 77.4873, 77.4873) * CHOOSE(CONTROL!$C$21, $C$9, 100%, $E$9)</f>
        <v>77.487300000000005</v>
      </c>
      <c r="E946" s="10">
        <f>CHOOSE(CONTROL!$C$42, 77.5161, 77.5161) * CHOOSE(CONTROL!$C$21, $C$9, 100%, $E$9)</f>
        <v>77.516099999999994</v>
      </c>
      <c r="F946" s="10">
        <f>CHOOSE(CONTROL!$C$42, 77.2531, 77.2531)*CHOOSE(CONTROL!$C$21, $C$9, 100%, $E$9)</f>
        <v>77.253100000000003</v>
      </c>
      <c r="G946" s="10">
        <f>CHOOSE(CONTROL!$C$42, 77.268, 77.268)*CHOOSE(CONTROL!$C$21, $C$9, 100%, $E$9)</f>
        <v>77.268000000000001</v>
      </c>
      <c r="H946" s="10">
        <f>CHOOSE(CONTROL!$C$42, 77.5065, 77.5065) * CHOOSE(CONTROL!$C$21, $C$9, 100%, $E$9)</f>
        <v>77.506500000000003</v>
      </c>
      <c r="I946" s="10">
        <f>CHOOSE(CONTROL!$C$42, 77.2761, 77.2761)* CHOOSE(CONTROL!$C$21, $C$9, 100%, $E$9)</f>
        <v>77.2761</v>
      </c>
      <c r="J946" s="10">
        <f>CHOOSE(CONTROL!$C$42, 77.2461, 77.2461)* CHOOSE(CONTROL!$C$21, $C$9, 100%, $E$9)</f>
        <v>77.246099999999998</v>
      </c>
      <c r="K946" s="53">
        <f>CHOOSE(CONTROL!$C$42, 77.2723, 77.2723) * CHOOSE(CONTROL!$C$21, $C$9, 100%, $E$9)</f>
        <v>77.272300000000001</v>
      </c>
      <c r="L946" s="10">
        <f>CHOOSE(CONTROL!$C$42, 78.0935, 78.0935) * CHOOSE(CONTROL!$C$21, $C$9, 100%, $E$9)</f>
        <v>78.093500000000006</v>
      </c>
      <c r="M946" s="10">
        <f>CHOOSE(CONTROL!$C$42, 76.4803, 76.4803) * CHOOSE(CONTROL!$C$21, $C$9, 100%, $E$9)</f>
        <v>76.4803</v>
      </c>
      <c r="N946" s="10">
        <f>CHOOSE(CONTROL!$C$42, 76.4951, 76.4951) * CHOOSE(CONTROL!$C$21, $C$9, 100%, $E$9)</f>
        <v>76.495099999999994</v>
      </c>
      <c r="O946" s="10">
        <f>CHOOSE(CONTROL!$C$42, 76.7382, 76.7382) * CHOOSE(CONTROL!$C$21, $C$9, 100%, $E$9)</f>
        <v>76.738200000000006</v>
      </c>
      <c r="P946" s="10">
        <f>CHOOSE(CONTROL!$C$42, 76.5102, 76.5102) * CHOOSE(CONTROL!$C$21, $C$9, 100%, $E$9)</f>
        <v>76.510199999999998</v>
      </c>
      <c r="Q946" s="10">
        <f>CHOOSE(CONTROL!$C$42, 77.3335, 77.3335) * CHOOSE(CONTROL!$C$21, $C$9, 100%, $E$9)</f>
        <v>77.333500000000001</v>
      </c>
      <c r="R946" s="10">
        <f>CHOOSE(CONTROL!$C$42, 78.1138, 78.1138) * CHOOSE(CONTROL!$C$21, $C$9, 100%, $E$9)</f>
        <v>78.113799999999998</v>
      </c>
      <c r="S946" s="10">
        <f>CHOOSE(CONTROL!$C$42, 75.0386, 75.0386) * CHOOSE(CONTROL!$C$21, $C$9, 100%, $E$9)</f>
        <v>75.038600000000002</v>
      </c>
      <c r="T9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57">
        <f>(1000*CHOOSE(CONTROL!$C$42, 695, 695)*CHOOSE(CONTROL!$C$42, 0.5599, 0.5599)*CHOOSE(CONTROL!$C$42, 31, 31))/1000000</f>
        <v>12.063045499999998</v>
      </c>
      <c r="V946" s="57">
        <f>(1000*CHOOSE(CONTROL!$C$42, 500, 500)*CHOOSE(CONTROL!$C$42, 0.275, 0.275)*CHOOSE(CONTROL!$C$42, 31, 31))/1000000</f>
        <v>4.2625000000000002</v>
      </c>
      <c r="W946" s="57">
        <f>(1000*CHOOSE(CONTROL!$C$42, 0.1146, 0.1146)*CHOOSE(CONTROL!$C$42, 121.5, 121.5)*CHOOSE(CONTROL!$C$42, 31, 31))/1000000</f>
        <v>0.43164089999999994</v>
      </c>
      <c r="X946" s="57">
        <f>(31*0.1790888*245000/1000000)+(31*0.2374*100000/1000000)</f>
        <v>2.0961194359999999</v>
      </c>
      <c r="Y946" s="57"/>
      <c r="Z946" s="10"/>
      <c r="AA946" s="56"/>
      <c r="AB946" s="50">
        <f>(B946*131.881+C946*277.167+D946*79.08+E946*125.872+F946*40+G946*185+H946*0+I946*100+J946*300)/(131.881+277.167+79.08+125.872+0+40+185+100+300)</f>
        <v>77.305337429136401</v>
      </c>
      <c r="AC946" s="45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76.602343884892093</v>
      </c>
    </row>
    <row r="947" spans="1:29" ht="15.75" x14ac:dyDescent="0.25">
      <c r="A947" s="13">
        <v>69732</v>
      </c>
      <c r="B947" s="10">
        <f>CHOOSE(CONTROL!$C$42, 79.3096, 79.3096) * CHOOSE(CONTROL!$C$21, $C$9, 100%, $E$9)</f>
        <v>79.309600000000003</v>
      </c>
      <c r="C947" s="10">
        <f>CHOOSE(CONTROL!$C$42, 79.3146, 79.3146) * CHOOSE(CONTROL!$C$21, $C$9, 100%, $E$9)</f>
        <v>79.314599999999999</v>
      </c>
      <c r="D947" s="10">
        <f>CHOOSE(CONTROL!$C$42, 79.3751, 79.3751) * CHOOSE(CONTROL!$C$21, $C$9, 100%, $E$9)</f>
        <v>79.375100000000003</v>
      </c>
      <c r="E947" s="10">
        <f>CHOOSE(CONTROL!$C$42, 79.4088, 79.4088) * CHOOSE(CONTROL!$C$21, $C$9, 100%, $E$9)</f>
        <v>79.408799999999999</v>
      </c>
      <c r="F947" s="10">
        <f>CHOOSE(CONTROL!$C$42, 79.3052, 79.3052)*CHOOSE(CONTROL!$C$21, $C$9, 100%, $E$9)</f>
        <v>79.305199999999999</v>
      </c>
      <c r="G947" s="10">
        <f>CHOOSE(CONTROL!$C$42, 79.3205, 79.3205)*CHOOSE(CONTROL!$C$21, $C$9, 100%, $E$9)</f>
        <v>79.320499999999996</v>
      </c>
      <c r="H947" s="10">
        <f>CHOOSE(CONTROL!$C$42, 79.398, 79.398) * CHOOSE(CONTROL!$C$21, $C$9, 100%, $E$9)</f>
        <v>79.397999999999996</v>
      </c>
      <c r="I947" s="10">
        <f>CHOOSE(CONTROL!$C$42, 79.3221, 79.3221)* CHOOSE(CONTROL!$C$21, $C$9, 100%, $E$9)</f>
        <v>79.322100000000006</v>
      </c>
      <c r="J947" s="10">
        <f>CHOOSE(CONTROL!$C$42, 79.2982, 79.2982)* CHOOSE(CONTROL!$C$21, $C$9, 100%, $E$9)</f>
        <v>79.298199999999994</v>
      </c>
      <c r="K947" s="53">
        <f>CHOOSE(CONTROL!$C$42, 79.3182, 79.3182) * CHOOSE(CONTROL!$C$21, $C$9, 100%, $E$9)</f>
        <v>79.318200000000004</v>
      </c>
      <c r="L947" s="10">
        <f>CHOOSE(CONTROL!$C$42, 79.985, 79.985) * CHOOSE(CONTROL!$C$21, $C$9, 100%, $E$9)</f>
        <v>79.984999999999999</v>
      </c>
      <c r="M947" s="10">
        <f>CHOOSE(CONTROL!$C$42, 78.5118, 78.5118) * CHOOSE(CONTROL!$C$21, $C$9, 100%, $E$9)</f>
        <v>78.511799999999994</v>
      </c>
      <c r="N947" s="10">
        <f>CHOOSE(CONTROL!$C$42, 78.5269, 78.5269) * CHOOSE(CONTROL!$C$21, $C$9, 100%, $E$9)</f>
        <v>78.526899999999998</v>
      </c>
      <c r="O947" s="10">
        <f>CHOOSE(CONTROL!$C$42, 78.6106, 78.6106) * CHOOSE(CONTROL!$C$21, $C$9, 100%, $E$9)</f>
        <v>78.610600000000005</v>
      </c>
      <c r="P947" s="10">
        <f>CHOOSE(CONTROL!$C$42, 78.5355, 78.5355) * CHOOSE(CONTROL!$C$21, $C$9, 100%, $E$9)</f>
        <v>78.535499999999999</v>
      </c>
      <c r="Q947" s="10">
        <f>CHOOSE(CONTROL!$C$42, 79.2059, 79.2059) * CHOOSE(CONTROL!$C$21, $C$9, 100%, $E$9)</f>
        <v>79.2059</v>
      </c>
      <c r="R947" s="10">
        <f>CHOOSE(CONTROL!$C$42, 79.9909, 79.9909) * CHOOSE(CONTROL!$C$21, $C$9, 100%, $E$9)</f>
        <v>79.990899999999996</v>
      </c>
      <c r="S947" s="10">
        <f>CHOOSE(CONTROL!$C$42, 77.0154, 77.0154) * CHOOSE(CONTROL!$C$21, $C$9, 100%, $E$9)</f>
        <v>77.0154</v>
      </c>
      <c r="T9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57">
        <f>(1000*CHOOSE(CONTROL!$C$42, 695, 695)*CHOOSE(CONTROL!$C$42, 0.5599, 0.5599)*CHOOSE(CONTROL!$C$42, 30, 30))/1000000</f>
        <v>11.673914999999997</v>
      </c>
      <c r="V947" s="57">
        <f>(1000*CHOOSE(CONTROL!$C$42, 500, 500)*CHOOSE(CONTROL!$C$42, 0.275, 0.275)*CHOOSE(CONTROL!$C$42, 30, 30))/1000000</f>
        <v>4.125</v>
      </c>
      <c r="W947" s="57">
        <f>(1000*CHOOSE(CONTROL!$C$42, 0.1146, 0.1146)*CHOOSE(CONTROL!$C$42, 121.5, 121.5)*CHOOSE(CONTROL!$C$42, 30, 30))/1000000</f>
        <v>0.417717</v>
      </c>
      <c r="X947" s="57">
        <f>(30*0.1790888*100000/1000000)+(30*0.2374*100000/1000000)</f>
        <v>1.2494664</v>
      </c>
      <c r="Y947" s="57"/>
      <c r="Z947" s="10"/>
      <c r="AA947" s="56"/>
      <c r="AB947" s="50">
        <f>(B947*122.58+C947*297.941+D947*89.177+E947*40.302+F947*40+G947*160+H947*0+I947*100+J947*300)/(122.58+297.941+89.177+40.302+0+40+160+100+300)</f>
        <v>79.318927614695653</v>
      </c>
      <c r="AC947" s="45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78.560858992805763</v>
      </c>
    </row>
    <row r="948" spans="1:29" ht="15.75" x14ac:dyDescent="0.25">
      <c r="A948" s="13">
        <v>69763</v>
      </c>
      <c r="B948" s="10">
        <f>CHOOSE(CONTROL!$C$42, 84.7167, 84.7167) * CHOOSE(CONTROL!$C$21, $C$9, 100%, $E$9)</f>
        <v>84.716700000000003</v>
      </c>
      <c r="C948" s="10">
        <f>CHOOSE(CONTROL!$C$42, 84.7217, 84.7217) * CHOOSE(CONTROL!$C$21, $C$9, 100%, $E$9)</f>
        <v>84.721699999999998</v>
      </c>
      <c r="D948" s="10">
        <f>CHOOSE(CONTROL!$C$42, 84.7822, 84.7822) * CHOOSE(CONTROL!$C$21, $C$9, 100%, $E$9)</f>
        <v>84.782200000000003</v>
      </c>
      <c r="E948" s="10">
        <f>CHOOSE(CONTROL!$C$42, 84.8159, 84.8159) * CHOOSE(CONTROL!$C$21, $C$9, 100%, $E$9)</f>
        <v>84.815899999999999</v>
      </c>
      <c r="F948" s="10">
        <f>CHOOSE(CONTROL!$C$42, 84.7142, 84.7142)*CHOOSE(CONTROL!$C$21, $C$9, 100%, $E$9)</f>
        <v>84.714200000000005</v>
      </c>
      <c r="G948" s="10">
        <f>CHOOSE(CONTROL!$C$42, 84.7299, 84.7299)*CHOOSE(CONTROL!$C$21, $C$9, 100%, $E$9)</f>
        <v>84.729900000000001</v>
      </c>
      <c r="H948" s="10">
        <f>CHOOSE(CONTROL!$C$42, 84.8051, 84.8051) * CHOOSE(CONTROL!$C$21, $C$9, 100%, $E$9)</f>
        <v>84.805099999999996</v>
      </c>
      <c r="I948" s="10">
        <f>CHOOSE(CONTROL!$C$42, 84.7292, 84.7292)* CHOOSE(CONTROL!$C$21, $C$9, 100%, $E$9)</f>
        <v>84.729200000000006</v>
      </c>
      <c r="J948" s="10">
        <f>CHOOSE(CONTROL!$C$42, 84.7072, 84.7072)* CHOOSE(CONTROL!$C$21, $C$9, 100%, $E$9)</f>
        <v>84.7072</v>
      </c>
      <c r="K948" s="53">
        <f>CHOOSE(CONTROL!$C$42, 84.7253, 84.7253) * CHOOSE(CONTROL!$C$21, $C$9, 100%, $E$9)</f>
        <v>84.725300000000004</v>
      </c>
      <c r="L948" s="10">
        <f>CHOOSE(CONTROL!$C$42, 85.3921, 85.3921) * CHOOSE(CONTROL!$C$21, $C$9, 100%, $E$9)</f>
        <v>85.392099999999999</v>
      </c>
      <c r="M948" s="10">
        <f>CHOOSE(CONTROL!$C$42, 83.8662, 83.8662) * CHOOSE(CONTROL!$C$21, $C$9, 100%, $E$9)</f>
        <v>83.866200000000006</v>
      </c>
      <c r="N948" s="10">
        <f>CHOOSE(CONTROL!$C$42, 83.8817, 83.8817) * CHOOSE(CONTROL!$C$21, $C$9, 100%, $E$9)</f>
        <v>83.881699999999995</v>
      </c>
      <c r="O948" s="10">
        <f>CHOOSE(CONTROL!$C$42, 83.9631, 83.9631) * CHOOSE(CONTROL!$C$21, $C$9, 100%, $E$9)</f>
        <v>83.963099999999997</v>
      </c>
      <c r="P948" s="10">
        <f>CHOOSE(CONTROL!$C$42, 83.888, 83.888) * CHOOSE(CONTROL!$C$21, $C$9, 100%, $E$9)</f>
        <v>83.888000000000005</v>
      </c>
      <c r="Q948" s="10">
        <f>CHOOSE(CONTROL!$C$42, 84.5584, 84.5584) * CHOOSE(CONTROL!$C$21, $C$9, 100%, $E$9)</f>
        <v>84.558400000000006</v>
      </c>
      <c r="R948" s="10">
        <f>CHOOSE(CONTROL!$C$42, 85.3568, 85.3568) * CHOOSE(CONTROL!$C$21, $C$9, 100%, $E$9)</f>
        <v>85.356800000000007</v>
      </c>
      <c r="S948" s="10">
        <f>CHOOSE(CONTROL!$C$42, 82.2663, 82.2663) * CHOOSE(CONTROL!$C$21, $C$9, 100%, $E$9)</f>
        <v>82.266300000000001</v>
      </c>
      <c r="T9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57">
        <f>(1000*CHOOSE(CONTROL!$C$42, 695, 695)*CHOOSE(CONTROL!$C$42, 0.5599, 0.5599)*CHOOSE(CONTROL!$C$42, 31, 31))/1000000</f>
        <v>12.063045499999998</v>
      </c>
      <c r="V948" s="57">
        <f>(1000*CHOOSE(CONTROL!$C$42, 500, 500)*CHOOSE(CONTROL!$C$42, 0.275, 0.275)*CHOOSE(CONTROL!$C$42, 31, 31))/1000000</f>
        <v>4.2625000000000002</v>
      </c>
      <c r="W948" s="57">
        <f>(1000*CHOOSE(CONTROL!$C$42, 0.1146, 0.1146)*CHOOSE(CONTROL!$C$42, 121.5, 121.5)*CHOOSE(CONTROL!$C$42, 31, 31))/1000000</f>
        <v>0.43164089999999994</v>
      </c>
      <c r="X948" s="57">
        <f>(31*0.1790888*100000/1000000)+(31*0.2374*100000/1000000)</f>
        <v>1.2911152800000001</v>
      </c>
      <c r="Y948" s="57"/>
      <c r="Z948" s="10"/>
      <c r="AA948" s="56"/>
      <c r="AB948" s="50">
        <f>(B948*122.58+C948*297.941+D948*89.177+E948*40.302+F948*40+G948*160+H948*0+I948*100+J948*300)/(122.58+297.941+89.177+40.302+0+40+160+100+300)</f>
        <v>84.726909353826088</v>
      </c>
      <c r="AC948" s="45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83.9141474820144</v>
      </c>
    </row>
    <row r="949" spans="1:29" ht="15.75" x14ac:dyDescent="0.25">
      <c r="A949" s="13">
        <v>69794</v>
      </c>
      <c r="B949" s="10">
        <f>CHOOSE(CONTROL!$C$42, 91.6579, 91.6579) * CHOOSE(CONTROL!$C$21, $C$9, 100%, $E$9)</f>
        <v>91.657899999999998</v>
      </c>
      <c r="C949" s="10">
        <f>CHOOSE(CONTROL!$C$42, 91.6629, 91.6629) * CHOOSE(CONTROL!$C$21, $C$9, 100%, $E$9)</f>
        <v>91.662899999999993</v>
      </c>
      <c r="D949" s="10">
        <f>CHOOSE(CONTROL!$C$42, 91.7199, 91.7199) * CHOOSE(CONTROL!$C$21, $C$9, 100%, $E$9)</f>
        <v>91.719899999999996</v>
      </c>
      <c r="E949" s="10">
        <f>CHOOSE(CONTROL!$C$42, 91.7537, 91.7537) * CHOOSE(CONTROL!$C$21, $C$9, 100%, $E$9)</f>
        <v>91.753699999999995</v>
      </c>
      <c r="F949" s="10">
        <f>CHOOSE(CONTROL!$C$42, 91.6557, 91.6557)*CHOOSE(CONTROL!$C$21, $C$9, 100%, $E$9)</f>
        <v>91.655699999999996</v>
      </c>
      <c r="G949" s="10">
        <f>CHOOSE(CONTROL!$C$42, 91.6703, 91.6703)*CHOOSE(CONTROL!$C$21, $C$9, 100%, $E$9)</f>
        <v>91.670299999999997</v>
      </c>
      <c r="H949" s="10">
        <f>CHOOSE(CONTROL!$C$42, 91.7429, 91.7429) * CHOOSE(CONTROL!$C$21, $C$9, 100%, $E$9)</f>
        <v>91.742900000000006</v>
      </c>
      <c r="I949" s="10">
        <f>CHOOSE(CONTROL!$C$42, 91.6687, 91.6687)* CHOOSE(CONTROL!$C$21, $C$9, 100%, $E$9)</f>
        <v>91.668700000000001</v>
      </c>
      <c r="J949" s="10">
        <f>CHOOSE(CONTROL!$C$42, 91.6487, 91.6487)* CHOOSE(CONTROL!$C$21, $C$9, 100%, $E$9)</f>
        <v>91.648700000000005</v>
      </c>
      <c r="K949" s="53">
        <f>CHOOSE(CONTROL!$C$42, 91.6648, 91.6648) * CHOOSE(CONTROL!$C$21, $C$9, 100%, $E$9)</f>
        <v>91.6648</v>
      </c>
      <c r="L949" s="10">
        <f>CHOOSE(CONTROL!$C$42, 92.3299, 92.3299) * CHOOSE(CONTROL!$C$21, $C$9, 100%, $E$9)</f>
        <v>92.329899999999995</v>
      </c>
      <c r="M949" s="10">
        <f>CHOOSE(CONTROL!$C$42, 90.7377, 90.7377) * CHOOSE(CONTROL!$C$21, $C$9, 100%, $E$9)</f>
        <v>90.737700000000004</v>
      </c>
      <c r="N949" s="10">
        <f>CHOOSE(CONTROL!$C$42, 90.7521, 90.7521) * CHOOSE(CONTROL!$C$21, $C$9, 100%, $E$9)</f>
        <v>90.752099999999999</v>
      </c>
      <c r="O949" s="10">
        <f>CHOOSE(CONTROL!$C$42, 90.8309, 90.8309) * CHOOSE(CONTROL!$C$21, $C$9, 100%, $E$9)</f>
        <v>90.8309</v>
      </c>
      <c r="P949" s="10">
        <f>CHOOSE(CONTROL!$C$42, 90.7575, 90.7575) * CHOOSE(CONTROL!$C$21, $C$9, 100%, $E$9)</f>
        <v>90.757499999999993</v>
      </c>
      <c r="Q949" s="10">
        <f>CHOOSE(CONTROL!$C$42, 91.4262, 91.4262) * CHOOSE(CONTROL!$C$21, $C$9, 100%, $E$9)</f>
        <v>91.426199999999994</v>
      </c>
      <c r="R949" s="10">
        <f>CHOOSE(CONTROL!$C$42, 92.2417, 92.2417) * CHOOSE(CONTROL!$C$21, $C$9, 100%, $E$9)</f>
        <v>92.241699999999994</v>
      </c>
      <c r="S949" s="10">
        <f>CHOOSE(CONTROL!$C$42, 89.0069, 89.0069) * CHOOSE(CONTROL!$C$21, $C$9, 100%, $E$9)</f>
        <v>89.006900000000002</v>
      </c>
      <c r="T9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57">
        <f>(1000*CHOOSE(CONTROL!$C$42, 695, 695)*CHOOSE(CONTROL!$C$42, 0.5599, 0.5599)*CHOOSE(CONTROL!$C$42, 31, 31))/1000000</f>
        <v>12.063045499999998</v>
      </c>
      <c r="V949" s="57">
        <f>(1000*CHOOSE(CONTROL!$C$42, 500, 500)*CHOOSE(CONTROL!$C$42, 0.275, 0.275)*CHOOSE(CONTROL!$C$42, 31, 31))/1000000</f>
        <v>4.2625000000000002</v>
      </c>
      <c r="W949" s="57">
        <f>(1000*CHOOSE(CONTROL!$C$42, 0.1146, 0.1146)*CHOOSE(CONTROL!$C$42, 121.5, 121.5)*CHOOSE(CONTROL!$C$42, 31, 31))/1000000</f>
        <v>0.43164089999999994</v>
      </c>
      <c r="X949" s="57">
        <f>(31*0.1790888*100000/1000000)+(31*0.2374*100000/1000000)</f>
        <v>1.2911152800000001</v>
      </c>
      <c r="Y949" s="57"/>
      <c r="Z949" s="10"/>
      <c r="AA949" s="56"/>
      <c r="AB949" s="50">
        <f>(B949*122.58+C949*297.941+D949*89.177+E949*40.302+F949*40+G949*160+H949*0+I949*100+J949*300)/(122.58+297.941+89.177+40.302+0+40+160+100+300)</f>
        <v>91.667548357043472</v>
      </c>
      <c r="AC949" s="45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90.783619424460426</v>
      </c>
    </row>
    <row r="950" spans="1:29" ht="15.75" x14ac:dyDescent="0.25">
      <c r="A950" s="13">
        <v>69822</v>
      </c>
      <c r="B950" s="10">
        <f>CHOOSE(CONTROL!$C$42, 93.2895, 93.2895) * CHOOSE(CONTROL!$C$21, $C$9, 100%, $E$9)</f>
        <v>93.289500000000004</v>
      </c>
      <c r="C950" s="10">
        <f>CHOOSE(CONTROL!$C$42, 93.2944, 93.2944) * CHOOSE(CONTROL!$C$21, $C$9, 100%, $E$9)</f>
        <v>93.294399999999996</v>
      </c>
      <c r="D950" s="10">
        <f>CHOOSE(CONTROL!$C$42, 93.3515, 93.3515) * CHOOSE(CONTROL!$C$21, $C$9, 100%, $E$9)</f>
        <v>93.351500000000001</v>
      </c>
      <c r="E950" s="10">
        <f>CHOOSE(CONTROL!$C$42, 93.3853, 93.3853) * CHOOSE(CONTROL!$C$21, $C$9, 100%, $E$9)</f>
        <v>93.385300000000001</v>
      </c>
      <c r="F950" s="10">
        <f>CHOOSE(CONTROL!$C$42, 93.2874, 93.2874)*CHOOSE(CONTROL!$C$21, $C$9, 100%, $E$9)</f>
        <v>93.287400000000005</v>
      </c>
      <c r="G950" s="10">
        <f>CHOOSE(CONTROL!$C$42, 93.3021, 93.3021)*CHOOSE(CONTROL!$C$21, $C$9, 100%, $E$9)</f>
        <v>93.302099999999996</v>
      </c>
      <c r="H950" s="10">
        <f>CHOOSE(CONTROL!$C$42, 93.3745, 93.3745) * CHOOSE(CONTROL!$C$21, $C$9, 100%, $E$9)</f>
        <v>93.374499999999998</v>
      </c>
      <c r="I950" s="10">
        <f>CHOOSE(CONTROL!$C$42, 93.3003, 93.3003)* CHOOSE(CONTROL!$C$21, $C$9, 100%, $E$9)</f>
        <v>93.300299999999993</v>
      </c>
      <c r="J950" s="10">
        <f>CHOOSE(CONTROL!$C$42, 93.2804, 93.2804)* CHOOSE(CONTROL!$C$21, $C$9, 100%, $E$9)</f>
        <v>93.2804</v>
      </c>
      <c r="K950" s="53">
        <f>CHOOSE(CONTROL!$C$42, 93.2964, 93.2964) * CHOOSE(CONTROL!$C$21, $C$9, 100%, $E$9)</f>
        <v>93.296400000000006</v>
      </c>
      <c r="L950" s="10">
        <f>CHOOSE(CONTROL!$C$42, 93.9615, 93.9615) * CHOOSE(CONTROL!$C$21, $C$9, 100%, $E$9)</f>
        <v>93.961500000000001</v>
      </c>
      <c r="M950" s="10">
        <f>CHOOSE(CONTROL!$C$42, 92.3529, 92.3529) * CHOOSE(CONTROL!$C$21, $C$9, 100%, $E$9)</f>
        <v>92.352900000000005</v>
      </c>
      <c r="N950" s="10">
        <f>CHOOSE(CONTROL!$C$42, 92.3674, 92.3674) * CHOOSE(CONTROL!$C$21, $C$9, 100%, $E$9)</f>
        <v>92.367400000000004</v>
      </c>
      <c r="O950" s="10">
        <f>CHOOSE(CONTROL!$C$42, 92.446, 92.446) * CHOOSE(CONTROL!$C$21, $C$9, 100%, $E$9)</f>
        <v>92.445999999999998</v>
      </c>
      <c r="P950" s="10">
        <f>CHOOSE(CONTROL!$C$42, 92.3726, 92.3726) * CHOOSE(CONTROL!$C$21, $C$9, 100%, $E$9)</f>
        <v>92.372600000000006</v>
      </c>
      <c r="Q950" s="10">
        <f>CHOOSE(CONTROL!$C$42, 93.0413, 93.0413) * CHOOSE(CONTROL!$C$21, $C$9, 100%, $E$9)</f>
        <v>93.041300000000007</v>
      </c>
      <c r="R950" s="10">
        <f>CHOOSE(CONTROL!$C$42, 93.8609, 93.8609) * CHOOSE(CONTROL!$C$21, $C$9, 100%, $E$9)</f>
        <v>93.860900000000001</v>
      </c>
      <c r="S950" s="10">
        <f>CHOOSE(CONTROL!$C$42, 90.5913, 90.5913) * CHOOSE(CONTROL!$C$21, $C$9, 100%, $E$9)</f>
        <v>90.591300000000004</v>
      </c>
      <c r="T9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50" s="57">
        <f>(1000*CHOOSE(CONTROL!$C$42, 695, 695)*CHOOSE(CONTROL!$C$42, 0.5599, 0.5599)*CHOOSE(CONTROL!$C$42, 28, 28))/1000000</f>
        <v>10.895653999999999</v>
      </c>
      <c r="V950" s="57">
        <f>(1000*CHOOSE(CONTROL!$C$42, 500, 500)*CHOOSE(CONTROL!$C$42, 0.275, 0.275)*CHOOSE(CONTROL!$C$42, 28, 28))/1000000</f>
        <v>3.85</v>
      </c>
      <c r="W950" s="57">
        <f>(1000*CHOOSE(CONTROL!$C$42, 0.1146, 0.1146)*CHOOSE(CONTROL!$C$42, 121.5, 121.5)*CHOOSE(CONTROL!$C$42, 28, 28))/1000000</f>
        <v>0.38986920000000003</v>
      </c>
      <c r="X950" s="57">
        <f>(28*0.1790888*100000/1000000)+(28*0.2374*100000/1000000)</f>
        <v>1.16616864</v>
      </c>
      <c r="Y950" s="57"/>
      <c r="Z950" s="10"/>
      <c r="AA950" s="56"/>
      <c r="AB950" s="50">
        <f>(B950*122.58+C950*297.941+D950*89.177+E950*40.302+F950*40+G950*160+H950*0+I950*100+J950*300)/(122.58+297.941+89.177+40.302+0+40+160+100+300)</f>
        <v>93.299179840434775</v>
      </c>
      <c r="AC950" s="45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92.398765467625893</v>
      </c>
    </row>
    <row r="951" spans="1:29" ht="15.75" x14ac:dyDescent="0.25">
      <c r="A951" s="13">
        <v>69853</v>
      </c>
      <c r="B951" s="10">
        <f>CHOOSE(CONTROL!$C$42, 90.641, 90.641) * CHOOSE(CONTROL!$C$21, $C$9, 100%, $E$9)</f>
        <v>90.641000000000005</v>
      </c>
      <c r="C951" s="10">
        <f>CHOOSE(CONTROL!$C$42, 90.646, 90.646) * CHOOSE(CONTROL!$C$21, $C$9, 100%, $E$9)</f>
        <v>90.646000000000001</v>
      </c>
      <c r="D951" s="10">
        <f>CHOOSE(CONTROL!$C$42, 90.703, 90.703) * CHOOSE(CONTROL!$C$21, $C$9, 100%, $E$9)</f>
        <v>90.703000000000003</v>
      </c>
      <c r="E951" s="10">
        <f>CHOOSE(CONTROL!$C$42, 90.7368, 90.7368) * CHOOSE(CONTROL!$C$21, $C$9, 100%, $E$9)</f>
        <v>90.736800000000002</v>
      </c>
      <c r="F951" s="10">
        <f>CHOOSE(CONTROL!$C$42, 90.6388, 90.6388)*CHOOSE(CONTROL!$C$21, $C$9, 100%, $E$9)</f>
        <v>90.638800000000003</v>
      </c>
      <c r="G951" s="10">
        <f>CHOOSE(CONTROL!$C$42, 90.6534, 90.6534)*CHOOSE(CONTROL!$C$21, $C$9, 100%, $E$9)</f>
        <v>90.653400000000005</v>
      </c>
      <c r="H951" s="10">
        <f>CHOOSE(CONTROL!$C$42, 90.726, 90.726) * CHOOSE(CONTROL!$C$21, $C$9, 100%, $E$9)</f>
        <v>90.725999999999999</v>
      </c>
      <c r="I951" s="10">
        <f>CHOOSE(CONTROL!$C$42, 90.6518, 90.6518)* CHOOSE(CONTROL!$C$21, $C$9, 100%, $E$9)</f>
        <v>90.651799999999994</v>
      </c>
      <c r="J951" s="10">
        <f>CHOOSE(CONTROL!$C$42, 90.6318, 90.6318)* CHOOSE(CONTROL!$C$21, $C$9, 100%, $E$9)</f>
        <v>90.631799999999998</v>
      </c>
      <c r="K951" s="53">
        <f>CHOOSE(CONTROL!$C$42, 90.6479, 90.6479) * CHOOSE(CONTROL!$C$21, $C$9, 100%, $E$9)</f>
        <v>90.647900000000007</v>
      </c>
      <c r="L951" s="10">
        <f>CHOOSE(CONTROL!$C$42, 91.313, 91.313) * CHOOSE(CONTROL!$C$21, $C$9, 100%, $E$9)</f>
        <v>91.313000000000002</v>
      </c>
      <c r="M951" s="10">
        <f>CHOOSE(CONTROL!$C$42, 89.731, 89.731) * CHOOSE(CONTROL!$C$21, $C$9, 100%, $E$9)</f>
        <v>89.730999999999995</v>
      </c>
      <c r="N951" s="10">
        <f>CHOOSE(CONTROL!$C$42, 89.7455, 89.7455) * CHOOSE(CONTROL!$C$21, $C$9, 100%, $E$9)</f>
        <v>89.745500000000007</v>
      </c>
      <c r="O951" s="10">
        <f>CHOOSE(CONTROL!$C$42, 89.8243, 89.8243) * CHOOSE(CONTROL!$C$21, $C$9, 100%, $E$9)</f>
        <v>89.824299999999994</v>
      </c>
      <c r="P951" s="10">
        <f>CHOOSE(CONTROL!$C$42, 89.7508, 89.7508) * CHOOSE(CONTROL!$C$21, $C$9, 100%, $E$9)</f>
        <v>89.750799999999998</v>
      </c>
      <c r="Q951" s="10">
        <f>CHOOSE(CONTROL!$C$42, 90.4196, 90.4196) * CHOOSE(CONTROL!$C$21, $C$9, 100%, $E$9)</f>
        <v>90.419600000000003</v>
      </c>
      <c r="R951" s="10">
        <f>CHOOSE(CONTROL!$C$42, 91.2326, 91.2326) * CHOOSE(CONTROL!$C$21, $C$9, 100%, $E$9)</f>
        <v>91.232600000000005</v>
      </c>
      <c r="S951" s="10">
        <f>CHOOSE(CONTROL!$C$42, 88.0194, 88.0194) * CHOOSE(CONTROL!$C$21, $C$9, 100%, $E$9)</f>
        <v>88.019400000000005</v>
      </c>
      <c r="T9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57">
        <f>(1000*CHOOSE(CONTROL!$C$42, 695, 695)*CHOOSE(CONTROL!$C$42, 0.5599, 0.5599)*CHOOSE(CONTROL!$C$42, 31, 31))/1000000</f>
        <v>12.063045499999998</v>
      </c>
      <c r="V951" s="57">
        <f>(1000*CHOOSE(CONTROL!$C$42, 500, 500)*CHOOSE(CONTROL!$C$42, 0.275, 0.275)*CHOOSE(CONTROL!$C$42, 31, 31))/1000000</f>
        <v>4.2625000000000002</v>
      </c>
      <c r="W951" s="57">
        <f>(1000*CHOOSE(CONTROL!$C$42, 0.1146, 0.1146)*CHOOSE(CONTROL!$C$42, 121.5, 121.5)*CHOOSE(CONTROL!$C$42, 31, 31))/1000000</f>
        <v>0.43164089999999994</v>
      </c>
      <c r="X951" s="57">
        <f>(31*0.1790888*100000/1000000)+(31*0.2374*100000/1000000)</f>
        <v>1.2911152800000001</v>
      </c>
      <c r="Y951" s="57"/>
      <c r="Z951" s="10"/>
      <c r="AA951" s="56"/>
      <c r="AB951" s="50">
        <f>(B951*122.58+C951*297.941+D951*89.177+E951*40.302+F951*40+G951*160+H951*0+I951*100+J951*300)/(122.58+297.941+89.177+40.302+0+40+160+100+300)</f>
        <v>90.650648357043494</v>
      </c>
      <c r="AC951" s="45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89.776970503597127</v>
      </c>
    </row>
    <row r="952" spans="1:29" ht="15.75" x14ac:dyDescent="0.25">
      <c r="A952" s="13">
        <v>69883</v>
      </c>
      <c r="B952" s="10">
        <f>CHOOSE(CONTROL!$C$42, 90.3708, 90.3708) * CHOOSE(CONTROL!$C$21, $C$9, 100%, $E$9)</f>
        <v>90.370800000000003</v>
      </c>
      <c r="C952" s="10">
        <f>CHOOSE(CONTROL!$C$42, 90.3752, 90.3752) * CHOOSE(CONTROL!$C$21, $C$9, 100%, $E$9)</f>
        <v>90.375200000000007</v>
      </c>
      <c r="D952" s="10">
        <f>CHOOSE(CONTROL!$C$42, 90.5811, 90.5811) * CHOOSE(CONTROL!$C$21, $C$9, 100%, $E$9)</f>
        <v>90.581100000000006</v>
      </c>
      <c r="E952" s="10">
        <f>CHOOSE(CONTROL!$C$42, 90.6128, 90.6128) * CHOOSE(CONTROL!$C$21, $C$9, 100%, $E$9)</f>
        <v>90.612799999999993</v>
      </c>
      <c r="F952" s="10">
        <f>CHOOSE(CONTROL!$C$42, 90.3476, 90.3476)*CHOOSE(CONTROL!$C$21, $C$9, 100%, $E$9)</f>
        <v>90.3476</v>
      </c>
      <c r="G952" s="10">
        <f>CHOOSE(CONTROL!$C$42, 90.3621, 90.3621)*CHOOSE(CONTROL!$C$21, $C$9, 100%, $E$9)</f>
        <v>90.362099999999998</v>
      </c>
      <c r="H952" s="10">
        <f>CHOOSE(CONTROL!$C$42, 90.6026, 90.6026) * CHOOSE(CONTROL!$C$21, $C$9, 100%, $E$9)</f>
        <v>90.602599999999995</v>
      </c>
      <c r="I952" s="10">
        <f>CHOOSE(CONTROL!$C$42, 90.3722, 90.3722)* CHOOSE(CONTROL!$C$21, $C$9, 100%, $E$9)</f>
        <v>90.372200000000007</v>
      </c>
      <c r="J952" s="10">
        <f>CHOOSE(CONTROL!$C$42, 90.3406, 90.3406)* CHOOSE(CONTROL!$C$21, $C$9, 100%, $E$9)</f>
        <v>90.340599999999995</v>
      </c>
      <c r="K952" s="53">
        <f>CHOOSE(CONTROL!$C$42, 90.3683, 90.3683) * CHOOSE(CONTROL!$C$21, $C$9, 100%, $E$9)</f>
        <v>90.368300000000005</v>
      </c>
      <c r="L952" s="10">
        <f>CHOOSE(CONTROL!$C$42, 91.1896, 91.1896) * CHOOSE(CONTROL!$C$21, $C$9, 100%, $E$9)</f>
        <v>91.189599999999999</v>
      </c>
      <c r="M952" s="10">
        <f>CHOOSE(CONTROL!$C$42, 89.4427, 89.4427) * CHOOSE(CONTROL!$C$21, $C$9, 100%, $E$9)</f>
        <v>89.442700000000002</v>
      </c>
      <c r="N952" s="10">
        <f>CHOOSE(CONTROL!$C$42, 89.4571, 89.4571) * CHOOSE(CONTROL!$C$21, $C$9, 100%, $E$9)</f>
        <v>89.457099999999997</v>
      </c>
      <c r="O952" s="10">
        <f>CHOOSE(CONTROL!$C$42, 89.7021, 89.7021) * CHOOSE(CONTROL!$C$21, $C$9, 100%, $E$9)</f>
        <v>89.702100000000002</v>
      </c>
      <c r="P952" s="10">
        <f>CHOOSE(CONTROL!$C$42, 89.4741, 89.4741) * CHOOSE(CONTROL!$C$21, $C$9, 100%, $E$9)</f>
        <v>89.474100000000007</v>
      </c>
      <c r="Q952" s="10">
        <f>CHOOSE(CONTROL!$C$42, 90.2974, 90.2974) * CHOOSE(CONTROL!$C$21, $C$9, 100%, $E$9)</f>
        <v>90.297399999999996</v>
      </c>
      <c r="R952" s="10">
        <f>CHOOSE(CONTROL!$C$42, 91.1101, 91.1101) * CHOOSE(CONTROL!$C$21, $C$9, 100%, $E$9)</f>
        <v>91.110100000000003</v>
      </c>
      <c r="S952" s="10">
        <f>CHOOSE(CONTROL!$C$42, 87.7562, 87.7562) * CHOOSE(CONTROL!$C$21, $C$9, 100%, $E$9)</f>
        <v>87.756200000000007</v>
      </c>
      <c r="T9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57">
        <f>(1000*CHOOSE(CONTROL!$C$42, 695, 695)*CHOOSE(CONTROL!$C$42, 0.5599, 0.5599)*CHOOSE(CONTROL!$C$42, 30, 30))/1000000</f>
        <v>11.673914999999997</v>
      </c>
      <c r="V952" s="57">
        <f>(1000*CHOOSE(CONTROL!$C$42, 500, 500)*CHOOSE(CONTROL!$C$42, 0.275, 0.275)*CHOOSE(CONTROL!$C$42, 30, 30))/1000000</f>
        <v>4.125</v>
      </c>
      <c r="W952" s="57">
        <f>(1000*CHOOSE(CONTROL!$C$42, 0.1146, 0.1146)*CHOOSE(CONTROL!$C$42, 121.5, 121.5)*CHOOSE(CONTROL!$C$42, 30, 30))/1000000</f>
        <v>0.417717</v>
      </c>
      <c r="X952" s="57">
        <f>(30*0.1790888*245000/1000000)+(30*0.2374*100000/1000000)</f>
        <v>2.0285026799999999</v>
      </c>
      <c r="Y952" s="57"/>
      <c r="Z952" s="10"/>
      <c r="AA952" s="56"/>
      <c r="AB952" s="50">
        <f>(B952*141.293+C952*267.993+D952*115.016+E952*89.698+F952*40+G952*185+H952*0+I952*100+J952*300)/(141.293+267.993+115.016+89.698+0+40+185+100+300)</f>
        <v>90.399546125908003</v>
      </c>
      <c r="AC952" s="45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89.565616546762584</v>
      </c>
    </row>
    <row r="953" spans="1:29" ht="15.75" x14ac:dyDescent="0.25">
      <c r="A953" s="13">
        <v>69914</v>
      </c>
      <c r="B953" s="10">
        <f>CHOOSE(CONTROL!$C$42, 91.1698, 91.1698) * CHOOSE(CONTROL!$C$21, $C$9, 100%, $E$9)</f>
        <v>91.169799999999995</v>
      </c>
      <c r="C953" s="10">
        <f>CHOOSE(CONTROL!$C$42, 91.1777, 91.1777) * CHOOSE(CONTROL!$C$21, $C$9, 100%, $E$9)</f>
        <v>91.177700000000002</v>
      </c>
      <c r="D953" s="10">
        <f>CHOOSE(CONTROL!$C$42, 91.3804, 91.3804) * CHOOSE(CONTROL!$C$21, $C$9, 100%, $E$9)</f>
        <v>91.380399999999995</v>
      </c>
      <c r="E953" s="10">
        <f>CHOOSE(CONTROL!$C$42, 91.4116, 91.4116) * CHOOSE(CONTROL!$C$21, $C$9, 100%, $E$9)</f>
        <v>91.411600000000007</v>
      </c>
      <c r="F953" s="10">
        <f>CHOOSE(CONTROL!$C$42, 91.1455, 91.1455)*CHOOSE(CONTROL!$C$21, $C$9, 100%, $E$9)</f>
        <v>91.145499999999998</v>
      </c>
      <c r="G953" s="10">
        <f>CHOOSE(CONTROL!$C$42, 91.1605, 91.1605)*CHOOSE(CONTROL!$C$21, $C$9, 100%, $E$9)</f>
        <v>91.160499999999999</v>
      </c>
      <c r="H953" s="10">
        <f>CHOOSE(CONTROL!$C$42, 91.4002, 91.4002) * CHOOSE(CONTROL!$C$21, $C$9, 100%, $E$9)</f>
        <v>91.400199999999998</v>
      </c>
      <c r="I953" s="10">
        <f>CHOOSE(CONTROL!$C$42, 91.1698, 91.1698)* CHOOSE(CONTROL!$C$21, $C$9, 100%, $E$9)</f>
        <v>91.169799999999995</v>
      </c>
      <c r="J953" s="10">
        <f>CHOOSE(CONTROL!$C$42, 91.1385, 91.1385)* CHOOSE(CONTROL!$C$21, $C$9, 100%, $E$9)</f>
        <v>91.138499999999993</v>
      </c>
      <c r="K953" s="53">
        <f>CHOOSE(CONTROL!$C$42, 91.1659, 91.1659) * CHOOSE(CONTROL!$C$21, $C$9, 100%, $E$9)</f>
        <v>91.165899999999993</v>
      </c>
      <c r="L953" s="10">
        <f>CHOOSE(CONTROL!$C$42, 91.9872, 91.9872) * CHOOSE(CONTROL!$C$21, $C$9, 100%, $E$9)</f>
        <v>91.987200000000001</v>
      </c>
      <c r="M953" s="10">
        <f>CHOOSE(CONTROL!$C$42, 90.2326, 90.2326) * CHOOSE(CONTROL!$C$21, $C$9, 100%, $E$9)</f>
        <v>90.232600000000005</v>
      </c>
      <c r="N953" s="10">
        <f>CHOOSE(CONTROL!$C$42, 90.2474, 90.2474) * CHOOSE(CONTROL!$C$21, $C$9, 100%, $E$9)</f>
        <v>90.247399999999999</v>
      </c>
      <c r="O953" s="10">
        <f>CHOOSE(CONTROL!$C$42, 90.4916, 90.4916) * CHOOSE(CONTROL!$C$21, $C$9, 100%, $E$9)</f>
        <v>90.491600000000005</v>
      </c>
      <c r="P953" s="10">
        <f>CHOOSE(CONTROL!$C$42, 90.2636, 90.2636) * CHOOSE(CONTROL!$C$21, $C$9, 100%, $E$9)</f>
        <v>90.263599999999997</v>
      </c>
      <c r="Q953" s="10">
        <f>CHOOSE(CONTROL!$C$42, 91.0869, 91.0869) * CHOOSE(CONTROL!$C$21, $C$9, 100%, $E$9)</f>
        <v>91.0869</v>
      </c>
      <c r="R953" s="10">
        <f>CHOOSE(CONTROL!$C$42, 91.9017, 91.9017) * CHOOSE(CONTROL!$C$21, $C$9, 100%, $E$9)</f>
        <v>91.901700000000005</v>
      </c>
      <c r="S953" s="10">
        <f>CHOOSE(CONTROL!$C$42, 88.5307, 88.5307) * CHOOSE(CONTROL!$C$21, $C$9, 100%, $E$9)</f>
        <v>88.530699999999996</v>
      </c>
      <c r="T9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57">
        <f>(1000*CHOOSE(CONTROL!$C$42, 695, 695)*CHOOSE(CONTROL!$C$42, 0.5599, 0.5599)*CHOOSE(CONTROL!$C$42, 31, 31))/1000000</f>
        <v>12.063045499999998</v>
      </c>
      <c r="V953" s="57">
        <f>(1000*CHOOSE(CONTROL!$C$42, 500, 500)*CHOOSE(CONTROL!$C$42, 0.275, 0.275)*CHOOSE(CONTROL!$C$42, 31, 31))/1000000</f>
        <v>4.2625000000000002</v>
      </c>
      <c r="W953" s="57">
        <f>(1000*CHOOSE(CONTROL!$C$42, 0.1146, 0.1146)*CHOOSE(CONTROL!$C$42, 121.5, 121.5)*CHOOSE(CONTROL!$C$42, 31, 31))/1000000</f>
        <v>0.43164089999999994</v>
      </c>
      <c r="X953" s="57">
        <f>(31*0.1790888*245000/1000000)+(31*0.2374*100000/1000000)</f>
        <v>2.0961194359999999</v>
      </c>
      <c r="Y953" s="57"/>
      <c r="Z953" s="10"/>
      <c r="AA953" s="56"/>
      <c r="AB953" s="50">
        <f>(B953*194.205+C953*267.466+D953*133.845+E953*53.484+F953*40+G953*185+H953*0+I953*100+J953*300)/(194.205+267.466+133.845+53.484+0+40+185+100+300)</f>
        <v>91.194251075039247</v>
      </c>
      <c r="AC953" s="45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90.355300719424477</v>
      </c>
    </row>
    <row r="954" spans="1:29" ht="15.75" x14ac:dyDescent="0.25">
      <c r="A954" s="13">
        <v>69944</v>
      </c>
      <c r="B954" s="10">
        <f>CHOOSE(CONTROL!$C$42, 93.7558, 93.7558) * CHOOSE(CONTROL!$C$21, $C$9, 100%, $E$9)</f>
        <v>93.755799999999994</v>
      </c>
      <c r="C954" s="10">
        <f>CHOOSE(CONTROL!$C$42, 93.7637, 93.7637) * CHOOSE(CONTROL!$C$21, $C$9, 100%, $E$9)</f>
        <v>93.7637</v>
      </c>
      <c r="D954" s="10">
        <f>CHOOSE(CONTROL!$C$42, 93.9664, 93.9664) * CHOOSE(CONTROL!$C$21, $C$9, 100%, $E$9)</f>
        <v>93.966399999999993</v>
      </c>
      <c r="E954" s="10">
        <f>CHOOSE(CONTROL!$C$42, 93.9976, 93.9976) * CHOOSE(CONTROL!$C$21, $C$9, 100%, $E$9)</f>
        <v>93.997600000000006</v>
      </c>
      <c r="F954" s="10">
        <f>CHOOSE(CONTROL!$C$42, 93.732, 93.732)*CHOOSE(CONTROL!$C$21, $C$9, 100%, $E$9)</f>
        <v>93.731999999999999</v>
      </c>
      <c r="G954" s="10">
        <f>CHOOSE(CONTROL!$C$42, 93.7472, 93.7472)*CHOOSE(CONTROL!$C$21, $C$9, 100%, $E$9)</f>
        <v>93.747200000000007</v>
      </c>
      <c r="H954" s="10">
        <f>CHOOSE(CONTROL!$C$42, 93.9862, 93.9862) * CHOOSE(CONTROL!$C$21, $C$9, 100%, $E$9)</f>
        <v>93.986199999999997</v>
      </c>
      <c r="I954" s="10">
        <f>CHOOSE(CONTROL!$C$42, 93.7558, 93.7558)* CHOOSE(CONTROL!$C$21, $C$9, 100%, $E$9)</f>
        <v>93.755799999999994</v>
      </c>
      <c r="J954" s="10">
        <f>CHOOSE(CONTROL!$C$42, 93.725, 93.725)* CHOOSE(CONTROL!$C$21, $C$9, 100%, $E$9)</f>
        <v>93.724999999999994</v>
      </c>
      <c r="K954" s="53">
        <f>CHOOSE(CONTROL!$C$42, 93.7519, 93.7519) * CHOOSE(CONTROL!$C$21, $C$9, 100%, $E$9)</f>
        <v>93.751900000000006</v>
      </c>
      <c r="L954" s="10">
        <f>CHOOSE(CONTROL!$C$42, 94.5732, 94.5732) * CHOOSE(CONTROL!$C$21, $C$9, 100%, $E$9)</f>
        <v>94.5732</v>
      </c>
      <c r="M954" s="10">
        <f>CHOOSE(CONTROL!$C$42, 92.793, 92.793) * CHOOSE(CONTROL!$C$21, $C$9, 100%, $E$9)</f>
        <v>92.793000000000006</v>
      </c>
      <c r="N954" s="10">
        <f>CHOOSE(CONTROL!$C$42, 92.808, 92.808) * CHOOSE(CONTROL!$C$21, $C$9, 100%, $E$9)</f>
        <v>92.808000000000007</v>
      </c>
      <c r="O954" s="10">
        <f>CHOOSE(CONTROL!$C$42, 93.0516, 93.0516) * CHOOSE(CONTROL!$C$21, $C$9, 100%, $E$9)</f>
        <v>93.051599999999993</v>
      </c>
      <c r="P954" s="10">
        <f>CHOOSE(CONTROL!$C$42, 92.8235, 92.8235) * CHOOSE(CONTROL!$C$21, $C$9, 100%, $E$9)</f>
        <v>92.823499999999996</v>
      </c>
      <c r="Q954" s="10">
        <f>CHOOSE(CONTROL!$C$42, 93.6469, 93.6469) * CHOOSE(CONTROL!$C$21, $C$9, 100%, $E$9)</f>
        <v>93.646900000000002</v>
      </c>
      <c r="R954" s="10">
        <f>CHOOSE(CONTROL!$C$42, 94.468, 94.468) * CHOOSE(CONTROL!$C$21, $C$9, 100%, $E$9)</f>
        <v>94.468000000000004</v>
      </c>
      <c r="S954" s="10">
        <f>CHOOSE(CONTROL!$C$42, 91.042, 91.042) * CHOOSE(CONTROL!$C$21, $C$9, 100%, $E$9)</f>
        <v>91.042000000000002</v>
      </c>
      <c r="T9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57">
        <f>(1000*CHOOSE(CONTROL!$C$42, 695, 695)*CHOOSE(CONTROL!$C$42, 0.5599, 0.5599)*CHOOSE(CONTROL!$C$42, 30, 30))/1000000</f>
        <v>11.673914999999997</v>
      </c>
      <c r="V954" s="57">
        <f>(1000*CHOOSE(CONTROL!$C$42, 500, 500)*CHOOSE(CONTROL!$C$42, 0.275, 0.275)*CHOOSE(CONTROL!$C$42, 30, 30))/1000000</f>
        <v>4.125</v>
      </c>
      <c r="W954" s="57">
        <f>(1000*CHOOSE(CONTROL!$C$42, 0.1146, 0.1146)*CHOOSE(CONTROL!$C$42, 121.5, 121.5)*CHOOSE(CONTROL!$C$42, 30, 30))/1000000</f>
        <v>0.417717</v>
      </c>
      <c r="X954" s="57">
        <f>(30*0.1790888*245000/1000000)+(30*0.2374*100000/1000000)</f>
        <v>2.0285026799999999</v>
      </c>
      <c r="Y954" s="57"/>
      <c r="Z954" s="10"/>
      <c r="AA954" s="56"/>
      <c r="AB954" s="50">
        <f>(B954*194.205+C954*267.466+D954*133.845+E954*53.484+F954*40+G954*185+H954*0+I954*100+J954*300)/(194.205+267.466+133.845+53.484+0+40+185+100+300)</f>
        <v>93.780486161381475</v>
      </c>
      <c r="AC954" s="45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92.915458992805753</v>
      </c>
    </row>
    <row r="955" spans="1:29" ht="15.75" x14ac:dyDescent="0.25">
      <c r="A955" s="13">
        <v>69975</v>
      </c>
      <c r="B955" s="10">
        <f>CHOOSE(CONTROL!$C$42, 91.9572, 91.9572) * CHOOSE(CONTROL!$C$21, $C$9, 100%, $E$9)</f>
        <v>91.9572</v>
      </c>
      <c r="C955" s="10">
        <f>CHOOSE(CONTROL!$C$42, 91.9651, 91.9651) * CHOOSE(CONTROL!$C$21, $C$9, 100%, $E$9)</f>
        <v>91.965100000000007</v>
      </c>
      <c r="D955" s="10">
        <f>CHOOSE(CONTROL!$C$42, 92.1679, 92.1679) * CHOOSE(CONTROL!$C$21, $C$9, 100%, $E$9)</f>
        <v>92.167900000000003</v>
      </c>
      <c r="E955" s="10">
        <f>CHOOSE(CONTROL!$C$42, 92.199, 92.199) * CHOOSE(CONTROL!$C$21, $C$9, 100%, $E$9)</f>
        <v>92.198999999999998</v>
      </c>
      <c r="F955" s="10">
        <f>CHOOSE(CONTROL!$C$42, 91.934, 91.934)*CHOOSE(CONTROL!$C$21, $C$9, 100%, $E$9)</f>
        <v>91.933999999999997</v>
      </c>
      <c r="G955" s="10">
        <f>CHOOSE(CONTROL!$C$42, 91.9492, 91.9492)*CHOOSE(CONTROL!$C$21, $C$9, 100%, $E$9)</f>
        <v>91.949200000000005</v>
      </c>
      <c r="H955" s="10">
        <f>CHOOSE(CONTROL!$C$42, 92.1876, 92.1876) * CHOOSE(CONTROL!$C$21, $C$9, 100%, $E$9)</f>
        <v>92.187600000000003</v>
      </c>
      <c r="I955" s="10">
        <f>CHOOSE(CONTROL!$C$42, 91.9573, 91.9573)* CHOOSE(CONTROL!$C$21, $C$9, 100%, $E$9)</f>
        <v>91.957300000000004</v>
      </c>
      <c r="J955" s="10">
        <f>CHOOSE(CONTROL!$C$42, 91.927, 91.927)* CHOOSE(CONTROL!$C$21, $C$9, 100%, $E$9)</f>
        <v>91.927000000000007</v>
      </c>
      <c r="K955" s="53">
        <f>CHOOSE(CONTROL!$C$42, 91.9534, 91.9534) * CHOOSE(CONTROL!$C$21, $C$9, 100%, $E$9)</f>
        <v>91.953400000000002</v>
      </c>
      <c r="L955" s="10">
        <f>CHOOSE(CONTROL!$C$42, 92.7746, 92.7746) * CHOOSE(CONTROL!$C$21, $C$9, 100%, $E$9)</f>
        <v>92.774600000000007</v>
      </c>
      <c r="M955" s="10">
        <f>CHOOSE(CONTROL!$C$42, 91.0131, 91.0131) * CHOOSE(CONTROL!$C$21, $C$9, 100%, $E$9)</f>
        <v>91.013099999999994</v>
      </c>
      <c r="N955" s="10">
        <f>CHOOSE(CONTROL!$C$42, 91.0282, 91.0282) * CHOOSE(CONTROL!$C$21, $C$9, 100%, $E$9)</f>
        <v>91.028199999999998</v>
      </c>
      <c r="O955" s="10">
        <f>CHOOSE(CONTROL!$C$42, 91.2711, 91.2711) * CHOOSE(CONTROL!$C$21, $C$9, 100%, $E$9)</f>
        <v>91.271100000000004</v>
      </c>
      <c r="P955" s="10">
        <f>CHOOSE(CONTROL!$C$42, 91.0431, 91.0431) * CHOOSE(CONTROL!$C$21, $C$9, 100%, $E$9)</f>
        <v>91.043099999999995</v>
      </c>
      <c r="Q955" s="10">
        <f>CHOOSE(CONTROL!$C$42, 91.8664, 91.8664) * CHOOSE(CONTROL!$C$21, $C$9, 100%, $E$9)</f>
        <v>91.866399999999999</v>
      </c>
      <c r="R955" s="10">
        <f>CHOOSE(CONTROL!$C$42, 92.6831, 92.6831) * CHOOSE(CONTROL!$C$21, $C$9, 100%, $E$9)</f>
        <v>92.683099999999996</v>
      </c>
      <c r="S955" s="10">
        <f>CHOOSE(CONTROL!$C$42, 89.2954, 89.2954) * CHOOSE(CONTROL!$C$21, $C$9, 100%, $E$9)</f>
        <v>89.295400000000001</v>
      </c>
      <c r="T9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57">
        <f>(1000*CHOOSE(CONTROL!$C$42, 695, 695)*CHOOSE(CONTROL!$C$42, 0.5599, 0.5599)*CHOOSE(CONTROL!$C$42, 31, 31))/1000000</f>
        <v>12.063045499999998</v>
      </c>
      <c r="V955" s="57">
        <f>(1000*CHOOSE(CONTROL!$C$42, 500, 500)*CHOOSE(CONTROL!$C$42, 0.275, 0.275)*CHOOSE(CONTROL!$C$42, 31, 31))/1000000</f>
        <v>4.2625000000000002</v>
      </c>
      <c r="W955" s="57">
        <f>(1000*CHOOSE(CONTROL!$C$42, 0.1146, 0.1146)*CHOOSE(CONTROL!$C$42, 121.5, 121.5)*CHOOSE(CONTROL!$C$42, 31, 31))/1000000</f>
        <v>0.43164089999999994</v>
      </c>
      <c r="X955" s="57">
        <f>(31*0.1790888*245000/1000000)+(31*0.2374*100000/1000000)</f>
        <v>2.0961194359999999</v>
      </c>
      <c r="Y955" s="57"/>
      <c r="Z955" s="10"/>
      <c r="AA955" s="56"/>
      <c r="AB955" s="50">
        <f>(B955*194.205+C955*267.466+D955*133.845+E955*53.484+F955*40+G955*185+H955*0+I955*100+J955*300)/(194.205+267.466+133.845+53.484+0+40+185+100+300)</f>
        <v>91.982151769309269</v>
      </c>
      <c r="AC955" s="45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91.135220863309343</v>
      </c>
    </row>
    <row r="956" spans="1:29" ht="15.75" x14ac:dyDescent="0.25">
      <c r="A956" s="13">
        <v>70006</v>
      </c>
      <c r="B956" s="10">
        <f>CHOOSE(CONTROL!$C$42, 87.4152, 87.4152) * CHOOSE(CONTROL!$C$21, $C$9, 100%, $E$9)</f>
        <v>87.415199999999999</v>
      </c>
      <c r="C956" s="10">
        <f>CHOOSE(CONTROL!$C$42, 87.4231, 87.4231) * CHOOSE(CONTROL!$C$21, $C$9, 100%, $E$9)</f>
        <v>87.423100000000005</v>
      </c>
      <c r="D956" s="10">
        <f>CHOOSE(CONTROL!$C$42, 87.6259, 87.6259) * CHOOSE(CONTROL!$C$21, $C$9, 100%, $E$9)</f>
        <v>87.625900000000001</v>
      </c>
      <c r="E956" s="10">
        <f>CHOOSE(CONTROL!$C$42, 87.657, 87.657) * CHOOSE(CONTROL!$C$21, $C$9, 100%, $E$9)</f>
        <v>87.656999999999996</v>
      </c>
      <c r="F956" s="10">
        <f>CHOOSE(CONTROL!$C$42, 87.3922, 87.3922)*CHOOSE(CONTROL!$C$21, $C$9, 100%, $E$9)</f>
        <v>87.392200000000003</v>
      </c>
      <c r="G956" s="10">
        <f>CHOOSE(CONTROL!$C$42, 87.4075, 87.4075)*CHOOSE(CONTROL!$C$21, $C$9, 100%, $E$9)</f>
        <v>87.407499999999999</v>
      </c>
      <c r="H956" s="10">
        <f>CHOOSE(CONTROL!$C$42, 87.6456, 87.6456) * CHOOSE(CONTROL!$C$21, $C$9, 100%, $E$9)</f>
        <v>87.645600000000002</v>
      </c>
      <c r="I956" s="10">
        <f>CHOOSE(CONTROL!$C$42, 87.4153, 87.4153)* CHOOSE(CONTROL!$C$21, $C$9, 100%, $E$9)</f>
        <v>87.415300000000002</v>
      </c>
      <c r="J956" s="10">
        <f>CHOOSE(CONTROL!$C$42, 87.3852, 87.3852)* CHOOSE(CONTROL!$C$21, $C$9, 100%, $E$9)</f>
        <v>87.385199999999998</v>
      </c>
      <c r="K956" s="53">
        <f>CHOOSE(CONTROL!$C$42, 87.4114, 87.4114) * CHOOSE(CONTROL!$C$21, $C$9, 100%, $E$9)</f>
        <v>87.4114</v>
      </c>
      <c r="L956" s="10">
        <f>CHOOSE(CONTROL!$C$42, 88.2326, 88.2326) * CHOOSE(CONTROL!$C$21, $C$9, 100%, $E$9)</f>
        <v>88.232600000000005</v>
      </c>
      <c r="M956" s="10">
        <f>CHOOSE(CONTROL!$C$42, 86.5171, 86.5171) * CHOOSE(CONTROL!$C$21, $C$9, 100%, $E$9)</f>
        <v>86.517099999999999</v>
      </c>
      <c r="N956" s="10">
        <f>CHOOSE(CONTROL!$C$42, 86.5323, 86.5323) * CHOOSE(CONTROL!$C$21, $C$9, 100%, $E$9)</f>
        <v>86.532300000000006</v>
      </c>
      <c r="O956" s="10">
        <f>CHOOSE(CONTROL!$C$42, 86.775, 86.775) * CHOOSE(CONTROL!$C$21, $C$9, 100%, $E$9)</f>
        <v>86.775000000000006</v>
      </c>
      <c r="P956" s="10">
        <f>CHOOSE(CONTROL!$C$42, 86.547, 86.547) * CHOOSE(CONTROL!$C$21, $C$9, 100%, $E$9)</f>
        <v>86.546999999999997</v>
      </c>
      <c r="Q956" s="10">
        <f>CHOOSE(CONTROL!$C$42, 87.3703, 87.3703) * CHOOSE(CONTROL!$C$21, $C$9, 100%, $E$9)</f>
        <v>87.3703</v>
      </c>
      <c r="R956" s="10">
        <f>CHOOSE(CONTROL!$C$42, 88.1757, 88.1757) * CHOOSE(CONTROL!$C$21, $C$9, 100%, $E$9)</f>
        <v>88.175700000000006</v>
      </c>
      <c r="S956" s="10">
        <f>CHOOSE(CONTROL!$C$42, 84.8847, 84.8847) * CHOOSE(CONTROL!$C$21, $C$9, 100%, $E$9)</f>
        <v>84.884699999999995</v>
      </c>
      <c r="T9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57">
        <f>(1000*CHOOSE(CONTROL!$C$42, 695, 695)*CHOOSE(CONTROL!$C$42, 0.5599, 0.5599)*CHOOSE(CONTROL!$C$42, 31, 31))/1000000</f>
        <v>12.063045499999998</v>
      </c>
      <c r="V956" s="57">
        <f>(1000*CHOOSE(CONTROL!$C$42, 500, 500)*CHOOSE(CONTROL!$C$42, 0.275, 0.275)*CHOOSE(CONTROL!$C$42, 31, 31))/1000000</f>
        <v>4.2625000000000002</v>
      </c>
      <c r="W956" s="57">
        <f>(1000*CHOOSE(CONTROL!$C$42, 0.1146, 0.1146)*CHOOSE(CONTROL!$C$42, 121.5, 121.5)*CHOOSE(CONTROL!$C$42, 31, 31))/1000000</f>
        <v>0.43164089999999994</v>
      </c>
      <c r="X956" s="57">
        <f>(31*0.1790888*245000/1000000)+(31*0.2374*100000/1000000)</f>
        <v>2.0961194359999999</v>
      </c>
      <c r="Y956" s="57"/>
      <c r="Z956" s="10"/>
      <c r="AA956" s="56"/>
      <c r="AB956" s="50">
        <f>(B956*194.205+C956*267.466+D956*133.845+E956*53.484+F956*40+G956*185+H956*0+I956*100+J956*300)/(194.205+267.466+133.845+53.484+0+40+185+100+300)</f>
        <v>87.440248708084781</v>
      </c>
      <c r="AC956" s="45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86.639166906474813</v>
      </c>
    </row>
    <row r="957" spans="1:29" ht="15.75" x14ac:dyDescent="0.25">
      <c r="A957" s="13">
        <v>70036</v>
      </c>
      <c r="B957" s="10">
        <f>CHOOSE(CONTROL!$C$42, 81.8654, 81.8654) * CHOOSE(CONTROL!$C$21, $C$9, 100%, $E$9)</f>
        <v>81.865399999999994</v>
      </c>
      <c r="C957" s="10">
        <f>CHOOSE(CONTROL!$C$42, 81.8733, 81.8733) * CHOOSE(CONTROL!$C$21, $C$9, 100%, $E$9)</f>
        <v>81.8733</v>
      </c>
      <c r="D957" s="10">
        <f>CHOOSE(CONTROL!$C$42, 82.076, 82.076) * CHOOSE(CONTROL!$C$21, $C$9, 100%, $E$9)</f>
        <v>82.075999999999993</v>
      </c>
      <c r="E957" s="10">
        <f>CHOOSE(CONTROL!$C$42, 82.1072, 82.1072) * CHOOSE(CONTROL!$C$21, $C$9, 100%, $E$9)</f>
        <v>82.107200000000006</v>
      </c>
      <c r="F957" s="10">
        <f>CHOOSE(CONTROL!$C$42, 81.8422, 81.8422)*CHOOSE(CONTROL!$C$21, $C$9, 100%, $E$9)</f>
        <v>81.842200000000005</v>
      </c>
      <c r="G957" s="10">
        <f>CHOOSE(CONTROL!$C$42, 81.8575, 81.8575)*CHOOSE(CONTROL!$C$21, $C$9, 100%, $E$9)</f>
        <v>81.857500000000002</v>
      </c>
      <c r="H957" s="10">
        <f>CHOOSE(CONTROL!$C$42, 82.0958, 82.0958) * CHOOSE(CONTROL!$C$21, $C$9, 100%, $E$9)</f>
        <v>82.095799999999997</v>
      </c>
      <c r="I957" s="10">
        <f>CHOOSE(CONTROL!$C$42, 81.8654, 81.8654)* CHOOSE(CONTROL!$C$21, $C$9, 100%, $E$9)</f>
        <v>81.865399999999994</v>
      </c>
      <c r="J957" s="10">
        <f>CHOOSE(CONTROL!$C$42, 81.8352, 81.8352)* CHOOSE(CONTROL!$C$21, $C$9, 100%, $E$9)</f>
        <v>81.8352</v>
      </c>
      <c r="K957" s="53">
        <f>CHOOSE(CONTROL!$C$42, 81.8615, 81.8615) * CHOOSE(CONTROL!$C$21, $C$9, 100%, $E$9)</f>
        <v>81.861500000000007</v>
      </c>
      <c r="L957" s="10">
        <f>CHOOSE(CONTROL!$C$42, 82.6828, 82.6828) * CHOOSE(CONTROL!$C$21, $C$9, 100%, $E$9)</f>
        <v>82.6828</v>
      </c>
      <c r="M957" s="10">
        <f>CHOOSE(CONTROL!$C$42, 81.0231, 81.0231) * CHOOSE(CONTROL!$C$21, $C$9, 100%, $E$9)</f>
        <v>81.023099999999999</v>
      </c>
      <c r="N957" s="10">
        <f>CHOOSE(CONTROL!$C$42, 81.0383, 81.0383) * CHOOSE(CONTROL!$C$21, $C$9, 100%, $E$9)</f>
        <v>81.038300000000007</v>
      </c>
      <c r="O957" s="10">
        <f>CHOOSE(CONTROL!$C$42, 81.2811, 81.2811) * CHOOSE(CONTROL!$C$21, $C$9, 100%, $E$9)</f>
        <v>81.281099999999995</v>
      </c>
      <c r="P957" s="10">
        <f>CHOOSE(CONTROL!$C$42, 81.0531, 81.0531) * CHOOSE(CONTROL!$C$21, $C$9, 100%, $E$9)</f>
        <v>81.053100000000001</v>
      </c>
      <c r="Q957" s="10">
        <f>CHOOSE(CONTROL!$C$42, 81.8764, 81.8764) * CHOOSE(CONTROL!$C$21, $C$9, 100%, $E$9)</f>
        <v>81.876400000000004</v>
      </c>
      <c r="R957" s="10">
        <f>CHOOSE(CONTROL!$C$42, 82.6681, 82.6681) * CHOOSE(CONTROL!$C$21, $C$9, 100%, $E$9)</f>
        <v>82.668099999999995</v>
      </c>
      <c r="S957" s="10">
        <f>CHOOSE(CONTROL!$C$42, 79.4952, 79.4952) * CHOOSE(CONTROL!$C$21, $C$9, 100%, $E$9)</f>
        <v>79.495199999999997</v>
      </c>
      <c r="T9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57">
        <f>(1000*CHOOSE(CONTROL!$C$42, 695, 695)*CHOOSE(CONTROL!$C$42, 0.5599, 0.5599)*CHOOSE(CONTROL!$C$42, 30, 30))/1000000</f>
        <v>11.673914999999997</v>
      </c>
      <c r="V957" s="57">
        <f>(1000*CHOOSE(CONTROL!$C$42, 500, 500)*CHOOSE(CONTROL!$C$42, 0.275, 0.275)*CHOOSE(CONTROL!$C$42, 30, 30))/1000000</f>
        <v>4.125</v>
      </c>
      <c r="W957" s="57">
        <f>(1000*CHOOSE(CONTROL!$C$42, 0.1146, 0.1146)*CHOOSE(CONTROL!$C$42, 121.5, 121.5)*CHOOSE(CONTROL!$C$42, 30, 30))/1000000</f>
        <v>0.417717</v>
      </c>
      <c r="X957" s="57">
        <f>(30*0.1790888*245000/1000000)+(30*0.2374*100000/1000000)</f>
        <v>2.0285026799999999</v>
      </c>
      <c r="Y957" s="57"/>
      <c r="Z957" s="10"/>
      <c r="AA957" s="56"/>
      <c r="AB957" s="50">
        <f>(B957*194.205+C957*267.466+D957*133.845+E957*53.484+F957*40+G957*185+H957*0+I957*100+J957*300)/(194.205+267.466+133.845+53.484+0+40+185+100+300)</f>
        <v>81.890347935321827</v>
      </c>
      <c r="AC957" s="45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81.145226618705024</v>
      </c>
    </row>
    <row r="958" spans="1:29" ht="15.75" x14ac:dyDescent="0.25">
      <c r="A958" s="13">
        <v>70067</v>
      </c>
      <c r="B958" s="10">
        <f>CHOOSE(CONTROL!$C$42, 80.2015, 80.2015) * CHOOSE(CONTROL!$C$21, $C$9, 100%, $E$9)</f>
        <v>80.201499999999996</v>
      </c>
      <c r="C958" s="10">
        <f>CHOOSE(CONTROL!$C$42, 80.2067, 80.2067) * CHOOSE(CONTROL!$C$21, $C$9, 100%, $E$9)</f>
        <v>80.206699999999998</v>
      </c>
      <c r="D958" s="10">
        <f>CHOOSE(CONTROL!$C$42, 80.4144, 80.4144) * CHOOSE(CONTROL!$C$21, $C$9, 100%, $E$9)</f>
        <v>80.414400000000001</v>
      </c>
      <c r="E958" s="10">
        <f>CHOOSE(CONTROL!$C$42, 80.4432, 80.4432) * CHOOSE(CONTROL!$C$21, $C$9, 100%, $E$9)</f>
        <v>80.443200000000004</v>
      </c>
      <c r="F958" s="10">
        <f>CHOOSE(CONTROL!$C$42, 80.1802, 80.1802)*CHOOSE(CONTROL!$C$21, $C$9, 100%, $E$9)</f>
        <v>80.180199999999999</v>
      </c>
      <c r="G958" s="10">
        <f>CHOOSE(CONTROL!$C$42, 80.1952, 80.1952)*CHOOSE(CONTROL!$C$21, $C$9, 100%, $E$9)</f>
        <v>80.1952</v>
      </c>
      <c r="H958" s="10">
        <f>CHOOSE(CONTROL!$C$42, 80.4337, 80.4337) * CHOOSE(CONTROL!$C$21, $C$9, 100%, $E$9)</f>
        <v>80.433700000000002</v>
      </c>
      <c r="I958" s="10">
        <f>CHOOSE(CONTROL!$C$42, 80.2033, 80.2033)* CHOOSE(CONTROL!$C$21, $C$9, 100%, $E$9)</f>
        <v>80.203299999999999</v>
      </c>
      <c r="J958" s="10">
        <f>CHOOSE(CONTROL!$C$42, 80.1732, 80.1732)* CHOOSE(CONTROL!$C$21, $C$9, 100%, $E$9)</f>
        <v>80.173199999999994</v>
      </c>
      <c r="K958" s="53">
        <f>CHOOSE(CONTROL!$C$42, 80.1994, 80.1994) * CHOOSE(CONTROL!$C$21, $C$9, 100%, $E$9)</f>
        <v>80.199399999999997</v>
      </c>
      <c r="L958" s="10">
        <f>CHOOSE(CONTROL!$C$42, 81.0207, 81.0207) * CHOOSE(CONTROL!$C$21, $C$9, 100%, $E$9)</f>
        <v>81.020700000000005</v>
      </c>
      <c r="M958" s="10">
        <f>CHOOSE(CONTROL!$C$42, 79.378, 79.378) * CHOOSE(CONTROL!$C$21, $C$9, 100%, $E$9)</f>
        <v>79.378</v>
      </c>
      <c r="N958" s="10">
        <f>CHOOSE(CONTROL!$C$42, 79.3928, 79.3928) * CHOOSE(CONTROL!$C$21, $C$9, 100%, $E$9)</f>
        <v>79.392799999999994</v>
      </c>
      <c r="O958" s="10">
        <f>CHOOSE(CONTROL!$C$42, 79.6358, 79.6358) * CHOOSE(CONTROL!$C$21, $C$9, 100%, $E$9)</f>
        <v>79.635800000000003</v>
      </c>
      <c r="P958" s="10">
        <f>CHOOSE(CONTROL!$C$42, 79.4078, 79.4078) * CHOOSE(CONTROL!$C$21, $C$9, 100%, $E$9)</f>
        <v>79.407799999999995</v>
      </c>
      <c r="Q958" s="10">
        <f>CHOOSE(CONTROL!$C$42, 80.2311, 80.2311) * CHOOSE(CONTROL!$C$21, $C$9, 100%, $E$9)</f>
        <v>80.231099999999998</v>
      </c>
      <c r="R958" s="10">
        <f>CHOOSE(CONTROL!$C$42, 81.0187, 81.0187) * CHOOSE(CONTROL!$C$21, $C$9, 100%, $E$9)</f>
        <v>81.018699999999995</v>
      </c>
      <c r="S958" s="10">
        <f>CHOOSE(CONTROL!$C$42, 77.8812, 77.8812) * CHOOSE(CONTROL!$C$21, $C$9, 100%, $E$9)</f>
        <v>77.881200000000007</v>
      </c>
      <c r="T9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57">
        <f>(1000*CHOOSE(CONTROL!$C$42, 695, 695)*CHOOSE(CONTROL!$C$42, 0.5599, 0.5599)*CHOOSE(CONTROL!$C$42, 31, 31))/1000000</f>
        <v>12.063045499999998</v>
      </c>
      <c r="V958" s="57">
        <f>(1000*CHOOSE(CONTROL!$C$42, 500, 500)*CHOOSE(CONTROL!$C$42, 0.275, 0.275)*CHOOSE(CONTROL!$C$42, 31, 31))/1000000</f>
        <v>4.2625000000000002</v>
      </c>
      <c r="W958" s="57">
        <f>(1000*CHOOSE(CONTROL!$C$42, 0.1146, 0.1146)*CHOOSE(CONTROL!$C$42, 121.5, 121.5)*CHOOSE(CONTROL!$C$42, 31, 31))/1000000</f>
        <v>0.43164089999999994</v>
      </c>
      <c r="X958" s="57">
        <f>(31*0.1790888*245000/1000000)+(31*0.2374*100000/1000000)</f>
        <v>2.0961194359999999</v>
      </c>
      <c r="Y958" s="57"/>
      <c r="Z958" s="10"/>
      <c r="AA958" s="56"/>
      <c r="AB958" s="50">
        <f>(B958*131.881+C958*277.167+D958*79.08+E958*125.872+F958*40+G958*185+H958*0+I958*100+J958*300)/(131.881+277.167+79.08+125.872+0+40+185+100+300)</f>
        <v>80.232471075706215</v>
      </c>
      <c r="AC958" s="45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79.499984172661868</v>
      </c>
    </row>
    <row r="959" spans="1:29" ht="15.75" x14ac:dyDescent="0.25">
      <c r="A959" s="13">
        <v>70097</v>
      </c>
      <c r="B959" s="10">
        <f>CHOOSE(CONTROL!$C$42, 82.3139, 82.3139) * CHOOSE(CONTROL!$C$21, $C$9, 100%, $E$9)</f>
        <v>82.313900000000004</v>
      </c>
      <c r="C959" s="10">
        <f>CHOOSE(CONTROL!$C$42, 82.3189, 82.3189) * CHOOSE(CONTROL!$C$21, $C$9, 100%, $E$9)</f>
        <v>82.318899999999999</v>
      </c>
      <c r="D959" s="10">
        <f>CHOOSE(CONTROL!$C$42, 82.3794, 82.3794) * CHOOSE(CONTROL!$C$21, $C$9, 100%, $E$9)</f>
        <v>82.379400000000004</v>
      </c>
      <c r="E959" s="10">
        <f>CHOOSE(CONTROL!$C$42, 82.4131, 82.4131) * CHOOSE(CONTROL!$C$21, $C$9, 100%, $E$9)</f>
        <v>82.4131</v>
      </c>
      <c r="F959" s="10">
        <f>CHOOSE(CONTROL!$C$42, 82.3095, 82.3095)*CHOOSE(CONTROL!$C$21, $C$9, 100%, $E$9)</f>
        <v>82.3095</v>
      </c>
      <c r="G959" s="10">
        <f>CHOOSE(CONTROL!$C$42, 82.3248, 82.3248)*CHOOSE(CONTROL!$C$21, $C$9, 100%, $E$9)</f>
        <v>82.324799999999996</v>
      </c>
      <c r="H959" s="10">
        <f>CHOOSE(CONTROL!$C$42, 82.4023, 82.4023) * CHOOSE(CONTROL!$C$21, $C$9, 100%, $E$9)</f>
        <v>82.402299999999997</v>
      </c>
      <c r="I959" s="10">
        <f>CHOOSE(CONTROL!$C$42, 82.3264, 82.3264)* CHOOSE(CONTROL!$C$21, $C$9, 100%, $E$9)</f>
        <v>82.326400000000007</v>
      </c>
      <c r="J959" s="10">
        <f>CHOOSE(CONTROL!$C$42, 82.3025, 82.3025)* CHOOSE(CONTROL!$C$21, $C$9, 100%, $E$9)</f>
        <v>82.302499999999995</v>
      </c>
      <c r="K959" s="53">
        <f>CHOOSE(CONTROL!$C$42, 82.3225, 82.3225) * CHOOSE(CONTROL!$C$21, $C$9, 100%, $E$9)</f>
        <v>82.322500000000005</v>
      </c>
      <c r="L959" s="10">
        <f>CHOOSE(CONTROL!$C$42, 82.9893, 82.9893) * CHOOSE(CONTROL!$C$21, $C$9, 100%, $E$9)</f>
        <v>82.9893</v>
      </c>
      <c r="M959" s="10">
        <f>CHOOSE(CONTROL!$C$42, 81.4858, 81.4858) * CHOOSE(CONTROL!$C$21, $C$9, 100%, $E$9)</f>
        <v>81.485799999999998</v>
      </c>
      <c r="N959" s="10">
        <f>CHOOSE(CONTROL!$C$42, 81.5009, 81.5009) * CHOOSE(CONTROL!$C$21, $C$9, 100%, $E$9)</f>
        <v>81.500900000000001</v>
      </c>
      <c r="O959" s="10">
        <f>CHOOSE(CONTROL!$C$42, 81.5846, 81.5846) * CHOOSE(CONTROL!$C$21, $C$9, 100%, $E$9)</f>
        <v>81.584599999999995</v>
      </c>
      <c r="P959" s="10">
        <f>CHOOSE(CONTROL!$C$42, 81.5095, 81.5095) * CHOOSE(CONTROL!$C$21, $C$9, 100%, $E$9)</f>
        <v>81.509500000000003</v>
      </c>
      <c r="Q959" s="10">
        <f>CHOOSE(CONTROL!$C$42, 82.1799, 82.1799) * CHOOSE(CONTROL!$C$21, $C$9, 100%, $E$9)</f>
        <v>82.179900000000004</v>
      </c>
      <c r="R959" s="10">
        <f>CHOOSE(CONTROL!$C$42, 82.9723, 82.9723) * CHOOSE(CONTROL!$C$21, $C$9, 100%, $E$9)</f>
        <v>82.972300000000004</v>
      </c>
      <c r="S959" s="10">
        <f>CHOOSE(CONTROL!$C$42, 79.9329, 79.9329) * CHOOSE(CONTROL!$C$21, $C$9, 100%, $E$9)</f>
        <v>79.932900000000004</v>
      </c>
      <c r="T9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57">
        <f>(1000*CHOOSE(CONTROL!$C$42, 695, 695)*CHOOSE(CONTROL!$C$42, 0.5599, 0.5599)*CHOOSE(CONTROL!$C$42, 30, 30))/1000000</f>
        <v>11.673914999999997</v>
      </c>
      <c r="V959" s="57">
        <f>(1000*CHOOSE(CONTROL!$C$42, 500, 500)*CHOOSE(CONTROL!$C$42, 0.275, 0.275)*CHOOSE(CONTROL!$C$42, 30, 30))/1000000</f>
        <v>4.125</v>
      </c>
      <c r="W959" s="57">
        <f>(1000*CHOOSE(CONTROL!$C$42, 0.1146, 0.1146)*CHOOSE(CONTROL!$C$42, 121.5, 121.5)*CHOOSE(CONTROL!$C$42, 30, 30))/1000000</f>
        <v>0.417717</v>
      </c>
      <c r="X959" s="57">
        <f>(30*0.1790888*100000/1000000)+(30*0.2374*100000/1000000)</f>
        <v>1.2494664</v>
      </c>
      <c r="Y959" s="57"/>
      <c r="Z959" s="10"/>
      <c r="AA959" s="56"/>
      <c r="AB959" s="50">
        <f>(B959*122.58+C959*297.941+D959*89.177+E959*40.302+F959*40+G959*160+H959*0+I959*100+J959*300)/(122.58+297.941+89.177+40.302+0+40+160+100+300)</f>
        <v>82.323227614695654</v>
      </c>
      <c r="AC959" s="45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81.534858992805752</v>
      </c>
    </row>
    <row r="960" spans="1:29" ht="15.75" x14ac:dyDescent="0.25">
      <c r="A960" s="13">
        <v>70128</v>
      </c>
      <c r="B960" s="10">
        <f>CHOOSE(CONTROL!$C$42, 87.9258, 87.9258) * CHOOSE(CONTROL!$C$21, $C$9, 100%, $E$9)</f>
        <v>87.925799999999995</v>
      </c>
      <c r="C960" s="10">
        <f>CHOOSE(CONTROL!$C$42, 87.9308, 87.9308) * CHOOSE(CONTROL!$C$21, $C$9, 100%, $E$9)</f>
        <v>87.930800000000005</v>
      </c>
      <c r="D960" s="10">
        <f>CHOOSE(CONTROL!$C$42, 87.9913, 87.9913) * CHOOSE(CONTROL!$C$21, $C$9, 100%, $E$9)</f>
        <v>87.991299999999995</v>
      </c>
      <c r="E960" s="10">
        <f>CHOOSE(CONTROL!$C$42, 88.0251, 88.0251) * CHOOSE(CONTROL!$C$21, $C$9, 100%, $E$9)</f>
        <v>88.025099999999995</v>
      </c>
      <c r="F960" s="10">
        <f>CHOOSE(CONTROL!$C$42, 87.9233, 87.9233)*CHOOSE(CONTROL!$C$21, $C$9, 100%, $E$9)</f>
        <v>87.923299999999998</v>
      </c>
      <c r="G960" s="10">
        <f>CHOOSE(CONTROL!$C$42, 87.939, 87.939)*CHOOSE(CONTROL!$C$21, $C$9, 100%, $E$9)</f>
        <v>87.938999999999993</v>
      </c>
      <c r="H960" s="10">
        <f>CHOOSE(CONTROL!$C$42, 88.0143, 88.0143) * CHOOSE(CONTROL!$C$21, $C$9, 100%, $E$9)</f>
        <v>88.014300000000006</v>
      </c>
      <c r="I960" s="10">
        <f>CHOOSE(CONTROL!$C$42, 87.9383, 87.9383)* CHOOSE(CONTROL!$C$21, $C$9, 100%, $E$9)</f>
        <v>87.938299999999998</v>
      </c>
      <c r="J960" s="10">
        <f>CHOOSE(CONTROL!$C$42, 87.9163, 87.9163)* CHOOSE(CONTROL!$C$21, $C$9, 100%, $E$9)</f>
        <v>87.916300000000007</v>
      </c>
      <c r="K960" s="53">
        <f>CHOOSE(CONTROL!$C$42, 87.9345, 87.9345) * CHOOSE(CONTROL!$C$21, $C$9, 100%, $E$9)</f>
        <v>87.9345</v>
      </c>
      <c r="L960" s="10">
        <f>CHOOSE(CONTROL!$C$42, 88.6013, 88.6013) * CHOOSE(CONTROL!$C$21, $C$9, 100%, $E$9)</f>
        <v>88.601299999999995</v>
      </c>
      <c r="M960" s="10">
        <f>CHOOSE(CONTROL!$C$42, 87.0429, 87.0429) * CHOOSE(CONTROL!$C$21, $C$9, 100%, $E$9)</f>
        <v>87.042900000000003</v>
      </c>
      <c r="N960" s="10">
        <f>CHOOSE(CONTROL!$C$42, 87.0584, 87.0584) * CHOOSE(CONTROL!$C$21, $C$9, 100%, $E$9)</f>
        <v>87.058400000000006</v>
      </c>
      <c r="O960" s="10">
        <f>CHOOSE(CONTROL!$C$42, 87.1399, 87.1399) * CHOOSE(CONTROL!$C$21, $C$9, 100%, $E$9)</f>
        <v>87.139899999999997</v>
      </c>
      <c r="P960" s="10">
        <f>CHOOSE(CONTROL!$C$42, 87.0648, 87.0648) * CHOOSE(CONTROL!$C$21, $C$9, 100%, $E$9)</f>
        <v>87.064800000000005</v>
      </c>
      <c r="Q960" s="10">
        <f>CHOOSE(CONTROL!$C$42, 87.7352, 87.7352) * CHOOSE(CONTROL!$C$21, $C$9, 100%, $E$9)</f>
        <v>87.735200000000006</v>
      </c>
      <c r="R960" s="10">
        <f>CHOOSE(CONTROL!$C$42, 88.5415, 88.5415) * CHOOSE(CONTROL!$C$21, $C$9, 100%, $E$9)</f>
        <v>88.541499999999999</v>
      </c>
      <c r="S960" s="10">
        <f>CHOOSE(CONTROL!$C$42, 85.3826, 85.3826) * CHOOSE(CONTROL!$C$21, $C$9, 100%, $E$9)</f>
        <v>85.382599999999996</v>
      </c>
      <c r="T9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57">
        <f>(1000*CHOOSE(CONTROL!$C$42, 695, 695)*CHOOSE(CONTROL!$C$42, 0.5599, 0.5599)*CHOOSE(CONTROL!$C$42, 31, 31))/1000000</f>
        <v>12.063045499999998</v>
      </c>
      <c r="V960" s="57">
        <f>(1000*CHOOSE(CONTROL!$C$42, 500, 500)*CHOOSE(CONTROL!$C$42, 0.275, 0.275)*CHOOSE(CONTROL!$C$42, 31, 31))/1000000</f>
        <v>4.2625000000000002</v>
      </c>
      <c r="W960" s="57">
        <f>(1000*CHOOSE(CONTROL!$C$42, 0.1146, 0.1146)*CHOOSE(CONTROL!$C$42, 121.5, 121.5)*CHOOSE(CONTROL!$C$42, 31, 31))/1000000</f>
        <v>0.43164089999999994</v>
      </c>
      <c r="X960" s="57">
        <f>(31*0.1790888*100000/1000000)+(31*0.2374*100000/1000000)</f>
        <v>1.2911152800000001</v>
      </c>
      <c r="Y960" s="57"/>
      <c r="Z960" s="10"/>
      <c r="AA960" s="56"/>
      <c r="AB960" s="50">
        <f>(B960*122.58+C960*297.941+D960*89.177+E960*40.302+F960*40+G960*160+H960*0+I960*100+J960*300)/(122.58+297.941+89.177+40.302+0+40+160+100+300)</f>
        <v>87.936012858347823</v>
      </c>
      <c r="AC960" s="45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87.090907194244608</v>
      </c>
    </row>
    <row r="961" spans="1:29" ht="15.75" x14ac:dyDescent="0.25">
      <c r="A961" s="13">
        <v>70159</v>
      </c>
      <c r="B961" s="10">
        <f>CHOOSE(CONTROL!$C$42, 95.13, 95.13) * CHOOSE(CONTROL!$C$21, $C$9, 100%, $E$9)</f>
        <v>95.13</v>
      </c>
      <c r="C961" s="10">
        <f>CHOOSE(CONTROL!$C$42, 95.1349, 95.1349) * CHOOSE(CONTROL!$C$21, $C$9, 100%, $E$9)</f>
        <v>95.134900000000002</v>
      </c>
      <c r="D961" s="10">
        <f>CHOOSE(CONTROL!$C$42, 95.192, 95.192) * CHOOSE(CONTROL!$C$21, $C$9, 100%, $E$9)</f>
        <v>95.191999999999993</v>
      </c>
      <c r="E961" s="10">
        <f>CHOOSE(CONTROL!$C$42, 95.2258, 95.2258) * CHOOSE(CONTROL!$C$21, $C$9, 100%, $E$9)</f>
        <v>95.225800000000007</v>
      </c>
      <c r="F961" s="10">
        <f>CHOOSE(CONTROL!$C$42, 95.1278, 95.1278)*CHOOSE(CONTROL!$C$21, $C$9, 100%, $E$9)</f>
        <v>95.127799999999993</v>
      </c>
      <c r="G961" s="10">
        <f>CHOOSE(CONTROL!$C$42, 95.1424, 95.1424)*CHOOSE(CONTROL!$C$21, $C$9, 100%, $E$9)</f>
        <v>95.142399999999995</v>
      </c>
      <c r="H961" s="10">
        <f>CHOOSE(CONTROL!$C$42, 95.215, 95.215) * CHOOSE(CONTROL!$C$21, $C$9, 100%, $E$9)</f>
        <v>95.215000000000003</v>
      </c>
      <c r="I961" s="10">
        <f>CHOOSE(CONTROL!$C$42, 95.1408, 95.1408)* CHOOSE(CONTROL!$C$21, $C$9, 100%, $E$9)</f>
        <v>95.140799999999999</v>
      </c>
      <c r="J961" s="10">
        <f>CHOOSE(CONTROL!$C$42, 95.1208, 95.1208)* CHOOSE(CONTROL!$C$21, $C$9, 100%, $E$9)</f>
        <v>95.120800000000003</v>
      </c>
      <c r="K961" s="53">
        <f>CHOOSE(CONTROL!$C$42, 95.1369, 95.1369) * CHOOSE(CONTROL!$C$21, $C$9, 100%, $E$9)</f>
        <v>95.136899999999997</v>
      </c>
      <c r="L961" s="10">
        <f>CHOOSE(CONTROL!$C$42, 95.802, 95.802) * CHOOSE(CONTROL!$C$21, $C$9, 100%, $E$9)</f>
        <v>95.802000000000007</v>
      </c>
      <c r="M961" s="10">
        <f>CHOOSE(CONTROL!$C$42, 94.1747, 94.1747) * CHOOSE(CONTROL!$C$21, $C$9, 100%, $E$9)</f>
        <v>94.174700000000001</v>
      </c>
      <c r="N961" s="10">
        <f>CHOOSE(CONTROL!$C$42, 94.1891, 94.1891) * CHOOSE(CONTROL!$C$21, $C$9, 100%, $E$9)</f>
        <v>94.189099999999996</v>
      </c>
      <c r="O961" s="10">
        <f>CHOOSE(CONTROL!$C$42, 94.2679, 94.2679) * CHOOSE(CONTROL!$C$21, $C$9, 100%, $E$9)</f>
        <v>94.267899999999997</v>
      </c>
      <c r="P961" s="10">
        <f>CHOOSE(CONTROL!$C$42, 94.1945, 94.1945) * CHOOSE(CONTROL!$C$21, $C$9, 100%, $E$9)</f>
        <v>94.194500000000005</v>
      </c>
      <c r="Q961" s="10">
        <f>CHOOSE(CONTROL!$C$42, 94.8632, 94.8632) * CHOOSE(CONTROL!$C$21, $C$9, 100%, $E$9)</f>
        <v>94.863200000000006</v>
      </c>
      <c r="R961" s="10">
        <f>CHOOSE(CONTROL!$C$42, 95.6874, 95.6874) * CHOOSE(CONTROL!$C$21, $C$9, 100%, $E$9)</f>
        <v>95.687399999999997</v>
      </c>
      <c r="S961" s="10">
        <f>CHOOSE(CONTROL!$C$42, 92.3786, 92.3786) * CHOOSE(CONTROL!$C$21, $C$9, 100%, $E$9)</f>
        <v>92.378600000000006</v>
      </c>
      <c r="T9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57">
        <f>(1000*CHOOSE(CONTROL!$C$42, 695, 695)*CHOOSE(CONTROL!$C$42, 0.5599, 0.5599)*CHOOSE(CONTROL!$C$42, 31, 31))/1000000</f>
        <v>12.063045499999998</v>
      </c>
      <c r="V961" s="57">
        <f>(1000*CHOOSE(CONTROL!$C$42, 500, 500)*CHOOSE(CONTROL!$C$42, 0.275, 0.275)*CHOOSE(CONTROL!$C$42, 31, 31))/1000000</f>
        <v>4.2625000000000002</v>
      </c>
      <c r="W961" s="57">
        <f>(1000*CHOOSE(CONTROL!$C$42, 0.1146, 0.1146)*CHOOSE(CONTROL!$C$42, 121.5, 121.5)*CHOOSE(CONTROL!$C$42, 31, 31))/1000000</f>
        <v>0.43164089999999994</v>
      </c>
      <c r="X961" s="57">
        <f>(31*0.1790888*100000/1000000)+(31*0.2374*100000/1000000)</f>
        <v>1.2911152800000001</v>
      </c>
      <c r="Y961" s="57"/>
      <c r="Z961" s="10"/>
      <c r="AA961" s="56"/>
      <c r="AB961" s="50">
        <f>(B961*122.58+C961*297.941+D961*89.177+E961*40.302+F961*40+G961*160+H961*0+I961*100+J961*300)/(122.58+297.941+89.177+40.302+0+40+160+100+300)</f>
        <v>95.139622449130428</v>
      </c>
      <c r="AC961" s="45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94.220619424460423</v>
      </c>
    </row>
    <row r="962" spans="1:29" ht="15.75" x14ac:dyDescent="0.25">
      <c r="A962" s="13">
        <v>70188</v>
      </c>
      <c r="B962" s="10">
        <f>CHOOSE(CONTROL!$C$42, 96.8234, 96.8234) * CHOOSE(CONTROL!$C$21, $C$9, 100%, $E$9)</f>
        <v>96.823400000000007</v>
      </c>
      <c r="C962" s="10">
        <f>CHOOSE(CONTROL!$C$42, 96.8283, 96.8283) * CHOOSE(CONTROL!$C$21, $C$9, 100%, $E$9)</f>
        <v>96.828299999999999</v>
      </c>
      <c r="D962" s="10">
        <f>CHOOSE(CONTROL!$C$42, 96.8854, 96.8854) * CHOOSE(CONTROL!$C$21, $C$9, 100%, $E$9)</f>
        <v>96.885400000000004</v>
      </c>
      <c r="E962" s="10">
        <f>CHOOSE(CONTROL!$C$42, 96.9192, 96.9192) * CHOOSE(CONTROL!$C$21, $C$9, 100%, $E$9)</f>
        <v>96.919200000000004</v>
      </c>
      <c r="F962" s="10">
        <f>CHOOSE(CONTROL!$C$42, 96.8213, 96.8213)*CHOOSE(CONTROL!$C$21, $C$9, 100%, $E$9)</f>
        <v>96.821299999999994</v>
      </c>
      <c r="G962" s="10">
        <f>CHOOSE(CONTROL!$C$42, 96.836, 96.836)*CHOOSE(CONTROL!$C$21, $C$9, 100%, $E$9)</f>
        <v>96.835999999999999</v>
      </c>
      <c r="H962" s="10">
        <f>CHOOSE(CONTROL!$C$42, 96.9084, 96.9084) * CHOOSE(CONTROL!$C$21, $C$9, 100%, $E$9)</f>
        <v>96.9084</v>
      </c>
      <c r="I962" s="10">
        <f>CHOOSE(CONTROL!$C$42, 96.8342, 96.8342)* CHOOSE(CONTROL!$C$21, $C$9, 100%, $E$9)</f>
        <v>96.834199999999996</v>
      </c>
      <c r="J962" s="10">
        <f>CHOOSE(CONTROL!$C$42, 96.8143, 96.8143)* CHOOSE(CONTROL!$C$21, $C$9, 100%, $E$9)</f>
        <v>96.814300000000003</v>
      </c>
      <c r="K962" s="53">
        <f>CHOOSE(CONTROL!$C$42, 96.8303, 96.8303) * CHOOSE(CONTROL!$C$21, $C$9, 100%, $E$9)</f>
        <v>96.830299999999994</v>
      </c>
      <c r="L962" s="10">
        <f>CHOOSE(CONTROL!$C$42, 97.4954, 97.4954) * CHOOSE(CONTROL!$C$21, $C$9, 100%, $E$9)</f>
        <v>97.495400000000004</v>
      </c>
      <c r="M962" s="10">
        <f>CHOOSE(CONTROL!$C$42, 95.8511, 95.8511) * CHOOSE(CONTROL!$C$21, $C$9, 100%, $E$9)</f>
        <v>95.851100000000002</v>
      </c>
      <c r="N962" s="10">
        <f>CHOOSE(CONTROL!$C$42, 95.8656, 95.8656) * CHOOSE(CONTROL!$C$21, $C$9, 100%, $E$9)</f>
        <v>95.865600000000001</v>
      </c>
      <c r="O962" s="10">
        <f>CHOOSE(CONTROL!$C$42, 95.9442, 95.9442) * CHOOSE(CONTROL!$C$21, $C$9, 100%, $E$9)</f>
        <v>95.944199999999995</v>
      </c>
      <c r="P962" s="10">
        <f>CHOOSE(CONTROL!$C$42, 95.8708, 95.8708) * CHOOSE(CONTROL!$C$21, $C$9, 100%, $E$9)</f>
        <v>95.870800000000003</v>
      </c>
      <c r="Q962" s="10">
        <f>CHOOSE(CONTROL!$C$42, 96.5395, 96.5395) * CHOOSE(CONTROL!$C$21, $C$9, 100%, $E$9)</f>
        <v>96.539500000000004</v>
      </c>
      <c r="R962" s="10">
        <f>CHOOSE(CONTROL!$C$42, 97.3679, 97.3679) * CHOOSE(CONTROL!$C$21, $C$9, 100%, $E$9)</f>
        <v>97.367900000000006</v>
      </c>
      <c r="S962" s="10">
        <f>CHOOSE(CONTROL!$C$42, 94.023, 94.023) * CHOOSE(CONTROL!$C$21, $C$9, 100%, $E$9)</f>
        <v>94.022999999999996</v>
      </c>
      <c r="T96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62" s="57">
        <f>(1000*CHOOSE(CONTROL!$C$42, 695, 695)*CHOOSE(CONTROL!$C$42, 0.5599, 0.5599)*CHOOSE(CONTROL!$C$42, 29, 29))/1000000</f>
        <v>11.284784499999999</v>
      </c>
      <c r="V962" s="57">
        <f>(1000*CHOOSE(CONTROL!$C$42, 500, 500)*CHOOSE(CONTROL!$C$42, 0.275, 0.275)*CHOOSE(CONTROL!$C$42, 29, 29))/1000000</f>
        <v>3.9874999999999998</v>
      </c>
      <c r="W962" s="57">
        <f>(1000*CHOOSE(CONTROL!$C$42, 0.1146, 0.1146)*CHOOSE(CONTROL!$C$42, 121.5, 121.5)*CHOOSE(CONTROL!$C$42, 29, 29))/1000000</f>
        <v>0.40379309999999996</v>
      </c>
      <c r="X962" s="57">
        <f>(29*0.1790888*100000/1000000)+(29*0.2374*100000/1000000)</f>
        <v>1.2078175199999999</v>
      </c>
      <c r="Y962" s="57"/>
      <c r="Z962" s="10"/>
      <c r="AA962" s="56"/>
      <c r="AB962" s="50">
        <f>(B962*122.58+C962*297.941+D962*89.177+E962*40.302+F962*40+G962*160+H962*0+I962*100+J962*300)/(122.58+297.941+89.177+40.302+0+40+160+100+300)</f>
        <v>96.833079840434777</v>
      </c>
      <c r="AC962" s="45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95.896965467625904</v>
      </c>
    </row>
    <row r="963" spans="1:29" ht="15.75" x14ac:dyDescent="0.25">
      <c r="A963" s="13">
        <v>70219</v>
      </c>
      <c r="B963" s="10">
        <f>CHOOSE(CONTROL!$C$42, 94.0746, 94.0746) * CHOOSE(CONTROL!$C$21, $C$9, 100%, $E$9)</f>
        <v>94.074600000000004</v>
      </c>
      <c r="C963" s="10">
        <f>CHOOSE(CONTROL!$C$42, 94.0795, 94.0795) * CHOOSE(CONTROL!$C$21, $C$9, 100%, $E$9)</f>
        <v>94.079499999999996</v>
      </c>
      <c r="D963" s="10">
        <f>CHOOSE(CONTROL!$C$42, 94.1366, 94.1366) * CHOOSE(CONTROL!$C$21, $C$9, 100%, $E$9)</f>
        <v>94.136600000000001</v>
      </c>
      <c r="E963" s="10">
        <f>CHOOSE(CONTROL!$C$42, 94.1704, 94.1704) * CHOOSE(CONTROL!$C$21, $C$9, 100%, $E$9)</f>
        <v>94.170400000000001</v>
      </c>
      <c r="F963" s="10">
        <f>CHOOSE(CONTROL!$C$42, 94.0724, 94.0724)*CHOOSE(CONTROL!$C$21, $C$9, 100%, $E$9)</f>
        <v>94.072400000000002</v>
      </c>
      <c r="G963" s="10">
        <f>CHOOSE(CONTROL!$C$42, 94.087, 94.087)*CHOOSE(CONTROL!$C$21, $C$9, 100%, $E$9)</f>
        <v>94.087000000000003</v>
      </c>
      <c r="H963" s="10">
        <f>CHOOSE(CONTROL!$C$42, 94.1596, 94.1596) * CHOOSE(CONTROL!$C$21, $C$9, 100%, $E$9)</f>
        <v>94.159599999999998</v>
      </c>
      <c r="I963" s="10">
        <f>CHOOSE(CONTROL!$C$42, 94.0854, 94.0854)* CHOOSE(CONTROL!$C$21, $C$9, 100%, $E$9)</f>
        <v>94.085400000000007</v>
      </c>
      <c r="J963" s="10">
        <f>CHOOSE(CONTROL!$C$42, 94.0654, 94.0654)* CHOOSE(CONTROL!$C$21, $C$9, 100%, $E$9)</f>
        <v>94.065399999999997</v>
      </c>
      <c r="K963" s="53">
        <f>CHOOSE(CONTROL!$C$42, 94.0815, 94.0815) * CHOOSE(CONTROL!$C$21, $C$9, 100%, $E$9)</f>
        <v>94.081500000000005</v>
      </c>
      <c r="L963" s="10">
        <f>CHOOSE(CONTROL!$C$42, 94.7466, 94.7466) * CHOOSE(CONTROL!$C$21, $C$9, 100%, $E$9)</f>
        <v>94.746600000000001</v>
      </c>
      <c r="M963" s="10">
        <f>CHOOSE(CONTROL!$C$42, 93.1299, 93.1299) * CHOOSE(CONTROL!$C$21, $C$9, 100%, $E$9)</f>
        <v>93.129900000000006</v>
      </c>
      <c r="N963" s="10">
        <f>CHOOSE(CONTROL!$C$42, 93.1444, 93.1444) * CHOOSE(CONTROL!$C$21, $C$9, 100%, $E$9)</f>
        <v>93.144400000000005</v>
      </c>
      <c r="O963" s="10">
        <f>CHOOSE(CONTROL!$C$42, 93.2232, 93.2232) * CHOOSE(CONTROL!$C$21, $C$9, 100%, $E$9)</f>
        <v>93.223200000000006</v>
      </c>
      <c r="P963" s="10">
        <f>CHOOSE(CONTROL!$C$42, 93.1497, 93.1497) * CHOOSE(CONTROL!$C$21, $C$9, 100%, $E$9)</f>
        <v>93.149699999999996</v>
      </c>
      <c r="Q963" s="10">
        <f>CHOOSE(CONTROL!$C$42, 93.8185, 93.8185) * CHOOSE(CONTROL!$C$21, $C$9, 100%, $E$9)</f>
        <v>93.8185</v>
      </c>
      <c r="R963" s="10">
        <f>CHOOSE(CONTROL!$C$42, 94.64, 94.64) * CHOOSE(CONTROL!$C$21, $C$9, 100%, $E$9)</f>
        <v>94.64</v>
      </c>
      <c r="S963" s="10">
        <f>CHOOSE(CONTROL!$C$42, 91.3537, 91.3537) * CHOOSE(CONTROL!$C$21, $C$9, 100%, $E$9)</f>
        <v>91.353700000000003</v>
      </c>
      <c r="T9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57">
        <f>(1000*CHOOSE(CONTROL!$C$42, 695, 695)*CHOOSE(CONTROL!$C$42, 0.5599, 0.5599)*CHOOSE(CONTROL!$C$42, 31, 31))/1000000</f>
        <v>12.063045499999998</v>
      </c>
      <c r="V963" s="57">
        <f>(1000*CHOOSE(CONTROL!$C$42, 500, 500)*CHOOSE(CONTROL!$C$42, 0.275, 0.275)*CHOOSE(CONTROL!$C$42, 31, 31))/1000000</f>
        <v>4.2625000000000002</v>
      </c>
      <c r="W963" s="57">
        <f>(1000*CHOOSE(CONTROL!$C$42, 0.1146, 0.1146)*CHOOSE(CONTROL!$C$42, 121.5, 121.5)*CHOOSE(CONTROL!$C$42, 31, 31))/1000000</f>
        <v>0.43164089999999994</v>
      </c>
      <c r="X963" s="57">
        <f>(31*0.1790888*100000/1000000)+(31*0.2374*100000/1000000)</f>
        <v>1.2911152800000001</v>
      </c>
      <c r="Y963" s="57"/>
      <c r="Z963" s="10"/>
      <c r="AA963" s="56"/>
      <c r="AB963" s="50">
        <f>(B963*122.58+C963*297.941+D963*89.177+E963*40.302+F963*40+G963*160+H963*0+I963*100+J963*300)/(122.58+297.941+89.177+40.302+0+40+160+100+300)</f>
        <v>94.084222449130436</v>
      </c>
      <c r="AC963" s="45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93.175870503597139</v>
      </c>
    </row>
    <row r="964" spans="1:29" ht="15.75" x14ac:dyDescent="0.25">
      <c r="A964" s="13">
        <v>70249</v>
      </c>
      <c r="B964" s="10">
        <f>CHOOSE(CONTROL!$C$42, 93.7941, 93.7941) * CHOOSE(CONTROL!$C$21, $C$9, 100%, $E$9)</f>
        <v>93.7941</v>
      </c>
      <c r="C964" s="10">
        <f>CHOOSE(CONTROL!$C$42, 93.7984, 93.7984) * CHOOSE(CONTROL!$C$21, $C$9, 100%, $E$9)</f>
        <v>93.798400000000001</v>
      </c>
      <c r="D964" s="10">
        <f>CHOOSE(CONTROL!$C$42, 94.0043, 94.0043) * CHOOSE(CONTROL!$C$21, $C$9, 100%, $E$9)</f>
        <v>94.004300000000001</v>
      </c>
      <c r="E964" s="10">
        <f>CHOOSE(CONTROL!$C$42, 94.0361, 94.0361) * CHOOSE(CONTROL!$C$21, $C$9, 100%, $E$9)</f>
        <v>94.036100000000005</v>
      </c>
      <c r="F964" s="10">
        <f>CHOOSE(CONTROL!$C$42, 93.7708, 93.7708)*CHOOSE(CONTROL!$C$21, $C$9, 100%, $E$9)</f>
        <v>93.770799999999994</v>
      </c>
      <c r="G964" s="10">
        <f>CHOOSE(CONTROL!$C$42, 93.7854, 93.7854)*CHOOSE(CONTROL!$C$21, $C$9, 100%, $E$9)</f>
        <v>93.785399999999996</v>
      </c>
      <c r="H964" s="10">
        <f>CHOOSE(CONTROL!$C$42, 94.0259, 94.0259) * CHOOSE(CONTROL!$C$21, $C$9, 100%, $E$9)</f>
        <v>94.025899999999993</v>
      </c>
      <c r="I964" s="10">
        <f>CHOOSE(CONTROL!$C$42, 93.7955, 93.7955)* CHOOSE(CONTROL!$C$21, $C$9, 100%, $E$9)</f>
        <v>93.795500000000004</v>
      </c>
      <c r="J964" s="10">
        <f>CHOOSE(CONTROL!$C$42, 93.7638, 93.7638)* CHOOSE(CONTROL!$C$21, $C$9, 100%, $E$9)</f>
        <v>93.763800000000003</v>
      </c>
      <c r="K964" s="53">
        <f>CHOOSE(CONTROL!$C$42, 93.7916, 93.7916) * CHOOSE(CONTROL!$C$21, $C$9, 100%, $E$9)</f>
        <v>93.791600000000003</v>
      </c>
      <c r="L964" s="10">
        <f>CHOOSE(CONTROL!$C$42, 94.6129, 94.6129) * CHOOSE(CONTROL!$C$21, $C$9, 100%, $E$9)</f>
        <v>94.612899999999996</v>
      </c>
      <c r="M964" s="10">
        <f>CHOOSE(CONTROL!$C$42, 92.8314, 92.8314) * CHOOSE(CONTROL!$C$21, $C$9, 100%, $E$9)</f>
        <v>92.831400000000002</v>
      </c>
      <c r="N964" s="10">
        <f>CHOOSE(CONTROL!$C$42, 92.8458, 92.8458) * CHOOSE(CONTROL!$C$21, $C$9, 100%, $E$9)</f>
        <v>92.845799999999997</v>
      </c>
      <c r="O964" s="10">
        <f>CHOOSE(CONTROL!$C$42, 93.0908, 93.0908) * CHOOSE(CONTROL!$C$21, $C$9, 100%, $E$9)</f>
        <v>93.090800000000002</v>
      </c>
      <c r="P964" s="10">
        <f>CHOOSE(CONTROL!$C$42, 92.8628, 92.8628) * CHOOSE(CONTROL!$C$21, $C$9, 100%, $E$9)</f>
        <v>92.862799999999993</v>
      </c>
      <c r="Q964" s="10">
        <f>CHOOSE(CONTROL!$C$42, 93.6861, 93.6861) * CHOOSE(CONTROL!$C$21, $C$9, 100%, $E$9)</f>
        <v>93.686099999999996</v>
      </c>
      <c r="R964" s="10">
        <f>CHOOSE(CONTROL!$C$42, 94.5073, 94.5073) * CHOOSE(CONTROL!$C$21, $C$9, 100%, $E$9)</f>
        <v>94.507300000000001</v>
      </c>
      <c r="S964" s="10">
        <f>CHOOSE(CONTROL!$C$42, 91.0805, 91.0805) * CHOOSE(CONTROL!$C$21, $C$9, 100%, $E$9)</f>
        <v>91.080500000000001</v>
      </c>
      <c r="T9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57">
        <f>(1000*CHOOSE(CONTROL!$C$42, 695, 695)*CHOOSE(CONTROL!$C$42, 0.5599, 0.5599)*CHOOSE(CONTROL!$C$42, 30, 30))/1000000</f>
        <v>11.673914999999997</v>
      </c>
      <c r="V964" s="57">
        <f>(1000*CHOOSE(CONTROL!$C$42, 500, 500)*CHOOSE(CONTROL!$C$42, 0.275, 0.275)*CHOOSE(CONTROL!$C$42, 30, 30))/1000000</f>
        <v>4.125</v>
      </c>
      <c r="W964" s="57">
        <f>(1000*CHOOSE(CONTROL!$C$42, 0.1146, 0.1146)*CHOOSE(CONTROL!$C$42, 121.5, 121.5)*CHOOSE(CONTROL!$C$42, 30, 30))/1000000</f>
        <v>0.417717</v>
      </c>
      <c r="X964" s="57">
        <f>(30*0.1790888*245000/1000000)+(30*0.2374*100000/1000000)</f>
        <v>2.0285026799999999</v>
      </c>
      <c r="Y964" s="57"/>
      <c r="Z964" s="10"/>
      <c r="AA964" s="56"/>
      <c r="AB964" s="50">
        <f>(B964*141.293+C964*267.993+D964*115.016+E964*89.698+F964*40+G964*185+H964*0+I964*100+J964*300)/(141.293+267.993+115.016+89.698+0+40+185+100+300)</f>
        <v>93.822787771670704</v>
      </c>
      <c r="AC964" s="45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92.954316546762584</v>
      </c>
    </row>
    <row r="965" spans="1:29" ht="15.75" x14ac:dyDescent="0.25">
      <c r="A965" s="13">
        <v>70280</v>
      </c>
      <c r="B965" s="10">
        <f>CHOOSE(CONTROL!$C$42, 94.6233, 94.6233) * CHOOSE(CONTROL!$C$21, $C$9, 100%, $E$9)</f>
        <v>94.6233</v>
      </c>
      <c r="C965" s="10">
        <f>CHOOSE(CONTROL!$C$42, 94.6312, 94.6312) * CHOOSE(CONTROL!$C$21, $C$9, 100%, $E$9)</f>
        <v>94.631200000000007</v>
      </c>
      <c r="D965" s="10">
        <f>CHOOSE(CONTROL!$C$42, 94.8339, 94.8339) * CHOOSE(CONTROL!$C$21, $C$9, 100%, $E$9)</f>
        <v>94.8339</v>
      </c>
      <c r="E965" s="10">
        <f>CHOOSE(CONTROL!$C$42, 94.8651, 94.8651) * CHOOSE(CONTROL!$C$21, $C$9, 100%, $E$9)</f>
        <v>94.865099999999998</v>
      </c>
      <c r="F965" s="10">
        <f>CHOOSE(CONTROL!$C$42, 94.599, 94.599)*CHOOSE(CONTROL!$C$21, $C$9, 100%, $E$9)</f>
        <v>94.599000000000004</v>
      </c>
      <c r="G965" s="10">
        <f>CHOOSE(CONTROL!$C$42, 94.614, 94.614)*CHOOSE(CONTROL!$C$21, $C$9, 100%, $E$9)</f>
        <v>94.614000000000004</v>
      </c>
      <c r="H965" s="10">
        <f>CHOOSE(CONTROL!$C$42, 94.8537, 94.8537) * CHOOSE(CONTROL!$C$21, $C$9, 100%, $E$9)</f>
        <v>94.853700000000003</v>
      </c>
      <c r="I965" s="10">
        <f>CHOOSE(CONTROL!$C$42, 94.6233, 94.6233)* CHOOSE(CONTROL!$C$21, $C$9, 100%, $E$9)</f>
        <v>94.6233</v>
      </c>
      <c r="J965" s="10">
        <f>CHOOSE(CONTROL!$C$42, 94.592, 94.592)* CHOOSE(CONTROL!$C$21, $C$9, 100%, $E$9)</f>
        <v>94.591999999999999</v>
      </c>
      <c r="K965" s="53">
        <f>CHOOSE(CONTROL!$C$42, 94.6194, 94.6194) * CHOOSE(CONTROL!$C$21, $C$9, 100%, $E$9)</f>
        <v>94.619399999999999</v>
      </c>
      <c r="L965" s="10">
        <f>CHOOSE(CONTROL!$C$42, 95.4407, 95.4407) * CHOOSE(CONTROL!$C$21, $C$9, 100%, $E$9)</f>
        <v>95.440700000000007</v>
      </c>
      <c r="M965" s="10">
        <f>CHOOSE(CONTROL!$C$42, 93.6512, 93.6512) * CHOOSE(CONTROL!$C$21, $C$9, 100%, $E$9)</f>
        <v>93.651200000000003</v>
      </c>
      <c r="N965" s="10">
        <f>CHOOSE(CONTROL!$C$42, 93.6661, 93.6661) * CHOOSE(CONTROL!$C$21, $C$9, 100%, $E$9)</f>
        <v>93.6661</v>
      </c>
      <c r="O965" s="10">
        <f>CHOOSE(CONTROL!$C$42, 93.9103, 93.9103) * CHOOSE(CONTROL!$C$21, $C$9, 100%, $E$9)</f>
        <v>93.910300000000007</v>
      </c>
      <c r="P965" s="10">
        <f>CHOOSE(CONTROL!$C$42, 93.6823, 93.6823) * CHOOSE(CONTROL!$C$21, $C$9, 100%, $E$9)</f>
        <v>93.682299999999998</v>
      </c>
      <c r="Q965" s="10">
        <f>CHOOSE(CONTROL!$C$42, 94.5056, 94.5056) * CHOOSE(CONTROL!$C$21, $C$9, 100%, $E$9)</f>
        <v>94.505600000000001</v>
      </c>
      <c r="R965" s="10">
        <f>CHOOSE(CONTROL!$C$42, 95.3288, 95.3288) * CHOOSE(CONTROL!$C$21, $C$9, 100%, $E$9)</f>
        <v>95.328800000000001</v>
      </c>
      <c r="S965" s="10">
        <f>CHOOSE(CONTROL!$C$42, 91.8844, 91.8844) * CHOOSE(CONTROL!$C$21, $C$9, 100%, $E$9)</f>
        <v>91.884399999999999</v>
      </c>
      <c r="T9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57">
        <f>(1000*CHOOSE(CONTROL!$C$42, 695, 695)*CHOOSE(CONTROL!$C$42, 0.5599, 0.5599)*CHOOSE(CONTROL!$C$42, 31, 31))/1000000</f>
        <v>12.063045499999998</v>
      </c>
      <c r="V965" s="57">
        <f>(1000*CHOOSE(CONTROL!$C$42, 500, 500)*CHOOSE(CONTROL!$C$42, 0.275, 0.275)*CHOOSE(CONTROL!$C$42, 31, 31))/1000000</f>
        <v>4.2625000000000002</v>
      </c>
      <c r="W965" s="57">
        <f>(1000*CHOOSE(CONTROL!$C$42, 0.1146, 0.1146)*CHOOSE(CONTROL!$C$42, 121.5, 121.5)*CHOOSE(CONTROL!$C$42, 31, 31))/1000000</f>
        <v>0.43164089999999994</v>
      </c>
      <c r="X965" s="57">
        <f>(31*0.1790888*245000/1000000)+(31*0.2374*100000/1000000)</f>
        <v>2.0961194359999999</v>
      </c>
      <c r="Y965" s="57"/>
      <c r="Z965" s="10"/>
      <c r="AA965" s="56"/>
      <c r="AB965" s="50">
        <f>(B965*194.205+C965*267.466+D965*133.845+E965*53.484+F965*40+G965*185+H965*0+I965*100+J965*300)/(194.205+267.466+133.845+53.484+0+40+185+100+300)</f>
        <v>94.647751075039253</v>
      </c>
      <c r="AC965" s="45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93.773966187050362</v>
      </c>
    </row>
    <row r="966" spans="1:29" ht="15.75" x14ac:dyDescent="0.25">
      <c r="A966" s="13">
        <v>70310</v>
      </c>
      <c r="B966" s="10">
        <f>CHOOSE(CONTROL!$C$42, 97.3072, 97.3072) * CHOOSE(CONTROL!$C$21, $C$9, 100%, $E$9)</f>
        <v>97.307199999999995</v>
      </c>
      <c r="C966" s="10">
        <f>CHOOSE(CONTROL!$C$42, 97.3152, 97.3152) * CHOOSE(CONTROL!$C$21, $C$9, 100%, $E$9)</f>
        <v>97.315200000000004</v>
      </c>
      <c r="D966" s="10">
        <f>CHOOSE(CONTROL!$C$42, 97.5179, 97.5179) * CHOOSE(CONTROL!$C$21, $C$9, 100%, $E$9)</f>
        <v>97.517899999999997</v>
      </c>
      <c r="E966" s="10">
        <f>CHOOSE(CONTROL!$C$42, 97.549, 97.549) * CHOOSE(CONTROL!$C$21, $C$9, 100%, $E$9)</f>
        <v>97.549000000000007</v>
      </c>
      <c r="F966" s="10">
        <f>CHOOSE(CONTROL!$C$42, 97.2835, 97.2835)*CHOOSE(CONTROL!$C$21, $C$9, 100%, $E$9)</f>
        <v>97.283500000000004</v>
      </c>
      <c r="G966" s="10">
        <f>CHOOSE(CONTROL!$C$42, 97.2986, 97.2986)*CHOOSE(CONTROL!$C$21, $C$9, 100%, $E$9)</f>
        <v>97.298599999999993</v>
      </c>
      <c r="H966" s="10">
        <f>CHOOSE(CONTROL!$C$42, 97.5377, 97.5377) * CHOOSE(CONTROL!$C$21, $C$9, 100%, $E$9)</f>
        <v>97.537700000000001</v>
      </c>
      <c r="I966" s="10">
        <f>CHOOSE(CONTROL!$C$42, 97.3073, 97.3073)* CHOOSE(CONTROL!$C$21, $C$9, 100%, $E$9)</f>
        <v>97.307299999999998</v>
      </c>
      <c r="J966" s="10">
        <f>CHOOSE(CONTROL!$C$42, 97.2765, 97.2765)* CHOOSE(CONTROL!$C$21, $C$9, 100%, $E$9)</f>
        <v>97.276499999999999</v>
      </c>
      <c r="K966" s="53">
        <f>CHOOSE(CONTROL!$C$42, 97.3034, 97.3034) * CHOOSE(CONTROL!$C$21, $C$9, 100%, $E$9)</f>
        <v>97.303399999999996</v>
      </c>
      <c r="L966" s="10">
        <f>CHOOSE(CONTROL!$C$42, 98.1247, 98.1247) * CHOOSE(CONTROL!$C$21, $C$9, 100%, $E$9)</f>
        <v>98.124700000000004</v>
      </c>
      <c r="M966" s="10">
        <f>CHOOSE(CONTROL!$C$42, 96.3086, 96.3086) * CHOOSE(CONTROL!$C$21, $C$9, 100%, $E$9)</f>
        <v>96.308599999999998</v>
      </c>
      <c r="N966" s="10">
        <f>CHOOSE(CONTROL!$C$42, 96.3236, 96.3236) * CHOOSE(CONTROL!$C$21, $C$9, 100%, $E$9)</f>
        <v>96.323599999999999</v>
      </c>
      <c r="O966" s="10">
        <f>CHOOSE(CONTROL!$C$42, 96.5672, 96.5672) * CHOOSE(CONTROL!$C$21, $C$9, 100%, $E$9)</f>
        <v>96.5672</v>
      </c>
      <c r="P966" s="10">
        <f>CHOOSE(CONTROL!$C$42, 96.3391, 96.3391) * CHOOSE(CONTROL!$C$21, $C$9, 100%, $E$9)</f>
        <v>96.339100000000002</v>
      </c>
      <c r="Q966" s="10">
        <f>CHOOSE(CONTROL!$C$42, 97.1625, 97.1625) * CHOOSE(CONTROL!$C$21, $C$9, 100%, $E$9)</f>
        <v>97.162499999999994</v>
      </c>
      <c r="R966" s="10">
        <f>CHOOSE(CONTROL!$C$42, 97.9924, 97.9924) * CHOOSE(CONTROL!$C$21, $C$9, 100%, $E$9)</f>
        <v>97.992400000000004</v>
      </c>
      <c r="S966" s="10">
        <f>CHOOSE(CONTROL!$C$42, 94.4908, 94.4908) * CHOOSE(CONTROL!$C$21, $C$9, 100%, $E$9)</f>
        <v>94.490799999999993</v>
      </c>
      <c r="T9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57">
        <f>(1000*CHOOSE(CONTROL!$C$42, 695, 695)*CHOOSE(CONTROL!$C$42, 0.5599, 0.5599)*CHOOSE(CONTROL!$C$42, 30, 30))/1000000</f>
        <v>11.673914999999997</v>
      </c>
      <c r="V966" s="57">
        <f>(1000*CHOOSE(CONTROL!$C$42, 500, 500)*CHOOSE(CONTROL!$C$42, 0.275, 0.275)*CHOOSE(CONTROL!$C$42, 30, 30))/1000000</f>
        <v>4.125</v>
      </c>
      <c r="W966" s="57">
        <f>(1000*CHOOSE(CONTROL!$C$42, 0.1146, 0.1146)*CHOOSE(CONTROL!$C$42, 121.5, 121.5)*CHOOSE(CONTROL!$C$42, 30, 30))/1000000</f>
        <v>0.417717</v>
      </c>
      <c r="X966" s="57">
        <f>(30*0.1790888*245000/1000000)+(30*0.2374*100000/1000000)</f>
        <v>2.0285026799999999</v>
      </c>
      <c r="Y966" s="57"/>
      <c r="Z966" s="10"/>
      <c r="AA966" s="56"/>
      <c r="AB966" s="50">
        <f>(B966*194.205+C966*267.466+D966*133.845+E966*53.484+F966*40+G966*185+H966*0+I966*100+J966*300)/(194.205+267.466+133.845+53.484+0+40+185+100+300)</f>
        <v>97.331952198351644</v>
      </c>
      <c r="AC966" s="45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96.431058992805745</v>
      </c>
    </row>
    <row r="967" spans="1:29" ht="15.75" x14ac:dyDescent="0.25">
      <c r="A967" s="13">
        <v>70341</v>
      </c>
      <c r="B967" s="10">
        <f>CHOOSE(CONTROL!$C$42, 95.4405, 95.4405) * CHOOSE(CONTROL!$C$21, $C$9, 100%, $E$9)</f>
        <v>95.4405</v>
      </c>
      <c r="C967" s="10">
        <f>CHOOSE(CONTROL!$C$42, 95.4484, 95.4484) * CHOOSE(CONTROL!$C$21, $C$9, 100%, $E$9)</f>
        <v>95.448400000000007</v>
      </c>
      <c r="D967" s="10">
        <f>CHOOSE(CONTROL!$C$42, 95.6512, 95.6512) * CHOOSE(CONTROL!$C$21, $C$9, 100%, $E$9)</f>
        <v>95.651200000000003</v>
      </c>
      <c r="E967" s="10">
        <f>CHOOSE(CONTROL!$C$42, 95.6823, 95.6823) * CHOOSE(CONTROL!$C$21, $C$9, 100%, $E$9)</f>
        <v>95.682299999999998</v>
      </c>
      <c r="F967" s="10">
        <f>CHOOSE(CONTROL!$C$42, 95.4173, 95.4173)*CHOOSE(CONTROL!$C$21, $C$9, 100%, $E$9)</f>
        <v>95.417299999999997</v>
      </c>
      <c r="G967" s="10">
        <f>CHOOSE(CONTROL!$C$42, 95.4325, 95.4325)*CHOOSE(CONTROL!$C$21, $C$9, 100%, $E$9)</f>
        <v>95.432500000000005</v>
      </c>
      <c r="H967" s="10">
        <f>CHOOSE(CONTROL!$C$42, 95.6709, 95.6709) * CHOOSE(CONTROL!$C$21, $C$9, 100%, $E$9)</f>
        <v>95.670900000000003</v>
      </c>
      <c r="I967" s="10">
        <f>CHOOSE(CONTROL!$C$42, 95.4406, 95.4406)* CHOOSE(CONTROL!$C$21, $C$9, 100%, $E$9)</f>
        <v>95.440600000000003</v>
      </c>
      <c r="J967" s="10">
        <f>CHOOSE(CONTROL!$C$42, 95.4103, 95.4103)* CHOOSE(CONTROL!$C$21, $C$9, 100%, $E$9)</f>
        <v>95.410300000000007</v>
      </c>
      <c r="K967" s="53">
        <f>CHOOSE(CONTROL!$C$42, 95.4367, 95.4367) * CHOOSE(CONTROL!$C$21, $C$9, 100%, $E$9)</f>
        <v>95.436700000000002</v>
      </c>
      <c r="L967" s="10">
        <f>CHOOSE(CONTROL!$C$42, 96.2579, 96.2579) * CHOOSE(CONTROL!$C$21, $C$9, 100%, $E$9)</f>
        <v>96.257900000000006</v>
      </c>
      <c r="M967" s="10">
        <f>CHOOSE(CONTROL!$C$42, 94.4612, 94.4612) * CHOOSE(CONTROL!$C$21, $C$9, 100%, $E$9)</f>
        <v>94.461200000000005</v>
      </c>
      <c r="N967" s="10">
        <f>CHOOSE(CONTROL!$C$42, 94.4764, 94.4764) * CHOOSE(CONTROL!$C$21, $C$9, 100%, $E$9)</f>
        <v>94.476399999999998</v>
      </c>
      <c r="O967" s="10">
        <f>CHOOSE(CONTROL!$C$42, 94.7193, 94.7193) * CHOOSE(CONTROL!$C$21, $C$9, 100%, $E$9)</f>
        <v>94.719300000000004</v>
      </c>
      <c r="P967" s="10">
        <f>CHOOSE(CONTROL!$C$42, 94.4913, 94.4913) * CHOOSE(CONTROL!$C$21, $C$9, 100%, $E$9)</f>
        <v>94.491299999999995</v>
      </c>
      <c r="Q967" s="10">
        <f>CHOOSE(CONTROL!$C$42, 95.3146, 95.3146) * CHOOSE(CONTROL!$C$21, $C$9, 100%, $E$9)</f>
        <v>95.314599999999999</v>
      </c>
      <c r="R967" s="10">
        <f>CHOOSE(CONTROL!$C$42, 96.1399, 96.1399) * CHOOSE(CONTROL!$C$21, $C$9, 100%, $E$9)</f>
        <v>96.139899999999997</v>
      </c>
      <c r="S967" s="10">
        <f>CHOOSE(CONTROL!$C$42, 92.678, 92.678) * CHOOSE(CONTROL!$C$21, $C$9, 100%, $E$9)</f>
        <v>92.677999999999997</v>
      </c>
      <c r="T9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57">
        <f>(1000*CHOOSE(CONTROL!$C$42, 695, 695)*CHOOSE(CONTROL!$C$42, 0.5599, 0.5599)*CHOOSE(CONTROL!$C$42, 31, 31))/1000000</f>
        <v>12.063045499999998</v>
      </c>
      <c r="V967" s="57">
        <f>(1000*CHOOSE(CONTROL!$C$42, 500, 500)*CHOOSE(CONTROL!$C$42, 0.275, 0.275)*CHOOSE(CONTROL!$C$42, 31, 31))/1000000</f>
        <v>4.2625000000000002</v>
      </c>
      <c r="W967" s="57">
        <f>(1000*CHOOSE(CONTROL!$C$42, 0.1146, 0.1146)*CHOOSE(CONTROL!$C$42, 121.5, 121.5)*CHOOSE(CONTROL!$C$42, 31, 31))/1000000</f>
        <v>0.43164089999999994</v>
      </c>
      <c r="X967" s="57">
        <f>(31*0.1790888*245000/1000000)+(31*0.2374*100000/1000000)</f>
        <v>2.0961194359999999</v>
      </c>
      <c r="Y967" s="57"/>
      <c r="Z967" s="10"/>
      <c r="AA967" s="56"/>
      <c r="AB967" s="50">
        <f>(B967*194.205+C967*267.466+D967*133.845+E967*53.484+F967*40+G967*185+H967*0+I967*100+J967*300)/(194.205+267.466+133.845+53.484+0+40+185+100+300)</f>
        <v>95.465451769309254</v>
      </c>
      <c r="AC967" s="45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94.583386330935255</v>
      </c>
    </row>
    <row r="968" spans="1:29" ht="15.75" x14ac:dyDescent="0.25">
      <c r="A968" s="13">
        <v>70372</v>
      </c>
      <c r="B968" s="10">
        <f>CHOOSE(CONTROL!$C$42, 90.7265, 90.7265) * CHOOSE(CONTROL!$C$21, $C$9, 100%, $E$9)</f>
        <v>90.726500000000001</v>
      </c>
      <c r="C968" s="10">
        <f>CHOOSE(CONTROL!$C$42, 90.7344, 90.7344) * CHOOSE(CONTROL!$C$21, $C$9, 100%, $E$9)</f>
        <v>90.734399999999994</v>
      </c>
      <c r="D968" s="10">
        <f>CHOOSE(CONTROL!$C$42, 90.9371, 90.9371) * CHOOSE(CONTROL!$C$21, $C$9, 100%, $E$9)</f>
        <v>90.937100000000001</v>
      </c>
      <c r="E968" s="10">
        <f>CHOOSE(CONTROL!$C$42, 90.9683, 90.9683) * CHOOSE(CONTROL!$C$21, $C$9, 100%, $E$9)</f>
        <v>90.968299999999999</v>
      </c>
      <c r="F968" s="10">
        <f>CHOOSE(CONTROL!$C$42, 90.7034, 90.7034)*CHOOSE(CONTROL!$C$21, $C$9, 100%, $E$9)</f>
        <v>90.703400000000002</v>
      </c>
      <c r="G968" s="10">
        <f>CHOOSE(CONTROL!$C$42, 90.7187, 90.7187)*CHOOSE(CONTROL!$C$21, $C$9, 100%, $E$9)</f>
        <v>90.718699999999998</v>
      </c>
      <c r="H968" s="10">
        <f>CHOOSE(CONTROL!$C$42, 90.9569, 90.9569) * CHOOSE(CONTROL!$C$21, $C$9, 100%, $E$9)</f>
        <v>90.956900000000005</v>
      </c>
      <c r="I968" s="10">
        <f>CHOOSE(CONTROL!$C$42, 90.7265, 90.7265)* CHOOSE(CONTROL!$C$21, $C$9, 100%, $E$9)</f>
        <v>90.726500000000001</v>
      </c>
      <c r="J968" s="10">
        <f>CHOOSE(CONTROL!$C$42, 90.6964, 90.6964)* CHOOSE(CONTROL!$C$21, $C$9, 100%, $E$9)</f>
        <v>90.696399999999997</v>
      </c>
      <c r="K968" s="53">
        <f>CHOOSE(CONTROL!$C$42, 90.7226, 90.7226) * CHOOSE(CONTROL!$C$21, $C$9, 100%, $E$9)</f>
        <v>90.7226</v>
      </c>
      <c r="L968" s="10">
        <f>CHOOSE(CONTROL!$C$42, 91.5439, 91.5439) * CHOOSE(CONTROL!$C$21, $C$9, 100%, $E$9)</f>
        <v>91.543899999999994</v>
      </c>
      <c r="M968" s="10">
        <f>CHOOSE(CONTROL!$C$42, 89.795, 89.795) * CHOOSE(CONTROL!$C$21, $C$9, 100%, $E$9)</f>
        <v>89.795000000000002</v>
      </c>
      <c r="N968" s="10">
        <f>CHOOSE(CONTROL!$C$42, 89.8101, 89.8101) * CHOOSE(CONTROL!$C$21, $C$9, 100%, $E$9)</f>
        <v>89.810100000000006</v>
      </c>
      <c r="O968" s="10">
        <f>CHOOSE(CONTROL!$C$42, 90.0528, 90.0528) * CHOOSE(CONTROL!$C$21, $C$9, 100%, $E$9)</f>
        <v>90.052800000000005</v>
      </c>
      <c r="P968" s="10">
        <f>CHOOSE(CONTROL!$C$42, 89.8248, 89.8248) * CHOOSE(CONTROL!$C$21, $C$9, 100%, $E$9)</f>
        <v>89.824799999999996</v>
      </c>
      <c r="Q968" s="10">
        <f>CHOOSE(CONTROL!$C$42, 90.6481, 90.6481) * CHOOSE(CONTROL!$C$21, $C$9, 100%, $E$9)</f>
        <v>90.648099999999999</v>
      </c>
      <c r="R968" s="10">
        <f>CHOOSE(CONTROL!$C$42, 91.4617, 91.4617) * CHOOSE(CONTROL!$C$21, $C$9, 100%, $E$9)</f>
        <v>91.461699999999993</v>
      </c>
      <c r="S968" s="10">
        <f>CHOOSE(CONTROL!$C$42, 88.1002, 88.1002) * CHOOSE(CONTROL!$C$21, $C$9, 100%, $E$9)</f>
        <v>88.100200000000001</v>
      </c>
      <c r="T9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57">
        <f>(1000*CHOOSE(CONTROL!$C$42, 695, 695)*CHOOSE(CONTROL!$C$42, 0.5599, 0.5599)*CHOOSE(CONTROL!$C$42, 31, 31))/1000000</f>
        <v>12.063045499999998</v>
      </c>
      <c r="V968" s="57">
        <f>(1000*CHOOSE(CONTROL!$C$42, 500, 500)*CHOOSE(CONTROL!$C$42, 0.275, 0.275)*CHOOSE(CONTROL!$C$42, 31, 31))/1000000</f>
        <v>4.2625000000000002</v>
      </c>
      <c r="W968" s="57">
        <f>(1000*CHOOSE(CONTROL!$C$42, 0.1146, 0.1146)*CHOOSE(CONTROL!$C$42, 121.5, 121.5)*CHOOSE(CONTROL!$C$42, 31, 31))/1000000</f>
        <v>0.43164089999999994</v>
      </c>
      <c r="X968" s="57">
        <f>(31*0.1790888*245000/1000000)+(31*0.2374*100000/1000000)</f>
        <v>2.0961194359999999</v>
      </c>
      <c r="Y968" s="57"/>
      <c r="Z968" s="10"/>
      <c r="AA968" s="56"/>
      <c r="AB968" s="50">
        <f>(B968*194.205+C968*267.466+D968*133.845+E968*53.484+F968*40+G968*185+H968*0+I968*100+J968*300)/(194.205+267.466+133.845+53.484+0+40+185+100+300)</f>
        <v>90.751489144113023</v>
      </c>
      <c r="AC968" s="45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89.917001438848914</v>
      </c>
    </row>
    <row r="969" spans="1:29" ht="15.75" x14ac:dyDescent="0.25">
      <c r="A969" s="13">
        <v>70402</v>
      </c>
      <c r="B969" s="10">
        <f>CHOOSE(CONTROL!$C$42, 84.9664, 84.9664) * CHOOSE(CONTROL!$C$21, $C$9, 100%, $E$9)</f>
        <v>84.966399999999993</v>
      </c>
      <c r="C969" s="10">
        <f>CHOOSE(CONTROL!$C$42, 84.9743, 84.9743) * CHOOSE(CONTROL!$C$21, $C$9, 100%, $E$9)</f>
        <v>84.974299999999999</v>
      </c>
      <c r="D969" s="10">
        <f>CHOOSE(CONTROL!$C$42, 85.177, 85.177) * CHOOSE(CONTROL!$C$21, $C$9, 100%, $E$9)</f>
        <v>85.177000000000007</v>
      </c>
      <c r="E969" s="10">
        <f>CHOOSE(CONTROL!$C$42, 85.2082, 85.2082) * CHOOSE(CONTROL!$C$21, $C$9, 100%, $E$9)</f>
        <v>85.208200000000005</v>
      </c>
      <c r="F969" s="10">
        <f>CHOOSE(CONTROL!$C$42, 84.9432, 84.9432)*CHOOSE(CONTROL!$C$21, $C$9, 100%, $E$9)</f>
        <v>84.943200000000004</v>
      </c>
      <c r="G969" s="10">
        <f>CHOOSE(CONTROL!$C$42, 84.9585, 84.9585)*CHOOSE(CONTROL!$C$21, $C$9, 100%, $E$9)</f>
        <v>84.958500000000001</v>
      </c>
      <c r="H969" s="10">
        <f>CHOOSE(CONTROL!$C$42, 85.1968, 85.1968) * CHOOSE(CONTROL!$C$21, $C$9, 100%, $E$9)</f>
        <v>85.196799999999996</v>
      </c>
      <c r="I969" s="10">
        <f>CHOOSE(CONTROL!$C$42, 84.9664, 84.9664)* CHOOSE(CONTROL!$C$21, $C$9, 100%, $E$9)</f>
        <v>84.966399999999993</v>
      </c>
      <c r="J969" s="10">
        <f>CHOOSE(CONTROL!$C$42, 84.9362, 84.9362)* CHOOSE(CONTROL!$C$21, $C$9, 100%, $E$9)</f>
        <v>84.936199999999999</v>
      </c>
      <c r="K969" s="53">
        <f>CHOOSE(CONTROL!$C$42, 84.9625, 84.9625) * CHOOSE(CONTROL!$C$21, $C$9, 100%, $E$9)</f>
        <v>84.962500000000006</v>
      </c>
      <c r="L969" s="10">
        <f>CHOOSE(CONTROL!$C$42, 85.7838, 85.7838) * CHOOSE(CONTROL!$C$21, $C$9, 100%, $E$9)</f>
        <v>85.783799999999999</v>
      </c>
      <c r="M969" s="10">
        <f>CHOOSE(CONTROL!$C$42, 84.0929, 84.0929) * CHOOSE(CONTROL!$C$21, $C$9, 100%, $E$9)</f>
        <v>84.0929</v>
      </c>
      <c r="N969" s="10">
        <f>CHOOSE(CONTROL!$C$42, 84.108, 84.108) * CHOOSE(CONTROL!$C$21, $C$9, 100%, $E$9)</f>
        <v>84.108000000000004</v>
      </c>
      <c r="O969" s="10">
        <f>CHOOSE(CONTROL!$C$42, 84.3509, 84.3509) * CHOOSE(CONTROL!$C$21, $C$9, 100%, $E$9)</f>
        <v>84.350899999999996</v>
      </c>
      <c r="P969" s="10">
        <f>CHOOSE(CONTROL!$C$42, 84.1228, 84.1228) * CHOOSE(CONTROL!$C$21, $C$9, 100%, $E$9)</f>
        <v>84.122799999999998</v>
      </c>
      <c r="Q969" s="10">
        <f>CHOOSE(CONTROL!$C$42, 84.9462, 84.9462) * CHOOSE(CONTROL!$C$21, $C$9, 100%, $E$9)</f>
        <v>84.946200000000005</v>
      </c>
      <c r="R969" s="10">
        <f>CHOOSE(CONTROL!$C$42, 85.7455, 85.7455) * CHOOSE(CONTROL!$C$21, $C$9, 100%, $E$9)</f>
        <v>85.745500000000007</v>
      </c>
      <c r="S969" s="10">
        <f>CHOOSE(CONTROL!$C$42, 82.5066, 82.5066) * CHOOSE(CONTROL!$C$21, $C$9, 100%, $E$9)</f>
        <v>82.506600000000006</v>
      </c>
      <c r="T9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57">
        <f>(1000*CHOOSE(CONTROL!$C$42, 695, 695)*CHOOSE(CONTROL!$C$42, 0.5599, 0.5599)*CHOOSE(CONTROL!$C$42, 30, 30))/1000000</f>
        <v>11.673914999999997</v>
      </c>
      <c r="V969" s="57">
        <f>(1000*CHOOSE(CONTROL!$C$42, 500, 500)*CHOOSE(CONTROL!$C$42, 0.275, 0.275)*CHOOSE(CONTROL!$C$42, 30, 30))/1000000</f>
        <v>4.125</v>
      </c>
      <c r="W969" s="57">
        <f>(1000*CHOOSE(CONTROL!$C$42, 0.1146, 0.1146)*CHOOSE(CONTROL!$C$42, 121.5, 121.5)*CHOOSE(CONTROL!$C$42, 30, 30))/1000000</f>
        <v>0.417717</v>
      </c>
      <c r="X969" s="57">
        <f>(30*0.1790888*245000/1000000)+(30*0.2374*100000/1000000)</f>
        <v>2.0285026799999999</v>
      </c>
      <c r="Y969" s="57"/>
      <c r="Z969" s="10"/>
      <c r="AA969" s="56"/>
      <c r="AB969" s="50">
        <f>(B969*194.205+C969*267.466+D969*133.845+E969*53.484+F969*40+G969*185+H969*0+I969*100+J969*300)/(194.205+267.466+133.845+53.484+0+40+185+100+300)</f>
        <v>84.991347935321826</v>
      </c>
      <c r="AC969" s="45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84.215006474820143</v>
      </c>
    </row>
    <row r="970" spans="1:29" ht="15.75" x14ac:dyDescent="0.25">
      <c r="A970" s="13">
        <v>70433</v>
      </c>
      <c r="B970" s="10">
        <f>CHOOSE(CONTROL!$C$42, 83.2396, 83.2396) * CHOOSE(CONTROL!$C$21, $C$9, 100%, $E$9)</f>
        <v>83.239599999999996</v>
      </c>
      <c r="C970" s="10">
        <f>CHOOSE(CONTROL!$C$42, 83.2448, 83.2448) * CHOOSE(CONTROL!$C$21, $C$9, 100%, $E$9)</f>
        <v>83.244799999999998</v>
      </c>
      <c r="D970" s="10">
        <f>CHOOSE(CONTROL!$C$42, 83.4525, 83.4525) * CHOOSE(CONTROL!$C$21, $C$9, 100%, $E$9)</f>
        <v>83.452500000000001</v>
      </c>
      <c r="E970" s="10">
        <f>CHOOSE(CONTROL!$C$42, 83.4813, 83.4813) * CHOOSE(CONTROL!$C$21, $C$9, 100%, $E$9)</f>
        <v>83.481300000000005</v>
      </c>
      <c r="F970" s="10">
        <f>CHOOSE(CONTROL!$C$42, 83.2183, 83.2183)*CHOOSE(CONTROL!$C$21, $C$9, 100%, $E$9)</f>
        <v>83.218299999999999</v>
      </c>
      <c r="G970" s="10">
        <f>CHOOSE(CONTROL!$C$42, 83.2332, 83.2332)*CHOOSE(CONTROL!$C$21, $C$9, 100%, $E$9)</f>
        <v>83.233199999999997</v>
      </c>
      <c r="H970" s="10">
        <f>CHOOSE(CONTROL!$C$42, 83.4718, 83.4718) * CHOOSE(CONTROL!$C$21, $C$9, 100%, $E$9)</f>
        <v>83.471800000000002</v>
      </c>
      <c r="I970" s="10">
        <f>CHOOSE(CONTROL!$C$42, 83.2414, 83.2414)* CHOOSE(CONTROL!$C$21, $C$9, 100%, $E$9)</f>
        <v>83.241399999999999</v>
      </c>
      <c r="J970" s="10">
        <f>CHOOSE(CONTROL!$C$42, 83.2113, 83.2113)* CHOOSE(CONTROL!$C$21, $C$9, 100%, $E$9)</f>
        <v>83.211299999999994</v>
      </c>
      <c r="K970" s="53">
        <f>CHOOSE(CONTROL!$C$42, 83.2375, 83.2375) * CHOOSE(CONTROL!$C$21, $C$9, 100%, $E$9)</f>
        <v>83.237499999999997</v>
      </c>
      <c r="L970" s="10">
        <f>CHOOSE(CONTROL!$C$42, 84.0588, 84.0588) * CHOOSE(CONTROL!$C$21, $C$9, 100%, $E$9)</f>
        <v>84.058800000000005</v>
      </c>
      <c r="M970" s="10">
        <f>CHOOSE(CONTROL!$C$42, 82.3854, 82.3854) * CHOOSE(CONTROL!$C$21, $C$9, 100%, $E$9)</f>
        <v>82.385400000000004</v>
      </c>
      <c r="N970" s="10">
        <f>CHOOSE(CONTROL!$C$42, 82.4002, 82.4002) * CHOOSE(CONTROL!$C$21, $C$9, 100%, $E$9)</f>
        <v>82.400199999999998</v>
      </c>
      <c r="O970" s="10">
        <f>CHOOSE(CONTROL!$C$42, 82.6432, 82.6432) * CHOOSE(CONTROL!$C$21, $C$9, 100%, $E$9)</f>
        <v>82.643199999999993</v>
      </c>
      <c r="P970" s="10">
        <f>CHOOSE(CONTROL!$C$42, 82.4152, 82.4152) * CHOOSE(CONTROL!$C$21, $C$9, 100%, $E$9)</f>
        <v>82.415199999999999</v>
      </c>
      <c r="Q970" s="10">
        <f>CHOOSE(CONTROL!$C$42, 83.2385, 83.2385) * CHOOSE(CONTROL!$C$21, $C$9, 100%, $E$9)</f>
        <v>83.238500000000002</v>
      </c>
      <c r="R970" s="10">
        <f>CHOOSE(CONTROL!$C$42, 84.0336, 84.0336) * CHOOSE(CONTROL!$C$21, $C$9, 100%, $E$9)</f>
        <v>84.033600000000007</v>
      </c>
      <c r="S970" s="10">
        <f>CHOOSE(CONTROL!$C$42, 80.8314, 80.8314) * CHOOSE(CONTROL!$C$21, $C$9, 100%, $E$9)</f>
        <v>80.831400000000002</v>
      </c>
      <c r="T9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57">
        <f>(1000*CHOOSE(CONTROL!$C$42, 695, 695)*CHOOSE(CONTROL!$C$42, 0.5599, 0.5599)*CHOOSE(CONTROL!$C$42, 31, 31))/1000000</f>
        <v>12.063045499999998</v>
      </c>
      <c r="V970" s="57">
        <f>(1000*CHOOSE(CONTROL!$C$42, 500, 500)*CHOOSE(CONTROL!$C$42, 0.275, 0.275)*CHOOSE(CONTROL!$C$42, 31, 31))/1000000</f>
        <v>4.2625000000000002</v>
      </c>
      <c r="W970" s="57">
        <f>(1000*CHOOSE(CONTROL!$C$42, 0.1146, 0.1146)*CHOOSE(CONTROL!$C$42, 121.5, 121.5)*CHOOSE(CONTROL!$C$42, 31, 31))/1000000</f>
        <v>0.43164089999999994</v>
      </c>
      <c r="X970" s="57">
        <f>(31*0.1790888*245000/1000000)+(31*0.2374*100000/1000000)</f>
        <v>2.0961194359999999</v>
      </c>
      <c r="Y970" s="57"/>
      <c r="Z970" s="10"/>
      <c r="AA970" s="56"/>
      <c r="AB970" s="50">
        <f>(B970*131.881+C970*277.167+D970*79.08+E970*125.872+F970*40+G970*185+H970*0+I970*100+J970*300)/(131.881+277.167+79.08+125.872+0+40+185+100+300)</f>
        <v>83.270556144309921</v>
      </c>
      <c r="AC970" s="45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82.507384172661872</v>
      </c>
    </row>
    <row r="971" spans="1:29" ht="15.75" x14ac:dyDescent="0.25">
      <c r="A971" s="13">
        <v>70463</v>
      </c>
      <c r="B971" s="10">
        <f>CHOOSE(CONTROL!$C$42, 85.432, 85.432) * CHOOSE(CONTROL!$C$21, $C$9, 100%, $E$9)</f>
        <v>85.432000000000002</v>
      </c>
      <c r="C971" s="10">
        <f>CHOOSE(CONTROL!$C$42, 85.437, 85.437) * CHOOSE(CONTROL!$C$21, $C$9, 100%, $E$9)</f>
        <v>85.436999999999998</v>
      </c>
      <c r="D971" s="10">
        <f>CHOOSE(CONTROL!$C$42, 85.4975, 85.4975) * CHOOSE(CONTROL!$C$21, $C$9, 100%, $E$9)</f>
        <v>85.497500000000002</v>
      </c>
      <c r="E971" s="10">
        <f>CHOOSE(CONTROL!$C$42, 85.5312, 85.5312) * CHOOSE(CONTROL!$C$21, $C$9, 100%, $E$9)</f>
        <v>85.531199999999998</v>
      </c>
      <c r="F971" s="10">
        <f>CHOOSE(CONTROL!$C$42, 85.4276, 85.4276)*CHOOSE(CONTROL!$C$21, $C$9, 100%, $E$9)</f>
        <v>85.427599999999998</v>
      </c>
      <c r="G971" s="10">
        <f>CHOOSE(CONTROL!$C$42, 85.4429, 85.4429)*CHOOSE(CONTROL!$C$21, $C$9, 100%, $E$9)</f>
        <v>85.442899999999995</v>
      </c>
      <c r="H971" s="10">
        <f>CHOOSE(CONTROL!$C$42, 85.5204, 85.5204) * CHOOSE(CONTROL!$C$21, $C$9, 100%, $E$9)</f>
        <v>85.520399999999995</v>
      </c>
      <c r="I971" s="10">
        <f>CHOOSE(CONTROL!$C$42, 85.4445, 85.4445)* CHOOSE(CONTROL!$C$21, $C$9, 100%, $E$9)</f>
        <v>85.444500000000005</v>
      </c>
      <c r="J971" s="10">
        <f>CHOOSE(CONTROL!$C$42, 85.4206, 85.4206)* CHOOSE(CONTROL!$C$21, $C$9, 100%, $E$9)</f>
        <v>85.420599999999993</v>
      </c>
      <c r="K971" s="53">
        <f>CHOOSE(CONTROL!$C$42, 85.4406, 85.4406) * CHOOSE(CONTROL!$C$21, $C$9, 100%, $E$9)</f>
        <v>85.440600000000003</v>
      </c>
      <c r="L971" s="10">
        <f>CHOOSE(CONTROL!$C$42, 86.1074, 86.1074) * CHOOSE(CONTROL!$C$21, $C$9, 100%, $E$9)</f>
        <v>86.107399999999998</v>
      </c>
      <c r="M971" s="10">
        <f>CHOOSE(CONTROL!$C$42, 84.5724, 84.5724) * CHOOSE(CONTROL!$C$21, $C$9, 100%, $E$9)</f>
        <v>84.572400000000002</v>
      </c>
      <c r="N971" s="10">
        <f>CHOOSE(CONTROL!$C$42, 84.5875, 84.5875) * CHOOSE(CONTROL!$C$21, $C$9, 100%, $E$9)</f>
        <v>84.587500000000006</v>
      </c>
      <c r="O971" s="10">
        <f>CHOOSE(CONTROL!$C$42, 84.6712, 84.6712) * CHOOSE(CONTROL!$C$21, $C$9, 100%, $E$9)</f>
        <v>84.671199999999999</v>
      </c>
      <c r="P971" s="10">
        <f>CHOOSE(CONTROL!$C$42, 84.5961, 84.5961) * CHOOSE(CONTROL!$C$21, $C$9, 100%, $E$9)</f>
        <v>84.596100000000007</v>
      </c>
      <c r="Q971" s="10">
        <f>CHOOSE(CONTROL!$C$42, 85.2665, 85.2665) * CHOOSE(CONTROL!$C$21, $C$9, 100%, $E$9)</f>
        <v>85.266499999999994</v>
      </c>
      <c r="R971" s="10">
        <f>CHOOSE(CONTROL!$C$42, 86.0667, 86.0667) * CHOOSE(CONTROL!$C$21, $C$9, 100%, $E$9)</f>
        <v>86.066699999999997</v>
      </c>
      <c r="S971" s="10">
        <f>CHOOSE(CONTROL!$C$42, 82.9609, 82.9609) * CHOOSE(CONTROL!$C$21, $C$9, 100%, $E$9)</f>
        <v>82.960899999999995</v>
      </c>
      <c r="T9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57">
        <f>(1000*CHOOSE(CONTROL!$C$42, 695, 695)*CHOOSE(CONTROL!$C$42, 0.5599, 0.5599)*CHOOSE(CONTROL!$C$42, 30, 30))/1000000</f>
        <v>11.673914999999997</v>
      </c>
      <c r="V971" s="57">
        <f>(1000*CHOOSE(CONTROL!$C$42, 500, 500)*CHOOSE(CONTROL!$C$42, 0.275, 0.275)*CHOOSE(CONTROL!$C$42, 30, 30))/1000000</f>
        <v>4.125</v>
      </c>
      <c r="W971" s="57">
        <f>(1000*CHOOSE(CONTROL!$C$42, 0.1146, 0.1146)*CHOOSE(CONTROL!$C$42, 121.5, 121.5)*CHOOSE(CONTROL!$C$42, 30, 30))/1000000</f>
        <v>0.417717</v>
      </c>
      <c r="X971" s="57">
        <f>(30*0.1790888*100000/1000000)+(30*0.2374*100000/1000000)</f>
        <v>1.2494664</v>
      </c>
      <c r="Y971" s="57"/>
      <c r="Z971" s="10"/>
      <c r="AA971" s="56"/>
      <c r="AB971" s="50">
        <f>(B971*122.58+C971*297.941+D971*89.177+E971*40.302+F971*40+G971*160+H971*0+I971*100+J971*300)/(122.58+297.941+89.177+40.302+0+40+160+100+300)</f>
        <v>85.441327614695652</v>
      </c>
      <c r="AC971" s="45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84.621458992805756</v>
      </c>
    </row>
    <row r="972" spans="1:29" ht="15.75" x14ac:dyDescent="0.25">
      <c r="A972" s="13">
        <v>70494</v>
      </c>
      <c r="B972" s="10">
        <f>CHOOSE(CONTROL!$C$42, 91.2565, 91.2565) * CHOOSE(CONTROL!$C$21, $C$9, 100%, $E$9)</f>
        <v>91.256500000000003</v>
      </c>
      <c r="C972" s="10">
        <f>CHOOSE(CONTROL!$C$42, 91.2615, 91.2615) * CHOOSE(CONTROL!$C$21, $C$9, 100%, $E$9)</f>
        <v>91.261499999999998</v>
      </c>
      <c r="D972" s="10">
        <f>CHOOSE(CONTROL!$C$42, 91.322, 91.322) * CHOOSE(CONTROL!$C$21, $C$9, 100%, $E$9)</f>
        <v>91.322000000000003</v>
      </c>
      <c r="E972" s="10">
        <f>CHOOSE(CONTROL!$C$42, 91.3558, 91.3558) * CHOOSE(CONTROL!$C$21, $C$9, 100%, $E$9)</f>
        <v>91.355800000000002</v>
      </c>
      <c r="F972" s="10">
        <f>CHOOSE(CONTROL!$C$42, 91.254, 91.254)*CHOOSE(CONTROL!$C$21, $C$9, 100%, $E$9)</f>
        <v>91.254000000000005</v>
      </c>
      <c r="G972" s="10">
        <f>CHOOSE(CONTROL!$C$42, 91.2697, 91.2697)*CHOOSE(CONTROL!$C$21, $C$9, 100%, $E$9)</f>
        <v>91.2697</v>
      </c>
      <c r="H972" s="10">
        <f>CHOOSE(CONTROL!$C$42, 91.3449, 91.3449) * CHOOSE(CONTROL!$C$21, $C$9, 100%, $E$9)</f>
        <v>91.344899999999996</v>
      </c>
      <c r="I972" s="10">
        <f>CHOOSE(CONTROL!$C$42, 91.269, 91.269)* CHOOSE(CONTROL!$C$21, $C$9, 100%, $E$9)</f>
        <v>91.269000000000005</v>
      </c>
      <c r="J972" s="10">
        <f>CHOOSE(CONTROL!$C$42, 91.247, 91.247)* CHOOSE(CONTROL!$C$21, $C$9, 100%, $E$9)</f>
        <v>91.247</v>
      </c>
      <c r="K972" s="53">
        <f>CHOOSE(CONTROL!$C$42, 91.2651, 91.2651) * CHOOSE(CONTROL!$C$21, $C$9, 100%, $E$9)</f>
        <v>91.265100000000004</v>
      </c>
      <c r="L972" s="10">
        <f>CHOOSE(CONTROL!$C$42, 91.9319, 91.9319) * CHOOSE(CONTROL!$C$21, $C$9, 100%, $E$9)</f>
        <v>91.931899999999999</v>
      </c>
      <c r="M972" s="10">
        <f>CHOOSE(CONTROL!$C$42, 90.34, 90.34) * CHOOSE(CONTROL!$C$21, $C$9, 100%, $E$9)</f>
        <v>90.34</v>
      </c>
      <c r="N972" s="10">
        <f>CHOOSE(CONTROL!$C$42, 90.3555, 90.3555) * CHOOSE(CONTROL!$C$21, $C$9, 100%, $E$9)</f>
        <v>90.355500000000006</v>
      </c>
      <c r="O972" s="10">
        <f>CHOOSE(CONTROL!$C$42, 90.4369, 90.4369) * CHOOSE(CONTROL!$C$21, $C$9, 100%, $E$9)</f>
        <v>90.436899999999994</v>
      </c>
      <c r="P972" s="10">
        <f>CHOOSE(CONTROL!$C$42, 90.3618, 90.3618) * CHOOSE(CONTROL!$C$21, $C$9, 100%, $E$9)</f>
        <v>90.361800000000002</v>
      </c>
      <c r="Q972" s="10">
        <f>CHOOSE(CONTROL!$C$42, 91.0322, 91.0322) * CHOOSE(CONTROL!$C$21, $C$9, 100%, $E$9)</f>
        <v>91.032200000000003</v>
      </c>
      <c r="R972" s="10">
        <f>CHOOSE(CONTROL!$C$42, 91.8468, 91.8468) * CHOOSE(CONTROL!$C$21, $C$9, 100%, $E$9)</f>
        <v>91.846800000000002</v>
      </c>
      <c r="S972" s="10">
        <f>CHOOSE(CONTROL!$C$42, 88.6171, 88.6171) * CHOOSE(CONTROL!$C$21, $C$9, 100%, $E$9)</f>
        <v>88.617099999999994</v>
      </c>
      <c r="T9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57">
        <f>(1000*CHOOSE(CONTROL!$C$42, 695, 695)*CHOOSE(CONTROL!$C$42, 0.5599, 0.5599)*CHOOSE(CONTROL!$C$42, 31, 31))/1000000</f>
        <v>12.063045499999998</v>
      </c>
      <c r="V972" s="57">
        <f>(1000*CHOOSE(CONTROL!$C$42, 500, 500)*CHOOSE(CONTROL!$C$42, 0.275, 0.275)*CHOOSE(CONTROL!$C$42, 31, 31))/1000000</f>
        <v>4.2625000000000002</v>
      </c>
      <c r="W972" s="57">
        <f>(1000*CHOOSE(CONTROL!$C$42, 0.1146, 0.1146)*CHOOSE(CONTROL!$C$42, 121.5, 121.5)*CHOOSE(CONTROL!$C$42, 31, 31))/1000000</f>
        <v>0.43164089999999994</v>
      </c>
      <c r="X972" s="57">
        <f>(31*0.1790888*100000/1000000)+(31*0.2374*100000/1000000)</f>
        <v>1.2911152800000001</v>
      </c>
      <c r="Y972" s="57"/>
      <c r="Z972" s="10"/>
      <c r="AA972" s="56"/>
      <c r="AB972" s="50">
        <f>(B972*122.58+C972*297.941+D972*89.177+E972*40.302+F972*40+G972*160+H972*0+I972*100+J972*300)/(122.58+297.941+89.177+40.302+0+40+160+100+300)</f>
        <v>91.26671285834783</v>
      </c>
      <c r="AC972" s="45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90.387947482014397</v>
      </c>
    </row>
    <row r="973" spans="1:29" ht="15.75" x14ac:dyDescent="0.25">
      <c r="A973" s="13">
        <v>70525</v>
      </c>
      <c r="B973" s="10">
        <f>CHOOSE(CONTROL!$C$42, 98.7336, 98.7336) * CHOOSE(CONTROL!$C$21, $C$9, 100%, $E$9)</f>
        <v>98.733599999999996</v>
      </c>
      <c r="C973" s="10">
        <f>CHOOSE(CONTROL!$C$42, 98.7385, 98.7385) * CHOOSE(CONTROL!$C$21, $C$9, 100%, $E$9)</f>
        <v>98.738500000000002</v>
      </c>
      <c r="D973" s="10">
        <f>CHOOSE(CONTROL!$C$42, 98.7956, 98.7956) * CHOOSE(CONTROL!$C$21, $C$9, 100%, $E$9)</f>
        <v>98.795599999999993</v>
      </c>
      <c r="E973" s="10">
        <f>CHOOSE(CONTROL!$C$42, 98.8294, 98.8294) * CHOOSE(CONTROL!$C$21, $C$9, 100%, $E$9)</f>
        <v>98.829400000000007</v>
      </c>
      <c r="F973" s="10">
        <f>CHOOSE(CONTROL!$C$42, 98.7314, 98.7314)*CHOOSE(CONTROL!$C$21, $C$9, 100%, $E$9)</f>
        <v>98.731399999999994</v>
      </c>
      <c r="G973" s="10">
        <f>CHOOSE(CONTROL!$C$42, 98.746, 98.746)*CHOOSE(CONTROL!$C$21, $C$9, 100%, $E$9)</f>
        <v>98.745999999999995</v>
      </c>
      <c r="H973" s="10">
        <f>CHOOSE(CONTROL!$C$42, 98.8186, 98.8186) * CHOOSE(CONTROL!$C$21, $C$9, 100%, $E$9)</f>
        <v>98.818600000000004</v>
      </c>
      <c r="I973" s="10">
        <f>CHOOSE(CONTROL!$C$42, 98.7444, 98.7444)* CHOOSE(CONTROL!$C$21, $C$9, 100%, $E$9)</f>
        <v>98.744399999999999</v>
      </c>
      <c r="J973" s="10">
        <f>CHOOSE(CONTROL!$C$42, 98.7244, 98.7244)* CHOOSE(CONTROL!$C$21, $C$9, 100%, $E$9)</f>
        <v>98.724400000000003</v>
      </c>
      <c r="K973" s="53">
        <f>CHOOSE(CONTROL!$C$42, 98.7405, 98.7405) * CHOOSE(CONTROL!$C$21, $C$9, 100%, $E$9)</f>
        <v>98.740499999999997</v>
      </c>
      <c r="L973" s="10">
        <f>CHOOSE(CONTROL!$C$42, 99.4056, 99.4056) * CHOOSE(CONTROL!$C$21, $C$9, 100%, $E$9)</f>
        <v>99.405600000000007</v>
      </c>
      <c r="M973" s="10">
        <f>CHOOSE(CONTROL!$C$42, 97.7419, 97.7419) * CHOOSE(CONTROL!$C$21, $C$9, 100%, $E$9)</f>
        <v>97.741900000000001</v>
      </c>
      <c r="N973" s="10">
        <f>CHOOSE(CONTROL!$C$42, 97.7564, 97.7564) * CHOOSE(CONTROL!$C$21, $C$9, 100%, $E$9)</f>
        <v>97.756399999999999</v>
      </c>
      <c r="O973" s="10">
        <f>CHOOSE(CONTROL!$C$42, 97.8351, 97.8351) * CHOOSE(CONTROL!$C$21, $C$9, 100%, $E$9)</f>
        <v>97.835099999999997</v>
      </c>
      <c r="P973" s="10">
        <f>CHOOSE(CONTROL!$C$42, 97.7617, 97.7617) * CHOOSE(CONTROL!$C$21, $C$9, 100%, $E$9)</f>
        <v>97.761700000000005</v>
      </c>
      <c r="Q973" s="10">
        <f>CHOOSE(CONTROL!$C$42, 98.4304, 98.4304) * CHOOSE(CONTROL!$C$21, $C$9, 100%, $E$9)</f>
        <v>98.430400000000006</v>
      </c>
      <c r="R973" s="10">
        <f>CHOOSE(CONTROL!$C$42, 99.2635, 99.2635) * CHOOSE(CONTROL!$C$21, $C$9, 100%, $E$9)</f>
        <v>99.263499999999993</v>
      </c>
      <c r="S973" s="10">
        <f>CHOOSE(CONTROL!$C$42, 95.878, 95.878) * CHOOSE(CONTROL!$C$21, $C$9, 100%, $E$9)</f>
        <v>95.878</v>
      </c>
      <c r="T9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57">
        <f>(1000*CHOOSE(CONTROL!$C$42, 695, 695)*CHOOSE(CONTROL!$C$42, 0.5599, 0.5599)*CHOOSE(CONTROL!$C$42, 31, 31))/1000000</f>
        <v>12.063045499999998</v>
      </c>
      <c r="V973" s="57">
        <f>(1000*CHOOSE(CONTROL!$C$42, 500, 500)*CHOOSE(CONTROL!$C$42, 0.275, 0.275)*CHOOSE(CONTROL!$C$42, 31, 31))/1000000</f>
        <v>4.2625000000000002</v>
      </c>
      <c r="W973" s="57">
        <f>(1000*CHOOSE(CONTROL!$C$42, 0.1146, 0.1146)*CHOOSE(CONTROL!$C$42, 121.5, 121.5)*CHOOSE(CONTROL!$C$42, 31, 31))/1000000</f>
        <v>0.43164089999999994</v>
      </c>
      <c r="X973" s="57">
        <f>(31*0.1790888*100000/1000000)+(31*0.2374*100000/1000000)</f>
        <v>1.2911152800000001</v>
      </c>
      <c r="Y973" s="57"/>
      <c r="Z973" s="10"/>
      <c r="AA973" s="56"/>
      <c r="AB973" s="50">
        <f>(B973*122.58+C973*297.941+D973*89.177+E973*40.302+F973*40+G973*160+H973*0+I973*100+J973*300)/(122.58+297.941+89.177+40.302+0+40+160+100+300)</f>
        <v>98.743222449130442</v>
      </c>
      <c r="AC973" s="45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97.787825179856114</v>
      </c>
    </row>
    <row r="974" spans="1:29" ht="15.75" x14ac:dyDescent="0.25">
      <c r="A974" s="13">
        <v>70553</v>
      </c>
      <c r="B974" s="10">
        <f>CHOOSE(CONTROL!$C$42, 100.4911, 100.4911) * CHOOSE(CONTROL!$C$21, $C$9, 100%, $E$9)</f>
        <v>100.4911</v>
      </c>
      <c r="C974" s="10">
        <f>CHOOSE(CONTROL!$C$42, 100.4961, 100.4961) * CHOOSE(CONTROL!$C$21, $C$9, 100%, $E$9)</f>
        <v>100.4961</v>
      </c>
      <c r="D974" s="10">
        <f>CHOOSE(CONTROL!$C$42, 100.5531, 100.5531) * CHOOSE(CONTROL!$C$21, $C$9, 100%, $E$9)</f>
        <v>100.5531</v>
      </c>
      <c r="E974" s="10">
        <f>CHOOSE(CONTROL!$C$42, 100.5869, 100.5869) * CHOOSE(CONTROL!$C$21, $C$9, 100%, $E$9)</f>
        <v>100.5869</v>
      </c>
      <c r="F974" s="10">
        <f>CHOOSE(CONTROL!$C$42, 100.489, 100.489)*CHOOSE(CONTROL!$C$21, $C$9, 100%, $E$9)</f>
        <v>100.489</v>
      </c>
      <c r="G974" s="10">
        <f>CHOOSE(CONTROL!$C$42, 100.5037, 100.5037)*CHOOSE(CONTROL!$C$21, $C$9, 100%, $E$9)</f>
        <v>100.50369999999999</v>
      </c>
      <c r="H974" s="10">
        <f>CHOOSE(CONTROL!$C$42, 100.5761, 100.5761) * CHOOSE(CONTROL!$C$21, $C$9, 100%, $E$9)</f>
        <v>100.5761</v>
      </c>
      <c r="I974" s="10">
        <f>CHOOSE(CONTROL!$C$42, 100.5019, 100.5019)* CHOOSE(CONTROL!$C$21, $C$9, 100%, $E$9)</f>
        <v>100.50190000000001</v>
      </c>
      <c r="J974" s="10">
        <f>CHOOSE(CONTROL!$C$42, 100.482, 100.482)* CHOOSE(CONTROL!$C$21, $C$9, 100%, $E$9)</f>
        <v>100.482</v>
      </c>
      <c r="K974" s="53">
        <f>CHOOSE(CONTROL!$C$42, 100.498, 100.498) * CHOOSE(CONTROL!$C$21, $C$9, 100%, $E$9)</f>
        <v>100.498</v>
      </c>
      <c r="L974" s="10">
        <f>CHOOSE(CONTROL!$C$42, 101.1631, 101.1631) * CHOOSE(CONTROL!$C$21, $C$9, 100%, $E$9)</f>
        <v>101.1631</v>
      </c>
      <c r="M974" s="10">
        <f>CHOOSE(CONTROL!$C$42, 99.4818, 99.4818) * CHOOSE(CONTROL!$C$21, $C$9, 100%, $E$9)</f>
        <v>99.481800000000007</v>
      </c>
      <c r="N974" s="10">
        <f>CHOOSE(CONTROL!$C$42, 99.4963, 99.4963) * CHOOSE(CONTROL!$C$21, $C$9, 100%, $E$9)</f>
        <v>99.496300000000005</v>
      </c>
      <c r="O974" s="10">
        <f>CHOOSE(CONTROL!$C$42, 99.5749, 99.5749) * CHOOSE(CONTROL!$C$21, $C$9, 100%, $E$9)</f>
        <v>99.5749</v>
      </c>
      <c r="P974" s="10">
        <f>CHOOSE(CONTROL!$C$42, 99.5015, 99.5015) * CHOOSE(CONTROL!$C$21, $C$9, 100%, $E$9)</f>
        <v>99.501499999999993</v>
      </c>
      <c r="Q974" s="10">
        <f>CHOOSE(CONTROL!$C$42, 100.1702, 100.1702) * CHOOSE(CONTROL!$C$21, $C$9, 100%, $E$9)</f>
        <v>100.17019999999999</v>
      </c>
      <c r="R974" s="10">
        <f>CHOOSE(CONTROL!$C$42, 101.0077, 101.0077) * CHOOSE(CONTROL!$C$21, $C$9, 100%, $E$9)</f>
        <v>101.0077</v>
      </c>
      <c r="S974" s="10">
        <f>CHOOSE(CONTROL!$C$42, 97.5848, 97.5848) * CHOOSE(CONTROL!$C$21, $C$9, 100%, $E$9)</f>
        <v>97.584800000000001</v>
      </c>
      <c r="T9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57">
        <f>(1000*CHOOSE(CONTROL!$C$42, 695, 695)*CHOOSE(CONTROL!$C$42, 0.5599, 0.5599)*CHOOSE(CONTROL!$C$42, 28, 28))/1000000</f>
        <v>10.895653999999999</v>
      </c>
      <c r="V974" s="57">
        <f>(1000*CHOOSE(CONTROL!$C$42, 500, 500)*CHOOSE(CONTROL!$C$42, 0.275, 0.275)*CHOOSE(CONTROL!$C$42, 28, 28))/1000000</f>
        <v>3.85</v>
      </c>
      <c r="W974" s="57">
        <f>(1000*CHOOSE(CONTROL!$C$42, 0.1146, 0.1146)*CHOOSE(CONTROL!$C$42, 121.5, 121.5)*CHOOSE(CONTROL!$C$42, 28, 28))/1000000</f>
        <v>0.38986920000000003</v>
      </c>
      <c r="X974" s="57">
        <f>(28*0.1790888*100000/1000000)+(28*0.2374*100000/1000000)</f>
        <v>1.16616864</v>
      </c>
      <c r="Y974" s="57"/>
      <c r="Z974" s="10"/>
      <c r="AA974" s="56"/>
      <c r="AB974" s="50">
        <f>(B974*122.58+C974*297.941+D974*89.177+E974*40.302+F974*40+G974*160+H974*0+I974*100+J974*300)/(122.58+297.941+89.177+40.302+0+40+160+100+300)</f>
        <v>100.50080574834783</v>
      </c>
      <c r="AC974" s="45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99.527665467625894</v>
      </c>
    </row>
    <row r="975" spans="1:29" ht="15.75" x14ac:dyDescent="0.25">
      <c r="A975" s="13">
        <v>70584</v>
      </c>
      <c r="B975" s="10">
        <f>CHOOSE(CONTROL!$C$42, 97.6382, 97.6382) * CHOOSE(CONTROL!$C$21, $C$9, 100%, $E$9)</f>
        <v>97.638199999999998</v>
      </c>
      <c r="C975" s="10">
        <f>CHOOSE(CONTROL!$C$42, 97.6431, 97.6431) * CHOOSE(CONTROL!$C$21, $C$9, 100%, $E$9)</f>
        <v>97.643100000000004</v>
      </c>
      <c r="D975" s="10">
        <f>CHOOSE(CONTROL!$C$42, 97.7002, 97.7002) * CHOOSE(CONTROL!$C$21, $C$9, 100%, $E$9)</f>
        <v>97.700199999999995</v>
      </c>
      <c r="E975" s="10">
        <f>CHOOSE(CONTROL!$C$42, 97.734, 97.734) * CHOOSE(CONTROL!$C$21, $C$9, 100%, $E$9)</f>
        <v>97.733999999999995</v>
      </c>
      <c r="F975" s="10">
        <f>CHOOSE(CONTROL!$C$42, 97.636, 97.636)*CHOOSE(CONTROL!$C$21, $C$9, 100%, $E$9)</f>
        <v>97.635999999999996</v>
      </c>
      <c r="G975" s="10">
        <f>CHOOSE(CONTROL!$C$42, 97.6506, 97.6506)*CHOOSE(CONTROL!$C$21, $C$9, 100%, $E$9)</f>
        <v>97.650599999999997</v>
      </c>
      <c r="H975" s="10">
        <f>CHOOSE(CONTROL!$C$42, 97.7232, 97.7232) * CHOOSE(CONTROL!$C$21, $C$9, 100%, $E$9)</f>
        <v>97.723200000000006</v>
      </c>
      <c r="I975" s="10">
        <f>CHOOSE(CONTROL!$C$42, 97.649, 97.649)* CHOOSE(CONTROL!$C$21, $C$9, 100%, $E$9)</f>
        <v>97.649000000000001</v>
      </c>
      <c r="J975" s="10">
        <f>CHOOSE(CONTROL!$C$42, 97.629, 97.629)* CHOOSE(CONTROL!$C$21, $C$9, 100%, $E$9)</f>
        <v>97.629000000000005</v>
      </c>
      <c r="K975" s="53">
        <f>CHOOSE(CONTROL!$C$42, 97.6451, 97.6451) * CHOOSE(CONTROL!$C$21, $C$9, 100%, $E$9)</f>
        <v>97.645099999999999</v>
      </c>
      <c r="L975" s="10">
        <f>CHOOSE(CONTROL!$C$42, 98.3102, 98.3102) * CHOOSE(CONTROL!$C$21, $C$9, 100%, $E$9)</f>
        <v>98.310199999999995</v>
      </c>
      <c r="M975" s="10">
        <f>CHOOSE(CONTROL!$C$42, 96.6576, 96.6576) * CHOOSE(CONTROL!$C$21, $C$9, 100%, $E$9)</f>
        <v>96.657600000000002</v>
      </c>
      <c r="N975" s="10">
        <f>CHOOSE(CONTROL!$C$42, 96.672, 96.672) * CHOOSE(CONTROL!$C$21, $C$9, 100%, $E$9)</f>
        <v>96.671999999999997</v>
      </c>
      <c r="O975" s="10">
        <f>CHOOSE(CONTROL!$C$42, 96.7508, 96.7508) * CHOOSE(CONTROL!$C$21, $C$9, 100%, $E$9)</f>
        <v>96.750799999999998</v>
      </c>
      <c r="P975" s="10">
        <f>CHOOSE(CONTROL!$C$42, 96.6774, 96.6774) * CHOOSE(CONTROL!$C$21, $C$9, 100%, $E$9)</f>
        <v>96.677400000000006</v>
      </c>
      <c r="Q975" s="10">
        <f>CHOOSE(CONTROL!$C$42, 97.3461, 97.3461) * CHOOSE(CONTROL!$C$21, $C$9, 100%, $E$9)</f>
        <v>97.346100000000007</v>
      </c>
      <c r="R975" s="10">
        <f>CHOOSE(CONTROL!$C$42, 98.1765, 98.1765) * CHOOSE(CONTROL!$C$21, $C$9, 100%, $E$9)</f>
        <v>98.176500000000004</v>
      </c>
      <c r="S975" s="10">
        <f>CHOOSE(CONTROL!$C$42, 94.8143, 94.8143) * CHOOSE(CONTROL!$C$21, $C$9, 100%, $E$9)</f>
        <v>94.814300000000003</v>
      </c>
      <c r="T9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57">
        <f>(1000*CHOOSE(CONTROL!$C$42, 695, 695)*CHOOSE(CONTROL!$C$42, 0.5599, 0.5599)*CHOOSE(CONTROL!$C$42, 31, 31))/1000000</f>
        <v>12.063045499999998</v>
      </c>
      <c r="V975" s="57">
        <f>(1000*CHOOSE(CONTROL!$C$42, 500, 500)*CHOOSE(CONTROL!$C$42, 0.275, 0.275)*CHOOSE(CONTROL!$C$42, 31, 31))/1000000</f>
        <v>4.2625000000000002</v>
      </c>
      <c r="W975" s="57">
        <f>(1000*CHOOSE(CONTROL!$C$42, 0.1146, 0.1146)*CHOOSE(CONTROL!$C$42, 121.5, 121.5)*CHOOSE(CONTROL!$C$42, 31, 31))/1000000</f>
        <v>0.43164089999999994</v>
      </c>
      <c r="X975" s="57">
        <f>(31*0.1790888*100000/1000000)+(31*0.2374*100000/1000000)</f>
        <v>1.2911152800000001</v>
      </c>
      <c r="Y975" s="57"/>
      <c r="Z975" s="10"/>
      <c r="AA975" s="56"/>
      <c r="AB975" s="50">
        <f>(B975*122.58+C975*297.941+D975*89.177+E975*40.302+F975*40+G975*160+H975*0+I975*100+J975*300)/(122.58+297.941+89.177+40.302+0+40+160+100+300)</f>
        <v>97.647822449130416</v>
      </c>
      <c r="AC975" s="45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96.703519424460453</v>
      </c>
    </row>
    <row r="976" spans="1:29" ht="15.75" x14ac:dyDescent="0.25">
      <c r="A976" s="13">
        <v>70614</v>
      </c>
      <c r="B976" s="10">
        <f>CHOOSE(CONTROL!$C$42, 97.347, 97.347) * CHOOSE(CONTROL!$C$21, $C$9, 100%, $E$9)</f>
        <v>97.346999999999994</v>
      </c>
      <c r="C976" s="10">
        <f>CHOOSE(CONTROL!$C$42, 97.3514, 97.3514) * CHOOSE(CONTROL!$C$21, $C$9, 100%, $E$9)</f>
        <v>97.351399999999998</v>
      </c>
      <c r="D976" s="10">
        <f>CHOOSE(CONTROL!$C$42, 97.5573, 97.5573) * CHOOSE(CONTROL!$C$21, $C$9, 100%, $E$9)</f>
        <v>97.557299999999998</v>
      </c>
      <c r="E976" s="10">
        <f>CHOOSE(CONTROL!$C$42, 97.589, 97.589) * CHOOSE(CONTROL!$C$21, $C$9, 100%, $E$9)</f>
        <v>97.588999999999999</v>
      </c>
      <c r="F976" s="10">
        <f>CHOOSE(CONTROL!$C$42, 97.3238, 97.3238)*CHOOSE(CONTROL!$C$21, $C$9, 100%, $E$9)</f>
        <v>97.323800000000006</v>
      </c>
      <c r="G976" s="10">
        <f>CHOOSE(CONTROL!$C$42, 97.3383, 97.3383)*CHOOSE(CONTROL!$C$21, $C$9, 100%, $E$9)</f>
        <v>97.338300000000004</v>
      </c>
      <c r="H976" s="10">
        <f>CHOOSE(CONTROL!$C$42, 97.5788, 97.5788) * CHOOSE(CONTROL!$C$21, $C$9, 100%, $E$9)</f>
        <v>97.578800000000001</v>
      </c>
      <c r="I976" s="10">
        <f>CHOOSE(CONTROL!$C$42, 97.3484, 97.3484)* CHOOSE(CONTROL!$C$21, $C$9, 100%, $E$9)</f>
        <v>97.348399999999998</v>
      </c>
      <c r="J976" s="10">
        <f>CHOOSE(CONTROL!$C$42, 97.3168, 97.3168)* CHOOSE(CONTROL!$C$21, $C$9, 100%, $E$9)</f>
        <v>97.316800000000001</v>
      </c>
      <c r="K976" s="53">
        <f>CHOOSE(CONTROL!$C$42, 97.3446, 97.3446) * CHOOSE(CONTROL!$C$21, $C$9, 100%, $E$9)</f>
        <v>97.3446</v>
      </c>
      <c r="L976" s="10">
        <f>CHOOSE(CONTROL!$C$42, 98.1658, 98.1658) * CHOOSE(CONTROL!$C$21, $C$9, 100%, $E$9)</f>
        <v>98.165800000000004</v>
      </c>
      <c r="M976" s="10">
        <f>CHOOSE(CONTROL!$C$42, 96.3485, 96.3485) * CHOOSE(CONTROL!$C$21, $C$9, 100%, $E$9)</f>
        <v>96.348500000000001</v>
      </c>
      <c r="N976" s="10">
        <f>CHOOSE(CONTROL!$C$42, 96.3629, 96.3629) * CHOOSE(CONTROL!$C$21, $C$9, 100%, $E$9)</f>
        <v>96.362899999999996</v>
      </c>
      <c r="O976" s="10">
        <f>CHOOSE(CONTROL!$C$42, 96.6079, 96.6079) * CHOOSE(CONTROL!$C$21, $C$9, 100%, $E$9)</f>
        <v>96.607900000000001</v>
      </c>
      <c r="P976" s="10">
        <f>CHOOSE(CONTROL!$C$42, 96.3799, 96.3799) * CHOOSE(CONTROL!$C$21, $C$9, 100%, $E$9)</f>
        <v>96.379900000000006</v>
      </c>
      <c r="Q976" s="10">
        <f>CHOOSE(CONTROL!$C$42, 97.2032, 97.2032) * CHOOSE(CONTROL!$C$21, $C$9, 100%, $E$9)</f>
        <v>97.203199999999995</v>
      </c>
      <c r="R976" s="10">
        <f>CHOOSE(CONTROL!$C$42, 98.0332, 98.0332) * CHOOSE(CONTROL!$C$21, $C$9, 100%, $E$9)</f>
        <v>98.033199999999994</v>
      </c>
      <c r="S976" s="10">
        <f>CHOOSE(CONTROL!$C$42, 94.5308, 94.5308) * CHOOSE(CONTROL!$C$21, $C$9, 100%, $E$9)</f>
        <v>94.530799999999999</v>
      </c>
      <c r="T9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57">
        <f>(1000*CHOOSE(CONTROL!$C$42, 695, 695)*CHOOSE(CONTROL!$C$42, 0.5599, 0.5599)*CHOOSE(CONTROL!$C$42, 30, 30))/1000000</f>
        <v>11.673914999999997</v>
      </c>
      <c r="V976" s="57">
        <f>(1000*CHOOSE(CONTROL!$C$42, 500, 500)*CHOOSE(CONTROL!$C$42, 0.275, 0.275)*CHOOSE(CONTROL!$C$42, 30, 30))/1000000</f>
        <v>4.125</v>
      </c>
      <c r="W976" s="57">
        <f>(1000*CHOOSE(CONTROL!$C$42, 0.1146, 0.1146)*CHOOSE(CONTROL!$C$42, 121.5, 121.5)*CHOOSE(CONTROL!$C$42, 30, 30))/1000000</f>
        <v>0.417717</v>
      </c>
      <c r="X976" s="57">
        <f>(30*0.1790888*245000/1000000)+(30*0.2374*100000/1000000)</f>
        <v>2.0285026799999999</v>
      </c>
      <c r="Y976" s="57"/>
      <c r="Z976" s="10"/>
      <c r="AA976" s="56"/>
      <c r="AB976" s="50">
        <f>(B976*141.293+C976*267.993+D976*115.016+E976*89.698+F976*40+G976*185+H976*0+I976*100+J976*300)/(141.293+267.993+115.016+89.698+0+40+185+100+300)</f>
        <v>97.37574612590798</v>
      </c>
      <c r="AC976" s="45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96.471416546762583</v>
      </c>
    </row>
    <row r="977" spans="1:29" ht="15.75" x14ac:dyDescent="0.25">
      <c r="A977" s="13">
        <v>70645</v>
      </c>
      <c r="B977" s="10">
        <f>CHOOSE(CONTROL!$C$42, 98.2076, 98.2076) * CHOOSE(CONTROL!$C$21, $C$9, 100%, $E$9)</f>
        <v>98.207599999999999</v>
      </c>
      <c r="C977" s="10">
        <f>CHOOSE(CONTROL!$C$42, 98.2155, 98.2155) * CHOOSE(CONTROL!$C$21, $C$9, 100%, $E$9)</f>
        <v>98.215500000000006</v>
      </c>
      <c r="D977" s="10">
        <f>CHOOSE(CONTROL!$C$42, 98.4182, 98.4182) * CHOOSE(CONTROL!$C$21, $C$9, 100%, $E$9)</f>
        <v>98.418199999999999</v>
      </c>
      <c r="E977" s="10">
        <f>CHOOSE(CONTROL!$C$42, 98.4494, 98.4494) * CHOOSE(CONTROL!$C$21, $C$9, 100%, $E$9)</f>
        <v>98.449399999999997</v>
      </c>
      <c r="F977" s="10">
        <f>CHOOSE(CONTROL!$C$42, 98.1833, 98.1833)*CHOOSE(CONTROL!$C$21, $C$9, 100%, $E$9)</f>
        <v>98.183300000000003</v>
      </c>
      <c r="G977" s="10">
        <f>CHOOSE(CONTROL!$C$42, 98.1983, 98.1983)*CHOOSE(CONTROL!$C$21, $C$9, 100%, $E$9)</f>
        <v>98.198300000000003</v>
      </c>
      <c r="H977" s="10">
        <f>CHOOSE(CONTROL!$C$42, 98.438, 98.438) * CHOOSE(CONTROL!$C$21, $C$9, 100%, $E$9)</f>
        <v>98.438000000000002</v>
      </c>
      <c r="I977" s="10">
        <f>CHOOSE(CONTROL!$C$42, 98.2076, 98.2076)* CHOOSE(CONTROL!$C$21, $C$9, 100%, $E$9)</f>
        <v>98.207599999999999</v>
      </c>
      <c r="J977" s="10">
        <f>CHOOSE(CONTROL!$C$42, 98.1763, 98.1763)* CHOOSE(CONTROL!$C$21, $C$9, 100%, $E$9)</f>
        <v>98.176299999999998</v>
      </c>
      <c r="K977" s="53">
        <f>CHOOSE(CONTROL!$C$42, 98.2037, 98.2037) * CHOOSE(CONTROL!$C$21, $C$9, 100%, $E$9)</f>
        <v>98.203699999999998</v>
      </c>
      <c r="L977" s="10">
        <f>CHOOSE(CONTROL!$C$42, 99.025, 99.025) * CHOOSE(CONTROL!$C$21, $C$9, 100%, $E$9)</f>
        <v>99.025000000000006</v>
      </c>
      <c r="M977" s="10">
        <f>CHOOSE(CONTROL!$C$42, 97.1993, 97.1993) * CHOOSE(CONTROL!$C$21, $C$9, 100%, $E$9)</f>
        <v>97.199299999999994</v>
      </c>
      <c r="N977" s="10">
        <f>CHOOSE(CONTROL!$C$42, 97.2142, 97.2142) * CHOOSE(CONTROL!$C$21, $C$9, 100%, $E$9)</f>
        <v>97.214200000000005</v>
      </c>
      <c r="O977" s="10">
        <f>CHOOSE(CONTROL!$C$42, 97.4584, 97.4584) * CHOOSE(CONTROL!$C$21, $C$9, 100%, $E$9)</f>
        <v>97.458399999999997</v>
      </c>
      <c r="P977" s="10">
        <f>CHOOSE(CONTROL!$C$42, 97.2304, 97.2304) * CHOOSE(CONTROL!$C$21, $C$9, 100%, $E$9)</f>
        <v>97.230400000000003</v>
      </c>
      <c r="Q977" s="10">
        <f>CHOOSE(CONTROL!$C$42, 98.0537, 98.0537) * CHOOSE(CONTROL!$C$21, $C$9, 100%, $E$9)</f>
        <v>98.053700000000006</v>
      </c>
      <c r="R977" s="10">
        <f>CHOOSE(CONTROL!$C$42, 98.8858, 98.8858) * CHOOSE(CONTROL!$C$21, $C$9, 100%, $E$9)</f>
        <v>98.885800000000003</v>
      </c>
      <c r="S977" s="10">
        <f>CHOOSE(CONTROL!$C$42, 95.3651, 95.3651) * CHOOSE(CONTROL!$C$21, $C$9, 100%, $E$9)</f>
        <v>95.365099999999998</v>
      </c>
      <c r="T9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57">
        <f>(1000*CHOOSE(CONTROL!$C$42, 695, 695)*CHOOSE(CONTROL!$C$42, 0.5599, 0.5599)*CHOOSE(CONTROL!$C$42, 31, 31))/1000000</f>
        <v>12.063045499999998</v>
      </c>
      <c r="V977" s="57">
        <f>(1000*CHOOSE(CONTROL!$C$42, 500, 500)*CHOOSE(CONTROL!$C$42, 0.275, 0.275)*CHOOSE(CONTROL!$C$42, 31, 31))/1000000</f>
        <v>4.2625000000000002</v>
      </c>
      <c r="W977" s="57">
        <f>(1000*CHOOSE(CONTROL!$C$42, 0.1146, 0.1146)*CHOOSE(CONTROL!$C$42, 121.5, 121.5)*CHOOSE(CONTROL!$C$42, 31, 31))/1000000</f>
        <v>0.43164089999999994</v>
      </c>
      <c r="X977" s="57">
        <f>(31*0.1790888*245000/1000000)+(31*0.2374*100000/1000000)</f>
        <v>2.0961194359999999</v>
      </c>
      <c r="Y977" s="57"/>
      <c r="Z977" s="10"/>
      <c r="AA977" s="56"/>
      <c r="AB977" s="50">
        <f>(B977*194.205+C977*267.466+D977*133.845+E977*53.484+F977*40+G977*185+H977*0+I977*100+J977*300)/(194.205+267.466+133.845+53.484+0+40+185+100+300)</f>
        <v>98.232051075039251</v>
      </c>
      <c r="AC977" s="45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97.322066187050368</v>
      </c>
    </row>
    <row r="978" spans="1:29" ht="15.75" x14ac:dyDescent="0.25">
      <c r="A978" s="13">
        <v>70675</v>
      </c>
      <c r="B978" s="10">
        <f>CHOOSE(CONTROL!$C$42, 100.9932, 100.9932) * CHOOSE(CONTROL!$C$21, $C$9, 100%, $E$9)</f>
        <v>100.9932</v>
      </c>
      <c r="C978" s="10">
        <f>CHOOSE(CONTROL!$C$42, 101.0011, 101.0011) * CHOOSE(CONTROL!$C$21, $C$9, 100%, $E$9)</f>
        <v>101.00109999999999</v>
      </c>
      <c r="D978" s="10">
        <f>CHOOSE(CONTROL!$C$42, 101.2039, 101.2039) * CHOOSE(CONTROL!$C$21, $C$9, 100%, $E$9)</f>
        <v>101.2039</v>
      </c>
      <c r="E978" s="10">
        <f>CHOOSE(CONTROL!$C$42, 101.235, 101.235) * CHOOSE(CONTROL!$C$21, $C$9, 100%, $E$9)</f>
        <v>101.235</v>
      </c>
      <c r="F978" s="10">
        <f>CHOOSE(CONTROL!$C$42, 100.9694, 100.9694)*CHOOSE(CONTROL!$C$21, $C$9, 100%, $E$9)</f>
        <v>100.96939999999999</v>
      </c>
      <c r="G978" s="10">
        <f>CHOOSE(CONTROL!$C$42, 100.9846, 100.9846)*CHOOSE(CONTROL!$C$21, $C$9, 100%, $E$9)</f>
        <v>100.9846</v>
      </c>
      <c r="H978" s="10">
        <f>CHOOSE(CONTROL!$C$42, 101.2236, 101.2236) * CHOOSE(CONTROL!$C$21, $C$9, 100%, $E$9)</f>
        <v>101.2236</v>
      </c>
      <c r="I978" s="10">
        <f>CHOOSE(CONTROL!$C$42, 100.9933, 100.9933)* CHOOSE(CONTROL!$C$21, $C$9, 100%, $E$9)</f>
        <v>100.9933</v>
      </c>
      <c r="J978" s="10">
        <f>CHOOSE(CONTROL!$C$42, 100.9624, 100.9624)* CHOOSE(CONTROL!$C$21, $C$9, 100%, $E$9)</f>
        <v>100.9624</v>
      </c>
      <c r="K978" s="53">
        <f>CHOOSE(CONTROL!$C$42, 100.9894, 100.9894) * CHOOSE(CONTROL!$C$21, $C$9, 100%, $E$9)</f>
        <v>100.9894</v>
      </c>
      <c r="L978" s="10">
        <f>CHOOSE(CONTROL!$C$42, 101.8106, 101.8106) * CHOOSE(CONTROL!$C$21, $C$9, 100%, $E$9)</f>
        <v>101.81059999999999</v>
      </c>
      <c r="M978" s="10">
        <f>CHOOSE(CONTROL!$C$42, 99.9574, 99.9574) * CHOOSE(CONTROL!$C$21, $C$9, 100%, $E$9)</f>
        <v>99.957400000000007</v>
      </c>
      <c r="N978" s="10">
        <f>CHOOSE(CONTROL!$C$42, 99.9724, 99.9724) * CHOOSE(CONTROL!$C$21, $C$9, 100%, $E$9)</f>
        <v>99.972399999999993</v>
      </c>
      <c r="O978" s="10">
        <f>CHOOSE(CONTROL!$C$42, 100.2159, 100.2159) * CHOOSE(CONTROL!$C$21, $C$9, 100%, $E$9)</f>
        <v>100.2159</v>
      </c>
      <c r="P978" s="10">
        <f>CHOOSE(CONTROL!$C$42, 99.9879, 99.9879) * CHOOSE(CONTROL!$C$21, $C$9, 100%, $E$9)</f>
        <v>99.987899999999996</v>
      </c>
      <c r="Q978" s="10">
        <f>CHOOSE(CONTROL!$C$42, 100.8112, 100.8112) * CHOOSE(CONTROL!$C$21, $C$9, 100%, $E$9)</f>
        <v>100.8112</v>
      </c>
      <c r="R978" s="10">
        <f>CHOOSE(CONTROL!$C$42, 101.6503, 101.6503) * CHOOSE(CONTROL!$C$21, $C$9, 100%, $E$9)</f>
        <v>101.6503</v>
      </c>
      <c r="S978" s="10">
        <f>CHOOSE(CONTROL!$C$42, 98.0703, 98.0703) * CHOOSE(CONTROL!$C$21, $C$9, 100%, $E$9)</f>
        <v>98.070300000000003</v>
      </c>
      <c r="T9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57">
        <f>(1000*CHOOSE(CONTROL!$C$42, 695, 695)*CHOOSE(CONTROL!$C$42, 0.5599, 0.5599)*CHOOSE(CONTROL!$C$42, 30, 30))/1000000</f>
        <v>11.673914999999997</v>
      </c>
      <c r="V978" s="57">
        <f>(1000*CHOOSE(CONTROL!$C$42, 500, 500)*CHOOSE(CONTROL!$C$42, 0.275, 0.275)*CHOOSE(CONTROL!$C$42, 30, 30))/1000000</f>
        <v>4.125</v>
      </c>
      <c r="W978" s="57">
        <f>(1000*CHOOSE(CONTROL!$C$42, 0.1146, 0.1146)*CHOOSE(CONTROL!$C$42, 121.5, 121.5)*CHOOSE(CONTROL!$C$42, 30, 30))/1000000</f>
        <v>0.417717</v>
      </c>
      <c r="X978" s="57">
        <f>(30*0.1790888*245000/1000000)+(30*0.2374*100000/1000000)</f>
        <v>2.0285026799999999</v>
      </c>
      <c r="Y978" s="57"/>
      <c r="Z978" s="10"/>
      <c r="AA978" s="56"/>
      <c r="AB978" s="50">
        <f>(B978*194.205+C978*267.466+D978*133.845+E978*53.484+F978*40+G978*185+H978*0+I978*100+J978*300)/(194.205+267.466+133.845+53.484+0+40+185+100+300)</f>
        <v>101.01790451656201</v>
      </c>
      <c r="AC978" s="45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100.07981366906475</v>
      </c>
    </row>
    <row r="979" spans="1:29" ht="15.75" x14ac:dyDescent="0.25">
      <c r="A979" s="13">
        <v>70706</v>
      </c>
      <c r="B979" s="10">
        <f>CHOOSE(CONTROL!$C$42, 99.0558, 99.0558) * CHOOSE(CONTROL!$C$21, $C$9, 100%, $E$9)</f>
        <v>99.055800000000005</v>
      </c>
      <c r="C979" s="10">
        <f>CHOOSE(CONTROL!$C$42, 99.0637, 99.0637) * CHOOSE(CONTROL!$C$21, $C$9, 100%, $E$9)</f>
        <v>99.063699999999997</v>
      </c>
      <c r="D979" s="10">
        <f>CHOOSE(CONTROL!$C$42, 99.2664, 99.2664) * CHOOSE(CONTROL!$C$21, $C$9, 100%, $E$9)</f>
        <v>99.266400000000004</v>
      </c>
      <c r="E979" s="10">
        <f>CHOOSE(CONTROL!$C$42, 99.2976, 99.2976) * CHOOSE(CONTROL!$C$21, $C$9, 100%, $E$9)</f>
        <v>99.297600000000003</v>
      </c>
      <c r="F979" s="10">
        <f>CHOOSE(CONTROL!$C$42, 99.0325, 99.0325)*CHOOSE(CONTROL!$C$21, $C$9, 100%, $E$9)</f>
        <v>99.032499999999999</v>
      </c>
      <c r="G979" s="10">
        <f>CHOOSE(CONTROL!$C$42, 99.0478, 99.0478)*CHOOSE(CONTROL!$C$21, $C$9, 100%, $E$9)</f>
        <v>99.047799999999995</v>
      </c>
      <c r="H979" s="10">
        <f>CHOOSE(CONTROL!$C$42, 99.2862, 99.2862) * CHOOSE(CONTROL!$C$21, $C$9, 100%, $E$9)</f>
        <v>99.286199999999994</v>
      </c>
      <c r="I979" s="10">
        <f>CHOOSE(CONTROL!$C$42, 99.0558, 99.0558)* CHOOSE(CONTROL!$C$21, $C$9, 100%, $E$9)</f>
        <v>99.055800000000005</v>
      </c>
      <c r="J979" s="10">
        <f>CHOOSE(CONTROL!$C$42, 99.0255, 99.0255)* CHOOSE(CONTROL!$C$21, $C$9, 100%, $E$9)</f>
        <v>99.025499999999994</v>
      </c>
      <c r="K979" s="53">
        <f>CHOOSE(CONTROL!$C$42, 99.0519, 99.0519) * CHOOSE(CONTROL!$C$21, $C$9, 100%, $E$9)</f>
        <v>99.051900000000003</v>
      </c>
      <c r="L979" s="10">
        <f>CHOOSE(CONTROL!$C$42, 99.8732, 99.8732) * CHOOSE(CONTROL!$C$21, $C$9, 100%, $E$9)</f>
        <v>99.873199999999997</v>
      </c>
      <c r="M979" s="10">
        <f>CHOOSE(CONTROL!$C$42, 98.04, 98.04) * CHOOSE(CONTROL!$C$21, $C$9, 100%, $E$9)</f>
        <v>98.04</v>
      </c>
      <c r="N979" s="10">
        <f>CHOOSE(CONTROL!$C$42, 98.0551, 98.0551) * CHOOSE(CONTROL!$C$21, $C$9, 100%, $E$9)</f>
        <v>98.055099999999996</v>
      </c>
      <c r="O979" s="10">
        <f>CHOOSE(CONTROL!$C$42, 98.2981, 98.2981) * CHOOSE(CONTROL!$C$21, $C$9, 100%, $E$9)</f>
        <v>98.298100000000005</v>
      </c>
      <c r="P979" s="10">
        <f>CHOOSE(CONTROL!$C$42, 98.07, 98.07) * CHOOSE(CONTROL!$C$21, $C$9, 100%, $E$9)</f>
        <v>98.07</v>
      </c>
      <c r="Q979" s="10">
        <f>CHOOSE(CONTROL!$C$42, 98.8934, 98.8934) * CHOOSE(CONTROL!$C$21, $C$9, 100%, $E$9)</f>
        <v>98.8934</v>
      </c>
      <c r="R979" s="10">
        <f>CHOOSE(CONTROL!$C$42, 99.7276, 99.7276) * CHOOSE(CONTROL!$C$21, $C$9, 100%, $E$9)</f>
        <v>99.727599999999995</v>
      </c>
      <c r="S979" s="10">
        <f>CHOOSE(CONTROL!$C$42, 96.1888, 96.1888) * CHOOSE(CONTROL!$C$21, $C$9, 100%, $E$9)</f>
        <v>96.188800000000001</v>
      </c>
      <c r="T9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57">
        <f>(1000*CHOOSE(CONTROL!$C$42, 695, 695)*CHOOSE(CONTROL!$C$42, 0.5599, 0.5599)*CHOOSE(CONTROL!$C$42, 31, 31))/1000000</f>
        <v>12.063045499999998</v>
      </c>
      <c r="V979" s="57">
        <f>(1000*CHOOSE(CONTROL!$C$42, 500, 500)*CHOOSE(CONTROL!$C$42, 0.275, 0.275)*CHOOSE(CONTROL!$C$42, 31, 31))/1000000</f>
        <v>4.2625000000000002</v>
      </c>
      <c r="W979" s="57">
        <f>(1000*CHOOSE(CONTROL!$C$42, 0.1146, 0.1146)*CHOOSE(CONTROL!$C$42, 121.5, 121.5)*CHOOSE(CONTROL!$C$42, 31, 31))/1000000</f>
        <v>0.43164089999999994</v>
      </c>
      <c r="X979" s="57">
        <f>(31*0.1790888*245000/1000000)+(31*0.2374*100000/1000000)</f>
        <v>2.0961194359999999</v>
      </c>
      <c r="Y979" s="57"/>
      <c r="Z979" s="10"/>
      <c r="AA979" s="56"/>
      <c r="AB979" s="50">
        <f>(B979*194.205+C979*267.466+D979*133.845+E979*53.484+F979*40+G979*185+H979*0+I979*100+J979*300)/(194.205+267.466+133.845+53.484+0+40+185+100+300)</f>
        <v>99.080706726530593</v>
      </c>
      <c r="AC979" s="45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98.162166187050374</v>
      </c>
    </row>
    <row r="980" spans="1:29" ht="15.75" x14ac:dyDescent="0.25">
      <c r="A980" s="13">
        <v>70737</v>
      </c>
      <c r="B980" s="10">
        <f>CHOOSE(CONTROL!$C$42, 94.1632, 94.1632) * CHOOSE(CONTROL!$C$21, $C$9, 100%, $E$9)</f>
        <v>94.163200000000003</v>
      </c>
      <c r="C980" s="10">
        <f>CHOOSE(CONTROL!$C$42, 94.1711, 94.1711) * CHOOSE(CONTROL!$C$21, $C$9, 100%, $E$9)</f>
        <v>94.171099999999996</v>
      </c>
      <c r="D980" s="10">
        <f>CHOOSE(CONTROL!$C$42, 94.3738, 94.3738) * CHOOSE(CONTROL!$C$21, $C$9, 100%, $E$9)</f>
        <v>94.373800000000003</v>
      </c>
      <c r="E980" s="10">
        <f>CHOOSE(CONTROL!$C$42, 94.4049, 94.4049) * CHOOSE(CONTROL!$C$21, $C$9, 100%, $E$9)</f>
        <v>94.404899999999998</v>
      </c>
      <c r="F980" s="10">
        <f>CHOOSE(CONTROL!$C$42, 94.1401, 94.1401)*CHOOSE(CONTROL!$C$21, $C$9, 100%, $E$9)</f>
        <v>94.140100000000004</v>
      </c>
      <c r="G980" s="10">
        <f>CHOOSE(CONTROL!$C$42, 94.1554, 94.1554)*CHOOSE(CONTROL!$C$21, $C$9, 100%, $E$9)</f>
        <v>94.1554</v>
      </c>
      <c r="H980" s="10">
        <f>CHOOSE(CONTROL!$C$42, 94.3936, 94.3936) * CHOOSE(CONTROL!$C$21, $C$9, 100%, $E$9)</f>
        <v>94.393600000000006</v>
      </c>
      <c r="I980" s="10">
        <f>CHOOSE(CONTROL!$C$42, 94.1632, 94.1632)* CHOOSE(CONTROL!$C$21, $C$9, 100%, $E$9)</f>
        <v>94.163200000000003</v>
      </c>
      <c r="J980" s="10">
        <f>CHOOSE(CONTROL!$C$42, 94.1331, 94.1331)* CHOOSE(CONTROL!$C$21, $C$9, 100%, $E$9)</f>
        <v>94.133099999999999</v>
      </c>
      <c r="K980" s="53">
        <f>CHOOSE(CONTROL!$C$42, 94.1593, 94.1593) * CHOOSE(CONTROL!$C$21, $C$9, 100%, $E$9)</f>
        <v>94.159300000000002</v>
      </c>
      <c r="L980" s="10">
        <f>CHOOSE(CONTROL!$C$42, 94.9806, 94.9806) * CHOOSE(CONTROL!$C$21, $C$9, 100%, $E$9)</f>
        <v>94.980599999999995</v>
      </c>
      <c r="M980" s="10">
        <f>CHOOSE(CONTROL!$C$42, 93.197, 93.197) * CHOOSE(CONTROL!$C$21, $C$9, 100%, $E$9)</f>
        <v>93.197000000000003</v>
      </c>
      <c r="N980" s="10">
        <f>CHOOSE(CONTROL!$C$42, 93.2121, 93.2121) * CHOOSE(CONTROL!$C$21, $C$9, 100%, $E$9)</f>
        <v>93.212100000000007</v>
      </c>
      <c r="O980" s="10">
        <f>CHOOSE(CONTROL!$C$42, 93.4548, 93.4548) * CHOOSE(CONTROL!$C$21, $C$9, 100%, $E$9)</f>
        <v>93.454800000000006</v>
      </c>
      <c r="P980" s="10">
        <f>CHOOSE(CONTROL!$C$42, 93.2268, 93.2268) * CHOOSE(CONTROL!$C$21, $C$9, 100%, $E$9)</f>
        <v>93.226799999999997</v>
      </c>
      <c r="Q980" s="10">
        <f>CHOOSE(CONTROL!$C$42, 94.0501, 94.0501) * CHOOSE(CONTROL!$C$21, $C$9, 100%, $E$9)</f>
        <v>94.0501</v>
      </c>
      <c r="R980" s="10">
        <f>CHOOSE(CONTROL!$C$42, 94.8722, 94.8722) * CHOOSE(CONTROL!$C$21, $C$9, 100%, $E$9)</f>
        <v>94.872200000000007</v>
      </c>
      <c r="S980" s="10">
        <f>CHOOSE(CONTROL!$C$42, 91.4376, 91.4376) * CHOOSE(CONTROL!$C$21, $C$9, 100%, $E$9)</f>
        <v>91.437600000000003</v>
      </c>
      <c r="T9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57">
        <f>(1000*CHOOSE(CONTROL!$C$42, 695, 695)*CHOOSE(CONTROL!$C$42, 0.5599, 0.5599)*CHOOSE(CONTROL!$C$42, 31, 31))/1000000</f>
        <v>12.063045499999998</v>
      </c>
      <c r="V980" s="57">
        <f>(1000*CHOOSE(CONTROL!$C$42, 500, 500)*CHOOSE(CONTROL!$C$42, 0.275, 0.275)*CHOOSE(CONTROL!$C$42, 31, 31))/1000000</f>
        <v>4.2625000000000002</v>
      </c>
      <c r="W980" s="57">
        <f>(1000*CHOOSE(CONTROL!$C$42, 0.1146, 0.1146)*CHOOSE(CONTROL!$C$42, 121.5, 121.5)*CHOOSE(CONTROL!$C$42, 31, 31))/1000000</f>
        <v>0.43164089999999994</v>
      </c>
      <c r="X980" s="57">
        <f>(31*0.1790888*245000/1000000)+(31*0.2374*100000/1000000)</f>
        <v>2.0961194359999999</v>
      </c>
      <c r="Y980" s="57"/>
      <c r="Z980" s="10"/>
      <c r="AA980" s="56"/>
      <c r="AB980" s="50">
        <f>(B980*194.205+C980*267.466+D980*133.845+E980*53.484+F980*40+G980*185+H980*0+I980*100+J980*300)/(194.205+267.466+133.845+53.484+0+40+185+100+300)</f>
        <v>94.188184945996852</v>
      </c>
      <c r="AC980" s="45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93.319001438848915</v>
      </c>
    </row>
    <row r="981" spans="1:29" ht="15.75" x14ac:dyDescent="0.25">
      <c r="A981" s="13">
        <v>70767</v>
      </c>
      <c r="B981" s="10">
        <f>CHOOSE(CONTROL!$C$42, 88.1849, 88.1849) * CHOOSE(CONTROL!$C$21, $C$9, 100%, $E$9)</f>
        <v>88.184899999999999</v>
      </c>
      <c r="C981" s="10">
        <f>CHOOSE(CONTROL!$C$42, 88.1928, 88.1928) * CHOOSE(CONTROL!$C$21, $C$9, 100%, $E$9)</f>
        <v>88.192800000000005</v>
      </c>
      <c r="D981" s="10">
        <f>CHOOSE(CONTROL!$C$42, 88.3955, 88.3955) * CHOOSE(CONTROL!$C$21, $C$9, 100%, $E$9)</f>
        <v>88.395499999999998</v>
      </c>
      <c r="E981" s="10">
        <f>CHOOSE(CONTROL!$C$42, 88.4267, 88.4267) * CHOOSE(CONTROL!$C$21, $C$9, 100%, $E$9)</f>
        <v>88.426699999999997</v>
      </c>
      <c r="F981" s="10">
        <f>CHOOSE(CONTROL!$C$42, 88.1617, 88.1617)*CHOOSE(CONTROL!$C$21, $C$9, 100%, $E$9)</f>
        <v>88.161699999999996</v>
      </c>
      <c r="G981" s="10">
        <f>CHOOSE(CONTROL!$C$42, 88.177, 88.177)*CHOOSE(CONTROL!$C$21, $C$9, 100%, $E$9)</f>
        <v>88.177000000000007</v>
      </c>
      <c r="H981" s="10">
        <f>CHOOSE(CONTROL!$C$42, 88.4153, 88.4153) * CHOOSE(CONTROL!$C$21, $C$9, 100%, $E$9)</f>
        <v>88.415300000000002</v>
      </c>
      <c r="I981" s="10">
        <f>CHOOSE(CONTROL!$C$42, 88.1849, 88.1849)* CHOOSE(CONTROL!$C$21, $C$9, 100%, $E$9)</f>
        <v>88.184899999999999</v>
      </c>
      <c r="J981" s="10">
        <f>CHOOSE(CONTROL!$C$42, 88.1547, 88.1547)* CHOOSE(CONTROL!$C$21, $C$9, 100%, $E$9)</f>
        <v>88.154700000000005</v>
      </c>
      <c r="K981" s="53">
        <f>CHOOSE(CONTROL!$C$42, 88.181, 88.181) * CHOOSE(CONTROL!$C$21, $C$9, 100%, $E$9)</f>
        <v>88.180999999999997</v>
      </c>
      <c r="L981" s="10">
        <f>CHOOSE(CONTROL!$C$42, 89.0023, 89.0023) * CHOOSE(CONTROL!$C$21, $C$9, 100%, $E$9)</f>
        <v>89.002300000000005</v>
      </c>
      <c r="M981" s="10">
        <f>CHOOSE(CONTROL!$C$42, 87.2789, 87.2789) * CHOOSE(CONTROL!$C$21, $C$9, 100%, $E$9)</f>
        <v>87.278899999999993</v>
      </c>
      <c r="N981" s="10">
        <f>CHOOSE(CONTROL!$C$42, 87.294, 87.294) * CHOOSE(CONTROL!$C$21, $C$9, 100%, $E$9)</f>
        <v>87.293999999999997</v>
      </c>
      <c r="O981" s="10">
        <f>CHOOSE(CONTROL!$C$42, 87.5369, 87.5369) * CHOOSE(CONTROL!$C$21, $C$9, 100%, $E$9)</f>
        <v>87.536900000000003</v>
      </c>
      <c r="P981" s="10">
        <f>CHOOSE(CONTROL!$C$42, 87.3089, 87.3089) * CHOOSE(CONTROL!$C$21, $C$9, 100%, $E$9)</f>
        <v>87.308899999999994</v>
      </c>
      <c r="Q981" s="10">
        <f>CHOOSE(CONTROL!$C$42, 88.1322, 88.1322) * CHOOSE(CONTROL!$C$21, $C$9, 100%, $E$9)</f>
        <v>88.132199999999997</v>
      </c>
      <c r="R981" s="10">
        <f>CHOOSE(CONTROL!$C$42, 88.9395, 88.9395) * CHOOSE(CONTROL!$C$21, $C$9, 100%, $E$9)</f>
        <v>88.939499999999995</v>
      </c>
      <c r="S981" s="10">
        <f>CHOOSE(CONTROL!$C$42, 85.6321, 85.6321) * CHOOSE(CONTROL!$C$21, $C$9, 100%, $E$9)</f>
        <v>85.632099999999994</v>
      </c>
      <c r="T9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57">
        <f>(1000*CHOOSE(CONTROL!$C$42, 695, 695)*CHOOSE(CONTROL!$C$42, 0.5599, 0.5599)*CHOOSE(CONTROL!$C$42, 30, 30))/1000000</f>
        <v>11.673914999999997</v>
      </c>
      <c r="V981" s="57">
        <f>(1000*CHOOSE(CONTROL!$C$42, 500, 500)*CHOOSE(CONTROL!$C$42, 0.275, 0.275)*CHOOSE(CONTROL!$C$42, 30, 30))/1000000</f>
        <v>4.125</v>
      </c>
      <c r="W981" s="57">
        <f>(1000*CHOOSE(CONTROL!$C$42, 0.1146, 0.1146)*CHOOSE(CONTROL!$C$42, 121.5, 121.5)*CHOOSE(CONTROL!$C$42, 30, 30))/1000000</f>
        <v>0.417717</v>
      </c>
      <c r="X981" s="57">
        <f>(30*0.1790888*245000/1000000)+(30*0.2374*100000/1000000)</f>
        <v>2.0285026799999999</v>
      </c>
      <c r="Y981" s="57"/>
      <c r="Z981" s="10"/>
      <c r="AA981" s="56"/>
      <c r="AB981" s="50">
        <f>(B981*194.205+C981*267.466+D981*133.845+E981*53.484+F981*40+G981*185+H981*0+I981*100+J981*300)/(194.205+267.466+133.845+53.484+0+40+185+100+300)</f>
        <v>88.209847935321832</v>
      </c>
      <c r="AC981" s="45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87.401020863309355</v>
      </c>
    </row>
    <row r="982" spans="1:29" ht="15.75" x14ac:dyDescent="0.25">
      <c r="A982" s="13">
        <v>70798</v>
      </c>
      <c r="B982" s="10">
        <f>CHOOSE(CONTROL!$C$42, 86.3927, 86.3927) * CHOOSE(CONTROL!$C$21, $C$9, 100%, $E$9)</f>
        <v>86.392700000000005</v>
      </c>
      <c r="C982" s="10">
        <f>CHOOSE(CONTROL!$C$42, 86.3979, 86.3979) * CHOOSE(CONTROL!$C$21, $C$9, 100%, $E$9)</f>
        <v>86.397900000000007</v>
      </c>
      <c r="D982" s="10">
        <f>CHOOSE(CONTROL!$C$42, 86.6056, 86.6056) * CHOOSE(CONTROL!$C$21, $C$9, 100%, $E$9)</f>
        <v>86.605599999999995</v>
      </c>
      <c r="E982" s="10">
        <f>CHOOSE(CONTROL!$C$42, 86.6344, 86.6344) * CHOOSE(CONTROL!$C$21, $C$9, 100%, $E$9)</f>
        <v>86.634399999999999</v>
      </c>
      <c r="F982" s="10">
        <f>CHOOSE(CONTROL!$C$42, 86.3714, 86.3714)*CHOOSE(CONTROL!$C$21, $C$9, 100%, $E$9)</f>
        <v>86.371399999999994</v>
      </c>
      <c r="G982" s="10">
        <f>CHOOSE(CONTROL!$C$42, 86.3864, 86.3864)*CHOOSE(CONTROL!$C$21, $C$9, 100%, $E$9)</f>
        <v>86.386399999999995</v>
      </c>
      <c r="H982" s="10">
        <f>CHOOSE(CONTROL!$C$42, 86.6249, 86.6249) * CHOOSE(CONTROL!$C$21, $C$9, 100%, $E$9)</f>
        <v>86.624899999999997</v>
      </c>
      <c r="I982" s="10">
        <f>CHOOSE(CONTROL!$C$42, 86.3945, 86.3945)* CHOOSE(CONTROL!$C$21, $C$9, 100%, $E$9)</f>
        <v>86.394499999999994</v>
      </c>
      <c r="J982" s="10">
        <f>CHOOSE(CONTROL!$C$42, 86.3644, 86.3644)* CHOOSE(CONTROL!$C$21, $C$9, 100%, $E$9)</f>
        <v>86.364400000000003</v>
      </c>
      <c r="K982" s="53">
        <f>CHOOSE(CONTROL!$C$42, 86.3906, 86.3906) * CHOOSE(CONTROL!$C$21, $C$9, 100%, $E$9)</f>
        <v>86.390600000000006</v>
      </c>
      <c r="L982" s="10">
        <f>CHOOSE(CONTROL!$C$42, 87.2119, 87.2119) * CHOOSE(CONTROL!$C$21, $C$9, 100%, $E$9)</f>
        <v>87.2119</v>
      </c>
      <c r="M982" s="10">
        <f>CHOOSE(CONTROL!$C$42, 85.5067, 85.5067) * CHOOSE(CONTROL!$C$21, $C$9, 100%, $E$9)</f>
        <v>85.506699999999995</v>
      </c>
      <c r="N982" s="10">
        <f>CHOOSE(CONTROL!$C$42, 85.5215, 85.5215) * CHOOSE(CONTROL!$C$21, $C$9, 100%, $E$9)</f>
        <v>85.521500000000003</v>
      </c>
      <c r="O982" s="10">
        <f>CHOOSE(CONTROL!$C$42, 85.7645, 85.7645) * CHOOSE(CONTROL!$C$21, $C$9, 100%, $E$9)</f>
        <v>85.764499999999998</v>
      </c>
      <c r="P982" s="10">
        <f>CHOOSE(CONTROL!$C$42, 85.5365, 85.5365) * CHOOSE(CONTROL!$C$21, $C$9, 100%, $E$9)</f>
        <v>85.536500000000004</v>
      </c>
      <c r="Q982" s="10">
        <f>CHOOSE(CONTROL!$C$42, 86.3598, 86.3598) * CHOOSE(CONTROL!$C$21, $C$9, 100%, $E$9)</f>
        <v>86.359800000000007</v>
      </c>
      <c r="R982" s="10">
        <f>CHOOSE(CONTROL!$C$42, 87.1627, 87.1627) * CHOOSE(CONTROL!$C$21, $C$9, 100%, $E$9)</f>
        <v>87.162700000000001</v>
      </c>
      <c r="S982" s="10">
        <f>CHOOSE(CONTROL!$C$42, 83.8934, 83.8934) * CHOOSE(CONTROL!$C$21, $C$9, 100%, $E$9)</f>
        <v>83.8934</v>
      </c>
      <c r="T9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57">
        <f>(1000*CHOOSE(CONTROL!$C$42, 695, 695)*CHOOSE(CONTROL!$C$42, 0.5599, 0.5599)*CHOOSE(CONTROL!$C$42, 31, 31))/1000000</f>
        <v>12.063045499999998</v>
      </c>
      <c r="V982" s="57">
        <f>(1000*CHOOSE(CONTROL!$C$42, 500, 500)*CHOOSE(CONTROL!$C$42, 0.275, 0.275)*CHOOSE(CONTROL!$C$42, 31, 31))/1000000</f>
        <v>4.2625000000000002</v>
      </c>
      <c r="W982" s="57">
        <f>(1000*CHOOSE(CONTROL!$C$42, 0.1146, 0.1146)*CHOOSE(CONTROL!$C$42, 121.5, 121.5)*CHOOSE(CONTROL!$C$42, 31, 31))/1000000</f>
        <v>0.43164089999999994</v>
      </c>
      <c r="X982" s="57">
        <f>(31*0.1790888*245000/1000000)+(31*0.2374*100000/1000000)</f>
        <v>2.0961194359999999</v>
      </c>
      <c r="Y982" s="57"/>
      <c r="Z982" s="10"/>
      <c r="AA982" s="56"/>
      <c r="AB982" s="50">
        <f>(B982*131.881+C982*277.167+D982*79.08+E982*125.872+F982*40+G982*185+H982*0+I982*100+J982*300)/(131.881+277.167+79.08+125.872+0+40+185+100+300)</f>
        <v>86.42367107570621</v>
      </c>
      <c r="AC982" s="45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85.628684172661863</v>
      </c>
    </row>
    <row r="983" spans="1:29" ht="15.75" x14ac:dyDescent="0.25">
      <c r="A983" s="13">
        <v>70828</v>
      </c>
      <c r="B983" s="10">
        <f>CHOOSE(CONTROL!$C$42, 88.6682, 88.6682) * CHOOSE(CONTROL!$C$21, $C$9, 100%, $E$9)</f>
        <v>88.668199999999999</v>
      </c>
      <c r="C983" s="10">
        <f>CHOOSE(CONTROL!$C$42, 88.6732, 88.6732) * CHOOSE(CONTROL!$C$21, $C$9, 100%, $E$9)</f>
        <v>88.673199999999994</v>
      </c>
      <c r="D983" s="10">
        <f>CHOOSE(CONTROL!$C$42, 88.7337, 88.7337) * CHOOSE(CONTROL!$C$21, $C$9, 100%, $E$9)</f>
        <v>88.733699999999999</v>
      </c>
      <c r="E983" s="10">
        <f>CHOOSE(CONTROL!$C$42, 88.7675, 88.7675) * CHOOSE(CONTROL!$C$21, $C$9, 100%, $E$9)</f>
        <v>88.767499999999998</v>
      </c>
      <c r="F983" s="10">
        <f>CHOOSE(CONTROL!$C$42, 88.6639, 88.6639)*CHOOSE(CONTROL!$C$21, $C$9, 100%, $E$9)</f>
        <v>88.663899999999998</v>
      </c>
      <c r="G983" s="10">
        <f>CHOOSE(CONTROL!$C$42, 88.6791, 88.6791)*CHOOSE(CONTROL!$C$21, $C$9, 100%, $E$9)</f>
        <v>88.679100000000005</v>
      </c>
      <c r="H983" s="10">
        <f>CHOOSE(CONTROL!$C$42, 88.7566, 88.7566) * CHOOSE(CONTROL!$C$21, $C$9, 100%, $E$9)</f>
        <v>88.756600000000006</v>
      </c>
      <c r="I983" s="10">
        <f>CHOOSE(CONTROL!$C$42, 88.6807, 88.6807)* CHOOSE(CONTROL!$C$21, $C$9, 100%, $E$9)</f>
        <v>88.680700000000002</v>
      </c>
      <c r="J983" s="10">
        <f>CHOOSE(CONTROL!$C$42, 88.6569, 88.6569)* CHOOSE(CONTROL!$C$21, $C$9, 100%, $E$9)</f>
        <v>88.656899999999993</v>
      </c>
      <c r="K983" s="53">
        <f>CHOOSE(CONTROL!$C$42, 88.6768, 88.6768) * CHOOSE(CONTROL!$C$21, $C$9, 100%, $E$9)</f>
        <v>88.6768</v>
      </c>
      <c r="L983" s="10">
        <f>CHOOSE(CONTROL!$C$42, 89.3436, 89.3436) * CHOOSE(CONTROL!$C$21, $C$9, 100%, $E$9)</f>
        <v>89.343599999999995</v>
      </c>
      <c r="M983" s="10">
        <f>CHOOSE(CONTROL!$C$42, 87.776, 87.776) * CHOOSE(CONTROL!$C$21, $C$9, 100%, $E$9)</f>
        <v>87.775999999999996</v>
      </c>
      <c r="N983" s="10">
        <f>CHOOSE(CONTROL!$C$42, 87.791, 87.791) * CHOOSE(CONTROL!$C$21, $C$9, 100%, $E$9)</f>
        <v>87.790999999999997</v>
      </c>
      <c r="O983" s="10">
        <f>CHOOSE(CONTROL!$C$42, 87.8748, 87.8748) * CHOOSE(CONTROL!$C$21, $C$9, 100%, $E$9)</f>
        <v>87.874799999999993</v>
      </c>
      <c r="P983" s="10">
        <f>CHOOSE(CONTROL!$C$42, 87.7997, 87.7997) * CHOOSE(CONTROL!$C$21, $C$9, 100%, $E$9)</f>
        <v>87.799700000000001</v>
      </c>
      <c r="Q983" s="10">
        <f>CHOOSE(CONTROL!$C$42, 88.4701, 88.4701) * CHOOSE(CONTROL!$C$21, $C$9, 100%, $E$9)</f>
        <v>88.470100000000002</v>
      </c>
      <c r="R983" s="10">
        <f>CHOOSE(CONTROL!$C$42, 89.2782, 89.2782) * CHOOSE(CONTROL!$C$21, $C$9, 100%, $E$9)</f>
        <v>89.278199999999998</v>
      </c>
      <c r="S983" s="10">
        <f>CHOOSE(CONTROL!$C$42, 86.1036, 86.1036) * CHOOSE(CONTROL!$C$21, $C$9, 100%, $E$9)</f>
        <v>86.1036</v>
      </c>
      <c r="T9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57">
        <f>(1000*CHOOSE(CONTROL!$C$42, 695, 695)*CHOOSE(CONTROL!$C$42, 0.5599, 0.5599)*CHOOSE(CONTROL!$C$42, 30, 30))/1000000</f>
        <v>11.673914999999997</v>
      </c>
      <c r="V983" s="57">
        <f>(1000*CHOOSE(CONTROL!$C$42, 500, 500)*CHOOSE(CONTROL!$C$42, 0.275, 0.275)*CHOOSE(CONTROL!$C$42, 30, 30))/1000000</f>
        <v>4.125</v>
      </c>
      <c r="W983" s="57">
        <f>(1000*CHOOSE(CONTROL!$C$42, 0.1146, 0.1146)*CHOOSE(CONTROL!$C$42, 121.5, 121.5)*CHOOSE(CONTROL!$C$42, 30, 30))/1000000</f>
        <v>0.417717</v>
      </c>
      <c r="X983" s="57">
        <f>(30*0.1790888*100000/1000000)+(30*0.2374*100000/1000000)</f>
        <v>1.2494664</v>
      </c>
      <c r="Y983" s="57"/>
      <c r="Z983" s="10"/>
      <c r="AA983" s="56"/>
      <c r="AB983" s="50">
        <f>(B983*122.58+C983*297.941+D983*89.177+E983*40.302+F983*40+G983*160+H983*0+I983*100+J983*300)/(122.58+297.941+89.177+40.302+0+40+160+100+300)</f>
        <v>88.677560684434795</v>
      </c>
      <c r="AC983" s="45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87.82505323741006</v>
      </c>
    </row>
    <row r="984" spans="1:29" ht="15.75" x14ac:dyDescent="0.25">
      <c r="A984" s="13">
        <v>70859</v>
      </c>
      <c r="B984" s="10">
        <f>CHOOSE(CONTROL!$C$42, 94.7134, 94.7134) * CHOOSE(CONTROL!$C$21, $C$9, 100%, $E$9)</f>
        <v>94.713399999999993</v>
      </c>
      <c r="C984" s="10">
        <f>CHOOSE(CONTROL!$C$42, 94.7183, 94.7183) * CHOOSE(CONTROL!$C$21, $C$9, 100%, $E$9)</f>
        <v>94.718299999999999</v>
      </c>
      <c r="D984" s="10">
        <f>CHOOSE(CONTROL!$C$42, 94.7788, 94.7788) * CHOOSE(CONTROL!$C$21, $C$9, 100%, $E$9)</f>
        <v>94.778800000000004</v>
      </c>
      <c r="E984" s="10">
        <f>CHOOSE(CONTROL!$C$42, 94.8126, 94.8126) * CHOOSE(CONTROL!$C$21, $C$9, 100%, $E$9)</f>
        <v>94.812600000000003</v>
      </c>
      <c r="F984" s="10">
        <f>CHOOSE(CONTROL!$C$42, 94.7108, 94.7108)*CHOOSE(CONTROL!$C$21, $C$9, 100%, $E$9)</f>
        <v>94.710800000000006</v>
      </c>
      <c r="G984" s="10">
        <f>CHOOSE(CONTROL!$C$42, 94.7265, 94.7265)*CHOOSE(CONTROL!$C$21, $C$9, 100%, $E$9)</f>
        <v>94.726500000000001</v>
      </c>
      <c r="H984" s="10">
        <f>CHOOSE(CONTROL!$C$42, 94.8018, 94.8018) * CHOOSE(CONTROL!$C$21, $C$9, 100%, $E$9)</f>
        <v>94.8018</v>
      </c>
      <c r="I984" s="10">
        <f>CHOOSE(CONTROL!$C$42, 94.7259, 94.7259)* CHOOSE(CONTROL!$C$21, $C$9, 100%, $E$9)</f>
        <v>94.725899999999996</v>
      </c>
      <c r="J984" s="10">
        <f>CHOOSE(CONTROL!$C$42, 94.7038, 94.7038)* CHOOSE(CONTROL!$C$21, $C$9, 100%, $E$9)</f>
        <v>94.703800000000001</v>
      </c>
      <c r="K984" s="53">
        <f>CHOOSE(CONTROL!$C$42, 94.722, 94.722) * CHOOSE(CONTROL!$C$21, $C$9, 100%, $E$9)</f>
        <v>94.721999999999994</v>
      </c>
      <c r="L984" s="10">
        <f>CHOOSE(CONTROL!$C$42, 95.3888, 95.3888) * CHOOSE(CONTROL!$C$21, $C$9, 100%, $E$9)</f>
        <v>95.388800000000003</v>
      </c>
      <c r="M984" s="10">
        <f>CHOOSE(CONTROL!$C$42, 93.7619, 93.7619) * CHOOSE(CONTROL!$C$21, $C$9, 100%, $E$9)</f>
        <v>93.761899999999997</v>
      </c>
      <c r="N984" s="10">
        <f>CHOOSE(CONTROL!$C$42, 93.7775, 93.7775) * CHOOSE(CONTROL!$C$21, $C$9, 100%, $E$9)</f>
        <v>93.777500000000003</v>
      </c>
      <c r="O984" s="10">
        <f>CHOOSE(CONTROL!$C$42, 93.8589, 93.8589) * CHOOSE(CONTROL!$C$21, $C$9, 100%, $E$9)</f>
        <v>93.858900000000006</v>
      </c>
      <c r="P984" s="10">
        <f>CHOOSE(CONTROL!$C$42, 93.7838, 93.7838) * CHOOSE(CONTROL!$C$21, $C$9, 100%, $E$9)</f>
        <v>93.783799999999999</v>
      </c>
      <c r="Q984" s="10">
        <f>CHOOSE(CONTROL!$C$42, 94.4542, 94.4542) * CHOOSE(CONTROL!$C$21, $C$9, 100%, $E$9)</f>
        <v>94.4542</v>
      </c>
      <c r="R984" s="10">
        <f>CHOOSE(CONTROL!$C$42, 95.2774, 95.2774) * CHOOSE(CONTROL!$C$21, $C$9, 100%, $E$9)</f>
        <v>95.2774</v>
      </c>
      <c r="S984" s="10">
        <f>CHOOSE(CONTROL!$C$42, 91.974, 91.974) * CHOOSE(CONTROL!$C$21, $C$9, 100%, $E$9)</f>
        <v>91.974000000000004</v>
      </c>
      <c r="T9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57">
        <f>(1000*CHOOSE(CONTROL!$C$42, 695, 695)*CHOOSE(CONTROL!$C$42, 0.5599, 0.5599)*CHOOSE(CONTROL!$C$42, 31, 31))/1000000</f>
        <v>12.063045499999998</v>
      </c>
      <c r="V984" s="57">
        <f>(1000*CHOOSE(CONTROL!$C$42, 500, 500)*CHOOSE(CONTROL!$C$42, 0.275, 0.275)*CHOOSE(CONTROL!$C$42, 31, 31))/1000000</f>
        <v>4.2625000000000002</v>
      </c>
      <c r="W984" s="57">
        <f>(1000*CHOOSE(CONTROL!$C$42, 0.1146, 0.1146)*CHOOSE(CONTROL!$C$42, 121.5, 121.5)*CHOOSE(CONTROL!$C$42, 31, 31))/1000000</f>
        <v>0.43164089999999994</v>
      </c>
      <c r="X984" s="57">
        <f>(31*0.1790888*100000/1000000)+(31*0.2374*100000/1000000)</f>
        <v>1.2911152800000001</v>
      </c>
      <c r="Y984" s="57"/>
      <c r="Z984" s="10"/>
      <c r="AA984" s="56"/>
      <c r="AB984" s="50">
        <f>(B984*122.58+C984*297.941+D984*89.177+E984*40.302+F984*40+G984*160+H984*0+I984*100+J984*300)/(122.58+297.941+89.177+40.302+0+40+160+100+300)</f>
        <v>94.72353221313044</v>
      </c>
      <c r="AC984" s="45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93.809912949640278</v>
      </c>
    </row>
    <row r="985" spans="1:29" ht="15.75" x14ac:dyDescent="0.25">
      <c r="A985" s="13">
        <v>70890</v>
      </c>
      <c r="B985" s="10">
        <f>CHOOSE(CONTROL!$C$42, 102.4737, 102.4737) * CHOOSE(CONTROL!$C$21, $C$9, 100%, $E$9)</f>
        <v>102.47369999999999</v>
      </c>
      <c r="C985" s="10">
        <f>CHOOSE(CONTROL!$C$42, 102.4786, 102.4786) * CHOOSE(CONTROL!$C$21, $C$9, 100%, $E$9)</f>
        <v>102.4786</v>
      </c>
      <c r="D985" s="10">
        <f>CHOOSE(CONTROL!$C$42, 102.5357, 102.5357) * CHOOSE(CONTROL!$C$21, $C$9, 100%, $E$9)</f>
        <v>102.53570000000001</v>
      </c>
      <c r="E985" s="10">
        <f>CHOOSE(CONTROL!$C$42, 102.5695, 102.5695) * CHOOSE(CONTROL!$C$21, $C$9, 100%, $E$9)</f>
        <v>102.56950000000001</v>
      </c>
      <c r="F985" s="10">
        <f>CHOOSE(CONTROL!$C$42, 102.4715, 102.4715)*CHOOSE(CONTROL!$C$21, $C$9, 100%, $E$9)</f>
        <v>102.47150000000001</v>
      </c>
      <c r="G985" s="10">
        <f>CHOOSE(CONTROL!$C$42, 102.4861, 102.4861)*CHOOSE(CONTROL!$C$21, $C$9, 100%, $E$9)</f>
        <v>102.48609999999999</v>
      </c>
      <c r="H985" s="10">
        <f>CHOOSE(CONTROL!$C$42, 102.5587, 102.5587) * CHOOSE(CONTROL!$C$21, $C$9, 100%, $E$9)</f>
        <v>102.5587</v>
      </c>
      <c r="I985" s="10">
        <f>CHOOSE(CONTROL!$C$42, 102.4845, 102.4845)* CHOOSE(CONTROL!$C$21, $C$9, 100%, $E$9)</f>
        <v>102.4845</v>
      </c>
      <c r="J985" s="10">
        <f>CHOOSE(CONTROL!$C$42, 102.4645, 102.4645)* CHOOSE(CONTROL!$C$21, $C$9, 100%, $E$9)</f>
        <v>102.4645</v>
      </c>
      <c r="K985" s="53">
        <f>CHOOSE(CONTROL!$C$42, 102.4806, 102.4806) * CHOOSE(CONTROL!$C$21, $C$9, 100%, $E$9)</f>
        <v>102.4806</v>
      </c>
      <c r="L985" s="10">
        <f>CHOOSE(CONTROL!$C$42, 103.1457, 103.1457) * CHOOSE(CONTROL!$C$21, $C$9, 100%, $E$9)</f>
        <v>103.14570000000001</v>
      </c>
      <c r="M985" s="10">
        <f>CHOOSE(CONTROL!$C$42, 101.4443, 101.4443) * CHOOSE(CONTROL!$C$21, $C$9, 100%, $E$9)</f>
        <v>101.4443</v>
      </c>
      <c r="N985" s="10">
        <f>CHOOSE(CONTROL!$C$42, 101.4587, 101.4587) * CHOOSE(CONTROL!$C$21, $C$9, 100%, $E$9)</f>
        <v>101.45869999999999</v>
      </c>
      <c r="O985" s="10">
        <f>CHOOSE(CONTROL!$C$42, 101.5375, 101.5375) * CHOOSE(CONTROL!$C$21, $C$9, 100%, $E$9)</f>
        <v>101.53749999999999</v>
      </c>
      <c r="P985" s="10">
        <f>CHOOSE(CONTROL!$C$42, 101.4641, 101.4641) * CHOOSE(CONTROL!$C$21, $C$9, 100%, $E$9)</f>
        <v>101.4641</v>
      </c>
      <c r="Q985" s="10">
        <f>CHOOSE(CONTROL!$C$42, 102.1328, 102.1328) * CHOOSE(CONTROL!$C$21, $C$9, 100%, $E$9)</f>
        <v>102.1328</v>
      </c>
      <c r="R985" s="10">
        <f>CHOOSE(CONTROL!$C$42, 102.9751, 102.9751) * CHOOSE(CONTROL!$C$21, $C$9, 100%, $E$9)</f>
        <v>102.9751</v>
      </c>
      <c r="S985" s="10">
        <f>CHOOSE(CONTROL!$C$42, 99.51, 99.51) * CHOOSE(CONTROL!$C$21, $C$9, 100%, $E$9)</f>
        <v>99.51</v>
      </c>
      <c r="T9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57">
        <f>(1000*CHOOSE(CONTROL!$C$42, 695, 695)*CHOOSE(CONTROL!$C$42, 0.5599, 0.5599)*CHOOSE(CONTROL!$C$42, 31, 31))/1000000</f>
        <v>12.063045499999998</v>
      </c>
      <c r="V985" s="57">
        <f>(1000*CHOOSE(CONTROL!$C$42, 500, 500)*CHOOSE(CONTROL!$C$42, 0.275, 0.275)*CHOOSE(CONTROL!$C$42, 31, 31))/1000000</f>
        <v>4.2625000000000002</v>
      </c>
      <c r="W985" s="57">
        <f>(1000*CHOOSE(CONTROL!$C$42, 0.1146, 0.1146)*CHOOSE(CONTROL!$C$42, 121.5, 121.5)*CHOOSE(CONTROL!$C$42, 31, 31))/1000000</f>
        <v>0.43164089999999994</v>
      </c>
      <c r="X985" s="57">
        <f>(31*0.1790888*100000/1000000)+(31*0.2374*100000/1000000)</f>
        <v>1.2911152800000001</v>
      </c>
      <c r="Y985" s="57"/>
      <c r="Z985" s="10"/>
      <c r="AA985" s="56"/>
      <c r="AB985" s="50">
        <f>(B985*122.58+C985*297.941+D985*89.177+E985*40.302+F985*40+G985*160+H985*0+I985*100+J985*300)/(122.58+297.941+89.177+40.302+0+40+160+100+300)</f>
        <v>102.48332244913043</v>
      </c>
      <c r="AC985" s="45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101.49021942446043</v>
      </c>
    </row>
    <row r="986" spans="1:29" ht="15.75" x14ac:dyDescent="0.25">
      <c r="A986" s="13">
        <v>70918</v>
      </c>
      <c r="B986" s="10">
        <f>CHOOSE(CONTROL!$C$42, 104.2978, 104.2978) * CHOOSE(CONTROL!$C$21, $C$9, 100%, $E$9)</f>
        <v>104.2978</v>
      </c>
      <c r="C986" s="10">
        <f>CHOOSE(CONTROL!$C$42, 104.3027, 104.3027) * CHOOSE(CONTROL!$C$21, $C$9, 100%, $E$9)</f>
        <v>104.3027</v>
      </c>
      <c r="D986" s="10">
        <f>CHOOSE(CONTROL!$C$42, 104.3598, 104.3598) * CHOOSE(CONTROL!$C$21, $C$9, 100%, $E$9)</f>
        <v>104.35980000000001</v>
      </c>
      <c r="E986" s="10">
        <f>CHOOSE(CONTROL!$C$42, 104.3936, 104.3936) * CHOOSE(CONTROL!$C$21, $C$9, 100%, $E$9)</f>
        <v>104.39360000000001</v>
      </c>
      <c r="F986" s="10">
        <f>CHOOSE(CONTROL!$C$42, 104.2957, 104.2957)*CHOOSE(CONTROL!$C$21, $C$9, 100%, $E$9)</f>
        <v>104.2957</v>
      </c>
      <c r="G986" s="10">
        <f>CHOOSE(CONTROL!$C$42, 104.3104, 104.3104)*CHOOSE(CONTROL!$C$21, $C$9, 100%, $E$9)</f>
        <v>104.3104</v>
      </c>
      <c r="H986" s="10">
        <f>CHOOSE(CONTROL!$C$42, 104.3828, 104.3828) * CHOOSE(CONTROL!$C$21, $C$9, 100%, $E$9)</f>
        <v>104.3828</v>
      </c>
      <c r="I986" s="10">
        <f>CHOOSE(CONTROL!$C$42, 104.3086, 104.3086)* CHOOSE(CONTROL!$C$21, $C$9, 100%, $E$9)</f>
        <v>104.3086</v>
      </c>
      <c r="J986" s="10">
        <f>CHOOSE(CONTROL!$C$42, 104.2887, 104.2887)* CHOOSE(CONTROL!$C$21, $C$9, 100%, $E$9)</f>
        <v>104.28870000000001</v>
      </c>
      <c r="K986" s="53">
        <f>CHOOSE(CONTROL!$C$42, 104.3047, 104.3047) * CHOOSE(CONTROL!$C$21, $C$9, 100%, $E$9)</f>
        <v>104.3047</v>
      </c>
      <c r="L986" s="10">
        <f>CHOOSE(CONTROL!$C$42, 104.9698, 104.9698) * CHOOSE(CONTROL!$C$21, $C$9, 100%, $E$9)</f>
        <v>104.96980000000001</v>
      </c>
      <c r="M986" s="10">
        <f>CHOOSE(CONTROL!$C$42, 103.2501, 103.2501) * CHOOSE(CONTROL!$C$21, $C$9, 100%, $E$9)</f>
        <v>103.2501</v>
      </c>
      <c r="N986" s="10">
        <f>CHOOSE(CONTROL!$C$42, 103.2646, 103.2646) * CHOOSE(CONTROL!$C$21, $C$9, 100%, $E$9)</f>
        <v>103.2646</v>
      </c>
      <c r="O986" s="10">
        <f>CHOOSE(CONTROL!$C$42, 103.3432, 103.3432) * CHOOSE(CONTROL!$C$21, $C$9, 100%, $E$9)</f>
        <v>103.3432</v>
      </c>
      <c r="P986" s="10">
        <f>CHOOSE(CONTROL!$C$42, 103.2698, 103.2698) * CHOOSE(CONTROL!$C$21, $C$9, 100%, $E$9)</f>
        <v>103.2698</v>
      </c>
      <c r="Q986" s="10">
        <f>CHOOSE(CONTROL!$C$42, 103.9385, 103.9385) * CHOOSE(CONTROL!$C$21, $C$9, 100%, $E$9)</f>
        <v>103.9385</v>
      </c>
      <c r="R986" s="10">
        <f>CHOOSE(CONTROL!$C$42, 104.7854, 104.7854) * CHOOSE(CONTROL!$C$21, $C$9, 100%, $E$9)</f>
        <v>104.7854</v>
      </c>
      <c r="S986" s="10">
        <f>CHOOSE(CONTROL!$C$42, 101.2815, 101.2815) * CHOOSE(CONTROL!$C$21, $C$9, 100%, $E$9)</f>
        <v>101.28149999999999</v>
      </c>
      <c r="T9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57">
        <f>(1000*CHOOSE(CONTROL!$C$42, 695, 695)*CHOOSE(CONTROL!$C$42, 0.5599, 0.5599)*CHOOSE(CONTROL!$C$42, 28, 28))/1000000</f>
        <v>10.895653999999999</v>
      </c>
      <c r="V986" s="57">
        <f>(1000*CHOOSE(CONTROL!$C$42, 500, 500)*CHOOSE(CONTROL!$C$42, 0.275, 0.275)*CHOOSE(CONTROL!$C$42, 28, 28))/1000000</f>
        <v>3.85</v>
      </c>
      <c r="W986" s="57">
        <f>(1000*CHOOSE(CONTROL!$C$42, 0.1146, 0.1146)*CHOOSE(CONTROL!$C$42, 121.5, 121.5)*CHOOSE(CONTROL!$C$42, 28, 28))/1000000</f>
        <v>0.38986920000000003</v>
      </c>
      <c r="X986" s="57">
        <f>(28*0.1790888*100000/1000000)+(28*0.2374*100000/1000000)</f>
        <v>1.16616864</v>
      </c>
      <c r="Y986" s="57"/>
      <c r="Z986" s="10"/>
      <c r="AA986" s="56"/>
      <c r="AB986" s="50">
        <f>(B986*122.58+C986*297.941+D986*89.177+E986*40.302+F986*40+G986*160+H986*0+I986*100+J986*300)/(122.58+297.941+89.177+40.302+0+40+160+100+300)</f>
        <v>104.30747984043478</v>
      </c>
      <c r="AC986" s="45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103.29596546762589</v>
      </c>
    </row>
    <row r="987" spans="1:29" ht="15.75" x14ac:dyDescent="0.25">
      <c r="A987" s="13">
        <v>70949</v>
      </c>
      <c r="B987" s="10">
        <f>CHOOSE(CONTROL!$C$42, 101.3368, 101.3368) * CHOOSE(CONTROL!$C$21, $C$9, 100%, $E$9)</f>
        <v>101.3368</v>
      </c>
      <c r="C987" s="10">
        <f>CHOOSE(CONTROL!$C$42, 101.3417, 101.3417) * CHOOSE(CONTROL!$C$21, $C$9, 100%, $E$9)</f>
        <v>101.3417</v>
      </c>
      <c r="D987" s="10">
        <f>CHOOSE(CONTROL!$C$42, 101.3988, 101.3988) * CHOOSE(CONTROL!$C$21, $C$9, 100%, $E$9)</f>
        <v>101.39879999999999</v>
      </c>
      <c r="E987" s="10">
        <f>CHOOSE(CONTROL!$C$42, 101.4326, 101.4326) * CHOOSE(CONTROL!$C$21, $C$9, 100%, $E$9)</f>
        <v>101.43259999999999</v>
      </c>
      <c r="F987" s="10">
        <f>CHOOSE(CONTROL!$C$42, 101.3346, 101.3346)*CHOOSE(CONTROL!$C$21, $C$9, 100%, $E$9)</f>
        <v>101.33459999999999</v>
      </c>
      <c r="G987" s="10">
        <f>CHOOSE(CONTROL!$C$42, 101.3492, 101.3492)*CHOOSE(CONTROL!$C$21, $C$9, 100%, $E$9)</f>
        <v>101.3492</v>
      </c>
      <c r="H987" s="10">
        <f>CHOOSE(CONTROL!$C$42, 101.4218, 101.4218) * CHOOSE(CONTROL!$C$21, $C$9, 100%, $E$9)</f>
        <v>101.4218</v>
      </c>
      <c r="I987" s="10">
        <f>CHOOSE(CONTROL!$C$42, 101.3476, 101.3476)* CHOOSE(CONTROL!$C$21, $C$9, 100%, $E$9)</f>
        <v>101.3476</v>
      </c>
      <c r="J987" s="10">
        <f>CHOOSE(CONTROL!$C$42, 101.3276, 101.3276)* CHOOSE(CONTROL!$C$21, $C$9, 100%, $E$9)</f>
        <v>101.3276</v>
      </c>
      <c r="K987" s="53">
        <f>CHOOSE(CONTROL!$C$42, 101.3437, 101.3437) * CHOOSE(CONTROL!$C$21, $C$9, 100%, $E$9)</f>
        <v>101.3437</v>
      </c>
      <c r="L987" s="10">
        <f>CHOOSE(CONTROL!$C$42, 102.0088, 102.0088) * CHOOSE(CONTROL!$C$21, $C$9, 100%, $E$9)</f>
        <v>102.00879999999999</v>
      </c>
      <c r="M987" s="10">
        <f>CHOOSE(CONTROL!$C$42, 100.3189, 100.3189) * CHOOSE(CONTROL!$C$21, $C$9, 100%, $E$9)</f>
        <v>100.3189</v>
      </c>
      <c r="N987" s="10">
        <f>CHOOSE(CONTROL!$C$42, 100.3333, 100.3333) * CHOOSE(CONTROL!$C$21, $C$9, 100%, $E$9)</f>
        <v>100.33329999999999</v>
      </c>
      <c r="O987" s="10">
        <f>CHOOSE(CONTROL!$C$42, 100.4121, 100.4121) * CHOOSE(CONTROL!$C$21, $C$9, 100%, $E$9)</f>
        <v>100.4121</v>
      </c>
      <c r="P987" s="10">
        <f>CHOOSE(CONTROL!$C$42, 100.3387, 100.3387) * CHOOSE(CONTROL!$C$21, $C$9, 100%, $E$9)</f>
        <v>100.3387</v>
      </c>
      <c r="Q987" s="10">
        <f>CHOOSE(CONTROL!$C$42, 101.0074, 101.0074) * CHOOSE(CONTROL!$C$21, $C$9, 100%, $E$9)</f>
        <v>101.0074</v>
      </c>
      <c r="R987" s="10">
        <f>CHOOSE(CONTROL!$C$42, 101.8469, 101.8469) * CHOOSE(CONTROL!$C$21, $C$9, 100%, $E$9)</f>
        <v>101.84690000000001</v>
      </c>
      <c r="S987" s="10">
        <f>CHOOSE(CONTROL!$C$42, 98.406, 98.406) * CHOOSE(CONTROL!$C$21, $C$9, 100%, $E$9)</f>
        <v>98.406000000000006</v>
      </c>
      <c r="T9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57">
        <f>(1000*CHOOSE(CONTROL!$C$42, 695, 695)*CHOOSE(CONTROL!$C$42, 0.5599, 0.5599)*CHOOSE(CONTROL!$C$42, 31, 31))/1000000</f>
        <v>12.063045499999998</v>
      </c>
      <c r="V987" s="57">
        <f>(1000*CHOOSE(CONTROL!$C$42, 500, 500)*CHOOSE(CONTROL!$C$42, 0.275, 0.275)*CHOOSE(CONTROL!$C$42, 31, 31))/1000000</f>
        <v>4.2625000000000002</v>
      </c>
      <c r="W987" s="57">
        <f>(1000*CHOOSE(CONTROL!$C$42, 0.1146, 0.1146)*CHOOSE(CONTROL!$C$42, 121.5, 121.5)*CHOOSE(CONTROL!$C$42, 31, 31))/1000000</f>
        <v>0.43164089999999994</v>
      </c>
      <c r="X987" s="57">
        <f>(31*0.1790888*100000/1000000)+(31*0.2374*100000/1000000)</f>
        <v>1.2911152800000001</v>
      </c>
      <c r="Y987" s="57"/>
      <c r="Z987" s="10"/>
      <c r="AA987" s="56"/>
      <c r="AB987" s="50">
        <f>(B987*122.58+C987*297.941+D987*89.177+E987*40.302+F987*40+G987*160+H987*0+I987*100+J987*300)/(122.58+297.941+89.177+40.302+0+40+160+100+300)</f>
        <v>101.34642244913043</v>
      </c>
      <c r="AC987" s="45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100.36481942446042</v>
      </c>
    </row>
    <row r="988" spans="1:29" ht="15.75" x14ac:dyDescent="0.25">
      <c r="A988" s="13">
        <v>70979</v>
      </c>
      <c r="B988" s="10">
        <f>CHOOSE(CONTROL!$C$42, 101.0345, 101.0345) * CHOOSE(CONTROL!$C$21, $C$9, 100%, $E$9)</f>
        <v>101.03449999999999</v>
      </c>
      <c r="C988" s="10">
        <f>CHOOSE(CONTROL!$C$42, 101.0389, 101.0389) * CHOOSE(CONTROL!$C$21, $C$9, 100%, $E$9)</f>
        <v>101.0389</v>
      </c>
      <c r="D988" s="10">
        <f>CHOOSE(CONTROL!$C$42, 101.2448, 101.2448) * CHOOSE(CONTROL!$C$21, $C$9, 100%, $E$9)</f>
        <v>101.2448</v>
      </c>
      <c r="E988" s="10">
        <f>CHOOSE(CONTROL!$C$42, 101.2766, 101.2766) * CHOOSE(CONTROL!$C$21, $C$9, 100%, $E$9)</f>
        <v>101.2766</v>
      </c>
      <c r="F988" s="10">
        <f>CHOOSE(CONTROL!$C$42, 101.0113, 101.0113)*CHOOSE(CONTROL!$C$21, $C$9, 100%, $E$9)</f>
        <v>101.01130000000001</v>
      </c>
      <c r="G988" s="10">
        <f>CHOOSE(CONTROL!$C$42, 101.0258, 101.0258)*CHOOSE(CONTROL!$C$21, $C$9, 100%, $E$9)</f>
        <v>101.0258</v>
      </c>
      <c r="H988" s="10">
        <f>CHOOSE(CONTROL!$C$42, 101.2664, 101.2664) * CHOOSE(CONTROL!$C$21, $C$9, 100%, $E$9)</f>
        <v>101.2664</v>
      </c>
      <c r="I988" s="10">
        <f>CHOOSE(CONTROL!$C$42, 101.036, 101.036)* CHOOSE(CONTROL!$C$21, $C$9, 100%, $E$9)</f>
        <v>101.036</v>
      </c>
      <c r="J988" s="10">
        <f>CHOOSE(CONTROL!$C$42, 101.0043, 101.0043)* CHOOSE(CONTROL!$C$21, $C$9, 100%, $E$9)</f>
        <v>101.0043</v>
      </c>
      <c r="K988" s="53">
        <f>CHOOSE(CONTROL!$C$42, 101.0321, 101.0321) * CHOOSE(CONTROL!$C$21, $C$9, 100%, $E$9)</f>
        <v>101.0321</v>
      </c>
      <c r="L988" s="10">
        <f>CHOOSE(CONTROL!$C$42, 101.8534, 101.8534) * CHOOSE(CONTROL!$C$21, $C$9, 100%, $E$9)</f>
        <v>101.85339999999999</v>
      </c>
      <c r="M988" s="10">
        <f>CHOOSE(CONTROL!$C$42, 99.9988, 99.9988) * CHOOSE(CONTROL!$C$21, $C$9, 100%, $E$9)</f>
        <v>99.998800000000003</v>
      </c>
      <c r="N988" s="10">
        <f>CHOOSE(CONTROL!$C$42, 100.0132, 100.0132) * CHOOSE(CONTROL!$C$21, $C$9, 100%, $E$9)</f>
        <v>100.0132</v>
      </c>
      <c r="O988" s="10">
        <f>CHOOSE(CONTROL!$C$42, 100.2582, 100.2582) * CHOOSE(CONTROL!$C$21, $C$9, 100%, $E$9)</f>
        <v>100.2582</v>
      </c>
      <c r="P988" s="10">
        <f>CHOOSE(CONTROL!$C$42, 100.0302, 100.0302) * CHOOSE(CONTROL!$C$21, $C$9, 100%, $E$9)</f>
        <v>100.03019999999999</v>
      </c>
      <c r="Q988" s="10">
        <f>CHOOSE(CONTROL!$C$42, 100.8535, 100.8535) * CHOOSE(CONTROL!$C$21, $C$9, 100%, $E$9)</f>
        <v>100.8535</v>
      </c>
      <c r="R988" s="10">
        <f>CHOOSE(CONTROL!$C$42, 101.6927, 101.6927) * CHOOSE(CONTROL!$C$21, $C$9, 100%, $E$9)</f>
        <v>101.6927</v>
      </c>
      <c r="S988" s="10">
        <f>CHOOSE(CONTROL!$C$42, 98.1118, 98.1118) * CHOOSE(CONTROL!$C$21, $C$9, 100%, $E$9)</f>
        <v>98.111800000000002</v>
      </c>
      <c r="T9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57">
        <f>(1000*CHOOSE(CONTROL!$C$42, 695, 695)*CHOOSE(CONTROL!$C$42, 0.5599, 0.5599)*CHOOSE(CONTROL!$C$42, 30, 30))/1000000</f>
        <v>11.673914999999997</v>
      </c>
      <c r="V988" s="57">
        <f>(1000*CHOOSE(CONTROL!$C$42, 500, 500)*CHOOSE(CONTROL!$C$42, 0.275, 0.275)*CHOOSE(CONTROL!$C$42, 30, 30))/1000000</f>
        <v>4.125</v>
      </c>
      <c r="W988" s="57">
        <f>(1000*CHOOSE(CONTROL!$C$42, 0.1146, 0.1146)*CHOOSE(CONTROL!$C$42, 121.5, 121.5)*CHOOSE(CONTROL!$C$42, 30, 30))/1000000</f>
        <v>0.417717</v>
      </c>
      <c r="X988" s="57">
        <f>(30*0.1790888*245000/1000000)+(30*0.2374*100000/1000000)</f>
        <v>2.0285026799999999</v>
      </c>
      <c r="Y988" s="57"/>
      <c r="Z988" s="10"/>
      <c r="AA988" s="56"/>
      <c r="AB988" s="50">
        <f>(B988*141.293+C988*267.993+D988*115.016+E988*89.698+F988*40+G988*185+H988*0+I988*100+J988*300)/(141.293+267.993+115.016+89.698+0+40+185+100+300)</f>
        <v>101.06326143648103</v>
      </c>
      <c r="AC988" s="45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100.1217165467626</v>
      </c>
    </row>
    <row r="989" spans="1:29" ht="15.75" x14ac:dyDescent="0.25">
      <c r="A989" s="13">
        <v>71010</v>
      </c>
      <c r="B989" s="10">
        <f>CHOOSE(CONTROL!$C$42, 101.9277, 101.9277) * CHOOSE(CONTROL!$C$21, $C$9, 100%, $E$9)</f>
        <v>101.9277</v>
      </c>
      <c r="C989" s="10">
        <f>CHOOSE(CONTROL!$C$42, 101.9356, 101.9356) * CHOOSE(CONTROL!$C$21, $C$9, 100%, $E$9)</f>
        <v>101.93559999999999</v>
      </c>
      <c r="D989" s="10">
        <f>CHOOSE(CONTROL!$C$42, 102.1383, 102.1383) * CHOOSE(CONTROL!$C$21, $C$9, 100%, $E$9)</f>
        <v>102.1383</v>
      </c>
      <c r="E989" s="10">
        <f>CHOOSE(CONTROL!$C$42, 102.1694, 102.1694) * CHOOSE(CONTROL!$C$21, $C$9, 100%, $E$9)</f>
        <v>102.1694</v>
      </c>
      <c r="F989" s="10">
        <f>CHOOSE(CONTROL!$C$42, 101.9034, 101.9034)*CHOOSE(CONTROL!$C$21, $C$9, 100%, $E$9)</f>
        <v>101.9034</v>
      </c>
      <c r="G989" s="10">
        <f>CHOOSE(CONTROL!$C$42, 101.9184, 101.9184)*CHOOSE(CONTROL!$C$21, $C$9, 100%, $E$9)</f>
        <v>101.91840000000001</v>
      </c>
      <c r="H989" s="10">
        <f>CHOOSE(CONTROL!$C$42, 102.1581, 102.1581) * CHOOSE(CONTROL!$C$21, $C$9, 100%, $E$9)</f>
        <v>102.1581</v>
      </c>
      <c r="I989" s="10">
        <f>CHOOSE(CONTROL!$C$42, 101.9277, 101.9277)* CHOOSE(CONTROL!$C$21, $C$9, 100%, $E$9)</f>
        <v>101.9277</v>
      </c>
      <c r="J989" s="10">
        <f>CHOOSE(CONTROL!$C$42, 101.8964, 101.8964)* CHOOSE(CONTROL!$C$21, $C$9, 100%, $E$9)</f>
        <v>101.8964</v>
      </c>
      <c r="K989" s="53">
        <f>CHOOSE(CONTROL!$C$42, 101.9238, 101.9238) * CHOOSE(CONTROL!$C$21, $C$9, 100%, $E$9)</f>
        <v>101.9238</v>
      </c>
      <c r="L989" s="10">
        <f>CHOOSE(CONTROL!$C$42, 102.7451, 102.7451) * CHOOSE(CONTROL!$C$21, $C$9, 100%, $E$9)</f>
        <v>102.74509999999999</v>
      </c>
      <c r="M989" s="10">
        <f>CHOOSE(CONTROL!$C$42, 100.8819, 100.8819) * CHOOSE(CONTROL!$C$21, $C$9, 100%, $E$9)</f>
        <v>100.8819</v>
      </c>
      <c r="N989" s="10">
        <f>CHOOSE(CONTROL!$C$42, 100.8967, 100.8967) * CHOOSE(CONTROL!$C$21, $C$9, 100%, $E$9)</f>
        <v>100.8967</v>
      </c>
      <c r="O989" s="10">
        <f>CHOOSE(CONTROL!$C$42, 101.1409, 101.1409) * CHOOSE(CONTROL!$C$21, $C$9, 100%, $E$9)</f>
        <v>101.1409</v>
      </c>
      <c r="P989" s="10">
        <f>CHOOSE(CONTROL!$C$42, 100.9129, 100.9129) * CHOOSE(CONTROL!$C$21, $C$9, 100%, $E$9)</f>
        <v>100.91289999999999</v>
      </c>
      <c r="Q989" s="10">
        <f>CHOOSE(CONTROL!$C$42, 101.7362, 101.7362) * CHOOSE(CONTROL!$C$21, $C$9, 100%, $E$9)</f>
        <v>101.7362</v>
      </c>
      <c r="R989" s="10">
        <f>CHOOSE(CONTROL!$C$42, 102.5776, 102.5776) * CHOOSE(CONTROL!$C$21, $C$9, 100%, $E$9)</f>
        <v>102.5776</v>
      </c>
      <c r="S989" s="10">
        <f>CHOOSE(CONTROL!$C$42, 98.9777, 98.9777) * CHOOSE(CONTROL!$C$21, $C$9, 100%, $E$9)</f>
        <v>98.977699999999999</v>
      </c>
      <c r="T9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57">
        <f>(1000*CHOOSE(CONTROL!$C$42, 695, 695)*CHOOSE(CONTROL!$C$42, 0.5599, 0.5599)*CHOOSE(CONTROL!$C$42, 31, 31))/1000000</f>
        <v>12.063045499999998</v>
      </c>
      <c r="V989" s="57">
        <f>(1000*CHOOSE(CONTROL!$C$42, 500, 500)*CHOOSE(CONTROL!$C$42, 0.275, 0.275)*CHOOSE(CONTROL!$C$42, 31, 31))/1000000</f>
        <v>4.2625000000000002</v>
      </c>
      <c r="W989" s="57">
        <f>(1000*CHOOSE(CONTROL!$C$42, 0.1146, 0.1146)*CHOOSE(CONTROL!$C$42, 121.5, 121.5)*CHOOSE(CONTROL!$C$42, 31, 31))/1000000</f>
        <v>0.43164089999999994</v>
      </c>
      <c r="X989" s="57">
        <f>(31*0.1790888*245000/1000000)+(31*0.2374*100000/1000000)</f>
        <v>2.0961194359999999</v>
      </c>
      <c r="Y989" s="57"/>
      <c r="Z989" s="10"/>
      <c r="AA989" s="56"/>
      <c r="AB989" s="50">
        <f>(B989*194.205+C989*267.466+D989*133.845+E989*53.484+F989*40+G989*185+H989*0+I989*100+J989*300)/(194.205+267.466+133.845+53.484+0+40+185+100+300)</f>
        <v>101.95214687692309</v>
      </c>
      <c r="AC989" s="45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101.00460071942446</v>
      </c>
    </row>
    <row r="990" spans="1:29" ht="15.75" x14ac:dyDescent="0.25">
      <c r="A990" s="13">
        <v>71040</v>
      </c>
      <c r="B990" s="10">
        <f>CHOOSE(CONTROL!$C$42, 104.8188, 104.8188) * CHOOSE(CONTROL!$C$21, $C$9, 100%, $E$9)</f>
        <v>104.8188</v>
      </c>
      <c r="C990" s="10">
        <f>CHOOSE(CONTROL!$C$42, 104.8267, 104.8267) * CHOOSE(CONTROL!$C$21, $C$9, 100%, $E$9)</f>
        <v>104.8267</v>
      </c>
      <c r="D990" s="10">
        <f>CHOOSE(CONTROL!$C$42, 105.0295, 105.0295) * CHOOSE(CONTROL!$C$21, $C$9, 100%, $E$9)</f>
        <v>105.0295</v>
      </c>
      <c r="E990" s="10">
        <f>CHOOSE(CONTROL!$C$42, 105.0606, 105.0606) * CHOOSE(CONTROL!$C$21, $C$9, 100%, $E$9)</f>
        <v>105.06059999999999</v>
      </c>
      <c r="F990" s="10">
        <f>CHOOSE(CONTROL!$C$42, 104.7951, 104.7951)*CHOOSE(CONTROL!$C$21, $C$9, 100%, $E$9)</f>
        <v>104.79510000000001</v>
      </c>
      <c r="G990" s="10">
        <f>CHOOSE(CONTROL!$C$42, 104.8102, 104.8102)*CHOOSE(CONTROL!$C$21, $C$9, 100%, $E$9)</f>
        <v>104.81019999999999</v>
      </c>
      <c r="H990" s="10">
        <f>CHOOSE(CONTROL!$C$42, 105.0492, 105.0492) * CHOOSE(CONTROL!$C$21, $C$9, 100%, $E$9)</f>
        <v>105.0492</v>
      </c>
      <c r="I990" s="10">
        <f>CHOOSE(CONTROL!$C$42, 104.8189, 104.8189)* CHOOSE(CONTROL!$C$21, $C$9, 100%, $E$9)</f>
        <v>104.8189</v>
      </c>
      <c r="J990" s="10">
        <f>CHOOSE(CONTROL!$C$42, 104.7881, 104.7881)* CHOOSE(CONTROL!$C$21, $C$9, 100%, $E$9)</f>
        <v>104.7881</v>
      </c>
      <c r="K990" s="53">
        <f>CHOOSE(CONTROL!$C$42, 104.815, 104.815) * CHOOSE(CONTROL!$C$21, $C$9, 100%, $E$9)</f>
        <v>104.815</v>
      </c>
      <c r="L990" s="10">
        <f>CHOOSE(CONTROL!$C$42, 105.6362, 105.6362) * CHOOSE(CONTROL!$C$21, $C$9, 100%, $E$9)</f>
        <v>105.6362</v>
      </c>
      <c r="M990" s="10">
        <f>CHOOSE(CONTROL!$C$42, 103.7444, 103.7444) * CHOOSE(CONTROL!$C$21, $C$9, 100%, $E$9)</f>
        <v>103.7444</v>
      </c>
      <c r="N990" s="10">
        <f>CHOOSE(CONTROL!$C$42, 103.7594, 103.7594) * CHOOSE(CONTROL!$C$21, $C$9, 100%, $E$9)</f>
        <v>103.7594</v>
      </c>
      <c r="O990" s="10">
        <f>CHOOSE(CONTROL!$C$42, 104.0029, 104.0029) * CHOOSE(CONTROL!$C$21, $C$9, 100%, $E$9)</f>
        <v>104.0029</v>
      </c>
      <c r="P990" s="10">
        <f>CHOOSE(CONTROL!$C$42, 103.7749, 103.7749) * CHOOSE(CONTROL!$C$21, $C$9, 100%, $E$9)</f>
        <v>103.7749</v>
      </c>
      <c r="Q990" s="10">
        <f>CHOOSE(CONTROL!$C$42, 104.5982, 104.5982) * CHOOSE(CONTROL!$C$21, $C$9, 100%, $E$9)</f>
        <v>104.59820000000001</v>
      </c>
      <c r="R990" s="10">
        <f>CHOOSE(CONTROL!$C$42, 105.4467, 105.4467) * CHOOSE(CONTROL!$C$21, $C$9, 100%, $E$9)</f>
        <v>105.44670000000001</v>
      </c>
      <c r="S990" s="10">
        <f>CHOOSE(CONTROL!$C$42, 101.7853, 101.7853) * CHOOSE(CONTROL!$C$21, $C$9, 100%, $E$9)</f>
        <v>101.78530000000001</v>
      </c>
      <c r="T9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57">
        <f>(1000*CHOOSE(CONTROL!$C$42, 695, 695)*CHOOSE(CONTROL!$C$42, 0.5599, 0.5599)*CHOOSE(CONTROL!$C$42, 30, 30))/1000000</f>
        <v>11.673914999999997</v>
      </c>
      <c r="V990" s="57">
        <f>(1000*CHOOSE(CONTROL!$C$42, 500, 500)*CHOOSE(CONTROL!$C$42, 0.275, 0.275)*CHOOSE(CONTROL!$C$42, 30, 30))/1000000</f>
        <v>4.125</v>
      </c>
      <c r="W990" s="57">
        <f>(1000*CHOOSE(CONTROL!$C$42, 0.1146, 0.1146)*CHOOSE(CONTROL!$C$42, 121.5, 121.5)*CHOOSE(CONTROL!$C$42, 30, 30))/1000000</f>
        <v>0.417717</v>
      </c>
      <c r="X990" s="57">
        <f>(30*0.1790888*245000/1000000)+(30*0.2374*100000/1000000)</f>
        <v>2.0285026799999999</v>
      </c>
      <c r="Y990" s="57"/>
      <c r="Z990" s="10"/>
      <c r="AA990" s="56"/>
      <c r="AB990" s="50">
        <f>(B990*194.205+C990*267.466+D990*133.845+E990*53.484+F990*40+G990*185+H990*0+I990*100+J990*300)/(194.205+267.466+133.845+53.484+0+40+185+100+300)</f>
        <v>104.84353120416013</v>
      </c>
      <c r="AC990" s="45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103.86681366906475</v>
      </c>
    </row>
    <row r="991" spans="1:29" ht="15.75" x14ac:dyDescent="0.25">
      <c r="A991" s="13">
        <v>71071</v>
      </c>
      <c r="B991" s="10">
        <f>CHOOSE(CONTROL!$C$42, 102.808, 102.808) * CHOOSE(CONTROL!$C$21, $C$9, 100%, $E$9)</f>
        <v>102.80800000000001</v>
      </c>
      <c r="C991" s="10">
        <f>CHOOSE(CONTROL!$C$42, 102.8159, 102.8159) * CHOOSE(CONTROL!$C$21, $C$9, 100%, $E$9)</f>
        <v>102.8159</v>
      </c>
      <c r="D991" s="10">
        <f>CHOOSE(CONTROL!$C$42, 103.0186, 103.0186) * CHOOSE(CONTROL!$C$21, $C$9, 100%, $E$9)</f>
        <v>103.01860000000001</v>
      </c>
      <c r="E991" s="10">
        <f>CHOOSE(CONTROL!$C$42, 103.0498, 103.0498) * CHOOSE(CONTROL!$C$21, $C$9, 100%, $E$9)</f>
        <v>103.0498</v>
      </c>
      <c r="F991" s="10">
        <f>CHOOSE(CONTROL!$C$42, 102.7847, 102.7847)*CHOOSE(CONTROL!$C$21, $C$9, 100%, $E$9)</f>
        <v>102.7847</v>
      </c>
      <c r="G991" s="10">
        <f>CHOOSE(CONTROL!$C$42, 102.8, 102.8)*CHOOSE(CONTROL!$C$21, $C$9, 100%, $E$9)</f>
        <v>102.8</v>
      </c>
      <c r="H991" s="10">
        <f>CHOOSE(CONTROL!$C$42, 103.0384, 103.0384) * CHOOSE(CONTROL!$C$21, $C$9, 100%, $E$9)</f>
        <v>103.0384</v>
      </c>
      <c r="I991" s="10">
        <f>CHOOSE(CONTROL!$C$42, 102.808, 102.808)* CHOOSE(CONTROL!$C$21, $C$9, 100%, $E$9)</f>
        <v>102.80800000000001</v>
      </c>
      <c r="J991" s="10">
        <f>CHOOSE(CONTROL!$C$42, 102.7777, 102.7777)* CHOOSE(CONTROL!$C$21, $C$9, 100%, $E$9)</f>
        <v>102.7777</v>
      </c>
      <c r="K991" s="53">
        <f>CHOOSE(CONTROL!$C$42, 102.8041, 102.8041) * CHOOSE(CONTROL!$C$21, $C$9, 100%, $E$9)</f>
        <v>102.80410000000001</v>
      </c>
      <c r="L991" s="10">
        <f>CHOOSE(CONTROL!$C$42, 103.6254, 103.6254) * CHOOSE(CONTROL!$C$21, $C$9, 100%, $E$9)</f>
        <v>103.6254</v>
      </c>
      <c r="M991" s="10">
        <f>CHOOSE(CONTROL!$C$42, 101.7544, 101.7544) * CHOOSE(CONTROL!$C$21, $C$9, 100%, $E$9)</f>
        <v>101.7544</v>
      </c>
      <c r="N991" s="10">
        <f>CHOOSE(CONTROL!$C$42, 101.7695, 101.7695) * CHOOSE(CONTROL!$C$21, $C$9, 100%, $E$9)</f>
        <v>101.76949999999999</v>
      </c>
      <c r="O991" s="10">
        <f>CHOOSE(CONTROL!$C$42, 102.0124, 102.0124) * CHOOSE(CONTROL!$C$21, $C$9, 100%, $E$9)</f>
        <v>102.0124</v>
      </c>
      <c r="P991" s="10">
        <f>CHOOSE(CONTROL!$C$42, 101.7844, 101.7844) * CHOOSE(CONTROL!$C$21, $C$9, 100%, $E$9)</f>
        <v>101.78440000000001</v>
      </c>
      <c r="Q991" s="10">
        <f>CHOOSE(CONTROL!$C$42, 102.6077, 102.6077) * CHOOSE(CONTROL!$C$21, $C$9, 100%, $E$9)</f>
        <v>102.60769999999999</v>
      </c>
      <c r="R991" s="10">
        <f>CHOOSE(CONTROL!$C$42, 103.4512, 103.4512) * CHOOSE(CONTROL!$C$21, $C$9, 100%, $E$9)</f>
        <v>103.4512</v>
      </c>
      <c r="S991" s="10">
        <f>CHOOSE(CONTROL!$C$42, 99.8326, 99.8326) * CHOOSE(CONTROL!$C$21, $C$9, 100%, $E$9)</f>
        <v>99.832599999999999</v>
      </c>
      <c r="T9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57">
        <f>(1000*CHOOSE(CONTROL!$C$42, 695, 695)*CHOOSE(CONTROL!$C$42, 0.5599, 0.5599)*CHOOSE(CONTROL!$C$42, 31, 31))/1000000</f>
        <v>12.063045499999998</v>
      </c>
      <c r="V991" s="57">
        <f>(1000*CHOOSE(CONTROL!$C$42, 500, 500)*CHOOSE(CONTROL!$C$42, 0.275, 0.275)*CHOOSE(CONTROL!$C$42, 31, 31))/1000000</f>
        <v>4.2625000000000002</v>
      </c>
      <c r="W991" s="57">
        <f>(1000*CHOOSE(CONTROL!$C$42, 0.1146, 0.1146)*CHOOSE(CONTROL!$C$42, 121.5, 121.5)*CHOOSE(CONTROL!$C$42, 31, 31))/1000000</f>
        <v>0.43164089999999994</v>
      </c>
      <c r="X991" s="57">
        <f>(31*0.1790888*245000/1000000)+(31*0.2374*100000/1000000)</f>
        <v>2.0961194359999999</v>
      </c>
      <c r="Y991" s="57"/>
      <c r="Z991" s="10"/>
      <c r="AA991" s="56"/>
      <c r="AB991" s="50">
        <f>(B991*194.205+C991*267.466+D991*133.845+E991*53.484+F991*40+G991*185+H991*0+I991*100+J991*300)/(194.205+267.466+133.845+53.484+0+40+185+100+300)</f>
        <v>102.83290672653062</v>
      </c>
      <c r="AC991" s="45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101.87652086330935</v>
      </c>
    </row>
    <row r="992" spans="1:29" ht="15.75" x14ac:dyDescent="0.25">
      <c r="A992" s="13">
        <v>71102</v>
      </c>
      <c r="B992" s="10">
        <f>CHOOSE(CONTROL!$C$42, 97.73, 97.73) * CHOOSE(CONTROL!$C$21, $C$9, 100%, $E$9)</f>
        <v>97.73</v>
      </c>
      <c r="C992" s="10">
        <f>CHOOSE(CONTROL!$C$42, 97.7379, 97.7379) * CHOOSE(CONTROL!$C$21, $C$9, 100%, $E$9)</f>
        <v>97.737899999999996</v>
      </c>
      <c r="D992" s="10">
        <f>CHOOSE(CONTROL!$C$42, 97.9407, 97.9407) * CHOOSE(CONTROL!$C$21, $C$9, 100%, $E$9)</f>
        <v>97.940700000000007</v>
      </c>
      <c r="E992" s="10">
        <f>CHOOSE(CONTROL!$C$42, 97.9718, 97.9718) * CHOOSE(CONTROL!$C$21, $C$9, 100%, $E$9)</f>
        <v>97.971800000000002</v>
      </c>
      <c r="F992" s="10">
        <f>CHOOSE(CONTROL!$C$42, 97.707, 97.707)*CHOOSE(CONTROL!$C$21, $C$9, 100%, $E$9)</f>
        <v>97.706999999999994</v>
      </c>
      <c r="G992" s="10">
        <f>CHOOSE(CONTROL!$C$42, 97.7223, 97.7223)*CHOOSE(CONTROL!$C$21, $C$9, 100%, $E$9)</f>
        <v>97.722300000000004</v>
      </c>
      <c r="H992" s="10">
        <f>CHOOSE(CONTROL!$C$42, 97.9604, 97.9604) * CHOOSE(CONTROL!$C$21, $C$9, 100%, $E$9)</f>
        <v>97.960400000000007</v>
      </c>
      <c r="I992" s="10">
        <f>CHOOSE(CONTROL!$C$42, 97.7301, 97.7301)* CHOOSE(CONTROL!$C$21, $C$9, 100%, $E$9)</f>
        <v>97.730099999999993</v>
      </c>
      <c r="J992" s="10">
        <f>CHOOSE(CONTROL!$C$42, 97.7, 97.7)* CHOOSE(CONTROL!$C$21, $C$9, 100%, $E$9)</f>
        <v>97.7</v>
      </c>
      <c r="K992" s="53">
        <f>CHOOSE(CONTROL!$C$42, 97.7262, 97.7262) * CHOOSE(CONTROL!$C$21, $C$9, 100%, $E$9)</f>
        <v>97.726200000000006</v>
      </c>
      <c r="L992" s="10">
        <f>CHOOSE(CONTROL!$C$42, 98.5474, 98.5474) * CHOOSE(CONTROL!$C$21, $C$9, 100%, $E$9)</f>
        <v>98.547399999999996</v>
      </c>
      <c r="M992" s="10">
        <f>CHOOSE(CONTROL!$C$42, 96.7278, 96.7278) * CHOOSE(CONTROL!$C$21, $C$9, 100%, $E$9)</f>
        <v>96.727800000000002</v>
      </c>
      <c r="N992" s="10">
        <f>CHOOSE(CONTROL!$C$42, 96.743, 96.743) * CHOOSE(CONTROL!$C$21, $C$9, 100%, $E$9)</f>
        <v>96.742999999999995</v>
      </c>
      <c r="O992" s="10">
        <f>CHOOSE(CONTROL!$C$42, 96.9857, 96.9857) * CHOOSE(CONTROL!$C$21, $C$9, 100%, $E$9)</f>
        <v>96.985699999999994</v>
      </c>
      <c r="P992" s="10">
        <f>CHOOSE(CONTROL!$C$42, 96.7577, 96.7577) * CHOOSE(CONTROL!$C$21, $C$9, 100%, $E$9)</f>
        <v>96.7577</v>
      </c>
      <c r="Q992" s="10">
        <f>CHOOSE(CONTROL!$C$42, 97.581, 97.581) * CHOOSE(CONTROL!$C$21, $C$9, 100%, $E$9)</f>
        <v>97.581000000000003</v>
      </c>
      <c r="R992" s="10">
        <f>CHOOSE(CONTROL!$C$42, 98.4119, 98.4119) * CHOOSE(CONTROL!$C$21, $C$9, 100%, $E$9)</f>
        <v>98.411900000000003</v>
      </c>
      <c r="S992" s="10">
        <f>CHOOSE(CONTROL!$C$42, 94.9014, 94.9014) * CHOOSE(CONTROL!$C$21, $C$9, 100%, $E$9)</f>
        <v>94.901399999999995</v>
      </c>
      <c r="T9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57">
        <f>(1000*CHOOSE(CONTROL!$C$42, 695, 695)*CHOOSE(CONTROL!$C$42, 0.5599, 0.5599)*CHOOSE(CONTROL!$C$42, 31, 31))/1000000</f>
        <v>12.063045499999998</v>
      </c>
      <c r="V992" s="57">
        <f>(1000*CHOOSE(CONTROL!$C$42, 500, 500)*CHOOSE(CONTROL!$C$42, 0.275, 0.275)*CHOOSE(CONTROL!$C$42, 31, 31))/1000000</f>
        <v>4.2625000000000002</v>
      </c>
      <c r="W992" s="57">
        <f>(1000*CHOOSE(CONTROL!$C$42, 0.1146, 0.1146)*CHOOSE(CONTROL!$C$42, 121.5, 121.5)*CHOOSE(CONTROL!$C$42, 31, 31))/1000000</f>
        <v>0.43164089999999994</v>
      </c>
      <c r="X992" s="57">
        <f>(31*0.1790888*245000/1000000)+(31*0.2374*100000/1000000)</f>
        <v>2.0961194359999999</v>
      </c>
      <c r="Y992" s="57"/>
      <c r="Z992" s="10"/>
      <c r="AA992" s="56"/>
      <c r="AB992" s="50">
        <f>(B992*194.205+C992*267.466+D992*133.845+E992*53.484+F992*40+G992*185+H992*0+I992*100+J992*300)/(194.205+267.466+133.845+53.484+0+40+185+100+300)</f>
        <v>97.755048708084772</v>
      </c>
      <c r="AC992" s="45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96.849866906474816</v>
      </c>
    </row>
    <row r="993" spans="1:29" ht="15.75" x14ac:dyDescent="0.25">
      <c r="A993" s="13">
        <v>71132</v>
      </c>
      <c r="B993" s="10">
        <f>CHOOSE(CONTROL!$C$42, 91.5253, 91.5253) * CHOOSE(CONTROL!$C$21, $C$9, 100%, $E$9)</f>
        <v>91.525300000000001</v>
      </c>
      <c r="C993" s="10">
        <f>CHOOSE(CONTROL!$C$42, 91.5332, 91.5332) * CHOOSE(CONTROL!$C$21, $C$9, 100%, $E$9)</f>
        <v>91.533199999999994</v>
      </c>
      <c r="D993" s="10">
        <f>CHOOSE(CONTROL!$C$42, 91.736, 91.736) * CHOOSE(CONTROL!$C$21, $C$9, 100%, $E$9)</f>
        <v>91.736000000000004</v>
      </c>
      <c r="E993" s="10">
        <f>CHOOSE(CONTROL!$C$42, 91.7671, 91.7671) * CHOOSE(CONTROL!$C$21, $C$9, 100%, $E$9)</f>
        <v>91.767099999999999</v>
      </c>
      <c r="F993" s="10">
        <f>CHOOSE(CONTROL!$C$42, 91.5021, 91.5021)*CHOOSE(CONTROL!$C$21, $C$9, 100%, $E$9)</f>
        <v>91.502099999999999</v>
      </c>
      <c r="G993" s="10">
        <f>CHOOSE(CONTROL!$C$42, 91.5174, 91.5174)*CHOOSE(CONTROL!$C$21, $C$9, 100%, $E$9)</f>
        <v>91.517399999999995</v>
      </c>
      <c r="H993" s="10">
        <f>CHOOSE(CONTROL!$C$42, 91.7557, 91.7557) * CHOOSE(CONTROL!$C$21, $C$9, 100%, $E$9)</f>
        <v>91.755700000000004</v>
      </c>
      <c r="I993" s="10">
        <f>CHOOSE(CONTROL!$C$42, 91.5253, 91.5253)* CHOOSE(CONTROL!$C$21, $C$9, 100%, $E$9)</f>
        <v>91.525300000000001</v>
      </c>
      <c r="J993" s="10">
        <f>CHOOSE(CONTROL!$C$42, 91.4951, 91.4951)* CHOOSE(CONTROL!$C$21, $C$9, 100%, $E$9)</f>
        <v>91.495099999999994</v>
      </c>
      <c r="K993" s="53">
        <f>CHOOSE(CONTROL!$C$42, 91.5215, 91.5215) * CHOOSE(CONTROL!$C$21, $C$9, 100%, $E$9)</f>
        <v>91.521500000000003</v>
      </c>
      <c r="L993" s="10">
        <f>CHOOSE(CONTROL!$C$42, 92.3427, 92.3427) * CHOOSE(CONTROL!$C$21, $C$9, 100%, $E$9)</f>
        <v>92.342699999999994</v>
      </c>
      <c r="M993" s="10">
        <f>CHOOSE(CONTROL!$C$42, 90.5856, 90.5856) * CHOOSE(CONTROL!$C$21, $C$9, 100%, $E$9)</f>
        <v>90.585599999999999</v>
      </c>
      <c r="N993" s="10">
        <f>CHOOSE(CONTROL!$C$42, 90.6007, 90.6007) * CHOOSE(CONTROL!$C$21, $C$9, 100%, $E$9)</f>
        <v>90.600700000000003</v>
      </c>
      <c r="O993" s="10">
        <f>CHOOSE(CONTROL!$C$42, 90.8436, 90.8436) * CHOOSE(CONTROL!$C$21, $C$9, 100%, $E$9)</f>
        <v>90.843599999999995</v>
      </c>
      <c r="P993" s="10">
        <f>CHOOSE(CONTROL!$C$42, 90.6156, 90.6156) * CHOOSE(CONTROL!$C$21, $C$9, 100%, $E$9)</f>
        <v>90.615600000000001</v>
      </c>
      <c r="Q993" s="10">
        <f>CHOOSE(CONTROL!$C$42, 91.4389, 91.4389) * CHOOSE(CONTROL!$C$21, $C$9, 100%, $E$9)</f>
        <v>91.438900000000004</v>
      </c>
      <c r="R993" s="10">
        <f>CHOOSE(CONTROL!$C$42, 92.2545, 92.2545) * CHOOSE(CONTROL!$C$21, $C$9, 100%, $E$9)</f>
        <v>92.254499999999993</v>
      </c>
      <c r="S993" s="10">
        <f>CHOOSE(CONTROL!$C$42, 88.876, 88.876) * CHOOSE(CONTROL!$C$21, $C$9, 100%, $E$9)</f>
        <v>88.876000000000005</v>
      </c>
      <c r="T9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57">
        <f>(1000*CHOOSE(CONTROL!$C$42, 695, 695)*CHOOSE(CONTROL!$C$42, 0.5599, 0.5599)*CHOOSE(CONTROL!$C$42, 30, 30))/1000000</f>
        <v>11.673914999999997</v>
      </c>
      <c r="V993" s="57">
        <f>(1000*CHOOSE(CONTROL!$C$42, 500, 500)*CHOOSE(CONTROL!$C$42, 0.275, 0.275)*CHOOSE(CONTROL!$C$42, 30, 30))/1000000</f>
        <v>4.125</v>
      </c>
      <c r="W993" s="57">
        <f>(1000*CHOOSE(CONTROL!$C$42, 0.1146, 0.1146)*CHOOSE(CONTROL!$C$42, 121.5, 121.5)*CHOOSE(CONTROL!$C$42, 30, 30))/1000000</f>
        <v>0.417717</v>
      </c>
      <c r="X993" s="57">
        <f>(30*0.1790888*245000/1000000)+(30*0.2374*100000/1000000)</f>
        <v>2.0285026799999999</v>
      </c>
      <c r="Y993" s="57"/>
      <c r="Z993" s="10"/>
      <c r="AA993" s="56"/>
      <c r="AB993" s="50">
        <f>(B993*194.205+C993*267.466+D993*133.845+E993*53.484+F993*40+G993*185+H993*0+I993*100+J993*300)/(194.205+267.466+133.845+53.484+0+40+185+100+300)</f>
        <v>91.550258441208783</v>
      </c>
      <c r="AC993" s="45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90.707720863309348</v>
      </c>
    </row>
    <row r="994" spans="1:29" ht="15.75" x14ac:dyDescent="0.25">
      <c r="A994" s="13">
        <v>71163</v>
      </c>
      <c r="B994" s="10">
        <f>CHOOSE(CONTROL!$C$42, 89.6653, 89.6653) * CHOOSE(CONTROL!$C$21, $C$9, 100%, $E$9)</f>
        <v>89.665300000000002</v>
      </c>
      <c r="C994" s="10">
        <f>CHOOSE(CONTROL!$C$42, 89.6705, 89.6705) * CHOOSE(CONTROL!$C$21, $C$9, 100%, $E$9)</f>
        <v>89.670500000000004</v>
      </c>
      <c r="D994" s="10">
        <f>CHOOSE(CONTROL!$C$42, 89.8782, 89.8782) * CHOOSE(CONTROL!$C$21, $C$9, 100%, $E$9)</f>
        <v>89.878200000000007</v>
      </c>
      <c r="E994" s="10">
        <f>CHOOSE(CONTROL!$C$42, 89.907, 89.907) * CHOOSE(CONTROL!$C$21, $C$9, 100%, $E$9)</f>
        <v>89.906999999999996</v>
      </c>
      <c r="F994" s="10">
        <f>CHOOSE(CONTROL!$C$42, 89.644, 89.644)*CHOOSE(CONTROL!$C$21, $C$9, 100%, $E$9)</f>
        <v>89.644000000000005</v>
      </c>
      <c r="G994" s="10">
        <f>CHOOSE(CONTROL!$C$42, 89.659, 89.659)*CHOOSE(CONTROL!$C$21, $C$9, 100%, $E$9)</f>
        <v>89.659000000000006</v>
      </c>
      <c r="H994" s="10">
        <f>CHOOSE(CONTROL!$C$42, 89.8975, 89.8975) * CHOOSE(CONTROL!$C$21, $C$9, 100%, $E$9)</f>
        <v>89.897499999999994</v>
      </c>
      <c r="I994" s="10">
        <f>CHOOSE(CONTROL!$C$42, 89.6671, 89.6671)* CHOOSE(CONTROL!$C$21, $C$9, 100%, $E$9)</f>
        <v>89.667100000000005</v>
      </c>
      <c r="J994" s="10">
        <f>CHOOSE(CONTROL!$C$42, 89.637, 89.637)* CHOOSE(CONTROL!$C$21, $C$9, 100%, $E$9)</f>
        <v>89.637</v>
      </c>
      <c r="K994" s="53">
        <f>CHOOSE(CONTROL!$C$42, 89.6632, 89.6632) * CHOOSE(CONTROL!$C$21, $C$9, 100%, $E$9)</f>
        <v>89.663200000000003</v>
      </c>
      <c r="L994" s="10">
        <f>CHOOSE(CONTROL!$C$42, 90.4845, 90.4845) * CHOOSE(CONTROL!$C$21, $C$9, 100%, $E$9)</f>
        <v>90.484499999999997</v>
      </c>
      <c r="M994" s="10">
        <f>CHOOSE(CONTROL!$C$42, 88.7463, 88.7463) * CHOOSE(CONTROL!$C$21, $C$9, 100%, $E$9)</f>
        <v>88.746300000000005</v>
      </c>
      <c r="N994" s="10">
        <f>CHOOSE(CONTROL!$C$42, 88.7611, 88.7611) * CHOOSE(CONTROL!$C$21, $C$9, 100%, $E$9)</f>
        <v>88.761099999999999</v>
      </c>
      <c r="O994" s="10">
        <f>CHOOSE(CONTROL!$C$42, 89.0041, 89.0041) * CHOOSE(CONTROL!$C$21, $C$9, 100%, $E$9)</f>
        <v>89.004099999999994</v>
      </c>
      <c r="P994" s="10">
        <f>CHOOSE(CONTROL!$C$42, 88.7761, 88.7761) * CHOOSE(CONTROL!$C$21, $C$9, 100%, $E$9)</f>
        <v>88.7761</v>
      </c>
      <c r="Q994" s="10">
        <f>CHOOSE(CONTROL!$C$42, 89.5994, 89.5994) * CHOOSE(CONTROL!$C$21, $C$9, 100%, $E$9)</f>
        <v>89.599400000000003</v>
      </c>
      <c r="R994" s="10">
        <f>CHOOSE(CONTROL!$C$42, 90.4104, 90.4104) * CHOOSE(CONTROL!$C$21, $C$9, 100%, $E$9)</f>
        <v>90.410399999999996</v>
      </c>
      <c r="S994" s="10">
        <f>CHOOSE(CONTROL!$C$42, 87.0715, 87.0715) * CHOOSE(CONTROL!$C$21, $C$9, 100%, $E$9)</f>
        <v>87.0715</v>
      </c>
      <c r="T9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57">
        <f>(1000*CHOOSE(CONTROL!$C$42, 695, 695)*CHOOSE(CONTROL!$C$42, 0.5599, 0.5599)*CHOOSE(CONTROL!$C$42, 31, 31))/1000000</f>
        <v>12.063045499999998</v>
      </c>
      <c r="V994" s="57">
        <f>(1000*CHOOSE(CONTROL!$C$42, 500, 500)*CHOOSE(CONTROL!$C$42, 0.275, 0.275)*CHOOSE(CONTROL!$C$42, 31, 31))/1000000</f>
        <v>4.2625000000000002</v>
      </c>
      <c r="W994" s="57">
        <f>(1000*CHOOSE(CONTROL!$C$42, 0.1146, 0.1146)*CHOOSE(CONTROL!$C$42, 121.5, 121.5)*CHOOSE(CONTROL!$C$42, 31, 31))/1000000</f>
        <v>0.43164089999999994</v>
      </c>
      <c r="X994" s="57">
        <f>(31*0.1790888*245000/1000000)+(31*0.2374*100000/1000000)</f>
        <v>2.0961194359999999</v>
      </c>
      <c r="Y994" s="57"/>
      <c r="Z994" s="10"/>
      <c r="AA994" s="56"/>
      <c r="AB994" s="50">
        <f>(B994*131.881+C994*277.167+D994*79.08+E994*125.872+F994*40+G994*185+H994*0+I994*100+J994*300)/(131.881+277.167+79.08+125.872+0+40+185+100+300)</f>
        <v>89.696271075706207</v>
      </c>
      <c r="AC994" s="45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88.868284172661873</v>
      </c>
    </row>
    <row r="995" spans="1:29" ht="15.75" x14ac:dyDescent="0.25">
      <c r="A995" s="13">
        <v>71193</v>
      </c>
      <c r="B995" s="10">
        <f>CHOOSE(CONTROL!$C$42, 92.027, 92.027) * CHOOSE(CONTROL!$C$21, $C$9, 100%, $E$9)</f>
        <v>92.027000000000001</v>
      </c>
      <c r="C995" s="10">
        <f>CHOOSE(CONTROL!$C$42, 92.032, 92.032) * CHOOSE(CONTROL!$C$21, $C$9, 100%, $E$9)</f>
        <v>92.031999999999996</v>
      </c>
      <c r="D995" s="10">
        <f>CHOOSE(CONTROL!$C$42, 92.0925, 92.0925) * CHOOSE(CONTROL!$C$21, $C$9, 100%, $E$9)</f>
        <v>92.092500000000001</v>
      </c>
      <c r="E995" s="10">
        <f>CHOOSE(CONTROL!$C$42, 92.1263, 92.1263) * CHOOSE(CONTROL!$C$21, $C$9, 100%, $E$9)</f>
        <v>92.126300000000001</v>
      </c>
      <c r="F995" s="10">
        <f>CHOOSE(CONTROL!$C$42, 92.0227, 92.0227)*CHOOSE(CONTROL!$C$21, $C$9, 100%, $E$9)</f>
        <v>92.0227</v>
      </c>
      <c r="G995" s="10">
        <f>CHOOSE(CONTROL!$C$42, 92.0379, 92.0379)*CHOOSE(CONTROL!$C$21, $C$9, 100%, $E$9)</f>
        <v>92.037899999999993</v>
      </c>
      <c r="H995" s="10">
        <f>CHOOSE(CONTROL!$C$42, 92.1155, 92.1155) * CHOOSE(CONTROL!$C$21, $C$9, 100%, $E$9)</f>
        <v>92.115499999999997</v>
      </c>
      <c r="I995" s="10">
        <f>CHOOSE(CONTROL!$C$42, 92.0395, 92.0395)* CHOOSE(CONTROL!$C$21, $C$9, 100%, $E$9)</f>
        <v>92.039500000000004</v>
      </c>
      <c r="J995" s="10">
        <f>CHOOSE(CONTROL!$C$42, 92.0157, 92.0157)* CHOOSE(CONTROL!$C$21, $C$9, 100%, $E$9)</f>
        <v>92.015699999999995</v>
      </c>
      <c r="K995" s="53">
        <f>CHOOSE(CONTROL!$C$42, 92.0357, 92.0357) * CHOOSE(CONTROL!$C$21, $C$9, 100%, $E$9)</f>
        <v>92.035700000000006</v>
      </c>
      <c r="L995" s="10">
        <f>CHOOSE(CONTROL!$C$42, 92.7025, 92.7025) * CHOOSE(CONTROL!$C$21, $C$9, 100%, $E$9)</f>
        <v>92.702500000000001</v>
      </c>
      <c r="M995" s="10">
        <f>CHOOSE(CONTROL!$C$42, 91.1009, 91.1009) * CHOOSE(CONTROL!$C$21, $C$9, 100%, $E$9)</f>
        <v>91.100899999999996</v>
      </c>
      <c r="N995" s="10">
        <f>CHOOSE(CONTROL!$C$42, 91.116, 91.116) * CHOOSE(CONTROL!$C$21, $C$9, 100%, $E$9)</f>
        <v>91.116</v>
      </c>
      <c r="O995" s="10">
        <f>CHOOSE(CONTROL!$C$42, 91.1997, 91.1997) * CHOOSE(CONTROL!$C$21, $C$9, 100%, $E$9)</f>
        <v>91.199700000000007</v>
      </c>
      <c r="P995" s="10">
        <f>CHOOSE(CONTROL!$C$42, 91.1246, 91.1246) * CHOOSE(CONTROL!$C$21, $C$9, 100%, $E$9)</f>
        <v>91.124600000000001</v>
      </c>
      <c r="Q995" s="10">
        <f>CHOOSE(CONTROL!$C$42, 91.795, 91.795) * CHOOSE(CONTROL!$C$21, $C$9, 100%, $E$9)</f>
        <v>91.795000000000002</v>
      </c>
      <c r="R995" s="10">
        <f>CHOOSE(CONTROL!$C$42, 92.6115, 92.6115) * CHOOSE(CONTROL!$C$21, $C$9, 100%, $E$9)</f>
        <v>92.611500000000007</v>
      </c>
      <c r="S995" s="10">
        <f>CHOOSE(CONTROL!$C$42, 89.3653, 89.3653) * CHOOSE(CONTROL!$C$21, $C$9, 100%, $E$9)</f>
        <v>89.365300000000005</v>
      </c>
      <c r="T9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57">
        <f>(1000*CHOOSE(CONTROL!$C$42, 695, 695)*CHOOSE(CONTROL!$C$42, 0.5599, 0.5599)*CHOOSE(CONTROL!$C$42, 30, 30))/1000000</f>
        <v>11.673914999999997</v>
      </c>
      <c r="V995" s="57">
        <f>(1000*CHOOSE(CONTROL!$C$42, 500, 500)*CHOOSE(CONTROL!$C$42, 0.275, 0.275)*CHOOSE(CONTROL!$C$42, 30, 30))/1000000</f>
        <v>4.125</v>
      </c>
      <c r="W995" s="57">
        <f>(1000*CHOOSE(CONTROL!$C$42, 0.1146, 0.1146)*CHOOSE(CONTROL!$C$42, 121.5, 121.5)*CHOOSE(CONTROL!$C$42, 30, 30))/1000000</f>
        <v>0.417717</v>
      </c>
      <c r="X995" s="57">
        <f>(30*0.1790888*100000/1000000)+(30*0.2374*100000/1000000)</f>
        <v>1.2494664</v>
      </c>
      <c r="Y995" s="57"/>
      <c r="Z995" s="10"/>
      <c r="AA995" s="56"/>
      <c r="AB995" s="50">
        <f>(B995*122.58+C995*297.941+D995*89.177+E995*40.302+F995*40+G995*160+H995*0+I995*100+J995*300)/(122.58+297.941+89.177+40.302+0+40+160+100+300)</f>
        <v>92.036360684434769</v>
      </c>
      <c r="AC995" s="45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91.14995899280575</v>
      </c>
    </row>
    <row r="996" spans="1:29" ht="15.75" x14ac:dyDescent="0.25">
      <c r="A996" s="13">
        <v>71224</v>
      </c>
      <c r="B996" s="10">
        <f>CHOOSE(CONTROL!$C$42, 98.3012, 98.3012) * CHOOSE(CONTROL!$C$21, $C$9, 100%, $E$9)</f>
        <v>98.301199999999994</v>
      </c>
      <c r="C996" s="10">
        <f>CHOOSE(CONTROL!$C$42, 98.3061, 98.3061) * CHOOSE(CONTROL!$C$21, $C$9, 100%, $E$9)</f>
        <v>98.306100000000001</v>
      </c>
      <c r="D996" s="10">
        <f>CHOOSE(CONTROL!$C$42, 98.3666, 98.3666) * CHOOSE(CONTROL!$C$21, $C$9, 100%, $E$9)</f>
        <v>98.366600000000005</v>
      </c>
      <c r="E996" s="10">
        <f>CHOOSE(CONTROL!$C$42, 98.4004, 98.4004) * CHOOSE(CONTROL!$C$21, $C$9, 100%, $E$9)</f>
        <v>98.400400000000005</v>
      </c>
      <c r="F996" s="10">
        <f>CHOOSE(CONTROL!$C$42, 98.2987, 98.2987)*CHOOSE(CONTROL!$C$21, $C$9, 100%, $E$9)</f>
        <v>98.298699999999997</v>
      </c>
      <c r="G996" s="10">
        <f>CHOOSE(CONTROL!$C$42, 98.3144, 98.3144)*CHOOSE(CONTROL!$C$21, $C$9, 100%, $E$9)</f>
        <v>98.314400000000006</v>
      </c>
      <c r="H996" s="10">
        <f>CHOOSE(CONTROL!$C$42, 98.3896, 98.3896) * CHOOSE(CONTROL!$C$21, $C$9, 100%, $E$9)</f>
        <v>98.389600000000002</v>
      </c>
      <c r="I996" s="10">
        <f>CHOOSE(CONTROL!$C$42, 98.3137, 98.3137)* CHOOSE(CONTROL!$C$21, $C$9, 100%, $E$9)</f>
        <v>98.313699999999997</v>
      </c>
      <c r="J996" s="10">
        <f>CHOOSE(CONTROL!$C$42, 98.2917, 98.2917)* CHOOSE(CONTROL!$C$21, $C$9, 100%, $E$9)</f>
        <v>98.291700000000006</v>
      </c>
      <c r="K996" s="53">
        <f>CHOOSE(CONTROL!$C$42, 98.3098, 98.3098) * CHOOSE(CONTROL!$C$21, $C$9, 100%, $E$9)</f>
        <v>98.309799999999996</v>
      </c>
      <c r="L996" s="10">
        <f>CHOOSE(CONTROL!$C$42, 98.9766, 98.9766) * CHOOSE(CONTROL!$C$21, $C$9, 100%, $E$9)</f>
        <v>98.976600000000005</v>
      </c>
      <c r="M996" s="10">
        <f>CHOOSE(CONTROL!$C$42, 97.3135, 97.3135) * CHOOSE(CONTROL!$C$21, $C$9, 100%, $E$9)</f>
        <v>97.313500000000005</v>
      </c>
      <c r="N996" s="10">
        <f>CHOOSE(CONTROL!$C$42, 97.3291, 97.3291) * CHOOSE(CONTROL!$C$21, $C$9, 100%, $E$9)</f>
        <v>97.329099999999997</v>
      </c>
      <c r="O996" s="10">
        <f>CHOOSE(CONTROL!$C$42, 97.4105, 97.4105) * CHOOSE(CONTROL!$C$21, $C$9, 100%, $E$9)</f>
        <v>97.410499999999999</v>
      </c>
      <c r="P996" s="10">
        <f>CHOOSE(CONTROL!$C$42, 97.3354, 97.3354) * CHOOSE(CONTROL!$C$21, $C$9, 100%, $E$9)</f>
        <v>97.335400000000007</v>
      </c>
      <c r="Q996" s="10">
        <f>CHOOSE(CONTROL!$C$42, 98.0058, 98.0058) * CHOOSE(CONTROL!$C$21, $C$9, 100%, $E$9)</f>
        <v>98.005799999999994</v>
      </c>
      <c r="R996" s="10">
        <f>CHOOSE(CONTROL!$C$42, 98.8378, 98.8378) * CHOOSE(CONTROL!$C$21, $C$9, 100%, $E$9)</f>
        <v>98.837800000000001</v>
      </c>
      <c r="S996" s="10">
        <f>CHOOSE(CONTROL!$C$42, 95.4582, 95.4582) * CHOOSE(CONTROL!$C$21, $C$9, 100%, $E$9)</f>
        <v>95.458200000000005</v>
      </c>
      <c r="T9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57">
        <f>(1000*CHOOSE(CONTROL!$C$42, 695, 695)*CHOOSE(CONTROL!$C$42, 0.5599, 0.5599)*CHOOSE(CONTROL!$C$42, 31, 31))/1000000</f>
        <v>12.063045499999998</v>
      </c>
      <c r="V996" s="57">
        <f>(1000*CHOOSE(CONTROL!$C$42, 500, 500)*CHOOSE(CONTROL!$C$42, 0.275, 0.275)*CHOOSE(CONTROL!$C$42, 31, 31))/1000000</f>
        <v>4.2625000000000002</v>
      </c>
      <c r="W996" s="57">
        <f>(1000*CHOOSE(CONTROL!$C$42, 0.1146, 0.1146)*CHOOSE(CONTROL!$C$42, 121.5, 121.5)*CHOOSE(CONTROL!$C$42, 31, 31))/1000000</f>
        <v>0.43164089999999994</v>
      </c>
      <c r="X996" s="57">
        <f>(31*0.1790888*100000/1000000)+(31*0.2374*100000/1000000)</f>
        <v>1.2911152800000001</v>
      </c>
      <c r="Y996" s="57"/>
      <c r="Z996" s="10"/>
      <c r="AA996" s="56"/>
      <c r="AB996" s="50">
        <f>(B996*122.58+C996*297.941+D996*89.177+E996*40.302+F996*40+G996*160+H996*0+I996*100+J996*300)/(122.58+297.941+89.177+40.302+0+40+160+100+300)</f>
        <v>98.311375691391291</v>
      </c>
      <c r="AC996" s="45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97.3615129496403</v>
      </c>
    </row>
    <row r="997" spans="1:29" ht="15.75" x14ac:dyDescent="0.25">
      <c r="A997" s="13">
        <v>71255</v>
      </c>
      <c r="B997" s="10">
        <f>CHOOSE(CONTROL!$C$42, 106.3555, 106.3555) * CHOOSE(CONTROL!$C$21, $C$9, 100%, $E$9)</f>
        <v>106.35550000000001</v>
      </c>
      <c r="C997" s="10">
        <f>CHOOSE(CONTROL!$C$42, 106.3604, 106.3604) * CHOOSE(CONTROL!$C$21, $C$9, 100%, $E$9)</f>
        <v>106.3604</v>
      </c>
      <c r="D997" s="10">
        <f>CHOOSE(CONTROL!$C$42, 106.4175, 106.4175) * CHOOSE(CONTROL!$C$21, $C$9, 100%, $E$9)</f>
        <v>106.4175</v>
      </c>
      <c r="E997" s="10">
        <f>CHOOSE(CONTROL!$C$42, 106.4513, 106.4513) * CHOOSE(CONTROL!$C$21, $C$9, 100%, $E$9)</f>
        <v>106.4513</v>
      </c>
      <c r="F997" s="10">
        <f>CHOOSE(CONTROL!$C$42, 106.3533, 106.3533)*CHOOSE(CONTROL!$C$21, $C$9, 100%, $E$9)</f>
        <v>106.3533</v>
      </c>
      <c r="G997" s="10">
        <f>CHOOSE(CONTROL!$C$42, 106.3679, 106.3679)*CHOOSE(CONTROL!$C$21, $C$9, 100%, $E$9)</f>
        <v>106.36790000000001</v>
      </c>
      <c r="H997" s="10">
        <f>CHOOSE(CONTROL!$C$42, 106.4405, 106.4405) * CHOOSE(CONTROL!$C$21, $C$9, 100%, $E$9)</f>
        <v>106.4405</v>
      </c>
      <c r="I997" s="10">
        <f>CHOOSE(CONTROL!$C$42, 106.3663, 106.3663)* CHOOSE(CONTROL!$C$21, $C$9, 100%, $E$9)</f>
        <v>106.3663</v>
      </c>
      <c r="J997" s="10">
        <f>CHOOSE(CONTROL!$C$42, 106.3463, 106.3463)* CHOOSE(CONTROL!$C$21, $C$9, 100%, $E$9)</f>
        <v>106.3463</v>
      </c>
      <c r="K997" s="53">
        <f>CHOOSE(CONTROL!$C$42, 106.3624, 106.3624) * CHOOSE(CONTROL!$C$21, $C$9, 100%, $E$9)</f>
        <v>106.36239999999999</v>
      </c>
      <c r="L997" s="10">
        <f>CHOOSE(CONTROL!$C$42, 107.0275, 107.0275) * CHOOSE(CONTROL!$C$21, $C$9, 100%, $E$9)</f>
        <v>107.0275</v>
      </c>
      <c r="M997" s="10">
        <f>CHOOSE(CONTROL!$C$42, 105.2869, 105.2869) * CHOOSE(CONTROL!$C$21, $C$9, 100%, $E$9)</f>
        <v>105.2869</v>
      </c>
      <c r="N997" s="10">
        <f>CHOOSE(CONTROL!$C$42, 105.3014, 105.3014) * CHOOSE(CONTROL!$C$21, $C$9, 100%, $E$9)</f>
        <v>105.3014</v>
      </c>
      <c r="O997" s="10">
        <f>CHOOSE(CONTROL!$C$42, 105.3801, 105.3801) * CHOOSE(CONTROL!$C$21, $C$9, 100%, $E$9)</f>
        <v>105.3801</v>
      </c>
      <c r="P997" s="10">
        <f>CHOOSE(CONTROL!$C$42, 105.3067, 105.3067) * CHOOSE(CONTROL!$C$21, $C$9, 100%, $E$9)</f>
        <v>105.30670000000001</v>
      </c>
      <c r="Q997" s="10">
        <f>CHOOSE(CONTROL!$C$42, 105.9754, 105.9754) * CHOOSE(CONTROL!$C$21, $C$9, 100%, $E$9)</f>
        <v>105.97539999999999</v>
      </c>
      <c r="R997" s="10">
        <f>CHOOSE(CONTROL!$C$42, 106.8273, 106.8273) * CHOOSE(CONTROL!$C$21, $C$9, 100%, $E$9)</f>
        <v>106.82729999999999</v>
      </c>
      <c r="S997" s="10">
        <f>CHOOSE(CONTROL!$C$42, 103.2796, 103.2796) * CHOOSE(CONTROL!$C$21, $C$9, 100%, $E$9)</f>
        <v>103.2796</v>
      </c>
      <c r="T9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57">
        <f>(1000*CHOOSE(CONTROL!$C$42, 695, 695)*CHOOSE(CONTROL!$C$42, 0.5599, 0.5599)*CHOOSE(CONTROL!$C$42, 31, 31))/1000000</f>
        <v>12.063045499999998</v>
      </c>
      <c r="V997" s="57">
        <f>(1000*CHOOSE(CONTROL!$C$42, 500, 500)*CHOOSE(CONTROL!$C$42, 0.275, 0.275)*CHOOSE(CONTROL!$C$42, 31, 31))/1000000</f>
        <v>4.2625000000000002</v>
      </c>
      <c r="W997" s="57">
        <f>(1000*CHOOSE(CONTROL!$C$42, 0.1146, 0.1146)*CHOOSE(CONTROL!$C$42, 121.5, 121.5)*CHOOSE(CONTROL!$C$42, 31, 31))/1000000</f>
        <v>0.43164089999999994</v>
      </c>
      <c r="X997" s="57">
        <f>(31*0.1790888*100000/1000000)+(31*0.2374*100000/1000000)</f>
        <v>1.2911152800000001</v>
      </c>
      <c r="Y997" s="57"/>
      <c r="Z997" s="10"/>
      <c r="AA997" s="56"/>
      <c r="AB997" s="50">
        <f>(B997*122.58+C997*297.941+D997*89.177+E997*40.302+F997*40+G997*160+H997*0+I997*100+J997*300)/(122.58+297.941+89.177+40.302+0+40+160+100+300)</f>
        <v>106.36512244913044</v>
      </c>
      <c r="AC997" s="45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105.33282517985612</v>
      </c>
    </row>
    <row r="998" spans="1:29" ht="15.75" x14ac:dyDescent="0.25">
      <c r="A998" s="13">
        <v>71283</v>
      </c>
      <c r="B998" s="10">
        <f>CHOOSE(CONTROL!$C$42, 108.2487, 108.2487) * CHOOSE(CONTROL!$C$21, $C$9, 100%, $E$9)</f>
        <v>108.2487</v>
      </c>
      <c r="C998" s="10">
        <f>CHOOSE(CONTROL!$C$42, 108.2536, 108.2536) * CHOOSE(CONTROL!$C$21, $C$9, 100%, $E$9)</f>
        <v>108.25360000000001</v>
      </c>
      <c r="D998" s="10">
        <f>CHOOSE(CONTROL!$C$42, 108.3107, 108.3107) * CHOOSE(CONTROL!$C$21, $C$9, 100%, $E$9)</f>
        <v>108.3107</v>
      </c>
      <c r="E998" s="10">
        <f>CHOOSE(CONTROL!$C$42, 108.3445, 108.3445) * CHOOSE(CONTROL!$C$21, $C$9, 100%, $E$9)</f>
        <v>108.3445</v>
      </c>
      <c r="F998" s="10">
        <f>CHOOSE(CONTROL!$C$42, 108.2466, 108.2466)*CHOOSE(CONTROL!$C$21, $C$9, 100%, $E$9)</f>
        <v>108.2466</v>
      </c>
      <c r="G998" s="10">
        <f>CHOOSE(CONTROL!$C$42, 108.2613, 108.2613)*CHOOSE(CONTROL!$C$21, $C$9, 100%, $E$9)</f>
        <v>108.26130000000001</v>
      </c>
      <c r="H998" s="10">
        <f>CHOOSE(CONTROL!$C$42, 108.3337, 108.3337) * CHOOSE(CONTROL!$C$21, $C$9, 100%, $E$9)</f>
        <v>108.33369999999999</v>
      </c>
      <c r="I998" s="10">
        <f>CHOOSE(CONTROL!$C$42, 108.2595, 108.2595)* CHOOSE(CONTROL!$C$21, $C$9, 100%, $E$9)</f>
        <v>108.2595</v>
      </c>
      <c r="J998" s="10">
        <f>CHOOSE(CONTROL!$C$42, 108.2396, 108.2396)* CHOOSE(CONTROL!$C$21, $C$9, 100%, $E$9)</f>
        <v>108.2396</v>
      </c>
      <c r="K998" s="53">
        <f>CHOOSE(CONTROL!$C$42, 108.2556, 108.2556) * CHOOSE(CONTROL!$C$21, $C$9, 100%, $E$9)</f>
        <v>108.2556</v>
      </c>
      <c r="L998" s="10">
        <f>CHOOSE(CONTROL!$C$42, 108.9207, 108.9207) * CHOOSE(CONTROL!$C$21, $C$9, 100%, $E$9)</f>
        <v>108.9207</v>
      </c>
      <c r="M998" s="10">
        <f>CHOOSE(CONTROL!$C$42, 107.1611, 107.1611) * CHOOSE(CONTROL!$C$21, $C$9, 100%, $E$9)</f>
        <v>107.1611</v>
      </c>
      <c r="N998" s="10">
        <f>CHOOSE(CONTROL!$C$42, 107.1756, 107.1756) * CHOOSE(CONTROL!$C$21, $C$9, 100%, $E$9)</f>
        <v>107.1756</v>
      </c>
      <c r="O998" s="10">
        <f>CHOOSE(CONTROL!$C$42, 107.2542, 107.2542) * CHOOSE(CONTROL!$C$21, $C$9, 100%, $E$9)</f>
        <v>107.2542</v>
      </c>
      <c r="P998" s="10">
        <f>CHOOSE(CONTROL!$C$42, 107.1808, 107.1808) * CHOOSE(CONTROL!$C$21, $C$9, 100%, $E$9)</f>
        <v>107.1808</v>
      </c>
      <c r="Q998" s="10">
        <f>CHOOSE(CONTROL!$C$42, 107.8495, 107.8495) * CHOOSE(CONTROL!$C$21, $C$9, 100%, $E$9)</f>
        <v>107.84950000000001</v>
      </c>
      <c r="R998" s="10">
        <f>CHOOSE(CONTROL!$C$42, 108.7062, 108.7062) * CHOOSE(CONTROL!$C$21, $C$9, 100%, $E$9)</f>
        <v>108.7062</v>
      </c>
      <c r="S998" s="10">
        <f>CHOOSE(CONTROL!$C$42, 105.1182, 105.1182) * CHOOSE(CONTROL!$C$21, $C$9, 100%, $E$9)</f>
        <v>105.1182</v>
      </c>
      <c r="T9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98" s="57">
        <f>(1000*CHOOSE(CONTROL!$C$42, 695, 695)*CHOOSE(CONTROL!$C$42, 0.5599, 0.5599)*CHOOSE(CONTROL!$C$42, 28, 28))/1000000</f>
        <v>10.895653999999999</v>
      </c>
      <c r="V998" s="57">
        <f>(1000*CHOOSE(CONTROL!$C$42, 500, 500)*CHOOSE(CONTROL!$C$42, 0.275, 0.275)*CHOOSE(CONTROL!$C$42, 28, 28))/1000000</f>
        <v>3.85</v>
      </c>
      <c r="W998" s="57">
        <f>(1000*CHOOSE(CONTROL!$C$42, 0.1146, 0.1146)*CHOOSE(CONTROL!$C$42, 121.5, 121.5)*CHOOSE(CONTROL!$C$42, 28, 28))/1000000</f>
        <v>0.38986920000000003</v>
      </c>
      <c r="X998" s="57">
        <f>(28*0.1790888*100000/1000000)+(28*0.2374*100000/1000000)</f>
        <v>1.16616864</v>
      </c>
      <c r="Y998" s="57"/>
      <c r="Z998" s="10"/>
      <c r="AA998" s="56"/>
      <c r="AB998" s="50">
        <f>(B998*122.58+C998*297.941+D998*89.177+E998*40.302+F998*40+G998*160+H998*0+I998*100+J998*300)/(122.58+297.941+89.177+40.302+0+40+160+100+300)</f>
        <v>108.25837984043477</v>
      </c>
      <c r="AC998" s="45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107.20696546762591</v>
      </c>
    </row>
    <row r="999" spans="1:29" ht="15.75" x14ac:dyDescent="0.25">
      <c r="A999" s="13">
        <v>71314</v>
      </c>
      <c r="B999" s="10">
        <f>CHOOSE(CONTROL!$C$42, 105.1755, 105.1755) * CHOOSE(CONTROL!$C$21, $C$9, 100%, $E$9)</f>
        <v>105.1755</v>
      </c>
      <c r="C999" s="10">
        <f>CHOOSE(CONTROL!$C$42, 105.1805, 105.1805) * CHOOSE(CONTROL!$C$21, $C$9, 100%, $E$9)</f>
        <v>105.18049999999999</v>
      </c>
      <c r="D999" s="10">
        <f>CHOOSE(CONTROL!$C$42, 105.2375, 105.2375) * CHOOSE(CONTROL!$C$21, $C$9, 100%, $E$9)</f>
        <v>105.2375</v>
      </c>
      <c r="E999" s="10">
        <f>CHOOSE(CONTROL!$C$42, 105.2713, 105.2713) * CHOOSE(CONTROL!$C$21, $C$9, 100%, $E$9)</f>
        <v>105.2713</v>
      </c>
      <c r="F999" s="10">
        <f>CHOOSE(CONTROL!$C$42, 105.1733, 105.1733)*CHOOSE(CONTROL!$C$21, $C$9, 100%, $E$9)</f>
        <v>105.1733</v>
      </c>
      <c r="G999" s="10">
        <f>CHOOSE(CONTROL!$C$42, 105.1879, 105.1879)*CHOOSE(CONTROL!$C$21, $C$9, 100%, $E$9)</f>
        <v>105.1879</v>
      </c>
      <c r="H999" s="10">
        <f>CHOOSE(CONTROL!$C$42, 105.2605, 105.2605) * CHOOSE(CONTROL!$C$21, $C$9, 100%, $E$9)</f>
        <v>105.26049999999999</v>
      </c>
      <c r="I999" s="10">
        <f>CHOOSE(CONTROL!$C$42, 105.1863, 105.1863)* CHOOSE(CONTROL!$C$21, $C$9, 100%, $E$9)</f>
        <v>105.1863</v>
      </c>
      <c r="J999" s="10">
        <f>CHOOSE(CONTROL!$C$42, 105.1663, 105.1663)* CHOOSE(CONTROL!$C$21, $C$9, 100%, $E$9)</f>
        <v>105.16630000000001</v>
      </c>
      <c r="K999" s="53">
        <f>CHOOSE(CONTROL!$C$42, 105.1824, 105.1824) * CHOOSE(CONTROL!$C$21, $C$9, 100%, $E$9)</f>
        <v>105.1824</v>
      </c>
      <c r="L999" s="10">
        <f>CHOOSE(CONTROL!$C$42, 105.8475, 105.8475) * CHOOSE(CONTROL!$C$21, $C$9, 100%, $E$9)</f>
        <v>105.8475</v>
      </c>
      <c r="M999" s="10">
        <f>CHOOSE(CONTROL!$C$42, 104.1188, 104.1188) * CHOOSE(CONTROL!$C$21, $C$9, 100%, $E$9)</f>
        <v>104.11879999999999</v>
      </c>
      <c r="N999" s="10">
        <f>CHOOSE(CONTROL!$C$42, 104.1333, 104.1333) * CHOOSE(CONTROL!$C$21, $C$9, 100%, $E$9)</f>
        <v>104.13330000000001</v>
      </c>
      <c r="O999" s="10">
        <f>CHOOSE(CONTROL!$C$42, 104.2121, 104.2121) * CHOOSE(CONTROL!$C$21, $C$9, 100%, $E$9)</f>
        <v>104.21210000000001</v>
      </c>
      <c r="P999" s="10">
        <f>CHOOSE(CONTROL!$C$42, 104.1387, 104.1387) * CHOOSE(CONTROL!$C$21, $C$9, 100%, $E$9)</f>
        <v>104.1387</v>
      </c>
      <c r="Q999" s="10">
        <f>CHOOSE(CONTROL!$C$42, 104.8074, 104.8074) * CHOOSE(CONTROL!$C$21, $C$9, 100%, $E$9)</f>
        <v>104.8074</v>
      </c>
      <c r="R999" s="10">
        <f>CHOOSE(CONTROL!$C$42, 105.6564, 105.6564) * CHOOSE(CONTROL!$C$21, $C$9, 100%, $E$9)</f>
        <v>105.6564</v>
      </c>
      <c r="S999" s="10">
        <f>CHOOSE(CONTROL!$C$42, 102.1338, 102.1338) * CHOOSE(CONTROL!$C$21, $C$9, 100%, $E$9)</f>
        <v>102.13379999999999</v>
      </c>
      <c r="T9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57">
        <f>(1000*CHOOSE(CONTROL!$C$42, 695, 695)*CHOOSE(CONTROL!$C$42, 0.5599, 0.5599)*CHOOSE(CONTROL!$C$42, 31, 31))/1000000</f>
        <v>12.063045499999998</v>
      </c>
      <c r="V999" s="57">
        <f>(1000*CHOOSE(CONTROL!$C$42, 500, 500)*CHOOSE(CONTROL!$C$42, 0.275, 0.275)*CHOOSE(CONTROL!$C$42, 31, 31))/1000000</f>
        <v>4.2625000000000002</v>
      </c>
      <c r="W999" s="57">
        <f>(1000*CHOOSE(CONTROL!$C$42, 0.1146, 0.1146)*CHOOSE(CONTROL!$C$42, 121.5, 121.5)*CHOOSE(CONTROL!$C$42, 31, 31))/1000000</f>
        <v>0.43164089999999994</v>
      </c>
      <c r="X999" s="57">
        <f>(31*0.1790888*100000/1000000)+(31*0.2374*100000/1000000)</f>
        <v>1.2911152800000001</v>
      </c>
      <c r="Y999" s="57"/>
      <c r="Z999" s="10"/>
      <c r="AA999" s="56"/>
      <c r="AB999" s="50">
        <f>(B999*122.58+C999*297.941+D999*89.177+E999*40.302+F999*40+G999*160+H999*0+I999*100+J999*300)/(122.58+297.941+89.177+40.302+0+40+160+100+300)</f>
        <v>105.18514835704349</v>
      </c>
      <c r="AC999" s="45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104.16478489208633</v>
      </c>
    </row>
    <row r="1000" spans="1:29" ht="15.75" x14ac:dyDescent="0.25">
      <c r="A1000" s="13">
        <v>71344</v>
      </c>
      <c r="B1000" s="10">
        <f>CHOOSE(CONTROL!$C$42, 104.8618, 104.8618) * CHOOSE(CONTROL!$C$21, $C$9, 100%, $E$9)</f>
        <v>104.8618</v>
      </c>
      <c r="C1000" s="10">
        <f>CHOOSE(CONTROL!$C$42, 104.8661, 104.8661) * CHOOSE(CONTROL!$C$21, $C$9, 100%, $E$9)</f>
        <v>104.8661</v>
      </c>
      <c r="D1000" s="10">
        <f>CHOOSE(CONTROL!$C$42, 105.072, 105.072) * CHOOSE(CONTROL!$C$21, $C$9, 100%, $E$9)</f>
        <v>105.072</v>
      </c>
      <c r="E1000" s="10">
        <f>CHOOSE(CONTROL!$C$42, 105.1038, 105.1038) * CHOOSE(CONTROL!$C$21, $C$9, 100%, $E$9)</f>
        <v>105.10380000000001</v>
      </c>
      <c r="F1000" s="10">
        <f>CHOOSE(CONTROL!$C$42, 104.8385, 104.8385)*CHOOSE(CONTROL!$C$21, $C$9, 100%, $E$9)</f>
        <v>104.8385</v>
      </c>
      <c r="G1000" s="10">
        <f>CHOOSE(CONTROL!$C$42, 104.8531, 104.8531)*CHOOSE(CONTROL!$C$21, $C$9, 100%, $E$9)</f>
        <v>104.8531</v>
      </c>
      <c r="H1000" s="10">
        <f>CHOOSE(CONTROL!$C$42, 105.0936, 105.0936) * CHOOSE(CONTROL!$C$21, $C$9, 100%, $E$9)</f>
        <v>105.0936</v>
      </c>
      <c r="I1000" s="10">
        <f>CHOOSE(CONTROL!$C$42, 104.8632, 104.8632)* CHOOSE(CONTROL!$C$21, $C$9, 100%, $E$9)</f>
        <v>104.86320000000001</v>
      </c>
      <c r="J1000" s="10">
        <f>CHOOSE(CONTROL!$C$42, 104.8315, 104.8315)* CHOOSE(CONTROL!$C$21, $C$9, 100%, $E$9)</f>
        <v>104.83150000000001</v>
      </c>
      <c r="K1000" s="53">
        <f>CHOOSE(CONTROL!$C$42, 104.8593, 104.8593) * CHOOSE(CONTROL!$C$21, $C$9, 100%, $E$9)</f>
        <v>104.8593</v>
      </c>
      <c r="L1000" s="10">
        <f>CHOOSE(CONTROL!$C$42, 105.6806, 105.6806) * CHOOSE(CONTROL!$C$21, $C$9, 100%, $E$9)</f>
        <v>105.6806</v>
      </c>
      <c r="M1000" s="10">
        <f>CHOOSE(CONTROL!$C$42, 103.7874, 103.7874) * CHOOSE(CONTROL!$C$21, $C$9, 100%, $E$9)</f>
        <v>103.78740000000001</v>
      </c>
      <c r="N1000" s="10">
        <f>CHOOSE(CONTROL!$C$42, 103.8018, 103.8018) * CHOOSE(CONTROL!$C$21, $C$9, 100%, $E$9)</f>
        <v>103.8018</v>
      </c>
      <c r="O1000" s="10">
        <f>CHOOSE(CONTROL!$C$42, 104.0468, 104.0468) * CHOOSE(CONTROL!$C$21, $C$9, 100%, $E$9)</f>
        <v>104.0468</v>
      </c>
      <c r="P1000" s="10">
        <f>CHOOSE(CONTROL!$C$42, 103.8188, 103.8188) * CHOOSE(CONTROL!$C$21, $C$9, 100%, $E$9)</f>
        <v>103.8188</v>
      </c>
      <c r="Q1000" s="10">
        <f>CHOOSE(CONTROL!$C$42, 104.6421, 104.6421) * CHOOSE(CONTROL!$C$21, $C$9, 100%, $E$9)</f>
        <v>104.6421</v>
      </c>
      <c r="R1000" s="10">
        <f>CHOOSE(CONTROL!$C$42, 105.4907, 105.4907) * CHOOSE(CONTROL!$C$21, $C$9, 100%, $E$9)</f>
        <v>105.4907</v>
      </c>
      <c r="S1000" s="10">
        <f>CHOOSE(CONTROL!$C$42, 101.8284, 101.8284) * CHOOSE(CONTROL!$C$21, $C$9, 100%, $E$9)</f>
        <v>101.8284</v>
      </c>
      <c r="T10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57">
        <f>(1000*CHOOSE(CONTROL!$C$42, 695, 695)*CHOOSE(CONTROL!$C$42, 0.5599, 0.5599)*CHOOSE(CONTROL!$C$42, 30, 30))/1000000</f>
        <v>11.673914999999997</v>
      </c>
      <c r="V1000" s="57">
        <f>(1000*CHOOSE(CONTROL!$C$42, 500, 500)*CHOOSE(CONTROL!$C$42, 0.275, 0.275)*CHOOSE(CONTROL!$C$42, 30, 30))/1000000</f>
        <v>4.125</v>
      </c>
      <c r="W1000" s="57">
        <f>(1000*CHOOSE(CONTROL!$C$42, 0.1146, 0.1146)*CHOOSE(CONTROL!$C$42, 121.5, 121.5)*CHOOSE(CONTROL!$C$42, 30, 30))/1000000</f>
        <v>0.417717</v>
      </c>
      <c r="X1000" s="57">
        <f>(30*0.1790888*245000/1000000)+(30*0.2374*100000/1000000)</f>
        <v>2.0285026799999999</v>
      </c>
      <c r="Y1000" s="57"/>
      <c r="Z1000" s="10"/>
      <c r="AA1000" s="56"/>
      <c r="AB1000" s="50">
        <f>(B1000*141.293+C1000*267.993+D1000*115.016+E1000*89.698+F1000*40+G1000*185+H1000*0+I1000*100+J1000*300)/(141.293+267.993+115.016+89.698+0+40+185+100+300)</f>
        <v>104.89048777167071</v>
      </c>
      <c r="AC1000" s="45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103.91031654676259</v>
      </c>
    </row>
    <row r="1001" spans="1:29" ht="15.75" x14ac:dyDescent="0.25">
      <c r="A1001" s="13">
        <v>71375</v>
      </c>
      <c r="B1001" s="10">
        <f>CHOOSE(CONTROL!$C$42, 105.7887, 105.7887) * CHOOSE(CONTROL!$C$21, $C$9, 100%, $E$9)</f>
        <v>105.78870000000001</v>
      </c>
      <c r="C1001" s="10">
        <f>CHOOSE(CONTROL!$C$42, 105.7966, 105.7966) * CHOOSE(CONTROL!$C$21, $C$9, 100%, $E$9)</f>
        <v>105.7966</v>
      </c>
      <c r="D1001" s="10">
        <f>CHOOSE(CONTROL!$C$42, 105.9993, 105.9993) * CHOOSE(CONTROL!$C$21, $C$9, 100%, $E$9)</f>
        <v>105.99930000000001</v>
      </c>
      <c r="E1001" s="10">
        <f>CHOOSE(CONTROL!$C$42, 106.0304, 106.0304) * CHOOSE(CONTROL!$C$21, $C$9, 100%, $E$9)</f>
        <v>106.0304</v>
      </c>
      <c r="F1001" s="10">
        <f>CHOOSE(CONTROL!$C$42, 105.7644, 105.7644)*CHOOSE(CONTROL!$C$21, $C$9, 100%, $E$9)</f>
        <v>105.76439999999999</v>
      </c>
      <c r="G1001" s="10">
        <f>CHOOSE(CONTROL!$C$42, 105.7794, 105.7794)*CHOOSE(CONTROL!$C$21, $C$9, 100%, $E$9)</f>
        <v>105.7794</v>
      </c>
      <c r="H1001" s="10">
        <f>CHOOSE(CONTROL!$C$42, 106.0191, 106.0191) * CHOOSE(CONTROL!$C$21, $C$9, 100%, $E$9)</f>
        <v>106.01909999999999</v>
      </c>
      <c r="I1001" s="10">
        <f>CHOOSE(CONTROL!$C$42, 105.7887, 105.7887)* CHOOSE(CONTROL!$C$21, $C$9, 100%, $E$9)</f>
        <v>105.78870000000001</v>
      </c>
      <c r="J1001" s="10">
        <f>CHOOSE(CONTROL!$C$42, 105.7574, 105.7574)* CHOOSE(CONTROL!$C$21, $C$9, 100%, $E$9)</f>
        <v>105.7574</v>
      </c>
      <c r="K1001" s="53">
        <f>CHOOSE(CONTROL!$C$42, 105.7848, 105.7848) * CHOOSE(CONTROL!$C$21, $C$9, 100%, $E$9)</f>
        <v>105.7848</v>
      </c>
      <c r="L1001" s="10">
        <f>CHOOSE(CONTROL!$C$42, 106.6061, 106.6061) * CHOOSE(CONTROL!$C$21, $C$9, 100%, $E$9)</f>
        <v>106.6061</v>
      </c>
      <c r="M1001" s="10">
        <f>CHOOSE(CONTROL!$C$42, 104.7039, 104.7039) * CHOOSE(CONTROL!$C$21, $C$9, 100%, $E$9)</f>
        <v>104.7039</v>
      </c>
      <c r="N1001" s="10">
        <f>CHOOSE(CONTROL!$C$42, 104.7188, 104.7188) * CHOOSE(CONTROL!$C$21, $C$9, 100%, $E$9)</f>
        <v>104.7188</v>
      </c>
      <c r="O1001" s="10">
        <f>CHOOSE(CONTROL!$C$42, 104.963, 104.963) * CHOOSE(CONTROL!$C$21, $C$9, 100%, $E$9)</f>
        <v>104.96299999999999</v>
      </c>
      <c r="P1001" s="10">
        <f>CHOOSE(CONTROL!$C$42, 104.735, 104.735) * CHOOSE(CONTROL!$C$21, $C$9, 100%, $E$9)</f>
        <v>104.735</v>
      </c>
      <c r="Q1001" s="10">
        <f>CHOOSE(CONTROL!$C$42, 105.5583, 105.5583) * CHOOSE(CONTROL!$C$21, $C$9, 100%, $E$9)</f>
        <v>105.5583</v>
      </c>
      <c r="R1001" s="10">
        <f>CHOOSE(CONTROL!$C$42, 106.4092, 106.4092) * CHOOSE(CONTROL!$C$21, $C$9, 100%, $E$9)</f>
        <v>106.4092</v>
      </c>
      <c r="S1001" s="10">
        <f>CHOOSE(CONTROL!$C$42, 102.7271, 102.7271) * CHOOSE(CONTROL!$C$21, $C$9, 100%, $E$9)</f>
        <v>102.72709999999999</v>
      </c>
      <c r="T10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57">
        <f>(1000*CHOOSE(CONTROL!$C$42, 695, 695)*CHOOSE(CONTROL!$C$42, 0.5599, 0.5599)*CHOOSE(CONTROL!$C$42, 31, 31))/1000000</f>
        <v>12.063045499999998</v>
      </c>
      <c r="V1001" s="57">
        <f>(1000*CHOOSE(CONTROL!$C$42, 500, 500)*CHOOSE(CONTROL!$C$42, 0.275, 0.275)*CHOOSE(CONTROL!$C$42, 31, 31))/1000000</f>
        <v>4.2625000000000002</v>
      </c>
      <c r="W1001" s="57">
        <f>(1000*CHOOSE(CONTROL!$C$42, 0.1146, 0.1146)*CHOOSE(CONTROL!$C$42, 121.5, 121.5)*CHOOSE(CONTROL!$C$42, 31, 31))/1000000</f>
        <v>0.43164089999999994</v>
      </c>
      <c r="X1001" s="57">
        <f>(31*0.1790888*245000/1000000)+(31*0.2374*100000/1000000)</f>
        <v>2.0961194359999999</v>
      </c>
      <c r="Y1001" s="57"/>
      <c r="Z1001" s="10"/>
      <c r="AA1001" s="56"/>
      <c r="AB1001" s="50">
        <f>(B1001*194.205+C1001*267.466+D1001*133.845+E1001*53.484+F1001*40+G1001*185+H1001*0+I1001*100+J1001*300)/(194.205+267.466+133.845+53.484+0+40+185+100+300)</f>
        <v>105.81314687692308</v>
      </c>
      <c r="AC1001" s="45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104.82666618705035</v>
      </c>
    </row>
    <row r="1002" spans="1:29" ht="15.75" x14ac:dyDescent="0.25">
      <c r="A1002" s="13">
        <v>71405</v>
      </c>
      <c r="B1002" s="10">
        <f>CHOOSE(CONTROL!$C$42, 108.7894, 108.7894) * CHOOSE(CONTROL!$C$21, $C$9, 100%, $E$9)</f>
        <v>108.7894</v>
      </c>
      <c r="C1002" s="10">
        <f>CHOOSE(CONTROL!$C$42, 108.7973, 108.7973) * CHOOSE(CONTROL!$C$21, $C$9, 100%, $E$9)</f>
        <v>108.79730000000001</v>
      </c>
      <c r="D1002" s="10">
        <f>CHOOSE(CONTROL!$C$42, 109, 109) * CHOOSE(CONTROL!$C$21, $C$9, 100%, $E$9)</f>
        <v>109</v>
      </c>
      <c r="E1002" s="10">
        <f>CHOOSE(CONTROL!$C$42, 109.0311, 109.0311) * CHOOSE(CONTROL!$C$21, $C$9, 100%, $E$9)</f>
        <v>109.0311</v>
      </c>
      <c r="F1002" s="10">
        <f>CHOOSE(CONTROL!$C$42, 108.7656, 108.7656)*CHOOSE(CONTROL!$C$21, $C$9, 100%, $E$9)</f>
        <v>108.76560000000001</v>
      </c>
      <c r="G1002" s="10">
        <f>CHOOSE(CONTROL!$C$42, 108.7807, 108.7807)*CHOOSE(CONTROL!$C$21, $C$9, 100%, $E$9)</f>
        <v>108.7807</v>
      </c>
      <c r="H1002" s="10">
        <f>CHOOSE(CONTROL!$C$42, 109.0198, 109.0198) * CHOOSE(CONTROL!$C$21, $C$9, 100%, $E$9)</f>
        <v>109.0198</v>
      </c>
      <c r="I1002" s="10">
        <f>CHOOSE(CONTROL!$C$42, 108.7894, 108.7894)* CHOOSE(CONTROL!$C$21, $C$9, 100%, $E$9)</f>
        <v>108.7894</v>
      </c>
      <c r="J1002" s="10">
        <f>CHOOSE(CONTROL!$C$42, 108.7586, 108.7586)* CHOOSE(CONTROL!$C$21, $C$9, 100%, $E$9)</f>
        <v>108.7586</v>
      </c>
      <c r="K1002" s="53">
        <f>CHOOSE(CONTROL!$C$42, 108.7855, 108.7855) * CHOOSE(CONTROL!$C$21, $C$9, 100%, $E$9)</f>
        <v>108.7855</v>
      </c>
      <c r="L1002" s="10">
        <f>CHOOSE(CONTROL!$C$42, 109.6068, 109.6068) * CHOOSE(CONTROL!$C$21, $C$9, 100%, $E$9)</f>
        <v>109.60680000000001</v>
      </c>
      <c r="M1002" s="10">
        <f>CHOOSE(CONTROL!$C$42, 107.6749, 107.6749) * CHOOSE(CONTROL!$C$21, $C$9, 100%, $E$9)</f>
        <v>107.67489999999999</v>
      </c>
      <c r="N1002" s="10">
        <f>CHOOSE(CONTROL!$C$42, 107.6898, 107.6898) * CHOOSE(CONTROL!$C$21, $C$9, 100%, $E$9)</f>
        <v>107.68980000000001</v>
      </c>
      <c r="O1002" s="10">
        <f>CHOOSE(CONTROL!$C$42, 107.9334, 107.9334) * CHOOSE(CONTROL!$C$21, $C$9, 100%, $E$9)</f>
        <v>107.93340000000001</v>
      </c>
      <c r="P1002" s="10">
        <f>CHOOSE(CONTROL!$C$42, 107.7054, 107.7054) * CHOOSE(CONTROL!$C$21, $C$9, 100%, $E$9)</f>
        <v>107.7054</v>
      </c>
      <c r="Q1002" s="10">
        <f>CHOOSE(CONTROL!$C$42, 108.5287, 108.5287) * CHOOSE(CONTROL!$C$21, $C$9, 100%, $E$9)</f>
        <v>108.5287</v>
      </c>
      <c r="R1002" s="10">
        <f>CHOOSE(CONTROL!$C$42, 109.387, 109.387) * CHOOSE(CONTROL!$C$21, $C$9, 100%, $E$9)</f>
        <v>109.387</v>
      </c>
      <c r="S1002" s="10">
        <f>CHOOSE(CONTROL!$C$42, 105.6411, 105.6411) * CHOOSE(CONTROL!$C$21, $C$9, 100%, $E$9)</f>
        <v>105.64109999999999</v>
      </c>
      <c r="T10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57">
        <f>(1000*CHOOSE(CONTROL!$C$42, 695, 695)*CHOOSE(CONTROL!$C$42, 0.5599, 0.5599)*CHOOSE(CONTROL!$C$42, 30, 30))/1000000</f>
        <v>11.673914999999997</v>
      </c>
      <c r="V1002" s="57">
        <f>(1000*CHOOSE(CONTROL!$C$42, 500, 500)*CHOOSE(CONTROL!$C$42, 0.275, 0.275)*CHOOSE(CONTROL!$C$42, 30, 30))/1000000</f>
        <v>4.125</v>
      </c>
      <c r="W1002" s="57">
        <f>(1000*CHOOSE(CONTROL!$C$42, 0.1146, 0.1146)*CHOOSE(CONTROL!$C$42, 121.5, 121.5)*CHOOSE(CONTROL!$C$42, 30, 30))/1000000</f>
        <v>0.417717</v>
      </c>
      <c r="X1002" s="57">
        <f>(30*0.1790888*245000/1000000)+(30*0.2374*100000/1000000)</f>
        <v>2.0285026799999999</v>
      </c>
      <c r="Y1002" s="57"/>
      <c r="Z1002" s="10"/>
      <c r="AA1002" s="56"/>
      <c r="AB1002" s="50">
        <f>(B1002*194.205+C1002*267.466+D1002*133.845+E1002*53.484+F1002*40+G1002*185+H1002*0+I1002*100+J1002*300)/(194.205+267.466+133.845+53.484+0+40+185+100+300)</f>
        <v>108.81406744207223</v>
      </c>
      <c r="AC1002" s="45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107.79730791366907</v>
      </c>
    </row>
    <row r="1003" spans="1:29" ht="15.75" x14ac:dyDescent="0.25">
      <c r="A1003" s="13">
        <v>71436</v>
      </c>
      <c r="B1003" s="10">
        <f>CHOOSE(CONTROL!$C$42, 106.7024, 106.7024) * CHOOSE(CONTROL!$C$21, $C$9, 100%, $E$9)</f>
        <v>106.7024</v>
      </c>
      <c r="C1003" s="10">
        <f>CHOOSE(CONTROL!$C$42, 106.7103, 106.7103) * CHOOSE(CONTROL!$C$21, $C$9, 100%, $E$9)</f>
        <v>106.7103</v>
      </c>
      <c r="D1003" s="10">
        <f>CHOOSE(CONTROL!$C$42, 106.913, 106.913) * CHOOSE(CONTROL!$C$21, $C$9, 100%, $E$9)</f>
        <v>106.913</v>
      </c>
      <c r="E1003" s="10">
        <f>CHOOSE(CONTROL!$C$42, 106.9441, 106.9441) * CHOOSE(CONTROL!$C$21, $C$9, 100%, $E$9)</f>
        <v>106.94410000000001</v>
      </c>
      <c r="F1003" s="10">
        <f>CHOOSE(CONTROL!$C$42, 106.6791, 106.6791)*CHOOSE(CONTROL!$C$21, $C$9, 100%, $E$9)</f>
        <v>106.67910000000001</v>
      </c>
      <c r="G1003" s="10">
        <f>CHOOSE(CONTROL!$C$42, 106.6944, 106.6944)*CHOOSE(CONTROL!$C$21, $C$9, 100%, $E$9)</f>
        <v>106.6944</v>
      </c>
      <c r="H1003" s="10">
        <f>CHOOSE(CONTROL!$C$42, 106.9328, 106.9328) * CHOOSE(CONTROL!$C$21, $C$9, 100%, $E$9)</f>
        <v>106.9328</v>
      </c>
      <c r="I1003" s="10">
        <f>CHOOSE(CONTROL!$C$42, 106.7024, 106.7024)* CHOOSE(CONTROL!$C$21, $C$9, 100%, $E$9)</f>
        <v>106.7024</v>
      </c>
      <c r="J1003" s="10">
        <f>CHOOSE(CONTROL!$C$42, 106.6721, 106.6721)* CHOOSE(CONTROL!$C$21, $C$9, 100%, $E$9)</f>
        <v>106.6721</v>
      </c>
      <c r="K1003" s="53">
        <f>CHOOSE(CONTROL!$C$42, 106.6985, 106.6985) * CHOOSE(CONTROL!$C$21, $C$9, 100%, $E$9)</f>
        <v>106.6985</v>
      </c>
      <c r="L1003" s="10">
        <f>CHOOSE(CONTROL!$C$42, 107.5198, 107.5198) * CHOOSE(CONTROL!$C$21, $C$9, 100%, $E$9)</f>
        <v>107.5198</v>
      </c>
      <c r="M1003" s="10">
        <f>CHOOSE(CONTROL!$C$42, 105.6094, 105.6094) * CHOOSE(CONTROL!$C$21, $C$9, 100%, $E$9)</f>
        <v>105.60939999999999</v>
      </c>
      <c r="N1003" s="10">
        <f>CHOOSE(CONTROL!$C$42, 105.6245, 105.6245) * CHOOSE(CONTROL!$C$21, $C$9, 100%, $E$9)</f>
        <v>105.6245</v>
      </c>
      <c r="O1003" s="10">
        <f>CHOOSE(CONTROL!$C$42, 105.8675, 105.8675) * CHOOSE(CONTROL!$C$21, $C$9, 100%, $E$9)</f>
        <v>105.86750000000001</v>
      </c>
      <c r="P1003" s="10">
        <f>CHOOSE(CONTROL!$C$42, 105.6394, 105.6394) * CHOOSE(CONTROL!$C$21, $C$9, 100%, $E$9)</f>
        <v>105.63939999999999</v>
      </c>
      <c r="Q1003" s="10">
        <f>CHOOSE(CONTROL!$C$42, 106.4628, 106.4628) * CHOOSE(CONTROL!$C$21, $C$9, 100%, $E$9)</f>
        <v>106.4628</v>
      </c>
      <c r="R1003" s="10">
        <f>CHOOSE(CONTROL!$C$42, 107.3159, 107.3159) * CHOOSE(CONTROL!$C$21, $C$9, 100%, $E$9)</f>
        <v>107.3159</v>
      </c>
      <c r="S1003" s="10">
        <f>CHOOSE(CONTROL!$C$42, 103.6144, 103.6144) * CHOOSE(CONTROL!$C$21, $C$9, 100%, $E$9)</f>
        <v>103.6144</v>
      </c>
      <c r="T10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57">
        <f>(1000*CHOOSE(CONTROL!$C$42, 695, 695)*CHOOSE(CONTROL!$C$42, 0.5599, 0.5599)*CHOOSE(CONTROL!$C$42, 31, 31))/1000000</f>
        <v>12.063045499999998</v>
      </c>
      <c r="V1003" s="57">
        <f>(1000*CHOOSE(CONTROL!$C$42, 500, 500)*CHOOSE(CONTROL!$C$42, 0.275, 0.275)*CHOOSE(CONTROL!$C$42, 31, 31))/1000000</f>
        <v>4.2625000000000002</v>
      </c>
      <c r="W1003" s="57">
        <f>(1000*CHOOSE(CONTROL!$C$42, 0.1146, 0.1146)*CHOOSE(CONTROL!$C$42, 121.5, 121.5)*CHOOSE(CONTROL!$C$42, 31, 31))/1000000</f>
        <v>0.43164089999999994</v>
      </c>
      <c r="X1003" s="57">
        <f>(31*0.1790888*245000/1000000)+(31*0.2374*100000/1000000)</f>
        <v>2.0961194359999999</v>
      </c>
      <c r="Y1003" s="57"/>
      <c r="Z1003" s="10"/>
      <c r="AA1003" s="56"/>
      <c r="AB1003" s="50">
        <f>(B1003*194.205+C1003*267.466+D1003*133.845+E1003*53.484+F1003*40+G1003*185+H1003*0+I1003*100+J1003*300)/(194.205+267.466+133.845+53.484+0+40+185+100+300)</f>
        <v>106.72730252841444</v>
      </c>
      <c r="AC1003" s="45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105.73156618705036</v>
      </c>
    </row>
    <row r="1004" spans="1:29" ht="15.75" x14ac:dyDescent="0.25">
      <c r="A1004" s="13">
        <v>71467</v>
      </c>
      <c r="B1004" s="10">
        <f>CHOOSE(CONTROL!$C$42, 101.432, 101.432) * CHOOSE(CONTROL!$C$21, $C$9, 100%, $E$9)</f>
        <v>101.432</v>
      </c>
      <c r="C1004" s="10">
        <f>CHOOSE(CONTROL!$C$42, 101.4399, 101.4399) * CHOOSE(CONTROL!$C$21, $C$9, 100%, $E$9)</f>
        <v>101.43989999999999</v>
      </c>
      <c r="D1004" s="10">
        <f>CHOOSE(CONTROL!$C$42, 101.6427, 101.6427) * CHOOSE(CONTROL!$C$21, $C$9, 100%, $E$9)</f>
        <v>101.6427</v>
      </c>
      <c r="E1004" s="10">
        <f>CHOOSE(CONTROL!$C$42, 101.6738, 101.6738) * CHOOSE(CONTROL!$C$21, $C$9, 100%, $E$9)</f>
        <v>101.6738</v>
      </c>
      <c r="F1004" s="10">
        <f>CHOOSE(CONTROL!$C$42, 101.409, 101.409)*CHOOSE(CONTROL!$C$21, $C$9, 100%, $E$9)</f>
        <v>101.40900000000001</v>
      </c>
      <c r="G1004" s="10">
        <f>CHOOSE(CONTROL!$C$42, 101.4243, 101.4243)*CHOOSE(CONTROL!$C$21, $C$9, 100%, $E$9)</f>
        <v>101.4243</v>
      </c>
      <c r="H1004" s="10">
        <f>CHOOSE(CONTROL!$C$42, 101.6624, 101.6624) * CHOOSE(CONTROL!$C$21, $C$9, 100%, $E$9)</f>
        <v>101.66240000000001</v>
      </c>
      <c r="I1004" s="10">
        <f>CHOOSE(CONTROL!$C$42, 101.4321, 101.4321)* CHOOSE(CONTROL!$C$21, $C$9, 100%, $E$9)</f>
        <v>101.43210000000001</v>
      </c>
      <c r="J1004" s="10">
        <f>CHOOSE(CONTROL!$C$42, 101.402, 101.402)* CHOOSE(CONTROL!$C$21, $C$9, 100%, $E$9)</f>
        <v>101.402</v>
      </c>
      <c r="K1004" s="53">
        <f>CHOOSE(CONTROL!$C$42, 101.4282, 101.4282) * CHOOSE(CONTROL!$C$21, $C$9, 100%, $E$9)</f>
        <v>101.4282</v>
      </c>
      <c r="L1004" s="10">
        <f>CHOOSE(CONTROL!$C$42, 102.2494, 102.2494) * CHOOSE(CONTROL!$C$21, $C$9, 100%, $E$9)</f>
        <v>102.24939999999999</v>
      </c>
      <c r="M1004" s="10">
        <f>CHOOSE(CONTROL!$C$42, 100.3925, 100.3925) * CHOOSE(CONTROL!$C$21, $C$9, 100%, $E$9)</f>
        <v>100.3925</v>
      </c>
      <c r="N1004" s="10">
        <f>CHOOSE(CONTROL!$C$42, 100.4076, 100.4076) * CHOOSE(CONTROL!$C$21, $C$9, 100%, $E$9)</f>
        <v>100.4076</v>
      </c>
      <c r="O1004" s="10">
        <f>CHOOSE(CONTROL!$C$42, 100.6503, 100.6503) * CHOOSE(CONTROL!$C$21, $C$9, 100%, $E$9)</f>
        <v>100.6503</v>
      </c>
      <c r="P1004" s="10">
        <f>CHOOSE(CONTROL!$C$42, 100.4223, 100.4223) * CHOOSE(CONTROL!$C$21, $C$9, 100%, $E$9)</f>
        <v>100.42230000000001</v>
      </c>
      <c r="Q1004" s="10">
        <f>CHOOSE(CONTROL!$C$42, 101.2456, 101.2456) * CHOOSE(CONTROL!$C$21, $C$9, 100%, $E$9)</f>
        <v>101.2456</v>
      </c>
      <c r="R1004" s="10">
        <f>CHOOSE(CONTROL!$C$42, 102.0857, 102.0857) * CHOOSE(CONTROL!$C$21, $C$9, 100%, $E$9)</f>
        <v>102.0857</v>
      </c>
      <c r="S1004" s="10">
        <f>CHOOSE(CONTROL!$C$42, 98.4964, 98.4964) * CHOOSE(CONTROL!$C$21, $C$9, 100%, $E$9)</f>
        <v>98.496399999999994</v>
      </c>
      <c r="T10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57">
        <f>(1000*CHOOSE(CONTROL!$C$42, 695, 695)*CHOOSE(CONTROL!$C$42, 0.5599, 0.5599)*CHOOSE(CONTROL!$C$42, 31, 31))/1000000</f>
        <v>12.063045499999998</v>
      </c>
      <c r="V1004" s="57">
        <f>(1000*CHOOSE(CONTROL!$C$42, 500, 500)*CHOOSE(CONTROL!$C$42, 0.275, 0.275)*CHOOSE(CONTROL!$C$42, 31, 31))/1000000</f>
        <v>4.2625000000000002</v>
      </c>
      <c r="W1004" s="57">
        <f>(1000*CHOOSE(CONTROL!$C$42, 0.1146, 0.1146)*CHOOSE(CONTROL!$C$42, 121.5, 121.5)*CHOOSE(CONTROL!$C$42, 31, 31))/1000000</f>
        <v>0.43164089999999994</v>
      </c>
      <c r="X1004" s="57">
        <f>(31*0.1790888*245000/1000000)+(31*0.2374*100000/1000000)</f>
        <v>2.0961194359999999</v>
      </c>
      <c r="Y1004" s="57"/>
      <c r="Z1004" s="10"/>
      <c r="AA1004" s="56"/>
      <c r="AB1004" s="50">
        <f>(B1004*194.205+C1004*267.466+D1004*133.845+E1004*53.484+F1004*40+G1004*185+H1004*0+I1004*100+J1004*300)/(194.205+267.466+133.845+53.484+0+40+185+100+300)</f>
        <v>101.45704870808477</v>
      </c>
      <c r="AC1004" s="45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100.51450143884892</v>
      </c>
    </row>
    <row r="1005" spans="1:29" ht="15.75" x14ac:dyDescent="0.25">
      <c r="A1005" s="13">
        <v>71497</v>
      </c>
      <c r="B1005" s="10">
        <f>CHOOSE(CONTROL!$C$42, 94.9923, 94.9923) * CHOOSE(CONTROL!$C$21, $C$9, 100%, $E$9)</f>
        <v>94.9923</v>
      </c>
      <c r="C1005" s="10">
        <f>CHOOSE(CONTROL!$C$42, 95.0002, 95.0002) * CHOOSE(CONTROL!$C$21, $C$9, 100%, $E$9)</f>
        <v>95.000200000000007</v>
      </c>
      <c r="D1005" s="10">
        <f>CHOOSE(CONTROL!$C$42, 95.2029, 95.2029) * CHOOSE(CONTROL!$C$21, $C$9, 100%, $E$9)</f>
        <v>95.2029</v>
      </c>
      <c r="E1005" s="10">
        <f>CHOOSE(CONTROL!$C$42, 95.2341, 95.2341) * CHOOSE(CONTROL!$C$21, $C$9, 100%, $E$9)</f>
        <v>95.234099999999998</v>
      </c>
      <c r="F1005" s="10">
        <f>CHOOSE(CONTROL!$C$42, 94.9691, 94.9691)*CHOOSE(CONTROL!$C$21, $C$9, 100%, $E$9)</f>
        <v>94.969099999999997</v>
      </c>
      <c r="G1005" s="10">
        <f>CHOOSE(CONTROL!$C$42, 94.9844, 94.9844)*CHOOSE(CONTROL!$C$21, $C$9, 100%, $E$9)</f>
        <v>94.984399999999994</v>
      </c>
      <c r="H1005" s="10">
        <f>CHOOSE(CONTROL!$C$42, 95.2227, 95.2227) * CHOOSE(CONTROL!$C$21, $C$9, 100%, $E$9)</f>
        <v>95.222700000000003</v>
      </c>
      <c r="I1005" s="10">
        <f>CHOOSE(CONTROL!$C$42, 94.9923, 94.9923)* CHOOSE(CONTROL!$C$21, $C$9, 100%, $E$9)</f>
        <v>94.9923</v>
      </c>
      <c r="J1005" s="10">
        <f>CHOOSE(CONTROL!$C$42, 94.9621, 94.9621)* CHOOSE(CONTROL!$C$21, $C$9, 100%, $E$9)</f>
        <v>94.962100000000007</v>
      </c>
      <c r="K1005" s="53">
        <f>CHOOSE(CONTROL!$C$42, 94.9884, 94.9884) * CHOOSE(CONTROL!$C$21, $C$9, 100%, $E$9)</f>
        <v>94.988399999999999</v>
      </c>
      <c r="L1005" s="10">
        <f>CHOOSE(CONTROL!$C$42, 95.8097, 95.8097) * CHOOSE(CONTROL!$C$21, $C$9, 100%, $E$9)</f>
        <v>95.809700000000007</v>
      </c>
      <c r="M1005" s="10">
        <f>CHOOSE(CONTROL!$C$42, 94.0176, 94.0176) * CHOOSE(CONTROL!$C$21, $C$9, 100%, $E$9)</f>
        <v>94.017600000000002</v>
      </c>
      <c r="N1005" s="10">
        <f>CHOOSE(CONTROL!$C$42, 94.0327, 94.0327) * CHOOSE(CONTROL!$C$21, $C$9, 100%, $E$9)</f>
        <v>94.032700000000006</v>
      </c>
      <c r="O1005" s="10">
        <f>CHOOSE(CONTROL!$C$42, 94.2756, 94.2756) * CHOOSE(CONTROL!$C$21, $C$9, 100%, $E$9)</f>
        <v>94.275599999999997</v>
      </c>
      <c r="P1005" s="10">
        <f>CHOOSE(CONTROL!$C$42, 94.0475, 94.0475) * CHOOSE(CONTROL!$C$21, $C$9, 100%, $E$9)</f>
        <v>94.047499999999999</v>
      </c>
      <c r="Q1005" s="10">
        <f>CHOOSE(CONTROL!$C$42, 94.8709, 94.8709) * CHOOSE(CONTROL!$C$21, $C$9, 100%, $E$9)</f>
        <v>94.870900000000006</v>
      </c>
      <c r="R1005" s="10">
        <f>CHOOSE(CONTROL!$C$42, 95.695, 95.695) * CHOOSE(CONTROL!$C$21, $C$9, 100%, $E$9)</f>
        <v>95.694999999999993</v>
      </c>
      <c r="S1005" s="10">
        <f>CHOOSE(CONTROL!$C$42, 92.2427, 92.2427) * CHOOSE(CONTROL!$C$21, $C$9, 100%, $E$9)</f>
        <v>92.242699999999999</v>
      </c>
      <c r="T10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57">
        <f>(1000*CHOOSE(CONTROL!$C$42, 695, 695)*CHOOSE(CONTROL!$C$42, 0.5599, 0.5599)*CHOOSE(CONTROL!$C$42, 30, 30))/1000000</f>
        <v>11.673914999999997</v>
      </c>
      <c r="V1005" s="57">
        <f>(1000*CHOOSE(CONTROL!$C$42, 500, 500)*CHOOSE(CONTROL!$C$42, 0.275, 0.275)*CHOOSE(CONTROL!$C$42, 30, 30))/1000000</f>
        <v>4.125</v>
      </c>
      <c r="W1005" s="57">
        <f>(1000*CHOOSE(CONTROL!$C$42, 0.1146, 0.1146)*CHOOSE(CONTROL!$C$42, 121.5, 121.5)*CHOOSE(CONTROL!$C$42, 30, 30))/1000000</f>
        <v>0.417717</v>
      </c>
      <c r="X1005" s="57">
        <f>(30*0.1790888*245000/1000000)+(30*0.2374*100000/1000000)</f>
        <v>2.0285026799999999</v>
      </c>
      <c r="Y1005" s="57"/>
      <c r="Z1005" s="10"/>
      <c r="AA1005" s="56"/>
      <c r="AB1005" s="50">
        <f>(B1005*194.205+C1005*267.466+D1005*133.845+E1005*53.484+F1005*40+G1005*185+H1005*0+I1005*100+J1005*300)/(194.205+267.466+133.845+53.484+0+40+185+100+300)</f>
        <v>95.017247935321819</v>
      </c>
      <c r="AC1005" s="45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94.139706474820144</v>
      </c>
    </row>
    <row r="1006" spans="1:29" ht="15.75" x14ac:dyDescent="0.25">
      <c r="A1006" s="13">
        <v>71528</v>
      </c>
      <c r="B1006" s="10">
        <f>CHOOSE(CONTROL!$C$42, 93.0619, 93.0619) * CHOOSE(CONTROL!$C$21, $C$9, 100%, $E$9)</f>
        <v>93.061899999999994</v>
      </c>
      <c r="C1006" s="10">
        <f>CHOOSE(CONTROL!$C$42, 93.0671, 93.0671) * CHOOSE(CONTROL!$C$21, $C$9, 100%, $E$9)</f>
        <v>93.067099999999996</v>
      </c>
      <c r="D1006" s="10">
        <f>CHOOSE(CONTROL!$C$42, 93.2748, 93.2748) * CHOOSE(CONTROL!$C$21, $C$9, 100%, $E$9)</f>
        <v>93.274799999999999</v>
      </c>
      <c r="E1006" s="10">
        <f>CHOOSE(CONTROL!$C$42, 93.3036, 93.3036) * CHOOSE(CONTROL!$C$21, $C$9, 100%, $E$9)</f>
        <v>93.303600000000003</v>
      </c>
      <c r="F1006" s="10">
        <f>CHOOSE(CONTROL!$C$42, 93.0406, 93.0406)*CHOOSE(CONTROL!$C$21, $C$9, 100%, $E$9)</f>
        <v>93.040599999999998</v>
      </c>
      <c r="G1006" s="10">
        <f>CHOOSE(CONTROL!$C$42, 93.0556, 93.0556)*CHOOSE(CONTROL!$C$21, $C$9, 100%, $E$9)</f>
        <v>93.055599999999998</v>
      </c>
      <c r="H1006" s="10">
        <f>CHOOSE(CONTROL!$C$42, 93.2941, 93.2941) * CHOOSE(CONTROL!$C$21, $C$9, 100%, $E$9)</f>
        <v>93.2941</v>
      </c>
      <c r="I1006" s="10">
        <f>CHOOSE(CONTROL!$C$42, 93.0637, 93.0637)* CHOOSE(CONTROL!$C$21, $C$9, 100%, $E$9)</f>
        <v>93.063699999999997</v>
      </c>
      <c r="J1006" s="10">
        <f>CHOOSE(CONTROL!$C$42, 93.0336, 93.0336)* CHOOSE(CONTROL!$C$21, $C$9, 100%, $E$9)</f>
        <v>93.033600000000007</v>
      </c>
      <c r="K1006" s="53">
        <f>CHOOSE(CONTROL!$C$42, 93.0598, 93.0598) * CHOOSE(CONTROL!$C$21, $C$9, 100%, $E$9)</f>
        <v>93.059799999999996</v>
      </c>
      <c r="L1006" s="10">
        <f>CHOOSE(CONTROL!$C$42, 93.8811, 93.8811) * CHOOSE(CONTROL!$C$21, $C$9, 100%, $E$9)</f>
        <v>93.881100000000004</v>
      </c>
      <c r="M1006" s="10">
        <f>CHOOSE(CONTROL!$C$42, 92.1086, 92.1086) * CHOOSE(CONTROL!$C$21, $C$9, 100%, $E$9)</f>
        <v>92.108599999999996</v>
      </c>
      <c r="N1006" s="10">
        <f>CHOOSE(CONTROL!$C$42, 92.1234, 92.1234) * CHOOSE(CONTROL!$C$21, $C$9, 100%, $E$9)</f>
        <v>92.123400000000004</v>
      </c>
      <c r="O1006" s="10">
        <f>CHOOSE(CONTROL!$C$42, 92.3664, 92.3664) * CHOOSE(CONTROL!$C$21, $C$9, 100%, $E$9)</f>
        <v>92.366399999999999</v>
      </c>
      <c r="P1006" s="10">
        <f>CHOOSE(CONTROL!$C$42, 92.1384, 92.1384) * CHOOSE(CONTROL!$C$21, $C$9, 100%, $E$9)</f>
        <v>92.138400000000004</v>
      </c>
      <c r="Q1006" s="10">
        <f>CHOOSE(CONTROL!$C$42, 92.9617, 92.9617) * CHOOSE(CONTROL!$C$21, $C$9, 100%, $E$9)</f>
        <v>92.961699999999993</v>
      </c>
      <c r="R1006" s="10">
        <f>CHOOSE(CONTROL!$C$42, 93.7811, 93.7811) * CHOOSE(CONTROL!$C$21, $C$9, 100%, $E$9)</f>
        <v>93.781099999999995</v>
      </c>
      <c r="S1006" s="10">
        <f>CHOOSE(CONTROL!$C$42, 90.3699, 90.3699) * CHOOSE(CONTROL!$C$21, $C$9, 100%, $E$9)</f>
        <v>90.369900000000001</v>
      </c>
      <c r="T10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57">
        <f>(1000*CHOOSE(CONTROL!$C$42, 695, 695)*CHOOSE(CONTROL!$C$42, 0.5599, 0.5599)*CHOOSE(CONTROL!$C$42, 31, 31))/1000000</f>
        <v>12.063045499999998</v>
      </c>
      <c r="V1006" s="57">
        <f>(1000*CHOOSE(CONTROL!$C$42, 500, 500)*CHOOSE(CONTROL!$C$42, 0.275, 0.275)*CHOOSE(CONTROL!$C$42, 31, 31))/1000000</f>
        <v>4.2625000000000002</v>
      </c>
      <c r="W1006" s="57">
        <f>(1000*CHOOSE(CONTROL!$C$42, 0.1146, 0.1146)*CHOOSE(CONTROL!$C$42, 121.5, 121.5)*CHOOSE(CONTROL!$C$42, 31, 31))/1000000</f>
        <v>0.43164089999999994</v>
      </c>
      <c r="X1006" s="57">
        <f>(31*0.1790888*245000/1000000)+(31*0.2374*100000/1000000)</f>
        <v>2.0961194359999999</v>
      </c>
      <c r="Y1006" s="57"/>
      <c r="Z1006" s="10"/>
      <c r="AA1006" s="56"/>
      <c r="AB1006" s="50">
        <f>(B1006*131.881+C1006*277.167+D1006*79.08+E1006*125.872+F1006*40+G1006*185+H1006*0+I1006*100+J1006*300)/(131.881+277.167+79.08+125.872+0+40+185+100+300)</f>
        <v>93.092871075706199</v>
      </c>
      <c r="AC1006" s="45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92.230584172661864</v>
      </c>
    </row>
    <row r="1007" spans="1:29" ht="15.75" x14ac:dyDescent="0.25">
      <c r="A1007" s="13">
        <v>71558</v>
      </c>
      <c r="B1007" s="10">
        <f>CHOOSE(CONTROL!$C$42, 95.5131, 95.5131) * CHOOSE(CONTROL!$C$21, $C$9, 100%, $E$9)</f>
        <v>95.513099999999994</v>
      </c>
      <c r="C1007" s="10">
        <f>CHOOSE(CONTROL!$C$42, 95.518, 95.518) * CHOOSE(CONTROL!$C$21, $C$9, 100%, $E$9)</f>
        <v>95.518000000000001</v>
      </c>
      <c r="D1007" s="10">
        <f>CHOOSE(CONTROL!$C$42, 95.5785, 95.5785) * CHOOSE(CONTROL!$C$21, $C$9, 100%, $E$9)</f>
        <v>95.578500000000005</v>
      </c>
      <c r="E1007" s="10">
        <f>CHOOSE(CONTROL!$C$42, 95.6123, 95.6123) * CHOOSE(CONTROL!$C$21, $C$9, 100%, $E$9)</f>
        <v>95.612300000000005</v>
      </c>
      <c r="F1007" s="10">
        <f>CHOOSE(CONTROL!$C$42, 95.5087, 95.5087)*CHOOSE(CONTROL!$C$21, $C$9, 100%, $E$9)</f>
        <v>95.508700000000005</v>
      </c>
      <c r="G1007" s="10">
        <f>CHOOSE(CONTROL!$C$42, 95.5239, 95.5239)*CHOOSE(CONTROL!$C$21, $C$9, 100%, $E$9)</f>
        <v>95.523899999999998</v>
      </c>
      <c r="H1007" s="10">
        <f>CHOOSE(CONTROL!$C$42, 95.6015, 95.6015) * CHOOSE(CONTROL!$C$21, $C$9, 100%, $E$9)</f>
        <v>95.601500000000001</v>
      </c>
      <c r="I1007" s="10">
        <f>CHOOSE(CONTROL!$C$42, 95.5256, 95.5256)* CHOOSE(CONTROL!$C$21, $C$9, 100%, $E$9)</f>
        <v>95.525599999999997</v>
      </c>
      <c r="J1007" s="10">
        <f>CHOOSE(CONTROL!$C$42, 95.5017, 95.5017)* CHOOSE(CONTROL!$C$21, $C$9, 100%, $E$9)</f>
        <v>95.5017</v>
      </c>
      <c r="K1007" s="53">
        <f>CHOOSE(CONTROL!$C$42, 95.5217, 95.5217) * CHOOSE(CONTROL!$C$21, $C$9, 100%, $E$9)</f>
        <v>95.521699999999996</v>
      </c>
      <c r="L1007" s="10">
        <f>CHOOSE(CONTROL!$C$42, 96.1885, 96.1885) * CHOOSE(CONTROL!$C$21, $C$9, 100%, $E$9)</f>
        <v>96.188500000000005</v>
      </c>
      <c r="M1007" s="10">
        <f>CHOOSE(CONTROL!$C$42, 94.5518, 94.5518) * CHOOSE(CONTROL!$C$21, $C$9, 100%, $E$9)</f>
        <v>94.5518</v>
      </c>
      <c r="N1007" s="10">
        <f>CHOOSE(CONTROL!$C$42, 94.5668, 94.5668) * CHOOSE(CONTROL!$C$21, $C$9, 100%, $E$9)</f>
        <v>94.566800000000001</v>
      </c>
      <c r="O1007" s="10">
        <f>CHOOSE(CONTROL!$C$42, 94.6506, 94.6506) * CHOOSE(CONTROL!$C$21, $C$9, 100%, $E$9)</f>
        <v>94.650599999999997</v>
      </c>
      <c r="P1007" s="10">
        <f>CHOOSE(CONTROL!$C$42, 94.5754, 94.5754) * CHOOSE(CONTROL!$C$21, $C$9, 100%, $E$9)</f>
        <v>94.575400000000002</v>
      </c>
      <c r="Q1007" s="10">
        <f>CHOOSE(CONTROL!$C$42, 95.2459, 95.2459) * CHOOSE(CONTROL!$C$21, $C$9, 100%, $E$9)</f>
        <v>95.245900000000006</v>
      </c>
      <c r="R1007" s="10">
        <f>CHOOSE(CONTROL!$C$42, 96.071, 96.071) * CHOOSE(CONTROL!$C$21, $C$9, 100%, $E$9)</f>
        <v>96.070999999999998</v>
      </c>
      <c r="S1007" s="10">
        <f>CHOOSE(CONTROL!$C$42, 92.7506, 92.7506) * CHOOSE(CONTROL!$C$21, $C$9, 100%, $E$9)</f>
        <v>92.750600000000006</v>
      </c>
      <c r="T10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57">
        <f>(1000*CHOOSE(CONTROL!$C$42, 695, 695)*CHOOSE(CONTROL!$C$42, 0.5599, 0.5599)*CHOOSE(CONTROL!$C$42, 30, 30))/1000000</f>
        <v>11.673914999999997</v>
      </c>
      <c r="V1007" s="57">
        <f>(1000*CHOOSE(CONTROL!$C$42, 500, 500)*CHOOSE(CONTROL!$C$42, 0.275, 0.275)*CHOOSE(CONTROL!$C$42, 30, 30))/1000000</f>
        <v>4.125</v>
      </c>
      <c r="W1007" s="57">
        <f>(1000*CHOOSE(CONTROL!$C$42, 0.1146, 0.1146)*CHOOSE(CONTROL!$C$42, 121.5, 121.5)*CHOOSE(CONTROL!$C$42, 30, 30))/1000000</f>
        <v>0.417717</v>
      </c>
      <c r="X1007" s="57">
        <f>(30*0.1790888*100000/1000000)+(30*0.2374*100000/1000000)</f>
        <v>1.2494664</v>
      </c>
      <c r="Y1007" s="57"/>
      <c r="Z1007" s="10"/>
      <c r="AA1007" s="56"/>
      <c r="AB1007" s="50">
        <f>(B1007*122.58+C1007*297.941+D1007*89.177+E1007*40.302+F1007*40+G1007*160+H1007*0+I1007*100+J1007*300)/(122.58+297.941+89.177+40.302+0+40+160+100+300)</f>
        <v>95.522380039217381</v>
      </c>
      <c r="AC1007" s="45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94.600838848920858</v>
      </c>
    </row>
    <row r="1008" spans="1:29" ht="15.75" x14ac:dyDescent="0.25">
      <c r="A1008" s="13">
        <v>71589</v>
      </c>
      <c r="B1008" s="10">
        <f>CHOOSE(CONTROL!$C$42, 102.0249, 102.0249) * CHOOSE(CONTROL!$C$21, $C$9, 100%, $E$9)</f>
        <v>102.0249</v>
      </c>
      <c r="C1008" s="10">
        <f>CHOOSE(CONTROL!$C$42, 102.0299, 102.0299) * CHOOSE(CONTROL!$C$21, $C$9, 100%, $E$9)</f>
        <v>102.0299</v>
      </c>
      <c r="D1008" s="10">
        <f>CHOOSE(CONTROL!$C$42, 102.0904, 102.0904) * CHOOSE(CONTROL!$C$21, $C$9, 100%, $E$9)</f>
        <v>102.0904</v>
      </c>
      <c r="E1008" s="10">
        <f>CHOOSE(CONTROL!$C$42, 102.1242, 102.1242) * CHOOSE(CONTROL!$C$21, $C$9, 100%, $E$9)</f>
        <v>102.1242</v>
      </c>
      <c r="F1008" s="10">
        <f>CHOOSE(CONTROL!$C$42, 102.0224, 102.0224)*CHOOSE(CONTROL!$C$21, $C$9, 100%, $E$9)</f>
        <v>102.0224</v>
      </c>
      <c r="G1008" s="10">
        <f>CHOOSE(CONTROL!$C$42, 102.0381, 102.0381)*CHOOSE(CONTROL!$C$21, $C$9, 100%, $E$9)</f>
        <v>102.0381</v>
      </c>
      <c r="H1008" s="10">
        <f>CHOOSE(CONTROL!$C$42, 102.1133, 102.1133) * CHOOSE(CONTROL!$C$21, $C$9, 100%, $E$9)</f>
        <v>102.1133</v>
      </c>
      <c r="I1008" s="10">
        <f>CHOOSE(CONTROL!$C$42, 102.0374, 102.0374)* CHOOSE(CONTROL!$C$21, $C$9, 100%, $E$9)</f>
        <v>102.03740000000001</v>
      </c>
      <c r="J1008" s="10">
        <f>CHOOSE(CONTROL!$C$42, 102.0154, 102.0154)* CHOOSE(CONTROL!$C$21, $C$9, 100%, $E$9)</f>
        <v>102.0154</v>
      </c>
      <c r="K1008" s="53">
        <f>CHOOSE(CONTROL!$C$42, 102.0335, 102.0335) * CHOOSE(CONTROL!$C$21, $C$9, 100%, $E$9)</f>
        <v>102.0335</v>
      </c>
      <c r="L1008" s="10">
        <f>CHOOSE(CONTROL!$C$42, 102.7003, 102.7003) * CHOOSE(CONTROL!$C$21, $C$9, 100%, $E$9)</f>
        <v>102.7003</v>
      </c>
      <c r="M1008" s="10">
        <f>CHOOSE(CONTROL!$C$42, 100.9997, 100.9997) * CHOOSE(CONTROL!$C$21, $C$9, 100%, $E$9)</f>
        <v>100.9997</v>
      </c>
      <c r="N1008" s="10">
        <f>CHOOSE(CONTROL!$C$42, 101.0152, 101.0152) * CHOOSE(CONTROL!$C$21, $C$9, 100%, $E$9)</f>
        <v>101.01519999999999</v>
      </c>
      <c r="O1008" s="10">
        <f>CHOOSE(CONTROL!$C$42, 101.0967, 101.0967) * CHOOSE(CONTROL!$C$21, $C$9, 100%, $E$9)</f>
        <v>101.0967</v>
      </c>
      <c r="P1008" s="10">
        <f>CHOOSE(CONTROL!$C$42, 101.0216, 101.0216) * CHOOSE(CONTROL!$C$21, $C$9, 100%, $E$9)</f>
        <v>101.02160000000001</v>
      </c>
      <c r="Q1008" s="10">
        <f>CHOOSE(CONTROL!$C$42, 101.692, 101.692) * CHOOSE(CONTROL!$C$21, $C$9, 100%, $E$9)</f>
        <v>101.69199999999999</v>
      </c>
      <c r="R1008" s="10">
        <f>CHOOSE(CONTROL!$C$42, 102.5332, 102.5332) * CHOOSE(CONTROL!$C$21, $C$9, 100%, $E$9)</f>
        <v>102.53319999999999</v>
      </c>
      <c r="S1008" s="10">
        <f>CHOOSE(CONTROL!$C$42, 99.0743, 99.0743) * CHOOSE(CONTROL!$C$21, $C$9, 100%, $E$9)</f>
        <v>99.074299999999994</v>
      </c>
      <c r="T10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57">
        <f>(1000*CHOOSE(CONTROL!$C$42, 695, 695)*CHOOSE(CONTROL!$C$42, 0.5599, 0.5599)*CHOOSE(CONTROL!$C$42, 31, 31))/1000000</f>
        <v>12.063045499999998</v>
      </c>
      <c r="V1008" s="57">
        <f>(1000*CHOOSE(CONTROL!$C$42, 500, 500)*CHOOSE(CONTROL!$C$42, 0.275, 0.275)*CHOOSE(CONTROL!$C$42, 31, 31))/1000000</f>
        <v>4.2625000000000002</v>
      </c>
      <c r="W1008" s="57">
        <f>(1000*CHOOSE(CONTROL!$C$42, 0.1146, 0.1146)*CHOOSE(CONTROL!$C$42, 121.5, 121.5)*CHOOSE(CONTROL!$C$42, 31, 31))/1000000</f>
        <v>0.43164089999999994</v>
      </c>
      <c r="X1008" s="57">
        <f>(31*0.1790888*100000/1000000)+(31*0.2374*100000/1000000)</f>
        <v>1.2911152800000001</v>
      </c>
      <c r="Y1008" s="57"/>
      <c r="Z1008" s="10"/>
      <c r="AA1008" s="56"/>
      <c r="AB1008" s="50">
        <f>(B1008*122.58+C1008*297.941+D1008*89.177+E1008*40.302+F1008*40+G1008*160+H1008*0+I1008*100+J1008*300)/(122.58+297.941+89.177+40.302+0+40+160+100+300)</f>
        <v>102.03511285834783</v>
      </c>
      <c r="AC1008" s="45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101.04770719424459</v>
      </c>
    </row>
    <row r="1009" spans="1:29" ht="15.75" x14ac:dyDescent="0.25">
      <c r="A1009" s="13">
        <v>71620</v>
      </c>
      <c r="B1009" s="10">
        <f>CHOOSE(CONTROL!$C$42, 110.3843, 110.3843) * CHOOSE(CONTROL!$C$21, $C$9, 100%, $E$9)</f>
        <v>110.3843</v>
      </c>
      <c r="C1009" s="10">
        <f>CHOOSE(CONTROL!$C$42, 110.3892, 110.3892) * CHOOSE(CONTROL!$C$21, $C$9, 100%, $E$9)</f>
        <v>110.3892</v>
      </c>
      <c r="D1009" s="10">
        <f>CHOOSE(CONTROL!$C$42, 110.4463, 110.4463) * CHOOSE(CONTROL!$C$21, $C$9, 100%, $E$9)</f>
        <v>110.44629999999999</v>
      </c>
      <c r="E1009" s="10">
        <f>CHOOSE(CONTROL!$C$42, 110.4801, 110.4801) * CHOOSE(CONTROL!$C$21, $C$9, 100%, $E$9)</f>
        <v>110.48009999999999</v>
      </c>
      <c r="F1009" s="10">
        <f>CHOOSE(CONTROL!$C$42, 110.3821, 110.3821)*CHOOSE(CONTROL!$C$21, $C$9, 100%, $E$9)</f>
        <v>110.38209999999999</v>
      </c>
      <c r="G1009" s="10">
        <f>CHOOSE(CONTROL!$C$42, 110.3967, 110.3967)*CHOOSE(CONTROL!$C$21, $C$9, 100%, $E$9)</f>
        <v>110.3967</v>
      </c>
      <c r="H1009" s="10">
        <f>CHOOSE(CONTROL!$C$42, 110.4693, 110.4693) * CHOOSE(CONTROL!$C$21, $C$9, 100%, $E$9)</f>
        <v>110.4693</v>
      </c>
      <c r="I1009" s="10">
        <f>CHOOSE(CONTROL!$C$42, 110.3951, 110.3951)* CHOOSE(CONTROL!$C$21, $C$9, 100%, $E$9)</f>
        <v>110.3951</v>
      </c>
      <c r="J1009" s="10">
        <f>CHOOSE(CONTROL!$C$42, 110.3751, 110.3751)* CHOOSE(CONTROL!$C$21, $C$9, 100%, $E$9)</f>
        <v>110.3751</v>
      </c>
      <c r="K1009" s="53">
        <f>CHOOSE(CONTROL!$C$42, 110.3912, 110.3912) * CHOOSE(CONTROL!$C$21, $C$9, 100%, $E$9)</f>
        <v>110.3912</v>
      </c>
      <c r="L1009" s="10">
        <f>CHOOSE(CONTROL!$C$42, 111.0563, 111.0563) * CHOOSE(CONTROL!$C$21, $C$9, 100%, $E$9)</f>
        <v>111.05629999999999</v>
      </c>
      <c r="M1009" s="10">
        <f>CHOOSE(CONTROL!$C$42, 109.2751, 109.2751) * CHOOSE(CONTROL!$C$21, $C$9, 100%, $E$9)</f>
        <v>109.27509999999999</v>
      </c>
      <c r="N1009" s="10">
        <f>CHOOSE(CONTROL!$C$42, 109.2895, 109.2895) * CHOOSE(CONTROL!$C$21, $C$9, 100%, $E$9)</f>
        <v>109.2895</v>
      </c>
      <c r="O1009" s="10">
        <f>CHOOSE(CONTROL!$C$42, 109.3683, 109.3683) * CHOOSE(CONTROL!$C$21, $C$9, 100%, $E$9)</f>
        <v>109.3683</v>
      </c>
      <c r="P1009" s="10">
        <f>CHOOSE(CONTROL!$C$42, 109.2949, 109.2949) * CHOOSE(CONTROL!$C$21, $C$9, 100%, $E$9)</f>
        <v>109.2949</v>
      </c>
      <c r="Q1009" s="10">
        <f>CHOOSE(CONTROL!$C$42, 109.9636, 109.9636) * CHOOSE(CONTROL!$C$21, $C$9, 100%, $E$9)</f>
        <v>109.9636</v>
      </c>
      <c r="R1009" s="10">
        <f>CHOOSE(CONTROL!$C$42, 110.8255, 110.8255) * CHOOSE(CONTROL!$C$21, $C$9, 100%, $E$9)</f>
        <v>110.82550000000001</v>
      </c>
      <c r="S1009" s="10">
        <f>CHOOSE(CONTROL!$C$42, 107.1921, 107.1921) * CHOOSE(CONTROL!$C$21, $C$9, 100%, $E$9)</f>
        <v>107.1921</v>
      </c>
      <c r="T10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57">
        <f>(1000*CHOOSE(CONTROL!$C$42, 695, 695)*CHOOSE(CONTROL!$C$42, 0.5599, 0.5599)*CHOOSE(CONTROL!$C$42, 31, 31))/1000000</f>
        <v>12.063045499999998</v>
      </c>
      <c r="V1009" s="57">
        <f>(1000*CHOOSE(CONTROL!$C$42, 500, 500)*CHOOSE(CONTROL!$C$42, 0.275, 0.275)*CHOOSE(CONTROL!$C$42, 31, 31))/1000000</f>
        <v>4.2625000000000002</v>
      </c>
      <c r="W1009" s="57">
        <f>(1000*CHOOSE(CONTROL!$C$42, 0.1146, 0.1146)*CHOOSE(CONTROL!$C$42, 121.5, 121.5)*CHOOSE(CONTROL!$C$42, 31, 31))/1000000</f>
        <v>0.43164089999999994</v>
      </c>
      <c r="X1009" s="57">
        <f>(31*0.1790888*100000/1000000)+(31*0.2374*100000/1000000)</f>
        <v>1.2911152800000001</v>
      </c>
      <c r="Y1009" s="57"/>
      <c r="Z1009" s="10"/>
      <c r="AA1009" s="56"/>
      <c r="AB1009" s="50">
        <f>(B1009*122.58+C1009*297.941+D1009*89.177+E1009*40.302+F1009*40+G1009*160+H1009*0+I1009*100+J1009*300)/(122.58+297.941+89.177+40.302+0+40+160+100+300)</f>
        <v>110.39392244913041</v>
      </c>
      <c r="AC1009" s="45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109.32101942446043</v>
      </c>
    </row>
    <row r="1010" spans="1:29" ht="15.75" x14ac:dyDescent="0.25">
      <c r="A1010" s="13">
        <v>71649</v>
      </c>
      <c r="B1010" s="10">
        <f>CHOOSE(CONTROL!$C$42, 112.3492, 112.3492) * CHOOSE(CONTROL!$C$21, $C$9, 100%, $E$9)</f>
        <v>112.3492</v>
      </c>
      <c r="C1010" s="10">
        <f>CHOOSE(CONTROL!$C$42, 112.3542, 112.3542) * CHOOSE(CONTROL!$C$21, $C$9, 100%, $E$9)</f>
        <v>112.35420000000001</v>
      </c>
      <c r="D1010" s="10">
        <f>CHOOSE(CONTROL!$C$42, 112.4113, 112.4113) * CHOOSE(CONTROL!$C$21, $C$9, 100%, $E$9)</f>
        <v>112.4113</v>
      </c>
      <c r="E1010" s="10">
        <f>CHOOSE(CONTROL!$C$42, 112.445, 112.445) * CHOOSE(CONTROL!$C$21, $C$9, 100%, $E$9)</f>
        <v>112.44499999999999</v>
      </c>
      <c r="F1010" s="10">
        <f>CHOOSE(CONTROL!$C$42, 112.3472, 112.3472)*CHOOSE(CONTROL!$C$21, $C$9, 100%, $E$9)</f>
        <v>112.3472</v>
      </c>
      <c r="G1010" s="10">
        <f>CHOOSE(CONTROL!$C$42, 112.3618, 112.3618)*CHOOSE(CONTROL!$C$21, $C$9, 100%, $E$9)</f>
        <v>112.3618</v>
      </c>
      <c r="H1010" s="10">
        <f>CHOOSE(CONTROL!$C$42, 112.4342, 112.4342) * CHOOSE(CONTROL!$C$21, $C$9, 100%, $E$9)</f>
        <v>112.4342</v>
      </c>
      <c r="I1010" s="10">
        <f>CHOOSE(CONTROL!$C$42, 112.36, 112.36)* CHOOSE(CONTROL!$C$21, $C$9, 100%, $E$9)</f>
        <v>112.36</v>
      </c>
      <c r="J1010" s="10">
        <f>CHOOSE(CONTROL!$C$42, 112.3402, 112.3402)* CHOOSE(CONTROL!$C$21, $C$9, 100%, $E$9)</f>
        <v>112.3402</v>
      </c>
      <c r="K1010" s="53">
        <f>CHOOSE(CONTROL!$C$42, 112.3561, 112.3561) * CHOOSE(CONTROL!$C$21, $C$9, 100%, $E$9)</f>
        <v>112.3561</v>
      </c>
      <c r="L1010" s="10">
        <f>CHOOSE(CONTROL!$C$42, 113.0212, 113.0212) * CHOOSE(CONTROL!$C$21, $C$9, 100%, $E$9)</f>
        <v>113.02119999999999</v>
      </c>
      <c r="M1010" s="10">
        <f>CHOOSE(CONTROL!$C$42, 111.2203, 111.2203) * CHOOSE(CONTROL!$C$21, $C$9, 100%, $E$9)</f>
        <v>111.22029999999999</v>
      </c>
      <c r="N1010" s="10">
        <f>CHOOSE(CONTROL!$C$42, 111.2348, 111.2348) * CHOOSE(CONTROL!$C$21, $C$9, 100%, $E$9)</f>
        <v>111.23480000000001</v>
      </c>
      <c r="O1010" s="10">
        <f>CHOOSE(CONTROL!$C$42, 111.3134, 111.3134) * CHOOSE(CONTROL!$C$21, $C$9, 100%, $E$9)</f>
        <v>111.3134</v>
      </c>
      <c r="P1010" s="10">
        <f>CHOOSE(CONTROL!$C$42, 111.24, 111.24) * CHOOSE(CONTROL!$C$21, $C$9, 100%, $E$9)</f>
        <v>111.24</v>
      </c>
      <c r="Q1010" s="10">
        <f>CHOOSE(CONTROL!$C$42, 111.9087, 111.9087) * CHOOSE(CONTROL!$C$21, $C$9, 100%, $E$9)</f>
        <v>111.9087</v>
      </c>
      <c r="R1010" s="10">
        <f>CHOOSE(CONTROL!$C$42, 112.7755, 112.7755) * CHOOSE(CONTROL!$C$21, $C$9, 100%, $E$9)</f>
        <v>112.77549999999999</v>
      </c>
      <c r="S1010" s="10">
        <f>CHOOSE(CONTROL!$C$42, 109.1002, 109.1002) * CHOOSE(CONTROL!$C$21, $C$9, 100%, $E$9)</f>
        <v>109.1002</v>
      </c>
      <c r="T101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10" s="57">
        <f>(1000*CHOOSE(CONTROL!$C$42, 695, 695)*CHOOSE(CONTROL!$C$42, 0.5599, 0.5599)*CHOOSE(CONTROL!$C$42, 29, 29))/1000000</f>
        <v>11.284784499999999</v>
      </c>
      <c r="V1010" s="57">
        <f>(1000*CHOOSE(CONTROL!$C$42, 500, 500)*CHOOSE(CONTROL!$C$42, 0.275, 0.275)*CHOOSE(CONTROL!$C$42, 29, 29))/1000000</f>
        <v>3.9874999999999998</v>
      </c>
      <c r="W1010" s="57">
        <f>(1000*CHOOSE(CONTROL!$C$42, 0.1146, 0.1146)*CHOOSE(CONTROL!$C$42, 121.5, 121.5)*CHOOSE(CONTROL!$C$42, 29, 29))/1000000</f>
        <v>0.40379309999999996</v>
      </c>
      <c r="X1010" s="57">
        <f>(29*0.1790888*100000/1000000)+(29*0.2374*100000/1000000)</f>
        <v>1.2078175199999999</v>
      </c>
      <c r="Y1010" s="57"/>
      <c r="Z1010" s="10"/>
      <c r="AA1010" s="56"/>
      <c r="AB1010" s="50">
        <f>(B1010*122.58+C1010*297.941+D1010*89.177+E1010*40.302+F1010*40+G1010*160+H1010*0+I1010*100+J1010*300)/(122.58+297.941+89.177+40.302+0+40+160+100+300)</f>
        <v>112.35894306808694</v>
      </c>
      <c r="AC1010" s="45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111.2661654676259</v>
      </c>
    </row>
    <row r="1011" spans="1:29" ht="15.75" x14ac:dyDescent="0.25">
      <c r="A1011" s="13">
        <v>71680</v>
      </c>
      <c r="B1011" s="10">
        <f>CHOOSE(CONTROL!$C$42, 109.1597, 109.1597) * CHOOSE(CONTROL!$C$21, $C$9, 100%, $E$9)</f>
        <v>109.1597</v>
      </c>
      <c r="C1011" s="10">
        <f>CHOOSE(CONTROL!$C$42, 109.1646, 109.1646) * CHOOSE(CONTROL!$C$21, $C$9, 100%, $E$9)</f>
        <v>109.16459999999999</v>
      </c>
      <c r="D1011" s="10">
        <f>CHOOSE(CONTROL!$C$42, 109.2217, 109.2217) * CHOOSE(CONTROL!$C$21, $C$9, 100%, $E$9)</f>
        <v>109.2217</v>
      </c>
      <c r="E1011" s="10">
        <f>CHOOSE(CONTROL!$C$42, 109.2555, 109.2555) * CHOOSE(CONTROL!$C$21, $C$9, 100%, $E$9)</f>
        <v>109.2555</v>
      </c>
      <c r="F1011" s="10">
        <f>CHOOSE(CONTROL!$C$42, 109.1575, 109.1575)*CHOOSE(CONTROL!$C$21, $C$9, 100%, $E$9)</f>
        <v>109.1575</v>
      </c>
      <c r="G1011" s="10">
        <f>CHOOSE(CONTROL!$C$42, 109.1721, 109.1721)*CHOOSE(CONTROL!$C$21, $C$9, 100%, $E$9)</f>
        <v>109.1721</v>
      </c>
      <c r="H1011" s="10">
        <f>CHOOSE(CONTROL!$C$42, 109.2446, 109.2446) * CHOOSE(CONTROL!$C$21, $C$9, 100%, $E$9)</f>
        <v>109.24460000000001</v>
      </c>
      <c r="I1011" s="10">
        <f>CHOOSE(CONTROL!$C$42, 109.1704, 109.1704)* CHOOSE(CONTROL!$C$21, $C$9, 100%, $E$9)</f>
        <v>109.1704</v>
      </c>
      <c r="J1011" s="10">
        <f>CHOOSE(CONTROL!$C$42, 109.1505, 109.1505)* CHOOSE(CONTROL!$C$21, $C$9, 100%, $E$9)</f>
        <v>109.15049999999999</v>
      </c>
      <c r="K1011" s="53">
        <f>CHOOSE(CONTROL!$C$42, 109.1666, 109.1666) * CHOOSE(CONTROL!$C$21, $C$9, 100%, $E$9)</f>
        <v>109.1666</v>
      </c>
      <c r="L1011" s="10">
        <f>CHOOSE(CONTROL!$C$42, 109.8316, 109.8316) * CHOOSE(CONTROL!$C$21, $C$9, 100%, $E$9)</f>
        <v>109.83159999999999</v>
      </c>
      <c r="M1011" s="10">
        <f>CHOOSE(CONTROL!$C$42, 108.0628, 108.0628) * CHOOSE(CONTROL!$C$21, $C$9, 100%, $E$9)</f>
        <v>108.0628</v>
      </c>
      <c r="N1011" s="10">
        <f>CHOOSE(CONTROL!$C$42, 108.0772, 108.0772) * CHOOSE(CONTROL!$C$21, $C$9, 100%, $E$9)</f>
        <v>108.0772</v>
      </c>
      <c r="O1011" s="10">
        <f>CHOOSE(CONTROL!$C$42, 108.156, 108.156) * CHOOSE(CONTROL!$C$21, $C$9, 100%, $E$9)</f>
        <v>108.15600000000001</v>
      </c>
      <c r="P1011" s="10">
        <f>CHOOSE(CONTROL!$C$42, 108.0826, 108.0826) * CHOOSE(CONTROL!$C$21, $C$9, 100%, $E$9)</f>
        <v>108.0826</v>
      </c>
      <c r="Q1011" s="10">
        <f>CHOOSE(CONTROL!$C$42, 108.7513, 108.7513) * CHOOSE(CONTROL!$C$21, $C$9, 100%, $E$9)</f>
        <v>108.7513</v>
      </c>
      <c r="R1011" s="10">
        <f>CHOOSE(CONTROL!$C$42, 109.6102, 109.6102) * CHOOSE(CONTROL!$C$21, $C$9, 100%, $E$9)</f>
        <v>109.61020000000001</v>
      </c>
      <c r="S1011" s="10">
        <f>CHOOSE(CONTROL!$C$42, 106.0028, 106.0028) * CHOOSE(CONTROL!$C$21, $C$9, 100%, $E$9)</f>
        <v>106.00279999999999</v>
      </c>
      <c r="T10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57">
        <f>(1000*CHOOSE(CONTROL!$C$42, 695, 695)*CHOOSE(CONTROL!$C$42, 0.5599, 0.5599)*CHOOSE(CONTROL!$C$42, 31, 31))/1000000</f>
        <v>12.063045499999998</v>
      </c>
      <c r="V1011" s="57">
        <f>(1000*CHOOSE(CONTROL!$C$42, 500, 500)*CHOOSE(CONTROL!$C$42, 0.275, 0.275)*CHOOSE(CONTROL!$C$42, 31, 31))/1000000</f>
        <v>4.2625000000000002</v>
      </c>
      <c r="W1011" s="57">
        <f>(1000*CHOOSE(CONTROL!$C$42, 0.1146, 0.1146)*CHOOSE(CONTROL!$C$42, 121.5, 121.5)*CHOOSE(CONTROL!$C$42, 31, 31))/1000000</f>
        <v>0.43164089999999994</v>
      </c>
      <c r="X1011" s="57">
        <f>(31*0.1790888*100000/1000000)+(31*0.2374*100000/1000000)</f>
        <v>1.2911152800000001</v>
      </c>
      <c r="Y1011" s="57"/>
      <c r="Z1011" s="10"/>
      <c r="AA1011" s="56"/>
      <c r="AB1011" s="50">
        <f>(B1011*122.58+C1011*297.941+D1011*89.177+E1011*40.302+F1011*40+G1011*160+H1011*0+I1011*100+J1011*300)/(122.58+297.941+89.177+40.302+0+40+160+100+300)</f>
        <v>109.16931375347826</v>
      </c>
      <c r="AC1011" s="45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108.10871942446043</v>
      </c>
    </row>
    <row r="1012" spans="1:29" ht="15.75" x14ac:dyDescent="0.25">
      <c r="A1012" s="13">
        <v>71710</v>
      </c>
      <c r="B1012" s="10">
        <f>CHOOSE(CONTROL!$C$42, 108.834, 108.834) * CHOOSE(CONTROL!$C$21, $C$9, 100%, $E$9)</f>
        <v>108.834</v>
      </c>
      <c r="C1012" s="10">
        <f>CHOOSE(CONTROL!$C$42, 108.8384, 108.8384) * CHOOSE(CONTROL!$C$21, $C$9, 100%, $E$9)</f>
        <v>108.83839999999999</v>
      </c>
      <c r="D1012" s="10">
        <f>CHOOSE(CONTROL!$C$42, 109.0442, 109.0442) * CHOOSE(CONTROL!$C$21, $C$9, 100%, $E$9)</f>
        <v>109.0442</v>
      </c>
      <c r="E1012" s="10">
        <f>CHOOSE(CONTROL!$C$42, 109.076, 109.076) * CHOOSE(CONTROL!$C$21, $C$9, 100%, $E$9)</f>
        <v>109.07599999999999</v>
      </c>
      <c r="F1012" s="10">
        <f>CHOOSE(CONTROL!$C$42, 108.8108, 108.8108)*CHOOSE(CONTROL!$C$21, $C$9, 100%, $E$9)</f>
        <v>108.8108</v>
      </c>
      <c r="G1012" s="10">
        <f>CHOOSE(CONTROL!$C$42, 108.8253, 108.8253)*CHOOSE(CONTROL!$C$21, $C$9, 100%, $E$9)</f>
        <v>108.8253</v>
      </c>
      <c r="H1012" s="10">
        <f>CHOOSE(CONTROL!$C$42, 109.0658, 109.0658) * CHOOSE(CONTROL!$C$21, $C$9, 100%, $E$9)</f>
        <v>109.0658</v>
      </c>
      <c r="I1012" s="10">
        <f>CHOOSE(CONTROL!$C$42, 108.8354, 108.8354)* CHOOSE(CONTROL!$C$21, $C$9, 100%, $E$9)</f>
        <v>108.83540000000001</v>
      </c>
      <c r="J1012" s="10">
        <f>CHOOSE(CONTROL!$C$42, 108.8038, 108.8038)* CHOOSE(CONTROL!$C$21, $C$9, 100%, $E$9)</f>
        <v>108.8038</v>
      </c>
      <c r="K1012" s="53">
        <f>CHOOSE(CONTROL!$C$42, 108.8315, 108.8315) * CHOOSE(CONTROL!$C$21, $C$9, 100%, $E$9)</f>
        <v>108.83150000000001</v>
      </c>
      <c r="L1012" s="10">
        <f>CHOOSE(CONTROL!$C$42, 109.6528, 109.6528) * CHOOSE(CONTROL!$C$21, $C$9, 100%, $E$9)</f>
        <v>109.6528</v>
      </c>
      <c r="M1012" s="10">
        <f>CHOOSE(CONTROL!$C$42, 107.7196, 107.7196) * CHOOSE(CONTROL!$C$21, $C$9, 100%, $E$9)</f>
        <v>107.7196</v>
      </c>
      <c r="N1012" s="10">
        <f>CHOOSE(CONTROL!$C$42, 107.7339, 107.7339) * CHOOSE(CONTROL!$C$21, $C$9, 100%, $E$9)</f>
        <v>107.73390000000001</v>
      </c>
      <c r="O1012" s="10">
        <f>CHOOSE(CONTROL!$C$42, 107.979, 107.979) * CHOOSE(CONTROL!$C$21, $C$9, 100%, $E$9)</f>
        <v>107.979</v>
      </c>
      <c r="P1012" s="10">
        <f>CHOOSE(CONTROL!$C$42, 107.7509, 107.7509) * CHOOSE(CONTROL!$C$21, $C$9, 100%, $E$9)</f>
        <v>107.7509</v>
      </c>
      <c r="Q1012" s="10">
        <f>CHOOSE(CONTROL!$C$42, 108.5743, 108.5743) * CHOOSE(CONTROL!$C$21, $C$9, 100%, $E$9)</f>
        <v>108.57429999999999</v>
      </c>
      <c r="R1012" s="10">
        <f>CHOOSE(CONTROL!$C$42, 109.4327, 109.4327) * CHOOSE(CONTROL!$C$21, $C$9, 100%, $E$9)</f>
        <v>109.4327</v>
      </c>
      <c r="S1012" s="10">
        <f>CHOOSE(CONTROL!$C$42, 105.6858, 105.6858) * CHOOSE(CONTROL!$C$21, $C$9, 100%, $E$9)</f>
        <v>105.6858</v>
      </c>
      <c r="T10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57">
        <f>(1000*CHOOSE(CONTROL!$C$42, 695, 695)*CHOOSE(CONTROL!$C$42, 0.5599, 0.5599)*CHOOSE(CONTROL!$C$42, 30, 30))/1000000</f>
        <v>11.673914999999997</v>
      </c>
      <c r="V1012" s="57">
        <f>(1000*CHOOSE(CONTROL!$C$42, 500, 500)*CHOOSE(CONTROL!$C$42, 0.275, 0.275)*CHOOSE(CONTROL!$C$42, 30, 30))/1000000</f>
        <v>4.125</v>
      </c>
      <c r="W1012" s="57">
        <f>(1000*CHOOSE(CONTROL!$C$42, 0.1146, 0.1146)*CHOOSE(CONTROL!$C$42, 121.5, 121.5)*CHOOSE(CONTROL!$C$42, 30, 30))/1000000</f>
        <v>0.417717</v>
      </c>
      <c r="X1012" s="57">
        <f>(30*0.1790888*245000/1000000)+(30*0.2374*100000/1000000)</f>
        <v>2.0285026799999999</v>
      </c>
      <c r="Y1012" s="57"/>
      <c r="Z1012" s="10"/>
      <c r="AA1012" s="56"/>
      <c r="AB1012" s="50">
        <f>(B1012*141.293+C1012*267.993+D1012*115.016+E1012*89.698+F1012*40+G1012*185+H1012*0+I1012*100+J1012*300)/(141.293+267.993+115.016+89.698+0+40+185+100+300)</f>
        <v>108.86273684293785</v>
      </c>
      <c r="AC1012" s="45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107.8424964028777</v>
      </c>
    </row>
    <row r="1013" spans="1:29" ht="15.75" x14ac:dyDescent="0.25">
      <c r="A1013" s="13">
        <v>71741</v>
      </c>
      <c r="B1013" s="10">
        <f>CHOOSE(CONTROL!$C$42, 109.7959, 109.7959) * CHOOSE(CONTROL!$C$21, $C$9, 100%, $E$9)</f>
        <v>109.7959</v>
      </c>
      <c r="C1013" s="10">
        <f>CHOOSE(CONTROL!$C$42, 109.8038, 109.8038) * CHOOSE(CONTROL!$C$21, $C$9, 100%, $E$9)</f>
        <v>109.8038</v>
      </c>
      <c r="D1013" s="10">
        <f>CHOOSE(CONTROL!$C$42, 110.0066, 110.0066) * CHOOSE(CONTROL!$C$21, $C$9, 100%, $E$9)</f>
        <v>110.00660000000001</v>
      </c>
      <c r="E1013" s="10">
        <f>CHOOSE(CONTROL!$C$42, 110.0377, 110.0377) * CHOOSE(CONTROL!$C$21, $C$9, 100%, $E$9)</f>
        <v>110.0377</v>
      </c>
      <c r="F1013" s="10">
        <f>CHOOSE(CONTROL!$C$42, 109.7716, 109.7716)*CHOOSE(CONTROL!$C$21, $C$9, 100%, $E$9)</f>
        <v>109.77160000000001</v>
      </c>
      <c r="G1013" s="10">
        <f>CHOOSE(CONTROL!$C$42, 109.7866, 109.7866)*CHOOSE(CONTROL!$C$21, $C$9, 100%, $E$9)</f>
        <v>109.78660000000001</v>
      </c>
      <c r="H1013" s="10">
        <f>CHOOSE(CONTROL!$C$42, 110.0263, 110.0263) * CHOOSE(CONTROL!$C$21, $C$9, 100%, $E$9)</f>
        <v>110.02630000000001</v>
      </c>
      <c r="I1013" s="10">
        <f>CHOOSE(CONTROL!$C$42, 109.796, 109.796)* CHOOSE(CONTROL!$C$21, $C$9, 100%, $E$9)</f>
        <v>109.79600000000001</v>
      </c>
      <c r="J1013" s="10">
        <f>CHOOSE(CONTROL!$C$42, 109.7646, 109.7646)* CHOOSE(CONTROL!$C$21, $C$9, 100%, $E$9)</f>
        <v>109.7646</v>
      </c>
      <c r="K1013" s="53">
        <f>CHOOSE(CONTROL!$C$42, 109.7921, 109.7921) * CHOOSE(CONTROL!$C$21, $C$9, 100%, $E$9)</f>
        <v>109.7921</v>
      </c>
      <c r="L1013" s="10">
        <f>CHOOSE(CONTROL!$C$42, 110.6133, 110.6133) * CHOOSE(CONTROL!$C$21, $C$9, 100%, $E$9)</f>
        <v>110.6133</v>
      </c>
      <c r="M1013" s="10">
        <f>CHOOSE(CONTROL!$C$42, 108.6708, 108.6708) * CHOOSE(CONTROL!$C$21, $C$9, 100%, $E$9)</f>
        <v>108.6708</v>
      </c>
      <c r="N1013" s="10">
        <f>CHOOSE(CONTROL!$C$42, 108.6856, 108.6856) * CHOOSE(CONTROL!$C$21, $C$9, 100%, $E$9)</f>
        <v>108.68559999999999</v>
      </c>
      <c r="O1013" s="10">
        <f>CHOOSE(CONTROL!$C$42, 108.9298, 108.9298) * CHOOSE(CONTROL!$C$21, $C$9, 100%, $E$9)</f>
        <v>108.9298</v>
      </c>
      <c r="P1013" s="10">
        <f>CHOOSE(CONTROL!$C$42, 108.7018, 108.7018) * CHOOSE(CONTROL!$C$21, $C$9, 100%, $E$9)</f>
        <v>108.70180000000001</v>
      </c>
      <c r="Q1013" s="10">
        <f>CHOOSE(CONTROL!$C$42, 109.5251, 109.5251) * CHOOSE(CONTROL!$C$21, $C$9, 100%, $E$9)</f>
        <v>109.52509999999999</v>
      </c>
      <c r="R1013" s="10">
        <f>CHOOSE(CONTROL!$C$42, 110.3859, 110.3859) * CHOOSE(CONTROL!$C$21, $C$9, 100%, $E$9)</f>
        <v>110.38590000000001</v>
      </c>
      <c r="S1013" s="10">
        <f>CHOOSE(CONTROL!$C$42, 106.6186, 106.6186) * CHOOSE(CONTROL!$C$21, $C$9, 100%, $E$9)</f>
        <v>106.6186</v>
      </c>
      <c r="T10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57">
        <f>(1000*CHOOSE(CONTROL!$C$42, 695, 695)*CHOOSE(CONTROL!$C$42, 0.5599, 0.5599)*CHOOSE(CONTROL!$C$42, 31, 31))/1000000</f>
        <v>12.063045499999998</v>
      </c>
      <c r="V1013" s="57">
        <f>(1000*CHOOSE(CONTROL!$C$42, 500, 500)*CHOOSE(CONTROL!$C$42, 0.275, 0.275)*CHOOSE(CONTROL!$C$42, 31, 31))/1000000</f>
        <v>4.2625000000000002</v>
      </c>
      <c r="W1013" s="57">
        <f>(1000*CHOOSE(CONTROL!$C$42, 0.1146, 0.1146)*CHOOSE(CONTROL!$C$42, 121.5, 121.5)*CHOOSE(CONTROL!$C$42, 31, 31))/1000000</f>
        <v>0.43164089999999994</v>
      </c>
      <c r="X1013" s="57">
        <f>(31*0.1790888*245000/1000000)+(31*0.2374*100000/1000000)</f>
        <v>2.0961194359999999</v>
      </c>
      <c r="Y1013" s="57"/>
      <c r="Z1013" s="10"/>
      <c r="AA1013" s="56"/>
      <c r="AB1013" s="50">
        <f>(B1013*194.205+C1013*267.466+D1013*133.845+E1013*53.484+F1013*40+G1013*185+H1013*0+I1013*100+J1013*300)/(194.205+267.466+133.845+53.484+0+40+185+100+300)</f>
        <v>109.8203694302198</v>
      </c>
      <c r="AC1013" s="45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108.79350071942447</v>
      </c>
    </row>
    <row r="1014" spans="1:29" ht="15.75" x14ac:dyDescent="0.25">
      <c r="A1014" s="13">
        <v>71771</v>
      </c>
      <c r="B1014" s="10">
        <f>CHOOSE(CONTROL!$C$42, 112.9103, 112.9103) * CHOOSE(CONTROL!$C$21, $C$9, 100%, $E$9)</f>
        <v>112.91030000000001</v>
      </c>
      <c r="C1014" s="10">
        <f>CHOOSE(CONTROL!$C$42, 112.9182, 112.9182) * CHOOSE(CONTROL!$C$21, $C$9, 100%, $E$9)</f>
        <v>112.9182</v>
      </c>
      <c r="D1014" s="10">
        <f>CHOOSE(CONTROL!$C$42, 113.1209, 113.1209) * CHOOSE(CONTROL!$C$21, $C$9, 100%, $E$9)</f>
        <v>113.12090000000001</v>
      </c>
      <c r="E1014" s="10">
        <f>CHOOSE(CONTROL!$C$42, 113.1521, 113.1521) * CHOOSE(CONTROL!$C$21, $C$9, 100%, $E$9)</f>
        <v>113.1521</v>
      </c>
      <c r="F1014" s="10">
        <f>CHOOSE(CONTROL!$C$42, 112.8865, 112.8865)*CHOOSE(CONTROL!$C$21, $C$9, 100%, $E$9)</f>
        <v>112.8865</v>
      </c>
      <c r="G1014" s="10">
        <f>CHOOSE(CONTROL!$C$42, 112.9017, 112.9017)*CHOOSE(CONTROL!$C$21, $C$9, 100%, $E$9)</f>
        <v>112.90170000000001</v>
      </c>
      <c r="H1014" s="10">
        <f>CHOOSE(CONTROL!$C$42, 113.1407, 113.1407) * CHOOSE(CONTROL!$C$21, $C$9, 100%, $E$9)</f>
        <v>113.1407</v>
      </c>
      <c r="I1014" s="10">
        <f>CHOOSE(CONTROL!$C$42, 112.9103, 112.9103)* CHOOSE(CONTROL!$C$21, $C$9, 100%, $E$9)</f>
        <v>112.91030000000001</v>
      </c>
      <c r="J1014" s="10">
        <f>CHOOSE(CONTROL!$C$42, 112.8795, 112.8795)* CHOOSE(CONTROL!$C$21, $C$9, 100%, $E$9)</f>
        <v>112.87949999999999</v>
      </c>
      <c r="K1014" s="53">
        <f>CHOOSE(CONTROL!$C$42, 112.9064, 112.9064) * CHOOSE(CONTROL!$C$21, $C$9, 100%, $E$9)</f>
        <v>112.9064</v>
      </c>
      <c r="L1014" s="10">
        <f>CHOOSE(CONTROL!$C$42, 113.7277, 113.7277) * CHOOSE(CONTROL!$C$21, $C$9, 100%, $E$9)</f>
        <v>113.7277</v>
      </c>
      <c r="M1014" s="10">
        <f>CHOOSE(CONTROL!$C$42, 111.7542, 111.7542) * CHOOSE(CONTROL!$C$21, $C$9, 100%, $E$9)</f>
        <v>111.7542</v>
      </c>
      <c r="N1014" s="10">
        <f>CHOOSE(CONTROL!$C$42, 111.7692, 111.7692) * CHOOSE(CONTROL!$C$21, $C$9, 100%, $E$9)</f>
        <v>111.7692</v>
      </c>
      <c r="O1014" s="10">
        <f>CHOOSE(CONTROL!$C$42, 112.0128, 112.0128) * CHOOSE(CONTROL!$C$21, $C$9, 100%, $E$9)</f>
        <v>112.0128</v>
      </c>
      <c r="P1014" s="10">
        <f>CHOOSE(CONTROL!$C$42, 111.7847, 111.7847) * CHOOSE(CONTROL!$C$21, $C$9, 100%, $E$9)</f>
        <v>111.7847</v>
      </c>
      <c r="Q1014" s="10">
        <f>CHOOSE(CONTROL!$C$42, 112.6081, 112.6081) * CHOOSE(CONTROL!$C$21, $C$9, 100%, $E$9)</f>
        <v>112.60809999999999</v>
      </c>
      <c r="R1014" s="10">
        <f>CHOOSE(CONTROL!$C$42, 113.4766, 113.4766) * CHOOSE(CONTROL!$C$21, $C$9, 100%, $E$9)</f>
        <v>113.4766</v>
      </c>
      <c r="S1014" s="10">
        <f>CHOOSE(CONTROL!$C$42, 109.6429, 109.6429) * CHOOSE(CONTROL!$C$21, $C$9, 100%, $E$9)</f>
        <v>109.6429</v>
      </c>
      <c r="T10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57">
        <f>(1000*CHOOSE(CONTROL!$C$42, 695, 695)*CHOOSE(CONTROL!$C$42, 0.5599, 0.5599)*CHOOSE(CONTROL!$C$42, 30, 30))/1000000</f>
        <v>11.673914999999997</v>
      </c>
      <c r="V1014" s="57">
        <f>(1000*CHOOSE(CONTROL!$C$42, 500, 500)*CHOOSE(CONTROL!$C$42, 0.275, 0.275)*CHOOSE(CONTROL!$C$42, 30, 30))/1000000</f>
        <v>4.125</v>
      </c>
      <c r="W1014" s="57">
        <f>(1000*CHOOSE(CONTROL!$C$42, 0.1146, 0.1146)*CHOOSE(CONTROL!$C$42, 121.5, 121.5)*CHOOSE(CONTROL!$C$42, 30, 30))/1000000</f>
        <v>0.417717</v>
      </c>
      <c r="X1014" s="57">
        <f>(30*0.1790888*245000/1000000)+(30*0.2374*100000/1000000)</f>
        <v>2.0285026799999999</v>
      </c>
      <c r="Y1014" s="57"/>
      <c r="Z1014" s="10"/>
      <c r="AA1014" s="56"/>
      <c r="AB1014" s="50">
        <f>(B1014*194.205+C1014*267.466+D1014*133.845+E1014*53.484+F1014*40+G1014*185+H1014*0+I1014*100+J1014*300)/(194.205+267.466+133.845+53.484+0+40+185+100+300)</f>
        <v>112.93498616138149</v>
      </c>
      <c r="AC1014" s="45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111.87665899280574</v>
      </c>
    </row>
    <row r="1015" spans="1:29" ht="15.75" x14ac:dyDescent="0.25">
      <c r="A1015" s="13">
        <v>71802</v>
      </c>
      <c r="B1015" s="10">
        <f>CHOOSE(CONTROL!$C$42, 110.7442, 110.7442) * CHOOSE(CONTROL!$C$21, $C$9, 100%, $E$9)</f>
        <v>110.74420000000001</v>
      </c>
      <c r="C1015" s="10">
        <f>CHOOSE(CONTROL!$C$42, 110.7522, 110.7522) * CHOOSE(CONTROL!$C$21, $C$9, 100%, $E$9)</f>
        <v>110.7522</v>
      </c>
      <c r="D1015" s="10">
        <f>CHOOSE(CONTROL!$C$42, 110.9549, 110.9549) * CHOOSE(CONTROL!$C$21, $C$9, 100%, $E$9)</f>
        <v>110.95489999999999</v>
      </c>
      <c r="E1015" s="10">
        <f>CHOOSE(CONTROL!$C$42, 110.986, 110.986) * CHOOSE(CONTROL!$C$21, $C$9, 100%, $E$9)</f>
        <v>110.986</v>
      </c>
      <c r="F1015" s="10">
        <f>CHOOSE(CONTROL!$C$42, 110.721, 110.721)*CHOOSE(CONTROL!$C$21, $C$9, 100%, $E$9)</f>
        <v>110.721</v>
      </c>
      <c r="G1015" s="10">
        <f>CHOOSE(CONTROL!$C$42, 110.7363, 110.7363)*CHOOSE(CONTROL!$C$21, $C$9, 100%, $E$9)</f>
        <v>110.7363</v>
      </c>
      <c r="H1015" s="10">
        <f>CHOOSE(CONTROL!$C$42, 110.9747, 110.9747) * CHOOSE(CONTROL!$C$21, $C$9, 100%, $E$9)</f>
        <v>110.9747</v>
      </c>
      <c r="I1015" s="10">
        <f>CHOOSE(CONTROL!$C$42, 110.7443, 110.7443)* CHOOSE(CONTROL!$C$21, $C$9, 100%, $E$9)</f>
        <v>110.7443</v>
      </c>
      <c r="J1015" s="10">
        <f>CHOOSE(CONTROL!$C$42, 110.714, 110.714)* CHOOSE(CONTROL!$C$21, $C$9, 100%, $E$9)</f>
        <v>110.714</v>
      </c>
      <c r="K1015" s="53">
        <f>CHOOSE(CONTROL!$C$42, 110.7404, 110.7404) * CHOOSE(CONTROL!$C$21, $C$9, 100%, $E$9)</f>
        <v>110.74039999999999</v>
      </c>
      <c r="L1015" s="10">
        <f>CHOOSE(CONTROL!$C$42, 111.5617, 111.5617) * CHOOSE(CONTROL!$C$21, $C$9, 100%, $E$9)</f>
        <v>111.5617</v>
      </c>
      <c r="M1015" s="10">
        <f>CHOOSE(CONTROL!$C$42, 109.6105, 109.6105) * CHOOSE(CONTROL!$C$21, $C$9, 100%, $E$9)</f>
        <v>109.6105</v>
      </c>
      <c r="N1015" s="10">
        <f>CHOOSE(CONTROL!$C$42, 109.6256, 109.6256) * CHOOSE(CONTROL!$C$21, $C$9, 100%, $E$9)</f>
        <v>109.62560000000001</v>
      </c>
      <c r="O1015" s="10">
        <f>CHOOSE(CONTROL!$C$42, 109.8686, 109.8686) * CHOOSE(CONTROL!$C$21, $C$9, 100%, $E$9)</f>
        <v>109.8686</v>
      </c>
      <c r="P1015" s="10">
        <f>CHOOSE(CONTROL!$C$42, 109.6405, 109.6405) * CHOOSE(CONTROL!$C$21, $C$9, 100%, $E$9)</f>
        <v>109.6405</v>
      </c>
      <c r="Q1015" s="10">
        <f>CHOOSE(CONTROL!$C$42, 110.4639, 110.4639) * CHOOSE(CONTROL!$C$21, $C$9, 100%, $E$9)</f>
        <v>110.4639</v>
      </c>
      <c r="R1015" s="10">
        <f>CHOOSE(CONTROL!$C$42, 111.327, 111.327) * CHOOSE(CONTROL!$C$21, $C$9, 100%, $E$9)</f>
        <v>111.327</v>
      </c>
      <c r="S1015" s="10">
        <f>CHOOSE(CONTROL!$C$42, 107.5395, 107.5395) * CHOOSE(CONTROL!$C$21, $C$9, 100%, $E$9)</f>
        <v>107.5395</v>
      </c>
      <c r="T10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57">
        <f>(1000*CHOOSE(CONTROL!$C$42, 695, 695)*CHOOSE(CONTROL!$C$42, 0.5599, 0.5599)*CHOOSE(CONTROL!$C$42, 31, 31))/1000000</f>
        <v>12.063045499999998</v>
      </c>
      <c r="V1015" s="57">
        <f>(1000*CHOOSE(CONTROL!$C$42, 500, 500)*CHOOSE(CONTROL!$C$42, 0.275, 0.275)*CHOOSE(CONTROL!$C$42, 31, 31))/1000000</f>
        <v>4.2625000000000002</v>
      </c>
      <c r="W1015" s="57">
        <f>(1000*CHOOSE(CONTROL!$C$42, 0.1146, 0.1146)*CHOOSE(CONTROL!$C$42, 121.5, 121.5)*CHOOSE(CONTROL!$C$42, 31, 31))/1000000</f>
        <v>0.43164089999999994</v>
      </c>
      <c r="X1015" s="57">
        <f>(31*0.1790888*245000/1000000)+(31*0.2374*100000/1000000)</f>
        <v>2.0961194359999999</v>
      </c>
      <c r="Y1015" s="57"/>
      <c r="Z1015" s="10"/>
      <c r="AA1015" s="56"/>
      <c r="AB1015" s="50">
        <f>(B1015*194.205+C1015*267.466+D1015*133.845+E1015*53.484+F1015*40+G1015*185+H1015*0+I1015*100+J1015*300)/(194.205+267.466+133.845+53.484+0+40+185+100+300)</f>
        <v>110.76918728469387</v>
      </c>
      <c r="AC1015" s="45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109.73266618705036</v>
      </c>
    </row>
    <row r="1016" spans="1:29" ht="15.75" x14ac:dyDescent="0.25">
      <c r="A1016" s="13">
        <v>71833</v>
      </c>
      <c r="B1016" s="10">
        <f>CHOOSE(CONTROL!$C$42, 105.2743, 105.2743) * CHOOSE(CONTROL!$C$21, $C$9, 100%, $E$9)</f>
        <v>105.2743</v>
      </c>
      <c r="C1016" s="10">
        <f>CHOOSE(CONTROL!$C$42, 105.2822, 105.2822) * CHOOSE(CONTROL!$C$21, $C$9, 100%, $E$9)</f>
        <v>105.2822</v>
      </c>
      <c r="D1016" s="10">
        <f>CHOOSE(CONTROL!$C$42, 105.4849, 105.4849) * CHOOSE(CONTROL!$C$21, $C$9, 100%, $E$9)</f>
        <v>105.4849</v>
      </c>
      <c r="E1016" s="10">
        <f>CHOOSE(CONTROL!$C$42, 105.516, 105.516) * CHOOSE(CONTROL!$C$21, $C$9, 100%, $E$9)</f>
        <v>105.51600000000001</v>
      </c>
      <c r="F1016" s="10">
        <f>CHOOSE(CONTROL!$C$42, 105.2512, 105.2512)*CHOOSE(CONTROL!$C$21, $C$9, 100%, $E$9)</f>
        <v>105.2512</v>
      </c>
      <c r="G1016" s="10">
        <f>CHOOSE(CONTROL!$C$42, 105.2665, 105.2665)*CHOOSE(CONTROL!$C$21, $C$9, 100%, $E$9)</f>
        <v>105.26649999999999</v>
      </c>
      <c r="H1016" s="10">
        <f>CHOOSE(CONTROL!$C$42, 105.5047, 105.5047) * CHOOSE(CONTROL!$C$21, $C$9, 100%, $E$9)</f>
        <v>105.5047</v>
      </c>
      <c r="I1016" s="10">
        <f>CHOOSE(CONTROL!$C$42, 105.2743, 105.2743)* CHOOSE(CONTROL!$C$21, $C$9, 100%, $E$9)</f>
        <v>105.2743</v>
      </c>
      <c r="J1016" s="10">
        <f>CHOOSE(CONTROL!$C$42, 105.2442, 105.2442)* CHOOSE(CONTROL!$C$21, $C$9, 100%, $E$9)</f>
        <v>105.24420000000001</v>
      </c>
      <c r="K1016" s="53">
        <f>CHOOSE(CONTROL!$C$42, 105.2704, 105.2704) * CHOOSE(CONTROL!$C$21, $C$9, 100%, $E$9)</f>
        <v>105.2704</v>
      </c>
      <c r="L1016" s="10">
        <f>CHOOSE(CONTROL!$C$42, 106.0917, 106.0917) * CHOOSE(CONTROL!$C$21, $C$9, 100%, $E$9)</f>
        <v>106.0917</v>
      </c>
      <c r="M1016" s="10">
        <f>CHOOSE(CONTROL!$C$42, 104.1959, 104.1959) * CHOOSE(CONTROL!$C$21, $C$9, 100%, $E$9)</f>
        <v>104.19589999999999</v>
      </c>
      <c r="N1016" s="10">
        <f>CHOOSE(CONTROL!$C$42, 104.2111, 104.2111) * CHOOSE(CONTROL!$C$21, $C$9, 100%, $E$9)</f>
        <v>104.2111</v>
      </c>
      <c r="O1016" s="10">
        <f>CHOOSE(CONTROL!$C$42, 104.4538, 104.4538) * CHOOSE(CONTROL!$C$21, $C$9, 100%, $E$9)</f>
        <v>104.4538</v>
      </c>
      <c r="P1016" s="10">
        <f>CHOOSE(CONTROL!$C$42, 104.2258, 104.2258) * CHOOSE(CONTROL!$C$21, $C$9, 100%, $E$9)</f>
        <v>104.22580000000001</v>
      </c>
      <c r="Q1016" s="10">
        <f>CHOOSE(CONTROL!$C$42, 105.0491, 105.0491) * CHOOSE(CONTROL!$C$21, $C$9, 100%, $E$9)</f>
        <v>105.0491</v>
      </c>
      <c r="R1016" s="10">
        <f>CHOOSE(CONTROL!$C$42, 105.8987, 105.8987) * CHOOSE(CONTROL!$C$21, $C$9, 100%, $E$9)</f>
        <v>105.89870000000001</v>
      </c>
      <c r="S1016" s="10">
        <f>CHOOSE(CONTROL!$C$42, 102.2276, 102.2276) * CHOOSE(CONTROL!$C$21, $C$9, 100%, $E$9)</f>
        <v>102.2276</v>
      </c>
      <c r="T10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57">
        <f>(1000*CHOOSE(CONTROL!$C$42, 695, 695)*CHOOSE(CONTROL!$C$42, 0.5599, 0.5599)*CHOOSE(CONTROL!$C$42, 31, 31))/1000000</f>
        <v>12.063045499999998</v>
      </c>
      <c r="V1016" s="57">
        <f>(1000*CHOOSE(CONTROL!$C$42, 500, 500)*CHOOSE(CONTROL!$C$42, 0.275, 0.275)*CHOOSE(CONTROL!$C$42, 31, 31))/1000000</f>
        <v>4.2625000000000002</v>
      </c>
      <c r="W1016" s="57">
        <f>(1000*CHOOSE(CONTROL!$C$42, 0.1146, 0.1146)*CHOOSE(CONTROL!$C$42, 121.5, 121.5)*CHOOSE(CONTROL!$C$42, 31, 31))/1000000</f>
        <v>0.43164089999999994</v>
      </c>
      <c r="X1016" s="57">
        <f>(31*0.1790888*245000/1000000)+(31*0.2374*100000/1000000)</f>
        <v>2.0961194359999999</v>
      </c>
      <c r="Y1016" s="57"/>
      <c r="Z1016" s="10"/>
      <c r="AA1016" s="56"/>
      <c r="AB1016" s="50">
        <f>(B1016*194.205+C1016*267.466+D1016*133.845+E1016*53.484+F1016*40+G1016*185+H1016*0+I1016*100+J1016*300)/(194.205+267.466+133.845+53.484+0+40+185+100+300)</f>
        <v>105.29928494599686</v>
      </c>
      <c r="AC1016" s="45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104.31796690647481</v>
      </c>
    </row>
    <row r="1017" spans="1:29" ht="15.75" x14ac:dyDescent="0.25">
      <c r="A1017" s="13">
        <v>71863</v>
      </c>
      <c r="B1017" s="10">
        <f>CHOOSE(CONTROL!$C$42, 98.5906, 98.5906) * CHOOSE(CONTROL!$C$21, $C$9, 100%, $E$9)</f>
        <v>98.590599999999995</v>
      </c>
      <c r="C1017" s="10">
        <f>CHOOSE(CONTROL!$C$42, 98.5985, 98.5985) * CHOOSE(CONTROL!$C$21, $C$9, 100%, $E$9)</f>
        <v>98.598500000000001</v>
      </c>
      <c r="D1017" s="10">
        <f>CHOOSE(CONTROL!$C$42, 98.8012, 98.8012) * CHOOSE(CONTROL!$C$21, $C$9, 100%, $E$9)</f>
        <v>98.801199999999994</v>
      </c>
      <c r="E1017" s="10">
        <f>CHOOSE(CONTROL!$C$42, 98.8324, 98.8324) * CHOOSE(CONTROL!$C$21, $C$9, 100%, $E$9)</f>
        <v>98.832400000000007</v>
      </c>
      <c r="F1017" s="10">
        <f>CHOOSE(CONTROL!$C$42, 98.5674, 98.5674)*CHOOSE(CONTROL!$C$21, $C$9, 100%, $E$9)</f>
        <v>98.567400000000006</v>
      </c>
      <c r="G1017" s="10">
        <f>CHOOSE(CONTROL!$C$42, 98.5827, 98.5827)*CHOOSE(CONTROL!$C$21, $C$9, 100%, $E$9)</f>
        <v>98.582700000000003</v>
      </c>
      <c r="H1017" s="10">
        <f>CHOOSE(CONTROL!$C$42, 98.821, 98.821) * CHOOSE(CONTROL!$C$21, $C$9, 100%, $E$9)</f>
        <v>98.820999999999998</v>
      </c>
      <c r="I1017" s="10">
        <f>CHOOSE(CONTROL!$C$42, 98.5906, 98.5906)* CHOOSE(CONTROL!$C$21, $C$9, 100%, $E$9)</f>
        <v>98.590599999999995</v>
      </c>
      <c r="J1017" s="10">
        <f>CHOOSE(CONTROL!$C$42, 98.5604, 98.5604)* CHOOSE(CONTROL!$C$21, $C$9, 100%, $E$9)</f>
        <v>98.560400000000001</v>
      </c>
      <c r="K1017" s="53">
        <f>CHOOSE(CONTROL!$C$42, 98.5867, 98.5867) * CHOOSE(CONTROL!$C$21, $C$9, 100%, $E$9)</f>
        <v>98.586699999999993</v>
      </c>
      <c r="L1017" s="10">
        <f>CHOOSE(CONTROL!$C$42, 99.408, 99.408) * CHOOSE(CONTROL!$C$21, $C$9, 100%, $E$9)</f>
        <v>99.408000000000001</v>
      </c>
      <c r="M1017" s="10">
        <f>CHOOSE(CONTROL!$C$42, 97.5796, 97.5796) * CHOOSE(CONTROL!$C$21, $C$9, 100%, $E$9)</f>
        <v>97.579599999999999</v>
      </c>
      <c r="N1017" s="10">
        <f>CHOOSE(CONTROL!$C$42, 97.5947, 97.5947) * CHOOSE(CONTROL!$C$21, $C$9, 100%, $E$9)</f>
        <v>97.594700000000003</v>
      </c>
      <c r="O1017" s="10">
        <f>CHOOSE(CONTROL!$C$42, 97.8375, 97.8375) * CHOOSE(CONTROL!$C$21, $C$9, 100%, $E$9)</f>
        <v>97.837500000000006</v>
      </c>
      <c r="P1017" s="10">
        <f>CHOOSE(CONTROL!$C$42, 97.6095, 97.6095) * CHOOSE(CONTROL!$C$21, $C$9, 100%, $E$9)</f>
        <v>97.609499999999997</v>
      </c>
      <c r="Q1017" s="10">
        <f>CHOOSE(CONTROL!$C$42, 98.4328, 98.4328) * CHOOSE(CONTROL!$C$21, $C$9, 100%, $E$9)</f>
        <v>98.4328</v>
      </c>
      <c r="R1017" s="10">
        <f>CHOOSE(CONTROL!$C$42, 99.2659, 99.2659) * CHOOSE(CONTROL!$C$21, $C$9, 100%, $E$9)</f>
        <v>99.265900000000002</v>
      </c>
      <c r="S1017" s="10">
        <f>CHOOSE(CONTROL!$C$42, 95.7371, 95.7371) * CHOOSE(CONTROL!$C$21, $C$9, 100%, $E$9)</f>
        <v>95.737099999999998</v>
      </c>
      <c r="T10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57">
        <f>(1000*CHOOSE(CONTROL!$C$42, 695, 695)*CHOOSE(CONTROL!$C$42, 0.5599, 0.5599)*CHOOSE(CONTROL!$C$42, 30, 30))/1000000</f>
        <v>11.673914999999997</v>
      </c>
      <c r="V1017" s="57">
        <f>(1000*CHOOSE(CONTROL!$C$42, 500, 500)*CHOOSE(CONTROL!$C$42, 0.275, 0.275)*CHOOSE(CONTROL!$C$42, 30, 30))/1000000</f>
        <v>4.125</v>
      </c>
      <c r="W1017" s="57">
        <f>(1000*CHOOSE(CONTROL!$C$42, 0.1146, 0.1146)*CHOOSE(CONTROL!$C$42, 121.5, 121.5)*CHOOSE(CONTROL!$C$42, 30, 30))/1000000</f>
        <v>0.417717</v>
      </c>
      <c r="X1017" s="57">
        <f>(30*0.1790888*245000/1000000)+(30*0.2374*100000/1000000)</f>
        <v>2.0285026799999999</v>
      </c>
      <c r="Y1017" s="57"/>
      <c r="Z1017" s="10"/>
      <c r="AA1017" s="56"/>
      <c r="AB1017" s="50">
        <f>(B1017*194.205+C1017*267.466+D1017*133.845+E1017*53.484+F1017*40+G1017*185+H1017*0+I1017*100+J1017*300)/(194.205+267.466+133.845+53.484+0+40+185+100+300)</f>
        <v>98.615547935321814</v>
      </c>
      <c r="AC1017" s="45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97.701661151079136</v>
      </c>
    </row>
    <row r="1018" spans="1:29" ht="15.75" x14ac:dyDescent="0.25">
      <c r="A1018" s="13">
        <v>71894</v>
      </c>
      <c r="B1018" s="10">
        <f>CHOOSE(CONTROL!$C$42, 96.5871, 96.5871) * CHOOSE(CONTROL!$C$21, $C$9, 100%, $E$9)</f>
        <v>96.587100000000007</v>
      </c>
      <c r="C1018" s="10">
        <f>CHOOSE(CONTROL!$C$42, 96.5923, 96.5923) * CHOOSE(CONTROL!$C$21, $C$9, 100%, $E$9)</f>
        <v>96.592299999999994</v>
      </c>
      <c r="D1018" s="10">
        <f>CHOOSE(CONTROL!$C$42, 96.8, 96.8) * CHOOSE(CONTROL!$C$21, $C$9, 100%, $E$9)</f>
        <v>96.8</v>
      </c>
      <c r="E1018" s="10">
        <f>CHOOSE(CONTROL!$C$42, 96.8288, 96.8288) * CHOOSE(CONTROL!$C$21, $C$9, 100%, $E$9)</f>
        <v>96.828800000000001</v>
      </c>
      <c r="F1018" s="10">
        <f>CHOOSE(CONTROL!$C$42, 96.5658, 96.5658)*CHOOSE(CONTROL!$C$21, $C$9, 100%, $E$9)</f>
        <v>96.565799999999996</v>
      </c>
      <c r="G1018" s="10">
        <f>CHOOSE(CONTROL!$C$42, 96.5808, 96.5808)*CHOOSE(CONTROL!$C$21, $C$9, 100%, $E$9)</f>
        <v>96.580799999999996</v>
      </c>
      <c r="H1018" s="10">
        <f>CHOOSE(CONTROL!$C$42, 96.8193, 96.8193) * CHOOSE(CONTROL!$C$21, $C$9, 100%, $E$9)</f>
        <v>96.819299999999998</v>
      </c>
      <c r="I1018" s="10">
        <f>CHOOSE(CONTROL!$C$42, 96.5889, 96.5889)* CHOOSE(CONTROL!$C$21, $C$9, 100%, $E$9)</f>
        <v>96.588899999999995</v>
      </c>
      <c r="J1018" s="10">
        <f>CHOOSE(CONTROL!$C$42, 96.5588, 96.5588)* CHOOSE(CONTROL!$C$21, $C$9, 100%, $E$9)</f>
        <v>96.558800000000005</v>
      </c>
      <c r="K1018" s="53">
        <f>CHOOSE(CONTROL!$C$42, 96.585, 96.585) * CHOOSE(CONTROL!$C$21, $C$9, 100%, $E$9)</f>
        <v>96.584999999999994</v>
      </c>
      <c r="L1018" s="10">
        <f>CHOOSE(CONTROL!$C$42, 97.4063, 97.4063) * CHOOSE(CONTROL!$C$21, $C$9, 100%, $E$9)</f>
        <v>97.406300000000002</v>
      </c>
      <c r="M1018" s="10">
        <f>CHOOSE(CONTROL!$C$42, 95.5982, 95.5982) * CHOOSE(CONTROL!$C$21, $C$9, 100%, $E$9)</f>
        <v>95.598200000000006</v>
      </c>
      <c r="N1018" s="10">
        <f>CHOOSE(CONTROL!$C$42, 95.613, 95.613) * CHOOSE(CONTROL!$C$21, $C$9, 100%, $E$9)</f>
        <v>95.613</v>
      </c>
      <c r="O1018" s="10">
        <f>CHOOSE(CONTROL!$C$42, 95.8561, 95.8561) * CHOOSE(CONTROL!$C$21, $C$9, 100%, $E$9)</f>
        <v>95.856099999999998</v>
      </c>
      <c r="P1018" s="10">
        <f>CHOOSE(CONTROL!$C$42, 95.628, 95.628) * CHOOSE(CONTROL!$C$21, $C$9, 100%, $E$9)</f>
        <v>95.628</v>
      </c>
      <c r="Q1018" s="10">
        <f>CHOOSE(CONTROL!$C$42, 96.4514, 96.4514) * CHOOSE(CONTROL!$C$21, $C$9, 100%, $E$9)</f>
        <v>96.451400000000007</v>
      </c>
      <c r="R1018" s="10">
        <f>CHOOSE(CONTROL!$C$42, 97.2795, 97.2795) * CHOOSE(CONTROL!$C$21, $C$9, 100%, $E$9)</f>
        <v>97.279499999999999</v>
      </c>
      <c r="S1018" s="10">
        <f>CHOOSE(CONTROL!$C$42, 93.7932, 93.7932) * CHOOSE(CONTROL!$C$21, $C$9, 100%, $E$9)</f>
        <v>93.793199999999999</v>
      </c>
      <c r="T10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57">
        <f>(1000*CHOOSE(CONTROL!$C$42, 695, 695)*CHOOSE(CONTROL!$C$42, 0.5599, 0.5599)*CHOOSE(CONTROL!$C$42, 31, 31))/1000000</f>
        <v>12.063045499999998</v>
      </c>
      <c r="V1018" s="57">
        <f>(1000*CHOOSE(CONTROL!$C$42, 500, 500)*CHOOSE(CONTROL!$C$42, 0.275, 0.275)*CHOOSE(CONTROL!$C$42, 31, 31))/1000000</f>
        <v>4.2625000000000002</v>
      </c>
      <c r="W1018" s="57">
        <f>(1000*CHOOSE(CONTROL!$C$42, 0.1146, 0.1146)*CHOOSE(CONTROL!$C$42, 121.5, 121.5)*CHOOSE(CONTROL!$C$42, 31, 31))/1000000</f>
        <v>0.43164089999999994</v>
      </c>
      <c r="X1018" s="57">
        <f>(31*0.1790888*245000/1000000)+(31*0.2374*100000/1000000)</f>
        <v>2.0961194359999999</v>
      </c>
      <c r="Y1018" s="57"/>
      <c r="Z1018" s="10"/>
      <c r="AA1018" s="56"/>
      <c r="AB1018" s="50">
        <f>(B1018*131.881+C1018*277.167+D1018*79.08+E1018*125.872+F1018*40+G1018*185+H1018*0+I1018*100+J1018*300)/(131.881+277.167+79.08+125.872+0+40+185+100+300)</f>
        <v>96.618071075706212</v>
      </c>
      <c r="AC1018" s="45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95.720229496402879</v>
      </c>
    </row>
    <row r="1019" spans="1:29" ht="15.75" x14ac:dyDescent="0.25">
      <c r="A1019" s="13">
        <v>71924</v>
      </c>
      <c r="B1019" s="10">
        <f>CHOOSE(CONTROL!$C$42, 99.1312, 99.1312) * CHOOSE(CONTROL!$C$21, $C$9, 100%, $E$9)</f>
        <v>99.131200000000007</v>
      </c>
      <c r="C1019" s="10">
        <f>CHOOSE(CONTROL!$C$42, 99.1361, 99.1361) * CHOOSE(CONTROL!$C$21, $C$9, 100%, $E$9)</f>
        <v>99.136099999999999</v>
      </c>
      <c r="D1019" s="10">
        <f>CHOOSE(CONTROL!$C$42, 99.1966, 99.1966) * CHOOSE(CONTROL!$C$21, $C$9, 100%, $E$9)</f>
        <v>99.196600000000004</v>
      </c>
      <c r="E1019" s="10">
        <f>CHOOSE(CONTROL!$C$42, 99.2304, 99.2304) * CHOOSE(CONTROL!$C$21, $C$9, 100%, $E$9)</f>
        <v>99.230400000000003</v>
      </c>
      <c r="F1019" s="10">
        <f>CHOOSE(CONTROL!$C$42, 99.1268, 99.1268)*CHOOSE(CONTROL!$C$21, $C$9, 100%, $E$9)</f>
        <v>99.126800000000003</v>
      </c>
      <c r="G1019" s="10">
        <f>CHOOSE(CONTROL!$C$42, 99.142, 99.142)*CHOOSE(CONTROL!$C$21, $C$9, 100%, $E$9)</f>
        <v>99.141999999999996</v>
      </c>
      <c r="H1019" s="10">
        <f>CHOOSE(CONTROL!$C$42, 99.2196, 99.2196) * CHOOSE(CONTROL!$C$21, $C$9, 100%, $E$9)</f>
        <v>99.2196</v>
      </c>
      <c r="I1019" s="10">
        <f>CHOOSE(CONTROL!$C$42, 99.1437, 99.1437)* CHOOSE(CONTROL!$C$21, $C$9, 100%, $E$9)</f>
        <v>99.143699999999995</v>
      </c>
      <c r="J1019" s="10">
        <f>CHOOSE(CONTROL!$C$42, 99.1198, 99.1198)* CHOOSE(CONTROL!$C$21, $C$9, 100%, $E$9)</f>
        <v>99.119799999999998</v>
      </c>
      <c r="K1019" s="53">
        <f>CHOOSE(CONTROL!$C$42, 99.1398, 99.1398) * CHOOSE(CONTROL!$C$21, $C$9, 100%, $E$9)</f>
        <v>99.139799999999994</v>
      </c>
      <c r="L1019" s="10">
        <f>CHOOSE(CONTROL!$C$42, 99.8066, 99.8066) * CHOOSE(CONTROL!$C$21, $C$9, 100%, $E$9)</f>
        <v>99.806600000000003</v>
      </c>
      <c r="M1019" s="10">
        <f>CHOOSE(CONTROL!$C$42, 98.1334, 98.1334) * CHOOSE(CONTROL!$C$21, $C$9, 100%, $E$9)</f>
        <v>98.133399999999995</v>
      </c>
      <c r="N1019" s="10">
        <f>CHOOSE(CONTROL!$C$42, 98.1484, 98.1484) * CHOOSE(CONTROL!$C$21, $C$9, 100%, $E$9)</f>
        <v>98.148399999999995</v>
      </c>
      <c r="O1019" s="10">
        <f>CHOOSE(CONTROL!$C$42, 98.2321, 98.2321) * CHOOSE(CONTROL!$C$21, $C$9, 100%, $E$9)</f>
        <v>98.232100000000003</v>
      </c>
      <c r="P1019" s="10">
        <f>CHOOSE(CONTROL!$C$42, 98.157, 98.157) * CHOOSE(CONTROL!$C$21, $C$9, 100%, $E$9)</f>
        <v>98.156999999999996</v>
      </c>
      <c r="Q1019" s="10">
        <f>CHOOSE(CONTROL!$C$42, 98.8274, 98.8274) * CHOOSE(CONTROL!$C$21, $C$9, 100%, $E$9)</f>
        <v>98.827399999999997</v>
      </c>
      <c r="R1019" s="10">
        <f>CHOOSE(CONTROL!$C$42, 99.6615, 99.6615) * CHOOSE(CONTROL!$C$21, $C$9, 100%, $E$9)</f>
        <v>99.661500000000004</v>
      </c>
      <c r="S1019" s="10">
        <f>CHOOSE(CONTROL!$C$42, 96.2642, 96.2642) * CHOOSE(CONTROL!$C$21, $C$9, 100%, $E$9)</f>
        <v>96.264200000000002</v>
      </c>
      <c r="T10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57">
        <f>(1000*CHOOSE(CONTROL!$C$42, 695, 695)*CHOOSE(CONTROL!$C$42, 0.5599, 0.5599)*CHOOSE(CONTROL!$C$42, 30, 30))/1000000</f>
        <v>11.673914999999997</v>
      </c>
      <c r="V1019" s="57">
        <f>(1000*CHOOSE(CONTROL!$C$42, 500, 500)*CHOOSE(CONTROL!$C$42, 0.275, 0.275)*CHOOSE(CONTROL!$C$42, 30, 30))/1000000</f>
        <v>4.125</v>
      </c>
      <c r="W1019" s="57">
        <f>(1000*CHOOSE(CONTROL!$C$42, 0.1146, 0.1146)*CHOOSE(CONTROL!$C$42, 121.5, 121.5)*CHOOSE(CONTROL!$C$42, 30, 30))/1000000</f>
        <v>0.417717</v>
      </c>
      <c r="X1019" s="57">
        <f>(30*0.1790888*100000/1000000)+(30*0.2374*100000/1000000)</f>
        <v>1.2494664</v>
      </c>
      <c r="Y1019" s="57"/>
      <c r="Z1019" s="10"/>
      <c r="AA1019" s="56"/>
      <c r="AB1019" s="50">
        <f>(B1019*122.58+C1019*297.941+D1019*89.177+E1019*40.302+F1019*40+G1019*160+H1019*0+I1019*100+J1019*300)/(122.58+297.941+89.177+40.302+0+40+160+100+300)</f>
        <v>99.140480039217394</v>
      </c>
      <c r="AC1019" s="45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98.182393525179862</v>
      </c>
    </row>
    <row r="1020" spans="1:29" ht="15.75" x14ac:dyDescent="0.25">
      <c r="A1020" s="13">
        <v>71955</v>
      </c>
      <c r="B1020" s="10">
        <f>CHOOSE(CONTROL!$C$42, 105.8897, 105.8897) * CHOOSE(CONTROL!$C$21, $C$9, 100%, $E$9)</f>
        <v>105.8897</v>
      </c>
      <c r="C1020" s="10">
        <f>CHOOSE(CONTROL!$C$42, 105.8947, 105.8947) * CHOOSE(CONTROL!$C$21, $C$9, 100%, $E$9)</f>
        <v>105.8947</v>
      </c>
      <c r="D1020" s="10">
        <f>CHOOSE(CONTROL!$C$42, 105.9552, 105.9552) * CHOOSE(CONTROL!$C$21, $C$9, 100%, $E$9)</f>
        <v>105.9552</v>
      </c>
      <c r="E1020" s="10">
        <f>CHOOSE(CONTROL!$C$42, 105.9889, 105.9889) * CHOOSE(CONTROL!$C$21, $C$9, 100%, $E$9)</f>
        <v>105.9889</v>
      </c>
      <c r="F1020" s="10">
        <f>CHOOSE(CONTROL!$C$42, 105.8872, 105.8872)*CHOOSE(CONTROL!$C$21, $C$9, 100%, $E$9)</f>
        <v>105.88720000000001</v>
      </c>
      <c r="G1020" s="10">
        <f>CHOOSE(CONTROL!$C$42, 105.9029, 105.9029)*CHOOSE(CONTROL!$C$21, $C$9, 100%, $E$9)</f>
        <v>105.9029</v>
      </c>
      <c r="H1020" s="10">
        <f>CHOOSE(CONTROL!$C$42, 105.9781, 105.9781) * CHOOSE(CONTROL!$C$21, $C$9, 100%, $E$9)</f>
        <v>105.9781</v>
      </c>
      <c r="I1020" s="10">
        <f>CHOOSE(CONTROL!$C$42, 105.9022, 105.9022)* CHOOSE(CONTROL!$C$21, $C$9, 100%, $E$9)</f>
        <v>105.90219999999999</v>
      </c>
      <c r="J1020" s="10">
        <f>CHOOSE(CONTROL!$C$42, 105.8802, 105.8802)* CHOOSE(CONTROL!$C$21, $C$9, 100%, $E$9)</f>
        <v>105.8802</v>
      </c>
      <c r="K1020" s="53">
        <f>CHOOSE(CONTROL!$C$42, 105.8983, 105.8983) * CHOOSE(CONTROL!$C$21, $C$9, 100%, $E$9)</f>
        <v>105.89830000000001</v>
      </c>
      <c r="L1020" s="10">
        <f>CHOOSE(CONTROL!$C$42, 106.5651, 106.5651) * CHOOSE(CONTROL!$C$21, $C$9, 100%, $E$9)</f>
        <v>106.5651</v>
      </c>
      <c r="M1020" s="10">
        <f>CHOOSE(CONTROL!$C$42, 104.8255, 104.8255) * CHOOSE(CONTROL!$C$21, $C$9, 100%, $E$9)</f>
        <v>104.82550000000001</v>
      </c>
      <c r="N1020" s="10">
        <f>CHOOSE(CONTROL!$C$42, 104.841, 104.841) * CHOOSE(CONTROL!$C$21, $C$9, 100%, $E$9)</f>
        <v>104.84099999999999</v>
      </c>
      <c r="O1020" s="10">
        <f>CHOOSE(CONTROL!$C$42, 104.9225, 104.9225) * CHOOSE(CONTROL!$C$21, $C$9, 100%, $E$9)</f>
        <v>104.9225</v>
      </c>
      <c r="P1020" s="10">
        <f>CHOOSE(CONTROL!$C$42, 104.8473, 104.8473) * CHOOSE(CONTROL!$C$21, $C$9, 100%, $E$9)</f>
        <v>104.8473</v>
      </c>
      <c r="Q1020" s="10">
        <f>CHOOSE(CONTROL!$C$42, 105.5178, 105.5178) * CHOOSE(CONTROL!$C$21, $C$9, 100%, $E$9)</f>
        <v>105.51779999999999</v>
      </c>
      <c r="R1020" s="10">
        <f>CHOOSE(CONTROL!$C$42, 106.3686, 106.3686) * CHOOSE(CONTROL!$C$21, $C$9, 100%, $E$9)</f>
        <v>106.3686</v>
      </c>
      <c r="S1020" s="10">
        <f>CHOOSE(CONTROL!$C$42, 102.8274, 102.8274) * CHOOSE(CONTROL!$C$21, $C$9, 100%, $E$9)</f>
        <v>102.8274</v>
      </c>
      <c r="T10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57">
        <f>(1000*CHOOSE(CONTROL!$C$42, 695, 695)*CHOOSE(CONTROL!$C$42, 0.5599, 0.5599)*CHOOSE(CONTROL!$C$42, 31, 31))/1000000</f>
        <v>12.063045499999998</v>
      </c>
      <c r="V1020" s="57">
        <f>(1000*CHOOSE(CONTROL!$C$42, 500, 500)*CHOOSE(CONTROL!$C$42, 0.275, 0.275)*CHOOSE(CONTROL!$C$42, 31, 31))/1000000</f>
        <v>4.2625000000000002</v>
      </c>
      <c r="W1020" s="57">
        <f>(1000*CHOOSE(CONTROL!$C$42, 0.1146, 0.1146)*CHOOSE(CONTROL!$C$42, 121.5, 121.5)*CHOOSE(CONTROL!$C$42, 31, 31))/1000000</f>
        <v>0.43164089999999994</v>
      </c>
      <c r="X1020" s="57">
        <f>(31*0.1790888*100000/1000000)+(31*0.2374*100000/1000000)</f>
        <v>1.2911152800000001</v>
      </c>
      <c r="Y1020" s="57"/>
      <c r="Z1020" s="10"/>
      <c r="AA1020" s="56"/>
      <c r="AB1020" s="50">
        <f>(B1020*122.58+C1020*297.941+D1020*89.177+E1020*40.302+F1020*40+G1020*160+H1020*0+I1020*100+J1020*300)/(122.58+297.941+89.177+40.302+0+40+160+100+300)</f>
        <v>105.89990935382608</v>
      </c>
      <c r="AC1020" s="45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104.87349280575539</v>
      </c>
    </row>
    <row r="1021" spans="1:29" ht="15.75" x14ac:dyDescent="0.25">
      <c r="A1021" s="13">
        <v>71986</v>
      </c>
      <c r="B1021" s="10">
        <f>CHOOSE(CONTROL!$C$42, 114.5658, 114.5658) * CHOOSE(CONTROL!$C$21, $C$9, 100%, $E$9)</f>
        <v>114.5658</v>
      </c>
      <c r="C1021" s="10">
        <f>CHOOSE(CONTROL!$C$42, 114.5707, 114.5707) * CHOOSE(CONTROL!$C$21, $C$9, 100%, $E$9)</f>
        <v>114.5707</v>
      </c>
      <c r="D1021" s="10">
        <f>CHOOSE(CONTROL!$C$42, 114.6278, 114.6278) * CHOOSE(CONTROL!$C$21, $C$9, 100%, $E$9)</f>
        <v>114.62779999999999</v>
      </c>
      <c r="E1021" s="10">
        <f>CHOOSE(CONTROL!$C$42, 114.6616, 114.6616) * CHOOSE(CONTROL!$C$21, $C$9, 100%, $E$9)</f>
        <v>114.66160000000001</v>
      </c>
      <c r="F1021" s="10">
        <f>CHOOSE(CONTROL!$C$42, 114.5636, 114.5636)*CHOOSE(CONTROL!$C$21, $C$9, 100%, $E$9)</f>
        <v>114.56359999999999</v>
      </c>
      <c r="G1021" s="10">
        <f>CHOOSE(CONTROL!$C$42, 114.5782, 114.5782)*CHOOSE(CONTROL!$C$21, $C$9, 100%, $E$9)</f>
        <v>114.5782</v>
      </c>
      <c r="H1021" s="10">
        <f>CHOOSE(CONTROL!$C$42, 114.6507, 114.6507) * CHOOSE(CONTROL!$C$21, $C$9, 100%, $E$9)</f>
        <v>114.6507</v>
      </c>
      <c r="I1021" s="10">
        <f>CHOOSE(CONTROL!$C$42, 114.5765, 114.5765)* CHOOSE(CONTROL!$C$21, $C$9, 100%, $E$9)</f>
        <v>114.5765</v>
      </c>
      <c r="J1021" s="10">
        <f>CHOOSE(CONTROL!$C$42, 114.5566, 114.5566)* CHOOSE(CONTROL!$C$21, $C$9, 100%, $E$9)</f>
        <v>114.5566</v>
      </c>
      <c r="K1021" s="53">
        <f>CHOOSE(CONTROL!$C$42, 114.5727, 114.5727) * CHOOSE(CONTROL!$C$21, $C$9, 100%, $E$9)</f>
        <v>114.5727</v>
      </c>
      <c r="L1021" s="10">
        <f>CHOOSE(CONTROL!$C$42, 115.2377, 115.2377) * CHOOSE(CONTROL!$C$21, $C$9, 100%, $E$9)</f>
        <v>115.2377</v>
      </c>
      <c r="M1021" s="10">
        <f>CHOOSE(CONTROL!$C$42, 113.4143, 113.4143) * CHOOSE(CONTROL!$C$21, $C$9, 100%, $E$9)</f>
        <v>113.4143</v>
      </c>
      <c r="N1021" s="10">
        <f>CHOOSE(CONTROL!$C$42, 113.4288, 113.4288) * CHOOSE(CONTROL!$C$21, $C$9, 100%, $E$9)</f>
        <v>113.4288</v>
      </c>
      <c r="O1021" s="10">
        <f>CHOOSE(CONTROL!$C$42, 113.5075, 113.5075) * CHOOSE(CONTROL!$C$21, $C$9, 100%, $E$9)</f>
        <v>113.50749999999999</v>
      </c>
      <c r="P1021" s="10">
        <f>CHOOSE(CONTROL!$C$42, 113.4341, 113.4341) * CHOOSE(CONTROL!$C$21, $C$9, 100%, $E$9)</f>
        <v>113.4341</v>
      </c>
      <c r="Q1021" s="10">
        <f>CHOOSE(CONTROL!$C$42, 114.1028, 114.1028) * CHOOSE(CONTROL!$C$21, $C$9, 100%, $E$9)</f>
        <v>114.1028</v>
      </c>
      <c r="R1021" s="10">
        <f>CHOOSE(CONTROL!$C$42, 114.9751, 114.9751) * CHOOSE(CONTROL!$C$21, $C$9, 100%, $E$9)</f>
        <v>114.9751</v>
      </c>
      <c r="S1021" s="10">
        <f>CHOOSE(CONTROL!$C$42, 111.2527, 111.2527) * CHOOSE(CONTROL!$C$21, $C$9, 100%, $E$9)</f>
        <v>111.2527</v>
      </c>
      <c r="T10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57">
        <f>(1000*CHOOSE(CONTROL!$C$42, 695, 695)*CHOOSE(CONTROL!$C$42, 0.5599, 0.5599)*CHOOSE(CONTROL!$C$42, 31, 31))/1000000</f>
        <v>12.063045499999998</v>
      </c>
      <c r="V1021" s="57">
        <f>(1000*CHOOSE(CONTROL!$C$42, 500, 500)*CHOOSE(CONTROL!$C$42, 0.275, 0.275)*CHOOSE(CONTROL!$C$42, 31, 31))/1000000</f>
        <v>4.2625000000000002</v>
      </c>
      <c r="W1021" s="57">
        <f>(1000*CHOOSE(CONTROL!$C$42, 0.1146, 0.1146)*CHOOSE(CONTROL!$C$42, 121.5, 121.5)*CHOOSE(CONTROL!$C$42, 31, 31))/1000000</f>
        <v>0.43164089999999994</v>
      </c>
      <c r="X1021" s="57">
        <f>(31*0.1790888*100000/1000000)+(31*0.2374*100000/1000000)</f>
        <v>1.2911152800000001</v>
      </c>
      <c r="Y1021" s="57"/>
      <c r="Z1021" s="10"/>
      <c r="AA1021" s="56"/>
      <c r="AB1021" s="50">
        <f>(B1021*122.58+C1021*297.941+D1021*89.177+E1021*40.302+F1021*40+G1021*160+H1021*0+I1021*100+J1021*300)/(122.58+297.941+89.177+40.302+0+40+160+100+300)</f>
        <v>114.57541375347826</v>
      </c>
      <c r="AC1021" s="45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113.46022517985611</v>
      </c>
    </row>
    <row r="1022" spans="1:29" ht="15.75" x14ac:dyDescent="0.25">
      <c r="A1022" s="13">
        <v>72014</v>
      </c>
      <c r="B1022" s="10">
        <f>CHOOSE(CONTROL!$C$42, 116.6051, 116.6051) * CHOOSE(CONTROL!$C$21, $C$9, 100%, $E$9)</f>
        <v>116.60509999999999</v>
      </c>
      <c r="C1022" s="10">
        <f>CHOOSE(CONTROL!$C$42, 116.6101, 116.6101) * CHOOSE(CONTROL!$C$21, $C$9, 100%, $E$9)</f>
        <v>116.6101</v>
      </c>
      <c r="D1022" s="10">
        <f>CHOOSE(CONTROL!$C$42, 116.6672, 116.6672) * CHOOSE(CONTROL!$C$21, $C$9, 100%, $E$9)</f>
        <v>116.66719999999999</v>
      </c>
      <c r="E1022" s="10">
        <f>CHOOSE(CONTROL!$C$42, 116.7009, 116.7009) * CHOOSE(CONTROL!$C$21, $C$9, 100%, $E$9)</f>
        <v>116.7009</v>
      </c>
      <c r="F1022" s="10">
        <f>CHOOSE(CONTROL!$C$42, 116.6031, 116.6031)*CHOOSE(CONTROL!$C$21, $C$9, 100%, $E$9)</f>
        <v>116.6031</v>
      </c>
      <c r="G1022" s="10">
        <f>CHOOSE(CONTROL!$C$42, 116.6177, 116.6177)*CHOOSE(CONTROL!$C$21, $C$9, 100%, $E$9)</f>
        <v>116.6177</v>
      </c>
      <c r="H1022" s="10">
        <f>CHOOSE(CONTROL!$C$42, 116.6901, 116.6901) * CHOOSE(CONTROL!$C$21, $C$9, 100%, $E$9)</f>
        <v>116.6901</v>
      </c>
      <c r="I1022" s="10">
        <f>CHOOSE(CONTROL!$C$42, 116.6159, 116.6159)* CHOOSE(CONTROL!$C$21, $C$9, 100%, $E$9)</f>
        <v>116.6159</v>
      </c>
      <c r="J1022" s="10">
        <f>CHOOSE(CONTROL!$C$42, 116.5961, 116.5961)* CHOOSE(CONTROL!$C$21, $C$9, 100%, $E$9)</f>
        <v>116.59610000000001</v>
      </c>
      <c r="K1022" s="53">
        <f>CHOOSE(CONTROL!$C$42, 116.612, 116.612) * CHOOSE(CONTROL!$C$21, $C$9, 100%, $E$9)</f>
        <v>116.61199999999999</v>
      </c>
      <c r="L1022" s="10">
        <f>CHOOSE(CONTROL!$C$42, 117.2771, 117.2771) * CHOOSE(CONTROL!$C$21, $C$9, 100%, $E$9)</f>
        <v>117.2771</v>
      </c>
      <c r="M1022" s="10">
        <f>CHOOSE(CONTROL!$C$42, 115.4332, 115.4332) * CHOOSE(CONTROL!$C$21, $C$9, 100%, $E$9)</f>
        <v>115.4332</v>
      </c>
      <c r="N1022" s="10">
        <f>CHOOSE(CONTROL!$C$42, 115.4477, 115.4477) * CHOOSE(CONTROL!$C$21, $C$9, 100%, $E$9)</f>
        <v>115.4477</v>
      </c>
      <c r="O1022" s="10">
        <f>CHOOSE(CONTROL!$C$42, 115.5264, 115.5264) * CHOOSE(CONTROL!$C$21, $C$9, 100%, $E$9)</f>
        <v>115.5264</v>
      </c>
      <c r="P1022" s="10">
        <f>CHOOSE(CONTROL!$C$42, 115.4529, 115.4529) * CHOOSE(CONTROL!$C$21, $C$9, 100%, $E$9)</f>
        <v>115.4529</v>
      </c>
      <c r="Q1022" s="10">
        <f>CHOOSE(CONTROL!$C$42, 116.1217, 116.1217) * CHOOSE(CONTROL!$C$21, $C$9, 100%, $E$9)</f>
        <v>116.1217</v>
      </c>
      <c r="R1022" s="10">
        <f>CHOOSE(CONTROL!$C$42, 116.999, 116.999) * CHOOSE(CONTROL!$C$21, $C$9, 100%, $E$9)</f>
        <v>116.999</v>
      </c>
      <c r="S1022" s="10">
        <f>CHOOSE(CONTROL!$C$42, 113.2331, 113.2331) * CHOOSE(CONTROL!$C$21, $C$9, 100%, $E$9)</f>
        <v>113.23309999999999</v>
      </c>
      <c r="T10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57">
        <f>(1000*CHOOSE(CONTROL!$C$42, 695, 695)*CHOOSE(CONTROL!$C$42, 0.5599, 0.5599)*CHOOSE(CONTROL!$C$42, 28, 28))/1000000</f>
        <v>10.895653999999999</v>
      </c>
      <c r="V1022" s="57">
        <f>(1000*CHOOSE(CONTROL!$C$42, 500, 500)*CHOOSE(CONTROL!$C$42, 0.275, 0.275)*CHOOSE(CONTROL!$C$42, 28, 28))/1000000</f>
        <v>3.85</v>
      </c>
      <c r="W1022" s="57">
        <f>(1000*CHOOSE(CONTROL!$C$42, 0.1146, 0.1146)*CHOOSE(CONTROL!$C$42, 121.5, 121.5)*CHOOSE(CONTROL!$C$42, 28, 28))/1000000</f>
        <v>0.38986920000000003</v>
      </c>
      <c r="X1022" s="57">
        <f>(28*0.1790888*100000/1000000)+(28*0.2374*100000/1000000)</f>
        <v>1.16616864</v>
      </c>
      <c r="Y1022" s="57"/>
      <c r="Z1022" s="10"/>
      <c r="AA1022" s="56"/>
      <c r="AB1022" s="50">
        <f>(B1022*122.58+C1022*297.941+D1022*89.177+E1022*40.302+F1022*40+G1022*160+H1022*0+I1022*100+J1022*300)/(122.58+297.941+89.177+40.302+0+40+160+100+300)</f>
        <v>116.61484306808696</v>
      </c>
      <c r="AC1022" s="45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115.47911079136689</v>
      </c>
    </row>
    <row r="1023" spans="1:29" ht="15.75" x14ac:dyDescent="0.25">
      <c r="A1023" s="13">
        <v>72045</v>
      </c>
      <c r="B1023" s="10">
        <f>CHOOSE(CONTROL!$C$42, 113.2947, 113.2947) * CHOOSE(CONTROL!$C$21, $C$9, 100%, $E$9)</f>
        <v>113.29470000000001</v>
      </c>
      <c r="C1023" s="10">
        <f>CHOOSE(CONTROL!$C$42, 113.2997, 113.2997) * CHOOSE(CONTROL!$C$21, $C$9, 100%, $E$9)</f>
        <v>113.2997</v>
      </c>
      <c r="D1023" s="10">
        <f>CHOOSE(CONTROL!$C$42, 113.3567, 113.3567) * CHOOSE(CONTROL!$C$21, $C$9, 100%, $E$9)</f>
        <v>113.3567</v>
      </c>
      <c r="E1023" s="10">
        <f>CHOOSE(CONTROL!$C$42, 113.3905, 113.3905) * CHOOSE(CONTROL!$C$21, $C$9, 100%, $E$9)</f>
        <v>113.3905</v>
      </c>
      <c r="F1023" s="10">
        <f>CHOOSE(CONTROL!$C$42, 113.2925, 113.2925)*CHOOSE(CONTROL!$C$21, $C$9, 100%, $E$9)</f>
        <v>113.2925</v>
      </c>
      <c r="G1023" s="10">
        <f>CHOOSE(CONTROL!$C$42, 113.3071, 113.3071)*CHOOSE(CONTROL!$C$21, $C$9, 100%, $E$9)</f>
        <v>113.30710000000001</v>
      </c>
      <c r="H1023" s="10">
        <f>CHOOSE(CONTROL!$C$42, 113.3797, 113.3797) * CHOOSE(CONTROL!$C$21, $C$9, 100%, $E$9)</f>
        <v>113.3797</v>
      </c>
      <c r="I1023" s="10">
        <f>CHOOSE(CONTROL!$C$42, 113.3055, 113.3055)* CHOOSE(CONTROL!$C$21, $C$9, 100%, $E$9)</f>
        <v>113.30549999999999</v>
      </c>
      <c r="J1023" s="10">
        <f>CHOOSE(CONTROL!$C$42, 113.2855, 113.2855)* CHOOSE(CONTROL!$C$21, $C$9, 100%, $E$9)</f>
        <v>113.2855</v>
      </c>
      <c r="K1023" s="53">
        <f>CHOOSE(CONTROL!$C$42, 113.3016, 113.3016) * CHOOSE(CONTROL!$C$21, $C$9, 100%, $E$9)</f>
        <v>113.30159999999999</v>
      </c>
      <c r="L1023" s="10">
        <f>CHOOSE(CONTROL!$C$42, 113.9667, 113.9667) * CHOOSE(CONTROL!$C$21, $C$9, 100%, $E$9)</f>
        <v>113.9667</v>
      </c>
      <c r="M1023" s="10">
        <f>CHOOSE(CONTROL!$C$42, 112.1561, 112.1561) * CHOOSE(CONTROL!$C$21, $C$9, 100%, $E$9)</f>
        <v>112.1561</v>
      </c>
      <c r="N1023" s="10">
        <f>CHOOSE(CONTROL!$C$42, 112.1706, 112.1706) * CHOOSE(CONTROL!$C$21, $C$9, 100%, $E$9)</f>
        <v>112.17059999999999</v>
      </c>
      <c r="O1023" s="10">
        <f>CHOOSE(CONTROL!$C$42, 112.2493, 112.2493) * CHOOSE(CONTROL!$C$21, $C$9, 100%, $E$9)</f>
        <v>112.24930000000001</v>
      </c>
      <c r="P1023" s="10">
        <f>CHOOSE(CONTROL!$C$42, 112.1759, 112.1759) * CHOOSE(CONTROL!$C$21, $C$9, 100%, $E$9)</f>
        <v>112.1759</v>
      </c>
      <c r="Q1023" s="10">
        <f>CHOOSE(CONTROL!$C$42, 112.8446, 112.8446) * CHOOSE(CONTROL!$C$21, $C$9, 100%, $E$9)</f>
        <v>112.8446</v>
      </c>
      <c r="R1023" s="10">
        <f>CHOOSE(CONTROL!$C$42, 113.7138, 113.7138) * CHOOSE(CONTROL!$C$21, $C$9, 100%, $E$9)</f>
        <v>113.71380000000001</v>
      </c>
      <c r="S1023" s="10">
        <f>CHOOSE(CONTROL!$C$42, 110.0184, 110.0184) * CHOOSE(CONTROL!$C$21, $C$9, 100%, $E$9)</f>
        <v>110.0184</v>
      </c>
      <c r="T10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57">
        <f>(1000*CHOOSE(CONTROL!$C$42, 695, 695)*CHOOSE(CONTROL!$C$42, 0.5599, 0.5599)*CHOOSE(CONTROL!$C$42, 31, 31))/1000000</f>
        <v>12.063045499999998</v>
      </c>
      <c r="V1023" s="57">
        <f>(1000*CHOOSE(CONTROL!$C$42, 500, 500)*CHOOSE(CONTROL!$C$42, 0.275, 0.275)*CHOOSE(CONTROL!$C$42, 31, 31))/1000000</f>
        <v>4.2625000000000002</v>
      </c>
      <c r="W1023" s="57">
        <f>(1000*CHOOSE(CONTROL!$C$42, 0.1146, 0.1146)*CHOOSE(CONTROL!$C$42, 121.5, 121.5)*CHOOSE(CONTROL!$C$42, 31, 31))/1000000</f>
        <v>0.43164089999999994</v>
      </c>
      <c r="X1023" s="57">
        <f>(31*0.1790888*100000/1000000)+(31*0.2374*100000/1000000)</f>
        <v>1.2911152800000001</v>
      </c>
      <c r="Y1023" s="57"/>
      <c r="Z1023" s="10"/>
      <c r="AA1023" s="56"/>
      <c r="AB1023" s="50">
        <f>(B1023*122.58+C1023*297.941+D1023*89.177+E1023*40.302+F1023*40+G1023*160+H1023*0+I1023*100+J1023*300)/(122.58+297.941+89.177+40.302+0+40+160+100+300)</f>
        <v>113.30434835704347</v>
      </c>
      <c r="AC1023" s="45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112.20202517985612</v>
      </c>
    </row>
    <row r="1024" spans="1:29" ht="15.75" x14ac:dyDescent="0.25">
      <c r="A1024" s="13">
        <v>72075</v>
      </c>
      <c r="B1024" s="10">
        <f>CHOOSE(CONTROL!$C$42, 112.9567, 112.9567) * CHOOSE(CONTROL!$C$21, $C$9, 100%, $E$9)</f>
        <v>112.9567</v>
      </c>
      <c r="C1024" s="10">
        <f>CHOOSE(CONTROL!$C$42, 112.961, 112.961) * CHOOSE(CONTROL!$C$21, $C$9, 100%, $E$9)</f>
        <v>112.961</v>
      </c>
      <c r="D1024" s="10">
        <f>CHOOSE(CONTROL!$C$42, 113.1669, 113.1669) * CHOOSE(CONTROL!$C$21, $C$9, 100%, $E$9)</f>
        <v>113.1669</v>
      </c>
      <c r="E1024" s="10">
        <f>CHOOSE(CONTROL!$C$42, 113.1987, 113.1987) * CHOOSE(CONTROL!$C$21, $C$9, 100%, $E$9)</f>
        <v>113.1987</v>
      </c>
      <c r="F1024" s="10">
        <f>CHOOSE(CONTROL!$C$42, 112.9334, 112.9334)*CHOOSE(CONTROL!$C$21, $C$9, 100%, $E$9)</f>
        <v>112.93340000000001</v>
      </c>
      <c r="G1024" s="10">
        <f>CHOOSE(CONTROL!$C$42, 112.948, 112.948)*CHOOSE(CONTROL!$C$21, $C$9, 100%, $E$9)</f>
        <v>112.94799999999999</v>
      </c>
      <c r="H1024" s="10">
        <f>CHOOSE(CONTROL!$C$42, 113.1885, 113.1885) * CHOOSE(CONTROL!$C$21, $C$9, 100%, $E$9)</f>
        <v>113.1885</v>
      </c>
      <c r="I1024" s="10">
        <f>CHOOSE(CONTROL!$C$42, 112.9581, 112.9581)* CHOOSE(CONTROL!$C$21, $C$9, 100%, $E$9)</f>
        <v>112.9581</v>
      </c>
      <c r="J1024" s="10">
        <f>CHOOSE(CONTROL!$C$42, 112.9264, 112.9264)* CHOOSE(CONTROL!$C$21, $C$9, 100%, $E$9)</f>
        <v>112.9264</v>
      </c>
      <c r="K1024" s="53">
        <f>CHOOSE(CONTROL!$C$42, 112.9542, 112.9542) * CHOOSE(CONTROL!$C$21, $C$9, 100%, $E$9)</f>
        <v>112.9542</v>
      </c>
      <c r="L1024" s="10">
        <f>CHOOSE(CONTROL!$C$42, 113.7755, 113.7755) * CHOOSE(CONTROL!$C$21, $C$9, 100%, $E$9)</f>
        <v>113.77549999999999</v>
      </c>
      <c r="M1024" s="10">
        <f>CHOOSE(CONTROL!$C$42, 111.8006, 111.8006) * CHOOSE(CONTROL!$C$21, $C$9, 100%, $E$9)</f>
        <v>111.8006</v>
      </c>
      <c r="N1024" s="10">
        <f>CHOOSE(CONTROL!$C$42, 111.815, 111.815) * CHOOSE(CONTROL!$C$21, $C$9, 100%, $E$9)</f>
        <v>111.815</v>
      </c>
      <c r="O1024" s="10">
        <f>CHOOSE(CONTROL!$C$42, 112.06, 112.06) * CHOOSE(CONTROL!$C$21, $C$9, 100%, $E$9)</f>
        <v>112.06</v>
      </c>
      <c r="P1024" s="10">
        <f>CHOOSE(CONTROL!$C$42, 111.832, 111.832) * CHOOSE(CONTROL!$C$21, $C$9, 100%, $E$9)</f>
        <v>111.83199999999999</v>
      </c>
      <c r="Q1024" s="10">
        <f>CHOOSE(CONTROL!$C$42, 112.6553, 112.6553) * CHOOSE(CONTROL!$C$21, $C$9, 100%, $E$9)</f>
        <v>112.6553</v>
      </c>
      <c r="R1024" s="10">
        <f>CHOOSE(CONTROL!$C$42, 113.524, 113.524) * CHOOSE(CONTROL!$C$21, $C$9, 100%, $E$9)</f>
        <v>113.524</v>
      </c>
      <c r="S1024" s="10">
        <f>CHOOSE(CONTROL!$C$42, 109.6893, 109.6893) * CHOOSE(CONTROL!$C$21, $C$9, 100%, $E$9)</f>
        <v>109.6893</v>
      </c>
      <c r="T10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57">
        <f>(1000*CHOOSE(CONTROL!$C$42, 695, 695)*CHOOSE(CONTROL!$C$42, 0.5599, 0.5599)*CHOOSE(CONTROL!$C$42, 30, 30))/1000000</f>
        <v>11.673914999999997</v>
      </c>
      <c r="V1024" s="57">
        <f>(1000*CHOOSE(CONTROL!$C$42, 500, 500)*CHOOSE(CONTROL!$C$42, 0.275, 0.275)*CHOOSE(CONTROL!$C$42, 30, 30))/1000000</f>
        <v>4.125</v>
      </c>
      <c r="W1024" s="57">
        <f>(1000*CHOOSE(CONTROL!$C$42, 0.1146, 0.1146)*CHOOSE(CONTROL!$C$42, 121.5, 121.5)*CHOOSE(CONTROL!$C$42, 30, 30))/1000000</f>
        <v>0.417717</v>
      </c>
      <c r="X1024" s="57">
        <f>(30*0.1790888*245000/1000000)+(30*0.2374*100000/1000000)</f>
        <v>2.0285026799999999</v>
      </c>
      <c r="Y1024" s="57"/>
      <c r="Z1024" s="10"/>
      <c r="AA1024" s="56"/>
      <c r="AB1024" s="50">
        <f>(B1024*141.293+C1024*267.993+D1024*115.016+E1024*89.698+F1024*40+G1024*185+H1024*0+I1024*100+J1024*300)/(141.293+267.993+115.016+89.698+0+40+185+100+300)</f>
        <v>112.9853877716707</v>
      </c>
      <c r="AC1024" s="45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111.92351654676258</v>
      </c>
    </row>
    <row r="1025" spans="1:29" ht="15.75" x14ac:dyDescent="0.25">
      <c r="A1025" s="13">
        <v>72106</v>
      </c>
      <c r="B1025" s="10">
        <f>CHOOSE(CONTROL!$C$42, 113.955, 113.955) * CHOOSE(CONTROL!$C$21, $C$9, 100%, $E$9)</f>
        <v>113.955</v>
      </c>
      <c r="C1025" s="10">
        <f>CHOOSE(CONTROL!$C$42, 113.9629, 113.9629) * CHOOSE(CONTROL!$C$21, $C$9, 100%, $E$9)</f>
        <v>113.9629</v>
      </c>
      <c r="D1025" s="10">
        <f>CHOOSE(CONTROL!$C$42, 114.1657, 114.1657) * CHOOSE(CONTROL!$C$21, $C$9, 100%, $E$9)</f>
        <v>114.1657</v>
      </c>
      <c r="E1025" s="10">
        <f>CHOOSE(CONTROL!$C$42, 114.1968, 114.1968) * CHOOSE(CONTROL!$C$21, $C$9, 100%, $E$9)</f>
        <v>114.1968</v>
      </c>
      <c r="F1025" s="10">
        <f>CHOOSE(CONTROL!$C$42, 113.9307, 113.9307)*CHOOSE(CONTROL!$C$21, $C$9, 100%, $E$9)</f>
        <v>113.9307</v>
      </c>
      <c r="G1025" s="10">
        <f>CHOOSE(CONTROL!$C$42, 113.9457, 113.9457)*CHOOSE(CONTROL!$C$21, $C$9, 100%, $E$9)</f>
        <v>113.9457</v>
      </c>
      <c r="H1025" s="10">
        <f>CHOOSE(CONTROL!$C$42, 114.1854, 114.1854) * CHOOSE(CONTROL!$C$21, $C$9, 100%, $E$9)</f>
        <v>114.1854</v>
      </c>
      <c r="I1025" s="10">
        <f>CHOOSE(CONTROL!$C$42, 113.955, 113.955)* CHOOSE(CONTROL!$C$21, $C$9, 100%, $E$9)</f>
        <v>113.955</v>
      </c>
      <c r="J1025" s="10">
        <f>CHOOSE(CONTROL!$C$42, 113.9237, 113.9237)* CHOOSE(CONTROL!$C$21, $C$9, 100%, $E$9)</f>
        <v>113.9237</v>
      </c>
      <c r="K1025" s="53">
        <f>CHOOSE(CONTROL!$C$42, 113.9511, 113.9511) * CHOOSE(CONTROL!$C$21, $C$9, 100%, $E$9)</f>
        <v>113.9511</v>
      </c>
      <c r="L1025" s="10">
        <f>CHOOSE(CONTROL!$C$42, 114.7724, 114.7724) * CHOOSE(CONTROL!$C$21, $C$9, 100%, $E$9)</f>
        <v>114.7724</v>
      </c>
      <c r="M1025" s="10">
        <f>CHOOSE(CONTROL!$C$42, 112.7879, 112.7879) * CHOOSE(CONTROL!$C$21, $C$9, 100%, $E$9)</f>
        <v>112.78789999999999</v>
      </c>
      <c r="N1025" s="10">
        <f>CHOOSE(CONTROL!$C$42, 112.8027, 112.8027) * CHOOSE(CONTROL!$C$21, $C$9, 100%, $E$9)</f>
        <v>112.8027</v>
      </c>
      <c r="O1025" s="10">
        <f>CHOOSE(CONTROL!$C$42, 113.0469, 113.0469) * CHOOSE(CONTROL!$C$21, $C$9, 100%, $E$9)</f>
        <v>113.04689999999999</v>
      </c>
      <c r="P1025" s="10">
        <f>CHOOSE(CONTROL!$C$42, 112.8189, 112.8189) * CHOOSE(CONTROL!$C$21, $C$9, 100%, $E$9)</f>
        <v>112.8189</v>
      </c>
      <c r="Q1025" s="10">
        <f>CHOOSE(CONTROL!$C$42, 113.6422, 113.6422) * CHOOSE(CONTROL!$C$21, $C$9, 100%, $E$9)</f>
        <v>113.6422</v>
      </c>
      <c r="R1025" s="10">
        <f>CHOOSE(CONTROL!$C$42, 114.5133, 114.5133) * CHOOSE(CONTROL!$C$21, $C$9, 100%, $E$9)</f>
        <v>114.5133</v>
      </c>
      <c r="S1025" s="10">
        <f>CHOOSE(CONTROL!$C$42, 110.6575, 110.6575) * CHOOSE(CONTROL!$C$21, $C$9, 100%, $E$9)</f>
        <v>110.6575</v>
      </c>
      <c r="T10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57">
        <f>(1000*CHOOSE(CONTROL!$C$42, 695, 695)*CHOOSE(CONTROL!$C$42, 0.5599, 0.5599)*CHOOSE(CONTROL!$C$42, 31, 31))/1000000</f>
        <v>12.063045499999998</v>
      </c>
      <c r="V1025" s="57">
        <f>(1000*CHOOSE(CONTROL!$C$42, 500, 500)*CHOOSE(CONTROL!$C$42, 0.275, 0.275)*CHOOSE(CONTROL!$C$42, 31, 31))/1000000</f>
        <v>4.2625000000000002</v>
      </c>
      <c r="W1025" s="57">
        <f>(1000*CHOOSE(CONTROL!$C$42, 0.1146, 0.1146)*CHOOSE(CONTROL!$C$42, 121.5, 121.5)*CHOOSE(CONTROL!$C$42, 31, 31))/1000000</f>
        <v>0.43164089999999994</v>
      </c>
      <c r="X1025" s="57">
        <f>(31*0.1790888*245000/1000000)+(31*0.2374*100000/1000000)</f>
        <v>2.0961194359999999</v>
      </c>
      <c r="Y1025" s="57"/>
      <c r="Z1025" s="10"/>
      <c r="AA1025" s="56"/>
      <c r="AB1025" s="50">
        <f>(B1025*194.205+C1025*267.466+D1025*133.845+E1025*53.484+F1025*40+G1025*185+H1025*0+I1025*100+J1025*300)/(194.205+267.466+133.845+53.484+0+40+185+100+300)</f>
        <v>113.9794615809262</v>
      </c>
      <c r="AC1025" s="45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112.91060071942445</v>
      </c>
    </row>
    <row r="1026" spans="1:29" ht="15.75" x14ac:dyDescent="0.25">
      <c r="A1026" s="13">
        <v>72136</v>
      </c>
      <c r="B1026" s="10">
        <f>CHOOSE(CONTROL!$C$42, 117.1873, 117.1873) * CHOOSE(CONTROL!$C$21, $C$9, 100%, $E$9)</f>
        <v>117.18729999999999</v>
      </c>
      <c r="C1026" s="10">
        <f>CHOOSE(CONTROL!$C$42, 117.1953, 117.1953) * CHOOSE(CONTROL!$C$21, $C$9, 100%, $E$9)</f>
        <v>117.1953</v>
      </c>
      <c r="D1026" s="10">
        <f>CHOOSE(CONTROL!$C$42, 117.398, 117.398) * CHOOSE(CONTROL!$C$21, $C$9, 100%, $E$9)</f>
        <v>117.398</v>
      </c>
      <c r="E1026" s="10">
        <f>CHOOSE(CONTROL!$C$42, 117.4291, 117.4291) * CHOOSE(CONTROL!$C$21, $C$9, 100%, $E$9)</f>
        <v>117.42910000000001</v>
      </c>
      <c r="F1026" s="10">
        <f>CHOOSE(CONTROL!$C$42, 117.1636, 117.1636)*CHOOSE(CONTROL!$C$21, $C$9, 100%, $E$9)</f>
        <v>117.1636</v>
      </c>
      <c r="G1026" s="10">
        <f>CHOOSE(CONTROL!$C$42, 117.1787, 117.1787)*CHOOSE(CONTROL!$C$21, $C$9, 100%, $E$9)</f>
        <v>117.17870000000001</v>
      </c>
      <c r="H1026" s="10">
        <f>CHOOSE(CONTROL!$C$42, 117.4178, 117.4178) * CHOOSE(CONTROL!$C$21, $C$9, 100%, $E$9)</f>
        <v>117.4178</v>
      </c>
      <c r="I1026" s="10">
        <f>CHOOSE(CONTROL!$C$42, 117.1874, 117.1874)* CHOOSE(CONTROL!$C$21, $C$9, 100%, $E$9)</f>
        <v>117.1874</v>
      </c>
      <c r="J1026" s="10">
        <f>CHOOSE(CONTROL!$C$42, 117.1566, 117.1566)* CHOOSE(CONTROL!$C$21, $C$9, 100%, $E$9)</f>
        <v>117.1566</v>
      </c>
      <c r="K1026" s="53">
        <f>CHOOSE(CONTROL!$C$42, 117.1835, 117.1835) * CHOOSE(CONTROL!$C$21, $C$9, 100%, $E$9)</f>
        <v>117.1835</v>
      </c>
      <c r="L1026" s="10">
        <f>CHOOSE(CONTROL!$C$42, 118.0048, 118.0048) * CHOOSE(CONTROL!$C$21, $C$9, 100%, $E$9)</f>
        <v>118.0048</v>
      </c>
      <c r="M1026" s="10">
        <f>CHOOSE(CONTROL!$C$42, 115.9881, 115.9881) * CHOOSE(CONTROL!$C$21, $C$9, 100%, $E$9)</f>
        <v>115.9881</v>
      </c>
      <c r="N1026" s="10">
        <f>CHOOSE(CONTROL!$C$42, 116.0031, 116.0031) * CHOOSE(CONTROL!$C$21, $C$9, 100%, $E$9)</f>
        <v>116.0031</v>
      </c>
      <c r="O1026" s="10">
        <f>CHOOSE(CONTROL!$C$42, 116.2466, 116.2466) * CHOOSE(CONTROL!$C$21, $C$9, 100%, $E$9)</f>
        <v>116.2466</v>
      </c>
      <c r="P1026" s="10">
        <f>CHOOSE(CONTROL!$C$42, 116.0186, 116.0186) * CHOOSE(CONTROL!$C$21, $C$9, 100%, $E$9)</f>
        <v>116.01860000000001</v>
      </c>
      <c r="Q1026" s="10">
        <f>CHOOSE(CONTROL!$C$42, 116.8419, 116.8419) * CHOOSE(CONTROL!$C$21, $C$9, 100%, $E$9)</f>
        <v>116.8419</v>
      </c>
      <c r="R1026" s="10">
        <f>CHOOSE(CONTROL!$C$42, 117.721, 117.721) * CHOOSE(CONTROL!$C$21, $C$9, 100%, $E$9)</f>
        <v>117.721</v>
      </c>
      <c r="S1026" s="10">
        <f>CHOOSE(CONTROL!$C$42, 113.7964, 113.7964) * CHOOSE(CONTROL!$C$21, $C$9, 100%, $E$9)</f>
        <v>113.79640000000001</v>
      </c>
      <c r="T10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57">
        <f>(1000*CHOOSE(CONTROL!$C$42, 695, 695)*CHOOSE(CONTROL!$C$42, 0.5599, 0.5599)*CHOOSE(CONTROL!$C$42, 30, 30))/1000000</f>
        <v>11.673914999999997</v>
      </c>
      <c r="V1026" s="57">
        <f>(1000*CHOOSE(CONTROL!$C$42, 500, 500)*CHOOSE(CONTROL!$C$42, 0.275, 0.275)*CHOOSE(CONTROL!$C$42, 30, 30))/1000000</f>
        <v>4.125</v>
      </c>
      <c r="W1026" s="57">
        <f>(1000*CHOOSE(CONTROL!$C$42, 0.1146, 0.1146)*CHOOSE(CONTROL!$C$42, 121.5, 121.5)*CHOOSE(CONTROL!$C$42, 30, 30))/1000000</f>
        <v>0.417717</v>
      </c>
      <c r="X1026" s="57">
        <f>(30*0.1790888*245000/1000000)+(30*0.2374*100000/1000000)</f>
        <v>2.0285026799999999</v>
      </c>
      <c r="Y1026" s="57"/>
      <c r="Z1026" s="10"/>
      <c r="AA1026" s="56"/>
      <c r="AB1026" s="50">
        <f>(B1026*194.205+C1026*267.466+D1026*133.845+E1026*53.484+F1026*40+G1026*185+H1026*0+I1026*100+J1026*300)/(194.205+267.466+133.845+53.484+0+40+185+100+300)</f>
        <v>117.21205219835166</v>
      </c>
      <c r="AC1026" s="45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116.11051366906474</v>
      </c>
    </row>
    <row r="1027" spans="1:29" ht="15.75" x14ac:dyDescent="0.25">
      <c r="A1027" s="13">
        <v>72167</v>
      </c>
      <c r="B1027" s="10">
        <f>CHOOSE(CONTROL!$C$42, 114.9392, 114.9392) * CHOOSE(CONTROL!$C$21, $C$9, 100%, $E$9)</f>
        <v>114.9392</v>
      </c>
      <c r="C1027" s="10">
        <f>CHOOSE(CONTROL!$C$42, 114.9471, 114.9471) * CHOOSE(CONTROL!$C$21, $C$9, 100%, $E$9)</f>
        <v>114.94710000000001</v>
      </c>
      <c r="D1027" s="10">
        <f>CHOOSE(CONTROL!$C$42, 115.1499, 115.1499) * CHOOSE(CONTROL!$C$21, $C$9, 100%, $E$9)</f>
        <v>115.1499</v>
      </c>
      <c r="E1027" s="10">
        <f>CHOOSE(CONTROL!$C$42, 115.181, 115.181) * CHOOSE(CONTROL!$C$21, $C$9, 100%, $E$9)</f>
        <v>115.181</v>
      </c>
      <c r="F1027" s="10">
        <f>CHOOSE(CONTROL!$C$42, 114.916, 114.916)*CHOOSE(CONTROL!$C$21, $C$9, 100%, $E$9)</f>
        <v>114.916</v>
      </c>
      <c r="G1027" s="10">
        <f>CHOOSE(CONTROL!$C$42, 114.9313, 114.9313)*CHOOSE(CONTROL!$C$21, $C$9, 100%, $E$9)</f>
        <v>114.93129999999999</v>
      </c>
      <c r="H1027" s="10">
        <f>CHOOSE(CONTROL!$C$42, 115.1696, 115.1696) * CHOOSE(CONTROL!$C$21, $C$9, 100%, $E$9)</f>
        <v>115.1696</v>
      </c>
      <c r="I1027" s="10">
        <f>CHOOSE(CONTROL!$C$42, 114.9393, 114.9393)* CHOOSE(CONTROL!$C$21, $C$9, 100%, $E$9)</f>
        <v>114.9393</v>
      </c>
      <c r="J1027" s="10">
        <f>CHOOSE(CONTROL!$C$42, 114.909, 114.909)* CHOOSE(CONTROL!$C$21, $C$9, 100%, $E$9)</f>
        <v>114.90900000000001</v>
      </c>
      <c r="K1027" s="53">
        <f>CHOOSE(CONTROL!$C$42, 114.9354, 114.9354) * CHOOSE(CONTROL!$C$21, $C$9, 100%, $E$9)</f>
        <v>114.9354</v>
      </c>
      <c r="L1027" s="10">
        <f>CHOOSE(CONTROL!$C$42, 115.7566, 115.7566) * CHOOSE(CONTROL!$C$21, $C$9, 100%, $E$9)</f>
        <v>115.75660000000001</v>
      </c>
      <c r="M1027" s="10">
        <f>CHOOSE(CONTROL!$C$42, 113.7632, 113.7632) * CHOOSE(CONTROL!$C$21, $C$9, 100%, $E$9)</f>
        <v>113.7632</v>
      </c>
      <c r="N1027" s="10">
        <f>CHOOSE(CONTROL!$C$42, 113.7783, 113.7783) * CHOOSE(CONTROL!$C$21, $C$9, 100%, $E$9)</f>
        <v>113.7783</v>
      </c>
      <c r="O1027" s="10">
        <f>CHOOSE(CONTROL!$C$42, 114.0212, 114.0212) * CHOOSE(CONTROL!$C$21, $C$9, 100%, $E$9)</f>
        <v>114.02119999999999</v>
      </c>
      <c r="P1027" s="10">
        <f>CHOOSE(CONTROL!$C$42, 113.7932, 113.7932) * CHOOSE(CONTROL!$C$21, $C$9, 100%, $E$9)</f>
        <v>113.7932</v>
      </c>
      <c r="Q1027" s="10">
        <f>CHOOSE(CONTROL!$C$42, 114.6165, 114.6165) * CHOOSE(CONTROL!$C$21, $C$9, 100%, $E$9)</f>
        <v>114.6165</v>
      </c>
      <c r="R1027" s="10">
        <f>CHOOSE(CONTROL!$C$42, 115.4901, 115.4901) * CHOOSE(CONTROL!$C$21, $C$9, 100%, $E$9)</f>
        <v>115.4901</v>
      </c>
      <c r="S1027" s="10">
        <f>CHOOSE(CONTROL!$C$42, 111.6132, 111.6132) * CHOOSE(CONTROL!$C$21, $C$9, 100%, $E$9)</f>
        <v>111.61320000000001</v>
      </c>
      <c r="T10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57">
        <f>(1000*CHOOSE(CONTROL!$C$42, 695, 695)*CHOOSE(CONTROL!$C$42, 0.5599, 0.5599)*CHOOSE(CONTROL!$C$42, 31, 31))/1000000</f>
        <v>12.063045499999998</v>
      </c>
      <c r="V1027" s="57">
        <f>(1000*CHOOSE(CONTROL!$C$42, 500, 500)*CHOOSE(CONTROL!$C$42, 0.275, 0.275)*CHOOSE(CONTROL!$C$42, 31, 31))/1000000</f>
        <v>4.2625000000000002</v>
      </c>
      <c r="W1027" s="57">
        <f>(1000*CHOOSE(CONTROL!$C$42, 0.1146, 0.1146)*CHOOSE(CONTROL!$C$42, 121.5, 121.5)*CHOOSE(CONTROL!$C$42, 31, 31))/1000000</f>
        <v>0.43164089999999994</v>
      </c>
      <c r="X1027" s="57">
        <f>(31*0.1790888*245000/1000000)+(31*0.2374*100000/1000000)</f>
        <v>2.0961194359999999</v>
      </c>
      <c r="Y1027" s="57"/>
      <c r="Z1027" s="10"/>
      <c r="AA1027" s="56"/>
      <c r="AB1027" s="50">
        <f>(B1027*194.205+C1027*267.466+D1027*133.845+E1027*53.484+F1027*40+G1027*185+H1027*0+I1027*100+J1027*300)/(194.205+267.466+133.845+53.484+0+40+185+100+300)</f>
        <v>114.96416629050238</v>
      </c>
      <c r="AC1027" s="45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113.88532086330936</v>
      </c>
    </row>
    <row r="1028" spans="1:29" ht="15.75" x14ac:dyDescent="0.25">
      <c r="A1028" s="13">
        <v>72198</v>
      </c>
      <c r="B1028" s="10">
        <f>CHOOSE(CONTROL!$C$42, 109.262, 109.262) * CHOOSE(CONTROL!$C$21, $C$9, 100%, $E$9)</f>
        <v>109.262</v>
      </c>
      <c r="C1028" s="10">
        <f>CHOOSE(CONTROL!$C$42, 109.27, 109.27) * CHOOSE(CONTROL!$C$21, $C$9, 100%, $E$9)</f>
        <v>109.27</v>
      </c>
      <c r="D1028" s="10">
        <f>CHOOSE(CONTROL!$C$42, 109.4727, 109.4727) * CHOOSE(CONTROL!$C$21, $C$9, 100%, $E$9)</f>
        <v>109.4727</v>
      </c>
      <c r="E1028" s="10">
        <f>CHOOSE(CONTROL!$C$42, 109.5038, 109.5038) * CHOOSE(CONTROL!$C$21, $C$9, 100%, $E$9)</f>
        <v>109.5038</v>
      </c>
      <c r="F1028" s="10">
        <f>CHOOSE(CONTROL!$C$42, 109.239, 109.239)*CHOOSE(CONTROL!$C$21, $C$9, 100%, $E$9)</f>
        <v>109.239</v>
      </c>
      <c r="G1028" s="10">
        <f>CHOOSE(CONTROL!$C$42, 109.2543, 109.2543)*CHOOSE(CONTROL!$C$21, $C$9, 100%, $E$9)</f>
        <v>109.2543</v>
      </c>
      <c r="H1028" s="10">
        <f>CHOOSE(CONTROL!$C$42, 109.4925, 109.4925) * CHOOSE(CONTROL!$C$21, $C$9, 100%, $E$9)</f>
        <v>109.49250000000001</v>
      </c>
      <c r="I1028" s="10">
        <f>CHOOSE(CONTROL!$C$42, 109.2621, 109.2621)* CHOOSE(CONTROL!$C$21, $C$9, 100%, $E$9)</f>
        <v>109.2621</v>
      </c>
      <c r="J1028" s="10">
        <f>CHOOSE(CONTROL!$C$42, 109.232, 109.232)* CHOOSE(CONTROL!$C$21, $C$9, 100%, $E$9)</f>
        <v>109.232</v>
      </c>
      <c r="K1028" s="53">
        <f>CHOOSE(CONTROL!$C$42, 109.2582, 109.2582) * CHOOSE(CONTROL!$C$21, $C$9, 100%, $E$9)</f>
        <v>109.2582</v>
      </c>
      <c r="L1028" s="10">
        <f>CHOOSE(CONTROL!$C$42, 110.0795, 110.0795) * CHOOSE(CONTROL!$C$21, $C$9, 100%, $E$9)</f>
        <v>110.0795</v>
      </c>
      <c r="M1028" s="10">
        <f>CHOOSE(CONTROL!$C$42, 108.1435, 108.1435) * CHOOSE(CONTROL!$C$21, $C$9, 100%, $E$9)</f>
        <v>108.1435</v>
      </c>
      <c r="N1028" s="10">
        <f>CHOOSE(CONTROL!$C$42, 108.1586, 108.1586) * CHOOSE(CONTROL!$C$21, $C$9, 100%, $E$9)</f>
        <v>108.15860000000001</v>
      </c>
      <c r="O1028" s="10">
        <f>CHOOSE(CONTROL!$C$42, 108.4013, 108.4013) * CHOOSE(CONTROL!$C$21, $C$9, 100%, $E$9)</f>
        <v>108.40130000000001</v>
      </c>
      <c r="P1028" s="10">
        <f>CHOOSE(CONTROL!$C$42, 108.1733, 108.1733) * CHOOSE(CONTROL!$C$21, $C$9, 100%, $E$9)</f>
        <v>108.1733</v>
      </c>
      <c r="Q1028" s="10">
        <f>CHOOSE(CONTROL!$C$42, 108.9966, 108.9966) * CHOOSE(CONTROL!$C$21, $C$9, 100%, $E$9)</f>
        <v>108.9966</v>
      </c>
      <c r="R1028" s="10">
        <f>CHOOSE(CONTROL!$C$42, 109.8561, 109.8561) * CHOOSE(CONTROL!$C$21, $C$9, 100%, $E$9)</f>
        <v>109.8561</v>
      </c>
      <c r="S1028" s="10">
        <f>CHOOSE(CONTROL!$C$42, 106.1001, 106.1001) * CHOOSE(CONTROL!$C$21, $C$9, 100%, $E$9)</f>
        <v>106.1001</v>
      </c>
      <c r="T10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57">
        <f>(1000*CHOOSE(CONTROL!$C$42, 695, 695)*CHOOSE(CONTROL!$C$42, 0.5599, 0.5599)*CHOOSE(CONTROL!$C$42, 31, 31))/1000000</f>
        <v>12.063045499999998</v>
      </c>
      <c r="V1028" s="57">
        <f>(1000*CHOOSE(CONTROL!$C$42, 500, 500)*CHOOSE(CONTROL!$C$42, 0.275, 0.275)*CHOOSE(CONTROL!$C$42, 31, 31))/1000000</f>
        <v>4.2625000000000002</v>
      </c>
      <c r="W1028" s="57">
        <f>(1000*CHOOSE(CONTROL!$C$42, 0.1146, 0.1146)*CHOOSE(CONTROL!$C$42, 121.5, 121.5)*CHOOSE(CONTROL!$C$42, 31, 31))/1000000</f>
        <v>0.43164089999999994</v>
      </c>
      <c r="X1028" s="57">
        <f>(31*0.1790888*245000/1000000)+(31*0.2374*100000/1000000)</f>
        <v>2.0961194359999999</v>
      </c>
      <c r="Y1028" s="57"/>
      <c r="Z1028" s="10"/>
      <c r="AA1028" s="56"/>
      <c r="AB1028" s="50">
        <f>(B1028*194.205+C1028*267.466+D1028*133.845+E1028*53.484+F1028*40+G1028*185+H1028*0+I1028*100+J1028*300)/(194.205+267.466+133.845+53.484+0+40+185+100+300)</f>
        <v>109.2870697022763</v>
      </c>
      <c r="AC1028" s="45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108.26550143884893</v>
      </c>
    </row>
    <row r="1029" spans="1:29" ht="15.75" x14ac:dyDescent="0.25">
      <c r="A1029" s="13">
        <v>72228</v>
      </c>
      <c r="B1029" s="10">
        <f>CHOOSE(CONTROL!$C$42, 102.3252, 102.3252) * CHOOSE(CONTROL!$C$21, $C$9, 100%, $E$9)</f>
        <v>102.3252</v>
      </c>
      <c r="C1029" s="10">
        <f>CHOOSE(CONTROL!$C$42, 102.3331, 102.3331) * CHOOSE(CONTROL!$C$21, $C$9, 100%, $E$9)</f>
        <v>102.3331</v>
      </c>
      <c r="D1029" s="10">
        <f>CHOOSE(CONTROL!$C$42, 102.5358, 102.5358) * CHOOSE(CONTROL!$C$21, $C$9, 100%, $E$9)</f>
        <v>102.53579999999999</v>
      </c>
      <c r="E1029" s="10">
        <f>CHOOSE(CONTROL!$C$42, 102.567, 102.567) * CHOOSE(CONTROL!$C$21, $C$9, 100%, $E$9)</f>
        <v>102.56699999999999</v>
      </c>
      <c r="F1029" s="10">
        <f>CHOOSE(CONTROL!$C$42, 102.302, 102.302)*CHOOSE(CONTROL!$C$21, $C$9, 100%, $E$9)</f>
        <v>102.30200000000001</v>
      </c>
      <c r="G1029" s="10">
        <f>CHOOSE(CONTROL!$C$42, 102.3173, 102.3173)*CHOOSE(CONTROL!$C$21, $C$9, 100%, $E$9)</f>
        <v>102.3173</v>
      </c>
      <c r="H1029" s="10">
        <f>CHOOSE(CONTROL!$C$42, 102.5556, 102.5556) * CHOOSE(CONTROL!$C$21, $C$9, 100%, $E$9)</f>
        <v>102.5556</v>
      </c>
      <c r="I1029" s="10">
        <f>CHOOSE(CONTROL!$C$42, 102.3252, 102.3252)* CHOOSE(CONTROL!$C$21, $C$9, 100%, $E$9)</f>
        <v>102.3252</v>
      </c>
      <c r="J1029" s="10">
        <f>CHOOSE(CONTROL!$C$42, 102.295, 102.295)* CHOOSE(CONTROL!$C$21, $C$9, 100%, $E$9)</f>
        <v>102.295</v>
      </c>
      <c r="K1029" s="53">
        <f>CHOOSE(CONTROL!$C$42, 102.3213, 102.3213) * CHOOSE(CONTROL!$C$21, $C$9, 100%, $E$9)</f>
        <v>102.32129999999999</v>
      </c>
      <c r="L1029" s="10">
        <f>CHOOSE(CONTROL!$C$42, 103.1426, 103.1426) * CHOOSE(CONTROL!$C$21, $C$9, 100%, $E$9)</f>
        <v>103.1426</v>
      </c>
      <c r="M1029" s="10">
        <f>CHOOSE(CONTROL!$C$42, 101.2765, 101.2765) * CHOOSE(CONTROL!$C$21, $C$9, 100%, $E$9)</f>
        <v>101.2765</v>
      </c>
      <c r="N1029" s="10">
        <f>CHOOSE(CONTROL!$C$42, 101.2916, 101.2916) * CHOOSE(CONTROL!$C$21, $C$9, 100%, $E$9)</f>
        <v>101.2916</v>
      </c>
      <c r="O1029" s="10">
        <f>CHOOSE(CONTROL!$C$42, 101.5345, 101.5345) * CHOOSE(CONTROL!$C$21, $C$9, 100%, $E$9)</f>
        <v>101.53449999999999</v>
      </c>
      <c r="P1029" s="10">
        <f>CHOOSE(CONTROL!$C$42, 101.3064, 101.3064) * CHOOSE(CONTROL!$C$21, $C$9, 100%, $E$9)</f>
        <v>101.3064</v>
      </c>
      <c r="Q1029" s="10">
        <f>CHOOSE(CONTROL!$C$42, 102.1298, 102.1298) * CHOOSE(CONTROL!$C$21, $C$9, 100%, $E$9)</f>
        <v>102.1298</v>
      </c>
      <c r="R1029" s="10">
        <f>CHOOSE(CONTROL!$C$42, 102.9721, 102.9721) * CHOOSE(CONTROL!$C$21, $C$9, 100%, $E$9)</f>
        <v>102.9721</v>
      </c>
      <c r="S1029" s="10">
        <f>CHOOSE(CONTROL!$C$42, 99.3637, 99.3637) * CHOOSE(CONTROL!$C$21, $C$9, 100%, $E$9)</f>
        <v>99.363699999999994</v>
      </c>
      <c r="T10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57">
        <f>(1000*CHOOSE(CONTROL!$C$42, 695, 695)*CHOOSE(CONTROL!$C$42, 0.5599, 0.5599)*CHOOSE(CONTROL!$C$42, 30, 30))/1000000</f>
        <v>11.673914999999997</v>
      </c>
      <c r="V1029" s="57">
        <f>(1000*CHOOSE(CONTROL!$C$42, 500, 500)*CHOOSE(CONTROL!$C$42, 0.275, 0.275)*CHOOSE(CONTROL!$C$42, 30, 30))/1000000</f>
        <v>4.125</v>
      </c>
      <c r="W1029" s="57">
        <f>(1000*CHOOSE(CONTROL!$C$42, 0.1146, 0.1146)*CHOOSE(CONTROL!$C$42, 121.5, 121.5)*CHOOSE(CONTROL!$C$42, 30, 30))/1000000</f>
        <v>0.417717</v>
      </c>
      <c r="X1029" s="57">
        <f>(30*0.1790888*245000/1000000)+(30*0.2374*100000/1000000)</f>
        <v>2.0285026799999999</v>
      </c>
      <c r="Y1029" s="57"/>
      <c r="Z1029" s="10"/>
      <c r="AA1029" s="56"/>
      <c r="AB1029" s="50">
        <f>(B1029*194.205+C1029*267.466+D1029*133.845+E1029*53.484+F1029*40+G1029*185+H1029*0+I1029*100+J1029*300)/(194.205+267.466+133.845+53.484+0+40+185+100+300)</f>
        <v>102.35014793532181</v>
      </c>
      <c r="AC1029" s="45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101.39860647482014</v>
      </c>
    </row>
    <row r="1030" spans="1:29" ht="15.75" x14ac:dyDescent="0.25">
      <c r="A1030" s="13">
        <v>72259</v>
      </c>
      <c r="B1030" s="10">
        <f>CHOOSE(CONTROL!$C$42, 100.2459, 100.2459) * CHOOSE(CONTROL!$C$21, $C$9, 100%, $E$9)</f>
        <v>100.24590000000001</v>
      </c>
      <c r="C1030" s="10">
        <f>CHOOSE(CONTROL!$C$42, 100.2511, 100.2511) * CHOOSE(CONTROL!$C$21, $C$9, 100%, $E$9)</f>
        <v>100.25109999999999</v>
      </c>
      <c r="D1030" s="10">
        <f>CHOOSE(CONTROL!$C$42, 100.4588, 100.4588) * CHOOSE(CONTROL!$C$21, $C$9, 100%, $E$9)</f>
        <v>100.4588</v>
      </c>
      <c r="E1030" s="10">
        <f>CHOOSE(CONTROL!$C$42, 100.4876, 100.4876) * CHOOSE(CONTROL!$C$21, $C$9, 100%, $E$9)</f>
        <v>100.4876</v>
      </c>
      <c r="F1030" s="10">
        <f>CHOOSE(CONTROL!$C$42, 100.2246, 100.2246)*CHOOSE(CONTROL!$C$21, $C$9, 100%, $E$9)</f>
        <v>100.2246</v>
      </c>
      <c r="G1030" s="10">
        <f>CHOOSE(CONTROL!$C$42, 100.2396, 100.2396)*CHOOSE(CONTROL!$C$21, $C$9, 100%, $E$9)</f>
        <v>100.2396</v>
      </c>
      <c r="H1030" s="10">
        <f>CHOOSE(CONTROL!$C$42, 100.4781, 100.4781) * CHOOSE(CONTROL!$C$21, $C$9, 100%, $E$9)</f>
        <v>100.4781</v>
      </c>
      <c r="I1030" s="10">
        <f>CHOOSE(CONTROL!$C$42, 100.2477, 100.2477)* CHOOSE(CONTROL!$C$21, $C$9, 100%, $E$9)</f>
        <v>100.24769999999999</v>
      </c>
      <c r="J1030" s="10">
        <f>CHOOSE(CONTROL!$C$42, 100.2176, 100.2176)* CHOOSE(CONTROL!$C$21, $C$9, 100%, $E$9)</f>
        <v>100.2176</v>
      </c>
      <c r="K1030" s="53">
        <f>CHOOSE(CONTROL!$C$42, 100.2438, 100.2438) * CHOOSE(CONTROL!$C$21, $C$9, 100%, $E$9)</f>
        <v>100.24379999999999</v>
      </c>
      <c r="L1030" s="10">
        <f>CHOOSE(CONTROL!$C$42, 101.0651, 101.0651) * CHOOSE(CONTROL!$C$21, $C$9, 100%, $E$9)</f>
        <v>101.0651</v>
      </c>
      <c r="M1030" s="10">
        <f>CHOOSE(CONTROL!$C$42, 99.2201, 99.2201) * CHOOSE(CONTROL!$C$21, $C$9, 100%, $E$9)</f>
        <v>99.220100000000002</v>
      </c>
      <c r="N1030" s="10">
        <f>CHOOSE(CONTROL!$C$42, 99.2349, 99.2349) * CHOOSE(CONTROL!$C$21, $C$9, 100%, $E$9)</f>
        <v>99.234899999999996</v>
      </c>
      <c r="O1030" s="10">
        <f>CHOOSE(CONTROL!$C$42, 99.4779, 99.4779) * CHOOSE(CONTROL!$C$21, $C$9, 100%, $E$9)</f>
        <v>99.477900000000005</v>
      </c>
      <c r="P1030" s="10">
        <f>CHOOSE(CONTROL!$C$42, 99.2499, 99.2499) * CHOOSE(CONTROL!$C$21, $C$9, 100%, $E$9)</f>
        <v>99.249899999999997</v>
      </c>
      <c r="Q1030" s="10">
        <f>CHOOSE(CONTROL!$C$42, 100.0732, 100.0732) * CHOOSE(CONTROL!$C$21, $C$9, 100%, $E$9)</f>
        <v>100.0732</v>
      </c>
      <c r="R1030" s="10">
        <f>CHOOSE(CONTROL!$C$42, 100.9104, 100.9104) * CHOOSE(CONTROL!$C$21, $C$9, 100%, $E$9)</f>
        <v>100.9104</v>
      </c>
      <c r="S1030" s="10">
        <f>CHOOSE(CONTROL!$C$42, 97.3463, 97.3463) * CHOOSE(CONTROL!$C$21, $C$9, 100%, $E$9)</f>
        <v>97.346299999999999</v>
      </c>
      <c r="T10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57">
        <f>(1000*CHOOSE(CONTROL!$C$42, 695, 695)*CHOOSE(CONTROL!$C$42, 0.5599, 0.5599)*CHOOSE(CONTROL!$C$42, 31, 31))/1000000</f>
        <v>12.063045499999998</v>
      </c>
      <c r="V1030" s="57">
        <f>(1000*CHOOSE(CONTROL!$C$42, 500, 500)*CHOOSE(CONTROL!$C$42, 0.275, 0.275)*CHOOSE(CONTROL!$C$42, 31, 31))/1000000</f>
        <v>4.2625000000000002</v>
      </c>
      <c r="W1030" s="57">
        <f>(1000*CHOOSE(CONTROL!$C$42, 0.1146, 0.1146)*CHOOSE(CONTROL!$C$42, 121.5, 121.5)*CHOOSE(CONTROL!$C$42, 31, 31))/1000000</f>
        <v>0.43164089999999994</v>
      </c>
      <c r="X1030" s="57">
        <f>(31*0.1790888*245000/1000000)+(31*0.2374*100000/1000000)</f>
        <v>2.0961194359999999</v>
      </c>
      <c r="Y1030" s="57"/>
      <c r="Z1030" s="10"/>
      <c r="AA1030" s="56"/>
      <c r="AB1030" s="50">
        <f>(B1030*131.881+C1030*277.167+D1030*79.08+E1030*125.872+F1030*40+G1030*185+H1030*0+I1030*100+J1030*300)/(131.881+277.167+79.08+125.872+0+40+185+100+300)</f>
        <v>100.27687107570621</v>
      </c>
      <c r="AC1030" s="45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99.34208417266187</v>
      </c>
    </row>
    <row r="1031" spans="1:29" ht="15.75" x14ac:dyDescent="0.25">
      <c r="A1031" s="13">
        <v>72289</v>
      </c>
      <c r="B1031" s="10">
        <f>CHOOSE(CONTROL!$C$42, 102.8864, 102.8864) * CHOOSE(CONTROL!$C$21, $C$9, 100%, $E$9)</f>
        <v>102.88639999999999</v>
      </c>
      <c r="C1031" s="10">
        <f>CHOOSE(CONTROL!$C$42, 102.8913, 102.8913) * CHOOSE(CONTROL!$C$21, $C$9, 100%, $E$9)</f>
        <v>102.8913</v>
      </c>
      <c r="D1031" s="10">
        <f>CHOOSE(CONTROL!$C$42, 102.9518, 102.9518) * CHOOSE(CONTROL!$C$21, $C$9, 100%, $E$9)</f>
        <v>102.95180000000001</v>
      </c>
      <c r="E1031" s="10">
        <f>CHOOSE(CONTROL!$C$42, 102.9856, 102.9856) * CHOOSE(CONTROL!$C$21, $C$9, 100%, $E$9)</f>
        <v>102.98560000000001</v>
      </c>
      <c r="F1031" s="10">
        <f>CHOOSE(CONTROL!$C$42, 102.882, 102.882)*CHOOSE(CONTROL!$C$21, $C$9, 100%, $E$9)</f>
        <v>102.88200000000001</v>
      </c>
      <c r="G1031" s="10">
        <f>CHOOSE(CONTROL!$C$42, 102.8972, 102.8972)*CHOOSE(CONTROL!$C$21, $C$9, 100%, $E$9)</f>
        <v>102.8972</v>
      </c>
      <c r="H1031" s="10">
        <f>CHOOSE(CONTROL!$C$42, 102.9748, 102.9748) * CHOOSE(CONTROL!$C$21, $C$9, 100%, $E$9)</f>
        <v>102.9748</v>
      </c>
      <c r="I1031" s="10">
        <f>CHOOSE(CONTROL!$C$42, 102.8989, 102.8989)* CHOOSE(CONTROL!$C$21, $C$9, 100%, $E$9)</f>
        <v>102.8989</v>
      </c>
      <c r="J1031" s="10">
        <f>CHOOSE(CONTROL!$C$42, 102.875, 102.875)* CHOOSE(CONTROL!$C$21, $C$9, 100%, $E$9)</f>
        <v>102.875</v>
      </c>
      <c r="K1031" s="53">
        <f>CHOOSE(CONTROL!$C$42, 102.895, 102.895) * CHOOSE(CONTROL!$C$21, $C$9, 100%, $E$9)</f>
        <v>102.895</v>
      </c>
      <c r="L1031" s="10">
        <f>CHOOSE(CONTROL!$C$42, 103.5618, 103.5618) * CHOOSE(CONTROL!$C$21, $C$9, 100%, $E$9)</f>
        <v>103.56180000000001</v>
      </c>
      <c r="M1031" s="10">
        <f>CHOOSE(CONTROL!$C$42, 101.8506, 101.8506) * CHOOSE(CONTROL!$C$21, $C$9, 100%, $E$9)</f>
        <v>101.8506</v>
      </c>
      <c r="N1031" s="10">
        <f>CHOOSE(CONTROL!$C$42, 101.8657, 101.8657) * CHOOSE(CONTROL!$C$21, $C$9, 100%, $E$9)</f>
        <v>101.8657</v>
      </c>
      <c r="O1031" s="10">
        <f>CHOOSE(CONTROL!$C$42, 101.9494, 101.9494) * CHOOSE(CONTROL!$C$21, $C$9, 100%, $E$9)</f>
        <v>101.9494</v>
      </c>
      <c r="P1031" s="10">
        <f>CHOOSE(CONTROL!$C$42, 101.8743, 101.8743) * CHOOSE(CONTROL!$C$21, $C$9, 100%, $E$9)</f>
        <v>101.87430000000001</v>
      </c>
      <c r="Q1031" s="10">
        <f>CHOOSE(CONTROL!$C$42, 102.5447, 102.5447) * CHOOSE(CONTROL!$C$21, $C$9, 100%, $E$9)</f>
        <v>102.54470000000001</v>
      </c>
      <c r="R1031" s="10">
        <f>CHOOSE(CONTROL!$C$42, 103.3881, 103.3881) * CHOOSE(CONTROL!$C$21, $C$9, 100%, $E$9)</f>
        <v>103.38809999999999</v>
      </c>
      <c r="S1031" s="10">
        <f>CHOOSE(CONTROL!$C$42, 99.9108, 99.9108) * CHOOSE(CONTROL!$C$21, $C$9, 100%, $E$9)</f>
        <v>99.910799999999995</v>
      </c>
      <c r="T10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57">
        <f>(1000*CHOOSE(CONTROL!$C$42, 695, 695)*CHOOSE(CONTROL!$C$42, 0.5599, 0.5599)*CHOOSE(CONTROL!$C$42, 30, 30))/1000000</f>
        <v>11.673914999999997</v>
      </c>
      <c r="V1031" s="57">
        <f>(1000*CHOOSE(CONTROL!$C$42, 500, 500)*CHOOSE(CONTROL!$C$42, 0.275, 0.275)*CHOOSE(CONTROL!$C$42, 30, 30))/1000000</f>
        <v>4.125</v>
      </c>
      <c r="W1031" s="57">
        <f>(1000*CHOOSE(CONTROL!$C$42, 0.1146, 0.1146)*CHOOSE(CONTROL!$C$42, 121.5, 121.5)*CHOOSE(CONTROL!$C$42, 30, 30))/1000000</f>
        <v>0.417717</v>
      </c>
      <c r="X1031" s="57">
        <f>(30*0.1790888*100000/1000000)+(30*0.2374*100000/1000000)</f>
        <v>1.2494664</v>
      </c>
      <c r="Y1031" s="57"/>
      <c r="Z1031" s="10"/>
      <c r="AA1031" s="56"/>
      <c r="AB1031" s="50">
        <f>(B1031*122.58+C1031*297.941+D1031*89.177+E1031*40.302+F1031*40+G1031*160+H1031*0+I1031*100+J1031*300)/(122.58+297.941+89.177+40.302+0+40+160+100+300)</f>
        <v>102.89568003921738</v>
      </c>
      <c r="AC1031" s="45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101.89965899280577</v>
      </c>
    </row>
    <row r="1032" spans="1:29" ht="15.75" x14ac:dyDescent="0.25">
      <c r="A1032" s="13">
        <v>72320</v>
      </c>
      <c r="B1032" s="10">
        <f>CHOOSE(CONTROL!$C$42, 109.9009, 109.9009) * CHOOSE(CONTROL!$C$21, $C$9, 100%, $E$9)</f>
        <v>109.90089999999999</v>
      </c>
      <c r="C1032" s="10">
        <f>CHOOSE(CONTROL!$C$42, 109.9059, 109.9059) * CHOOSE(CONTROL!$C$21, $C$9, 100%, $E$9)</f>
        <v>109.9059</v>
      </c>
      <c r="D1032" s="10">
        <f>CHOOSE(CONTROL!$C$42, 109.9664, 109.9664) * CHOOSE(CONTROL!$C$21, $C$9, 100%, $E$9)</f>
        <v>109.96639999999999</v>
      </c>
      <c r="E1032" s="10">
        <f>CHOOSE(CONTROL!$C$42, 110.0001, 110.0001) * CHOOSE(CONTROL!$C$21, $C$9, 100%, $E$9)</f>
        <v>110.0001</v>
      </c>
      <c r="F1032" s="10">
        <f>CHOOSE(CONTROL!$C$42, 109.8984, 109.8984)*CHOOSE(CONTROL!$C$21, $C$9, 100%, $E$9)</f>
        <v>109.8984</v>
      </c>
      <c r="G1032" s="10">
        <f>CHOOSE(CONTROL!$C$42, 109.9141, 109.9141)*CHOOSE(CONTROL!$C$21, $C$9, 100%, $E$9)</f>
        <v>109.9141</v>
      </c>
      <c r="H1032" s="10">
        <f>CHOOSE(CONTROL!$C$42, 109.9893, 109.9893) * CHOOSE(CONTROL!$C$21, $C$9, 100%, $E$9)</f>
        <v>109.9893</v>
      </c>
      <c r="I1032" s="10">
        <f>CHOOSE(CONTROL!$C$42, 109.9134, 109.9134)* CHOOSE(CONTROL!$C$21, $C$9, 100%, $E$9)</f>
        <v>109.9134</v>
      </c>
      <c r="J1032" s="10">
        <f>CHOOSE(CONTROL!$C$42, 109.8914, 109.8914)* CHOOSE(CONTROL!$C$21, $C$9, 100%, $E$9)</f>
        <v>109.8914</v>
      </c>
      <c r="K1032" s="53">
        <f>CHOOSE(CONTROL!$C$42, 109.9095, 109.9095) * CHOOSE(CONTROL!$C$21, $C$9, 100%, $E$9)</f>
        <v>109.90949999999999</v>
      </c>
      <c r="L1032" s="10">
        <f>CHOOSE(CONTROL!$C$42, 110.5763, 110.5763) * CHOOSE(CONTROL!$C$21, $C$9, 100%, $E$9)</f>
        <v>110.5763</v>
      </c>
      <c r="M1032" s="10">
        <f>CHOOSE(CONTROL!$C$42, 108.7962, 108.7962) * CHOOSE(CONTROL!$C$21, $C$9, 100%, $E$9)</f>
        <v>108.7962</v>
      </c>
      <c r="N1032" s="10">
        <f>CHOOSE(CONTROL!$C$42, 108.8117, 108.8117) * CHOOSE(CONTROL!$C$21, $C$9, 100%, $E$9)</f>
        <v>108.8117</v>
      </c>
      <c r="O1032" s="10">
        <f>CHOOSE(CONTROL!$C$42, 108.8932, 108.8932) * CHOOSE(CONTROL!$C$21, $C$9, 100%, $E$9)</f>
        <v>108.89319999999999</v>
      </c>
      <c r="P1032" s="10">
        <f>CHOOSE(CONTROL!$C$42, 108.8181, 108.8181) * CHOOSE(CONTROL!$C$21, $C$9, 100%, $E$9)</f>
        <v>108.8181</v>
      </c>
      <c r="Q1032" s="10">
        <f>CHOOSE(CONTROL!$C$42, 109.4885, 109.4885) * CHOOSE(CONTROL!$C$21, $C$9, 100%, $E$9)</f>
        <v>109.4885</v>
      </c>
      <c r="R1032" s="10">
        <f>CHOOSE(CONTROL!$C$42, 110.3492, 110.3492) * CHOOSE(CONTROL!$C$21, $C$9, 100%, $E$9)</f>
        <v>110.3492</v>
      </c>
      <c r="S1032" s="10">
        <f>CHOOSE(CONTROL!$C$42, 106.7226, 106.7226) * CHOOSE(CONTROL!$C$21, $C$9, 100%, $E$9)</f>
        <v>106.7226</v>
      </c>
      <c r="T10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57">
        <f>(1000*CHOOSE(CONTROL!$C$42, 695, 695)*CHOOSE(CONTROL!$C$42, 0.5599, 0.5599)*CHOOSE(CONTROL!$C$42, 31, 31))/1000000</f>
        <v>12.063045499999998</v>
      </c>
      <c r="V1032" s="57">
        <f>(1000*CHOOSE(CONTROL!$C$42, 500, 500)*CHOOSE(CONTROL!$C$42, 0.275, 0.275)*CHOOSE(CONTROL!$C$42, 31, 31))/1000000</f>
        <v>4.2625000000000002</v>
      </c>
      <c r="W1032" s="57">
        <f>(1000*CHOOSE(CONTROL!$C$42, 0.1146, 0.1146)*CHOOSE(CONTROL!$C$42, 121.5, 121.5)*CHOOSE(CONTROL!$C$42, 31, 31))/1000000</f>
        <v>0.43164089999999994</v>
      </c>
      <c r="X1032" s="57">
        <f>(31*0.1790888*100000/1000000)+(31*0.2374*100000/1000000)</f>
        <v>1.2911152800000001</v>
      </c>
      <c r="Y1032" s="57"/>
      <c r="Z1032" s="10"/>
      <c r="AA1032" s="56"/>
      <c r="AB1032" s="50">
        <f>(B1032*122.58+C1032*297.941+D1032*89.177+E1032*40.302+F1032*40+G1032*160+H1032*0+I1032*100+J1032*300)/(122.58+297.941+89.177+40.302+0+40+160+100+300)</f>
        <v>109.91110935382608</v>
      </c>
      <c r="AC1032" s="45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108.8442071942446</v>
      </c>
    </row>
    <row r="1033" spans="1:29" ht="15.75" x14ac:dyDescent="0.25">
      <c r="A1033" s="13">
        <v>72351</v>
      </c>
      <c r="B1033" s="10">
        <f>CHOOSE(CONTROL!$C$42, 118.9056, 118.9056) * CHOOSE(CONTROL!$C$21, $C$9, 100%, $E$9)</f>
        <v>118.90560000000001</v>
      </c>
      <c r="C1033" s="10">
        <f>CHOOSE(CONTROL!$C$42, 118.9106, 118.9106) * CHOOSE(CONTROL!$C$21, $C$9, 100%, $E$9)</f>
        <v>118.9106</v>
      </c>
      <c r="D1033" s="10">
        <f>CHOOSE(CONTROL!$C$42, 118.9676, 118.9676) * CHOOSE(CONTROL!$C$21, $C$9, 100%, $E$9)</f>
        <v>118.9676</v>
      </c>
      <c r="E1033" s="10">
        <f>CHOOSE(CONTROL!$C$42, 119.0014, 119.0014) * CHOOSE(CONTROL!$C$21, $C$9, 100%, $E$9)</f>
        <v>119.0014</v>
      </c>
      <c r="F1033" s="10">
        <f>CHOOSE(CONTROL!$C$42, 118.9034, 118.9034)*CHOOSE(CONTROL!$C$21, $C$9, 100%, $E$9)</f>
        <v>118.9034</v>
      </c>
      <c r="G1033" s="10">
        <f>CHOOSE(CONTROL!$C$42, 118.918, 118.918)*CHOOSE(CONTROL!$C$21, $C$9, 100%, $E$9)</f>
        <v>118.91800000000001</v>
      </c>
      <c r="H1033" s="10">
        <f>CHOOSE(CONTROL!$C$42, 118.9906, 118.9906) * CHOOSE(CONTROL!$C$21, $C$9, 100%, $E$9)</f>
        <v>118.9906</v>
      </c>
      <c r="I1033" s="10">
        <f>CHOOSE(CONTROL!$C$42, 118.9164, 118.9164)* CHOOSE(CONTROL!$C$21, $C$9, 100%, $E$9)</f>
        <v>118.9164</v>
      </c>
      <c r="J1033" s="10">
        <f>CHOOSE(CONTROL!$C$42, 118.8964, 118.8964)* CHOOSE(CONTROL!$C$21, $C$9, 100%, $E$9)</f>
        <v>118.8964</v>
      </c>
      <c r="K1033" s="53">
        <f>CHOOSE(CONTROL!$C$42, 118.9125, 118.9125) * CHOOSE(CONTROL!$C$21, $C$9, 100%, $E$9)</f>
        <v>118.91249999999999</v>
      </c>
      <c r="L1033" s="10">
        <f>CHOOSE(CONTROL!$C$42, 119.5776, 119.5776) * CHOOSE(CONTROL!$C$21, $C$9, 100%, $E$9)</f>
        <v>119.5776</v>
      </c>
      <c r="M1033" s="10">
        <f>CHOOSE(CONTROL!$C$42, 117.7104, 117.7104) * CHOOSE(CONTROL!$C$21, $C$9, 100%, $E$9)</f>
        <v>117.71040000000001</v>
      </c>
      <c r="N1033" s="10">
        <f>CHOOSE(CONTROL!$C$42, 117.7249, 117.7249) * CHOOSE(CONTROL!$C$21, $C$9, 100%, $E$9)</f>
        <v>117.72490000000001</v>
      </c>
      <c r="O1033" s="10">
        <f>CHOOSE(CONTROL!$C$42, 117.8036, 117.8036) * CHOOSE(CONTROL!$C$21, $C$9, 100%, $E$9)</f>
        <v>117.8036</v>
      </c>
      <c r="P1033" s="10">
        <f>CHOOSE(CONTROL!$C$42, 117.7302, 117.7302) * CHOOSE(CONTROL!$C$21, $C$9, 100%, $E$9)</f>
        <v>117.7302</v>
      </c>
      <c r="Q1033" s="10">
        <f>CHOOSE(CONTROL!$C$42, 118.3989, 118.3989) * CHOOSE(CONTROL!$C$21, $C$9, 100%, $E$9)</f>
        <v>118.3989</v>
      </c>
      <c r="R1033" s="10">
        <f>CHOOSE(CONTROL!$C$42, 119.2819, 119.2819) * CHOOSE(CONTROL!$C$21, $C$9, 100%, $E$9)</f>
        <v>119.28189999999999</v>
      </c>
      <c r="S1033" s="10">
        <f>CHOOSE(CONTROL!$C$42, 115.4671, 115.4671) * CHOOSE(CONTROL!$C$21, $C$9, 100%, $E$9)</f>
        <v>115.4671</v>
      </c>
      <c r="T10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57">
        <f>(1000*CHOOSE(CONTROL!$C$42, 695, 695)*CHOOSE(CONTROL!$C$42, 0.5599, 0.5599)*CHOOSE(CONTROL!$C$42, 31, 31))/1000000</f>
        <v>12.063045499999998</v>
      </c>
      <c r="V1033" s="57">
        <f>(1000*CHOOSE(CONTROL!$C$42, 500, 500)*CHOOSE(CONTROL!$C$42, 0.275, 0.275)*CHOOSE(CONTROL!$C$42, 31, 31))/1000000</f>
        <v>4.2625000000000002</v>
      </c>
      <c r="W1033" s="57">
        <f>(1000*CHOOSE(CONTROL!$C$42, 0.1146, 0.1146)*CHOOSE(CONTROL!$C$42, 121.5, 121.5)*CHOOSE(CONTROL!$C$42, 31, 31))/1000000</f>
        <v>0.43164089999999994</v>
      </c>
      <c r="X1033" s="57">
        <f>(31*0.1790888*100000/1000000)+(31*0.2374*100000/1000000)</f>
        <v>1.2911152800000001</v>
      </c>
      <c r="Y1033" s="57"/>
      <c r="Z1033" s="10"/>
      <c r="AA1033" s="56"/>
      <c r="AB1033" s="50">
        <f>(B1033*122.58+C1033*297.941+D1033*89.177+E1033*40.302+F1033*40+G1033*160+H1033*0+I1033*100+J1033*300)/(122.58+297.941+89.177+40.302+0+40+160+100+300)</f>
        <v>118.9152483570435</v>
      </c>
      <c r="AC1033" s="45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117.75632517985612</v>
      </c>
    </row>
    <row r="1034" spans="1:29" ht="15.75" x14ac:dyDescent="0.25">
      <c r="A1034" s="13">
        <v>72379</v>
      </c>
      <c r="B1034" s="10">
        <f>CHOOSE(CONTROL!$C$42, 121.0223, 121.0223) * CHOOSE(CONTROL!$C$21, $C$9, 100%, $E$9)</f>
        <v>121.0223</v>
      </c>
      <c r="C1034" s="10">
        <f>CHOOSE(CONTROL!$C$42, 121.0272, 121.0272) * CHOOSE(CONTROL!$C$21, $C$9, 100%, $E$9)</f>
        <v>121.02719999999999</v>
      </c>
      <c r="D1034" s="10">
        <f>CHOOSE(CONTROL!$C$42, 121.0843, 121.0843) * CHOOSE(CONTROL!$C$21, $C$9, 100%, $E$9)</f>
        <v>121.0843</v>
      </c>
      <c r="E1034" s="10">
        <f>CHOOSE(CONTROL!$C$42, 121.1181, 121.1181) * CHOOSE(CONTROL!$C$21, $C$9, 100%, $E$9)</f>
        <v>121.1181</v>
      </c>
      <c r="F1034" s="10">
        <f>CHOOSE(CONTROL!$C$42, 121.0202, 121.0202)*CHOOSE(CONTROL!$C$21, $C$9, 100%, $E$9)</f>
        <v>121.0202</v>
      </c>
      <c r="G1034" s="10">
        <f>CHOOSE(CONTROL!$C$42, 121.0348, 121.0348)*CHOOSE(CONTROL!$C$21, $C$9, 100%, $E$9)</f>
        <v>121.0348</v>
      </c>
      <c r="H1034" s="10">
        <f>CHOOSE(CONTROL!$C$42, 121.1072, 121.1072) * CHOOSE(CONTROL!$C$21, $C$9, 100%, $E$9)</f>
        <v>121.10720000000001</v>
      </c>
      <c r="I1034" s="10">
        <f>CHOOSE(CONTROL!$C$42, 121.033, 121.033)* CHOOSE(CONTROL!$C$21, $C$9, 100%, $E$9)</f>
        <v>121.033</v>
      </c>
      <c r="J1034" s="10">
        <f>CHOOSE(CONTROL!$C$42, 121.0132, 121.0132)* CHOOSE(CONTROL!$C$21, $C$9, 100%, $E$9)</f>
        <v>121.0132</v>
      </c>
      <c r="K1034" s="53">
        <f>CHOOSE(CONTROL!$C$42, 121.0292, 121.0292) * CHOOSE(CONTROL!$C$21, $C$9, 100%, $E$9)</f>
        <v>121.0292</v>
      </c>
      <c r="L1034" s="10">
        <f>CHOOSE(CONTROL!$C$42, 121.6942, 121.6942) * CHOOSE(CONTROL!$C$21, $C$9, 100%, $E$9)</f>
        <v>121.6942</v>
      </c>
      <c r="M1034" s="10">
        <f>CHOOSE(CONTROL!$C$42, 119.8058, 119.8058) * CHOOSE(CONTROL!$C$21, $C$9, 100%, $E$9)</f>
        <v>119.8058</v>
      </c>
      <c r="N1034" s="10">
        <f>CHOOSE(CONTROL!$C$42, 119.8203, 119.8203) * CHOOSE(CONTROL!$C$21, $C$9, 100%, $E$9)</f>
        <v>119.8203</v>
      </c>
      <c r="O1034" s="10">
        <f>CHOOSE(CONTROL!$C$42, 119.8989, 119.8989) * CHOOSE(CONTROL!$C$21, $C$9, 100%, $E$9)</f>
        <v>119.8989</v>
      </c>
      <c r="P1034" s="10">
        <f>CHOOSE(CONTROL!$C$42, 119.8255, 119.8255) * CHOOSE(CONTROL!$C$21, $C$9, 100%, $E$9)</f>
        <v>119.82550000000001</v>
      </c>
      <c r="Q1034" s="10">
        <f>CHOOSE(CONTROL!$C$42, 120.4942, 120.4942) * CHOOSE(CONTROL!$C$21, $C$9, 100%, $E$9)</f>
        <v>120.49420000000001</v>
      </c>
      <c r="R1034" s="10">
        <f>CHOOSE(CONTROL!$C$42, 121.3824, 121.3824) * CHOOSE(CONTROL!$C$21, $C$9, 100%, $E$9)</f>
        <v>121.3824</v>
      </c>
      <c r="S1034" s="10">
        <f>CHOOSE(CONTROL!$C$42, 117.5226, 117.5226) * CHOOSE(CONTROL!$C$21, $C$9, 100%, $E$9)</f>
        <v>117.5226</v>
      </c>
      <c r="T10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57">
        <f>(1000*CHOOSE(CONTROL!$C$42, 695, 695)*CHOOSE(CONTROL!$C$42, 0.5599, 0.5599)*CHOOSE(CONTROL!$C$42, 28, 28))/1000000</f>
        <v>10.895653999999999</v>
      </c>
      <c r="V1034" s="57">
        <f>(1000*CHOOSE(CONTROL!$C$42, 500, 500)*CHOOSE(CONTROL!$C$42, 0.275, 0.275)*CHOOSE(CONTROL!$C$42, 28, 28))/1000000</f>
        <v>3.85</v>
      </c>
      <c r="W1034" s="57">
        <f>(1000*CHOOSE(CONTROL!$C$42, 0.1146, 0.1146)*CHOOSE(CONTROL!$C$42, 121.5, 121.5)*CHOOSE(CONTROL!$C$42, 28, 28))/1000000</f>
        <v>0.38986920000000003</v>
      </c>
      <c r="X1034" s="57">
        <f>(28*0.1790888*100000/1000000)+(28*0.2374*100000/1000000)</f>
        <v>1.16616864</v>
      </c>
      <c r="Y1034" s="57"/>
      <c r="Z1034" s="10"/>
      <c r="AA1034" s="56"/>
      <c r="AB1034" s="50">
        <f>(B1034*122.58+C1034*297.941+D1034*89.177+E1034*40.302+F1034*40+G1034*160+H1034*0+I1034*100+J1034*300)/(122.58+297.941+89.177+40.302+0+40+160+100+300)</f>
        <v>121.03195723173913</v>
      </c>
      <c r="AC1034" s="45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119.85166546762591</v>
      </c>
    </row>
    <row r="1035" spans="1:29" ht="15.75" x14ac:dyDescent="0.25">
      <c r="A1035" s="13">
        <v>72410</v>
      </c>
      <c r="B1035" s="10">
        <f>CHOOSE(CONTROL!$C$42, 117.5864, 117.5864) * CHOOSE(CONTROL!$C$21, $C$9, 100%, $E$9)</f>
        <v>117.5864</v>
      </c>
      <c r="C1035" s="10">
        <f>CHOOSE(CONTROL!$C$42, 117.5914, 117.5914) * CHOOSE(CONTROL!$C$21, $C$9, 100%, $E$9)</f>
        <v>117.59139999999999</v>
      </c>
      <c r="D1035" s="10">
        <f>CHOOSE(CONTROL!$C$42, 117.6485, 117.6485) * CHOOSE(CONTROL!$C$21, $C$9, 100%, $E$9)</f>
        <v>117.6485</v>
      </c>
      <c r="E1035" s="10">
        <f>CHOOSE(CONTROL!$C$42, 117.6822, 117.6822) * CHOOSE(CONTROL!$C$21, $C$9, 100%, $E$9)</f>
        <v>117.68219999999999</v>
      </c>
      <c r="F1035" s="10">
        <f>CHOOSE(CONTROL!$C$42, 117.5842, 117.5842)*CHOOSE(CONTROL!$C$21, $C$9, 100%, $E$9)</f>
        <v>117.5842</v>
      </c>
      <c r="G1035" s="10">
        <f>CHOOSE(CONTROL!$C$42, 117.5988, 117.5988)*CHOOSE(CONTROL!$C$21, $C$9, 100%, $E$9)</f>
        <v>117.5988</v>
      </c>
      <c r="H1035" s="10">
        <f>CHOOSE(CONTROL!$C$42, 117.6714, 117.6714) * CHOOSE(CONTROL!$C$21, $C$9, 100%, $E$9)</f>
        <v>117.67140000000001</v>
      </c>
      <c r="I1035" s="10">
        <f>CHOOSE(CONTROL!$C$42, 117.5972, 117.5972)* CHOOSE(CONTROL!$C$21, $C$9, 100%, $E$9)</f>
        <v>117.5972</v>
      </c>
      <c r="J1035" s="10">
        <f>CHOOSE(CONTROL!$C$42, 117.5772, 117.5772)* CHOOSE(CONTROL!$C$21, $C$9, 100%, $E$9)</f>
        <v>117.5772</v>
      </c>
      <c r="K1035" s="53">
        <f>CHOOSE(CONTROL!$C$42, 117.5933, 117.5933) * CHOOSE(CONTROL!$C$21, $C$9, 100%, $E$9)</f>
        <v>117.5933</v>
      </c>
      <c r="L1035" s="10">
        <f>CHOOSE(CONTROL!$C$42, 118.2584, 118.2584) * CHOOSE(CONTROL!$C$21, $C$9, 100%, $E$9)</f>
        <v>118.25839999999999</v>
      </c>
      <c r="M1035" s="10">
        <f>CHOOSE(CONTROL!$C$42, 116.4045, 116.4045) * CHOOSE(CONTROL!$C$21, $C$9, 100%, $E$9)</f>
        <v>116.4045</v>
      </c>
      <c r="N1035" s="10">
        <f>CHOOSE(CONTROL!$C$42, 116.419, 116.419) * CHOOSE(CONTROL!$C$21, $C$9, 100%, $E$9)</f>
        <v>116.419</v>
      </c>
      <c r="O1035" s="10">
        <f>CHOOSE(CONTROL!$C$42, 116.4977, 116.4977) * CHOOSE(CONTROL!$C$21, $C$9, 100%, $E$9)</f>
        <v>116.49769999999999</v>
      </c>
      <c r="P1035" s="10">
        <f>CHOOSE(CONTROL!$C$42, 116.4243, 116.4243) * CHOOSE(CONTROL!$C$21, $C$9, 100%, $E$9)</f>
        <v>116.4243</v>
      </c>
      <c r="Q1035" s="10">
        <f>CHOOSE(CONTROL!$C$42, 117.093, 117.093) * CHOOSE(CONTROL!$C$21, $C$9, 100%, $E$9)</f>
        <v>117.093</v>
      </c>
      <c r="R1035" s="10">
        <f>CHOOSE(CONTROL!$C$42, 117.9728, 117.9728) * CHOOSE(CONTROL!$C$21, $C$9, 100%, $E$9)</f>
        <v>117.97280000000001</v>
      </c>
      <c r="S1035" s="10">
        <f>CHOOSE(CONTROL!$C$42, 114.186, 114.186) * CHOOSE(CONTROL!$C$21, $C$9, 100%, $E$9)</f>
        <v>114.18600000000001</v>
      </c>
      <c r="T10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57">
        <f>(1000*CHOOSE(CONTROL!$C$42, 695, 695)*CHOOSE(CONTROL!$C$42, 0.5599, 0.5599)*CHOOSE(CONTROL!$C$42, 31, 31))/1000000</f>
        <v>12.063045499999998</v>
      </c>
      <c r="V1035" s="57">
        <f>(1000*CHOOSE(CONTROL!$C$42, 500, 500)*CHOOSE(CONTROL!$C$42, 0.275, 0.275)*CHOOSE(CONTROL!$C$42, 31, 31))/1000000</f>
        <v>4.2625000000000002</v>
      </c>
      <c r="W1035" s="57">
        <f>(1000*CHOOSE(CONTROL!$C$42, 0.1146, 0.1146)*CHOOSE(CONTROL!$C$42, 121.5, 121.5)*CHOOSE(CONTROL!$C$42, 31, 31))/1000000</f>
        <v>0.43164089999999994</v>
      </c>
      <c r="X1035" s="57">
        <f>(31*0.1790888*100000/1000000)+(31*0.2374*100000/1000000)</f>
        <v>1.2911152800000001</v>
      </c>
      <c r="Y1035" s="57"/>
      <c r="Z1035" s="10"/>
      <c r="AA1035" s="56"/>
      <c r="AB1035" s="50">
        <f>(B1035*122.58+C1035*297.941+D1035*89.177+E1035*40.302+F1035*40+G1035*160+H1035*0+I1035*100+J1035*300)/(122.58+297.941+89.177+40.302+0+40+160+100+300)</f>
        <v>117.5960561115652</v>
      </c>
      <c r="AC1035" s="45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116.45042517985608</v>
      </c>
    </row>
    <row r="1036" spans="1:29" ht="15.75" x14ac:dyDescent="0.25">
      <c r="A1036" s="13">
        <v>72440</v>
      </c>
      <c r="B1036" s="10">
        <f>CHOOSE(CONTROL!$C$42, 117.2355, 117.2355) * CHOOSE(CONTROL!$C$21, $C$9, 100%, $E$9)</f>
        <v>117.2355</v>
      </c>
      <c r="C1036" s="10">
        <f>CHOOSE(CONTROL!$C$42, 117.2399, 117.2399) * CHOOSE(CONTROL!$C$21, $C$9, 100%, $E$9)</f>
        <v>117.23990000000001</v>
      </c>
      <c r="D1036" s="10">
        <f>CHOOSE(CONTROL!$C$42, 117.4458, 117.4458) * CHOOSE(CONTROL!$C$21, $C$9, 100%, $E$9)</f>
        <v>117.44580000000001</v>
      </c>
      <c r="E1036" s="10">
        <f>CHOOSE(CONTROL!$C$42, 117.4776, 117.4776) * CHOOSE(CONTROL!$C$21, $C$9, 100%, $E$9)</f>
        <v>117.4776</v>
      </c>
      <c r="F1036" s="10">
        <f>CHOOSE(CONTROL!$C$42, 117.2123, 117.2123)*CHOOSE(CONTROL!$C$21, $C$9, 100%, $E$9)</f>
        <v>117.2123</v>
      </c>
      <c r="G1036" s="10">
        <f>CHOOSE(CONTROL!$C$42, 117.2268, 117.2268)*CHOOSE(CONTROL!$C$21, $C$9, 100%, $E$9)</f>
        <v>117.2268</v>
      </c>
      <c r="H1036" s="10">
        <f>CHOOSE(CONTROL!$C$42, 117.4673, 117.4673) * CHOOSE(CONTROL!$C$21, $C$9, 100%, $E$9)</f>
        <v>117.46729999999999</v>
      </c>
      <c r="I1036" s="10">
        <f>CHOOSE(CONTROL!$C$42, 117.237, 117.237)* CHOOSE(CONTROL!$C$21, $C$9, 100%, $E$9)</f>
        <v>117.23699999999999</v>
      </c>
      <c r="J1036" s="10">
        <f>CHOOSE(CONTROL!$C$42, 117.2053, 117.2053)* CHOOSE(CONTROL!$C$21, $C$9, 100%, $E$9)</f>
        <v>117.20529999999999</v>
      </c>
      <c r="K1036" s="53">
        <f>CHOOSE(CONTROL!$C$42, 117.2331, 117.2331) * CHOOSE(CONTROL!$C$21, $C$9, 100%, $E$9)</f>
        <v>117.23309999999999</v>
      </c>
      <c r="L1036" s="10">
        <f>CHOOSE(CONTROL!$C$42, 118.0543, 118.0543) * CHOOSE(CONTROL!$C$21, $C$9, 100%, $E$9)</f>
        <v>118.0543</v>
      </c>
      <c r="M1036" s="10">
        <f>CHOOSE(CONTROL!$C$42, 116.0363, 116.0363) * CHOOSE(CONTROL!$C$21, $C$9, 100%, $E$9)</f>
        <v>116.0363</v>
      </c>
      <c r="N1036" s="10">
        <f>CHOOSE(CONTROL!$C$42, 116.0507, 116.0507) * CHOOSE(CONTROL!$C$21, $C$9, 100%, $E$9)</f>
        <v>116.05070000000001</v>
      </c>
      <c r="O1036" s="10">
        <f>CHOOSE(CONTROL!$C$42, 116.2957, 116.2957) * CHOOSE(CONTROL!$C$21, $C$9, 100%, $E$9)</f>
        <v>116.2957</v>
      </c>
      <c r="P1036" s="10">
        <f>CHOOSE(CONTROL!$C$42, 116.0677, 116.0677) * CHOOSE(CONTROL!$C$21, $C$9, 100%, $E$9)</f>
        <v>116.0677</v>
      </c>
      <c r="Q1036" s="10">
        <f>CHOOSE(CONTROL!$C$42, 116.891, 116.891) * CHOOSE(CONTROL!$C$21, $C$9, 100%, $E$9)</f>
        <v>116.89100000000001</v>
      </c>
      <c r="R1036" s="10">
        <f>CHOOSE(CONTROL!$C$42, 117.7702, 117.7702) * CHOOSE(CONTROL!$C$21, $C$9, 100%, $E$9)</f>
        <v>117.7702</v>
      </c>
      <c r="S1036" s="10">
        <f>CHOOSE(CONTROL!$C$42, 113.8445, 113.8445) * CHOOSE(CONTROL!$C$21, $C$9, 100%, $E$9)</f>
        <v>113.8445</v>
      </c>
      <c r="T10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57">
        <f>(1000*CHOOSE(CONTROL!$C$42, 695, 695)*CHOOSE(CONTROL!$C$42, 0.5599, 0.5599)*CHOOSE(CONTROL!$C$42, 30, 30))/1000000</f>
        <v>11.673914999999997</v>
      </c>
      <c r="V1036" s="57">
        <f>(1000*CHOOSE(CONTROL!$C$42, 500, 500)*CHOOSE(CONTROL!$C$42, 0.275, 0.275)*CHOOSE(CONTROL!$C$42, 30, 30))/1000000</f>
        <v>4.125</v>
      </c>
      <c r="W1036" s="57">
        <f>(1000*CHOOSE(CONTROL!$C$42, 0.1146, 0.1146)*CHOOSE(CONTROL!$C$42, 121.5, 121.5)*CHOOSE(CONTROL!$C$42, 30, 30))/1000000</f>
        <v>0.417717</v>
      </c>
      <c r="X1036" s="57">
        <f>(30*0.1790888*245000/1000000)+(30*0.2374*100000/1000000)</f>
        <v>2.0285026799999999</v>
      </c>
      <c r="Y1036" s="57"/>
      <c r="Z1036" s="10"/>
      <c r="AA1036" s="56"/>
      <c r="AB1036" s="50">
        <f>(B1036*141.293+C1036*267.993+D1036*115.016+E1036*89.698+F1036*40+G1036*185+H1036*0+I1036*100+J1036*300)/(141.293+267.993+115.016+89.698+0+40+185+100+300)</f>
        <v>117.26426143648102</v>
      </c>
      <c r="AC1036" s="45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116.15921654676261</v>
      </c>
    </row>
    <row r="1037" spans="1:29" ht="15.75" x14ac:dyDescent="0.25">
      <c r="A1037" s="13">
        <v>72471</v>
      </c>
      <c r="B1037" s="10">
        <f>CHOOSE(CONTROL!$C$42, 118.2716, 118.2716) * CHOOSE(CONTROL!$C$21, $C$9, 100%, $E$9)</f>
        <v>118.27160000000001</v>
      </c>
      <c r="C1037" s="10">
        <f>CHOOSE(CONTROL!$C$42, 118.2795, 118.2795) * CHOOSE(CONTROL!$C$21, $C$9, 100%, $E$9)</f>
        <v>118.2795</v>
      </c>
      <c r="D1037" s="10">
        <f>CHOOSE(CONTROL!$C$42, 118.4823, 118.4823) * CHOOSE(CONTROL!$C$21, $C$9, 100%, $E$9)</f>
        <v>118.4823</v>
      </c>
      <c r="E1037" s="10">
        <f>CHOOSE(CONTROL!$C$42, 118.5134, 118.5134) * CHOOSE(CONTROL!$C$21, $C$9, 100%, $E$9)</f>
        <v>118.5134</v>
      </c>
      <c r="F1037" s="10">
        <f>CHOOSE(CONTROL!$C$42, 118.2473, 118.2473)*CHOOSE(CONTROL!$C$21, $C$9, 100%, $E$9)</f>
        <v>118.2473</v>
      </c>
      <c r="G1037" s="10">
        <f>CHOOSE(CONTROL!$C$42, 118.2623, 118.2623)*CHOOSE(CONTROL!$C$21, $C$9, 100%, $E$9)</f>
        <v>118.2623</v>
      </c>
      <c r="H1037" s="10">
        <f>CHOOSE(CONTROL!$C$42, 118.502, 118.502) * CHOOSE(CONTROL!$C$21, $C$9, 100%, $E$9)</f>
        <v>118.502</v>
      </c>
      <c r="I1037" s="10">
        <f>CHOOSE(CONTROL!$C$42, 118.2717, 118.2717)* CHOOSE(CONTROL!$C$21, $C$9, 100%, $E$9)</f>
        <v>118.2717</v>
      </c>
      <c r="J1037" s="10">
        <f>CHOOSE(CONTROL!$C$42, 118.2403, 118.2403)* CHOOSE(CONTROL!$C$21, $C$9, 100%, $E$9)</f>
        <v>118.2403</v>
      </c>
      <c r="K1037" s="53">
        <f>CHOOSE(CONTROL!$C$42, 118.2678, 118.2678) * CHOOSE(CONTROL!$C$21, $C$9, 100%, $E$9)</f>
        <v>118.26779999999999</v>
      </c>
      <c r="L1037" s="10">
        <f>CHOOSE(CONTROL!$C$42, 119.089, 119.089) * CHOOSE(CONTROL!$C$21, $C$9, 100%, $E$9)</f>
        <v>119.089</v>
      </c>
      <c r="M1037" s="10">
        <f>CHOOSE(CONTROL!$C$42, 117.0609, 117.0609) * CHOOSE(CONTROL!$C$21, $C$9, 100%, $E$9)</f>
        <v>117.0609</v>
      </c>
      <c r="N1037" s="10">
        <f>CHOOSE(CONTROL!$C$42, 117.0758, 117.0758) * CHOOSE(CONTROL!$C$21, $C$9, 100%, $E$9)</f>
        <v>117.0758</v>
      </c>
      <c r="O1037" s="10">
        <f>CHOOSE(CONTROL!$C$42, 117.32, 117.32) * CHOOSE(CONTROL!$C$21, $C$9, 100%, $E$9)</f>
        <v>117.32</v>
      </c>
      <c r="P1037" s="10">
        <f>CHOOSE(CONTROL!$C$42, 117.092, 117.092) * CHOOSE(CONTROL!$C$21, $C$9, 100%, $E$9)</f>
        <v>117.092</v>
      </c>
      <c r="Q1037" s="10">
        <f>CHOOSE(CONTROL!$C$42, 117.9153, 117.9153) * CHOOSE(CONTROL!$C$21, $C$9, 100%, $E$9)</f>
        <v>117.9153</v>
      </c>
      <c r="R1037" s="10">
        <f>CHOOSE(CONTROL!$C$42, 118.7971, 118.7971) * CHOOSE(CONTROL!$C$21, $C$9, 100%, $E$9)</f>
        <v>118.7971</v>
      </c>
      <c r="S1037" s="10">
        <f>CHOOSE(CONTROL!$C$42, 114.8493, 114.8493) * CHOOSE(CONTROL!$C$21, $C$9, 100%, $E$9)</f>
        <v>114.8493</v>
      </c>
      <c r="T10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57">
        <f>(1000*CHOOSE(CONTROL!$C$42, 695, 695)*CHOOSE(CONTROL!$C$42, 0.5599, 0.5599)*CHOOSE(CONTROL!$C$42, 31, 31))/1000000</f>
        <v>12.063045499999998</v>
      </c>
      <c r="V1037" s="57">
        <f>(1000*CHOOSE(CONTROL!$C$42, 500, 500)*CHOOSE(CONTROL!$C$42, 0.275, 0.275)*CHOOSE(CONTROL!$C$42, 31, 31))/1000000</f>
        <v>4.2625000000000002</v>
      </c>
      <c r="W1037" s="57">
        <f>(1000*CHOOSE(CONTROL!$C$42, 0.1146, 0.1146)*CHOOSE(CONTROL!$C$42, 121.5, 121.5)*CHOOSE(CONTROL!$C$42, 31, 31))/1000000</f>
        <v>0.43164089999999994</v>
      </c>
      <c r="X1037" s="57">
        <f>(31*0.1790888*245000/1000000)+(31*0.2374*100000/1000000)</f>
        <v>2.0961194359999999</v>
      </c>
      <c r="Y1037" s="57"/>
      <c r="Z1037" s="10"/>
      <c r="AA1037" s="56"/>
      <c r="AB1037" s="50">
        <f>(B1037*194.205+C1037*267.466+D1037*133.845+E1037*53.484+F1037*40+G1037*185+H1037*0+I1037*100+J1037*300)/(194.205+267.466+133.845+53.484+0+40+185+100+300)</f>
        <v>118.29606943021979</v>
      </c>
      <c r="AC1037" s="45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117.18366618705036</v>
      </c>
    </row>
    <row r="1038" spans="1:29" ht="15.75" x14ac:dyDescent="0.25">
      <c r="A1038" s="13">
        <v>72501</v>
      </c>
      <c r="B1038" s="10">
        <f>CHOOSE(CONTROL!$C$42, 121.6264, 121.6264) * CHOOSE(CONTROL!$C$21, $C$9, 100%, $E$9)</f>
        <v>121.6264</v>
      </c>
      <c r="C1038" s="10">
        <f>CHOOSE(CONTROL!$C$42, 121.6343, 121.6343) * CHOOSE(CONTROL!$C$21, $C$9, 100%, $E$9)</f>
        <v>121.6343</v>
      </c>
      <c r="D1038" s="10">
        <f>CHOOSE(CONTROL!$C$42, 121.8371, 121.8371) * CHOOSE(CONTROL!$C$21, $C$9, 100%, $E$9)</f>
        <v>121.83710000000001</v>
      </c>
      <c r="E1038" s="10">
        <f>CHOOSE(CONTROL!$C$42, 121.8682, 121.8682) * CHOOSE(CONTROL!$C$21, $C$9, 100%, $E$9)</f>
        <v>121.8682</v>
      </c>
      <c r="F1038" s="10">
        <f>CHOOSE(CONTROL!$C$42, 121.6027, 121.6027)*CHOOSE(CONTROL!$C$21, $C$9, 100%, $E$9)</f>
        <v>121.6027</v>
      </c>
      <c r="G1038" s="10">
        <f>CHOOSE(CONTROL!$C$42, 121.6178, 121.6178)*CHOOSE(CONTROL!$C$21, $C$9, 100%, $E$9)</f>
        <v>121.6178</v>
      </c>
      <c r="H1038" s="10">
        <f>CHOOSE(CONTROL!$C$42, 121.8568, 121.8568) * CHOOSE(CONTROL!$C$21, $C$9, 100%, $E$9)</f>
        <v>121.85680000000001</v>
      </c>
      <c r="I1038" s="10">
        <f>CHOOSE(CONTROL!$C$42, 121.6265, 121.6265)* CHOOSE(CONTROL!$C$21, $C$9, 100%, $E$9)</f>
        <v>121.62649999999999</v>
      </c>
      <c r="J1038" s="10">
        <f>CHOOSE(CONTROL!$C$42, 121.5957, 121.5957)* CHOOSE(CONTROL!$C$21, $C$9, 100%, $E$9)</f>
        <v>121.59569999999999</v>
      </c>
      <c r="K1038" s="53">
        <f>CHOOSE(CONTROL!$C$42, 121.6226, 121.6226) * CHOOSE(CONTROL!$C$21, $C$9, 100%, $E$9)</f>
        <v>121.62260000000001</v>
      </c>
      <c r="L1038" s="10">
        <f>CHOOSE(CONTROL!$C$42, 122.4438, 122.4438) * CHOOSE(CONTROL!$C$21, $C$9, 100%, $E$9)</f>
        <v>122.4438</v>
      </c>
      <c r="M1038" s="10">
        <f>CHOOSE(CONTROL!$C$42, 120.3824, 120.3824) * CHOOSE(CONTROL!$C$21, $C$9, 100%, $E$9)</f>
        <v>120.3824</v>
      </c>
      <c r="N1038" s="10">
        <f>CHOOSE(CONTROL!$C$42, 120.3974, 120.3974) * CHOOSE(CONTROL!$C$21, $C$9, 100%, $E$9)</f>
        <v>120.3974</v>
      </c>
      <c r="O1038" s="10">
        <f>CHOOSE(CONTROL!$C$42, 120.6409, 120.6409) * CHOOSE(CONTROL!$C$21, $C$9, 100%, $E$9)</f>
        <v>120.6409</v>
      </c>
      <c r="P1038" s="10">
        <f>CHOOSE(CONTROL!$C$42, 120.4129, 120.4129) * CHOOSE(CONTROL!$C$21, $C$9, 100%, $E$9)</f>
        <v>120.41289999999999</v>
      </c>
      <c r="Q1038" s="10">
        <f>CHOOSE(CONTROL!$C$42, 121.2362, 121.2362) * CHOOSE(CONTROL!$C$21, $C$9, 100%, $E$9)</f>
        <v>121.2362</v>
      </c>
      <c r="R1038" s="10">
        <f>CHOOSE(CONTROL!$C$42, 122.1263, 122.1263) * CHOOSE(CONTROL!$C$21, $C$9, 100%, $E$9)</f>
        <v>122.1263</v>
      </c>
      <c r="S1038" s="10">
        <f>CHOOSE(CONTROL!$C$42, 118.1072, 118.1072) * CHOOSE(CONTROL!$C$21, $C$9, 100%, $E$9)</f>
        <v>118.10720000000001</v>
      </c>
      <c r="T10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57">
        <f>(1000*CHOOSE(CONTROL!$C$42, 695, 695)*CHOOSE(CONTROL!$C$42, 0.5599, 0.5599)*CHOOSE(CONTROL!$C$42, 30, 30))/1000000</f>
        <v>11.673914999999997</v>
      </c>
      <c r="V1038" s="57">
        <f>(1000*CHOOSE(CONTROL!$C$42, 500, 500)*CHOOSE(CONTROL!$C$42, 0.275, 0.275)*CHOOSE(CONTROL!$C$42, 30, 30))/1000000</f>
        <v>4.125</v>
      </c>
      <c r="W1038" s="57">
        <f>(1000*CHOOSE(CONTROL!$C$42, 0.1146, 0.1146)*CHOOSE(CONTROL!$C$42, 121.5, 121.5)*CHOOSE(CONTROL!$C$42, 30, 30))/1000000</f>
        <v>0.417717</v>
      </c>
      <c r="X1038" s="57">
        <f>(30*0.1790888*245000/1000000)+(30*0.2374*100000/1000000)</f>
        <v>2.0285026799999999</v>
      </c>
      <c r="Y1038" s="57"/>
      <c r="Z1038" s="10"/>
      <c r="AA1038" s="56"/>
      <c r="AB1038" s="50">
        <f>(B1038*194.205+C1038*267.466+D1038*133.845+E1038*53.484+F1038*40+G1038*185+H1038*0+I1038*100+J1038*300)/(194.205+267.466+133.845+53.484+0+40+185+100+300)</f>
        <v>121.65113120416014</v>
      </c>
      <c r="AC1038" s="45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120.50481366906476</v>
      </c>
    </row>
    <row r="1039" spans="1:29" ht="15.75" x14ac:dyDescent="0.25">
      <c r="A1039" s="13">
        <v>72532</v>
      </c>
      <c r="B1039" s="10">
        <f>CHOOSE(CONTROL!$C$42, 119.2931, 119.2931) * CHOOSE(CONTROL!$C$21, $C$9, 100%, $E$9)</f>
        <v>119.2931</v>
      </c>
      <c r="C1039" s="10">
        <f>CHOOSE(CONTROL!$C$42, 119.3011, 119.3011) * CHOOSE(CONTROL!$C$21, $C$9, 100%, $E$9)</f>
        <v>119.30110000000001</v>
      </c>
      <c r="D1039" s="10">
        <f>CHOOSE(CONTROL!$C$42, 119.5038, 119.5038) * CHOOSE(CONTROL!$C$21, $C$9, 100%, $E$9)</f>
        <v>119.5038</v>
      </c>
      <c r="E1039" s="10">
        <f>CHOOSE(CONTROL!$C$42, 119.5349, 119.5349) * CHOOSE(CONTROL!$C$21, $C$9, 100%, $E$9)</f>
        <v>119.53489999999999</v>
      </c>
      <c r="F1039" s="10">
        <f>CHOOSE(CONTROL!$C$42, 119.2699, 119.2699)*CHOOSE(CONTROL!$C$21, $C$9, 100%, $E$9)</f>
        <v>119.26990000000001</v>
      </c>
      <c r="G1039" s="10">
        <f>CHOOSE(CONTROL!$C$42, 119.2852, 119.2852)*CHOOSE(CONTROL!$C$21, $C$9, 100%, $E$9)</f>
        <v>119.2852</v>
      </c>
      <c r="H1039" s="10">
        <f>CHOOSE(CONTROL!$C$42, 119.5236, 119.5236) * CHOOSE(CONTROL!$C$21, $C$9, 100%, $E$9)</f>
        <v>119.5236</v>
      </c>
      <c r="I1039" s="10">
        <f>CHOOSE(CONTROL!$C$42, 119.2932, 119.2932)* CHOOSE(CONTROL!$C$21, $C$9, 100%, $E$9)</f>
        <v>119.2932</v>
      </c>
      <c r="J1039" s="10">
        <f>CHOOSE(CONTROL!$C$42, 119.2629, 119.2629)* CHOOSE(CONTROL!$C$21, $C$9, 100%, $E$9)</f>
        <v>119.2629</v>
      </c>
      <c r="K1039" s="53">
        <f>CHOOSE(CONTROL!$C$42, 119.2893, 119.2893) * CHOOSE(CONTROL!$C$21, $C$9, 100%, $E$9)</f>
        <v>119.2893</v>
      </c>
      <c r="L1039" s="10">
        <f>CHOOSE(CONTROL!$C$42, 120.1106, 120.1106) * CHOOSE(CONTROL!$C$21, $C$9, 100%, $E$9)</f>
        <v>120.11060000000001</v>
      </c>
      <c r="M1039" s="10">
        <f>CHOOSE(CONTROL!$C$42, 118.0731, 118.0731) * CHOOSE(CONTROL!$C$21, $C$9, 100%, $E$9)</f>
        <v>118.0731</v>
      </c>
      <c r="N1039" s="10">
        <f>CHOOSE(CONTROL!$C$42, 118.0883, 118.0883) * CHOOSE(CONTROL!$C$21, $C$9, 100%, $E$9)</f>
        <v>118.0883</v>
      </c>
      <c r="O1039" s="10">
        <f>CHOOSE(CONTROL!$C$42, 118.3312, 118.3312) * CHOOSE(CONTROL!$C$21, $C$9, 100%, $E$9)</f>
        <v>118.3312</v>
      </c>
      <c r="P1039" s="10">
        <f>CHOOSE(CONTROL!$C$42, 118.1032, 118.1032) * CHOOSE(CONTROL!$C$21, $C$9, 100%, $E$9)</f>
        <v>118.1032</v>
      </c>
      <c r="Q1039" s="10">
        <f>CHOOSE(CONTROL!$C$42, 118.9265, 118.9265) * CHOOSE(CONTROL!$C$21, $C$9, 100%, $E$9)</f>
        <v>118.9265</v>
      </c>
      <c r="R1039" s="10">
        <f>CHOOSE(CONTROL!$C$42, 119.8108, 119.8108) * CHOOSE(CONTROL!$C$21, $C$9, 100%, $E$9)</f>
        <v>119.8108</v>
      </c>
      <c r="S1039" s="10">
        <f>CHOOSE(CONTROL!$C$42, 115.8413, 115.8413) * CHOOSE(CONTROL!$C$21, $C$9, 100%, $E$9)</f>
        <v>115.8413</v>
      </c>
      <c r="T10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57">
        <f>(1000*CHOOSE(CONTROL!$C$42, 695, 695)*CHOOSE(CONTROL!$C$42, 0.5599, 0.5599)*CHOOSE(CONTROL!$C$42, 31, 31))/1000000</f>
        <v>12.063045499999998</v>
      </c>
      <c r="V1039" s="57">
        <f>(1000*CHOOSE(CONTROL!$C$42, 500, 500)*CHOOSE(CONTROL!$C$42, 0.275, 0.275)*CHOOSE(CONTROL!$C$42, 31, 31))/1000000</f>
        <v>4.2625000000000002</v>
      </c>
      <c r="W1039" s="57">
        <f>(1000*CHOOSE(CONTROL!$C$42, 0.1146, 0.1146)*CHOOSE(CONTROL!$C$42, 121.5, 121.5)*CHOOSE(CONTROL!$C$42, 31, 31))/1000000</f>
        <v>0.43164089999999994</v>
      </c>
      <c r="X1039" s="57">
        <f>(31*0.1790888*245000/1000000)+(31*0.2374*100000/1000000)</f>
        <v>2.0961194359999999</v>
      </c>
      <c r="Y1039" s="57"/>
      <c r="Z1039" s="10"/>
      <c r="AA1039" s="56"/>
      <c r="AB1039" s="50">
        <f>(B1039*194.205+C1039*267.466+D1039*133.845+E1039*53.484+F1039*40+G1039*185+H1039*0+I1039*100+J1039*300)/(194.205+267.466+133.845+53.484+0+40+185+100+300)</f>
        <v>119.31808728469387</v>
      </c>
      <c r="AC1039" s="45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118.19528633093528</v>
      </c>
    </row>
    <row r="1040" spans="1:29" ht="15.75" x14ac:dyDescent="0.25">
      <c r="A1040" s="13">
        <v>72563</v>
      </c>
      <c r="B1040" s="10">
        <f>CHOOSE(CONTROL!$C$42, 113.4009, 113.4009) * CHOOSE(CONTROL!$C$21, $C$9, 100%, $E$9)</f>
        <v>113.40089999999999</v>
      </c>
      <c r="C1040" s="10">
        <f>CHOOSE(CONTROL!$C$42, 113.4088, 113.4088) * CHOOSE(CONTROL!$C$21, $C$9, 100%, $E$9)</f>
        <v>113.4088</v>
      </c>
      <c r="D1040" s="10">
        <f>CHOOSE(CONTROL!$C$42, 113.6115, 113.6115) * CHOOSE(CONTROL!$C$21, $C$9, 100%, $E$9)</f>
        <v>113.61150000000001</v>
      </c>
      <c r="E1040" s="10">
        <f>CHOOSE(CONTROL!$C$42, 113.6427, 113.6427) * CHOOSE(CONTROL!$C$21, $C$9, 100%, $E$9)</f>
        <v>113.6427</v>
      </c>
      <c r="F1040" s="10">
        <f>CHOOSE(CONTROL!$C$42, 113.3778, 113.3778)*CHOOSE(CONTROL!$C$21, $C$9, 100%, $E$9)</f>
        <v>113.37779999999999</v>
      </c>
      <c r="G1040" s="10">
        <f>CHOOSE(CONTROL!$C$42, 113.3931, 113.3931)*CHOOSE(CONTROL!$C$21, $C$9, 100%, $E$9)</f>
        <v>113.3931</v>
      </c>
      <c r="H1040" s="10">
        <f>CHOOSE(CONTROL!$C$42, 113.6313, 113.6313) * CHOOSE(CONTROL!$C$21, $C$9, 100%, $E$9)</f>
        <v>113.6313</v>
      </c>
      <c r="I1040" s="10">
        <f>CHOOSE(CONTROL!$C$42, 113.4009, 113.4009)* CHOOSE(CONTROL!$C$21, $C$9, 100%, $E$9)</f>
        <v>113.40089999999999</v>
      </c>
      <c r="J1040" s="10">
        <f>CHOOSE(CONTROL!$C$42, 113.3708, 113.3708)* CHOOSE(CONTROL!$C$21, $C$9, 100%, $E$9)</f>
        <v>113.3708</v>
      </c>
      <c r="K1040" s="53">
        <f>CHOOSE(CONTROL!$C$42, 113.397, 113.397) * CHOOSE(CONTROL!$C$21, $C$9, 100%, $E$9)</f>
        <v>113.39700000000001</v>
      </c>
      <c r="L1040" s="10">
        <f>CHOOSE(CONTROL!$C$42, 114.2183, 114.2183) * CHOOSE(CONTROL!$C$21, $C$9, 100%, $E$9)</f>
        <v>114.2183</v>
      </c>
      <c r="M1040" s="10">
        <f>CHOOSE(CONTROL!$C$42, 112.2405, 112.2405) * CHOOSE(CONTROL!$C$21, $C$9, 100%, $E$9)</f>
        <v>112.2405</v>
      </c>
      <c r="N1040" s="10">
        <f>CHOOSE(CONTROL!$C$42, 112.2557, 112.2557) * CHOOSE(CONTROL!$C$21, $C$9, 100%, $E$9)</f>
        <v>112.2557</v>
      </c>
      <c r="O1040" s="10">
        <f>CHOOSE(CONTROL!$C$42, 112.4984, 112.4984) * CHOOSE(CONTROL!$C$21, $C$9, 100%, $E$9)</f>
        <v>112.4984</v>
      </c>
      <c r="P1040" s="10">
        <f>CHOOSE(CONTROL!$C$42, 112.2704, 112.2704) * CHOOSE(CONTROL!$C$21, $C$9, 100%, $E$9)</f>
        <v>112.2704</v>
      </c>
      <c r="Q1040" s="10">
        <f>CHOOSE(CONTROL!$C$42, 113.0937, 113.0937) * CHOOSE(CONTROL!$C$21, $C$9, 100%, $E$9)</f>
        <v>113.0937</v>
      </c>
      <c r="R1040" s="10">
        <f>CHOOSE(CONTROL!$C$42, 113.9634, 113.9634) * CHOOSE(CONTROL!$C$21, $C$9, 100%, $E$9)</f>
        <v>113.96339999999999</v>
      </c>
      <c r="S1040" s="10">
        <f>CHOOSE(CONTROL!$C$42, 110.1194, 110.1194) * CHOOSE(CONTROL!$C$21, $C$9, 100%, $E$9)</f>
        <v>110.1194</v>
      </c>
      <c r="T10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57">
        <f>(1000*CHOOSE(CONTROL!$C$42, 695, 695)*CHOOSE(CONTROL!$C$42, 0.5599, 0.5599)*CHOOSE(CONTROL!$C$42, 31, 31))/1000000</f>
        <v>12.063045499999998</v>
      </c>
      <c r="V1040" s="57">
        <f>(1000*CHOOSE(CONTROL!$C$42, 500, 500)*CHOOSE(CONTROL!$C$42, 0.275, 0.275)*CHOOSE(CONTROL!$C$42, 31, 31))/1000000</f>
        <v>4.2625000000000002</v>
      </c>
      <c r="W1040" s="57">
        <f>(1000*CHOOSE(CONTROL!$C$42, 0.1146, 0.1146)*CHOOSE(CONTROL!$C$42, 121.5, 121.5)*CHOOSE(CONTROL!$C$42, 31, 31))/1000000</f>
        <v>0.43164089999999994</v>
      </c>
      <c r="X1040" s="57">
        <f>(31*0.1790888*245000/1000000)+(31*0.2374*100000/1000000)</f>
        <v>2.0961194359999999</v>
      </c>
      <c r="Y1040" s="57"/>
      <c r="Z1040" s="10"/>
      <c r="AA1040" s="56"/>
      <c r="AB1040" s="50">
        <f>(B1040*194.205+C1040*267.466+D1040*133.845+E1040*53.484+F1040*40+G1040*185+H1040*0+I1040*100+J1040*300)/(194.205+267.466+133.845+53.484+0+40+185+100+300)</f>
        <v>113.42588914411301</v>
      </c>
      <c r="AC1040" s="45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112.36256690647481</v>
      </c>
    </row>
    <row r="1041" spans="1:29" ht="15.75" x14ac:dyDescent="0.25">
      <c r="A1041" s="13">
        <v>72593</v>
      </c>
      <c r="B1041" s="10">
        <f>CHOOSE(CONTROL!$C$42, 106.2013, 106.2013) * CHOOSE(CONTROL!$C$21, $C$9, 100%, $E$9)</f>
        <v>106.2013</v>
      </c>
      <c r="C1041" s="10">
        <f>CHOOSE(CONTROL!$C$42, 106.2092, 106.2092) * CHOOSE(CONTROL!$C$21, $C$9, 100%, $E$9)</f>
        <v>106.2092</v>
      </c>
      <c r="D1041" s="10">
        <f>CHOOSE(CONTROL!$C$42, 106.4119, 106.4119) * CHOOSE(CONTROL!$C$21, $C$9, 100%, $E$9)</f>
        <v>106.4119</v>
      </c>
      <c r="E1041" s="10">
        <f>CHOOSE(CONTROL!$C$42, 106.443, 106.443) * CHOOSE(CONTROL!$C$21, $C$9, 100%, $E$9)</f>
        <v>106.443</v>
      </c>
      <c r="F1041" s="10">
        <f>CHOOSE(CONTROL!$C$42, 106.1781, 106.1781)*CHOOSE(CONTROL!$C$21, $C$9, 100%, $E$9)</f>
        <v>106.1781</v>
      </c>
      <c r="G1041" s="10">
        <f>CHOOSE(CONTROL!$C$42, 106.1933, 106.1933)*CHOOSE(CONTROL!$C$21, $C$9, 100%, $E$9)</f>
        <v>106.19329999999999</v>
      </c>
      <c r="H1041" s="10">
        <f>CHOOSE(CONTROL!$C$42, 106.4317, 106.4317) * CHOOSE(CONTROL!$C$21, $C$9, 100%, $E$9)</f>
        <v>106.43170000000001</v>
      </c>
      <c r="I1041" s="10">
        <f>CHOOSE(CONTROL!$C$42, 106.2013, 106.2013)* CHOOSE(CONTROL!$C$21, $C$9, 100%, $E$9)</f>
        <v>106.2013</v>
      </c>
      <c r="J1041" s="10">
        <f>CHOOSE(CONTROL!$C$42, 106.1711, 106.1711)* CHOOSE(CONTROL!$C$21, $C$9, 100%, $E$9)</f>
        <v>106.1711</v>
      </c>
      <c r="K1041" s="53">
        <f>CHOOSE(CONTROL!$C$42, 106.1974, 106.1974) * CHOOSE(CONTROL!$C$21, $C$9, 100%, $E$9)</f>
        <v>106.1974</v>
      </c>
      <c r="L1041" s="10">
        <f>CHOOSE(CONTROL!$C$42, 107.0187, 107.0187) * CHOOSE(CONTROL!$C$21, $C$9, 100%, $E$9)</f>
        <v>107.0187</v>
      </c>
      <c r="M1041" s="10">
        <f>CHOOSE(CONTROL!$C$42, 105.1134, 105.1134) * CHOOSE(CONTROL!$C$21, $C$9, 100%, $E$9)</f>
        <v>105.1134</v>
      </c>
      <c r="N1041" s="10">
        <f>CHOOSE(CONTROL!$C$42, 105.1286, 105.1286) * CHOOSE(CONTROL!$C$21, $C$9, 100%, $E$9)</f>
        <v>105.12860000000001</v>
      </c>
      <c r="O1041" s="10">
        <f>CHOOSE(CONTROL!$C$42, 105.3714, 105.3714) * CHOOSE(CONTROL!$C$21, $C$9, 100%, $E$9)</f>
        <v>105.37139999999999</v>
      </c>
      <c r="P1041" s="10">
        <f>CHOOSE(CONTROL!$C$42, 105.1434, 105.1434) * CHOOSE(CONTROL!$C$21, $C$9, 100%, $E$9)</f>
        <v>105.1434</v>
      </c>
      <c r="Q1041" s="10">
        <f>CHOOSE(CONTROL!$C$42, 105.9667, 105.9667) * CHOOSE(CONTROL!$C$21, $C$9, 100%, $E$9)</f>
        <v>105.9667</v>
      </c>
      <c r="R1041" s="10">
        <f>CHOOSE(CONTROL!$C$42, 106.8186, 106.8186) * CHOOSE(CONTROL!$C$21, $C$9, 100%, $E$9)</f>
        <v>106.8186</v>
      </c>
      <c r="S1041" s="10">
        <f>CHOOSE(CONTROL!$C$42, 103.1278, 103.1278) * CHOOSE(CONTROL!$C$21, $C$9, 100%, $E$9)</f>
        <v>103.12779999999999</v>
      </c>
      <c r="T10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57">
        <f>(1000*CHOOSE(CONTROL!$C$42, 695, 695)*CHOOSE(CONTROL!$C$42, 0.5599, 0.5599)*CHOOSE(CONTROL!$C$42, 30, 30))/1000000</f>
        <v>11.673914999999997</v>
      </c>
      <c r="V1041" s="57">
        <f>(1000*CHOOSE(CONTROL!$C$42, 500, 500)*CHOOSE(CONTROL!$C$42, 0.275, 0.275)*CHOOSE(CONTROL!$C$42, 30, 30))/1000000</f>
        <v>4.125</v>
      </c>
      <c r="W1041" s="57">
        <f>(1000*CHOOSE(CONTROL!$C$42, 0.1146, 0.1146)*CHOOSE(CONTROL!$C$42, 121.5, 121.5)*CHOOSE(CONTROL!$C$42, 30, 30))/1000000</f>
        <v>0.417717</v>
      </c>
      <c r="X1041" s="57">
        <f>(30*0.1790888*245000/1000000)+(30*0.2374*100000/1000000)</f>
        <v>2.0285026799999999</v>
      </c>
      <c r="Y1041" s="57"/>
      <c r="Z1041" s="10"/>
      <c r="AA1041" s="56"/>
      <c r="AB1041" s="50">
        <f>(B1041*194.205+C1041*267.466+D1041*133.845+E1041*53.484+F1041*40+G1041*185+H1041*0+I1041*100+J1041*300)/(194.205+267.466+133.845+53.484+0+40+185+100+300)</f>
        <v>106.22622921601256</v>
      </c>
      <c r="AC1041" s="45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105.23552661870502</v>
      </c>
    </row>
    <row r="1042" spans="1:29" ht="15.75" x14ac:dyDescent="0.25">
      <c r="A1042" s="13">
        <v>72624</v>
      </c>
      <c r="B1042" s="10">
        <f>CHOOSE(CONTROL!$C$42, 104.0433, 104.0433) * CHOOSE(CONTROL!$C$21, $C$9, 100%, $E$9)</f>
        <v>104.0433</v>
      </c>
      <c r="C1042" s="10">
        <f>CHOOSE(CONTROL!$C$42, 104.0485, 104.0485) * CHOOSE(CONTROL!$C$21, $C$9, 100%, $E$9)</f>
        <v>104.0485</v>
      </c>
      <c r="D1042" s="10">
        <f>CHOOSE(CONTROL!$C$42, 104.2562, 104.2562) * CHOOSE(CONTROL!$C$21, $C$9, 100%, $E$9)</f>
        <v>104.25620000000001</v>
      </c>
      <c r="E1042" s="10">
        <f>CHOOSE(CONTROL!$C$42, 104.285, 104.285) * CHOOSE(CONTROL!$C$21, $C$9, 100%, $E$9)</f>
        <v>104.285</v>
      </c>
      <c r="F1042" s="10">
        <f>CHOOSE(CONTROL!$C$42, 104.022, 104.022)*CHOOSE(CONTROL!$C$21, $C$9, 100%, $E$9)</f>
        <v>104.02200000000001</v>
      </c>
      <c r="G1042" s="10">
        <f>CHOOSE(CONTROL!$C$42, 104.0369, 104.0369)*CHOOSE(CONTROL!$C$21, $C$9, 100%, $E$9)</f>
        <v>104.0369</v>
      </c>
      <c r="H1042" s="10">
        <f>CHOOSE(CONTROL!$C$42, 104.2755, 104.2755) * CHOOSE(CONTROL!$C$21, $C$9, 100%, $E$9)</f>
        <v>104.27549999999999</v>
      </c>
      <c r="I1042" s="10">
        <f>CHOOSE(CONTROL!$C$42, 104.0451, 104.0451)* CHOOSE(CONTROL!$C$21, $C$9, 100%, $E$9)</f>
        <v>104.04510000000001</v>
      </c>
      <c r="J1042" s="10">
        <f>CHOOSE(CONTROL!$C$42, 104.015, 104.015)* CHOOSE(CONTROL!$C$21, $C$9, 100%, $E$9)</f>
        <v>104.015</v>
      </c>
      <c r="K1042" s="53">
        <f>CHOOSE(CONTROL!$C$42, 104.0412, 104.0412) * CHOOSE(CONTROL!$C$21, $C$9, 100%, $E$9)</f>
        <v>104.0412</v>
      </c>
      <c r="L1042" s="10">
        <f>CHOOSE(CONTROL!$C$42, 104.8625, 104.8625) * CHOOSE(CONTROL!$C$21, $C$9, 100%, $E$9)</f>
        <v>104.8625</v>
      </c>
      <c r="M1042" s="10">
        <f>CHOOSE(CONTROL!$C$42, 102.9791, 102.9791) * CHOOSE(CONTROL!$C$21, $C$9, 100%, $E$9)</f>
        <v>102.9791</v>
      </c>
      <c r="N1042" s="10">
        <f>CHOOSE(CONTROL!$C$42, 102.9939, 102.9939) * CHOOSE(CONTROL!$C$21, $C$9, 100%, $E$9)</f>
        <v>102.9939</v>
      </c>
      <c r="O1042" s="10">
        <f>CHOOSE(CONTROL!$C$42, 103.237, 103.237) * CHOOSE(CONTROL!$C$21, $C$9, 100%, $E$9)</f>
        <v>103.23699999999999</v>
      </c>
      <c r="P1042" s="10">
        <f>CHOOSE(CONTROL!$C$42, 103.009, 103.009) * CHOOSE(CONTROL!$C$21, $C$9, 100%, $E$9)</f>
        <v>103.009</v>
      </c>
      <c r="Q1042" s="10">
        <f>CHOOSE(CONTROL!$C$42, 103.8323, 103.8323) * CHOOSE(CONTROL!$C$21, $C$9, 100%, $E$9)</f>
        <v>103.8323</v>
      </c>
      <c r="R1042" s="10">
        <f>CHOOSE(CONTROL!$C$42, 104.6789, 104.6789) * CHOOSE(CONTROL!$C$21, $C$9, 100%, $E$9)</f>
        <v>104.6789</v>
      </c>
      <c r="S1042" s="10">
        <f>CHOOSE(CONTROL!$C$42, 101.0339, 101.0339) * CHOOSE(CONTROL!$C$21, $C$9, 100%, $E$9)</f>
        <v>101.0339</v>
      </c>
      <c r="T10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57">
        <f>(1000*CHOOSE(CONTROL!$C$42, 695, 695)*CHOOSE(CONTROL!$C$42, 0.5599, 0.5599)*CHOOSE(CONTROL!$C$42, 31, 31))/1000000</f>
        <v>12.063045499999998</v>
      </c>
      <c r="V1042" s="57">
        <f>(1000*CHOOSE(CONTROL!$C$42, 500, 500)*CHOOSE(CONTROL!$C$42, 0.275, 0.275)*CHOOSE(CONTROL!$C$42, 31, 31))/1000000</f>
        <v>4.2625000000000002</v>
      </c>
      <c r="W1042" s="57">
        <f>(1000*CHOOSE(CONTROL!$C$42, 0.1146, 0.1146)*CHOOSE(CONTROL!$C$42, 121.5, 121.5)*CHOOSE(CONTROL!$C$42, 31, 31))/1000000</f>
        <v>0.43164089999999994</v>
      </c>
      <c r="X1042" s="57">
        <f>(31*0.1790888*245000/1000000)+(31*0.2374*100000/1000000)</f>
        <v>2.0961194359999999</v>
      </c>
      <c r="Y1042" s="57"/>
      <c r="Z1042" s="10"/>
      <c r="AA1042" s="56"/>
      <c r="AB1042" s="50">
        <f>(B1042*131.881+C1042*277.167+D1042*79.08+E1042*125.872+F1042*40+G1042*185+H1042*0+I1042*100+J1042*300)/(131.881+277.167+79.08+125.872+0+40+185+100+300)</f>
        <v>104.07425614430993</v>
      </c>
      <c r="AC1042" s="45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103.10114388489208</v>
      </c>
    </row>
    <row r="1043" spans="1:29" ht="15.75" x14ac:dyDescent="0.25">
      <c r="A1043" s="13">
        <v>72654</v>
      </c>
      <c r="B1043" s="10">
        <f>CHOOSE(CONTROL!$C$42, 106.7838, 106.7838) * CHOOSE(CONTROL!$C$21, $C$9, 100%, $E$9)</f>
        <v>106.7838</v>
      </c>
      <c r="C1043" s="10">
        <f>CHOOSE(CONTROL!$C$42, 106.7887, 106.7887) * CHOOSE(CONTROL!$C$21, $C$9, 100%, $E$9)</f>
        <v>106.78870000000001</v>
      </c>
      <c r="D1043" s="10">
        <f>CHOOSE(CONTROL!$C$42, 106.8492, 106.8492) * CHOOSE(CONTROL!$C$21, $C$9, 100%, $E$9)</f>
        <v>106.8492</v>
      </c>
      <c r="E1043" s="10">
        <f>CHOOSE(CONTROL!$C$42, 106.883, 106.883) * CHOOSE(CONTROL!$C$21, $C$9, 100%, $E$9)</f>
        <v>106.883</v>
      </c>
      <c r="F1043" s="10">
        <f>CHOOSE(CONTROL!$C$42, 106.7794, 106.7794)*CHOOSE(CONTROL!$C$21, $C$9, 100%, $E$9)</f>
        <v>106.7794</v>
      </c>
      <c r="G1043" s="10">
        <f>CHOOSE(CONTROL!$C$42, 106.7946, 106.7946)*CHOOSE(CONTROL!$C$21, $C$9, 100%, $E$9)</f>
        <v>106.7946</v>
      </c>
      <c r="H1043" s="10">
        <f>CHOOSE(CONTROL!$C$42, 106.8722, 106.8722) * CHOOSE(CONTROL!$C$21, $C$9, 100%, $E$9)</f>
        <v>106.87220000000001</v>
      </c>
      <c r="I1043" s="10">
        <f>CHOOSE(CONTROL!$C$42, 106.7963, 106.7963)* CHOOSE(CONTROL!$C$21, $C$9, 100%, $E$9)</f>
        <v>106.7963</v>
      </c>
      <c r="J1043" s="10">
        <f>CHOOSE(CONTROL!$C$42, 106.7724, 106.7724)* CHOOSE(CONTROL!$C$21, $C$9, 100%, $E$9)</f>
        <v>106.7724</v>
      </c>
      <c r="K1043" s="53">
        <f>CHOOSE(CONTROL!$C$42, 106.7924, 106.7924) * CHOOSE(CONTROL!$C$21, $C$9, 100%, $E$9)</f>
        <v>106.7924</v>
      </c>
      <c r="L1043" s="10">
        <f>CHOOSE(CONTROL!$C$42, 107.4592, 107.4592) * CHOOSE(CONTROL!$C$21, $C$9, 100%, $E$9)</f>
        <v>107.4592</v>
      </c>
      <c r="M1043" s="10">
        <f>CHOOSE(CONTROL!$C$42, 105.7087, 105.7087) * CHOOSE(CONTROL!$C$21, $C$9, 100%, $E$9)</f>
        <v>105.70869999999999</v>
      </c>
      <c r="N1043" s="10">
        <f>CHOOSE(CONTROL!$C$42, 105.7238, 105.7238) * CHOOSE(CONTROL!$C$21, $C$9, 100%, $E$9)</f>
        <v>105.7238</v>
      </c>
      <c r="O1043" s="10">
        <f>CHOOSE(CONTROL!$C$42, 105.8075, 105.8075) * CHOOSE(CONTROL!$C$21, $C$9, 100%, $E$9)</f>
        <v>105.8075</v>
      </c>
      <c r="P1043" s="10">
        <f>CHOOSE(CONTROL!$C$42, 105.7324, 105.7324) * CHOOSE(CONTROL!$C$21, $C$9, 100%, $E$9)</f>
        <v>105.7324</v>
      </c>
      <c r="Q1043" s="10">
        <f>CHOOSE(CONTROL!$C$42, 106.4028, 106.4028) * CHOOSE(CONTROL!$C$21, $C$9, 100%, $E$9)</f>
        <v>106.4028</v>
      </c>
      <c r="R1043" s="10">
        <f>CHOOSE(CONTROL!$C$42, 107.2558, 107.2558) * CHOOSE(CONTROL!$C$21, $C$9, 100%, $E$9)</f>
        <v>107.25579999999999</v>
      </c>
      <c r="S1043" s="10">
        <f>CHOOSE(CONTROL!$C$42, 103.6956, 103.6956) * CHOOSE(CONTROL!$C$21, $C$9, 100%, $E$9)</f>
        <v>103.6956</v>
      </c>
      <c r="T10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57">
        <f>(1000*CHOOSE(CONTROL!$C$42, 695, 695)*CHOOSE(CONTROL!$C$42, 0.5599, 0.5599)*CHOOSE(CONTROL!$C$42, 30, 30))/1000000</f>
        <v>11.673914999999997</v>
      </c>
      <c r="V1043" s="57">
        <f>(1000*CHOOSE(CONTROL!$C$42, 500, 500)*CHOOSE(CONTROL!$C$42, 0.275, 0.275)*CHOOSE(CONTROL!$C$42, 30, 30))/1000000</f>
        <v>4.125</v>
      </c>
      <c r="W1043" s="57">
        <f>(1000*CHOOSE(CONTROL!$C$42, 0.1146, 0.1146)*CHOOSE(CONTROL!$C$42, 121.5, 121.5)*CHOOSE(CONTROL!$C$42, 30, 30))/1000000</f>
        <v>0.417717</v>
      </c>
      <c r="X1043" s="57">
        <f>(30*0.1790888*100000/1000000)+(30*0.2374*100000/1000000)</f>
        <v>1.2494664</v>
      </c>
      <c r="Y1043" s="57"/>
      <c r="Z1043" s="10"/>
      <c r="AA1043" s="56"/>
      <c r="AB1043" s="50">
        <f>(B1043*122.58+C1043*297.941+D1043*89.177+E1043*40.302+F1043*40+G1043*160+H1043*0+I1043*100+J1043*300)/(122.58+297.941+89.177+40.302+0+40+160+100+300)</f>
        <v>106.79308003921739</v>
      </c>
      <c r="AC1043" s="45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105.75775899280576</v>
      </c>
    </row>
    <row r="1044" spans="1:29" ht="15.75" x14ac:dyDescent="0.25">
      <c r="A1044" s="13">
        <v>72685</v>
      </c>
      <c r="B1044" s="10">
        <f>CHOOSE(CONTROL!$C$42, 114.064, 114.064) * CHOOSE(CONTROL!$C$21, $C$9, 100%, $E$9)</f>
        <v>114.06399999999999</v>
      </c>
      <c r="C1044" s="10">
        <f>CHOOSE(CONTROL!$C$42, 114.069, 114.069) * CHOOSE(CONTROL!$C$21, $C$9, 100%, $E$9)</f>
        <v>114.069</v>
      </c>
      <c r="D1044" s="10">
        <f>CHOOSE(CONTROL!$C$42, 114.1295, 114.1295) * CHOOSE(CONTROL!$C$21, $C$9, 100%, $E$9)</f>
        <v>114.12949999999999</v>
      </c>
      <c r="E1044" s="10">
        <f>CHOOSE(CONTROL!$C$42, 114.1633, 114.1633) * CHOOSE(CONTROL!$C$21, $C$9, 100%, $E$9)</f>
        <v>114.16330000000001</v>
      </c>
      <c r="F1044" s="10">
        <f>CHOOSE(CONTROL!$C$42, 114.0615, 114.0615)*CHOOSE(CONTROL!$C$21, $C$9, 100%, $E$9)</f>
        <v>114.0615</v>
      </c>
      <c r="G1044" s="10">
        <f>CHOOSE(CONTROL!$C$42, 114.0772, 114.0772)*CHOOSE(CONTROL!$C$21, $C$9, 100%, $E$9)</f>
        <v>114.0772</v>
      </c>
      <c r="H1044" s="10">
        <f>CHOOSE(CONTROL!$C$42, 114.1525, 114.1525) * CHOOSE(CONTROL!$C$21, $C$9, 100%, $E$9)</f>
        <v>114.1525</v>
      </c>
      <c r="I1044" s="10">
        <f>CHOOSE(CONTROL!$C$42, 114.0766, 114.0766)* CHOOSE(CONTROL!$C$21, $C$9, 100%, $E$9)</f>
        <v>114.0766</v>
      </c>
      <c r="J1044" s="10">
        <f>CHOOSE(CONTROL!$C$42, 114.0545, 114.0545)* CHOOSE(CONTROL!$C$21, $C$9, 100%, $E$9)</f>
        <v>114.0545</v>
      </c>
      <c r="K1044" s="53">
        <f>CHOOSE(CONTROL!$C$42, 114.0727, 114.0727) * CHOOSE(CONTROL!$C$21, $C$9, 100%, $E$9)</f>
        <v>114.0727</v>
      </c>
      <c r="L1044" s="10">
        <f>CHOOSE(CONTROL!$C$42, 114.7395, 114.7395) * CHOOSE(CONTROL!$C$21, $C$9, 100%, $E$9)</f>
        <v>114.73950000000001</v>
      </c>
      <c r="M1044" s="10">
        <f>CHOOSE(CONTROL!$C$42, 112.9173, 112.9173) * CHOOSE(CONTROL!$C$21, $C$9, 100%, $E$9)</f>
        <v>112.9173</v>
      </c>
      <c r="N1044" s="10">
        <f>CHOOSE(CONTROL!$C$42, 112.9329, 112.9329) * CHOOSE(CONTROL!$C$21, $C$9, 100%, $E$9)</f>
        <v>112.9329</v>
      </c>
      <c r="O1044" s="10">
        <f>CHOOSE(CONTROL!$C$42, 113.0143, 113.0143) * CHOOSE(CONTROL!$C$21, $C$9, 100%, $E$9)</f>
        <v>113.01430000000001</v>
      </c>
      <c r="P1044" s="10">
        <f>CHOOSE(CONTROL!$C$42, 112.9392, 112.9392) * CHOOSE(CONTROL!$C$21, $C$9, 100%, $E$9)</f>
        <v>112.9392</v>
      </c>
      <c r="Q1044" s="10">
        <f>CHOOSE(CONTROL!$C$42, 113.6096, 113.6096) * CHOOSE(CONTROL!$C$21, $C$9, 100%, $E$9)</f>
        <v>113.6096</v>
      </c>
      <c r="R1044" s="10">
        <f>CHOOSE(CONTROL!$C$42, 114.4806, 114.4806) * CHOOSE(CONTROL!$C$21, $C$9, 100%, $E$9)</f>
        <v>114.4806</v>
      </c>
      <c r="S1044" s="10">
        <f>CHOOSE(CONTROL!$C$42, 110.7655, 110.7655) * CHOOSE(CONTROL!$C$21, $C$9, 100%, $E$9)</f>
        <v>110.7655</v>
      </c>
      <c r="T10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57">
        <f>(1000*CHOOSE(CONTROL!$C$42, 695, 695)*CHOOSE(CONTROL!$C$42, 0.5599, 0.5599)*CHOOSE(CONTROL!$C$42, 31, 31))/1000000</f>
        <v>12.063045499999998</v>
      </c>
      <c r="V1044" s="57">
        <f>(1000*CHOOSE(CONTROL!$C$42, 500, 500)*CHOOSE(CONTROL!$C$42, 0.275, 0.275)*CHOOSE(CONTROL!$C$42, 31, 31))/1000000</f>
        <v>4.2625000000000002</v>
      </c>
      <c r="W1044" s="57">
        <f>(1000*CHOOSE(CONTROL!$C$42, 0.1146, 0.1146)*CHOOSE(CONTROL!$C$42, 121.5, 121.5)*CHOOSE(CONTROL!$C$42, 31, 31))/1000000</f>
        <v>0.43164089999999994</v>
      </c>
      <c r="X1044" s="57">
        <f>(31*0.1790888*100000/1000000)+(31*0.2374*100000/1000000)</f>
        <v>1.2911152800000001</v>
      </c>
      <c r="Y1044" s="57"/>
      <c r="Z1044" s="10"/>
      <c r="AA1044" s="56"/>
      <c r="AB1044" s="50">
        <f>(B1044*122.58+C1044*297.941+D1044*89.177+E1044*40.302+F1044*40+G1044*160+H1044*0+I1044*100+J1044*300)/(122.58+297.941+89.177+40.302+0+40+160+100+300)</f>
        <v>114.07422155400002</v>
      </c>
      <c r="AC1044" s="45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112.96531294964029</v>
      </c>
    </row>
    <row r="1045" spans="1:29" ht="15.75" x14ac:dyDescent="0.25">
      <c r="A1045" s="13">
        <v>72716</v>
      </c>
      <c r="B1045" s="10">
        <f>CHOOSE(CONTROL!$C$42, 123.4099, 123.4099) * CHOOSE(CONTROL!$C$21, $C$9, 100%, $E$9)</f>
        <v>123.40989999999999</v>
      </c>
      <c r="C1045" s="10">
        <f>CHOOSE(CONTROL!$C$42, 123.4148, 123.4148) * CHOOSE(CONTROL!$C$21, $C$9, 100%, $E$9)</f>
        <v>123.4148</v>
      </c>
      <c r="D1045" s="10">
        <f>CHOOSE(CONTROL!$C$42, 123.4719, 123.4719) * CHOOSE(CONTROL!$C$21, $C$9, 100%, $E$9)</f>
        <v>123.47190000000001</v>
      </c>
      <c r="E1045" s="10">
        <f>CHOOSE(CONTROL!$C$42, 123.5057, 123.5057) * CHOOSE(CONTROL!$C$21, $C$9, 100%, $E$9)</f>
        <v>123.5057</v>
      </c>
      <c r="F1045" s="10">
        <f>CHOOSE(CONTROL!$C$42, 123.4077, 123.4077)*CHOOSE(CONTROL!$C$21, $C$9, 100%, $E$9)</f>
        <v>123.40770000000001</v>
      </c>
      <c r="G1045" s="10">
        <f>CHOOSE(CONTROL!$C$42, 123.4223, 123.4223)*CHOOSE(CONTROL!$C$21, $C$9, 100%, $E$9)</f>
        <v>123.42230000000001</v>
      </c>
      <c r="H1045" s="10">
        <f>CHOOSE(CONTROL!$C$42, 123.4949, 123.4949) * CHOOSE(CONTROL!$C$21, $C$9, 100%, $E$9)</f>
        <v>123.4949</v>
      </c>
      <c r="I1045" s="10">
        <f>CHOOSE(CONTROL!$C$42, 123.4207, 123.4207)* CHOOSE(CONTROL!$C$21, $C$9, 100%, $E$9)</f>
        <v>123.4207</v>
      </c>
      <c r="J1045" s="10">
        <f>CHOOSE(CONTROL!$C$42, 123.4007, 123.4007)* CHOOSE(CONTROL!$C$21, $C$9, 100%, $E$9)</f>
        <v>123.4007</v>
      </c>
      <c r="K1045" s="53">
        <f>CHOOSE(CONTROL!$C$42, 123.4168, 123.4168) * CHOOSE(CONTROL!$C$21, $C$9, 100%, $E$9)</f>
        <v>123.41679999999999</v>
      </c>
      <c r="L1045" s="10">
        <f>CHOOSE(CONTROL!$C$42, 124.0819, 124.0819) * CHOOSE(CONTROL!$C$21, $C$9, 100%, $E$9)</f>
        <v>124.0819</v>
      </c>
      <c r="M1045" s="10">
        <f>CHOOSE(CONTROL!$C$42, 122.1692, 122.1692) * CHOOSE(CONTROL!$C$21, $C$9, 100%, $E$9)</f>
        <v>122.1692</v>
      </c>
      <c r="N1045" s="10">
        <f>CHOOSE(CONTROL!$C$42, 122.1837, 122.1837) * CHOOSE(CONTROL!$C$21, $C$9, 100%, $E$9)</f>
        <v>122.1837</v>
      </c>
      <c r="O1045" s="10">
        <f>CHOOSE(CONTROL!$C$42, 122.2624, 122.2624) * CHOOSE(CONTROL!$C$21, $C$9, 100%, $E$9)</f>
        <v>122.2624</v>
      </c>
      <c r="P1045" s="10">
        <f>CHOOSE(CONTROL!$C$42, 122.189, 122.189) * CHOOSE(CONTROL!$C$21, $C$9, 100%, $E$9)</f>
        <v>122.18899999999999</v>
      </c>
      <c r="Q1045" s="10">
        <f>CHOOSE(CONTROL!$C$42, 122.8577, 122.8577) * CHOOSE(CONTROL!$C$21, $C$9, 100%, $E$9)</f>
        <v>122.85769999999999</v>
      </c>
      <c r="R1045" s="10">
        <f>CHOOSE(CONTROL!$C$42, 123.7519, 123.7519) * CHOOSE(CONTROL!$C$21, $C$9, 100%, $E$9)</f>
        <v>123.75190000000001</v>
      </c>
      <c r="S1045" s="10">
        <f>CHOOSE(CONTROL!$C$42, 119.8412, 119.8412) * CHOOSE(CONTROL!$C$21, $C$9, 100%, $E$9)</f>
        <v>119.8412</v>
      </c>
      <c r="T10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57">
        <f>(1000*CHOOSE(CONTROL!$C$42, 695, 695)*CHOOSE(CONTROL!$C$42, 0.5599, 0.5599)*CHOOSE(CONTROL!$C$42, 31, 31))/1000000</f>
        <v>12.063045499999998</v>
      </c>
      <c r="V1045" s="57">
        <f>(1000*CHOOSE(CONTROL!$C$42, 500, 500)*CHOOSE(CONTROL!$C$42, 0.275, 0.275)*CHOOSE(CONTROL!$C$42, 31, 31))/1000000</f>
        <v>4.2625000000000002</v>
      </c>
      <c r="W1045" s="57">
        <f>(1000*CHOOSE(CONTROL!$C$42, 0.1146, 0.1146)*CHOOSE(CONTROL!$C$42, 121.5, 121.5)*CHOOSE(CONTROL!$C$42, 31, 31))/1000000</f>
        <v>0.43164089999999994</v>
      </c>
      <c r="X1045" s="57">
        <f>(31*0.1790888*100000/1000000)+(31*0.2374*100000/1000000)</f>
        <v>1.2911152800000001</v>
      </c>
      <c r="Y1045" s="57"/>
      <c r="Z1045" s="10"/>
      <c r="AA1045" s="56"/>
      <c r="AB1045" s="50">
        <f>(B1045*122.58+C1045*297.941+D1045*89.177+E1045*40.302+F1045*40+G1045*160+H1045*0+I1045*100+J1045*300)/(122.58+297.941+89.177+40.302+0+40+160+100+300)</f>
        <v>123.41952244913044</v>
      </c>
      <c r="AC1045" s="45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122.2151251798561</v>
      </c>
    </row>
    <row r="1046" spans="1:29" ht="15.75" x14ac:dyDescent="0.25">
      <c r="A1046" s="13">
        <v>72744</v>
      </c>
      <c r="B1046" s="10">
        <f>CHOOSE(CONTROL!$C$42, 125.6067, 125.6067) * CHOOSE(CONTROL!$C$21, $C$9, 100%, $E$9)</f>
        <v>125.6067</v>
      </c>
      <c r="C1046" s="10">
        <f>CHOOSE(CONTROL!$C$42, 125.6117, 125.6117) * CHOOSE(CONTROL!$C$21, $C$9, 100%, $E$9)</f>
        <v>125.6117</v>
      </c>
      <c r="D1046" s="10">
        <f>CHOOSE(CONTROL!$C$42, 125.6687, 125.6687) * CHOOSE(CONTROL!$C$21, $C$9, 100%, $E$9)</f>
        <v>125.6687</v>
      </c>
      <c r="E1046" s="10">
        <f>CHOOSE(CONTROL!$C$42, 125.7025, 125.7025) * CHOOSE(CONTROL!$C$21, $C$9, 100%, $E$9)</f>
        <v>125.7025</v>
      </c>
      <c r="F1046" s="10">
        <f>CHOOSE(CONTROL!$C$42, 125.6046, 125.6046)*CHOOSE(CONTROL!$C$21, $C$9, 100%, $E$9)</f>
        <v>125.6046</v>
      </c>
      <c r="G1046" s="10">
        <f>CHOOSE(CONTROL!$C$42, 125.6193, 125.6193)*CHOOSE(CONTROL!$C$21, $C$9, 100%, $E$9)</f>
        <v>125.6193</v>
      </c>
      <c r="H1046" s="10">
        <f>CHOOSE(CONTROL!$C$42, 125.6917, 125.6917) * CHOOSE(CONTROL!$C$21, $C$9, 100%, $E$9)</f>
        <v>125.6917</v>
      </c>
      <c r="I1046" s="10">
        <f>CHOOSE(CONTROL!$C$42, 125.6175, 125.6175)* CHOOSE(CONTROL!$C$21, $C$9, 100%, $E$9)</f>
        <v>125.61750000000001</v>
      </c>
      <c r="J1046" s="10">
        <f>CHOOSE(CONTROL!$C$42, 125.5976, 125.5976)* CHOOSE(CONTROL!$C$21, $C$9, 100%, $E$9)</f>
        <v>125.5976</v>
      </c>
      <c r="K1046" s="53">
        <f>CHOOSE(CONTROL!$C$42, 125.6136, 125.6136) * CHOOSE(CONTROL!$C$21, $C$9, 100%, $E$9)</f>
        <v>125.61360000000001</v>
      </c>
      <c r="L1046" s="10">
        <f>CHOOSE(CONTROL!$C$42, 126.2787, 126.2787) * CHOOSE(CONTROL!$C$21, $C$9, 100%, $E$9)</f>
        <v>126.2787</v>
      </c>
      <c r="M1046" s="10">
        <f>CHOOSE(CONTROL!$C$42, 124.344, 124.344) * CHOOSE(CONTROL!$C$21, $C$9, 100%, $E$9)</f>
        <v>124.34399999999999</v>
      </c>
      <c r="N1046" s="10">
        <f>CHOOSE(CONTROL!$C$42, 124.3585, 124.3585) * CHOOSE(CONTROL!$C$21, $C$9, 100%, $E$9)</f>
        <v>124.35850000000001</v>
      </c>
      <c r="O1046" s="10">
        <f>CHOOSE(CONTROL!$C$42, 124.4371, 124.4371) * CHOOSE(CONTROL!$C$21, $C$9, 100%, $E$9)</f>
        <v>124.4371</v>
      </c>
      <c r="P1046" s="10">
        <f>CHOOSE(CONTROL!$C$42, 124.3637, 124.3637) * CHOOSE(CONTROL!$C$21, $C$9, 100%, $E$9)</f>
        <v>124.36369999999999</v>
      </c>
      <c r="Q1046" s="10">
        <f>CHOOSE(CONTROL!$C$42, 125.0324, 125.0324) * CHOOSE(CONTROL!$C$21, $C$9, 100%, $E$9)</f>
        <v>125.0324</v>
      </c>
      <c r="R1046" s="10">
        <f>CHOOSE(CONTROL!$C$42, 125.932, 125.932) * CHOOSE(CONTROL!$C$21, $C$9, 100%, $E$9)</f>
        <v>125.932</v>
      </c>
      <c r="S1046" s="10">
        <f>CHOOSE(CONTROL!$C$42, 121.9745, 121.9745) * CHOOSE(CONTROL!$C$21, $C$9, 100%, $E$9)</f>
        <v>121.97450000000001</v>
      </c>
      <c r="T10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46" s="57">
        <f>(1000*CHOOSE(CONTROL!$C$42, 695, 695)*CHOOSE(CONTROL!$C$42, 0.5599, 0.5599)*CHOOSE(CONTROL!$C$42, 28, 28))/1000000</f>
        <v>10.895653999999999</v>
      </c>
      <c r="V1046" s="57">
        <f>(1000*CHOOSE(CONTROL!$C$42, 500, 500)*CHOOSE(CONTROL!$C$42, 0.275, 0.275)*CHOOSE(CONTROL!$C$42, 28, 28))/1000000</f>
        <v>3.85</v>
      </c>
      <c r="W1046" s="57">
        <f>(1000*CHOOSE(CONTROL!$C$42, 0.1146, 0.1146)*CHOOSE(CONTROL!$C$42, 121.5, 121.5)*CHOOSE(CONTROL!$C$42, 28, 28))/1000000</f>
        <v>0.38986920000000003</v>
      </c>
      <c r="X1046" s="57">
        <f>(28*0.1790888*100000/1000000)+(28*0.2374*100000/1000000)</f>
        <v>1.16616864</v>
      </c>
      <c r="Y1046" s="57"/>
      <c r="Z1046" s="10"/>
      <c r="AA1046" s="56"/>
      <c r="AB1046" s="50">
        <f>(B1046*122.58+C1046*297.941+D1046*89.177+E1046*40.302+F1046*40+G1046*160+H1046*0+I1046*100+J1046*300)/(122.58+297.941+89.177+40.302+0+40+160+100+300)</f>
        <v>125.61640574834783</v>
      </c>
      <c r="AC1046" s="45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124.3898654676259</v>
      </c>
    </row>
    <row r="1047" spans="1:29" ht="15.75" x14ac:dyDescent="0.25">
      <c r="A1047" s="13">
        <v>72775</v>
      </c>
      <c r="B1047" s="10">
        <f>CHOOSE(CONTROL!$C$42, 122.0407, 122.0407) * CHOOSE(CONTROL!$C$21, $C$9, 100%, $E$9)</f>
        <v>122.0407</v>
      </c>
      <c r="C1047" s="10">
        <f>CHOOSE(CONTROL!$C$42, 122.0457, 122.0457) * CHOOSE(CONTROL!$C$21, $C$9, 100%, $E$9)</f>
        <v>122.0457</v>
      </c>
      <c r="D1047" s="10">
        <f>CHOOSE(CONTROL!$C$42, 122.1027, 122.1027) * CHOOSE(CONTROL!$C$21, $C$9, 100%, $E$9)</f>
        <v>122.1027</v>
      </c>
      <c r="E1047" s="10">
        <f>CHOOSE(CONTROL!$C$42, 122.1365, 122.1365) * CHOOSE(CONTROL!$C$21, $C$9, 100%, $E$9)</f>
        <v>122.1365</v>
      </c>
      <c r="F1047" s="10">
        <f>CHOOSE(CONTROL!$C$42, 122.0385, 122.0385)*CHOOSE(CONTROL!$C$21, $C$9, 100%, $E$9)</f>
        <v>122.0385</v>
      </c>
      <c r="G1047" s="10">
        <f>CHOOSE(CONTROL!$C$42, 122.0531, 122.0531)*CHOOSE(CONTROL!$C$21, $C$9, 100%, $E$9)</f>
        <v>122.0531</v>
      </c>
      <c r="H1047" s="10">
        <f>CHOOSE(CONTROL!$C$42, 122.1257, 122.1257) * CHOOSE(CONTROL!$C$21, $C$9, 100%, $E$9)</f>
        <v>122.12569999999999</v>
      </c>
      <c r="I1047" s="10">
        <f>CHOOSE(CONTROL!$C$42, 122.0515, 122.0515)* CHOOSE(CONTROL!$C$21, $C$9, 100%, $E$9)</f>
        <v>122.0515</v>
      </c>
      <c r="J1047" s="10">
        <f>CHOOSE(CONTROL!$C$42, 122.0315, 122.0315)* CHOOSE(CONTROL!$C$21, $C$9, 100%, $E$9)</f>
        <v>122.03149999999999</v>
      </c>
      <c r="K1047" s="53">
        <f>CHOOSE(CONTROL!$C$42, 122.0476, 122.0476) * CHOOSE(CONTROL!$C$21, $C$9, 100%, $E$9)</f>
        <v>122.0476</v>
      </c>
      <c r="L1047" s="10">
        <f>CHOOSE(CONTROL!$C$42, 122.7127, 122.7127) * CHOOSE(CONTROL!$C$21, $C$9, 100%, $E$9)</f>
        <v>122.7127</v>
      </c>
      <c r="M1047" s="10">
        <f>CHOOSE(CONTROL!$C$42, 120.8138, 120.8138) * CHOOSE(CONTROL!$C$21, $C$9, 100%, $E$9)</f>
        <v>120.8138</v>
      </c>
      <c r="N1047" s="10">
        <f>CHOOSE(CONTROL!$C$42, 120.8283, 120.8283) * CHOOSE(CONTROL!$C$21, $C$9, 100%, $E$9)</f>
        <v>120.8283</v>
      </c>
      <c r="O1047" s="10">
        <f>CHOOSE(CONTROL!$C$42, 120.9071, 120.9071) * CHOOSE(CONTROL!$C$21, $C$9, 100%, $E$9)</f>
        <v>120.9071</v>
      </c>
      <c r="P1047" s="10">
        <f>CHOOSE(CONTROL!$C$42, 120.8337, 120.8337) * CHOOSE(CONTROL!$C$21, $C$9, 100%, $E$9)</f>
        <v>120.83369999999999</v>
      </c>
      <c r="Q1047" s="10">
        <f>CHOOSE(CONTROL!$C$42, 121.5024, 121.5024) * CHOOSE(CONTROL!$C$21, $C$9, 100%, $E$9)</f>
        <v>121.50239999999999</v>
      </c>
      <c r="R1047" s="10">
        <f>CHOOSE(CONTROL!$C$42, 122.3931, 122.3931) * CHOOSE(CONTROL!$C$21, $C$9, 100%, $E$9)</f>
        <v>122.3931</v>
      </c>
      <c r="S1047" s="10">
        <f>CHOOSE(CONTROL!$C$42, 118.5116, 118.5116) * CHOOSE(CONTROL!$C$21, $C$9, 100%, $E$9)</f>
        <v>118.5116</v>
      </c>
      <c r="T10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57">
        <f>(1000*CHOOSE(CONTROL!$C$42, 695, 695)*CHOOSE(CONTROL!$C$42, 0.5599, 0.5599)*CHOOSE(CONTROL!$C$42, 31, 31))/1000000</f>
        <v>12.063045499999998</v>
      </c>
      <c r="V1047" s="57">
        <f>(1000*CHOOSE(CONTROL!$C$42, 500, 500)*CHOOSE(CONTROL!$C$42, 0.275, 0.275)*CHOOSE(CONTROL!$C$42, 31, 31))/1000000</f>
        <v>4.2625000000000002</v>
      </c>
      <c r="W1047" s="57">
        <f>(1000*CHOOSE(CONTROL!$C$42, 0.1146, 0.1146)*CHOOSE(CONTROL!$C$42, 121.5, 121.5)*CHOOSE(CONTROL!$C$42, 31, 31))/1000000</f>
        <v>0.43164089999999994</v>
      </c>
      <c r="X1047" s="57">
        <f>(31*0.1790888*100000/1000000)+(31*0.2374*100000/1000000)</f>
        <v>1.2911152800000001</v>
      </c>
      <c r="Y1047" s="57"/>
      <c r="Z1047" s="10"/>
      <c r="AA1047" s="56"/>
      <c r="AB1047" s="50">
        <f>(B1047*122.58+C1047*297.941+D1047*89.177+E1047*40.302+F1047*40+G1047*160+H1047*0+I1047*100+J1047*300)/(122.58+297.941+89.177+40.302+0+40+160+100+300)</f>
        <v>122.05034835704345</v>
      </c>
      <c r="AC1047" s="45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120.85978489208632</v>
      </c>
    </row>
    <row r="1048" spans="1:29" ht="15.75" x14ac:dyDescent="0.25">
      <c r="A1048" s="13">
        <v>72805</v>
      </c>
      <c r="B1048" s="10">
        <f>CHOOSE(CONTROL!$C$42, 121.6765, 121.6765) * CHOOSE(CONTROL!$C$21, $C$9, 100%, $E$9)</f>
        <v>121.6765</v>
      </c>
      <c r="C1048" s="10">
        <f>CHOOSE(CONTROL!$C$42, 121.6809, 121.6809) * CHOOSE(CONTROL!$C$21, $C$9, 100%, $E$9)</f>
        <v>121.68089999999999</v>
      </c>
      <c r="D1048" s="10">
        <f>CHOOSE(CONTROL!$C$42, 121.8867, 121.8867) * CHOOSE(CONTROL!$C$21, $C$9, 100%, $E$9)</f>
        <v>121.8867</v>
      </c>
      <c r="E1048" s="10">
        <f>CHOOSE(CONTROL!$C$42, 121.9185, 121.9185) * CHOOSE(CONTROL!$C$21, $C$9, 100%, $E$9)</f>
        <v>121.91849999999999</v>
      </c>
      <c r="F1048" s="10">
        <f>CHOOSE(CONTROL!$C$42, 121.6532, 121.6532)*CHOOSE(CONTROL!$C$21, $C$9, 100%, $E$9)</f>
        <v>121.6532</v>
      </c>
      <c r="G1048" s="10">
        <f>CHOOSE(CONTROL!$C$42, 121.6678, 121.6678)*CHOOSE(CONTROL!$C$21, $C$9, 100%, $E$9)</f>
        <v>121.6678</v>
      </c>
      <c r="H1048" s="10">
        <f>CHOOSE(CONTROL!$C$42, 121.9083, 121.9083) * CHOOSE(CONTROL!$C$21, $C$9, 100%, $E$9)</f>
        <v>121.9083</v>
      </c>
      <c r="I1048" s="10">
        <f>CHOOSE(CONTROL!$C$42, 121.6779, 121.6779)* CHOOSE(CONTROL!$C$21, $C$9, 100%, $E$9)</f>
        <v>121.67789999999999</v>
      </c>
      <c r="J1048" s="10">
        <f>CHOOSE(CONTROL!$C$42, 121.6462, 121.6462)* CHOOSE(CONTROL!$C$21, $C$9, 100%, $E$9)</f>
        <v>121.64619999999999</v>
      </c>
      <c r="K1048" s="53">
        <f>CHOOSE(CONTROL!$C$42, 121.674, 121.674) * CHOOSE(CONTROL!$C$21, $C$9, 100%, $E$9)</f>
        <v>121.67400000000001</v>
      </c>
      <c r="L1048" s="10">
        <f>CHOOSE(CONTROL!$C$42, 122.4953, 122.4953) * CHOOSE(CONTROL!$C$21, $C$9, 100%, $E$9)</f>
        <v>122.4953</v>
      </c>
      <c r="M1048" s="10">
        <f>CHOOSE(CONTROL!$C$42, 120.4325, 120.4325) * CHOOSE(CONTROL!$C$21, $C$9, 100%, $E$9)</f>
        <v>120.4325</v>
      </c>
      <c r="N1048" s="10">
        <f>CHOOSE(CONTROL!$C$42, 120.4468, 120.4468) * CHOOSE(CONTROL!$C$21, $C$9, 100%, $E$9)</f>
        <v>120.4468</v>
      </c>
      <c r="O1048" s="10">
        <f>CHOOSE(CONTROL!$C$42, 120.6919, 120.6919) * CHOOSE(CONTROL!$C$21, $C$9, 100%, $E$9)</f>
        <v>120.6919</v>
      </c>
      <c r="P1048" s="10">
        <f>CHOOSE(CONTROL!$C$42, 120.4638, 120.4638) * CHOOSE(CONTROL!$C$21, $C$9, 100%, $E$9)</f>
        <v>120.46380000000001</v>
      </c>
      <c r="Q1048" s="10">
        <f>CHOOSE(CONTROL!$C$42, 121.2872, 121.2872) * CHOOSE(CONTROL!$C$21, $C$9, 100%, $E$9)</f>
        <v>121.2872</v>
      </c>
      <c r="R1048" s="10">
        <f>CHOOSE(CONTROL!$C$42, 122.1774, 122.1774) * CHOOSE(CONTROL!$C$21, $C$9, 100%, $E$9)</f>
        <v>122.17740000000001</v>
      </c>
      <c r="S1048" s="10">
        <f>CHOOSE(CONTROL!$C$42, 118.1571, 118.1571) * CHOOSE(CONTROL!$C$21, $C$9, 100%, $E$9)</f>
        <v>118.1571</v>
      </c>
      <c r="T10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57">
        <f>(1000*CHOOSE(CONTROL!$C$42, 695, 695)*CHOOSE(CONTROL!$C$42, 0.5599, 0.5599)*CHOOSE(CONTROL!$C$42, 30, 30))/1000000</f>
        <v>11.673914999999997</v>
      </c>
      <c r="V1048" s="57">
        <f>(1000*CHOOSE(CONTROL!$C$42, 500, 500)*CHOOSE(CONTROL!$C$42, 0.275, 0.275)*CHOOSE(CONTROL!$C$42, 30, 30))/1000000</f>
        <v>4.125</v>
      </c>
      <c r="W1048" s="57">
        <f>(1000*CHOOSE(CONTROL!$C$42, 0.1146, 0.1146)*CHOOSE(CONTROL!$C$42, 121.5, 121.5)*CHOOSE(CONTROL!$C$42, 30, 30))/1000000</f>
        <v>0.417717</v>
      </c>
      <c r="X1048" s="57">
        <f>(30*0.1790888*245000/1000000)+(30*0.2374*100000/1000000)</f>
        <v>2.0285026799999999</v>
      </c>
      <c r="Y1048" s="57"/>
      <c r="Z1048" s="10"/>
      <c r="AA1048" s="56"/>
      <c r="AB1048" s="50">
        <f>(B1048*141.293+C1048*267.993+D1048*115.016+E1048*89.698+F1048*40+G1048*185+H1048*0+I1048*100+J1048*300)/(141.293+267.993+115.016+89.698+0+40+185+100+300)</f>
        <v>121.70520940145278</v>
      </c>
      <c r="AC1048" s="45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120.5553964028777</v>
      </c>
    </row>
    <row r="1049" spans="1:29" ht="15.75" x14ac:dyDescent="0.25">
      <c r="A1049" s="13">
        <v>72836</v>
      </c>
      <c r="B1049" s="10">
        <f>CHOOSE(CONTROL!$C$42, 122.7518, 122.7518) * CHOOSE(CONTROL!$C$21, $C$9, 100%, $E$9)</f>
        <v>122.7518</v>
      </c>
      <c r="C1049" s="10">
        <f>CHOOSE(CONTROL!$C$42, 122.7597, 122.7597) * CHOOSE(CONTROL!$C$21, $C$9, 100%, $E$9)</f>
        <v>122.7597</v>
      </c>
      <c r="D1049" s="10">
        <f>CHOOSE(CONTROL!$C$42, 122.9624, 122.9624) * CHOOSE(CONTROL!$C$21, $C$9, 100%, $E$9)</f>
        <v>122.9624</v>
      </c>
      <c r="E1049" s="10">
        <f>CHOOSE(CONTROL!$C$42, 122.9936, 122.9936) * CHOOSE(CONTROL!$C$21, $C$9, 100%, $E$9)</f>
        <v>122.9936</v>
      </c>
      <c r="F1049" s="10">
        <f>CHOOSE(CONTROL!$C$42, 122.7275, 122.7275)*CHOOSE(CONTROL!$C$21, $C$9, 100%, $E$9)</f>
        <v>122.72750000000001</v>
      </c>
      <c r="G1049" s="10">
        <f>CHOOSE(CONTROL!$C$42, 122.7425, 122.7425)*CHOOSE(CONTROL!$C$21, $C$9, 100%, $E$9)</f>
        <v>122.74250000000001</v>
      </c>
      <c r="H1049" s="10">
        <f>CHOOSE(CONTROL!$C$42, 122.9822, 122.9822) * CHOOSE(CONTROL!$C$21, $C$9, 100%, $E$9)</f>
        <v>122.98220000000001</v>
      </c>
      <c r="I1049" s="10">
        <f>CHOOSE(CONTROL!$C$42, 122.7518, 122.7518)* CHOOSE(CONTROL!$C$21, $C$9, 100%, $E$9)</f>
        <v>122.7518</v>
      </c>
      <c r="J1049" s="10">
        <f>CHOOSE(CONTROL!$C$42, 122.7205, 122.7205)* CHOOSE(CONTROL!$C$21, $C$9, 100%, $E$9)</f>
        <v>122.7205</v>
      </c>
      <c r="K1049" s="53">
        <f>CHOOSE(CONTROL!$C$42, 122.7479, 122.7479) * CHOOSE(CONTROL!$C$21, $C$9, 100%, $E$9)</f>
        <v>122.7479</v>
      </c>
      <c r="L1049" s="10">
        <f>CHOOSE(CONTROL!$C$42, 123.5692, 123.5692) * CHOOSE(CONTROL!$C$21, $C$9, 100%, $E$9)</f>
        <v>123.5692</v>
      </c>
      <c r="M1049" s="10">
        <f>CHOOSE(CONTROL!$C$42, 121.4959, 121.4959) * CHOOSE(CONTROL!$C$21, $C$9, 100%, $E$9)</f>
        <v>121.49590000000001</v>
      </c>
      <c r="N1049" s="10">
        <f>CHOOSE(CONTROL!$C$42, 121.5107, 121.5107) * CHOOSE(CONTROL!$C$21, $C$9, 100%, $E$9)</f>
        <v>121.5107</v>
      </c>
      <c r="O1049" s="10">
        <f>CHOOSE(CONTROL!$C$42, 121.7549, 121.7549) * CHOOSE(CONTROL!$C$21, $C$9, 100%, $E$9)</f>
        <v>121.75490000000001</v>
      </c>
      <c r="P1049" s="10">
        <f>CHOOSE(CONTROL!$C$42, 121.5269, 121.5269) * CHOOSE(CONTROL!$C$21, $C$9, 100%, $E$9)</f>
        <v>121.5269</v>
      </c>
      <c r="Q1049" s="10">
        <f>CHOOSE(CONTROL!$C$42, 122.3502, 122.3502) * CHOOSE(CONTROL!$C$21, $C$9, 100%, $E$9)</f>
        <v>122.3502</v>
      </c>
      <c r="R1049" s="10">
        <f>CHOOSE(CONTROL!$C$42, 123.2431, 123.2431) * CHOOSE(CONTROL!$C$21, $C$9, 100%, $E$9)</f>
        <v>123.2431</v>
      </c>
      <c r="S1049" s="10">
        <f>CHOOSE(CONTROL!$C$42, 119.2, 119.2) * CHOOSE(CONTROL!$C$21, $C$9, 100%, $E$9)</f>
        <v>119.2</v>
      </c>
      <c r="T10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57">
        <f>(1000*CHOOSE(CONTROL!$C$42, 695, 695)*CHOOSE(CONTROL!$C$42, 0.5599, 0.5599)*CHOOSE(CONTROL!$C$42, 31, 31))/1000000</f>
        <v>12.063045499999998</v>
      </c>
      <c r="V1049" s="57">
        <f>(1000*CHOOSE(CONTROL!$C$42, 500, 500)*CHOOSE(CONTROL!$C$42, 0.275, 0.275)*CHOOSE(CONTROL!$C$42, 31, 31))/1000000</f>
        <v>4.2625000000000002</v>
      </c>
      <c r="W1049" s="57">
        <f>(1000*CHOOSE(CONTROL!$C$42, 0.1146, 0.1146)*CHOOSE(CONTROL!$C$42, 121.5, 121.5)*CHOOSE(CONTROL!$C$42, 31, 31))/1000000</f>
        <v>0.43164089999999994</v>
      </c>
      <c r="X1049" s="57">
        <f>(31*0.1790888*245000/1000000)+(31*0.2374*100000/1000000)</f>
        <v>2.0961194359999999</v>
      </c>
      <c r="Y1049" s="57"/>
      <c r="Z1049" s="10"/>
      <c r="AA1049" s="56"/>
      <c r="AB1049" s="50">
        <f>(B1049*194.205+C1049*267.466+D1049*133.845+E1049*53.484+F1049*40+G1049*185+H1049*0+I1049*100+J1049*300)/(194.205+267.466+133.845+53.484+0+40+185+100+300)</f>
        <v>122.77625107503926</v>
      </c>
      <c r="AC1049" s="45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121.61860071942446</v>
      </c>
    </row>
    <row r="1050" spans="1:29" ht="15.75" x14ac:dyDescent="0.25">
      <c r="A1050" s="13">
        <v>72866</v>
      </c>
      <c r="B1050" s="10">
        <f>CHOOSE(CONTROL!$C$42, 126.2337, 126.2337) * CHOOSE(CONTROL!$C$21, $C$9, 100%, $E$9)</f>
        <v>126.2337</v>
      </c>
      <c r="C1050" s="10">
        <f>CHOOSE(CONTROL!$C$42, 126.2416, 126.2416) * CHOOSE(CONTROL!$C$21, $C$9, 100%, $E$9)</f>
        <v>126.24160000000001</v>
      </c>
      <c r="D1050" s="10">
        <f>CHOOSE(CONTROL!$C$42, 126.4443, 126.4443) * CHOOSE(CONTROL!$C$21, $C$9, 100%, $E$9)</f>
        <v>126.4443</v>
      </c>
      <c r="E1050" s="10">
        <f>CHOOSE(CONTROL!$C$42, 126.4754, 126.4754) * CHOOSE(CONTROL!$C$21, $C$9, 100%, $E$9)</f>
        <v>126.47539999999999</v>
      </c>
      <c r="F1050" s="10">
        <f>CHOOSE(CONTROL!$C$42, 126.2099, 126.2099)*CHOOSE(CONTROL!$C$21, $C$9, 100%, $E$9)</f>
        <v>126.2099</v>
      </c>
      <c r="G1050" s="10">
        <f>CHOOSE(CONTROL!$C$42, 126.225, 126.225)*CHOOSE(CONTROL!$C$21, $C$9, 100%, $E$9)</f>
        <v>126.22499999999999</v>
      </c>
      <c r="H1050" s="10">
        <f>CHOOSE(CONTROL!$C$42, 126.4641, 126.4641) * CHOOSE(CONTROL!$C$21, $C$9, 100%, $E$9)</f>
        <v>126.4641</v>
      </c>
      <c r="I1050" s="10">
        <f>CHOOSE(CONTROL!$C$42, 126.2337, 126.2337)* CHOOSE(CONTROL!$C$21, $C$9, 100%, $E$9)</f>
        <v>126.2337</v>
      </c>
      <c r="J1050" s="10">
        <f>CHOOSE(CONTROL!$C$42, 126.2029, 126.2029)* CHOOSE(CONTROL!$C$21, $C$9, 100%, $E$9)</f>
        <v>126.2029</v>
      </c>
      <c r="K1050" s="53">
        <f>CHOOSE(CONTROL!$C$42, 126.2298, 126.2298) * CHOOSE(CONTROL!$C$21, $C$9, 100%, $E$9)</f>
        <v>126.2298</v>
      </c>
      <c r="L1050" s="10">
        <f>CHOOSE(CONTROL!$C$42, 127.0511, 127.0511) * CHOOSE(CONTROL!$C$21, $C$9, 100%, $E$9)</f>
        <v>127.05110000000001</v>
      </c>
      <c r="M1050" s="10">
        <f>CHOOSE(CONTROL!$C$42, 124.9431, 124.9431) * CHOOSE(CONTROL!$C$21, $C$9, 100%, $E$9)</f>
        <v>124.9431</v>
      </c>
      <c r="N1050" s="10">
        <f>CHOOSE(CONTROL!$C$42, 124.9581, 124.9581) * CHOOSE(CONTROL!$C$21, $C$9, 100%, $E$9)</f>
        <v>124.9581</v>
      </c>
      <c r="O1050" s="10">
        <f>CHOOSE(CONTROL!$C$42, 125.2017, 125.2017) * CHOOSE(CONTROL!$C$21, $C$9, 100%, $E$9)</f>
        <v>125.2017</v>
      </c>
      <c r="P1050" s="10">
        <f>CHOOSE(CONTROL!$C$42, 124.9736, 124.9736) * CHOOSE(CONTROL!$C$21, $C$9, 100%, $E$9)</f>
        <v>124.9736</v>
      </c>
      <c r="Q1050" s="10">
        <f>CHOOSE(CONTROL!$C$42, 125.797, 125.797) * CHOOSE(CONTROL!$C$21, $C$9, 100%, $E$9)</f>
        <v>125.797</v>
      </c>
      <c r="R1050" s="10">
        <f>CHOOSE(CONTROL!$C$42, 126.6984, 126.6984) * CHOOSE(CONTROL!$C$21, $C$9, 100%, $E$9)</f>
        <v>126.69840000000001</v>
      </c>
      <c r="S1050" s="10">
        <f>CHOOSE(CONTROL!$C$42, 122.5813, 122.5813) * CHOOSE(CONTROL!$C$21, $C$9, 100%, $E$9)</f>
        <v>122.5813</v>
      </c>
      <c r="T10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57">
        <f>(1000*CHOOSE(CONTROL!$C$42, 695, 695)*CHOOSE(CONTROL!$C$42, 0.5599, 0.5599)*CHOOSE(CONTROL!$C$42, 30, 30))/1000000</f>
        <v>11.673914999999997</v>
      </c>
      <c r="V1050" s="57">
        <f>(1000*CHOOSE(CONTROL!$C$42, 500, 500)*CHOOSE(CONTROL!$C$42, 0.275, 0.275)*CHOOSE(CONTROL!$C$42, 30, 30))/1000000</f>
        <v>4.125</v>
      </c>
      <c r="W1050" s="57">
        <f>(1000*CHOOSE(CONTROL!$C$42, 0.1146, 0.1146)*CHOOSE(CONTROL!$C$42, 121.5, 121.5)*CHOOSE(CONTROL!$C$42, 30, 30))/1000000</f>
        <v>0.417717</v>
      </c>
      <c r="X1050" s="57">
        <f>(30*0.1790888*245000/1000000)+(30*0.2374*100000/1000000)</f>
        <v>2.0285026799999999</v>
      </c>
      <c r="Y1050" s="57"/>
      <c r="Z1050" s="10"/>
      <c r="AA1050" s="56"/>
      <c r="AB1050" s="50">
        <f>(B1050*194.205+C1050*267.466+D1050*133.845+E1050*53.484+F1050*40+G1050*185+H1050*0+I1050*100+J1050*300)/(194.205+267.466+133.845+53.484+0+40+185+100+300)</f>
        <v>126.25836744207221</v>
      </c>
      <c r="AC1050" s="45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125.06555899280576</v>
      </c>
    </row>
    <row r="1051" spans="1:29" ht="15.75" x14ac:dyDescent="0.25">
      <c r="A1051" s="13">
        <v>72897</v>
      </c>
      <c r="B1051" s="10">
        <f>CHOOSE(CONTROL!$C$42, 123.812, 123.812) * CHOOSE(CONTROL!$C$21, $C$9, 100%, $E$9)</f>
        <v>123.812</v>
      </c>
      <c r="C1051" s="10">
        <f>CHOOSE(CONTROL!$C$42, 123.8199, 123.8199) * CHOOSE(CONTROL!$C$21, $C$9, 100%, $E$9)</f>
        <v>123.8199</v>
      </c>
      <c r="D1051" s="10">
        <f>CHOOSE(CONTROL!$C$42, 124.0226, 124.0226) * CHOOSE(CONTROL!$C$21, $C$9, 100%, $E$9)</f>
        <v>124.0226</v>
      </c>
      <c r="E1051" s="10">
        <f>CHOOSE(CONTROL!$C$42, 124.0538, 124.0538) * CHOOSE(CONTROL!$C$21, $C$9, 100%, $E$9)</f>
        <v>124.0538</v>
      </c>
      <c r="F1051" s="10">
        <f>CHOOSE(CONTROL!$C$42, 123.7887, 123.7887)*CHOOSE(CONTROL!$C$21, $C$9, 100%, $E$9)</f>
        <v>123.78870000000001</v>
      </c>
      <c r="G1051" s="10">
        <f>CHOOSE(CONTROL!$C$42, 123.804, 123.804)*CHOOSE(CONTROL!$C$21, $C$9, 100%, $E$9)</f>
        <v>123.804</v>
      </c>
      <c r="H1051" s="10">
        <f>CHOOSE(CONTROL!$C$42, 124.0424, 124.0424) * CHOOSE(CONTROL!$C$21, $C$9, 100%, $E$9)</f>
        <v>124.0424</v>
      </c>
      <c r="I1051" s="10">
        <f>CHOOSE(CONTROL!$C$42, 123.812, 123.812)* CHOOSE(CONTROL!$C$21, $C$9, 100%, $E$9)</f>
        <v>123.812</v>
      </c>
      <c r="J1051" s="10">
        <f>CHOOSE(CONTROL!$C$42, 123.7817, 123.7817)* CHOOSE(CONTROL!$C$21, $C$9, 100%, $E$9)</f>
        <v>123.7817</v>
      </c>
      <c r="K1051" s="53">
        <f>CHOOSE(CONTROL!$C$42, 123.8081, 123.8081) * CHOOSE(CONTROL!$C$21, $C$9, 100%, $E$9)</f>
        <v>123.8081</v>
      </c>
      <c r="L1051" s="10">
        <f>CHOOSE(CONTROL!$C$42, 124.6294, 124.6294) * CHOOSE(CONTROL!$C$21, $C$9, 100%, $E$9)</f>
        <v>124.6294</v>
      </c>
      <c r="M1051" s="10">
        <f>CHOOSE(CONTROL!$C$42, 122.5464, 122.5464) * CHOOSE(CONTROL!$C$21, $C$9, 100%, $E$9)</f>
        <v>122.54640000000001</v>
      </c>
      <c r="N1051" s="10">
        <f>CHOOSE(CONTROL!$C$42, 122.5615, 122.5615) * CHOOSE(CONTROL!$C$21, $C$9, 100%, $E$9)</f>
        <v>122.5615</v>
      </c>
      <c r="O1051" s="10">
        <f>CHOOSE(CONTROL!$C$42, 122.8044, 122.8044) * CHOOSE(CONTROL!$C$21, $C$9, 100%, $E$9)</f>
        <v>122.8044</v>
      </c>
      <c r="P1051" s="10">
        <f>CHOOSE(CONTROL!$C$42, 122.5764, 122.5764) * CHOOSE(CONTROL!$C$21, $C$9, 100%, $E$9)</f>
        <v>122.57640000000001</v>
      </c>
      <c r="Q1051" s="10">
        <f>CHOOSE(CONTROL!$C$42, 123.3997, 123.3997) * CHOOSE(CONTROL!$C$21, $C$9, 100%, $E$9)</f>
        <v>123.3997</v>
      </c>
      <c r="R1051" s="10">
        <f>CHOOSE(CONTROL!$C$42, 124.2952, 124.2952) * CHOOSE(CONTROL!$C$21, $C$9, 100%, $E$9)</f>
        <v>124.29519999999999</v>
      </c>
      <c r="S1051" s="10">
        <f>CHOOSE(CONTROL!$C$42, 120.2296, 120.2296) * CHOOSE(CONTROL!$C$21, $C$9, 100%, $E$9)</f>
        <v>120.2296</v>
      </c>
      <c r="T10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57">
        <f>(1000*CHOOSE(CONTROL!$C$42, 695, 695)*CHOOSE(CONTROL!$C$42, 0.5599, 0.5599)*CHOOSE(CONTROL!$C$42, 31, 31))/1000000</f>
        <v>12.063045499999998</v>
      </c>
      <c r="V1051" s="57">
        <f>(1000*CHOOSE(CONTROL!$C$42, 500, 500)*CHOOSE(CONTROL!$C$42, 0.275, 0.275)*CHOOSE(CONTROL!$C$42, 31, 31))/1000000</f>
        <v>4.2625000000000002</v>
      </c>
      <c r="W1051" s="57">
        <f>(1000*CHOOSE(CONTROL!$C$42, 0.1146, 0.1146)*CHOOSE(CONTROL!$C$42, 121.5, 121.5)*CHOOSE(CONTROL!$C$42, 31, 31))/1000000</f>
        <v>0.43164089999999994</v>
      </c>
      <c r="X1051" s="57">
        <f>(31*0.1790888*245000/1000000)+(31*0.2374*100000/1000000)</f>
        <v>2.0961194359999999</v>
      </c>
      <c r="Y1051" s="57"/>
      <c r="Z1051" s="10"/>
      <c r="AA1051" s="56"/>
      <c r="AB1051" s="50">
        <f>(B1051*194.205+C1051*267.466+D1051*133.845+E1051*53.484+F1051*40+G1051*185+H1051*0+I1051*100+J1051*300)/(194.205+267.466+133.845+53.484+0+40+185+100+300)</f>
        <v>123.83690672653061</v>
      </c>
      <c r="AC1051" s="45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122.66852086330935</v>
      </c>
    </row>
    <row r="1052" spans="1:29" ht="15.75" x14ac:dyDescent="0.25">
      <c r="A1052" s="13">
        <v>72928</v>
      </c>
      <c r="B1052" s="10">
        <f>CHOOSE(CONTROL!$C$42, 117.6965, 117.6965) * CHOOSE(CONTROL!$C$21, $C$9, 100%, $E$9)</f>
        <v>117.6965</v>
      </c>
      <c r="C1052" s="10">
        <f>CHOOSE(CONTROL!$C$42, 117.7044, 117.7044) * CHOOSE(CONTROL!$C$21, $C$9, 100%, $E$9)</f>
        <v>117.70440000000001</v>
      </c>
      <c r="D1052" s="10">
        <f>CHOOSE(CONTROL!$C$42, 117.9072, 117.9072) * CHOOSE(CONTROL!$C$21, $C$9, 100%, $E$9)</f>
        <v>117.9072</v>
      </c>
      <c r="E1052" s="10">
        <f>CHOOSE(CONTROL!$C$42, 117.9383, 117.9383) * CHOOSE(CONTROL!$C$21, $C$9, 100%, $E$9)</f>
        <v>117.9383</v>
      </c>
      <c r="F1052" s="10">
        <f>CHOOSE(CONTROL!$C$42, 117.6735, 117.6735)*CHOOSE(CONTROL!$C$21, $C$9, 100%, $E$9)</f>
        <v>117.6735</v>
      </c>
      <c r="G1052" s="10">
        <f>CHOOSE(CONTROL!$C$42, 117.6888, 117.6888)*CHOOSE(CONTROL!$C$21, $C$9, 100%, $E$9)</f>
        <v>117.6888</v>
      </c>
      <c r="H1052" s="10">
        <f>CHOOSE(CONTROL!$C$42, 117.9269, 117.9269) * CHOOSE(CONTROL!$C$21, $C$9, 100%, $E$9)</f>
        <v>117.9269</v>
      </c>
      <c r="I1052" s="10">
        <f>CHOOSE(CONTROL!$C$42, 117.6966, 117.6966)* CHOOSE(CONTROL!$C$21, $C$9, 100%, $E$9)</f>
        <v>117.6966</v>
      </c>
      <c r="J1052" s="10">
        <f>CHOOSE(CONTROL!$C$42, 117.6665, 117.6665)* CHOOSE(CONTROL!$C$21, $C$9, 100%, $E$9)</f>
        <v>117.6665</v>
      </c>
      <c r="K1052" s="53">
        <f>CHOOSE(CONTROL!$C$42, 117.6927, 117.6927) * CHOOSE(CONTROL!$C$21, $C$9, 100%, $E$9)</f>
        <v>117.6927</v>
      </c>
      <c r="L1052" s="10">
        <f>CHOOSE(CONTROL!$C$42, 118.5139, 118.5139) * CHOOSE(CONTROL!$C$21, $C$9, 100%, $E$9)</f>
        <v>118.51390000000001</v>
      </c>
      <c r="M1052" s="10">
        <f>CHOOSE(CONTROL!$C$42, 116.4928, 116.4928) * CHOOSE(CONTROL!$C$21, $C$9, 100%, $E$9)</f>
        <v>116.4928</v>
      </c>
      <c r="N1052" s="10">
        <f>CHOOSE(CONTROL!$C$42, 116.508, 116.508) * CHOOSE(CONTROL!$C$21, $C$9, 100%, $E$9)</f>
        <v>116.508</v>
      </c>
      <c r="O1052" s="10">
        <f>CHOOSE(CONTROL!$C$42, 116.7507, 116.7507) * CHOOSE(CONTROL!$C$21, $C$9, 100%, $E$9)</f>
        <v>116.75069999999999</v>
      </c>
      <c r="P1052" s="10">
        <f>CHOOSE(CONTROL!$C$42, 116.5227, 116.5227) * CHOOSE(CONTROL!$C$21, $C$9, 100%, $E$9)</f>
        <v>116.5227</v>
      </c>
      <c r="Q1052" s="10">
        <f>CHOOSE(CONTROL!$C$42, 117.346, 117.346) * CHOOSE(CONTROL!$C$21, $C$9, 100%, $E$9)</f>
        <v>117.346</v>
      </c>
      <c r="R1052" s="10">
        <f>CHOOSE(CONTROL!$C$42, 118.2263, 118.2263) * CHOOSE(CONTROL!$C$21, $C$9, 100%, $E$9)</f>
        <v>118.22629999999999</v>
      </c>
      <c r="S1052" s="10">
        <f>CHOOSE(CONTROL!$C$42, 114.2908, 114.2908) * CHOOSE(CONTROL!$C$21, $C$9, 100%, $E$9)</f>
        <v>114.2908</v>
      </c>
      <c r="T10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57">
        <f>(1000*CHOOSE(CONTROL!$C$42, 695, 695)*CHOOSE(CONTROL!$C$42, 0.5599, 0.5599)*CHOOSE(CONTROL!$C$42, 31, 31))/1000000</f>
        <v>12.063045499999998</v>
      </c>
      <c r="V1052" s="57">
        <f>(1000*CHOOSE(CONTROL!$C$42, 500, 500)*CHOOSE(CONTROL!$C$42, 0.275, 0.275)*CHOOSE(CONTROL!$C$42, 31, 31))/1000000</f>
        <v>4.2625000000000002</v>
      </c>
      <c r="W1052" s="57">
        <f>(1000*CHOOSE(CONTROL!$C$42, 0.1146, 0.1146)*CHOOSE(CONTROL!$C$42, 121.5, 121.5)*CHOOSE(CONTROL!$C$42, 31, 31))/1000000</f>
        <v>0.43164089999999994</v>
      </c>
      <c r="X1052" s="57">
        <f>(31*0.1790888*245000/1000000)+(31*0.2374*100000/1000000)</f>
        <v>2.0961194359999999</v>
      </c>
      <c r="Y1052" s="57"/>
      <c r="Z1052" s="10"/>
      <c r="AA1052" s="56"/>
      <c r="AB1052" s="50">
        <f>(B1052*194.205+C1052*267.466+D1052*133.845+E1052*53.484+F1052*40+G1052*185+H1052*0+I1052*100+J1052*300)/(194.205+267.466+133.845+53.484+0+40+185+100+300)</f>
        <v>117.72154870808477</v>
      </c>
      <c r="AC1052" s="45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116.61486690647483</v>
      </c>
    </row>
    <row r="1053" spans="1:29" ht="15.75" x14ac:dyDescent="0.25">
      <c r="A1053" s="13">
        <v>72958</v>
      </c>
      <c r="B1053" s="10">
        <f>CHOOSE(CONTROL!$C$42, 110.2242, 110.2242) * CHOOSE(CONTROL!$C$21, $C$9, 100%, $E$9)</f>
        <v>110.2242</v>
      </c>
      <c r="C1053" s="10">
        <f>CHOOSE(CONTROL!$C$42, 110.2321, 110.2321) * CHOOSE(CONTROL!$C$21, $C$9, 100%, $E$9)</f>
        <v>110.2321</v>
      </c>
      <c r="D1053" s="10">
        <f>CHOOSE(CONTROL!$C$42, 110.4348, 110.4348) * CHOOSE(CONTROL!$C$21, $C$9, 100%, $E$9)</f>
        <v>110.4348</v>
      </c>
      <c r="E1053" s="10">
        <f>CHOOSE(CONTROL!$C$42, 110.466, 110.466) * CHOOSE(CONTROL!$C$21, $C$9, 100%, $E$9)</f>
        <v>110.46599999999999</v>
      </c>
      <c r="F1053" s="10">
        <f>CHOOSE(CONTROL!$C$42, 110.201, 110.201)*CHOOSE(CONTROL!$C$21, $C$9, 100%, $E$9)</f>
        <v>110.20099999999999</v>
      </c>
      <c r="G1053" s="10">
        <f>CHOOSE(CONTROL!$C$42, 110.2163, 110.2163)*CHOOSE(CONTROL!$C$21, $C$9, 100%, $E$9)</f>
        <v>110.2163</v>
      </c>
      <c r="H1053" s="10">
        <f>CHOOSE(CONTROL!$C$42, 110.4546, 110.4546) * CHOOSE(CONTROL!$C$21, $C$9, 100%, $E$9)</f>
        <v>110.4546</v>
      </c>
      <c r="I1053" s="10">
        <f>CHOOSE(CONTROL!$C$42, 110.2242, 110.2242)* CHOOSE(CONTROL!$C$21, $C$9, 100%, $E$9)</f>
        <v>110.2242</v>
      </c>
      <c r="J1053" s="10">
        <f>CHOOSE(CONTROL!$C$42, 110.194, 110.194)* CHOOSE(CONTROL!$C$21, $C$9, 100%, $E$9)</f>
        <v>110.194</v>
      </c>
      <c r="K1053" s="53">
        <f>CHOOSE(CONTROL!$C$42, 110.2203, 110.2203) * CHOOSE(CONTROL!$C$21, $C$9, 100%, $E$9)</f>
        <v>110.22029999999999</v>
      </c>
      <c r="L1053" s="10">
        <f>CHOOSE(CONTROL!$C$42, 111.0416, 111.0416) * CHOOSE(CONTROL!$C$21, $C$9, 100%, $E$9)</f>
        <v>111.0416</v>
      </c>
      <c r="M1053" s="10">
        <f>CHOOSE(CONTROL!$C$42, 109.0958, 109.0958) * CHOOSE(CONTROL!$C$21, $C$9, 100%, $E$9)</f>
        <v>109.0958</v>
      </c>
      <c r="N1053" s="10">
        <f>CHOOSE(CONTROL!$C$42, 109.1109, 109.1109) * CHOOSE(CONTROL!$C$21, $C$9, 100%, $E$9)</f>
        <v>109.1109</v>
      </c>
      <c r="O1053" s="10">
        <f>CHOOSE(CONTROL!$C$42, 109.3537, 109.3537) * CHOOSE(CONTROL!$C$21, $C$9, 100%, $E$9)</f>
        <v>109.3537</v>
      </c>
      <c r="P1053" s="10">
        <f>CHOOSE(CONTROL!$C$42, 109.1257, 109.1257) * CHOOSE(CONTROL!$C$21, $C$9, 100%, $E$9)</f>
        <v>109.12569999999999</v>
      </c>
      <c r="Q1053" s="10">
        <f>CHOOSE(CONTROL!$C$42, 109.949, 109.949) * CHOOSE(CONTROL!$C$21, $C$9, 100%, $E$9)</f>
        <v>109.949</v>
      </c>
      <c r="R1053" s="10">
        <f>CHOOSE(CONTROL!$C$42, 110.8109, 110.8109) * CHOOSE(CONTROL!$C$21, $C$9, 100%, $E$9)</f>
        <v>110.8109</v>
      </c>
      <c r="S1053" s="10">
        <f>CHOOSE(CONTROL!$C$42, 107.0344, 107.0344) * CHOOSE(CONTROL!$C$21, $C$9, 100%, $E$9)</f>
        <v>107.03440000000001</v>
      </c>
      <c r="T10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57">
        <f>(1000*CHOOSE(CONTROL!$C$42, 695, 695)*CHOOSE(CONTROL!$C$42, 0.5599, 0.5599)*CHOOSE(CONTROL!$C$42, 30, 30))/1000000</f>
        <v>11.673914999999997</v>
      </c>
      <c r="V1053" s="57">
        <f>(1000*CHOOSE(CONTROL!$C$42, 500, 500)*CHOOSE(CONTROL!$C$42, 0.275, 0.275)*CHOOSE(CONTROL!$C$42, 30, 30))/1000000</f>
        <v>4.125</v>
      </c>
      <c r="W1053" s="57">
        <f>(1000*CHOOSE(CONTROL!$C$42, 0.1146, 0.1146)*CHOOSE(CONTROL!$C$42, 121.5, 121.5)*CHOOSE(CONTROL!$C$42, 30, 30))/1000000</f>
        <v>0.417717</v>
      </c>
      <c r="X1053" s="57">
        <f>(30*0.1790888*245000/1000000)+(30*0.2374*100000/1000000)</f>
        <v>2.0285026799999999</v>
      </c>
      <c r="Y1053" s="57"/>
      <c r="Z1053" s="10"/>
      <c r="AA1053" s="56"/>
      <c r="AB1053" s="50">
        <f>(B1053*194.205+C1053*267.466+D1053*133.845+E1053*53.484+F1053*40+G1053*185+H1053*0+I1053*100+J1053*300)/(194.205+267.466+133.845+53.484+0+40+185+100+300)</f>
        <v>110.24914793532182</v>
      </c>
      <c r="AC1053" s="45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109.21786115107913</v>
      </c>
    </row>
    <row r="1054" spans="1:29" ht="15.75" x14ac:dyDescent="0.25">
      <c r="A1054" s="13">
        <v>72989</v>
      </c>
      <c r="B1054" s="10">
        <f>CHOOSE(CONTROL!$C$42, 107.9845, 107.9845) * CHOOSE(CONTROL!$C$21, $C$9, 100%, $E$9)</f>
        <v>107.9845</v>
      </c>
      <c r="C1054" s="10">
        <f>CHOOSE(CONTROL!$C$42, 107.9897, 107.9897) * CHOOSE(CONTROL!$C$21, $C$9, 100%, $E$9)</f>
        <v>107.9897</v>
      </c>
      <c r="D1054" s="10">
        <f>CHOOSE(CONTROL!$C$42, 108.1974, 108.1974) * CHOOSE(CONTROL!$C$21, $C$9, 100%, $E$9)</f>
        <v>108.1974</v>
      </c>
      <c r="E1054" s="10">
        <f>CHOOSE(CONTROL!$C$42, 108.2262, 108.2262) * CHOOSE(CONTROL!$C$21, $C$9, 100%, $E$9)</f>
        <v>108.22620000000001</v>
      </c>
      <c r="F1054" s="10">
        <f>CHOOSE(CONTROL!$C$42, 107.9632, 107.9632)*CHOOSE(CONTROL!$C$21, $C$9, 100%, $E$9)</f>
        <v>107.9632</v>
      </c>
      <c r="G1054" s="10">
        <f>CHOOSE(CONTROL!$C$42, 107.9782, 107.9782)*CHOOSE(CONTROL!$C$21, $C$9, 100%, $E$9)</f>
        <v>107.9782</v>
      </c>
      <c r="H1054" s="10">
        <f>CHOOSE(CONTROL!$C$42, 108.2167, 108.2167) * CHOOSE(CONTROL!$C$21, $C$9, 100%, $E$9)</f>
        <v>108.2167</v>
      </c>
      <c r="I1054" s="10">
        <f>CHOOSE(CONTROL!$C$42, 107.9863, 107.9863)* CHOOSE(CONTROL!$C$21, $C$9, 100%, $E$9)</f>
        <v>107.9863</v>
      </c>
      <c r="J1054" s="10">
        <f>CHOOSE(CONTROL!$C$42, 107.9562, 107.9562)* CHOOSE(CONTROL!$C$21, $C$9, 100%, $E$9)</f>
        <v>107.9562</v>
      </c>
      <c r="K1054" s="53">
        <f>CHOOSE(CONTROL!$C$42, 107.9824, 107.9824) * CHOOSE(CONTROL!$C$21, $C$9, 100%, $E$9)</f>
        <v>107.9824</v>
      </c>
      <c r="L1054" s="10">
        <f>CHOOSE(CONTROL!$C$42, 108.8037, 108.8037) * CHOOSE(CONTROL!$C$21, $C$9, 100%, $E$9)</f>
        <v>108.80370000000001</v>
      </c>
      <c r="M1054" s="10">
        <f>CHOOSE(CONTROL!$C$42, 106.8806, 106.8806) * CHOOSE(CONTROL!$C$21, $C$9, 100%, $E$9)</f>
        <v>106.8806</v>
      </c>
      <c r="N1054" s="10">
        <f>CHOOSE(CONTROL!$C$42, 106.8954, 106.8954) * CHOOSE(CONTROL!$C$21, $C$9, 100%, $E$9)</f>
        <v>106.8954</v>
      </c>
      <c r="O1054" s="10">
        <f>CHOOSE(CONTROL!$C$42, 107.1384, 107.1384) * CHOOSE(CONTROL!$C$21, $C$9, 100%, $E$9)</f>
        <v>107.1384</v>
      </c>
      <c r="P1054" s="10">
        <f>CHOOSE(CONTROL!$C$42, 106.9104, 106.9104) * CHOOSE(CONTROL!$C$21, $C$9, 100%, $E$9)</f>
        <v>106.9104</v>
      </c>
      <c r="Q1054" s="10">
        <f>CHOOSE(CONTROL!$C$42, 107.7337, 107.7337) * CHOOSE(CONTROL!$C$21, $C$9, 100%, $E$9)</f>
        <v>107.7337</v>
      </c>
      <c r="R1054" s="10">
        <f>CHOOSE(CONTROL!$C$42, 108.5901, 108.5901) * CHOOSE(CONTROL!$C$21, $C$9, 100%, $E$9)</f>
        <v>108.59010000000001</v>
      </c>
      <c r="S1054" s="10">
        <f>CHOOSE(CONTROL!$C$42, 104.8612, 104.8612) * CHOOSE(CONTROL!$C$21, $C$9, 100%, $E$9)</f>
        <v>104.8612</v>
      </c>
      <c r="T10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57">
        <f>(1000*CHOOSE(CONTROL!$C$42, 695, 695)*CHOOSE(CONTROL!$C$42, 0.5599, 0.5599)*CHOOSE(CONTROL!$C$42, 31, 31))/1000000</f>
        <v>12.063045499999998</v>
      </c>
      <c r="V1054" s="57">
        <f>(1000*CHOOSE(CONTROL!$C$42, 500, 500)*CHOOSE(CONTROL!$C$42, 0.275, 0.275)*CHOOSE(CONTROL!$C$42, 31, 31))/1000000</f>
        <v>4.2625000000000002</v>
      </c>
      <c r="W1054" s="57">
        <f>(1000*CHOOSE(CONTROL!$C$42, 0.1146, 0.1146)*CHOOSE(CONTROL!$C$42, 121.5, 121.5)*CHOOSE(CONTROL!$C$42, 31, 31))/1000000</f>
        <v>0.43164089999999994</v>
      </c>
      <c r="X1054" s="57">
        <f>(31*0.1790888*245000/1000000)+(31*0.2374*100000/1000000)</f>
        <v>2.0961194359999999</v>
      </c>
      <c r="Y1054" s="57"/>
      <c r="Z1054" s="10"/>
      <c r="AA1054" s="56"/>
      <c r="AB1054" s="50">
        <f>(B1054*131.881+C1054*277.167+D1054*79.08+E1054*125.872+F1054*40+G1054*185+H1054*0+I1054*100+J1054*300)/(131.881+277.167+79.08+125.872+0+40+185+100+300)</f>
        <v>108.01547107570623</v>
      </c>
      <c r="AC1054" s="45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107.00258417266186</v>
      </c>
    </row>
    <row r="1055" spans="1:29" ht="15.75" x14ac:dyDescent="0.25">
      <c r="A1055" s="13">
        <v>73019</v>
      </c>
      <c r="B1055" s="10">
        <f>CHOOSE(CONTROL!$C$42, 110.8288, 110.8288) * CHOOSE(CONTROL!$C$21, $C$9, 100%, $E$9)</f>
        <v>110.8288</v>
      </c>
      <c r="C1055" s="10">
        <f>CHOOSE(CONTROL!$C$42, 110.8338, 110.8338) * CHOOSE(CONTROL!$C$21, $C$9, 100%, $E$9)</f>
        <v>110.8338</v>
      </c>
      <c r="D1055" s="10">
        <f>CHOOSE(CONTROL!$C$42, 110.8943, 110.8943) * CHOOSE(CONTROL!$C$21, $C$9, 100%, $E$9)</f>
        <v>110.8943</v>
      </c>
      <c r="E1055" s="10">
        <f>CHOOSE(CONTROL!$C$42, 110.9281, 110.9281) * CHOOSE(CONTROL!$C$21, $C$9, 100%, $E$9)</f>
        <v>110.9281</v>
      </c>
      <c r="F1055" s="10">
        <f>CHOOSE(CONTROL!$C$42, 110.8245, 110.8245)*CHOOSE(CONTROL!$C$21, $C$9, 100%, $E$9)</f>
        <v>110.8245</v>
      </c>
      <c r="G1055" s="10">
        <f>CHOOSE(CONTROL!$C$42, 110.8397, 110.8397)*CHOOSE(CONTROL!$C$21, $C$9, 100%, $E$9)</f>
        <v>110.83969999999999</v>
      </c>
      <c r="H1055" s="10">
        <f>CHOOSE(CONTROL!$C$42, 110.9173, 110.9173) * CHOOSE(CONTROL!$C$21, $C$9, 100%, $E$9)</f>
        <v>110.9173</v>
      </c>
      <c r="I1055" s="10">
        <f>CHOOSE(CONTROL!$C$42, 110.8414, 110.8414)* CHOOSE(CONTROL!$C$21, $C$9, 100%, $E$9)</f>
        <v>110.84139999999999</v>
      </c>
      <c r="J1055" s="10">
        <f>CHOOSE(CONTROL!$C$42, 110.8175, 110.8175)* CHOOSE(CONTROL!$C$21, $C$9, 100%, $E$9)</f>
        <v>110.8175</v>
      </c>
      <c r="K1055" s="53">
        <f>CHOOSE(CONTROL!$C$42, 110.8375, 110.8375) * CHOOSE(CONTROL!$C$21, $C$9, 100%, $E$9)</f>
        <v>110.83750000000001</v>
      </c>
      <c r="L1055" s="10">
        <f>CHOOSE(CONTROL!$C$42, 111.5043, 111.5043) * CHOOSE(CONTROL!$C$21, $C$9, 100%, $E$9)</f>
        <v>111.5043</v>
      </c>
      <c r="M1055" s="10">
        <f>CHOOSE(CONTROL!$C$42, 109.713, 109.713) * CHOOSE(CONTROL!$C$21, $C$9, 100%, $E$9)</f>
        <v>109.71299999999999</v>
      </c>
      <c r="N1055" s="10">
        <f>CHOOSE(CONTROL!$C$42, 109.728, 109.728) * CHOOSE(CONTROL!$C$21, $C$9, 100%, $E$9)</f>
        <v>109.72799999999999</v>
      </c>
      <c r="O1055" s="10">
        <f>CHOOSE(CONTROL!$C$42, 109.8118, 109.8118) * CHOOSE(CONTROL!$C$21, $C$9, 100%, $E$9)</f>
        <v>109.81180000000001</v>
      </c>
      <c r="P1055" s="10">
        <f>CHOOSE(CONTROL!$C$42, 109.7366, 109.7366) * CHOOSE(CONTROL!$C$21, $C$9, 100%, $E$9)</f>
        <v>109.7366</v>
      </c>
      <c r="Q1055" s="10">
        <f>CHOOSE(CONTROL!$C$42, 110.4071, 110.4071) * CHOOSE(CONTROL!$C$21, $C$9, 100%, $E$9)</f>
        <v>110.4071</v>
      </c>
      <c r="R1055" s="10">
        <f>CHOOSE(CONTROL!$C$42, 111.2701, 111.2701) * CHOOSE(CONTROL!$C$21, $C$9, 100%, $E$9)</f>
        <v>111.2701</v>
      </c>
      <c r="S1055" s="10">
        <f>CHOOSE(CONTROL!$C$42, 107.6238, 107.6238) * CHOOSE(CONTROL!$C$21, $C$9, 100%, $E$9)</f>
        <v>107.6238</v>
      </c>
      <c r="T10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57">
        <f>(1000*CHOOSE(CONTROL!$C$42, 695, 695)*CHOOSE(CONTROL!$C$42, 0.5599, 0.5599)*CHOOSE(CONTROL!$C$42, 30, 30))/1000000</f>
        <v>11.673914999999997</v>
      </c>
      <c r="V1055" s="57">
        <f>(1000*CHOOSE(CONTROL!$C$42, 500, 500)*CHOOSE(CONTROL!$C$42, 0.275, 0.275)*CHOOSE(CONTROL!$C$42, 30, 30))/1000000</f>
        <v>4.125</v>
      </c>
      <c r="W1055" s="57">
        <f>(1000*CHOOSE(CONTROL!$C$42, 0.1146, 0.1146)*CHOOSE(CONTROL!$C$42, 121.5, 121.5)*CHOOSE(CONTROL!$C$42, 30, 30))/1000000</f>
        <v>0.417717</v>
      </c>
      <c r="X1055" s="57">
        <f>(30*0.1790888*100000/1000000)+(30*0.2374*100000/1000000)</f>
        <v>1.2494664</v>
      </c>
      <c r="Y1055" s="57"/>
      <c r="Z1055" s="10"/>
      <c r="AA1055" s="56"/>
      <c r="AB1055" s="50">
        <f>(B1055*122.58+C1055*297.941+D1055*89.177+E1055*40.302+F1055*40+G1055*160+H1055*0+I1055*100+J1055*300)/(122.58+297.941+89.177+40.302+0+40+160+100+300)</f>
        <v>110.83816938008695</v>
      </c>
      <c r="AC1055" s="45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109.76203884892087</v>
      </c>
    </row>
    <row r="1056" spans="1:29" ht="15.75" x14ac:dyDescent="0.25">
      <c r="A1056" s="13">
        <v>73050</v>
      </c>
      <c r="B1056" s="10">
        <f>CHOOSE(CONTROL!$C$42, 118.3849, 118.3849) * CHOOSE(CONTROL!$C$21, $C$9, 100%, $E$9)</f>
        <v>118.3849</v>
      </c>
      <c r="C1056" s="10">
        <f>CHOOSE(CONTROL!$C$42, 118.3899, 118.3899) * CHOOSE(CONTROL!$C$21, $C$9, 100%, $E$9)</f>
        <v>118.3899</v>
      </c>
      <c r="D1056" s="10">
        <f>CHOOSE(CONTROL!$C$42, 118.4504, 118.4504) * CHOOSE(CONTROL!$C$21, $C$9, 100%, $E$9)</f>
        <v>118.4504</v>
      </c>
      <c r="E1056" s="10">
        <f>CHOOSE(CONTROL!$C$42, 118.4841, 118.4841) * CHOOSE(CONTROL!$C$21, $C$9, 100%, $E$9)</f>
        <v>118.4841</v>
      </c>
      <c r="F1056" s="10">
        <f>CHOOSE(CONTROL!$C$42, 118.3824, 118.3824)*CHOOSE(CONTROL!$C$21, $C$9, 100%, $E$9)</f>
        <v>118.3824</v>
      </c>
      <c r="G1056" s="10">
        <f>CHOOSE(CONTROL!$C$42, 118.3981, 118.3981)*CHOOSE(CONTROL!$C$21, $C$9, 100%, $E$9)</f>
        <v>118.3981</v>
      </c>
      <c r="H1056" s="10">
        <f>CHOOSE(CONTROL!$C$42, 118.4733, 118.4733) * CHOOSE(CONTROL!$C$21, $C$9, 100%, $E$9)</f>
        <v>118.47329999999999</v>
      </c>
      <c r="I1056" s="10">
        <f>CHOOSE(CONTROL!$C$42, 118.3974, 118.3974)* CHOOSE(CONTROL!$C$21, $C$9, 100%, $E$9)</f>
        <v>118.3974</v>
      </c>
      <c r="J1056" s="10">
        <f>CHOOSE(CONTROL!$C$42, 118.3754, 118.3754)* CHOOSE(CONTROL!$C$21, $C$9, 100%, $E$9)</f>
        <v>118.3754</v>
      </c>
      <c r="K1056" s="53">
        <f>CHOOSE(CONTROL!$C$42, 118.3935, 118.3935) * CHOOSE(CONTROL!$C$21, $C$9, 100%, $E$9)</f>
        <v>118.3935</v>
      </c>
      <c r="L1056" s="10">
        <f>CHOOSE(CONTROL!$C$42, 119.0603, 119.0603) * CHOOSE(CONTROL!$C$21, $C$9, 100%, $E$9)</f>
        <v>119.0603</v>
      </c>
      <c r="M1056" s="10">
        <f>CHOOSE(CONTROL!$C$42, 117.1946, 117.1946) * CHOOSE(CONTROL!$C$21, $C$9, 100%, $E$9)</f>
        <v>117.19459999999999</v>
      </c>
      <c r="N1056" s="10">
        <f>CHOOSE(CONTROL!$C$42, 117.2101, 117.2101) * CHOOSE(CONTROL!$C$21, $C$9, 100%, $E$9)</f>
        <v>117.2101</v>
      </c>
      <c r="O1056" s="10">
        <f>CHOOSE(CONTROL!$C$42, 117.2916, 117.2916) * CHOOSE(CONTROL!$C$21, $C$9, 100%, $E$9)</f>
        <v>117.2916</v>
      </c>
      <c r="P1056" s="10">
        <f>CHOOSE(CONTROL!$C$42, 117.2164, 117.2164) * CHOOSE(CONTROL!$C$21, $C$9, 100%, $E$9)</f>
        <v>117.21639999999999</v>
      </c>
      <c r="Q1056" s="10">
        <f>CHOOSE(CONTROL!$C$42, 117.8869, 117.8869) * CHOOSE(CONTROL!$C$21, $C$9, 100%, $E$9)</f>
        <v>117.8869</v>
      </c>
      <c r="R1056" s="10">
        <f>CHOOSE(CONTROL!$C$42, 118.7686, 118.7686) * CHOOSE(CONTROL!$C$21, $C$9, 100%, $E$9)</f>
        <v>118.76860000000001</v>
      </c>
      <c r="S1056" s="10">
        <f>CHOOSE(CONTROL!$C$42, 114.9614, 114.9614) * CHOOSE(CONTROL!$C$21, $C$9, 100%, $E$9)</f>
        <v>114.9614</v>
      </c>
      <c r="T10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57">
        <f>(1000*CHOOSE(CONTROL!$C$42, 695, 695)*CHOOSE(CONTROL!$C$42, 0.5599, 0.5599)*CHOOSE(CONTROL!$C$42, 31, 31))/1000000</f>
        <v>12.063045499999998</v>
      </c>
      <c r="V1056" s="57">
        <f>(1000*CHOOSE(CONTROL!$C$42, 500, 500)*CHOOSE(CONTROL!$C$42, 0.275, 0.275)*CHOOSE(CONTROL!$C$42, 31, 31))/1000000</f>
        <v>4.2625000000000002</v>
      </c>
      <c r="W1056" s="57">
        <f>(1000*CHOOSE(CONTROL!$C$42, 0.1146, 0.1146)*CHOOSE(CONTROL!$C$42, 121.5, 121.5)*CHOOSE(CONTROL!$C$42, 31, 31))/1000000</f>
        <v>0.43164089999999994</v>
      </c>
      <c r="X1056" s="57">
        <f>(31*0.1790888*100000/1000000)+(31*0.2374*100000/1000000)</f>
        <v>1.2911152800000001</v>
      </c>
      <c r="Y1056" s="57"/>
      <c r="Z1056" s="10"/>
      <c r="AA1056" s="56"/>
      <c r="AB1056" s="50">
        <f>(B1056*122.58+C1056*297.941+D1056*89.177+E1056*40.302+F1056*40+G1056*160+H1056*0+I1056*100+J1056*300)/(122.58+297.941+89.177+40.302+0+40+160+100+300)</f>
        <v>118.39510935382609</v>
      </c>
      <c r="AC1056" s="45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117.24259280575539</v>
      </c>
    </row>
    <row r="1057" spans="1:29" ht="15.75" x14ac:dyDescent="0.25">
      <c r="A1057" s="13">
        <v>73081</v>
      </c>
      <c r="B1057" s="10">
        <f>CHOOSE(CONTROL!$C$42, 128.0848, 128.0848) * CHOOSE(CONTROL!$C$21, $C$9, 100%, $E$9)</f>
        <v>128.0848</v>
      </c>
      <c r="C1057" s="10">
        <f>CHOOSE(CONTROL!$C$42, 128.0897, 128.0897) * CHOOSE(CONTROL!$C$21, $C$9, 100%, $E$9)</f>
        <v>128.08969999999999</v>
      </c>
      <c r="D1057" s="10">
        <f>CHOOSE(CONTROL!$C$42, 128.1468, 128.1468) * CHOOSE(CONTROL!$C$21, $C$9, 100%, $E$9)</f>
        <v>128.14680000000001</v>
      </c>
      <c r="E1057" s="10">
        <f>CHOOSE(CONTROL!$C$42, 128.1806, 128.1806) * CHOOSE(CONTROL!$C$21, $C$9, 100%, $E$9)</f>
        <v>128.1806</v>
      </c>
      <c r="F1057" s="10">
        <f>CHOOSE(CONTROL!$C$42, 128.0826, 128.0826)*CHOOSE(CONTROL!$C$21, $C$9, 100%, $E$9)</f>
        <v>128.08260000000001</v>
      </c>
      <c r="G1057" s="10">
        <f>CHOOSE(CONTROL!$C$42, 128.0972, 128.0972)*CHOOSE(CONTROL!$C$21, $C$9, 100%, $E$9)</f>
        <v>128.09719999999999</v>
      </c>
      <c r="H1057" s="10">
        <f>CHOOSE(CONTROL!$C$42, 128.1698, 128.1698) * CHOOSE(CONTROL!$C$21, $C$9, 100%, $E$9)</f>
        <v>128.16980000000001</v>
      </c>
      <c r="I1057" s="10">
        <f>CHOOSE(CONTROL!$C$42, 128.0956, 128.0956)* CHOOSE(CONTROL!$C$21, $C$9, 100%, $E$9)</f>
        <v>128.09559999999999</v>
      </c>
      <c r="J1057" s="10">
        <f>CHOOSE(CONTROL!$C$42, 128.0756, 128.0756)* CHOOSE(CONTROL!$C$21, $C$9, 100%, $E$9)</f>
        <v>128.07560000000001</v>
      </c>
      <c r="K1057" s="53">
        <f>CHOOSE(CONTROL!$C$42, 128.0917, 128.0917) * CHOOSE(CONTROL!$C$21, $C$9, 100%, $E$9)</f>
        <v>128.0917</v>
      </c>
      <c r="L1057" s="10">
        <f>CHOOSE(CONTROL!$C$42, 128.7568, 128.7568) * CHOOSE(CONTROL!$C$21, $C$9, 100%, $E$9)</f>
        <v>128.7568</v>
      </c>
      <c r="M1057" s="10">
        <f>CHOOSE(CONTROL!$C$42, 126.7969, 126.7969) * CHOOSE(CONTROL!$C$21, $C$9, 100%, $E$9)</f>
        <v>126.79689999999999</v>
      </c>
      <c r="N1057" s="10">
        <f>CHOOSE(CONTROL!$C$42, 126.8114, 126.8114) * CHOOSE(CONTROL!$C$21, $C$9, 100%, $E$9)</f>
        <v>126.81140000000001</v>
      </c>
      <c r="O1057" s="10">
        <f>CHOOSE(CONTROL!$C$42, 126.8901, 126.8901) * CHOOSE(CONTROL!$C$21, $C$9, 100%, $E$9)</f>
        <v>126.8901</v>
      </c>
      <c r="P1057" s="10">
        <f>CHOOSE(CONTROL!$C$42, 126.8167, 126.8167) * CHOOSE(CONTROL!$C$21, $C$9, 100%, $E$9)</f>
        <v>126.8167</v>
      </c>
      <c r="Q1057" s="10">
        <f>CHOOSE(CONTROL!$C$42, 127.4854, 127.4854) * CHOOSE(CONTROL!$C$21, $C$9, 100%, $E$9)</f>
        <v>127.4854</v>
      </c>
      <c r="R1057" s="10">
        <f>CHOOSE(CONTROL!$C$42, 128.3911, 128.3911) * CHOOSE(CONTROL!$C$21, $C$9, 100%, $E$9)</f>
        <v>128.39109999999999</v>
      </c>
      <c r="S1057" s="10">
        <f>CHOOSE(CONTROL!$C$42, 124.381, 124.381) * CHOOSE(CONTROL!$C$21, $C$9, 100%, $E$9)</f>
        <v>124.381</v>
      </c>
      <c r="T10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57" s="57">
        <f>(1000*CHOOSE(CONTROL!$C$42, 695, 695)*CHOOSE(CONTROL!$C$42, 0.5599, 0.5599)*CHOOSE(CONTROL!$C$42, 31, 31))/1000000</f>
        <v>12.063045499999998</v>
      </c>
      <c r="V1057" s="57">
        <f>(1000*CHOOSE(CONTROL!$C$42, 500, 500)*CHOOSE(CONTROL!$C$42, 0.275, 0.275)*CHOOSE(CONTROL!$C$42, 31, 31))/1000000</f>
        <v>4.2625000000000002</v>
      </c>
      <c r="W1057" s="57">
        <f>(1000*CHOOSE(CONTROL!$C$42, 0.1146, 0.1146)*CHOOSE(CONTROL!$C$42, 121.5, 121.5)*CHOOSE(CONTROL!$C$42, 31, 31))/1000000</f>
        <v>0.43164089999999994</v>
      </c>
      <c r="X1057" s="57">
        <f>(31*0.1790888*100000/1000000)+(31*0.2374*100000/1000000)</f>
        <v>1.2911152800000001</v>
      </c>
      <c r="Y1057" s="57"/>
      <c r="Z1057" s="10"/>
      <c r="AA1057" s="56"/>
      <c r="AB1057" s="50">
        <f>(B1057*122.58+C1057*297.941+D1057*89.177+E1057*40.302+F1057*40+G1057*160+H1057*0+I1057*100+J1057*300)/(122.58+297.941+89.177+40.302+0+40+160+100+300)</f>
        <v>128.09442244913043</v>
      </c>
      <c r="AC1057" s="45">
        <f>(M1057*'RAP TEMPLATE-GAS AVAILABILITY'!O1056+N1057*'RAP TEMPLATE-GAS AVAILABILITY'!P1056+O1057*'RAP TEMPLATE-GAS AVAILABILITY'!Q1056+P1057*'RAP TEMPLATE-GAS AVAILABILITY'!R1056)/('RAP TEMPLATE-GAS AVAILABILITY'!O1056+'RAP TEMPLATE-GAS AVAILABILITY'!P1056+'RAP TEMPLATE-GAS AVAILABILITY'!Q1056+'RAP TEMPLATE-GAS AVAILABILITY'!R1056)</f>
        <v>126.84282517985612</v>
      </c>
    </row>
    <row r="1058" spans="1:29" ht="15.75" x14ac:dyDescent="0.25">
      <c r="A1058" s="13">
        <v>73109</v>
      </c>
      <c r="B1058" s="10">
        <f>CHOOSE(CONTROL!$C$42, 130.3648, 130.3648) * CHOOSE(CONTROL!$C$21, $C$9, 100%, $E$9)</f>
        <v>130.3648</v>
      </c>
      <c r="C1058" s="10">
        <f>CHOOSE(CONTROL!$C$42, 130.3698, 130.3698) * CHOOSE(CONTROL!$C$21, $C$9, 100%, $E$9)</f>
        <v>130.3698</v>
      </c>
      <c r="D1058" s="10">
        <f>CHOOSE(CONTROL!$C$42, 130.4268, 130.4268) * CHOOSE(CONTROL!$C$21, $C$9, 100%, $E$9)</f>
        <v>130.42679999999999</v>
      </c>
      <c r="E1058" s="10">
        <f>CHOOSE(CONTROL!$C$42, 130.4606, 130.4606) * CHOOSE(CONTROL!$C$21, $C$9, 100%, $E$9)</f>
        <v>130.4606</v>
      </c>
      <c r="F1058" s="10">
        <f>CHOOSE(CONTROL!$C$42, 130.3627, 130.3627)*CHOOSE(CONTROL!$C$21, $C$9, 100%, $E$9)</f>
        <v>130.36269999999999</v>
      </c>
      <c r="G1058" s="10">
        <f>CHOOSE(CONTROL!$C$42, 130.3774, 130.3774)*CHOOSE(CONTROL!$C$21, $C$9, 100%, $E$9)</f>
        <v>130.37739999999999</v>
      </c>
      <c r="H1058" s="10">
        <f>CHOOSE(CONTROL!$C$42, 130.4498, 130.4498) * CHOOSE(CONTROL!$C$21, $C$9, 100%, $E$9)</f>
        <v>130.44980000000001</v>
      </c>
      <c r="I1058" s="10">
        <f>CHOOSE(CONTROL!$C$42, 130.3756, 130.3756)* CHOOSE(CONTROL!$C$21, $C$9, 100%, $E$9)</f>
        <v>130.37559999999999</v>
      </c>
      <c r="J1058" s="10">
        <f>CHOOSE(CONTROL!$C$42, 130.3557, 130.3557)* CHOOSE(CONTROL!$C$21, $C$9, 100%, $E$9)</f>
        <v>130.35570000000001</v>
      </c>
      <c r="K1058" s="53">
        <f>CHOOSE(CONTROL!$C$42, 130.3717, 130.3717) * CHOOSE(CONTROL!$C$21, $C$9, 100%, $E$9)</f>
        <v>130.3717</v>
      </c>
      <c r="L1058" s="10">
        <f>CHOOSE(CONTROL!$C$42, 131.0368, 131.0368) * CHOOSE(CONTROL!$C$21, $C$9, 100%, $E$9)</f>
        <v>131.0368</v>
      </c>
      <c r="M1058" s="10">
        <f>CHOOSE(CONTROL!$C$42, 129.0541, 129.0541) * CHOOSE(CONTROL!$C$21, $C$9, 100%, $E$9)</f>
        <v>129.05410000000001</v>
      </c>
      <c r="N1058" s="10">
        <f>CHOOSE(CONTROL!$C$42, 129.0686, 129.0686) * CHOOSE(CONTROL!$C$21, $C$9, 100%, $E$9)</f>
        <v>129.0686</v>
      </c>
      <c r="O1058" s="10">
        <f>CHOOSE(CONTROL!$C$42, 129.1472, 129.1472) * CHOOSE(CONTROL!$C$21, $C$9, 100%, $E$9)</f>
        <v>129.1472</v>
      </c>
      <c r="P1058" s="10">
        <f>CHOOSE(CONTROL!$C$42, 129.0738, 129.0738) * CHOOSE(CONTROL!$C$21, $C$9, 100%, $E$9)</f>
        <v>129.07380000000001</v>
      </c>
      <c r="Q1058" s="10">
        <f>CHOOSE(CONTROL!$C$42, 129.7425, 129.7425) * CHOOSE(CONTROL!$C$21, $C$9, 100%, $E$9)</f>
        <v>129.74250000000001</v>
      </c>
      <c r="R1058" s="10">
        <f>CHOOSE(CONTROL!$C$42, 130.6538, 130.6538) * CHOOSE(CONTROL!$C$21, $C$9, 100%, $E$9)</f>
        <v>130.65379999999999</v>
      </c>
      <c r="S1058" s="10">
        <f>CHOOSE(CONTROL!$C$42, 126.5951, 126.5951) * CHOOSE(CONTROL!$C$21, $C$9, 100%, $E$9)</f>
        <v>126.5951</v>
      </c>
      <c r="T105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58" s="57">
        <f>(1000*CHOOSE(CONTROL!$C$42, 695, 695)*CHOOSE(CONTROL!$C$42, 0.5599, 0.5599)*CHOOSE(CONTROL!$C$42, 29, 29))/1000000</f>
        <v>11.284784499999999</v>
      </c>
      <c r="V1058" s="57">
        <f>(1000*CHOOSE(CONTROL!$C$42, 500, 500)*CHOOSE(CONTROL!$C$42, 0.275, 0.275)*CHOOSE(CONTROL!$C$42, 29, 29))/1000000</f>
        <v>3.9874999999999998</v>
      </c>
      <c r="W1058" s="57">
        <f>(1000*CHOOSE(CONTROL!$C$42, 0.1146, 0.1146)*CHOOSE(CONTROL!$C$42, 121.5, 121.5)*CHOOSE(CONTROL!$C$42, 29, 29))/1000000</f>
        <v>0.40379309999999996</v>
      </c>
      <c r="X1058" s="57">
        <f>(28*0.1790888*100000/1000000)+(28*0.2374*100000/1000000)</f>
        <v>1.16616864</v>
      </c>
      <c r="Y1058" s="57"/>
      <c r="Z1058" s="10"/>
      <c r="AA1058" s="56"/>
      <c r="AB1058" s="50">
        <f>(B1058*122.58+C1058*297.941+D1058*89.177+E1058*40.302+F1058*40+G1058*160+H1058*0+I1058*100+J1058*300)/(122.58+297.941+89.177+40.302+0+40+160+100+300)</f>
        <v>130.37450574834781</v>
      </c>
      <c r="AC1058" s="45">
        <f>(M1058*'RAP TEMPLATE-GAS AVAILABILITY'!O1057+N1058*'RAP TEMPLATE-GAS AVAILABILITY'!P1057+O1058*'RAP TEMPLATE-GAS AVAILABILITY'!Q1057+P1058*'RAP TEMPLATE-GAS AVAILABILITY'!R1057)/('RAP TEMPLATE-GAS AVAILABILITY'!O1057+'RAP TEMPLATE-GAS AVAILABILITY'!P1057+'RAP TEMPLATE-GAS AVAILABILITY'!Q1057+'RAP TEMPLATE-GAS AVAILABILITY'!R1057)</f>
        <v>129.09996546762591</v>
      </c>
    </row>
    <row r="1059" spans="1:29" ht="15.75" x14ac:dyDescent="0.25">
      <c r="A1059" s="13">
        <v>73140</v>
      </c>
      <c r="B1059" s="10">
        <f>CHOOSE(CONTROL!$C$42, 126.6637, 126.6637) * CHOOSE(CONTROL!$C$21, $C$9, 100%, $E$9)</f>
        <v>126.66370000000001</v>
      </c>
      <c r="C1059" s="10">
        <f>CHOOSE(CONTROL!$C$42, 126.6687, 126.6687) * CHOOSE(CONTROL!$C$21, $C$9, 100%, $E$9)</f>
        <v>126.6687</v>
      </c>
      <c r="D1059" s="10">
        <f>CHOOSE(CONTROL!$C$42, 126.7258, 126.7258) * CHOOSE(CONTROL!$C$21, $C$9, 100%, $E$9)</f>
        <v>126.72580000000001</v>
      </c>
      <c r="E1059" s="10">
        <f>CHOOSE(CONTROL!$C$42, 126.7595, 126.7595) * CHOOSE(CONTROL!$C$21, $C$9, 100%, $E$9)</f>
        <v>126.7595</v>
      </c>
      <c r="F1059" s="10">
        <f>CHOOSE(CONTROL!$C$42, 126.6616, 126.6616)*CHOOSE(CONTROL!$C$21, $C$9, 100%, $E$9)</f>
        <v>126.66160000000001</v>
      </c>
      <c r="G1059" s="10">
        <f>CHOOSE(CONTROL!$C$42, 126.6762, 126.6762)*CHOOSE(CONTROL!$C$21, $C$9, 100%, $E$9)</f>
        <v>126.67619999999999</v>
      </c>
      <c r="H1059" s="10">
        <f>CHOOSE(CONTROL!$C$42, 126.7487, 126.7487) * CHOOSE(CONTROL!$C$21, $C$9, 100%, $E$9)</f>
        <v>126.7487</v>
      </c>
      <c r="I1059" s="10">
        <f>CHOOSE(CONTROL!$C$42, 126.6745, 126.6745)* CHOOSE(CONTROL!$C$21, $C$9, 100%, $E$9)</f>
        <v>126.67449999999999</v>
      </c>
      <c r="J1059" s="10">
        <f>CHOOSE(CONTROL!$C$42, 126.6546, 126.6546)* CHOOSE(CONTROL!$C$21, $C$9, 100%, $E$9)</f>
        <v>126.6546</v>
      </c>
      <c r="K1059" s="53">
        <f>CHOOSE(CONTROL!$C$42, 126.6707, 126.6707) * CHOOSE(CONTROL!$C$21, $C$9, 100%, $E$9)</f>
        <v>126.6707</v>
      </c>
      <c r="L1059" s="10">
        <f>CHOOSE(CONTROL!$C$42, 127.3357, 127.3357) * CHOOSE(CONTROL!$C$21, $C$9, 100%, $E$9)</f>
        <v>127.3357</v>
      </c>
      <c r="M1059" s="10">
        <f>CHOOSE(CONTROL!$C$42, 125.3902, 125.3902) * CHOOSE(CONTROL!$C$21, $C$9, 100%, $E$9)</f>
        <v>125.39019999999999</v>
      </c>
      <c r="N1059" s="10">
        <f>CHOOSE(CONTROL!$C$42, 125.4047, 125.4047) * CHOOSE(CONTROL!$C$21, $C$9, 100%, $E$9)</f>
        <v>125.40470000000001</v>
      </c>
      <c r="O1059" s="10">
        <f>CHOOSE(CONTROL!$C$42, 125.4835, 125.4835) * CHOOSE(CONTROL!$C$21, $C$9, 100%, $E$9)</f>
        <v>125.48350000000001</v>
      </c>
      <c r="P1059" s="10">
        <f>CHOOSE(CONTROL!$C$42, 125.41, 125.41) * CHOOSE(CONTROL!$C$21, $C$9, 100%, $E$9)</f>
        <v>125.41</v>
      </c>
      <c r="Q1059" s="10">
        <f>CHOOSE(CONTROL!$C$42, 126.0788, 126.0788) * CHOOSE(CONTROL!$C$21, $C$9, 100%, $E$9)</f>
        <v>126.0788</v>
      </c>
      <c r="R1059" s="10">
        <f>CHOOSE(CONTROL!$C$42, 126.9809, 126.9809) * CHOOSE(CONTROL!$C$21, $C$9, 100%, $E$9)</f>
        <v>126.98090000000001</v>
      </c>
      <c r="S1059" s="10">
        <f>CHOOSE(CONTROL!$C$42, 123.001, 123.001) * CHOOSE(CONTROL!$C$21, $C$9, 100%, $E$9)</f>
        <v>123.001</v>
      </c>
      <c r="T10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59" s="57">
        <f>(1000*CHOOSE(CONTROL!$C$42, 695, 695)*CHOOSE(CONTROL!$C$42, 0.5599, 0.5599)*CHOOSE(CONTROL!$C$42, 31, 31))/1000000</f>
        <v>12.063045499999998</v>
      </c>
      <c r="V1059" s="57">
        <f>(1000*CHOOSE(CONTROL!$C$42, 500, 500)*CHOOSE(CONTROL!$C$42, 0.275, 0.275)*CHOOSE(CONTROL!$C$42, 31, 31))/1000000</f>
        <v>4.2625000000000002</v>
      </c>
      <c r="W1059" s="57">
        <f>(1000*CHOOSE(CONTROL!$C$42, 0.1146, 0.1146)*CHOOSE(CONTROL!$C$42, 121.5, 121.5)*CHOOSE(CONTROL!$C$42, 31, 31))/1000000</f>
        <v>0.43164089999999994</v>
      </c>
      <c r="X1059" s="57">
        <f>(31*0.1790888*100000/1000000)+(31*0.2374*100000/1000000)</f>
        <v>1.2911152800000001</v>
      </c>
      <c r="Y1059" s="57"/>
      <c r="Z1059" s="10"/>
      <c r="AA1059" s="56"/>
      <c r="AB1059" s="50">
        <f>(B1059*122.58+C1059*297.941+D1059*89.177+E1059*40.302+F1059*40+G1059*160+H1059*0+I1059*100+J1059*300)/(122.58+297.941+89.177+40.302+0+40+160+100+300)</f>
        <v>126.67339958982608</v>
      </c>
      <c r="AC1059" s="45">
        <f>(M1059*'RAP TEMPLATE-GAS AVAILABILITY'!O1058+N1059*'RAP TEMPLATE-GAS AVAILABILITY'!P1058+O1059*'RAP TEMPLATE-GAS AVAILABILITY'!Q1058+P1059*'RAP TEMPLATE-GAS AVAILABILITY'!R1058)/('RAP TEMPLATE-GAS AVAILABILITY'!O1058+'RAP TEMPLATE-GAS AVAILABILITY'!P1058+'RAP TEMPLATE-GAS AVAILABILITY'!Q1058+'RAP TEMPLATE-GAS AVAILABILITY'!R1058)</f>
        <v>125.43617050359713</v>
      </c>
    </row>
    <row r="1060" spans="1:29" ht="15.75" x14ac:dyDescent="0.25">
      <c r="A1060" s="13">
        <v>73170</v>
      </c>
      <c r="B1060" s="10">
        <f>CHOOSE(CONTROL!$C$42, 126.2857, 126.2857) * CHOOSE(CONTROL!$C$21, $C$9, 100%, $E$9)</f>
        <v>126.28570000000001</v>
      </c>
      <c r="C1060" s="10">
        <f>CHOOSE(CONTROL!$C$42, 126.29, 126.29) * CHOOSE(CONTROL!$C$21, $C$9, 100%, $E$9)</f>
        <v>126.29</v>
      </c>
      <c r="D1060" s="10">
        <f>CHOOSE(CONTROL!$C$42, 126.4959, 126.4959) * CHOOSE(CONTROL!$C$21, $C$9, 100%, $E$9)</f>
        <v>126.49590000000001</v>
      </c>
      <c r="E1060" s="10">
        <f>CHOOSE(CONTROL!$C$42, 126.5277, 126.5277) * CHOOSE(CONTROL!$C$21, $C$9, 100%, $E$9)</f>
        <v>126.5277</v>
      </c>
      <c r="F1060" s="10">
        <f>CHOOSE(CONTROL!$C$42, 126.2624, 126.2624)*CHOOSE(CONTROL!$C$21, $C$9, 100%, $E$9)</f>
        <v>126.2624</v>
      </c>
      <c r="G1060" s="10">
        <f>CHOOSE(CONTROL!$C$42, 126.277, 126.277)*CHOOSE(CONTROL!$C$21, $C$9, 100%, $E$9)</f>
        <v>126.277</v>
      </c>
      <c r="H1060" s="10">
        <f>CHOOSE(CONTROL!$C$42, 126.5175, 126.5175) * CHOOSE(CONTROL!$C$21, $C$9, 100%, $E$9)</f>
        <v>126.5175</v>
      </c>
      <c r="I1060" s="10">
        <f>CHOOSE(CONTROL!$C$42, 126.2871, 126.2871)* CHOOSE(CONTROL!$C$21, $C$9, 100%, $E$9)</f>
        <v>126.2871</v>
      </c>
      <c r="J1060" s="10">
        <f>CHOOSE(CONTROL!$C$42, 126.2554, 126.2554)* CHOOSE(CONTROL!$C$21, $C$9, 100%, $E$9)</f>
        <v>126.25539999999999</v>
      </c>
      <c r="K1060" s="53">
        <f>CHOOSE(CONTROL!$C$42, 126.2832, 126.2832) * CHOOSE(CONTROL!$C$21, $C$9, 100%, $E$9)</f>
        <v>126.28319999999999</v>
      </c>
      <c r="L1060" s="10">
        <f>CHOOSE(CONTROL!$C$42, 127.1045, 127.1045) * CHOOSE(CONTROL!$C$21, $C$9, 100%, $E$9)</f>
        <v>127.1045</v>
      </c>
      <c r="M1060" s="10">
        <f>CHOOSE(CONTROL!$C$42, 124.9951, 124.9951) * CHOOSE(CONTROL!$C$21, $C$9, 100%, $E$9)</f>
        <v>124.99509999999999</v>
      </c>
      <c r="N1060" s="10">
        <f>CHOOSE(CONTROL!$C$42, 125.0095, 125.0095) * CHOOSE(CONTROL!$C$21, $C$9, 100%, $E$9)</f>
        <v>125.0095</v>
      </c>
      <c r="O1060" s="10">
        <f>CHOOSE(CONTROL!$C$42, 125.2545, 125.2545) * CHOOSE(CONTROL!$C$21, $C$9, 100%, $E$9)</f>
        <v>125.25449999999999</v>
      </c>
      <c r="P1060" s="10">
        <f>CHOOSE(CONTROL!$C$42, 125.0265, 125.0265) * CHOOSE(CONTROL!$C$21, $C$9, 100%, $E$9)</f>
        <v>125.0265</v>
      </c>
      <c r="Q1060" s="10">
        <f>CHOOSE(CONTROL!$C$42, 125.8498, 125.8498) * CHOOSE(CONTROL!$C$21, $C$9, 100%, $E$9)</f>
        <v>125.8498</v>
      </c>
      <c r="R1060" s="10">
        <f>CHOOSE(CONTROL!$C$42, 126.7514, 126.7514) * CHOOSE(CONTROL!$C$21, $C$9, 100%, $E$9)</f>
        <v>126.7514</v>
      </c>
      <c r="S1060" s="10">
        <f>CHOOSE(CONTROL!$C$42, 122.6331, 122.6331) * CHOOSE(CONTROL!$C$21, $C$9, 100%, $E$9)</f>
        <v>122.6331</v>
      </c>
      <c r="T10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60" s="57">
        <f>(1000*CHOOSE(CONTROL!$C$42, 695, 695)*CHOOSE(CONTROL!$C$42, 0.5599, 0.5599)*CHOOSE(CONTROL!$C$42, 30, 30))/1000000</f>
        <v>11.673914999999997</v>
      </c>
      <c r="V1060" s="57">
        <f>(1000*CHOOSE(CONTROL!$C$42, 500, 500)*CHOOSE(CONTROL!$C$42, 0.275, 0.275)*CHOOSE(CONTROL!$C$42, 30, 30))/1000000</f>
        <v>4.125</v>
      </c>
      <c r="W1060" s="57">
        <f>(1000*CHOOSE(CONTROL!$C$42, 0.1146, 0.1146)*CHOOSE(CONTROL!$C$42, 121.5, 121.5)*CHOOSE(CONTROL!$C$42, 30, 30))/1000000</f>
        <v>0.417717</v>
      </c>
      <c r="X1060" s="57">
        <f>(30*0.1790888*245000/1000000)+(30*0.2374*100000/1000000)</f>
        <v>2.0285026799999999</v>
      </c>
      <c r="Y1060" s="57"/>
      <c r="Z1060" s="10"/>
      <c r="AA1060" s="56"/>
      <c r="AB1060" s="50">
        <f>(B1060*141.293+C1060*267.993+D1060*115.016+E1060*89.698+F1060*40+G1060*185+H1060*0+I1060*100+J1060*300)/(141.293+267.993+115.016+89.698+0+40+185+100+300)</f>
        <v>126.3143877716707</v>
      </c>
      <c r="AC1060" s="45">
        <f>(M1060*'RAP TEMPLATE-GAS AVAILABILITY'!O1059+N1060*'RAP TEMPLATE-GAS AVAILABILITY'!P1059+O1060*'RAP TEMPLATE-GAS AVAILABILITY'!Q1059+P1060*'RAP TEMPLATE-GAS AVAILABILITY'!R1059)/('RAP TEMPLATE-GAS AVAILABILITY'!O1059+'RAP TEMPLATE-GAS AVAILABILITY'!P1059+'RAP TEMPLATE-GAS AVAILABILITY'!Q1059+'RAP TEMPLATE-GAS AVAILABILITY'!R1059)</f>
        <v>125.11801654676258</v>
      </c>
    </row>
    <row r="1061" spans="1:29" ht="15.75" x14ac:dyDescent="0.25">
      <c r="A1061" s="13">
        <v>73201</v>
      </c>
      <c r="B1061" s="10">
        <f>CHOOSE(CONTROL!$C$42, 127.4016, 127.4016) * CHOOSE(CONTROL!$C$21, $C$9, 100%, $E$9)</f>
        <v>127.4016</v>
      </c>
      <c r="C1061" s="10">
        <f>CHOOSE(CONTROL!$C$42, 127.4096, 127.4096) * CHOOSE(CONTROL!$C$21, $C$9, 100%, $E$9)</f>
        <v>127.4096</v>
      </c>
      <c r="D1061" s="10">
        <f>CHOOSE(CONTROL!$C$42, 127.6123, 127.6123) * CHOOSE(CONTROL!$C$21, $C$9, 100%, $E$9)</f>
        <v>127.6123</v>
      </c>
      <c r="E1061" s="10">
        <f>CHOOSE(CONTROL!$C$42, 127.6434, 127.6434) * CHOOSE(CONTROL!$C$21, $C$9, 100%, $E$9)</f>
        <v>127.6434</v>
      </c>
      <c r="F1061" s="10">
        <f>CHOOSE(CONTROL!$C$42, 127.3774, 127.3774)*CHOOSE(CONTROL!$C$21, $C$9, 100%, $E$9)</f>
        <v>127.37739999999999</v>
      </c>
      <c r="G1061" s="10">
        <f>CHOOSE(CONTROL!$C$42, 127.3924, 127.3924)*CHOOSE(CONTROL!$C$21, $C$9, 100%, $E$9)</f>
        <v>127.39239999999999</v>
      </c>
      <c r="H1061" s="10">
        <f>CHOOSE(CONTROL!$C$42, 127.6321, 127.6321) * CHOOSE(CONTROL!$C$21, $C$9, 100%, $E$9)</f>
        <v>127.63209999999999</v>
      </c>
      <c r="I1061" s="10">
        <f>CHOOSE(CONTROL!$C$42, 127.4017, 127.4017)* CHOOSE(CONTROL!$C$21, $C$9, 100%, $E$9)</f>
        <v>127.40170000000001</v>
      </c>
      <c r="J1061" s="10">
        <f>CHOOSE(CONTROL!$C$42, 127.3704, 127.3704)* CHOOSE(CONTROL!$C$21, $C$9, 100%, $E$9)</f>
        <v>127.3704</v>
      </c>
      <c r="K1061" s="53">
        <f>CHOOSE(CONTROL!$C$42, 127.3978, 127.3978) * CHOOSE(CONTROL!$C$21, $C$9, 100%, $E$9)</f>
        <v>127.3978</v>
      </c>
      <c r="L1061" s="10">
        <f>CHOOSE(CONTROL!$C$42, 128.2191, 128.2191) * CHOOSE(CONTROL!$C$21, $C$9, 100%, $E$9)</f>
        <v>128.2191</v>
      </c>
      <c r="M1061" s="10">
        <f>CHOOSE(CONTROL!$C$42, 126.0988, 126.0988) * CHOOSE(CONTROL!$C$21, $C$9, 100%, $E$9)</f>
        <v>126.0988</v>
      </c>
      <c r="N1061" s="10">
        <f>CHOOSE(CONTROL!$C$42, 126.1136, 126.1136) * CHOOSE(CONTROL!$C$21, $C$9, 100%, $E$9)</f>
        <v>126.11360000000001</v>
      </c>
      <c r="O1061" s="10">
        <f>CHOOSE(CONTROL!$C$42, 126.3579, 126.3579) * CHOOSE(CONTROL!$C$21, $C$9, 100%, $E$9)</f>
        <v>126.3579</v>
      </c>
      <c r="P1061" s="10">
        <f>CHOOSE(CONTROL!$C$42, 126.1298, 126.1298) * CHOOSE(CONTROL!$C$21, $C$9, 100%, $E$9)</f>
        <v>126.1298</v>
      </c>
      <c r="Q1061" s="10">
        <f>CHOOSE(CONTROL!$C$42, 126.9532, 126.9532) * CHOOSE(CONTROL!$C$21, $C$9, 100%, $E$9)</f>
        <v>126.9532</v>
      </c>
      <c r="R1061" s="10">
        <f>CHOOSE(CONTROL!$C$42, 127.8575, 127.8575) * CHOOSE(CONTROL!$C$21, $C$9, 100%, $E$9)</f>
        <v>127.8575</v>
      </c>
      <c r="S1061" s="10">
        <f>CHOOSE(CONTROL!$C$42, 123.7155, 123.7155) * CHOOSE(CONTROL!$C$21, $C$9, 100%, $E$9)</f>
        <v>123.71550000000001</v>
      </c>
      <c r="T10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61" s="57">
        <f>(1000*CHOOSE(CONTROL!$C$42, 695, 695)*CHOOSE(CONTROL!$C$42, 0.5599, 0.5599)*CHOOSE(CONTROL!$C$42, 31, 31))/1000000</f>
        <v>12.063045499999998</v>
      </c>
      <c r="V1061" s="57">
        <f>(1000*CHOOSE(CONTROL!$C$42, 500, 500)*CHOOSE(CONTROL!$C$42, 0.275, 0.275)*CHOOSE(CONTROL!$C$42, 31, 31))/1000000</f>
        <v>4.2625000000000002</v>
      </c>
      <c r="W1061" s="57">
        <f>(1000*CHOOSE(CONTROL!$C$42, 0.1146, 0.1146)*CHOOSE(CONTROL!$C$42, 121.5, 121.5)*CHOOSE(CONTROL!$C$42, 31, 31))/1000000</f>
        <v>0.43164089999999994</v>
      </c>
      <c r="X1061" s="57">
        <f>(31*0.1790888*245000/1000000)+(31*0.2374*100000/1000000)</f>
        <v>2.0961194359999999</v>
      </c>
      <c r="Y1061" s="57"/>
      <c r="Z1061" s="10"/>
      <c r="AA1061" s="56"/>
      <c r="AB1061" s="50">
        <f>(B1061*194.205+C1061*267.466+D1061*133.845+E1061*53.484+F1061*40+G1061*185+H1061*0+I1061*100+J1061*300)/(194.205+267.466+133.845+53.484+0+40+185+100+300)</f>
        <v>127.42613163320252</v>
      </c>
      <c r="AC1061" s="45">
        <f>(M1061*'RAP TEMPLATE-GAS AVAILABILITY'!O1060+N1061*'RAP TEMPLATE-GAS AVAILABILITY'!P1060+O1061*'RAP TEMPLATE-GAS AVAILABILITY'!Q1060+P1061*'RAP TEMPLATE-GAS AVAILABILITY'!R1060)/('RAP TEMPLATE-GAS AVAILABILITY'!O1060+'RAP TEMPLATE-GAS AVAILABILITY'!P1060+'RAP TEMPLATE-GAS AVAILABILITY'!Q1060+'RAP TEMPLATE-GAS AVAILABILITY'!R1060)</f>
        <v>126.22154604316546</v>
      </c>
    </row>
    <row r="1062" spans="1:29" ht="15.75" x14ac:dyDescent="0.25">
      <c r="A1062" s="13">
        <v>73231</v>
      </c>
      <c r="B1062" s="10">
        <f>CHOOSE(CONTROL!$C$42, 131.0154, 131.0154) * CHOOSE(CONTROL!$C$21, $C$9, 100%, $E$9)</f>
        <v>131.0154</v>
      </c>
      <c r="C1062" s="10">
        <f>CHOOSE(CONTROL!$C$42, 131.0233, 131.0233) * CHOOSE(CONTROL!$C$21, $C$9, 100%, $E$9)</f>
        <v>131.02330000000001</v>
      </c>
      <c r="D1062" s="10">
        <f>CHOOSE(CONTROL!$C$42, 131.2261, 131.2261) * CHOOSE(CONTROL!$C$21, $C$9, 100%, $E$9)</f>
        <v>131.2261</v>
      </c>
      <c r="E1062" s="10">
        <f>CHOOSE(CONTROL!$C$42, 131.2572, 131.2572) * CHOOSE(CONTROL!$C$21, $C$9, 100%, $E$9)</f>
        <v>131.25720000000001</v>
      </c>
      <c r="F1062" s="10">
        <f>CHOOSE(CONTROL!$C$42, 130.9917, 130.9917)*CHOOSE(CONTROL!$C$21, $C$9, 100%, $E$9)</f>
        <v>130.99170000000001</v>
      </c>
      <c r="G1062" s="10">
        <f>CHOOSE(CONTROL!$C$42, 131.0068, 131.0068)*CHOOSE(CONTROL!$C$21, $C$9, 100%, $E$9)</f>
        <v>131.0068</v>
      </c>
      <c r="H1062" s="10">
        <f>CHOOSE(CONTROL!$C$42, 131.2458, 131.2458) * CHOOSE(CONTROL!$C$21, $C$9, 100%, $E$9)</f>
        <v>131.2458</v>
      </c>
      <c r="I1062" s="10">
        <f>CHOOSE(CONTROL!$C$42, 131.0155, 131.0155)* CHOOSE(CONTROL!$C$21, $C$9, 100%, $E$9)</f>
        <v>131.0155</v>
      </c>
      <c r="J1062" s="10">
        <f>CHOOSE(CONTROL!$C$42, 130.9847, 130.9847)* CHOOSE(CONTROL!$C$21, $C$9, 100%, $E$9)</f>
        <v>130.9847</v>
      </c>
      <c r="K1062" s="53">
        <f>CHOOSE(CONTROL!$C$42, 131.0116, 131.0116) * CHOOSE(CONTROL!$C$21, $C$9, 100%, $E$9)</f>
        <v>131.01159999999999</v>
      </c>
      <c r="L1062" s="10">
        <f>CHOOSE(CONTROL!$C$42, 131.8328, 131.8328) * CHOOSE(CONTROL!$C$21, $C$9, 100%, $E$9)</f>
        <v>131.83279999999999</v>
      </c>
      <c r="M1062" s="10">
        <f>CHOOSE(CONTROL!$C$42, 129.6766, 129.6766) * CHOOSE(CONTROL!$C$21, $C$9, 100%, $E$9)</f>
        <v>129.67660000000001</v>
      </c>
      <c r="N1062" s="10">
        <f>CHOOSE(CONTROL!$C$42, 129.6916, 129.6916) * CHOOSE(CONTROL!$C$21, $C$9, 100%, $E$9)</f>
        <v>129.69159999999999</v>
      </c>
      <c r="O1062" s="10">
        <f>CHOOSE(CONTROL!$C$42, 129.9352, 129.9352) * CHOOSE(CONTROL!$C$21, $C$9, 100%, $E$9)</f>
        <v>129.93520000000001</v>
      </c>
      <c r="P1062" s="10">
        <f>CHOOSE(CONTROL!$C$42, 129.7072, 129.7072) * CHOOSE(CONTROL!$C$21, $C$9, 100%, $E$9)</f>
        <v>129.7072</v>
      </c>
      <c r="Q1062" s="10">
        <f>CHOOSE(CONTROL!$C$42, 130.5305, 130.5305) * CHOOSE(CONTROL!$C$21, $C$9, 100%, $E$9)</f>
        <v>130.53049999999999</v>
      </c>
      <c r="R1062" s="10">
        <f>CHOOSE(CONTROL!$C$42, 131.4438, 131.4438) * CHOOSE(CONTROL!$C$21, $C$9, 100%, $E$9)</f>
        <v>131.44380000000001</v>
      </c>
      <c r="S1062" s="10">
        <f>CHOOSE(CONTROL!$C$42, 127.2248, 127.2248) * CHOOSE(CONTROL!$C$21, $C$9, 100%, $E$9)</f>
        <v>127.2248</v>
      </c>
      <c r="T10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62" s="57">
        <f>(1000*CHOOSE(CONTROL!$C$42, 695, 695)*CHOOSE(CONTROL!$C$42, 0.5599, 0.5599)*CHOOSE(CONTROL!$C$42, 30, 30))/1000000</f>
        <v>11.673914999999997</v>
      </c>
      <c r="V1062" s="57">
        <f>(1000*CHOOSE(CONTROL!$C$42, 500, 500)*CHOOSE(CONTROL!$C$42, 0.275, 0.275)*CHOOSE(CONTROL!$C$42, 30, 30))/1000000</f>
        <v>4.125</v>
      </c>
      <c r="W1062" s="57">
        <f>(1000*CHOOSE(CONTROL!$C$42, 0.1146, 0.1146)*CHOOSE(CONTROL!$C$42, 121.5, 121.5)*CHOOSE(CONTROL!$C$42, 30, 30))/1000000</f>
        <v>0.417717</v>
      </c>
      <c r="X1062" s="57">
        <f>(30*0.1790888*245000/1000000)+(30*0.2374*100000/1000000)</f>
        <v>2.0285026799999999</v>
      </c>
      <c r="Y1062" s="57"/>
      <c r="Z1062" s="10"/>
      <c r="AA1062" s="56"/>
      <c r="AB1062" s="50">
        <f>(B1062*194.205+C1062*267.466+D1062*133.845+E1062*53.484+F1062*40+G1062*185+H1062*0+I1062*100+J1062*300)/(194.205+267.466+133.845+53.484+0+40+185+100+300)</f>
        <v>131.04013120416013</v>
      </c>
      <c r="AC1062" s="45">
        <f>(M1062*'RAP TEMPLATE-GAS AVAILABILITY'!O1061+N1062*'RAP TEMPLATE-GAS AVAILABILITY'!P1061+O1062*'RAP TEMPLATE-GAS AVAILABILITY'!Q1061+P1062*'RAP TEMPLATE-GAS AVAILABILITY'!R1061)/('RAP TEMPLATE-GAS AVAILABILITY'!O1061+'RAP TEMPLATE-GAS AVAILABILITY'!P1061+'RAP TEMPLATE-GAS AVAILABILITY'!Q1061+'RAP TEMPLATE-GAS AVAILABILITY'!R1061)</f>
        <v>129.79907338129496</v>
      </c>
    </row>
    <row r="1063" spans="1:29" ht="15.75" x14ac:dyDescent="0.25">
      <c r="A1063" s="13">
        <v>73262</v>
      </c>
      <c r="B1063" s="10">
        <f>CHOOSE(CONTROL!$C$42, 128.502, 128.502) * CHOOSE(CONTROL!$C$21, $C$9, 100%, $E$9)</f>
        <v>128.50200000000001</v>
      </c>
      <c r="C1063" s="10">
        <f>CHOOSE(CONTROL!$C$42, 128.5099, 128.5099) * CHOOSE(CONTROL!$C$21, $C$9, 100%, $E$9)</f>
        <v>128.50989999999999</v>
      </c>
      <c r="D1063" s="10">
        <f>CHOOSE(CONTROL!$C$42, 128.7127, 128.7127) * CHOOSE(CONTROL!$C$21, $C$9, 100%, $E$9)</f>
        <v>128.71270000000001</v>
      </c>
      <c r="E1063" s="10">
        <f>CHOOSE(CONTROL!$C$42, 128.7438, 128.7438) * CHOOSE(CONTROL!$C$21, $C$9, 100%, $E$9)</f>
        <v>128.74379999999999</v>
      </c>
      <c r="F1063" s="10">
        <f>CHOOSE(CONTROL!$C$42, 128.4788, 128.4788)*CHOOSE(CONTROL!$C$21, $C$9, 100%, $E$9)</f>
        <v>128.47880000000001</v>
      </c>
      <c r="G1063" s="10">
        <f>CHOOSE(CONTROL!$C$42, 128.494, 128.494)*CHOOSE(CONTROL!$C$21, $C$9, 100%, $E$9)</f>
        <v>128.494</v>
      </c>
      <c r="H1063" s="10">
        <f>CHOOSE(CONTROL!$C$42, 128.7324, 128.7324) * CHOOSE(CONTROL!$C$21, $C$9, 100%, $E$9)</f>
        <v>128.73240000000001</v>
      </c>
      <c r="I1063" s="10">
        <f>CHOOSE(CONTROL!$C$42, 128.5021, 128.5021)* CHOOSE(CONTROL!$C$21, $C$9, 100%, $E$9)</f>
        <v>128.50210000000001</v>
      </c>
      <c r="J1063" s="10">
        <f>CHOOSE(CONTROL!$C$42, 128.4718, 128.4718)* CHOOSE(CONTROL!$C$21, $C$9, 100%, $E$9)</f>
        <v>128.4718</v>
      </c>
      <c r="K1063" s="53">
        <f>CHOOSE(CONTROL!$C$42, 128.4982, 128.4982) * CHOOSE(CONTROL!$C$21, $C$9, 100%, $E$9)</f>
        <v>128.4982</v>
      </c>
      <c r="L1063" s="10">
        <f>CHOOSE(CONTROL!$C$42, 129.3194, 129.3194) * CHOOSE(CONTROL!$C$21, $C$9, 100%, $E$9)</f>
        <v>129.3194</v>
      </c>
      <c r="M1063" s="10">
        <f>CHOOSE(CONTROL!$C$42, 127.1891, 127.1891) * CHOOSE(CONTROL!$C$21, $C$9, 100%, $E$9)</f>
        <v>127.1891</v>
      </c>
      <c r="N1063" s="10">
        <f>CHOOSE(CONTROL!$C$42, 127.2042, 127.2042) * CHOOSE(CONTROL!$C$21, $C$9, 100%, $E$9)</f>
        <v>127.2042</v>
      </c>
      <c r="O1063" s="10">
        <f>CHOOSE(CONTROL!$C$42, 127.4471, 127.4471) * CHOOSE(CONTROL!$C$21, $C$9, 100%, $E$9)</f>
        <v>127.44710000000001</v>
      </c>
      <c r="P1063" s="10">
        <f>CHOOSE(CONTROL!$C$42, 127.2191, 127.2191) * CHOOSE(CONTROL!$C$21, $C$9, 100%, $E$9)</f>
        <v>127.2191</v>
      </c>
      <c r="Q1063" s="10">
        <f>CHOOSE(CONTROL!$C$42, 128.0424, 128.0424) * CHOOSE(CONTROL!$C$21, $C$9, 100%, $E$9)</f>
        <v>128.04239999999999</v>
      </c>
      <c r="R1063" s="10">
        <f>CHOOSE(CONTROL!$C$42, 128.9495, 128.9495) * CHOOSE(CONTROL!$C$21, $C$9, 100%, $E$9)</f>
        <v>128.9495</v>
      </c>
      <c r="S1063" s="10">
        <f>CHOOSE(CONTROL!$C$42, 124.7841, 124.7841) * CHOOSE(CONTROL!$C$21, $C$9, 100%, $E$9)</f>
        <v>124.7841</v>
      </c>
      <c r="T10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63" s="57">
        <f>(1000*CHOOSE(CONTROL!$C$42, 695, 695)*CHOOSE(CONTROL!$C$42, 0.5599, 0.5599)*CHOOSE(CONTROL!$C$42, 31, 31))/1000000</f>
        <v>12.063045499999998</v>
      </c>
      <c r="V1063" s="57">
        <f>(1000*CHOOSE(CONTROL!$C$42, 500, 500)*CHOOSE(CONTROL!$C$42, 0.275, 0.275)*CHOOSE(CONTROL!$C$42, 31, 31))/1000000</f>
        <v>4.2625000000000002</v>
      </c>
      <c r="W1063" s="57">
        <f>(1000*CHOOSE(CONTROL!$C$42, 0.1146, 0.1146)*CHOOSE(CONTROL!$C$42, 121.5, 121.5)*CHOOSE(CONTROL!$C$42, 31, 31))/1000000</f>
        <v>0.43164089999999994</v>
      </c>
      <c r="X1063" s="57">
        <f>(31*0.1790888*245000/1000000)+(31*0.2374*100000/1000000)</f>
        <v>2.0961194359999999</v>
      </c>
      <c r="Y1063" s="57"/>
      <c r="Z1063" s="10"/>
      <c r="AA1063" s="56"/>
      <c r="AB1063" s="50">
        <f>(B1063*194.205+C1063*267.466+D1063*133.845+E1063*53.484+F1063*40+G1063*185+H1063*0+I1063*100+J1063*300)/(194.205+267.466+133.845+53.484+0+40+185+100+300)</f>
        <v>128.52695176930928</v>
      </c>
      <c r="AC1063" s="45">
        <f>(M1063*'RAP TEMPLATE-GAS AVAILABILITY'!O1062+N1063*'RAP TEMPLATE-GAS AVAILABILITY'!P1062+O1063*'RAP TEMPLATE-GAS AVAILABILITY'!Q1062+P1063*'RAP TEMPLATE-GAS AVAILABILITY'!R1062)/('RAP TEMPLATE-GAS AVAILABILITY'!O1062+'RAP TEMPLATE-GAS AVAILABILITY'!P1062+'RAP TEMPLATE-GAS AVAILABILITY'!Q1062+'RAP TEMPLATE-GAS AVAILABILITY'!R1062)</f>
        <v>127.31122086330936</v>
      </c>
    </row>
    <row r="1064" spans="1:29" ht="15.75" x14ac:dyDescent="0.25">
      <c r="A1064" s="13">
        <v>73293</v>
      </c>
      <c r="B1064" s="10">
        <f>CHOOSE(CONTROL!$C$42, 122.1549, 122.1549) * CHOOSE(CONTROL!$C$21, $C$9, 100%, $E$9)</f>
        <v>122.1549</v>
      </c>
      <c r="C1064" s="10">
        <f>CHOOSE(CONTROL!$C$42, 122.1628, 122.1628) * CHOOSE(CONTROL!$C$21, $C$9, 100%, $E$9)</f>
        <v>122.1628</v>
      </c>
      <c r="D1064" s="10">
        <f>CHOOSE(CONTROL!$C$42, 122.3655, 122.3655) * CHOOSE(CONTROL!$C$21, $C$9, 100%, $E$9)</f>
        <v>122.3655</v>
      </c>
      <c r="E1064" s="10">
        <f>CHOOSE(CONTROL!$C$42, 122.3967, 122.3967) * CHOOSE(CONTROL!$C$21, $C$9, 100%, $E$9)</f>
        <v>122.3967</v>
      </c>
      <c r="F1064" s="10">
        <f>CHOOSE(CONTROL!$C$42, 122.1318, 122.1318)*CHOOSE(CONTROL!$C$21, $C$9, 100%, $E$9)</f>
        <v>122.1318</v>
      </c>
      <c r="G1064" s="10">
        <f>CHOOSE(CONTROL!$C$42, 122.1471, 122.1471)*CHOOSE(CONTROL!$C$21, $C$9, 100%, $E$9)</f>
        <v>122.14709999999999</v>
      </c>
      <c r="H1064" s="10">
        <f>CHOOSE(CONTROL!$C$42, 122.3853, 122.3853) * CHOOSE(CONTROL!$C$21, $C$9, 100%, $E$9)</f>
        <v>122.3853</v>
      </c>
      <c r="I1064" s="10">
        <f>CHOOSE(CONTROL!$C$42, 122.1549, 122.1549)* CHOOSE(CONTROL!$C$21, $C$9, 100%, $E$9)</f>
        <v>122.1549</v>
      </c>
      <c r="J1064" s="10">
        <f>CHOOSE(CONTROL!$C$42, 122.1248, 122.1248)* CHOOSE(CONTROL!$C$21, $C$9, 100%, $E$9)</f>
        <v>122.12479999999999</v>
      </c>
      <c r="K1064" s="53">
        <f>CHOOSE(CONTROL!$C$42, 122.151, 122.151) * CHOOSE(CONTROL!$C$21, $C$9, 100%, $E$9)</f>
        <v>122.151</v>
      </c>
      <c r="L1064" s="10">
        <f>CHOOSE(CONTROL!$C$42, 122.9723, 122.9723) * CHOOSE(CONTROL!$C$21, $C$9, 100%, $E$9)</f>
        <v>122.9723</v>
      </c>
      <c r="M1064" s="10">
        <f>CHOOSE(CONTROL!$C$42, 120.9062, 120.9062) * CHOOSE(CONTROL!$C$21, $C$9, 100%, $E$9)</f>
        <v>120.9062</v>
      </c>
      <c r="N1064" s="10">
        <f>CHOOSE(CONTROL!$C$42, 120.9214, 120.9214) * CHOOSE(CONTROL!$C$21, $C$9, 100%, $E$9)</f>
        <v>120.92140000000001</v>
      </c>
      <c r="O1064" s="10">
        <f>CHOOSE(CONTROL!$C$42, 121.164, 121.164) * CHOOSE(CONTROL!$C$21, $C$9, 100%, $E$9)</f>
        <v>121.164</v>
      </c>
      <c r="P1064" s="10">
        <f>CHOOSE(CONTROL!$C$42, 120.936, 120.936) * CHOOSE(CONTROL!$C$21, $C$9, 100%, $E$9)</f>
        <v>120.93600000000001</v>
      </c>
      <c r="Q1064" s="10">
        <f>CHOOSE(CONTROL!$C$42, 121.7593, 121.7593) * CHOOSE(CONTROL!$C$21, $C$9, 100%, $E$9)</f>
        <v>121.7593</v>
      </c>
      <c r="R1064" s="10">
        <f>CHOOSE(CONTROL!$C$42, 122.6507, 122.6507) * CHOOSE(CONTROL!$C$21, $C$9, 100%, $E$9)</f>
        <v>122.6507</v>
      </c>
      <c r="S1064" s="10">
        <f>CHOOSE(CONTROL!$C$42, 118.6204, 118.6204) * CHOOSE(CONTROL!$C$21, $C$9, 100%, $E$9)</f>
        <v>118.6204</v>
      </c>
      <c r="T10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64" s="57">
        <f>(1000*CHOOSE(CONTROL!$C$42, 695, 695)*CHOOSE(CONTROL!$C$42, 0.5599, 0.5599)*CHOOSE(CONTROL!$C$42, 31, 31))/1000000</f>
        <v>12.063045499999998</v>
      </c>
      <c r="V1064" s="57">
        <f>(1000*CHOOSE(CONTROL!$C$42, 500, 500)*CHOOSE(CONTROL!$C$42, 0.275, 0.275)*CHOOSE(CONTROL!$C$42, 31, 31))/1000000</f>
        <v>4.2625000000000002</v>
      </c>
      <c r="W1064" s="57">
        <f>(1000*CHOOSE(CONTROL!$C$42, 0.1146, 0.1146)*CHOOSE(CONTROL!$C$42, 121.5, 121.5)*CHOOSE(CONTROL!$C$42, 31, 31))/1000000</f>
        <v>0.43164089999999994</v>
      </c>
      <c r="X1064" s="57">
        <f>(31*0.1790888*245000/1000000)+(31*0.2374*100000/1000000)</f>
        <v>2.0961194359999999</v>
      </c>
      <c r="Y1064" s="57"/>
      <c r="Z1064" s="10"/>
      <c r="AA1064" s="56"/>
      <c r="AB1064" s="50">
        <f>(B1064*194.205+C1064*267.466+D1064*133.845+E1064*53.484+F1064*40+G1064*185+H1064*0+I1064*100+J1064*300)/(194.205+267.466+133.845+53.484+0+40+185+100+300)</f>
        <v>122.17988914411302</v>
      </c>
      <c r="AC1064" s="45">
        <f>(M1064*'RAP TEMPLATE-GAS AVAILABILITY'!O1063+N1064*'RAP TEMPLATE-GAS AVAILABILITY'!P1063+O1064*'RAP TEMPLATE-GAS AVAILABILITY'!Q1063+P1064*'RAP TEMPLATE-GAS AVAILABILITY'!R1063)/('RAP TEMPLATE-GAS AVAILABILITY'!O1063+'RAP TEMPLATE-GAS AVAILABILITY'!P1063+'RAP TEMPLATE-GAS AVAILABILITY'!Q1063+'RAP TEMPLATE-GAS AVAILABILITY'!R1063)</f>
        <v>121.02820719424462</v>
      </c>
    </row>
    <row r="1065" spans="1:29" ht="15.75" x14ac:dyDescent="0.25">
      <c r="A1065" s="13">
        <v>73323</v>
      </c>
      <c r="B1065" s="10">
        <f>CHOOSE(CONTROL!$C$42, 114.3995, 114.3995) * CHOOSE(CONTROL!$C$21, $C$9, 100%, $E$9)</f>
        <v>114.3995</v>
      </c>
      <c r="C1065" s="10">
        <f>CHOOSE(CONTROL!$C$42, 114.4074, 114.4074) * CHOOSE(CONTROL!$C$21, $C$9, 100%, $E$9)</f>
        <v>114.4074</v>
      </c>
      <c r="D1065" s="10">
        <f>CHOOSE(CONTROL!$C$42, 114.6101, 114.6101) * CHOOSE(CONTROL!$C$21, $C$9, 100%, $E$9)</f>
        <v>114.6101</v>
      </c>
      <c r="E1065" s="10">
        <f>CHOOSE(CONTROL!$C$42, 114.6413, 114.6413) * CHOOSE(CONTROL!$C$21, $C$9, 100%, $E$9)</f>
        <v>114.6413</v>
      </c>
      <c r="F1065" s="10">
        <f>CHOOSE(CONTROL!$C$42, 114.3763, 114.3763)*CHOOSE(CONTROL!$C$21, $C$9, 100%, $E$9)</f>
        <v>114.3763</v>
      </c>
      <c r="G1065" s="10">
        <f>CHOOSE(CONTROL!$C$42, 114.3916, 114.3916)*CHOOSE(CONTROL!$C$21, $C$9, 100%, $E$9)</f>
        <v>114.3916</v>
      </c>
      <c r="H1065" s="10">
        <f>CHOOSE(CONTROL!$C$42, 114.6299, 114.6299) * CHOOSE(CONTROL!$C$21, $C$9, 100%, $E$9)</f>
        <v>114.62990000000001</v>
      </c>
      <c r="I1065" s="10">
        <f>CHOOSE(CONTROL!$C$42, 114.3995, 114.3995)* CHOOSE(CONTROL!$C$21, $C$9, 100%, $E$9)</f>
        <v>114.3995</v>
      </c>
      <c r="J1065" s="10">
        <f>CHOOSE(CONTROL!$C$42, 114.3693, 114.3693)* CHOOSE(CONTROL!$C$21, $C$9, 100%, $E$9)</f>
        <v>114.3693</v>
      </c>
      <c r="K1065" s="53">
        <f>CHOOSE(CONTROL!$C$42, 114.3956, 114.3956) * CHOOSE(CONTROL!$C$21, $C$9, 100%, $E$9)</f>
        <v>114.3956</v>
      </c>
      <c r="L1065" s="10">
        <f>CHOOSE(CONTROL!$C$42, 115.2169, 115.2169) * CHOOSE(CONTROL!$C$21, $C$9, 100%, $E$9)</f>
        <v>115.2169</v>
      </c>
      <c r="M1065" s="10">
        <f>CHOOSE(CONTROL!$C$42, 113.2289, 113.2289) * CHOOSE(CONTROL!$C$21, $C$9, 100%, $E$9)</f>
        <v>113.2289</v>
      </c>
      <c r="N1065" s="10">
        <f>CHOOSE(CONTROL!$C$42, 113.2441, 113.2441) * CHOOSE(CONTROL!$C$21, $C$9, 100%, $E$9)</f>
        <v>113.2441</v>
      </c>
      <c r="O1065" s="10">
        <f>CHOOSE(CONTROL!$C$42, 113.4869, 113.4869) * CHOOSE(CONTROL!$C$21, $C$9, 100%, $E$9)</f>
        <v>113.48690000000001</v>
      </c>
      <c r="P1065" s="10">
        <f>CHOOSE(CONTROL!$C$42, 113.2589, 113.2589) * CHOOSE(CONTROL!$C$21, $C$9, 100%, $E$9)</f>
        <v>113.2589</v>
      </c>
      <c r="Q1065" s="10">
        <f>CHOOSE(CONTROL!$C$42, 114.0822, 114.0822) * CHOOSE(CONTROL!$C$21, $C$9, 100%, $E$9)</f>
        <v>114.0822</v>
      </c>
      <c r="R1065" s="10">
        <f>CHOOSE(CONTROL!$C$42, 114.9544, 114.9544) * CHOOSE(CONTROL!$C$21, $C$9, 100%, $E$9)</f>
        <v>114.95440000000001</v>
      </c>
      <c r="S1065" s="10">
        <f>CHOOSE(CONTROL!$C$42, 111.0891, 111.0891) * CHOOSE(CONTROL!$C$21, $C$9, 100%, $E$9)</f>
        <v>111.0891</v>
      </c>
      <c r="T10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65" s="57">
        <f>(1000*CHOOSE(CONTROL!$C$42, 695, 695)*CHOOSE(CONTROL!$C$42, 0.5599, 0.5599)*CHOOSE(CONTROL!$C$42, 30, 30))/1000000</f>
        <v>11.673914999999997</v>
      </c>
      <c r="V1065" s="57">
        <f>(1000*CHOOSE(CONTROL!$C$42, 500, 500)*CHOOSE(CONTROL!$C$42, 0.275, 0.275)*CHOOSE(CONTROL!$C$42, 30, 30))/1000000</f>
        <v>4.125</v>
      </c>
      <c r="W1065" s="57">
        <f>(1000*CHOOSE(CONTROL!$C$42, 0.1146, 0.1146)*CHOOSE(CONTROL!$C$42, 121.5, 121.5)*CHOOSE(CONTROL!$C$42, 30, 30))/1000000</f>
        <v>0.417717</v>
      </c>
      <c r="X1065" s="57">
        <f>(30*0.1790888*245000/1000000)+(30*0.2374*100000/1000000)</f>
        <v>2.0285026799999999</v>
      </c>
      <c r="Y1065" s="57"/>
      <c r="Z1065" s="10"/>
      <c r="AA1065" s="56"/>
      <c r="AB1065" s="50">
        <f>(B1065*194.205+C1065*267.466+D1065*133.845+E1065*53.484+F1065*40+G1065*185+H1065*0+I1065*100+J1065*300)/(194.205+267.466+133.845+53.484+0+40+185+100+300)</f>
        <v>114.42444793532181</v>
      </c>
      <c r="AC1065" s="45">
        <f>(M1065*'RAP TEMPLATE-GAS AVAILABILITY'!O1064+N1065*'RAP TEMPLATE-GAS AVAILABILITY'!P1064+O1065*'RAP TEMPLATE-GAS AVAILABILITY'!Q1064+P1065*'RAP TEMPLATE-GAS AVAILABILITY'!R1064)/('RAP TEMPLATE-GAS AVAILABILITY'!O1064+'RAP TEMPLATE-GAS AVAILABILITY'!P1064+'RAP TEMPLATE-GAS AVAILABILITY'!Q1064+'RAP TEMPLATE-GAS AVAILABILITY'!R1064)</f>
        <v>113.35102661870503</v>
      </c>
    </row>
    <row r="1066" spans="1:29" ht="15.75" x14ac:dyDescent="0.25">
      <c r="A1066" s="13">
        <v>73354</v>
      </c>
      <c r="B1066" s="10">
        <f>CHOOSE(CONTROL!$C$42, 112.0751, 112.0751) * CHOOSE(CONTROL!$C$21, $C$9, 100%, $E$9)</f>
        <v>112.07510000000001</v>
      </c>
      <c r="C1066" s="10">
        <f>CHOOSE(CONTROL!$C$42, 112.0803, 112.0803) * CHOOSE(CONTROL!$C$21, $C$9, 100%, $E$9)</f>
        <v>112.08029999999999</v>
      </c>
      <c r="D1066" s="10">
        <f>CHOOSE(CONTROL!$C$42, 112.288, 112.288) * CHOOSE(CONTROL!$C$21, $C$9, 100%, $E$9)</f>
        <v>112.288</v>
      </c>
      <c r="E1066" s="10">
        <f>CHOOSE(CONTROL!$C$42, 112.3168, 112.3168) * CHOOSE(CONTROL!$C$21, $C$9, 100%, $E$9)</f>
        <v>112.3168</v>
      </c>
      <c r="F1066" s="10">
        <f>CHOOSE(CONTROL!$C$42, 112.0538, 112.0538)*CHOOSE(CONTROL!$C$21, $C$9, 100%, $E$9)</f>
        <v>112.0538</v>
      </c>
      <c r="G1066" s="10">
        <f>CHOOSE(CONTROL!$C$42, 112.0687, 112.0687)*CHOOSE(CONTROL!$C$21, $C$9, 100%, $E$9)</f>
        <v>112.06870000000001</v>
      </c>
      <c r="H1066" s="10">
        <f>CHOOSE(CONTROL!$C$42, 112.3072, 112.3072) * CHOOSE(CONTROL!$C$21, $C$9, 100%, $E$9)</f>
        <v>112.30719999999999</v>
      </c>
      <c r="I1066" s="10">
        <f>CHOOSE(CONTROL!$C$42, 112.0769, 112.0769)* CHOOSE(CONTROL!$C$21, $C$9, 100%, $E$9)</f>
        <v>112.07689999999999</v>
      </c>
      <c r="J1066" s="10">
        <f>CHOOSE(CONTROL!$C$42, 112.0468, 112.0468)* CHOOSE(CONTROL!$C$21, $C$9, 100%, $E$9)</f>
        <v>112.0468</v>
      </c>
      <c r="K1066" s="53">
        <f>CHOOSE(CONTROL!$C$42, 112.073, 112.073) * CHOOSE(CONTROL!$C$21, $C$9, 100%, $E$9)</f>
        <v>112.07299999999999</v>
      </c>
      <c r="L1066" s="10">
        <f>CHOOSE(CONTROL!$C$42, 112.8942, 112.8942) * CHOOSE(CONTROL!$C$21, $C$9, 100%, $E$9)</f>
        <v>112.8942</v>
      </c>
      <c r="M1066" s="10">
        <f>CHOOSE(CONTROL!$C$42, 110.9299, 110.9299) * CHOOSE(CONTROL!$C$21, $C$9, 100%, $E$9)</f>
        <v>110.9299</v>
      </c>
      <c r="N1066" s="10">
        <f>CHOOSE(CONTROL!$C$42, 110.9446, 110.9446) * CHOOSE(CONTROL!$C$21, $C$9, 100%, $E$9)</f>
        <v>110.94459999999999</v>
      </c>
      <c r="O1066" s="10">
        <f>CHOOSE(CONTROL!$C$42, 111.1877, 111.1877) * CHOOSE(CONTROL!$C$21, $C$9, 100%, $E$9)</f>
        <v>111.18770000000001</v>
      </c>
      <c r="P1066" s="10">
        <f>CHOOSE(CONTROL!$C$42, 110.9597, 110.9597) * CHOOSE(CONTROL!$C$21, $C$9, 100%, $E$9)</f>
        <v>110.9597</v>
      </c>
      <c r="Q1066" s="10">
        <f>CHOOSE(CONTROL!$C$42, 111.783, 111.783) * CHOOSE(CONTROL!$C$21, $C$9, 100%, $E$9)</f>
        <v>111.783</v>
      </c>
      <c r="R1066" s="10">
        <f>CHOOSE(CONTROL!$C$42, 112.6494, 112.6494) * CHOOSE(CONTROL!$C$21, $C$9, 100%, $E$9)</f>
        <v>112.6494</v>
      </c>
      <c r="S1066" s="10">
        <f>CHOOSE(CONTROL!$C$42, 108.8335, 108.8335) * CHOOSE(CONTROL!$C$21, $C$9, 100%, $E$9)</f>
        <v>108.8335</v>
      </c>
      <c r="T10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6" s="57">
        <f>(1000*CHOOSE(CONTROL!$C$42, 695, 695)*CHOOSE(CONTROL!$C$42, 0.5599, 0.5599)*CHOOSE(CONTROL!$C$42, 31, 31))/1000000</f>
        <v>12.063045499999998</v>
      </c>
      <c r="V1066" s="57">
        <f>(1000*CHOOSE(CONTROL!$C$42, 500, 500)*CHOOSE(CONTROL!$C$42, 0.275, 0.275)*CHOOSE(CONTROL!$C$42, 31, 31))/1000000</f>
        <v>4.2625000000000002</v>
      </c>
      <c r="W1066" s="57">
        <f>(1000*CHOOSE(CONTROL!$C$42, 0.1146, 0.1146)*CHOOSE(CONTROL!$C$42, 121.5, 121.5)*CHOOSE(CONTROL!$C$42, 31, 31))/1000000</f>
        <v>0.43164089999999994</v>
      </c>
      <c r="X1066" s="57">
        <f>(31*0.1790888*245000/1000000)+(31*0.2374*100000/1000000)</f>
        <v>2.0961194359999999</v>
      </c>
      <c r="Y1066" s="57"/>
      <c r="Z1066" s="10"/>
      <c r="AA1066" s="56"/>
      <c r="AB1066" s="50">
        <f>(B1066*131.881+C1066*277.167+D1066*79.08+E1066*125.872+F1066*40+G1066*185+H1066*0+I1066*100+J1066*300)/(131.881+277.167+79.08+125.872+0+40+185+100+300)</f>
        <v>112.10605614430993</v>
      </c>
      <c r="AC1066" s="45">
        <f>(M1066*'RAP TEMPLATE-GAS AVAILABILITY'!O1065+N1066*'RAP TEMPLATE-GAS AVAILABILITY'!P1065+O1066*'RAP TEMPLATE-GAS AVAILABILITY'!Q1065+P1066*'RAP TEMPLATE-GAS AVAILABILITY'!R1065)/('RAP TEMPLATE-GAS AVAILABILITY'!O1065+'RAP TEMPLATE-GAS AVAILABILITY'!P1065+'RAP TEMPLATE-GAS AVAILABILITY'!Q1065+'RAP TEMPLATE-GAS AVAILABILITY'!R1065)</f>
        <v>111.0518784172662</v>
      </c>
    </row>
    <row r="1067" spans="1:29" ht="15.75" x14ac:dyDescent="0.25">
      <c r="A1067" s="13">
        <v>73384</v>
      </c>
      <c r="B1067" s="10">
        <f>CHOOSE(CONTROL!$C$42, 115.0271, 115.0271) * CHOOSE(CONTROL!$C$21, $C$9, 100%, $E$9)</f>
        <v>115.0271</v>
      </c>
      <c r="C1067" s="10">
        <f>CHOOSE(CONTROL!$C$42, 115.0321, 115.0321) * CHOOSE(CONTROL!$C$21, $C$9, 100%, $E$9)</f>
        <v>115.0321</v>
      </c>
      <c r="D1067" s="10">
        <f>CHOOSE(CONTROL!$C$42, 115.0926, 115.0926) * CHOOSE(CONTROL!$C$21, $C$9, 100%, $E$9)</f>
        <v>115.0926</v>
      </c>
      <c r="E1067" s="10">
        <f>CHOOSE(CONTROL!$C$42, 115.1264, 115.1264) * CHOOSE(CONTROL!$C$21, $C$9, 100%, $E$9)</f>
        <v>115.1264</v>
      </c>
      <c r="F1067" s="10">
        <f>CHOOSE(CONTROL!$C$42, 115.0228, 115.0228)*CHOOSE(CONTROL!$C$21, $C$9, 100%, $E$9)</f>
        <v>115.0228</v>
      </c>
      <c r="G1067" s="10">
        <f>CHOOSE(CONTROL!$C$42, 115.038, 115.038)*CHOOSE(CONTROL!$C$21, $C$9, 100%, $E$9)</f>
        <v>115.038</v>
      </c>
      <c r="H1067" s="10">
        <f>CHOOSE(CONTROL!$C$42, 115.1156, 115.1156) * CHOOSE(CONTROL!$C$21, $C$9, 100%, $E$9)</f>
        <v>115.1156</v>
      </c>
      <c r="I1067" s="10">
        <f>CHOOSE(CONTROL!$C$42, 115.0397, 115.0397)* CHOOSE(CONTROL!$C$21, $C$9, 100%, $E$9)</f>
        <v>115.0397</v>
      </c>
      <c r="J1067" s="10">
        <f>CHOOSE(CONTROL!$C$42, 115.0158, 115.0158)* CHOOSE(CONTROL!$C$21, $C$9, 100%, $E$9)</f>
        <v>115.0158</v>
      </c>
      <c r="K1067" s="53">
        <f>CHOOSE(CONTROL!$C$42, 115.0358, 115.0358) * CHOOSE(CONTROL!$C$21, $C$9, 100%, $E$9)</f>
        <v>115.03579999999999</v>
      </c>
      <c r="L1067" s="10">
        <f>CHOOSE(CONTROL!$C$42, 115.7026, 115.7026) * CHOOSE(CONTROL!$C$21, $C$9, 100%, $E$9)</f>
        <v>115.7026</v>
      </c>
      <c r="M1067" s="10">
        <f>CHOOSE(CONTROL!$C$42, 113.8689, 113.8689) * CHOOSE(CONTROL!$C$21, $C$9, 100%, $E$9)</f>
        <v>113.8689</v>
      </c>
      <c r="N1067" s="10">
        <f>CHOOSE(CONTROL!$C$42, 113.884, 113.884) * CHOOSE(CONTROL!$C$21, $C$9, 100%, $E$9)</f>
        <v>113.884</v>
      </c>
      <c r="O1067" s="10">
        <f>CHOOSE(CONTROL!$C$42, 113.9677, 113.9677) * CHOOSE(CONTROL!$C$21, $C$9, 100%, $E$9)</f>
        <v>113.96769999999999</v>
      </c>
      <c r="P1067" s="10">
        <f>CHOOSE(CONTROL!$C$42, 113.8926, 113.8926) * CHOOSE(CONTROL!$C$21, $C$9, 100%, $E$9)</f>
        <v>113.8926</v>
      </c>
      <c r="Q1067" s="10">
        <f>CHOOSE(CONTROL!$C$42, 114.563, 114.563) * CHOOSE(CONTROL!$C$21, $C$9, 100%, $E$9)</f>
        <v>114.563</v>
      </c>
      <c r="R1067" s="10">
        <f>CHOOSE(CONTROL!$C$42, 115.4364, 115.4364) * CHOOSE(CONTROL!$C$21, $C$9, 100%, $E$9)</f>
        <v>115.43640000000001</v>
      </c>
      <c r="S1067" s="10">
        <f>CHOOSE(CONTROL!$C$42, 111.7007, 111.7007) * CHOOSE(CONTROL!$C$21, $C$9, 100%, $E$9)</f>
        <v>111.7007</v>
      </c>
      <c r="T10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67" s="57">
        <f>(1000*CHOOSE(CONTROL!$C$42, 695, 695)*CHOOSE(CONTROL!$C$42, 0.5599, 0.5599)*CHOOSE(CONTROL!$C$42, 30, 30))/1000000</f>
        <v>11.673914999999997</v>
      </c>
      <c r="V1067" s="57">
        <f>(1000*CHOOSE(CONTROL!$C$42, 500, 500)*CHOOSE(CONTROL!$C$42, 0.275, 0.275)*CHOOSE(CONTROL!$C$42, 30, 30))/1000000</f>
        <v>4.125</v>
      </c>
      <c r="W1067" s="57">
        <f>(1000*CHOOSE(CONTROL!$C$42, 0.1146, 0.1146)*CHOOSE(CONTROL!$C$42, 121.5, 121.5)*CHOOSE(CONTROL!$C$42, 30, 30))/1000000</f>
        <v>0.417717</v>
      </c>
      <c r="X1067" s="57">
        <f>(30*0.1790888*100000/1000000)+(30*0.2374*100000/1000000)</f>
        <v>1.2494664</v>
      </c>
      <c r="Y1067" s="57"/>
      <c r="Z1067" s="10"/>
      <c r="AA1067" s="56"/>
      <c r="AB1067" s="50">
        <f>(B1067*122.58+C1067*297.941+D1067*89.177+E1067*40.302+F1067*40+G1067*160+H1067*0+I1067*100+J1067*300)/(122.58+297.941+89.177+40.302+0+40+160+100+300)</f>
        <v>115.03646938008697</v>
      </c>
      <c r="AC1067" s="45">
        <f>(M1067*'RAP TEMPLATE-GAS AVAILABILITY'!O1066+N1067*'RAP TEMPLATE-GAS AVAILABILITY'!P1066+O1067*'RAP TEMPLATE-GAS AVAILABILITY'!Q1066+P1067*'RAP TEMPLATE-GAS AVAILABILITY'!R1066)/('RAP TEMPLATE-GAS AVAILABILITY'!O1066+'RAP TEMPLATE-GAS AVAILABILITY'!P1066+'RAP TEMPLATE-GAS AVAILABILITY'!Q1066+'RAP TEMPLATE-GAS AVAILABILITY'!R1066)</f>
        <v>113.91795899280575</v>
      </c>
    </row>
    <row r="1068" spans="1:29" ht="15.75" x14ac:dyDescent="0.25">
      <c r="A1068" s="13">
        <v>73415</v>
      </c>
      <c r="B1068" s="10">
        <f>CHOOSE(CONTROL!$C$42, 122.8686, 122.8686) * CHOOSE(CONTROL!$C$21, $C$9, 100%, $E$9)</f>
        <v>122.8686</v>
      </c>
      <c r="C1068" s="10">
        <f>CHOOSE(CONTROL!$C$42, 122.8736, 122.8736) * CHOOSE(CONTROL!$C$21, $C$9, 100%, $E$9)</f>
        <v>122.8736</v>
      </c>
      <c r="D1068" s="10">
        <f>CHOOSE(CONTROL!$C$42, 122.9341, 122.9341) * CHOOSE(CONTROL!$C$21, $C$9, 100%, $E$9)</f>
        <v>122.9341</v>
      </c>
      <c r="E1068" s="10">
        <f>CHOOSE(CONTROL!$C$42, 122.9679, 122.9679) * CHOOSE(CONTROL!$C$21, $C$9, 100%, $E$9)</f>
        <v>122.9679</v>
      </c>
      <c r="F1068" s="10">
        <f>CHOOSE(CONTROL!$C$42, 122.8661, 122.8661)*CHOOSE(CONTROL!$C$21, $C$9, 100%, $E$9)</f>
        <v>122.8661</v>
      </c>
      <c r="G1068" s="10">
        <f>CHOOSE(CONTROL!$C$42, 122.8818, 122.8818)*CHOOSE(CONTROL!$C$21, $C$9, 100%, $E$9)</f>
        <v>122.8818</v>
      </c>
      <c r="H1068" s="10">
        <f>CHOOSE(CONTROL!$C$42, 122.9571, 122.9571) * CHOOSE(CONTROL!$C$21, $C$9, 100%, $E$9)</f>
        <v>122.9571</v>
      </c>
      <c r="I1068" s="10">
        <f>CHOOSE(CONTROL!$C$42, 122.8811, 122.8811)* CHOOSE(CONTROL!$C$21, $C$9, 100%, $E$9)</f>
        <v>122.8811</v>
      </c>
      <c r="J1068" s="10">
        <f>CHOOSE(CONTROL!$C$42, 122.8591, 122.8591)* CHOOSE(CONTROL!$C$21, $C$9, 100%, $E$9)</f>
        <v>122.8591</v>
      </c>
      <c r="K1068" s="53">
        <f>CHOOSE(CONTROL!$C$42, 122.8772, 122.8772) * CHOOSE(CONTROL!$C$21, $C$9, 100%, $E$9)</f>
        <v>122.8772</v>
      </c>
      <c r="L1068" s="10">
        <f>CHOOSE(CONTROL!$C$42, 123.5441, 123.5441) * CHOOSE(CONTROL!$C$21, $C$9, 100%, $E$9)</f>
        <v>123.5441</v>
      </c>
      <c r="M1068" s="10">
        <f>CHOOSE(CONTROL!$C$42, 121.633, 121.633) * CHOOSE(CONTROL!$C$21, $C$9, 100%, $E$9)</f>
        <v>121.633</v>
      </c>
      <c r="N1068" s="10">
        <f>CHOOSE(CONTROL!$C$42, 121.6486, 121.6486) * CHOOSE(CONTROL!$C$21, $C$9, 100%, $E$9)</f>
        <v>121.6486</v>
      </c>
      <c r="O1068" s="10">
        <f>CHOOSE(CONTROL!$C$42, 121.73, 121.73) * CHOOSE(CONTROL!$C$21, $C$9, 100%, $E$9)</f>
        <v>121.73</v>
      </c>
      <c r="P1068" s="10">
        <f>CHOOSE(CONTROL!$C$42, 121.6549, 121.6549) * CHOOSE(CONTROL!$C$21, $C$9, 100%, $E$9)</f>
        <v>121.6549</v>
      </c>
      <c r="Q1068" s="10">
        <f>CHOOSE(CONTROL!$C$42, 122.3253, 122.3253) * CHOOSE(CONTROL!$C$21, $C$9, 100%, $E$9)</f>
        <v>122.3253</v>
      </c>
      <c r="R1068" s="10">
        <f>CHOOSE(CONTROL!$C$42, 123.2181, 123.2181) * CHOOSE(CONTROL!$C$21, $C$9, 100%, $E$9)</f>
        <v>123.21810000000001</v>
      </c>
      <c r="S1068" s="10">
        <f>CHOOSE(CONTROL!$C$42, 119.3156, 119.3156) * CHOOSE(CONTROL!$C$21, $C$9, 100%, $E$9)</f>
        <v>119.3156</v>
      </c>
      <c r="T10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68" s="57">
        <f>(1000*CHOOSE(CONTROL!$C$42, 695, 695)*CHOOSE(CONTROL!$C$42, 0.5599, 0.5599)*CHOOSE(CONTROL!$C$42, 31, 31))/1000000</f>
        <v>12.063045499999998</v>
      </c>
      <c r="V1068" s="57">
        <f>(1000*CHOOSE(CONTROL!$C$42, 500, 500)*CHOOSE(CONTROL!$C$42, 0.275, 0.275)*CHOOSE(CONTROL!$C$42, 31, 31))/1000000</f>
        <v>4.2625000000000002</v>
      </c>
      <c r="W1068" s="57">
        <f>(1000*CHOOSE(CONTROL!$C$42, 0.1146, 0.1146)*CHOOSE(CONTROL!$C$42, 121.5, 121.5)*CHOOSE(CONTROL!$C$42, 31, 31))/1000000</f>
        <v>0.43164089999999994</v>
      </c>
      <c r="X1068" s="57">
        <f>(31*0.1790888*100000/1000000)+(31*0.2374*100000/1000000)</f>
        <v>1.2911152800000001</v>
      </c>
      <c r="Y1068" s="57"/>
      <c r="Z1068" s="10"/>
      <c r="AA1068" s="56"/>
      <c r="AB1068" s="50">
        <f>(B1068*122.58+C1068*297.941+D1068*89.177+E1068*40.302+F1068*40+G1068*160+H1068*0+I1068*100+J1068*300)/(122.58+297.941+89.177+40.302+0+40+160+100+300)</f>
        <v>122.87881285834784</v>
      </c>
      <c r="AC1068" s="45">
        <f>(M1068*'RAP TEMPLATE-GAS AVAILABILITY'!O1067+N1068*'RAP TEMPLATE-GAS AVAILABILITY'!P1067+O1068*'RAP TEMPLATE-GAS AVAILABILITY'!Q1067+P1068*'RAP TEMPLATE-GAS AVAILABILITY'!R1067)/('RAP TEMPLATE-GAS AVAILABILITY'!O1067+'RAP TEMPLATE-GAS AVAILABILITY'!P1067+'RAP TEMPLATE-GAS AVAILABILITY'!Q1067+'RAP TEMPLATE-GAS AVAILABILITY'!R1067)</f>
        <v>121.68101294964032</v>
      </c>
    </row>
    <row r="1069" spans="1:29" ht="15" x14ac:dyDescent="0.2">
      <c r="A1069" s="12"/>
    </row>
    <row r="1070" spans="1:29" ht="15.75" x14ac:dyDescent="0.25">
      <c r="A1070" s="11">
        <v>2013</v>
      </c>
      <c r="B1070" s="10">
        <f t="shared" ref="B1070:J1070" si="2">AVERAGE(B13:B24)</f>
        <v>3.7643093298596653</v>
      </c>
      <c r="C1070" s="10">
        <f t="shared" si="2"/>
        <v>3.7705710223264268</v>
      </c>
      <c r="D1070" s="10">
        <f t="shared" si="2"/>
        <v>3.9032997671511573</v>
      </c>
      <c r="E1070" s="10">
        <f t="shared" si="2"/>
        <v>3.9355837001530602</v>
      </c>
      <c r="F1070" s="10">
        <f t="shared" si="2"/>
        <v>3.7651772351325885</v>
      </c>
      <c r="G1070" s="10">
        <f t="shared" si="2"/>
        <v>3.7803041582729668</v>
      </c>
      <c r="H1070" s="10">
        <f t="shared" si="2"/>
        <v>3.9246210180223553</v>
      </c>
      <c r="I1070" s="10">
        <f t="shared" si="2"/>
        <v>3.7819405575916285</v>
      </c>
      <c r="J1070" s="10">
        <f t="shared" si="2"/>
        <v>3.7580772351325895</v>
      </c>
      <c r="K1070" s="53"/>
      <c r="L1070" s="10">
        <f t="shared" ref="L1070:S1070" si="3">AVERAGE(L13:L24)</f>
        <v>4.5116210180223542</v>
      </c>
      <c r="M1070" s="10">
        <f t="shared" si="3"/>
        <v>3.7074764864542433</v>
      </c>
      <c r="N1070" s="10">
        <f t="shared" si="3"/>
        <v>3.7223614807477854</v>
      </c>
      <c r="O1070" s="10">
        <f t="shared" si="3"/>
        <v>3.8712240738582584</v>
      </c>
      <c r="P1070" s="10">
        <f t="shared" si="3"/>
        <v>3.7308810616342671</v>
      </c>
      <c r="Q1070" s="10">
        <f t="shared" si="3"/>
        <v>4.4660240738582591</v>
      </c>
      <c r="R1070" s="10">
        <f t="shared" si="3"/>
        <v>5.0641888840429052</v>
      </c>
      <c r="S1070" s="10">
        <f t="shared" si="3"/>
        <v>3.6221156878735941</v>
      </c>
      <c r="T1070" s="49">
        <f t="shared" ref="T1070:Y1070" si="4">SUM(T13:T24)</f>
        <v>360.24606249999999</v>
      </c>
      <c r="U1070" s="49">
        <f t="shared" si="4"/>
        <v>142.03914549999999</v>
      </c>
      <c r="V1070" s="49">
        <f t="shared" si="4"/>
        <v>58.217499999999994</v>
      </c>
      <c r="W1070" s="49">
        <f t="shared" si="4"/>
        <v>8.0928680000000011</v>
      </c>
      <c r="X1070" s="49">
        <f t="shared" si="4"/>
        <v>5.5571254639999994</v>
      </c>
      <c r="Y1070" s="49">
        <f t="shared" si="4"/>
        <v>4.7699999999999996</v>
      </c>
      <c r="Z1070" s="10">
        <f>AVERAGE(Z13:Z24)</f>
        <v>3.7276104191814348</v>
      </c>
      <c r="AA1070" s="49">
        <f>SUM(AA13:AA24)</f>
        <v>10.084160000000001</v>
      </c>
      <c r="AB1070" s="50">
        <f>AVERAGE(AB13:AB24)</f>
        <v>3.8108059710458799</v>
      </c>
      <c r="AC1070" s="45">
        <f>AVERAGE(AC13:AC24)</f>
        <v>3.7757677533809524</v>
      </c>
    </row>
    <row r="1071" spans="1:29" ht="15.75" x14ac:dyDescent="0.25">
      <c r="A1071" s="11">
        <v>2014</v>
      </c>
      <c r="B1071" s="10">
        <f t="shared" ref="B1071:J1071" si="5">AVERAGE(B25:B36)</f>
        <v>3.7174083333333332</v>
      </c>
      <c r="C1071" s="10">
        <f t="shared" si="5"/>
        <v>3.7235833333333326</v>
      </c>
      <c r="D1071" s="10">
        <f t="shared" si="5"/>
        <v>3.8668749999999998</v>
      </c>
      <c r="E1071" s="10">
        <f t="shared" si="5"/>
        <v>3.8989750000000001</v>
      </c>
      <c r="F1071" s="10">
        <f t="shared" si="5"/>
        <v>3.702808333333333</v>
      </c>
      <c r="G1071" s="10">
        <f t="shared" si="5"/>
        <v>3.717808333333334</v>
      </c>
      <c r="H1071" s="10">
        <f t="shared" si="5"/>
        <v>3.8880916666666665</v>
      </c>
      <c r="I1071" s="10">
        <f t="shared" si="5"/>
        <v>3.722491666666667</v>
      </c>
      <c r="J1071" s="10">
        <f t="shared" si="5"/>
        <v>3.6958083333333338</v>
      </c>
      <c r="K1071" s="53"/>
      <c r="L1071" s="10">
        <f t="shared" ref="L1071:S1071" si="6">AVERAGE(L25:L36)</f>
        <v>4.4750916666666667</v>
      </c>
      <c r="M1071" s="10">
        <f t="shared" si="6"/>
        <v>3.6723333333333339</v>
      </c>
      <c r="N1071" s="10">
        <f t="shared" si="6"/>
        <v>3.6871749999999999</v>
      </c>
      <c r="O1071" s="10">
        <f t="shared" si="6"/>
        <v>3.8626749999999994</v>
      </c>
      <c r="P1071" s="10">
        <f t="shared" si="6"/>
        <v>3.6987833333333326</v>
      </c>
      <c r="Q1071" s="10">
        <f t="shared" si="6"/>
        <v>4.4579750000000002</v>
      </c>
      <c r="R1071" s="10">
        <f t="shared" si="6"/>
        <v>5.0561083333333334</v>
      </c>
      <c r="S1071" s="10">
        <f t="shared" si="6"/>
        <v>3.6068833333333328</v>
      </c>
      <c r="T1071" s="49">
        <f t="shared" ref="T1071:Y1071" si="7">SUM(T25:T36)</f>
        <v>364.742681</v>
      </c>
      <c r="U1071" s="49">
        <f t="shared" si="7"/>
        <v>142.03263249999998</v>
      </c>
      <c r="V1071" s="49">
        <f t="shared" si="7"/>
        <v>58.217499999999994</v>
      </c>
      <c r="W1071" s="49">
        <f t="shared" si="7"/>
        <v>8.3657999999999983</v>
      </c>
      <c r="X1071" s="49">
        <f t="shared" si="7"/>
        <v>5.5571254639999994</v>
      </c>
      <c r="Y1071" s="49">
        <f t="shared" si="7"/>
        <v>1.2000000000000002</v>
      </c>
      <c r="Z1071" s="10">
        <f>AVERAGE(Z25:Z36)</f>
        <v>3.704933333333333</v>
      </c>
      <c r="AA1071" s="49">
        <f>SUM(AA25:AA36)</f>
        <v>12.630990000000001</v>
      </c>
      <c r="AB1071" s="50">
        <f>AVERAGE(AB25:AB36)</f>
        <v>3.7628961469737749</v>
      </c>
      <c r="AC1071" s="45">
        <f>AVERAGE(AC25:AC36)</f>
        <v>3.7488373501199046</v>
      </c>
    </row>
    <row r="1072" spans="1:29" ht="15.75" x14ac:dyDescent="0.25">
      <c r="A1072" s="11">
        <v>2015</v>
      </c>
      <c r="B1072" s="10">
        <f t="shared" ref="B1072:J1072" si="8">AVERAGE(B37:B48)</f>
        <v>3.9565583333333336</v>
      </c>
      <c r="C1072" s="10">
        <f t="shared" si="8"/>
        <v>3.9627416666666662</v>
      </c>
      <c r="D1072" s="10">
        <f t="shared" si="8"/>
        <v>4.106041666666667</v>
      </c>
      <c r="E1072" s="10">
        <f t="shared" si="8"/>
        <v>4.1381250000000005</v>
      </c>
      <c r="F1072" s="10">
        <f t="shared" si="8"/>
        <v>3.9419583333333335</v>
      </c>
      <c r="G1072" s="10">
        <f t="shared" si="8"/>
        <v>3.9569833333333335</v>
      </c>
      <c r="H1072" s="10">
        <f t="shared" si="8"/>
        <v>4.1272416666666665</v>
      </c>
      <c r="I1072" s="10">
        <f t="shared" si="8"/>
        <v>3.9616500000000001</v>
      </c>
      <c r="J1072" s="10">
        <f t="shared" si="8"/>
        <v>3.9349583333333329</v>
      </c>
      <c r="K1072" s="53"/>
      <c r="L1072" s="10">
        <f t="shared" ref="L1072:S1072" si="9">AVERAGE(L37:L48)</f>
        <v>4.7142416666666671</v>
      </c>
      <c r="M1072" s="10">
        <f t="shared" si="9"/>
        <v>3.9090916666666664</v>
      </c>
      <c r="N1072" s="10">
        <f t="shared" si="9"/>
        <v>3.9239333333333328</v>
      </c>
      <c r="O1072" s="10">
        <f t="shared" si="9"/>
        <v>4.0994083333333338</v>
      </c>
      <c r="P1072" s="10">
        <f t="shared" si="9"/>
        <v>3.9355333333333333</v>
      </c>
      <c r="Q1072" s="10">
        <f t="shared" si="9"/>
        <v>4.6947083333333328</v>
      </c>
      <c r="R1072" s="10">
        <f t="shared" si="9"/>
        <v>5.2934583333333327</v>
      </c>
      <c r="S1072" s="10">
        <f t="shared" si="9"/>
        <v>3.8391333333333342</v>
      </c>
      <c r="T1072" s="49">
        <f>SUM(T37:T48)</f>
        <v>364.742681</v>
      </c>
      <c r="U1072" s="49">
        <f>SUM(U37:U48)</f>
        <v>142.03263249999998</v>
      </c>
      <c r="V1072" s="49">
        <f>SUM(V37:V48)</f>
        <v>58.217499999999994</v>
      </c>
      <c r="W1072" s="49">
        <f>SUM(W37:W48)</f>
        <v>8.3657999999999983</v>
      </c>
      <c r="X1072" s="49">
        <f>SUM(X37:X48)</f>
        <v>17.010567464000001</v>
      </c>
      <c r="Y1072" s="49"/>
      <c r="Z1072" s="10">
        <f>AVERAGE(Z37:Z48)</f>
        <v>3.9426333333333332</v>
      </c>
      <c r="AA1072" s="49">
        <f>SUM(AA37:AA48)</f>
        <v>12.811459999999997</v>
      </c>
      <c r="AB1072" s="50">
        <f>AVERAGE(AB37:AB48)</f>
        <v>3.98206644668584</v>
      </c>
      <c r="AC1072" s="45">
        <f>AVERAGE(AC37:AC48)</f>
        <v>3.9766196043165469</v>
      </c>
    </row>
    <row r="1073" spans="1:29" ht="15.75" x14ac:dyDescent="0.25">
      <c r="A1073" s="11">
        <v>2016</v>
      </c>
      <c r="B1073" s="10">
        <f t="shared" ref="B1073:J1073" si="10">AVERAGE(B49:B60)</f>
        <v>4.3707249999999993</v>
      </c>
      <c r="C1073" s="10">
        <f t="shared" si="10"/>
        <v>4.3769</v>
      </c>
      <c r="D1073" s="10">
        <f t="shared" si="10"/>
        <v>4.5201833333333328</v>
      </c>
      <c r="E1073" s="10">
        <f t="shared" si="10"/>
        <v>4.5522749999999998</v>
      </c>
      <c r="F1073" s="10">
        <f t="shared" si="10"/>
        <v>4.356116666666666</v>
      </c>
      <c r="G1073" s="10">
        <f t="shared" si="10"/>
        <v>4.3711416666666674</v>
      </c>
      <c r="H1073" s="10">
        <f t="shared" si="10"/>
        <v>4.5414000000000003</v>
      </c>
      <c r="I1073" s="10">
        <f t="shared" si="10"/>
        <v>4.3757916666666672</v>
      </c>
      <c r="J1073" s="10">
        <f t="shared" si="10"/>
        <v>4.3491166666666663</v>
      </c>
      <c r="K1073" s="53"/>
      <c r="L1073" s="10">
        <f t="shared" ref="L1073:S1073" si="11">AVERAGE(L49:L60)</f>
        <v>5.1284000000000001</v>
      </c>
      <c r="M1073" s="10">
        <f t="shared" si="11"/>
        <v>4.3190499999999998</v>
      </c>
      <c r="N1073" s="10">
        <f t="shared" si="11"/>
        <v>4.3339166666666671</v>
      </c>
      <c r="O1073" s="10">
        <f t="shared" si="11"/>
        <v>4.5093916666666667</v>
      </c>
      <c r="P1073" s="10">
        <f t="shared" si="11"/>
        <v>4.3454999999999995</v>
      </c>
      <c r="Q1073" s="10">
        <f t="shared" si="11"/>
        <v>5.1046916666666666</v>
      </c>
      <c r="R1073" s="10">
        <f t="shared" si="11"/>
        <v>5.7044500000000005</v>
      </c>
      <c r="S1073" s="10">
        <f t="shared" si="11"/>
        <v>4.2413166666666671</v>
      </c>
      <c r="T1073" s="49">
        <f>SUM(T49:T60)</f>
        <v>358.17703550000004</v>
      </c>
      <c r="U1073" s="49">
        <f>SUM(U49:U60)</f>
        <v>142.42176299999997</v>
      </c>
      <c r="V1073" s="49">
        <f>SUM(V49:V60)</f>
        <v>58.377000000000002</v>
      </c>
      <c r="W1073" s="49">
        <f>SUM(W49:W60)</f>
        <v>6.1846754999999982</v>
      </c>
      <c r="X1073" s="49">
        <f>SUM(X49:X60)</f>
        <v>20.800615543999996</v>
      </c>
      <c r="Y1073" s="49"/>
      <c r="Z1073" s="10"/>
      <c r="AA1073" s="49"/>
      <c r="AB1073" s="50">
        <f>AVERAGE(AB49:AB60)</f>
        <v>4.3900896026162526</v>
      </c>
      <c r="AC1073" s="45">
        <f>AVERAGE(AC49:AC60)</f>
        <v>4.3854590527577946</v>
      </c>
    </row>
    <row r="1074" spans="1:29" ht="15.75" x14ac:dyDescent="0.25">
      <c r="A1074" s="11">
        <v>2017</v>
      </c>
      <c r="B1074" s="10">
        <f t="shared" ref="B1074:S1074" si="12">AVERAGE(B61:B72)</f>
        <v>4.7024833333333325</v>
      </c>
      <c r="C1074" s="10">
        <f t="shared" si="12"/>
        <v>4.7086499999999996</v>
      </c>
      <c r="D1074" s="10">
        <f t="shared" si="12"/>
        <v>4.8519333333333332</v>
      </c>
      <c r="E1074" s="10">
        <f t="shared" si="12"/>
        <v>4.8840333333333339</v>
      </c>
      <c r="F1074" s="10">
        <f t="shared" si="12"/>
        <v>4.6878750000000009</v>
      </c>
      <c r="G1074" s="10">
        <f t="shared" si="12"/>
        <v>4.7029000000000005</v>
      </c>
      <c r="H1074" s="10">
        <f t="shared" si="12"/>
        <v>4.8731416666666671</v>
      </c>
      <c r="I1074" s="10">
        <f t="shared" si="12"/>
        <v>4.7075333333333331</v>
      </c>
      <c r="J1074" s="10">
        <f t="shared" si="12"/>
        <v>4.6808750000000003</v>
      </c>
      <c r="K1074" s="53">
        <f t="shared" si="12"/>
        <v>4.7036499999999997</v>
      </c>
      <c r="L1074" s="10">
        <f t="shared" si="12"/>
        <v>5.460141666666666</v>
      </c>
      <c r="M1074" s="10">
        <f t="shared" si="12"/>
        <v>4.6474666666666673</v>
      </c>
      <c r="N1074" s="10">
        <f t="shared" si="12"/>
        <v>4.6623250000000001</v>
      </c>
      <c r="O1074" s="10">
        <f t="shared" si="12"/>
        <v>4.8377916666666669</v>
      </c>
      <c r="P1074" s="10">
        <f t="shared" si="12"/>
        <v>4.6739166666666661</v>
      </c>
      <c r="Q1074" s="10">
        <f t="shared" si="12"/>
        <v>5.4330916666666669</v>
      </c>
      <c r="R1074" s="10">
        <f t="shared" si="12"/>
        <v>6.0336833333333333</v>
      </c>
      <c r="S1074" s="10">
        <f t="shared" si="12"/>
        <v>4.5634749999999995</v>
      </c>
      <c r="T1074" s="49">
        <f>SUM(T61:T72)</f>
        <v>357.24568100000005</v>
      </c>
      <c r="U1074" s="49">
        <f>SUM(U61:U72)</f>
        <v>142.03263249999998</v>
      </c>
      <c r="V1074" s="49">
        <f>SUM(V61:V72)</f>
        <v>58.217499999999994</v>
      </c>
      <c r="W1074" s="49">
        <f>SUM(W61:W72)</f>
        <v>5.0822234999999996</v>
      </c>
      <c r="X1074" s="49">
        <f>SUM(X61:X72)</f>
        <v>20.758966663999999</v>
      </c>
      <c r="Y1074" s="49"/>
      <c r="Z1074" s="10"/>
      <c r="AA1074" s="10"/>
      <c r="AB1074" s="50">
        <f>AVERAGE(AB61:AB72)</f>
        <v>4.721844937346023</v>
      </c>
      <c r="AC1074" s="45">
        <f>AVERAGE(AC61:AC72)</f>
        <v>4.7138691247002393</v>
      </c>
    </row>
    <row r="1075" spans="1:29" ht="15.75" x14ac:dyDescent="0.25">
      <c r="A1075" s="11">
        <v>2018</v>
      </c>
      <c r="B1075" s="10">
        <f t="shared" ref="B1075:S1075" si="13">AVERAGE(B73:B84)</f>
        <v>5.6678999999999995</v>
      </c>
      <c r="C1075" s="10">
        <f t="shared" si="13"/>
        <v>5.6740500000000003</v>
      </c>
      <c r="D1075" s="10">
        <f t="shared" si="13"/>
        <v>5.8173416666666649</v>
      </c>
      <c r="E1075" s="10">
        <f t="shared" si="13"/>
        <v>5.8494416666666664</v>
      </c>
      <c r="F1075" s="10">
        <f t="shared" si="13"/>
        <v>5.6532583333333335</v>
      </c>
      <c r="G1075" s="10">
        <f t="shared" si="13"/>
        <v>5.6682916666666676</v>
      </c>
      <c r="H1075" s="10">
        <f t="shared" si="13"/>
        <v>5.8385500000000006</v>
      </c>
      <c r="I1075" s="10">
        <f t="shared" si="13"/>
        <v>5.6729583333333329</v>
      </c>
      <c r="J1075" s="10">
        <f t="shared" si="13"/>
        <v>5.6462583333333329</v>
      </c>
      <c r="K1075" s="53">
        <f t="shared" si="13"/>
        <v>5.6690749999999994</v>
      </c>
      <c r="L1075" s="10">
        <f t="shared" si="13"/>
        <v>6.4255500000000003</v>
      </c>
      <c r="M1075" s="10">
        <f t="shared" si="13"/>
        <v>5.6031249999999995</v>
      </c>
      <c r="N1075" s="10">
        <f t="shared" si="13"/>
        <v>5.618008333333333</v>
      </c>
      <c r="O1075" s="10">
        <f t="shared" si="13"/>
        <v>5.7934583333333336</v>
      </c>
      <c r="P1075" s="10">
        <f t="shared" si="13"/>
        <v>5.629575</v>
      </c>
      <c r="Q1075" s="10">
        <f t="shared" si="13"/>
        <v>6.3887583333333327</v>
      </c>
      <c r="R1075" s="10">
        <f t="shared" si="13"/>
        <v>6.9917333333333334</v>
      </c>
      <c r="S1075" s="10">
        <f t="shared" si="13"/>
        <v>5.5009750000000004</v>
      </c>
      <c r="T1075" s="49">
        <f>SUM(T73:T84)</f>
        <v>357.24568100000005</v>
      </c>
      <c r="U1075" s="49">
        <f>SUM(U73:U84)</f>
        <v>142.03263249999998</v>
      </c>
      <c r="V1075" s="49">
        <f>SUM(V73:V84)</f>
        <v>50.187500000000007</v>
      </c>
      <c r="W1075" s="49">
        <f>SUM(W73:W84)</f>
        <v>5.0822234999999996</v>
      </c>
      <c r="X1075" s="49">
        <f>SUM(X73:X84)</f>
        <v>20.758966663999999</v>
      </c>
      <c r="Y1075" s="49"/>
      <c r="Z1075" s="10"/>
      <c r="AA1075" s="10"/>
      <c r="AB1075" s="50">
        <f>AVERAGE(AB73:AB84)</f>
        <v>5.6872430766176665</v>
      </c>
      <c r="AC1075" s="45">
        <f>AVERAGE(AC73:AC84)</f>
        <v>5.6695341127098331</v>
      </c>
    </row>
    <row r="1076" spans="1:29" ht="15.75" x14ac:dyDescent="0.25">
      <c r="A1076" s="11">
        <v>2019</v>
      </c>
      <c r="B1076" s="10">
        <f t="shared" ref="B1076:S1076" si="14">AVERAGE(B85:B96)</f>
        <v>6.1312999999999995</v>
      </c>
      <c r="C1076" s="10">
        <f t="shared" si="14"/>
        <v>6.1374500000000003</v>
      </c>
      <c r="D1076" s="10">
        <f t="shared" si="14"/>
        <v>6.2807249999999994</v>
      </c>
      <c r="E1076" s="10">
        <f t="shared" si="14"/>
        <v>6.3128333333333337</v>
      </c>
      <c r="F1076" s="10">
        <f t="shared" si="14"/>
        <v>6.1166749999999999</v>
      </c>
      <c r="G1076" s="10">
        <f t="shared" si="14"/>
        <v>6.1316833333333323</v>
      </c>
      <c r="H1076" s="10">
        <f t="shared" si="14"/>
        <v>6.3019500000000006</v>
      </c>
      <c r="I1076" s="10">
        <f t="shared" si="14"/>
        <v>6.1363583333333329</v>
      </c>
      <c r="J1076" s="10">
        <f t="shared" si="14"/>
        <v>6.1096750000000002</v>
      </c>
      <c r="K1076" s="53">
        <f t="shared" si="14"/>
        <v>6.1324583333333322</v>
      </c>
      <c r="L1076" s="10">
        <f t="shared" si="14"/>
        <v>6.8889500000000004</v>
      </c>
      <c r="M1076" s="10">
        <f t="shared" si="14"/>
        <v>6.0618416666666661</v>
      </c>
      <c r="N1076" s="10">
        <f t="shared" si="14"/>
        <v>6.0767166666666661</v>
      </c>
      <c r="O1076" s="10">
        <f t="shared" si="14"/>
        <v>6.2521666666666667</v>
      </c>
      <c r="P1076" s="10">
        <f t="shared" si="14"/>
        <v>6.0882833333333339</v>
      </c>
      <c r="Q1076" s="10">
        <f t="shared" si="14"/>
        <v>6.8474666666666666</v>
      </c>
      <c r="R1076" s="10">
        <f t="shared" si="14"/>
        <v>7.4515916666666664</v>
      </c>
      <c r="S1076" s="10">
        <f t="shared" si="14"/>
        <v>5.9509749999999997</v>
      </c>
      <c r="T1076" s="49">
        <f>SUM(T85:T96)</f>
        <v>357.24568100000005</v>
      </c>
      <c r="U1076" s="49">
        <f>SUM(U85:U96)</f>
        <v>142.03263249999998</v>
      </c>
      <c r="V1076" s="49">
        <f>SUM(V85:V96)</f>
        <v>50.187500000000007</v>
      </c>
      <c r="W1076" s="49">
        <f>SUM(W85:W96)</f>
        <v>5.0822234999999996</v>
      </c>
      <c r="X1076" s="49">
        <f>SUM(X85:X96)</f>
        <v>20.758966663999999</v>
      </c>
      <c r="Y1076" s="49"/>
      <c r="Z1076" s="10"/>
      <c r="AA1076" s="10"/>
      <c r="AB1076" s="50">
        <f>AVERAGE(AB85:AB96)</f>
        <v>6.1506450327296278</v>
      </c>
      <c r="AC1076" s="45">
        <f>AVERAGE(AC85:AC96)</f>
        <v>6.1282438848920862</v>
      </c>
    </row>
    <row r="1077" spans="1:29" ht="15.75" x14ac:dyDescent="0.25">
      <c r="A1077" s="11">
        <v>2020</v>
      </c>
      <c r="B1077" s="10">
        <f t="shared" ref="B1077:S1077" si="15">AVERAGE(B97:B108)</f>
        <v>6.2857583333333329</v>
      </c>
      <c r="C1077" s="10">
        <f t="shared" si="15"/>
        <v>6.2919083333333345</v>
      </c>
      <c r="D1077" s="10">
        <f t="shared" si="15"/>
        <v>6.4351833333333337</v>
      </c>
      <c r="E1077" s="10">
        <f t="shared" si="15"/>
        <v>6.4672916666666671</v>
      </c>
      <c r="F1077" s="10">
        <f t="shared" si="15"/>
        <v>6.2711333333333323</v>
      </c>
      <c r="G1077" s="10">
        <f t="shared" si="15"/>
        <v>6.2861583333333337</v>
      </c>
      <c r="H1077" s="10">
        <f t="shared" si="15"/>
        <v>6.4564166666666658</v>
      </c>
      <c r="I1077" s="10">
        <f t="shared" si="15"/>
        <v>6.290824999999999</v>
      </c>
      <c r="J1077" s="10">
        <f t="shared" si="15"/>
        <v>6.2641333333333336</v>
      </c>
      <c r="K1077" s="53">
        <f t="shared" si="15"/>
        <v>6.2869250000000001</v>
      </c>
      <c r="L1077" s="10">
        <f t="shared" si="15"/>
        <v>7.0434166666666682</v>
      </c>
      <c r="M1077" s="10">
        <f t="shared" si="15"/>
        <v>6.2147499999999996</v>
      </c>
      <c r="N1077" s="10">
        <f t="shared" si="15"/>
        <v>6.2296250000000013</v>
      </c>
      <c r="O1077" s="10">
        <f t="shared" si="15"/>
        <v>6.4050833333333337</v>
      </c>
      <c r="P1077" s="10">
        <f t="shared" si="15"/>
        <v>6.2412083333333328</v>
      </c>
      <c r="Q1077" s="10">
        <f t="shared" si="15"/>
        <v>7.0003833333333327</v>
      </c>
      <c r="R1077" s="10">
        <f t="shared" si="15"/>
        <v>7.6048916666666662</v>
      </c>
      <c r="S1077" s="10">
        <f t="shared" si="15"/>
        <v>6.1009666666666655</v>
      </c>
      <c r="T1077" s="49">
        <f>SUM(T97:T108)</f>
        <v>358.17703550000004</v>
      </c>
      <c r="U1077" s="49">
        <f>SUM(U97:U108)</f>
        <v>142.42176299999997</v>
      </c>
      <c r="V1077" s="49">
        <f>SUM(V97:V108)</f>
        <v>50.325000000000003</v>
      </c>
      <c r="W1077" s="49">
        <f>SUM(W97:W108)</f>
        <v>5.0961473999999995</v>
      </c>
      <c r="X1077" s="49">
        <f>SUM(X97:X108)</f>
        <v>20.800615543999996</v>
      </c>
      <c r="Y1077" s="49"/>
      <c r="Z1077" s="10"/>
      <c r="AA1077" s="10"/>
      <c r="AB1077" s="50">
        <f>AVERAGE(AB97:AB108)</f>
        <v>6.3051071136557892</v>
      </c>
      <c r="AC1077" s="45">
        <f>AVERAGE(AC97:AC108)</f>
        <v>6.2811612709832145</v>
      </c>
    </row>
    <row r="1078" spans="1:29" ht="15.75" x14ac:dyDescent="0.25">
      <c r="A1078" s="11">
        <v>2021</v>
      </c>
      <c r="B1078" s="10">
        <f t="shared" ref="B1078:S1078" si="16">AVERAGE(B109:B120)</f>
        <v>6.3887166666666664</v>
      </c>
      <c r="C1078" s="10">
        <f t="shared" si="16"/>
        <v>6.3948833333333335</v>
      </c>
      <c r="D1078" s="10">
        <f t="shared" si="16"/>
        <v>6.5381833333333335</v>
      </c>
      <c r="E1078" s="10">
        <f t="shared" si="16"/>
        <v>6.5702749999999996</v>
      </c>
      <c r="F1078" s="10">
        <f t="shared" si="16"/>
        <v>6.3741000000000012</v>
      </c>
      <c r="G1078" s="10">
        <f t="shared" si="16"/>
        <v>6.3891333333333327</v>
      </c>
      <c r="H1078" s="10">
        <f t="shared" si="16"/>
        <v>6.5593750000000002</v>
      </c>
      <c r="I1078" s="10">
        <f t="shared" si="16"/>
        <v>6.3938083333333333</v>
      </c>
      <c r="J1078" s="10">
        <f t="shared" si="16"/>
        <v>6.3670999999999998</v>
      </c>
      <c r="K1078" s="53">
        <f t="shared" si="16"/>
        <v>6.3899166666666671</v>
      </c>
      <c r="L1078" s="10">
        <f t="shared" si="16"/>
        <v>7.1463749999999999</v>
      </c>
      <c r="M1078" s="10">
        <f t="shared" si="16"/>
        <v>6.3166666666666655</v>
      </c>
      <c r="N1078" s="10">
        <f t="shared" si="16"/>
        <v>6.33155</v>
      </c>
      <c r="O1078" s="10">
        <f t="shared" si="16"/>
        <v>6.5070250000000014</v>
      </c>
      <c r="P1078" s="10">
        <f t="shared" si="16"/>
        <v>6.3431416666666669</v>
      </c>
      <c r="Q1078" s="10">
        <f t="shared" si="16"/>
        <v>7.1023249999999996</v>
      </c>
      <c r="R1078" s="10">
        <f t="shared" si="16"/>
        <v>7.7070666666666652</v>
      </c>
      <c r="S1078" s="10">
        <f t="shared" si="16"/>
        <v>6.2009749999999997</v>
      </c>
      <c r="T1078" s="49">
        <f>SUM(T109:T120)</f>
        <v>357.24568100000005</v>
      </c>
      <c r="U1078" s="49">
        <f>SUM(U109:U120)</f>
        <v>142.03263249999998</v>
      </c>
      <c r="V1078" s="49">
        <f>SUM(V109:V120)</f>
        <v>50.187500000000007</v>
      </c>
      <c r="W1078" s="49">
        <f>SUM(W109:W120)</f>
        <v>5.0822234999999996</v>
      </c>
      <c r="X1078" s="49">
        <f>SUM(X109:X120)</f>
        <v>20.758966663999999</v>
      </c>
      <c r="Y1078" s="49"/>
      <c r="Z1078" s="10"/>
      <c r="AA1078" s="10"/>
      <c r="AB1078" s="50">
        <f>AVERAGE(AB109:AB120)</f>
        <v>6.4080806184736661</v>
      </c>
      <c r="AC1078" s="45">
        <f>AVERAGE(AC109:AC120)</f>
        <v>6.383087829736211</v>
      </c>
    </row>
    <row r="1079" spans="1:29" ht="15.75" x14ac:dyDescent="0.25">
      <c r="A1079" s="11">
        <v>2022</v>
      </c>
      <c r="B1079" s="10">
        <f t="shared" ref="B1079:S1079" si="17">AVERAGE(B121:B132)</f>
        <v>6.5946749999999996</v>
      </c>
      <c r="C1079" s="10">
        <f t="shared" si="17"/>
        <v>6.6008250000000004</v>
      </c>
      <c r="D1079" s="10">
        <f t="shared" si="17"/>
        <v>6.7441249999999995</v>
      </c>
      <c r="E1079" s="10">
        <f t="shared" si="17"/>
        <v>6.7762333333333329</v>
      </c>
      <c r="F1079" s="10">
        <f t="shared" si="17"/>
        <v>6.5800666666666663</v>
      </c>
      <c r="G1079" s="10">
        <f t="shared" si="17"/>
        <v>6.5950833333333341</v>
      </c>
      <c r="H1079" s="10">
        <f t="shared" si="17"/>
        <v>6.7653333333333343</v>
      </c>
      <c r="I1079" s="10">
        <f t="shared" si="17"/>
        <v>6.5997500000000002</v>
      </c>
      <c r="J1079" s="10">
        <f t="shared" si="17"/>
        <v>6.5730666666666684</v>
      </c>
      <c r="K1079" s="53">
        <f t="shared" si="17"/>
        <v>6.5958666666666659</v>
      </c>
      <c r="L1079" s="10">
        <f t="shared" si="17"/>
        <v>7.3523333333333341</v>
      </c>
      <c r="M1079" s="10">
        <f t="shared" si="17"/>
        <v>6.5205666666666673</v>
      </c>
      <c r="N1079" s="10">
        <f t="shared" si="17"/>
        <v>6.5354333333333336</v>
      </c>
      <c r="O1079" s="10">
        <f t="shared" si="17"/>
        <v>6.710891666666666</v>
      </c>
      <c r="P1079" s="10">
        <f t="shared" si="17"/>
        <v>6.5469999999999997</v>
      </c>
      <c r="Q1079" s="10">
        <f t="shared" si="17"/>
        <v>7.306191666666666</v>
      </c>
      <c r="R1079" s="10">
        <f t="shared" si="17"/>
        <v>7.9114583333333321</v>
      </c>
      <c r="S1079" s="10">
        <f t="shared" si="17"/>
        <v>6.4009833333333326</v>
      </c>
      <c r="T1079" s="49">
        <f>SUM(T121:T132)</f>
        <v>357.24568100000005</v>
      </c>
      <c r="U1079" s="49">
        <f>SUM(U121:U132)</f>
        <v>142.03263249999998</v>
      </c>
      <c r="V1079" s="49">
        <f>SUM(V121:V132)</f>
        <v>50.187500000000007</v>
      </c>
      <c r="W1079" s="49">
        <f>SUM(W121:W132)</f>
        <v>5.0822234999999996</v>
      </c>
      <c r="X1079" s="49">
        <f>SUM(X121:X132)</f>
        <v>20.758966663999999</v>
      </c>
      <c r="Y1079" s="49"/>
      <c r="Z1079" s="10"/>
      <c r="AA1079" s="10"/>
      <c r="AB1079" s="50">
        <f>AVERAGE(AB121:AB132)</f>
        <v>6.6140332719538222</v>
      </c>
      <c r="AC1079" s="45">
        <f>AVERAGE(AC121:AC132)</f>
        <v>6.5869686450839326</v>
      </c>
    </row>
    <row r="1080" spans="1:29" ht="15.75" x14ac:dyDescent="0.25">
      <c r="A1080" s="11">
        <v>2023</v>
      </c>
      <c r="B1080" s="10">
        <f t="shared" ref="B1080:S1080" si="18">AVERAGE(B133:B144)</f>
        <v>6.9036</v>
      </c>
      <c r="C1080" s="10">
        <f t="shared" si="18"/>
        <v>6.9097666666666671</v>
      </c>
      <c r="D1080" s="10">
        <f t="shared" si="18"/>
        <v>7.0530583333333334</v>
      </c>
      <c r="E1080" s="10">
        <f t="shared" si="18"/>
        <v>7.0851666666666659</v>
      </c>
      <c r="F1080" s="10">
        <f t="shared" si="18"/>
        <v>6.8889916666666666</v>
      </c>
      <c r="G1080" s="10">
        <f t="shared" si="18"/>
        <v>6.9040249999999999</v>
      </c>
      <c r="H1080" s="10">
        <f t="shared" si="18"/>
        <v>7.0742666666666665</v>
      </c>
      <c r="I1080" s="10">
        <f t="shared" si="18"/>
        <v>6.9086666666666661</v>
      </c>
      <c r="J1080" s="10">
        <f t="shared" si="18"/>
        <v>6.881991666666667</v>
      </c>
      <c r="K1080" s="53">
        <f t="shared" si="18"/>
        <v>6.9047833333333344</v>
      </c>
      <c r="L1080" s="10">
        <f t="shared" si="18"/>
        <v>7.6612666666666662</v>
      </c>
      <c r="M1080" s="10">
        <f t="shared" si="18"/>
        <v>6.8263666666666651</v>
      </c>
      <c r="N1080" s="10">
        <f t="shared" si="18"/>
        <v>6.8412249999999988</v>
      </c>
      <c r="O1080" s="10">
        <f t="shared" si="18"/>
        <v>7.0166916666666674</v>
      </c>
      <c r="P1080" s="10">
        <f t="shared" si="18"/>
        <v>6.8528166666666666</v>
      </c>
      <c r="Q1080" s="10">
        <f t="shared" si="18"/>
        <v>7.6119916666666647</v>
      </c>
      <c r="R1080" s="10">
        <f t="shared" si="18"/>
        <v>8.218041666666668</v>
      </c>
      <c r="S1080" s="10">
        <f t="shared" si="18"/>
        <v>6.7009833333333333</v>
      </c>
      <c r="T1080" s="49">
        <f>SUM(T133:T144)</f>
        <v>357.24568100000005</v>
      </c>
      <c r="U1080" s="49">
        <f>SUM(U133:U144)</f>
        <v>142.03263249999998</v>
      </c>
      <c r="V1080" s="49">
        <f>SUM(V133:V144)</f>
        <v>50.187500000000007</v>
      </c>
      <c r="W1080" s="49">
        <f>SUM(W133:W144)</f>
        <v>5.0822234999999996</v>
      </c>
      <c r="X1080" s="49">
        <f>SUM(X133:X144)</f>
        <v>20.758966663999999</v>
      </c>
      <c r="Y1080" s="49"/>
      <c r="Z1080" s="10"/>
      <c r="AA1080" s="10"/>
      <c r="AB1080" s="50">
        <f>AVERAGE(AB133:AB144)</f>
        <v>6.9229654128765921</v>
      </c>
      <c r="AC1080" s="45">
        <f>AVERAGE(AC133:AC144)</f>
        <v>6.8927676858513189</v>
      </c>
    </row>
    <row r="1081" spans="1:29" ht="15.75" x14ac:dyDescent="0.25">
      <c r="A1081" s="11">
        <v>2024</v>
      </c>
      <c r="B1081" s="10">
        <f t="shared" ref="B1081:S1081" si="19">AVERAGE(B145:B156)</f>
        <v>7.3154999999999992</v>
      </c>
      <c r="C1081" s="10">
        <f t="shared" si="19"/>
        <v>7.3216749999999999</v>
      </c>
      <c r="D1081" s="10">
        <f t="shared" si="19"/>
        <v>7.4649666666666654</v>
      </c>
      <c r="E1081" s="10">
        <f t="shared" si="19"/>
        <v>7.4970583333333325</v>
      </c>
      <c r="F1081" s="10">
        <f t="shared" si="19"/>
        <v>7.3008916666666659</v>
      </c>
      <c r="G1081" s="10">
        <f t="shared" si="19"/>
        <v>7.315925</v>
      </c>
      <c r="H1081" s="10">
        <f t="shared" si="19"/>
        <v>7.4861666666666666</v>
      </c>
      <c r="I1081" s="10">
        <f t="shared" si="19"/>
        <v>7.3205666666666653</v>
      </c>
      <c r="J1081" s="10">
        <f t="shared" si="19"/>
        <v>7.2938916666666671</v>
      </c>
      <c r="K1081" s="53">
        <f t="shared" si="19"/>
        <v>7.3167083333333336</v>
      </c>
      <c r="L1081" s="10">
        <f t="shared" si="19"/>
        <v>8.0731666666666673</v>
      </c>
      <c r="M1081" s="10">
        <f t="shared" si="19"/>
        <v>7.2341166666666661</v>
      </c>
      <c r="N1081" s="10">
        <f t="shared" si="19"/>
        <v>7.2489916666666661</v>
      </c>
      <c r="O1081" s="10">
        <f t="shared" si="19"/>
        <v>7.4244583333333329</v>
      </c>
      <c r="P1081" s="10">
        <f t="shared" si="19"/>
        <v>7.260558333333333</v>
      </c>
      <c r="Q1081" s="10">
        <f t="shared" si="19"/>
        <v>8.0197583333333338</v>
      </c>
      <c r="R1081" s="10">
        <f t="shared" si="19"/>
        <v>8.6267833333333339</v>
      </c>
      <c r="S1081" s="10">
        <f t="shared" si="19"/>
        <v>7.1009750000000009</v>
      </c>
      <c r="T1081" s="49">
        <f>SUM(T145:T156)</f>
        <v>358.17703550000004</v>
      </c>
      <c r="U1081" s="49">
        <f>SUM(U145:U156)</f>
        <v>142.42176299999997</v>
      </c>
      <c r="V1081" s="49">
        <f>SUM(V145:V156)</f>
        <v>50.325000000000003</v>
      </c>
      <c r="W1081" s="49">
        <f>SUM(W145:W156)</f>
        <v>5.0961473999999995</v>
      </c>
      <c r="X1081" s="49">
        <f>SUM(X145:X156)</f>
        <v>20.800615543999996</v>
      </c>
      <c r="Y1081" s="49"/>
      <c r="Z1081" s="10"/>
      <c r="AA1081" s="10"/>
      <c r="AB1081" s="50">
        <f>AVERAGE(AB145:AB156)</f>
        <v>7.3348674866397277</v>
      </c>
      <c r="AC1081" s="45">
        <f>AVERAGE(AC145:AC156)</f>
        <v>7.3005249999999995</v>
      </c>
    </row>
    <row r="1082" spans="1:29" ht="15.75" x14ac:dyDescent="0.25">
      <c r="A1082" s="11">
        <v>2025</v>
      </c>
      <c r="B1082" s="10">
        <f t="shared" ref="B1082:S1082" si="20">AVERAGE(B157:B168)</f>
        <v>7.6244250000000013</v>
      </c>
      <c r="C1082" s="10">
        <f t="shared" si="20"/>
        <v>7.6306000000000012</v>
      </c>
      <c r="D1082" s="10">
        <f t="shared" si="20"/>
        <v>7.7739000000000003</v>
      </c>
      <c r="E1082" s="10">
        <f t="shared" si="20"/>
        <v>7.8059750000000001</v>
      </c>
      <c r="F1082" s="10">
        <f t="shared" si="20"/>
        <v>7.6098333333333343</v>
      </c>
      <c r="G1082" s="10">
        <f t="shared" si="20"/>
        <v>7.6248499999999995</v>
      </c>
      <c r="H1082" s="10">
        <f t="shared" si="20"/>
        <v>7.7950916666666652</v>
      </c>
      <c r="I1082" s="10">
        <f t="shared" si="20"/>
        <v>7.6295083333333338</v>
      </c>
      <c r="J1082" s="10">
        <f t="shared" si="20"/>
        <v>7.6028333333333338</v>
      </c>
      <c r="K1082" s="53">
        <f t="shared" si="20"/>
        <v>7.6256250000000003</v>
      </c>
      <c r="L1082" s="10">
        <f t="shared" si="20"/>
        <v>8.3820916666666658</v>
      </c>
      <c r="M1082" s="10">
        <f t="shared" si="20"/>
        <v>7.5399333333333338</v>
      </c>
      <c r="N1082" s="10">
        <f t="shared" si="20"/>
        <v>7.5548000000000011</v>
      </c>
      <c r="O1082" s="10">
        <f t="shared" si="20"/>
        <v>7.7302583333333326</v>
      </c>
      <c r="P1082" s="10">
        <f t="shared" si="20"/>
        <v>7.5663833333333343</v>
      </c>
      <c r="Q1082" s="10">
        <f t="shared" si="20"/>
        <v>8.3255583333333352</v>
      </c>
      <c r="R1082" s="10">
        <f t="shared" si="20"/>
        <v>8.9333749999999998</v>
      </c>
      <c r="S1082" s="10">
        <f t="shared" si="20"/>
        <v>7.400974999999999</v>
      </c>
      <c r="T1082" s="49">
        <f>SUM(T157:T168)</f>
        <v>357.24568100000005</v>
      </c>
      <c r="U1082" s="49">
        <f>SUM(U157:U168)</f>
        <v>142.03263249999998</v>
      </c>
      <c r="V1082" s="49">
        <f>SUM(V157:V168)</f>
        <v>50.187500000000007</v>
      </c>
      <c r="W1082" s="49">
        <f>SUM(W157:W168)</f>
        <v>5.0822234999999996</v>
      </c>
      <c r="X1082" s="49">
        <f>SUM(X157:X168)</f>
        <v>20.758966663999999</v>
      </c>
      <c r="Y1082" s="49"/>
      <c r="Z1082" s="10"/>
      <c r="AA1082" s="10"/>
      <c r="AB1082" s="50">
        <f>AVERAGE(AB157:AB168)</f>
        <v>7.6437990356651291</v>
      </c>
      <c r="AC1082" s="45">
        <f>AVERAGE(AC157:AC168)</f>
        <v>7.6063362709832125</v>
      </c>
    </row>
    <row r="1083" spans="1:29" ht="15.75" x14ac:dyDescent="0.25">
      <c r="A1083" s="11">
        <v>2026</v>
      </c>
      <c r="B1083" s="10">
        <f t="shared" ref="B1083:S1083" si="21">AVERAGE(B169:B180)</f>
        <v>7.9333583333333317</v>
      </c>
      <c r="C1083" s="10">
        <f t="shared" si="21"/>
        <v>7.9395333333333333</v>
      </c>
      <c r="D1083" s="10">
        <f t="shared" si="21"/>
        <v>8.0828166666666679</v>
      </c>
      <c r="E1083" s="10">
        <f t="shared" si="21"/>
        <v>8.1149083333333323</v>
      </c>
      <c r="F1083" s="10">
        <f t="shared" si="21"/>
        <v>7.9187416666666666</v>
      </c>
      <c r="G1083" s="10">
        <f t="shared" si="21"/>
        <v>7.9337749999999998</v>
      </c>
      <c r="H1083" s="10">
        <f t="shared" si="21"/>
        <v>8.1040250000000018</v>
      </c>
      <c r="I1083" s="10">
        <f t="shared" si="21"/>
        <v>7.9384333333333332</v>
      </c>
      <c r="J1083" s="10">
        <f t="shared" si="21"/>
        <v>7.9117416666666669</v>
      </c>
      <c r="K1083" s="53">
        <f t="shared" si="21"/>
        <v>7.9345333333333317</v>
      </c>
      <c r="L1083" s="10">
        <f t="shared" si="21"/>
        <v>8.691024999999998</v>
      </c>
      <c r="M1083" s="10">
        <f t="shared" si="21"/>
        <v>7.8457416666666653</v>
      </c>
      <c r="N1083" s="10">
        <f t="shared" si="21"/>
        <v>7.8606083333333325</v>
      </c>
      <c r="O1083" s="10">
        <f t="shared" si="21"/>
        <v>8.0360833333333321</v>
      </c>
      <c r="P1083" s="10">
        <f t="shared" si="21"/>
        <v>7.8721916666666667</v>
      </c>
      <c r="Q1083" s="10">
        <f t="shared" si="21"/>
        <v>8.6313833333333339</v>
      </c>
      <c r="R1083" s="10">
        <f t="shared" si="21"/>
        <v>9.2399500000000003</v>
      </c>
      <c r="S1083" s="10">
        <f t="shared" si="21"/>
        <v>7.7009916666666669</v>
      </c>
      <c r="T1083" s="49">
        <f>SUM(T169:T180)</f>
        <v>357.24568100000005</v>
      </c>
      <c r="U1083" s="49">
        <f>SUM(U169:U180)</f>
        <v>142.03263249999998</v>
      </c>
      <c r="V1083" s="49">
        <f>SUM(V169:V180)</f>
        <v>50.187500000000007</v>
      </c>
      <c r="W1083" s="49">
        <f>SUM(W169:W180)</f>
        <v>5.0822234999999996</v>
      </c>
      <c r="X1083" s="49">
        <f>SUM(X169:X180)</f>
        <v>20.758966663999999</v>
      </c>
      <c r="Y1083" s="49"/>
      <c r="Z1083" s="10"/>
      <c r="AA1083" s="10"/>
      <c r="AB1083" s="50">
        <f>AVERAGE(AB169:AB180)</f>
        <v>7.9527214082433275</v>
      </c>
      <c r="AC1083" s="45">
        <f>AVERAGE(AC169:AC180)</f>
        <v>7.9121521582733791</v>
      </c>
    </row>
    <row r="1084" spans="1:29" ht="15.75" x14ac:dyDescent="0.25">
      <c r="A1084" s="11">
        <v>2027</v>
      </c>
      <c r="B1084" s="10">
        <f t="shared" ref="B1084:S1084" si="22">AVERAGE(B181:B192)</f>
        <v>8.242300000000002</v>
      </c>
      <c r="C1084" s="10">
        <f t="shared" si="22"/>
        <v>8.2484666666666655</v>
      </c>
      <c r="D1084" s="10">
        <f t="shared" si="22"/>
        <v>8.3917416666666664</v>
      </c>
      <c r="E1084" s="10">
        <f t="shared" si="22"/>
        <v>8.4238499999999998</v>
      </c>
      <c r="F1084" s="10">
        <f t="shared" si="22"/>
        <v>8.2276833333333332</v>
      </c>
      <c r="G1084" s="10">
        <f t="shared" si="22"/>
        <v>8.2427083333333346</v>
      </c>
      <c r="H1084" s="10">
        <f t="shared" si="22"/>
        <v>8.4129666666666676</v>
      </c>
      <c r="I1084" s="10">
        <f t="shared" si="22"/>
        <v>8.2473666666666663</v>
      </c>
      <c r="J1084" s="10">
        <f t="shared" si="22"/>
        <v>8.2206833333333318</v>
      </c>
      <c r="K1084" s="53">
        <f t="shared" si="22"/>
        <v>8.2434749999999983</v>
      </c>
      <c r="L1084" s="10">
        <f t="shared" si="22"/>
        <v>8.9999666666666673</v>
      </c>
      <c r="M1084" s="10">
        <f t="shared" si="22"/>
        <v>8.1515416666666667</v>
      </c>
      <c r="N1084" s="10">
        <f t="shared" si="22"/>
        <v>8.166425000000002</v>
      </c>
      <c r="O1084" s="10">
        <f t="shared" si="22"/>
        <v>8.3419000000000008</v>
      </c>
      <c r="P1084" s="10">
        <f t="shared" si="22"/>
        <v>8.1779916666666654</v>
      </c>
      <c r="Q1084" s="10">
        <f t="shared" si="22"/>
        <v>8.9372000000000007</v>
      </c>
      <c r="R1084" s="10">
        <f t="shared" si="22"/>
        <v>9.5465250000000008</v>
      </c>
      <c r="S1084" s="10">
        <f t="shared" si="22"/>
        <v>8.0009833333333322</v>
      </c>
      <c r="T1084" s="49">
        <f>SUM(T181:T192)</f>
        <v>357.24568100000005</v>
      </c>
      <c r="U1084" s="49">
        <f>SUM(U181:U192)</f>
        <v>142.03263249999998</v>
      </c>
      <c r="V1084" s="49">
        <f>SUM(V181:V192)</f>
        <v>50.187500000000007</v>
      </c>
      <c r="W1084" s="49">
        <f>SUM(W181:W192)</f>
        <v>5.0822234999999996</v>
      </c>
      <c r="X1084" s="49">
        <f>SUM(X181:X192)</f>
        <v>20.758966663999999</v>
      </c>
      <c r="Y1084" s="49"/>
      <c r="Z1084" s="10"/>
      <c r="AA1084" s="10"/>
      <c r="AB1084" s="50">
        <f>AVERAGE(AB181:AB192)</f>
        <v>8.2616575883921453</v>
      </c>
      <c r="AC1084" s="45">
        <f>AVERAGE(AC181:AC192)</f>
        <v>8.217959232613909</v>
      </c>
    </row>
    <row r="1085" spans="1:29" ht="15.75" x14ac:dyDescent="0.25">
      <c r="A1085" s="11">
        <v>2028</v>
      </c>
      <c r="B1085" s="10">
        <f t="shared" ref="B1085:S1085" si="23">AVERAGE(B193:B204)</f>
        <v>8.6542083333333331</v>
      </c>
      <c r="C1085" s="10">
        <f t="shared" si="23"/>
        <v>8.6603583333333347</v>
      </c>
      <c r="D1085" s="10">
        <f t="shared" si="23"/>
        <v>8.8036416666666675</v>
      </c>
      <c r="E1085" s="10">
        <f t="shared" si="23"/>
        <v>8.8357583333333327</v>
      </c>
      <c r="F1085" s="10">
        <f t="shared" si="23"/>
        <v>8.6395916666666661</v>
      </c>
      <c r="G1085" s="10">
        <f t="shared" si="23"/>
        <v>8.6546083333333339</v>
      </c>
      <c r="H1085" s="10">
        <f t="shared" si="23"/>
        <v>8.8248583333333332</v>
      </c>
      <c r="I1085" s="10">
        <f t="shared" si="23"/>
        <v>8.6592749999999992</v>
      </c>
      <c r="J1085" s="10">
        <f t="shared" si="23"/>
        <v>8.6325916666666664</v>
      </c>
      <c r="K1085" s="53">
        <f t="shared" si="23"/>
        <v>8.6553750000000012</v>
      </c>
      <c r="L1085" s="10">
        <f t="shared" si="23"/>
        <v>9.411858333333333</v>
      </c>
      <c r="M1085" s="10">
        <f t="shared" si="23"/>
        <v>8.5592833333333331</v>
      </c>
      <c r="N1085" s="10">
        <f t="shared" si="23"/>
        <v>8.5741749999999985</v>
      </c>
      <c r="O1085" s="10">
        <f t="shared" si="23"/>
        <v>8.7496250000000018</v>
      </c>
      <c r="P1085" s="10">
        <f t="shared" si="23"/>
        <v>8.5857583333333327</v>
      </c>
      <c r="Q1085" s="10">
        <f t="shared" si="23"/>
        <v>9.3449249999999999</v>
      </c>
      <c r="R1085" s="10">
        <f t="shared" si="23"/>
        <v>9.9552916666666658</v>
      </c>
      <c r="S1085" s="10">
        <f t="shared" si="23"/>
        <v>8.4009833333333344</v>
      </c>
      <c r="T1085" s="49">
        <f>SUM(T193:T204)</f>
        <v>358.17703550000004</v>
      </c>
      <c r="U1085" s="49">
        <f>SUM(U193:U204)</f>
        <v>142.42176299999997</v>
      </c>
      <c r="V1085" s="49">
        <f>SUM(V193:V204)</f>
        <v>50.325000000000003</v>
      </c>
      <c r="W1085" s="49">
        <f>SUM(W193:W204)</f>
        <v>5.0961473999999995</v>
      </c>
      <c r="X1085" s="49">
        <f>SUM(X193:X204)</f>
        <v>20.800615543999996</v>
      </c>
      <c r="Y1085" s="49"/>
      <c r="Z1085" s="10"/>
      <c r="AA1085" s="10"/>
      <c r="AB1085" s="50">
        <f>AVERAGE(AB193:AB204)</f>
        <v>8.6735602665759224</v>
      </c>
      <c r="AC1085" s="45">
        <f>AVERAGE(AC193:AC204)</f>
        <v>8.6256988609112693</v>
      </c>
    </row>
    <row r="1086" spans="1:29" ht="15.75" x14ac:dyDescent="0.25">
      <c r="A1086" s="11">
        <v>2029</v>
      </c>
      <c r="B1086" s="10">
        <f t="shared" ref="B1086:S1086" si="24">AVERAGE(B205:B216)</f>
        <v>8.9631333333333334</v>
      </c>
      <c r="C1086" s="10">
        <f t="shared" si="24"/>
        <v>8.9693000000000005</v>
      </c>
      <c r="D1086" s="10">
        <f t="shared" si="24"/>
        <v>9.1125916666666669</v>
      </c>
      <c r="E1086" s="10">
        <f t="shared" si="24"/>
        <v>9.1446916666666667</v>
      </c>
      <c r="F1086" s="10">
        <f t="shared" si="24"/>
        <v>8.9485249999999983</v>
      </c>
      <c r="G1086" s="10">
        <f t="shared" si="24"/>
        <v>8.9635499999999997</v>
      </c>
      <c r="H1086" s="10">
        <f t="shared" si="24"/>
        <v>9.1337916666666654</v>
      </c>
      <c r="I1086" s="10">
        <f t="shared" si="24"/>
        <v>8.9681916666666659</v>
      </c>
      <c r="J1086" s="10">
        <f t="shared" si="24"/>
        <v>8.9415250000000004</v>
      </c>
      <c r="K1086" s="53">
        <f t="shared" si="24"/>
        <v>8.9643166666666669</v>
      </c>
      <c r="L1086" s="10">
        <f t="shared" si="24"/>
        <v>9.7207916666666652</v>
      </c>
      <c r="M1086" s="10">
        <f t="shared" si="24"/>
        <v>8.8651166666666672</v>
      </c>
      <c r="N1086" s="10">
        <f t="shared" si="24"/>
        <v>8.8799666666666663</v>
      </c>
      <c r="O1086" s="10">
        <f t="shared" si="24"/>
        <v>9.0554499999999987</v>
      </c>
      <c r="P1086" s="10">
        <f t="shared" si="24"/>
        <v>8.8915583333333341</v>
      </c>
      <c r="Q1086" s="10">
        <f t="shared" si="24"/>
        <v>9.6507500000000022</v>
      </c>
      <c r="R1086" s="10">
        <f t="shared" si="24"/>
        <v>10.261883333333332</v>
      </c>
      <c r="S1086" s="10">
        <f t="shared" si="24"/>
        <v>8.7009916666666651</v>
      </c>
      <c r="T1086" s="49">
        <f>SUM(T205:T216)</f>
        <v>357.24568100000005</v>
      </c>
      <c r="U1086" s="49">
        <f>SUM(U205:U216)</f>
        <v>142.03263249999998</v>
      </c>
      <c r="V1086" s="49">
        <f>SUM(V205:V216)</f>
        <v>50.187500000000007</v>
      </c>
      <c r="W1086" s="49">
        <f>SUM(W205:W216)</f>
        <v>5.0822234999999996</v>
      </c>
      <c r="X1086" s="49">
        <f>SUM(X205:X216)</f>
        <v>20.758966663999999</v>
      </c>
      <c r="Y1086" s="49"/>
      <c r="Z1086" s="10"/>
      <c r="AA1086" s="10"/>
      <c r="AB1086" s="50">
        <f>AVERAGE(AB205:AB216)</f>
        <v>8.9824959656561933</v>
      </c>
      <c r="AC1086" s="45">
        <f>AVERAGE(AC205:AC216)</f>
        <v>8.931516906474819</v>
      </c>
    </row>
    <row r="1087" spans="1:29" ht="15.75" x14ac:dyDescent="0.25">
      <c r="A1087" s="11">
        <v>2030</v>
      </c>
      <c r="B1087" s="10">
        <f t="shared" ref="B1087:S1087" si="25">AVERAGE(B217:B228)</f>
        <v>9.169083333333333</v>
      </c>
      <c r="C1087" s="10">
        <f t="shared" si="25"/>
        <v>9.1752333333333329</v>
      </c>
      <c r="D1087" s="10">
        <f t="shared" si="25"/>
        <v>9.3185250000000011</v>
      </c>
      <c r="E1087" s="10">
        <f t="shared" si="25"/>
        <v>9.3506333333333345</v>
      </c>
      <c r="F1087" s="10">
        <f t="shared" si="25"/>
        <v>9.1544666666666679</v>
      </c>
      <c r="G1087" s="10">
        <f t="shared" si="25"/>
        <v>9.1694999999999993</v>
      </c>
      <c r="H1087" s="10">
        <f t="shared" si="25"/>
        <v>9.3397416666666668</v>
      </c>
      <c r="I1087" s="10">
        <f t="shared" si="25"/>
        <v>9.1741583333333327</v>
      </c>
      <c r="J1087" s="10">
        <f t="shared" si="25"/>
        <v>9.1474666666666682</v>
      </c>
      <c r="K1087" s="53">
        <f t="shared" si="25"/>
        <v>9.170258333333333</v>
      </c>
      <c r="L1087" s="10">
        <f t="shared" si="25"/>
        <v>9.9267416666666666</v>
      </c>
      <c r="M1087" s="10">
        <f t="shared" si="25"/>
        <v>9.0689833333333336</v>
      </c>
      <c r="N1087" s="10">
        <f t="shared" si="25"/>
        <v>9.0838583333333336</v>
      </c>
      <c r="O1087" s="10">
        <f t="shared" si="25"/>
        <v>9.2592999999999996</v>
      </c>
      <c r="P1087" s="10">
        <f t="shared" si="25"/>
        <v>9.0954166666666669</v>
      </c>
      <c r="Q1087" s="10">
        <f t="shared" si="25"/>
        <v>9.8545999999999996</v>
      </c>
      <c r="R1087" s="10">
        <f t="shared" si="25"/>
        <v>10.46625</v>
      </c>
      <c r="S1087" s="10">
        <f t="shared" si="25"/>
        <v>8.9009666666666671</v>
      </c>
      <c r="T1087" s="49">
        <f>SUM(T217:T228)</f>
        <v>357.24568100000005</v>
      </c>
      <c r="U1087" s="49">
        <f>SUM(U217:U228)</f>
        <v>142.03263249999998</v>
      </c>
      <c r="V1087" s="49">
        <f>SUM(V217:V228)</f>
        <v>50.187500000000007</v>
      </c>
      <c r="W1087" s="49">
        <f>SUM(W217:W228)</f>
        <v>5.0822234999999996</v>
      </c>
      <c r="X1087" s="49">
        <f>SUM(X217:X228)</f>
        <v>20.758966663999999</v>
      </c>
      <c r="Y1087" s="49"/>
      <c r="Z1087" s="10"/>
      <c r="AA1087" s="10"/>
      <c r="AB1087" s="50">
        <f>AVERAGE(AB217:AB228)</f>
        <v>9.1884396953709437</v>
      </c>
      <c r="AC1087" s="45">
        <f>AVERAGE(AC217:AC228)</f>
        <v>9.1353805755395694</v>
      </c>
    </row>
    <row r="1088" spans="1:29" ht="15.75" x14ac:dyDescent="0.25">
      <c r="A1088" s="11">
        <v>2031</v>
      </c>
      <c r="B1088" s="10">
        <f t="shared" ref="B1088:S1088" si="26">AVERAGE(B229:B240)</f>
        <v>9.5162750000000003</v>
      </c>
      <c r="C1088" s="10">
        <f t="shared" si="26"/>
        <v>9.5224416666666674</v>
      </c>
      <c r="D1088" s="10">
        <f t="shared" si="26"/>
        <v>9.6657250000000001</v>
      </c>
      <c r="E1088" s="10">
        <f t="shared" si="26"/>
        <v>9.6978166666666663</v>
      </c>
      <c r="F1088" s="10">
        <f t="shared" si="26"/>
        <v>9.5016500000000015</v>
      </c>
      <c r="G1088" s="10">
        <f t="shared" si="26"/>
        <v>9.5166916666666665</v>
      </c>
      <c r="H1088" s="10">
        <f t="shared" si="26"/>
        <v>9.6869250000000005</v>
      </c>
      <c r="I1088" s="10">
        <f t="shared" si="26"/>
        <v>9.5213250000000009</v>
      </c>
      <c r="J1088" s="10">
        <f t="shared" si="26"/>
        <v>9.49465</v>
      </c>
      <c r="K1088" s="53">
        <f t="shared" si="26"/>
        <v>9.5174333333333347</v>
      </c>
      <c r="L1088" s="10">
        <f t="shared" si="26"/>
        <v>10.273925</v>
      </c>
      <c r="M1088" s="10">
        <f t="shared" si="26"/>
        <v>9.4126666666666665</v>
      </c>
      <c r="N1088" s="10">
        <f t="shared" si="26"/>
        <v>9.4275333333333311</v>
      </c>
      <c r="O1088" s="10">
        <f t="shared" si="26"/>
        <v>9.6029999999999998</v>
      </c>
      <c r="P1088" s="10">
        <f t="shared" si="26"/>
        <v>9.4391166666666688</v>
      </c>
      <c r="Q1088" s="10">
        <f t="shared" si="26"/>
        <v>10.1983</v>
      </c>
      <c r="R1088" s="10">
        <f t="shared" si="26"/>
        <v>10.810808333333332</v>
      </c>
      <c r="S1088" s="10">
        <f t="shared" si="26"/>
        <v>9.2381250000000001</v>
      </c>
      <c r="T1088" s="49">
        <f>SUM(T229:T240)</f>
        <v>357.24568100000005</v>
      </c>
      <c r="U1088" s="49">
        <f>SUM(U229:U240)</f>
        <v>142.03263249999998</v>
      </c>
      <c r="V1088" s="49">
        <f>SUM(V229:V240)</f>
        <v>50.187500000000007</v>
      </c>
      <c r="W1088" s="49">
        <f>SUM(W229:W240)</f>
        <v>5.0822234999999996</v>
      </c>
      <c r="X1088" s="49">
        <f>SUM(X229:X240)</f>
        <v>20.758966663999999</v>
      </c>
      <c r="Y1088" s="49"/>
      <c r="Z1088" s="10"/>
      <c r="AA1088" s="10"/>
      <c r="AB1088" s="50">
        <f>AVERAGE(AB229:AB240)</f>
        <v>9.5356304235364995</v>
      </c>
      <c r="AC1088" s="45">
        <f>AVERAGE(AC229:AC240)</f>
        <v>9.4790719424460423</v>
      </c>
    </row>
    <row r="1089" spans="1:29" ht="15.75" x14ac:dyDescent="0.25">
      <c r="A1089" s="11">
        <v>2032</v>
      </c>
      <c r="B1089" s="10">
        <f t="shared" ref="B1089:S1089" si="27">AVERAGE(B241:B252)</f>
        <v>9.8766083333333317</v>
      </c>
      <c r="C1089" s="10">
        <f t="shared" si="27"/>
        <v>9.8827583333333333</v>
      </c>
      <c r="D1089" s="10">
        <f t="shared" si="27"/>
        <v>10.026058333333333</v>
      </c>
      <c r="E1089" s="10">
        <f t="shared" si="27"/>
        <v>10.058141666666666</v>
      </c>
      <c r="F1089" s="10">
        <f t="shared" si="27"/>
        <v>9.8619916666666665</v>
      </c>
      <c r="G1089" s="10">
        <f t="shared" si="27"/>
        <v>9.8770166666666679</v>
      </c>
      <c r="H1089" s="10">
        <f t="shared" si="27"/>
        <v>10.04725</v>
      </c>
      <c r="I1089" s="10">
        <f t="shared" si="27"/>
        <v>9.8816583333333323</v>
      </c>
      <c r="J1089" s="10">
        <f t="shared" si="27"/>
        <v>9.8549916666666668</v>
      </c>
      <c r="K1089" s="53">
        <f t="shared" si="27"/>
        <v>9.8777833333333334</v>
      </c>
      <c r="L1089" s="10">
        <f t="shared" si="27"/>
        <v>10.63425</v>
      </c>
      <c r="M1089" s="10">
        <f t="shared" si="27"/>
        <v>9.7693583333333311</v>
      </c>
      <c r="N1089" s="10">
        <f t="shared" si="27"/>
        <v>9.7842416666666665</v>
      </c>
      <c r="O1089" s="10">
        <f t="shared" si="27"/>
        <v>9.9596999999999998</v>
      </c>
      <c r="P1089" s="10">
        <f t="shared" si="27"/>
        <v>9.7958333333333325</v>
      </c>
      <c r="Q1089" s="10">
        <f t="shared" si="27"/>
        <v>10.555</v>
      </c>
      <c r="R1089" s="10">
        <f t="shared" si="27"/>
        <v>11.168400000000004</v>
      </c>
      <c r="S1089" s="10">
        <f t="shared" si="27"/>
        <v>9.5880666666666645</v>
      </c>
      <c r="T1089" s="49">
        <f>SUM(T241:T252)</f>
        <v>358.17703550000004</v>
      </c>
      <c r="U1089" s="49">
        <f>SUM(U241:U252)</f>
        <v>142.42176299999997</v>
      </c>
      <c r="V1089" s="49">
        <f>SUM(V241:V252)</f>
        <v>50.325000000000003</v>
      </c>
      <c r="W1089" s="49">
        <f>SUM(W241:W252)</f>
        <v>5.0961473999999995</v>
      </c>
      <c r="X1089" s="49">
        <f>SUM(X241:X252)</f>
        <v>20.800615543999996</v>
      </c>
      <c r="Y1089" s="49"/>
      <c r="Z1089" s="10"/>
      <c r="AA1089" s="10"/>
      <c r="AB1089" s="50">
        <f>AVERAGE(AB241:AB252)</f>
        <v>9.8959614203956097</v>
      </c>
      <c r="AC1089" s="45">
        <f>AVERAGE(AC241:AC252)</f>
        <v>9.8357719424460441</v>
      </c>
    </row>
    <row r="1090" spans="1:29" ht="15.75" x14ac:dyDescent="0.25">
      <c r="A1090" s="11">
        <v>2033</v>
      </c>
      <c r="B1090" s="10">
        <f t="shared" ref="B1090:S1090" si="28">AVERAGE(B253:B264)</f>
        <v>10.250608333333334</v>
      </c>
      <c r="C1090" s="10">
        <f t="shared" si="28"/>
        <v>10.256749999999998</v>
      </c>
      <c r="D1090" s="10">
        <f t="shared" si="28"/>
        <v>10.400041666666668</v>
      </c>
      <c r="E1090" s="10">
        <f t="shared" si="28"/>
        <v>10.432149999999998</v>
      </c>
      <c r="F1090" s="10">
        <f t="shared" si="28"/>
        <v>10.235975000000002</v>
      </c>
      <c r="G1090" s="10">
        <f t="shared" si="28"/>
        <v>10.251000000000001</v>
      </c>
      <c r="H1090" s="10">
        <f t="shared" si="28"/>
        <v>10.421266666666666</v>
      </c>
      <c r="I1090" s="10">
        <f t="shared" si="28"/>
        <v>10.255675000000002</v>
      </c>
      <c r="J1090" s="10">
        <f t="shared" si="28"/>
        <v>10.228975</v>
      </c>
      <c r="K1090" s="53">
        <f t="shared" si="28"/>
        <v>10.251783333333334</v>
      </c>
      <c r="L1090" s="10">
        <f t="shared" si="28"/>
        <v>11.008266666666666</v>
      </c>
      <c r="M1090" s="10">
        <f t="shared" si="28"/>
        <v>10.139574999999999</v>
      </c>
      <c r="N1090" s="10">
        <f t="shared" si="28"/>
        <v>10.154441666666665</v>
      </c>
      <c r="O1090" s="10">
        <f t="shared" si="28"/>
        <v>10.329908333333334</v>
      </c>
      <c r="P1090" s="10">
        <f t="shared" si="28"/>
        <v>10.166025000000001</v>
      </c>
      <c r="Q1090" s="10">
        <f t="shared" si="28"/>
        <v>10.925208333333332</v>
      </c>
      <c r="R1090" s="10">
        <f t="shared" si="28"/>
        <v>11.539533333333333</v>
      </c>
      <c r="S1090" s="10">
        <f t="shared" si="28"/>
        <v>9.9512250000000009</v>
      </c>
      <c r="T1090" s="49">
        <f>SUM(T253:T264)</f>
        <v>357.24568100000005</v>
      </c>
      <c r="U1090" s="49">
        <f>SUM(U253:U264)</f>
        <v>142.03263249999998</v>
      </c>
      <c r="V1090" s="49">
        <f>SUM(V253:V264)</f>
        <v>50.187500000000007</v>
      </c>
      <c r="W1090" s="49">
        <f>SUM(W253:W264)</f>
        <v>5.0822234999999996</v>
      </c>
      <c r="X1090" s="49">
        <f>SUM(X253:X264)</f>
        <v>20.758966663999999</v>
      </c>
      <c r="Y1090" s="49"/>
      <c r="Z1090" s="10"/>
      <c r="AA1090" s="10"/>
      <c r="AB1090" s="50">
        <f>AVERAGE(AB253:AB264)</f>
        <v>10.269951935401467</v>
      </c>
      <c r="AC1090" s="45">
        <f>AVERAGE(AC253:AC264)</f>
        <v>10.205981714628296</v>
      </c>
    </row>
    <row r="1091" spans="1:29" ht="15.75" x14ac:dyDescent="0.25">
      <c r="A1091" s="11">
        <v>2034</v>
      </c>
      <c r="B1091" s="10">
        <f t="shared" ref="B1091:S1091" si="29">AVERAGE(B265:B276)</f>
        <v>10.638741666666666</v>
      </c>
      <c r="C1091" s="10">
        <f t="shared" si="29"/>
        <v>10.644916666666669</v>
      </c>
      <c r="D1091" s="10">
        <f t="shared" si="29"/>
        <v>10.788191666666664</v>
      </c>
      <c r="E1091" s="10">
        <f t="shared" si="29"/>
        <v>10.820283333333334</v>
      </c>
      <c r="F1091" s="10">
        <f t="shared" si="29"/>
        <v>10.624133333333335</v>
      </c>
      <c r="G1091" s="10">
        <f t="shared" si="29"/>
        <v>10.639150000000003</v>
      </c>
      <c r="H1091" s="10">
        <f t="shared" si="29"/>
        <v>10.809399999999998</v>
      </c>
      <c r="I1091" s="10">
        <f t="shared" si="29"/>
        <v>10.643808333333332</v>
      </c>
      <c r="J1091" s="10">
        <f t="shared" si="29"/>
        <v>10.617133333333333</v>
      </c>
      <c r="K1091" s="53">
        <f t="shared" si="29"/>
        <v>10.639908333333333</v>
      </c>
      <c r="L1091" s="10">
        <f t="shared" si="29"/>
        <v>11.3964</v>
      </c>
      <c r="M1091" s="10">
        <f t="shared" si="29"/>
        <v>10.523816666666665</v>
      </c>
      <c r="N1091" s="10">
        <f t="shared" si="29"/>
        <v>10.538675000000001</v>
      </c>
      <c r="O1091" s="10">
        <f t="shared" si="29"/>
        <v>10.714158333333332</v>
      </c>
      <c r="P1091" s="10">
        <f t="shared" si="29"/>
        <v>10.550266666666667</v>
      </c>
      <c r="Q1091" s="10">
        <f t="shared" si="29"/>
        <v>11.309458333333334</v>
      </c>
      <c r="R1091" s="10">
        <f t="shared" si="29"/>
        <v>11.924733333333334</v>
      </c>
      <c r="S1091" s="10">
        <f t="shared" si="29"/>
        <v>10.328175000000002</v>
      </c>
      <c r="T1091" s="49">
        <f>SUM(T265:T276)</f>
        <v>357.24568100000005</v>
      </c>
      <c r="U1091" s="49">
        <f>SUM(U265:U276)</f>
        <v>142.03263249999998</v>
      </c>
      <c r="V1091" s="49">
        <f>SUM(V265:V276)</f>
        <v>50.187500000000007</v>
      </c>
      <c r="W1091" s="49">
        <f>SUM(W265:W276)</f>
        <v>5.0822234999999996</v>
      </c>
      <c r="X1091" s="49">
        <f>SUM(X265:X276)</f>
        <v>20.758966663999999</v>
      </c>
      <c r="Y1091" s="49"/>
      <c r="Z1091" s="10"/>
      <c r="AA1091" s="10"/>
      <c r="AB1091" s="50">
        <f>AVERAGE(AB265:AB276)</f>
        <v>10.658104072033032</v>
      </c>
      <c r="AC1091" s="45">
        <f>AVERAGE(AC265:AC276)</f>
        <v>10.590223800959231</v>
      </c>
    </row>
    <row r="1092" spans="1:29" ht="15.75" x14ac:dyDescent="0.25">
      <c r="A1092" s="11">
        <v>2035</v>
      </c>
      <c r="B1092" s="10">
        <f t="shared" ref="B1092:S1092" si="30">AVERAGE(B277:B288)</f>
        <v>11.041600000000001</v>
      </c>
      <c r="C1092" s="10">
        <f t="shared" si="30"/>
        <v>11.047766666666668</v>
      </c>
      <c r="D1092" s="10">
        <f t="shared" si="30"/>
        <v>11.191041666666665</v>
      </c>
      <c r="E1092" s="10">
        <f t="shared" si="30"/>
        <v>11.223149999999999</v>
      </c>
      <c r="F1092" s="10">
        <f t="shared" si="30"/>
        <v>11.026991666666667</v>
      </c>
      <c r="G1092" s="10">
        <f t="shared" si="30"/>
        <v>11.042008333333333</v>
      </c>
      <c r="H1092" s="10">
        <f t="shared" si="30"/>
        <v>11.212283333333332</v>
      </c>
      <c r="I1092" s="10">
        <f t="shared" si="30"/>
        <v>11.046683333333332</v>
      </c>
      <c r="J1092" s="10">
        <f t="shared" si="30"/>
        <v>11.01999166666667</v>
      </c>
      <c r="K1092" s="53">
        <f t="shared" si="30"/>
        <v>11.042783333333334</v>
      </c>
      <c r="L1092" s="10">
        <f t="shared" si="30"/>
        <v>11.799283333333333</v>
      </c>
      <c r="M1092" s="10">
        <f t="shared" si="30"/>
        <v>10.922600000000001</v>
      </c>
      <c r="N1092" s="10">
        <f t="shared" si="30"/>
        <v>10.937466666666667</v>
      </c>
      <c r="O1092" s="10">
        <f t="shared" si="30"/>
        <v>11.112949999999998</v>
      </c>
      <c r="P1092" s="10">
        <f t="shared" si="30"/>
        <v>10.949058333333333</v>
      </c>
      <c r="Q1092" s="10">
        <f t="shared" si="30"/>
        <v>11.70825</v>
      </c>
      <c r="R1092" s="10">
        <f t="shared" si="30"/>
        <v>12.324499999999999</v>
      </c>
      <c r="S1092" s="10">
        <f t="shared" si="30"/>
        <v>10.7194</v>
      </c>
      <c r="T1092" s="49">
        <f>SUM(T277:T288)</f>
        <v>357.24568100000005</v>
      </c>
      <c r="U1092" s="49">
        <f>SUM(U277:U288)</f>
        <v>142.03263249999998</v>
      </c>
      <c r="V1092" s="49">
        <f>SUM(V277:V288)</f>
        <v>50.187500000000007</v>
      </c>
      <c r="W1092" s="49">
        <f>SUM(W277:W288)</f>
        <v>5.0822234999999996</v>
      </c>
      <c r="X1092" s="49">
        <f>SUM(X277:X288)</f>
        <v>20.758966663999999</v>
      </c>
      <c r="Y1092" s="49"/>
      <c r="Z1092" s="10"/>
      <c r="AA1092" s="10"/>
      <c r="AB1092" s="50">
        <f>AVERAGE(AB277:AB288)</f>
        <v>11.060960982747892</v>
      </c>
      <c r="AC1092" s="45">
        <f>AVERAGE(AC277:AC288)</f>
        <v>10.989011151079135</v>
      </c>
    </row>
    <row r="1093" spans="1:29" ht="15.75" x14ac:dyDescent="0.25">
      <c r="A1093" s="11">
        <v>2036</v>
      </c>
      <c r="B1093" s="10">
        <f t="shared" ref="B1093:S1093" si="31">AVERAGE(B289:B300)</f>
        <v>11.459716666666665</v>
      </c>
      <c r="C1093" s="10">
        <f t="shared" si="31"/>
        <v>11.465891666666666</v>
      </c>
      <c r="D1093" s="10">
        <f t="shared" si="31"/>
        <v>11.609175</v>
      </c>
      <c r="E1093" s="10">
        <f t="shared" si="31"/>
        <v>11.641266666666667</v>
      </c>
      <c r="F1093" s="10">
        <f t="shared" si="31"/>
        <v>11.445108333333332</v>
      </c>
      <c r="G1093" s="10">
        <f t="shared" si="31"/>
        <v>11.460125</v>
      </c>
      <c r="H1093" s="10">
        <f t="shared" si="31"/>
        <v>11.630391666666668</v>
      </c>
      <c r="I1093" s="10">
        <f t="shared" si="31"/>
        <v>11.464799999999999</v>
      </c>
      <c r="J1093" s="10">
        <f t="shared" si="31"/>
        <v>11.438108333333332</v>
      </c>
      <c r="K1093" s="53">
        <f t="shared" si="31"/>
        <v>11.460908333333331</v>
      </c>
      <c r="L1093" s="10">
        <f t="shared" si="31"/>
        <v>12.217391666666666</v>
      </c>
      <c r="M1093" s="10">
        <f t="shared" si="31"/>
        <v>11.336500000000001</v>
      </c>
      <c r="N1093" s="10">
        <f t="shared" si="31"/>
        <v>11.351358333333332</v>
      </c>
      <c r="O1093" s="10">
        <f t="shared" si="31"/>
        <v>11.526849999999998</v>
      </c>
      <c r="P1093" s="10">
        <f t="shared" si="31"/>
        <v>11.362941666666666</v>
      </c>
      <c r="Q1093" s="10">
        <f t="shared" si="31"/>
        <v>12.12215</v>
      </c>
      <c r="R1093" s="10">
        <f t="shared" si="31"/>
        <v>12.739425000000002</v>
      </c>
      <c r="S1093" s="10">
        <f t="shared" si="31"/>
        <v>11.125433333333334</v>
      </c>
      <c r="T1093" s="49">
        <f>SUM(T289:T300)</f>
        <v>358.17703550000004</v>
      </c>
      <c r="U1093" s="49">
        <f>SUM(U289:U300)</f>
        <v>142.42176299999997</v>
      </c>
      <c r="V1093" s="49">
        <f>SUM(V289:V300)</f>
        <v>50.325000000000003</v>
      </c>
      <c r="W1093" s="49">
        <f>SUM(W289:W300)</f>
        <v>5.0961473999999995</v>
      </c>
      <c r="X1093" s="49">
        <f>SUM(X289:X300)</f>
        <v>20.800615543999996</v>
      </c>
      <c r="Y1093" s="49"/>
      <c r="Z1093" s="10"/>
      <c r="AA1093" s="10"/>
      <c r="AB1093" s="50">
        <f>AVERAGE(AB289:AB300)</f>
        <v>11.479081338417172</v>
      </c>
      <c r="AC1093" s="45">
        <f>AVERAGE(AC289:AC300)</f>
        <v>11.402908273381295</v>
      </c>
    </row>
    <row r="1094" spans="1:29" ht="15.75" x14ac:dyDescent="0.25">
      <c r="A1094" s="11">
        <v>2037</v>
      </c>
      <c r="B1094" s="10">
        <f t="shared" ref="B1094:S1094" si="32">AVERAGE(B301:B312)</f>
        <v>11.893683333333335</v>
      </c>
      <c r="C1094" s="10">
        <f t="shared" si="32"/>
        <v>11.899833333333333</v>
      </c>
      <c r="D1094" s="10">
        <f t="shared" si="32"/>
        <v>12.043125000000002</v>
      </c>
      <c r="E1094" s="10">
        <f t="shared" si="32"/>
        <v>12.075225000000001</v>
      </c>
      <c r="F1094" s="10">
        <f t="shared" si="32"/>
        <v>11.879075</v>
      </c>
      <c r="G1094" s="10">
        <f t="shared" si="32"/>
        <v>11.894083333333333</v>
      </c>
      <c r="H1094" s="10">
        <f t="shared" si="32"/>
        <v>12.064341666666669</v>
      </c>
      <c r="I1094" s="10">
        <f t="shared" si="32"/>
        <v>11.898766666666667</v>
      </c>
      <c r="J1094" s="10">
        <f t="shared" si="32"/>
        <v>11.872075000000001</v>
      </c>
      <c r="K1094" s="53">
        <f t="shared" si="32"/>
        <v>11.894866666666667</v>
      </c>
      <c r="L1094" s="10">
        <f t="shared" si="32"/>
        <v>12.651341666666667</v>
      </c>
      <c r="M1094" s="10">
        <f t="shared" si="32"/>
        <v>11.766075000000001</v>
      </c>
      <c r="N1094" s="10">
        <f t="shared" si="32"/>
        <v>11.780958333333333</v>
      </c>
      <c r="O1094" s="10">
        <f t="shared" si="32"/>
        <v>11.956425000000001</v>
      </c>
      <c r="P1094" s="10">
        <f t="shared" si="32"/>
        <v>11.792541666666665</v>
      </c>
      <c r="Q1094" s="10">
        <f t="shared" si="32"/>
        <v>12.551724999999999</v>
      </c>
      <c r="R1094" s="10">
        <f t="shared" si="32"/>
        <v>13.17009166666667</v>
      </c>
      <c r="S1094" s="10">
        <f t="shared" si="32"/>
        <v>11.546841666666667</v>
      </c>
      <c r="T1094" s="49">
        <f>SUM(T301:T312)</f>
        <v>357.24568100000005</v>
      </c>
      <c r="U1094" s="49">
        <f>SUM(U301:U312)</f>
        <v>142.03263249999998</v>
      </c>
      <c r="V1094" s="49">
        <f>SUM(V301:V312)</f>
        <v>50.187500000000007</v>
      </c>
      <c r="W1094" s="49">
        <f>SUM(W301:W312)</f>
        <v>5.0822234999999996</v>
      </c>
      <c r="X1094" s="49">
        <f>SUM(X301:X312)</f>
        <v>20.758966663999999</v>
      </c>
      <c r="Y1094" s="49"/>
      <c r="Z1094" s="10"/>
      <c r="AA1094" s="10"/>
      <c r="AB1094" s="50">
        <f>AVERAGE(AB301:AB312)</f>
        <v>11.913038962207166</v>
      </c>
      <c r="AC1094" s="45">
        <f>AVERAGE(AC301:AC312)</f>
        <v>11.832489748201439</v>
      </c>
    </row>
    <row r="1095" spans="1:29" ht="15.75" x14ac:dyDescent="0.25">
      <c r="A1095" s="11">
        <f t="shared" ref="A1095:A1126" si="33">A1094+1</f>
        <v>2038</v>
      </c>
      <c r="B1095" s="10">
        <f t="shared" ref="B1095:S1095" si="34">AVERAGE(B313:B324)</f>
        <v>12.344091666666666</v>
      </c>
      <c r="C1095" s="10">
        <f t="shared" si="34"/>
        <v>12.350250000000001</v>
      </c>
      <c r="D1095" s="10">
        <f t="shared" si="34"/>
        <v>12.493533333333332</v>
      </c>
      <c r="E1095" s="10">
        <f t="shared" si="34"/>
        <v>12.525608333333336</v>
      </c>
      <c r="F1095" s="10">
        <f t="shared" si="34"/>
        <v>12.329458333333333</v>
      </c>
      <c r="G1095" s="10">
        <f t="shared" si="34"/>
        <v>12.344475000000001</v>
      </c>
      <c r="H1095" s="10">
        <f t="shared" si="34"/>
        <v>12.514733333333332</v>
      </c>
      <c r="I1095" s="10">
        <f t="shared" si="34"/>
        <v>12.349158333333333</v>
      </c>
      <c r="J1095" s="10">
        <f t="shared" si="34"/>
        <v>12.322458333333335</v>
      </c>
      <c r="K1095" s="53">
        <f t="shared" si="34"/>
        <v>12.345258333333334</v>
      </c>
      <c r="L1095" s="10">
        <f t="shared" si="34"/>
        <v>13.101733333333335</v>
      </c>
      <c r="M1095" s="10">
        <f t="shared" si="34"/>
        <v>12.211933333333334</v>
      </c>
      <c r="N1095" s="10">
        <f t="shared" si="34"/>
        <v>12.226791666666669</v>
      </c>
      <c r="O1095" s="10">
        <f t="shared" si="34"/>
        <v>12.402291666666665</v>
      </c>
      <c r="P1095" s="10">
        <f t="shared" si="34"/>
        <v>12.238391666666667</v>
      </c>
      <c r="Q1095" s="10">
        <f t="shared" si="34"/>
        <v>12.997591666666665</v>
      </c>
      <c r="R1095" s="10">
        <f t="shared" si="34"/>
        <v>13.617075000000002</v>
      </c>
      <c r="S1095" s="10">
        <f t="shared" si="34"/>
        <v>11.984216666666667</v>
      </c>
      <c r="T1095" s="49">
        <f>SUM(T313:T324)</f>
        <v>357.24568100000005</v>
      </c>
      <c r="U1095" s="49">
        <f>SUM(U313:U324)</f>
        <v>142.03263249999998</v>
      </c>
      <c r="V1095" s="49">
        <f>SUM(V313:V324)</f>
        <v>50.187500000000007</v>
      </c>
      <c r="W1095" s="49">
        <f>SUM(W313:W324)</f>
        <v>5.0822234999999996</v>
      </c>
      <c r="X1095" s="49">
        <f>SUM(X313:X324)</f>
        <v>20.758966663999999</v>
      </c>
      <c r="Y1095" s="49"/>
      <c r="Z1095" s="10"/>
      <c r="AA1095" s="10"/>
      <c r="AB1095" s="50">
        <f>AVERAGE(AB313:AB324)</f>
        <v>12.363438559170907</v>
      </c>
      <c r="AC1095" s="45">
        <f>AVERAGE(AC313:AC324)</f>
        <v>12.278349220623502</v>
      </c>
    </row>
    <row r="1096" spans="1:29" ht="15.75" x14ac:dyDescent="0.25">
      <c r="A1096" s="11">
        <f t="shared" si="33"/>
        <v>2039</v>
      </c>
      <c r="B1096" s="10">
        <f t="shared" ref="B1096:S1096" si="35">AVERAGE(B325:B336)</f>
        <v>12.811524999999998</v>
      </c>
      <c r="C1096" s="10">
        <f t="shared" si="35"/>
        <v>12.81769166666667</v>
      </c>
      <c r="D1096" s="10">
        <f t="shared" si="35"/>
        <v>12.960991666666667</v>
      </c>
      <c r="E1096" s="10">
        <f t="shared" si="35"/>
        <v>12.993083333333329</v>
      </c>
      <c r="F1096" s="10">
        <f t="shared" si="35"/>
        <v>12.796916666666666</v>
      </c>
      <c r="G1096" s="10">
        <f t="shared" si="35"/>
        <v>12.811933333333334</v>
      </c>
      <c r="H1096" s="10">
        <f t="shared" si="35"/>
        <v>12.982183333333333</v>
      </c>
      <c r="I1096" s="10">
        <f t="shared" si="35"/>
        <v>12.816608333333335</v>
      </c>
      <c r="J1096" s="10">
        <f t="shared" si="35"/>
        <v>12.789916666666668</v>
      </c>
      <c r="K1096" s="53">
        <f t="shared" si="35"/>
        <v>12.812724999999999</v>
      </c>
      <c r="L1096" s="10">
        <f t="shared" si="35"/>
        <v>13.56918333333333</v>
      </c>
      <c r="M1096" s="10">
        <f t="shared" si="35"/>
        <v>12.674658333333333</v>
      </c>
      <c r="N1096" s="10">
        <f t="shared" si="35"/>
        <v>12.689549999999999</v>
      </c>
      <c r="O1096" s="10">
        <f t="shared" si="35"/>
        <v>12.865016666666667</v>
      </c>
      <c r="P1096" s="10">
        <f t="shared" si="35"/>
        <v>12.701141666666667</v>
      </c>
      <c r="Q1096" s="10">
        <f t="shared" si="35"/>
        <v>13.460316666666666</v>
      </c>
      <c r="R1096" s="10">
        <f t="shared" si="35"/>
        <v>14.08095</v>
      </c>
      <c r="S1096" s="10">
        <f t="shared" si="35"/>
        <v>12.438166666666667</v>
      </c>
      <c r="T1096" s="49">
        <f>SUM(T325:T336)</f>
        <v>357.24568100000005</v>
      </c>
      <c r="U1096" s="49">
        <f>SUM(U325:U336)</f>
        <v>142.03263249999998</v>
      </c>
      <c r="V1096" s="49">
        <f>SUM(V325:V336)</f>
        <v>50.187500000000007</v>
      </c>
      <c r="W1096" s="49">
        <f>SUM(W325:W336)</f>
        <v>5.0822234999999996</v>
      </c>
      <c r="X1096" s="49">
        <f>SUM(X325:X336)</f>
        <v>20.758966663999999</v>
      </c>
      <c r="Y1096" s="49"/>
      <c r="Z1096" s="55"/>
      <c r="AA1096" s="54"/>
      <c r="AB1096" s="50">
        <f>AVERAGE(AB325:AB336)</f>
        <v>12.830889910165554</v>
      </c>
      <c r="AC1096" s="45">
        <f>AVERAGE(AC325:AC336)</f>
        <v>12.741082613908874</v>
      </c>
    </row>
    <row r="1097" spans="1:29" ht="15.75" x14ac:dyDescent="0.25">
      <c r="A1097" s="11">
        <f t="shared" si="33"/>
        <v>2040</v>
      </c>
      <c r="B1097" s="10">
        <f t="shared" ref="B1097:S1097" si="36">AVERAGE(B337:B348)</f>
        <v>13.296716666666663</v>
      </c>
      <c r="C1097" s="10">
        <f t="shared" si="36"/>
        <v>13.302866666666667</v>
      </c>
      <c r="D1097" s="10">
        <f t="shared" si="36"/>
        <v>13.446149999999998</v>
      </c>
      <c r="E1097" s="10">
        <f t="shared" si="36"/>
        <v>13.478250000000003</v>
      </c>
      <c r="F1097" s="10">
        <f t="shared" si="36"/>
        <v>13.282091666666668</v>
      </c>
      <c r="G1097" s="10">
        <f t="shared" si="36"/>
        <v>13.297116666666668</v>
      </c>
      <c r="H1097" s="10">
        <f t="shared" si="36"/>
        <v>13.467374999999999</v>
      </c>
      <c r="I1097" s="10">
        <f t="shared" si="36"/>
        <v>13.301774999999999</v>
      </c>
      <c r="J1097" s="10">
        <f t="shared" si="36"/>
        <v>13.275091666666668</v>
      </c>
      <c r="K1097" s="53">
        <f t="shared" si="36"/>
        <v>13.297883333333331</v>
      </c>
      <c r="L1097" s="10">
        <f t="shared" si="36"/>
        <v>14.054375000000002</v>
      </c>
      <c r="M1097" s="10">
        <f t="shared" si="36"/>
        <v>13.154949999999999</v>
      </c>
      <c r="N1097" s="10">
        <f t="shared" si="36"/>
        <v>13.169816666666668</v>
      </c>
      <c r="O1097" s="10">
        <f t="shared" si="36"/>
        <v>13.345283333333334</v>
      </c>
      <c r="P1097" s="10">
        <f t="shared" si="36"/>
        <v>13.181408333333332</v>
      </c>
      <c r="Q1097" s="10">
        <f t="shared" si="36"/>
        <v>13.940583333333334</v>
      </c>
      <c r="R1097" s="10">
        <f t="shared" si="36"/>
        <v>14.562425000000003</v>
      </c>
      <c r="S1097" s="10">
        <f t="shared" si="36"/>
        <v>12.909308333333334</v>
      </c>
      <c r="T1097" s="49">
        <f>SUM(T337:T348)</f>
        <v>358.17703550000004</v>
      </c>
      <c r="U1097" s="49">
        <f>SUM(U337:U348)</f>
        <v>142.42176299999997</v>
      </c>
      <c r="V1097" s="49">
        <f>SUM(V337:V348)</f>
        <v>50.325000000000003</v>
      </c>
      <c r="W1097" s="49">
        <f>SUM(W337:W348)</f>
        <v>5.0961473999999995</v>
      </c>
      <c r="X1097" s="49">
        <f>SUM(X337:X348)</f>
        <v>20.800615543999996</v>
      </c>
      <c r="Y1097" s="49"/>
      <c r="Z1097" s="55"/>
      <c r="AA1097" s="54"/>
      <c r="AB1097" s="50">
        <f>AVERAGE(AB337:AB348)</f>
        <v>13.316064517882792</v>
      </c>
      <c r="AC1097" s="45">
        <f>AVERAGE(AC337:AC348)</f>
        <v>13.221356474820146</v>
      </c>
    </row>
    <row r="1098" spans="1:29" ht="15.75" x14ac:dyDescent="0.25">
      <c r="A1098" s="11">
        <f t="shared" si="33"/>
        <v>2041</v>
      </c>
      <c r="B1098" s="10">
        <f t="shared" ref="B1098:S1098" si="37">AVERAGE(B349:B360)</f>
        <v>13.80025</v>
      </c>
      <c r="C1098" s="10">
        <f t="shared" si="37"/>
        <v>13.806400000000002</v>
      </c>
      <c r="D1098" s="10">
        <f t="shared" si="37"/>
        <v>13.949691666666666</v>
      </c>
      <c r="E1098" s="10">
        <f t="shared" si="37"/>
        <v>13.9818</v>
      </c>
      <c r="F1098" s="10">
        <f t="shared" si="37"/>
        <v>13.785616666666664</v>
      </c>
      <c r="G1098" s="10">
        <f t="shared" si="37"/>
        <v>13.800649999999997</v>
      </c>
      <c r="H1098" s="10">
        <f t="shared" si="37"/>
        <v>13.970899999999999</v>
      </c>
      <c r="I1098" s="10">
        <f t="shared" si="37"/>
        <v>13.805325000000002</v>
      </c>
      <c r="J1098" s="10">
        <f t="shared" si="37"/>
        <v>13.778616666666666</v>
      </c>
      <c r="K1098" s="53">
        <f t="shared" si="37"/>
        <v>13.801425</v>
      </c>
      <c r="L1098" s="10">
        <f t="shared" si="37"/>
        <v>14.557900000000002</v>
      </c>
      <c r="M1098" s="10">
        <f t="shared" si="37"/>
        <v>13.653416666666667</v>
      </c>
      <c r="N1098" s="10">
        <f t="shared" si="37"/>
        <v>13.668275</v>
      </c>
      <c r="O1098" s="10">
        <f t="shared" si="37"/>
        <v>13.843766666666669</v>
      </c>
      <c r="P1098" s="10">
        <f t="shared" si="37"/>
        <v>13.679874999999997</v>
      </c>
      <c r="Q1098" s="10">
        <f t="shared" si="37"/>
        <v>14.439066666666664</v>
      </c>
      <c r="R1098" s="10">
        <f t="shared" si="37"/>
        <v>15.062133333333334</v>
      </c>
      <c r="S1098" s="10">
        <f t="shared" si="37"/>
        <v>13.398308333333333</v>
      </c>
      <c r="T1098" s="49">
        <f>SUM(T349:T360)</f>
        <v>357.24568100000005</v>
      </c>
      <c r="U1098" s="49">
        <f>SUM(U349:U360)</f>
        <v>142.03263249999998</v>
      </c>
      <c r="V1098" s="49">
        <f>SUM(V349:V360)</f>
        <v>50.187500000000007</v>
      </c>
      <c r="W1098" s="49">
        <f>SUM(W349:W360)</f>
        <v>5.0822234999999996</v>
      </c>
      <c r="X1098" s="49">
        <f>SUM(X349:X360)</f>
        <v>20.758966663999999</v>
      </c>
      <c r="Y1098" s="49"/>
      <c r="Z1098" s="55"/>
      <c r="AA1098" s="54"/>
      <c r="AB1098" s="50">
        <f>AVERAGE(AB349:AB360)</f>
        <v>13.819598952247283</v>
      </c>
      <c r="AC1098" s="45">
        <f>AVERAGE(AC349:AC360)</f>
        <v>13.719828776978417</v>
      </c>
    </row>
    <row r="1099" spans="1:29" ht="15.75" x14ac:dyDescent="0.25">
      <c r="A1099" s="11">
        <f t="shared" si="33"/>
        <v>2042</v>
      </c>
      <c r="B1099" s="10">
        <f t="shared" ref="B1099:S1099" si="38">AVERAGE(B361:B372)</f>
        <v>14.322866666666664</v>
      </c>
      <c r="C1099" s="10">
        <f t="shared" si="38"/>
        <v>14.329033333333333</v>
      </c>
      <c r="D1099" s="10">
        <f t="shared" si="38"/>
        <v>14.472333333333333</v>
      </c>
      <c r="E1099" s="10">
        <f t="shared" si="38"/>
        <v>14.504416666666666</v>
      </c>
      <c r="F1099" s="10">
        <f t="shared" si="38"/>
        <v>14.308258333333335</v>
      </c>
      <c r="G1099" s="10">
        <f t="shared" si="38"/>
        <v>14.323283333333334</v>
      </c>
      <c r="H1099" s="10">
        <f t="shared" si="38"/>
        <v>14.493516666666666</v>
      </c>
      <c r="I1099" s="10">
        <f t="shared" si="38"/>
        <v>14.327941666666668</v>
      </c>
      <c r="J1099" s="10">
        <f t="shared" si="38"/>
        <v>14.301258333333331</v>
      </c>
      <c r="K1099" s="53">
        <f t="shared" si="38"/>
        <v>14.32405</v>
      </c>
      <c r="L1099" s="10">
        <f t="shared" si="38"/>
        <v>15.080516666666666</v>
      </c>
      <c r="M1099" s="10">
        <f t="shared" si="38"/>
        <v>14.170758333333332</v>
      </c>
      <c r="N1099" s="10">
        <f t="shared" si="38"/>
        <v>14.185641666666669</v>
      </c>
      <c r="O1099" s="10">
        <f t="shared" si="38"/>
        <v>14.361091666666667</v>
      </c>
      <c r="P1099" s="10">
        <f t="shared" si="38"/>
        <v>14.197216666666668</v>
      </c>
      <c r="Q1099" s="10">
        <f t="shared" si="38"/>
        <v>14.956391666666669</v>
      </c>
      <c r="R1099" s="10">
        <f t="shared" si="38"/>
        <v>15.580791666666668</v>
      </c>
      <c r="S1099" s="10">
        <f t="shared" si="38"/>
        <v>13.905825</v>
      </c>
      <c r="T1099" s="49">
        <f>SUM(T361:T372)</f>
        <v>357.24568100000005</v>
      </c>
      <c r="U1099" s="49">
        <f>SUM(U361:U372)</f>
        <v>142.03263249999998</v>
      </c>
      <c r="V1099" s="49">
        <f>SUM(V361:V372)</f>
        <v>50.187500000000007</v>
      </c>
      <c r="W1099" s="49">
        <f>SUM(W361:W372)</f>
        <v>5.0822234999999996</v>
      </c>
      <c r="X1099" s="49">
        <f>SUM(X361:X372)</f>
        <v>20.758966663999999</v>
      </c>
      <c r="Y1099" s="49"/>
      <c r="Z1099" s="55"/>
      <c r="AA1099" s="54"/>
      <c r="AB1099" s="50">
        <f>AVERAGE(AB361:AB372)</f>
        <v>14.342231332449254</v>
      </c>
      <c r="AC1099" s="45">
        <f>AVERAGE(AC361:AC372)</f>
        <v>14.237167206235013</v>
      </c>
    </row>
    <row r="1100" spans="1:29" ht="15.75" x14ac:dyDescent="0.25">
      <c r="A1100" s="11">
        <f t="shared" si="33"/>
        <v>2043</v>
      </c>
      <c r="B1100" s="10">
        <f t="shared" ref="B1100:S1100" si="39">AVERAGE(B373:B384)</f>
        <v>14.865308333333333</v>
      </c>
      <c r="C1100" s="10">
        <f t="shared" si="39"/>
        <v>14.871458333333331</v>
      </c>
      <c r="D1100" s="10">
        <f t="shared" si="39"/>
        <v>15.014749999999999</v>
      </c>
      <c r="E1100" s="10">
        <f t="shared" si="39"/>
        <v>15.046849999999999</v>
      </c>
      <c r="F1100" s="10">
        <f t="shared" si="39"/>
        <v>14.850675000000001</v>
      </c>
      <c r="G1100" s="10">
        <f t="shared" si="39"/>
        <v>14.865708333333332</v>
      </c>
      <c r="H1100" s="10">
        <f t="shared" si="39"/>
        <v>15.035958333333333</v>
      </c>
      <c r="I1100" s="10">
        <f t="shared" si="39"/>
        <v>14.870366666666669</v>
      </c>
      <c r="J1100" s="10">
        <f t="shared" si="39"/>
        <v>14.843674999999999</v>
      </c>
      <c r="K1100" s="53">
        <f t="shared" si="39"/>
        <v>14.866483333333333</v>
      </c>
      <c r="L1100" s="10">
        <f t="shared" si="39"/>
        <v>15.62295833333333</v>
      </c>
      <c r="M1100" s="10">
        <f t="shared" si="39"/>
        <v>14.707708333333331</v>
      </c>
      <c r="N1100" s="10">
        <f t="shared" si="39"/>
        <v>14.722558333333334</v>
      </c>
      <c r="O1100" s="10">
        <f t="shared" si="39"/>
        <v>14.898033333333336</v>
      </c>
      <c r="P1100" s="10">
        <f t="shared" si="39"/>
        <v>14.734166666666667</v>
      </c>
      <c r="Q1100" s="10">
        <f t="shared" si="39"/>
        <v>15.493333333333334</v>
      </c>
      <c r="R1100" s="10">
        <f t="shared" si="39"/>
        <v>16.119066666666669</v>
      </c>
      <c r="S1100" s="10">
        <f t="shared" si="39"/>
        <v>14.432591666666667</v>
      </c>
      <c r="T1100" s="49">
        <f>SUM(T373:T384)</f>
        <v>357.24568100000005</v>
      </c>
      <c r="U1100" s="49">
        <f>SUM(U373:U384)</f>
        <v>142.03263249999998</v>
      </c>
      <c r="V1100" s="49">
        <f>SUM(V373:V384)</f>
        <v>50.187500000000007</v>
      </c>
      <c r="W1100" s="49">
        <f>SUM(W373:W384)</f>
        <v>5.0822234999999996</v>
      </c>
      <c r="X1100" s="49">
        <f>SUM(X373:X384)</f>
        <v>20.758966663999999</v>
      </c>
      <c r="Y1100" s="49"/>
      <c r="Z1100" s="55"/>
      <c r="AA1100" s="54"/>
      <c r="AB1100" s="50">
        <f>AVERAGE(AB373:AB384)</f>
        <v>14.884655191890912</v>
      </c>
      <c r="AC1100" s="45">
        <f>AVERAGE(AC373:AC384)</f>
        <v>14.774110071942445</v>
      </c>
    </row>
    <row r="1101" spans="1:29" ht="15.75" x14ac:dyDescent="0.25">
      <c r="A1101" s="11">
        <f t="shared" si="33"/>
        <v>2044</v>
      </c>
      <c r="B1101" s="10">
        <f t="shared" ref="B1101:S1101" si="40">AVERAGE(B385:B396)</f>
        <v>15.428274999999999</v>
      </c>
      <c r="C1101" s="10">
        <f t="shared" si="40"/>
        <v>15.434424999999999</v>
      </c>
      <c r="D1101" s="10">
        <f t="shared" si="40"/>
        <v>15.577708333333334</v>
      </c>
      <c r="E1101" s="10">
        <f t="shared" si="40"/>
        <v>15.609808333333332</v>
      </c>
      <c r="F1101" s="10">
        <f t="shared" si="40"/>
        <v>15.413641666666665</v>
      </c>
      <c r="G1101" s="10">
        <f t="shared" si="40"/>
        <v>15.428658333333331</v>
      </c>
      <c r="H1101" s="10">
        <f t="shared" si="40"/>
        <v>15.598916666666668</v>
      </c>
      <c r="I1101" s="10">
        <f t="shared" si="40"/>
        <v>15.433324999999998</v>
      </c>
      <c r="J1101" s="10">
        <f t="shared" si="40"/>
        <v>15.406641666666665</v>
      </c>
      <c r="K1101" s="53">
        <f t="shared" si="40"/>
        <v>15.429433333333334</v>
      </c>
      <c r="L1101" s="10">
        <f t="shared" si="40"/>
        <v>16.185916666666667</v>
      </c>
      <c r="M1101" s="10">
        <f t="shared" si="40"/>
        <v>15.264991666666667</v>
      </c>
      <c r="N1101" s="10">
        <f t="shared" si="40"/>
        <v>15.279875000000002</v>
      </c>
      <c r="O1101" s="10">
        <f t="shared" si="40"/>
        <v>15.455333333333334</v>
      </c>
      <c r="P1101" s="10">
        <f t="shared" si="40"/>
        <v>15.291449999999999</v>
      </c>
      <c r="Q1101" s="10">
        <f t="shared" si="40"/>
        <v>16.050633333333334</v>
      </c>
      <c r="R1101" s="10">
        <f t="shared" si="40"/>
        <v>16.67775833333333</v>
      </c>
      <c r="S1101" s="10">
        <f t="shared" si="40"/>
        <v>14.979266666666668</v>
      </c>
      <c r="T1101" s="49">
        <f>SUM(T385:T396)</f>
        <v>358.17703550000004</v>
      </c>
      <c r="U1101" s="49">
        <f>SUM(U385:U396)</f>
        <v>142.42176299999997</v>
      </c>
      <c r="V1101" s="49">
        <f>SUM(V385:V396)</f>
        <v>50.325000000000003</v>
      </c>
      <c r="W1101" s="49">
        <f>SUM(W385:W396)</f>
        <v>5.0961473999999995</v>
      </c>
      <c r="X1101" s="49">
        <f>SUM(X385:X396)</f>
        <v>20.800615543999996</v>
      </c>
      <c r="Y1101" s="49"/>
      <c r="Z1101" s="55"/>
      <c r="AA1101" s="54"/>
      <c r="AB1101" s="50">
        <f>AVERAGE(AB385:AB396)</f>
        <v>15.447618385033207</v>
      </c>
      <c r="AC1101" s="45">
        <f>AVERAGE(AC385:AC396)</f>
        <v>15.331404316546761</v>
      </c>
    </row>
    <row r="1102" spans="1:29" ht="15.75" x14ac:dyDescent="0.25">
      <c r="A1102" s="11">
        <f t="shared" si="33"/>
        <v>2045</v>
      </c>
      <c r="B1102" s="10">
        <f t="shared" ref="B1102:S1102" si="41">AVERAGE(B397:B408)</f>
        <v>16.012558333333335</v>
      </c>
      <c r="C1102" s="10">
        <f t="shared" si="41"/>
        <v>16.018716666666666</v>
      </c>
      <c r="D1102" s="10">
        <f t="shared" si="41"/>
        <v>16.161999999999999</v>
      </c>
      <c r="E1102" s="10">
        <f t="shared" si="41"/>
        <v>16.194083333333332</v>
      </c>
      <c r="F1102" s="10">
        <f t="shared" si="41"/>
        <v>15.997950000000001</v>
      </c>
      <c r="G1102" s="10">
        <f t="shared" si="41"/>
        <v>16.012958333333334</v>
      </c>
      <c r="H1102" s="10">
        <f t="shared" si="41"/>
        <v>16.183216666666663</v>
      </c>
      <c r="I1102" s="10">
        <f t="shared" si="41"/>
        <v>16.017616666666665</v>
      </c>
      <c r="J1102" s="10">
        <f t="shared" si="41"/>
        <v>15.99095</v>
      </c>
      <c r="K1102" s="53">
        <f t="shared" si="41"/>
        <v>16.013725000000001</v>
      </c>
      <c r="L1102" s="10">
        <f t="shared" si="41"/>
        <v>16.77021666666667</v>
      </c>
      <c r="M1102" s="10">
        <f t="shared" si="41"/>
        <v>15.843391666666669</v>
      </c>
      <c r="N1102" s="10">
        <f t="shared" si="41"/>
        <v>15.858275000000001</v>
      </c>
      <c r="O1102" s="10">
        <f t="shared" si="41"/>
        <v>16.033741666666668</v>
      </c>
      <c r="P1102" s="10">
        <f t="shared" si="41"/>
        <v>15.869825000000004</v>
      </c>
      <c r="Q1102" s="10">
        <f t="shared" si="41"/>
        <v>16.629041666666666</v>
      </c>
      <c r="R1102" s="10">
        <f t="shared" si="41"/>
        <v>17.257591666666666</v>
      </c>
      <c r="S1102" s="10">
        <f t="shared" si="41"/>
        <v>15.546675000000002</v>
      </c>
      <c r="T1102" s="49">
        <f>SUM(T397:T408)</f>
        <v>357.24568100000005</v>
      </c>
      <c r="U1102" s="49">
        <f>SUM(U397:U408)</f>
        <v>142.03263249999998</v>
      </c>
      <c r="V1102" s="49">
        <f>SUM(V397:V408)</f>
        <v>50.187500000000007</v>
      </c>
      <c r="W1102" s="49">
        <f>SUM(W397:W408)</f>
        <v>5.0822234999999996</v>
      </c>
      <c r="X1102" s="49">
        <f>SUM(X397:X408)</f>
        <v>20.758966663999999</v>
      </c>
      <c r="Y1102" s="49"/>
      <c r="Z1102" s="55"/>
      <c r="AA1102" s="54"/>
      <c r="AB1102" s="50">
        <f>AVERAGE(AB397:AB408)</f>
        <v>16.031913516766441</v>
      </c>
      <c r="AC1102" s="45">
        <f>AVERAGE(AC397:AC408)</f>
        <v>15.909801618705034</v>
      </c>
    </row>
    <row r="1103" spans="1:29" ht="15.75" x14ac:dyDescent="0.25">
      <c r="A1103" s="11">
        <f t="shared" si="33"/>
        <v>2046</v>
      </c>
      <c r="B1103" s="10">
        <f t="shared" ref="B1103:S1103" si="42">AVERAGE(B409:B420)</f>
        <v>16.618983333333333</v>
      </c>
      <c r="C1103" s="10">
        <f t="shared" si="42"/>
        <v>16.625150000000001</v>
      </c>
      <c r="D1103" s="10">
        <f t="shared" si="42"/>
        <v>16.768441666666668</v>
      </c>
      <c r="E1103" s="10">
        <f t="shared" si="42"/>
        <v>16.800524999999997</v>
      </c>
      <c r="F1103" s="10">
        <f t="shared" si="42"/>
        <v>16.604366666666667</v>
      </c>
      <c r="G1103" s="10">
        <f t="shared" si="42"/>
        <v>16.619383333333335</v>
      </c>
      <c r="H1103" s="10">
        <f t="shared" si="42"/>
        <v>16.789641666666668</v>
      </c>
      <c r="I1103" s="10">
        <f t="shared" si="42"/>
        <v>16.624066666666668</v>
      </c>
      <c r="J1103" s="10">
        <f t="shared" si="42"/>
        <v>16.597366666666669</v>
      </c>
      <c r="K1103" s="53">
        <f t="shared" si="42"/>
        <v>16.620175</v>
      </c>
      <c r="L1103" s="10">
        <f t="shared" si="42"/>
        <v>17.376641666666668</v>
      </c>
      <c r="M1103" s="10">
        <f t="shared" si="42"/>
        <v>16.443683333333333</v>
      </c>
      <c r="N1103" s="10">
        <f t="shared" si="42"/>
        <v>16.45856666666667</v>
      </c>
      <c r="O1103" s="10">
        <f t="shared" si="42"/>
        <v>16.634050000000002</v>
      </c>
      <c r="P1103" s="10">
        <f t="shared" si="42"/>
        <v>16.470166666666668</v>
      </c>
      <c r="Q1103" s="10">
        <f t="shared" si="42"/>
        <v>17.22935</v>
      </c>
      <c r="R1103" s="10">
        <f t="shared" si="42"/>
        <v>17.859416666666664</v>
      </c>
      <c r="S1103" s="10">
        <f t="shared" si="42"/>
        <v>16.135566666666666</v>
      </c>
      <c r="T1103" s="49">
        <f>SUM(T409:T420)</f>
        <v>357.24568100000005</v>
      </c>
      <c r="U1103" s="49">
        <f>SUM(U409:U420)</f>
        <v>142.03263249999998</v>
      </c>
      <c r="V1103" s="49">
        <f>SUM(V409:V420)</f>
        <v>50.187500000000007</v>
      </c>
      <c r="W1103" s="49">
        <f>SUM(W409:W420)</f>
        <v>5.0822234999999996</v>
      </c>
      <c r="X1103" s="49">
        <f>SUM(X409:X420)</f>
        <v>20.758966663999999</v>
      </c>
      <c r="Y1103" s="49"/>
      <c r="Z1103" s="55"/>
      <c r="AA1103" s="54"/>
      <c r="AB1103" s="50">
        <f>AVERAGE(AB409:AB420)</f>
        <v>16.638341570827702</v>
      </c>
      <c r="AC1103" s="45">
        <f>AVERAGE(AC409:AC420)</f>
        <v>16.510108033573143</v>
      </c>
    </row>
    <row r="1104" spans="1:29" ht="15.75" x14ac:dyDescent="0.25">
      <c r="A1104" s="11">
        <f t="shared" si="33"/>
        <v>2047</v>
      </c>
      <c r="B1104" s="10">
        <f t="shared" ref="B1104:S1104" si="43">AVERAGE(B421:B432)</f>
        <v>17.2484</v>
      </c>
      <c r="C1104" s="10">
        <f t="shared" si="43"/>
        <v>17.254550000000005</v>
      </c>
      <c r="D1104" s="10">
        <f t="shared" si="43"/>
        <v>17.397833333333335</v>
      </c>
      <c r="E1104" s="10">
        <f t="shared" si="43"/>
        <v>17.429933333333334</v>
      </c>
      <c r="F1104" s="10">
        <f t="shared" si="43"/>
        <v>17.233758333333331</v>
      </c>
      <c r="G1104" s="10">
        <f t="shared" si="43"/>
        <v>17.248791666666666</v>
      </c>
      <c r="H1104" s="10">
        <f t="shared" si="43"/>
        <v>17.419041666666669</v>
      </c>
      <c r="I1104" s="10">
        <f t="shared" si="43"/>
        <v>17.253466666666668</v>
      </c>
      <c r="J1104" s="10">
        <f t="shared" si="43"/>
        <v>17.226758333333333</v>
      </c>
      <c r="K1104" s="53">
        <f t="shared" si="43"/>
        <v>17.249566666666666</v>
      </c>
      <c r="L1104" s="10">
        <f t="shared" si="43"/>
        <v>18.006041666666665</v>
      </c>
      <c r="M1104" s="10">
        <f t="shared" si="43"/>
        <v>17.066741666666669</v>
      </c>
      <c r="N1104" s="10">
        <f t="shared" si="43"/>
        <v>17.081616666666665</v>
      </c>
      <c r="O1104" s="10">
        <f t="shared" si="43"/>
        <v>17.257099999999998</v>
      </c>
      <c r="P1104" s="10">
        <f t="shared" si="43"/>
        <v>17.093191666666666</v>
      </c>
      <c r="Q1104" s="10">
        <f t="shared" si="43"/>
        <v>17.852399999999999</v>
      </c>
      <c r="R1104" s="10">
        <f t="shared" si="43"/>
        <v>18.484016666666665</v>
      </c>
      <c r="S1104" s="10">
        <f t="shared" si="43"/>
        <v>16.746791666666667</v>
      </c>
      <c r="T1104" s="49">
        <f>SUM(T421:T432)</f>
        <v>357.24568100000005</v>
      </c>
      <c r="U1104" s="49">
        <f>SUM(U421:U432)</f>
        <v>142.03263249999998</v>
      </c>
      <c r="V1104" s="49">
        <f>SUM(V421:V432)</f>
        <v>50.187500000000007</v>
      </c>
      <c r="W1104" s="49">
        <f>SUM(W421:W432)</f>
        <v>5.0822234999999996</v>
      </c>
      <c r="X1104" s="49">
        <f>SUM(X421:X432)</f>
        <v>20.758966663999999</v>
      </c>
      <c r="Y1104" s="49"/>
      <c r="Z1104" s="55"/>
      <c r="AA1104" s="54"/>
      <c r="AB1104" s="50">
        <f>AVERAGE(AB421:AB432)</f>
        <v>17.267743084692803</v>
      </c>
      <c r="AC1104" s="45">
        <f>AVERAGE(AC421:AC432)</f>
        <v>17.133157314148679</v>
      </c>
    </row>
    <row r="1105" spans="1:29" ht="15.75" x14ac:dyDescent="0.25">
      <c r="A1105" s="11">
        <f t="shared" si="33"/>
        <v>2048</v>
      </c>
      <c r="B1105" s="10">
        <f t="shared" ref="B1105:S1105" si="44">AVERAGE(B433:B444)</f>
        <v>17.901633333333336</v>
      </c>
      <c r="C1105" s="10">
        <f t="shared" si="44"/>
        <v>17.907791666666668</v>
      </c>
      <c r="D1105" s="10">
        <f t="shared" si="44"/>
        <v>18.051058333333334</v>
      </c>
      <c r="E1105" s="10">
        <f t="shared" si="44"/>
        <v>18.083175000000001</v>
      </c>
      <c r="F1105" s="10">
        <f t="shared" si="44"/>
        <v>17.887025000000001</v>
      </c>
      <c r="G1105" s="10">
        <f t="shared" si="44"/>
        <v>17.902024999999998</v>
      </c>
      <c r="H1105" s="10">
        <f t="shared" si="44"/>
        <v>18.072291666666665</v>
      </c>
      <c r="I1105" s="10">
        <f t="shared" si="44"/>
        <v>17.906699999999997</v>
      </c>
      <c r="J1105" s="10">
        <f t="shared" si="44"/>
        <v>17.880025000000003</v>
      </c>
      <c r="K1105" s="53">
        <f t="shared" si="44"/>
        <v>17.902799999999999</v>
      </c>
      <c r="L1105" s="10">
        <f t="shared" si="44"/>
        <v>18.659291666666668</v>
      </c>
      <c r="M1105" s="10">
        <f t="shared" si="44"/>
        <v>17.71339166666667</v>
      </c>
      <c r="N1105" s="10">
        <f t="shared" si="44"/>
        <v>17.728266666666666</v>
      </c>
      <c r="O1105" s="10">
        <f t="shared" si="44"/>
        <v>17.903733333333332</v>
      </c>
      <c r="P1105" s="10">
        <f t="shared" si="44"/>
        <v>17.739841666666667</v>
      </c>
      <c r="Q1105" s="10">
        <f t="shared" si="44"/>
        <v>18.499033333333333</v>
      </c>
      <c r="R1105" s="10">
        <f t="shared" si="44"/>
        <v>19.132291666666664</v>
      </c>
      <c r="S1105" s="10">
        <f t="shared" si="44"/>
        <v>17.381166666666665</v>
      </c>
      <c r="T1105" s="49">
        <f>SUM(T433:T444)</f>
        <v>358.17703550000004</v>
      </c>
      <c r="U1105" s="49">
        <f>SUM(U433:U444)</f>
        <v>142.42176299999997</v>
      </c>
      <c r="V1105" s="49">
        <f>SUM(V433:V444)</f>
        <v>50.325000000000003</v>
      </c>
      <c r="W1105" s="49">
        <f>SUM(W433:W444)</f>
        <v>5.0961473999999995</v>
      </c>
      <c r="X1105" s="49">
        <f>SUM(X433:X444)</f>
        <v>20.800615543999996</v>
      </c>
      <c r="Y1105" s="49"/>
      <c r="Z1105" s="55"/>
      <c r="AA1105" s="54"/>
      <c r="AB1105" s="50">
        <f>AVERAGE(AB433:AB444)</f>
        <v>17.920987536578433</v>
      </c>
      <c r="AC1105" s="45">
        <f>AVERAGE(AC433:AC444)</f>
        <v>17.779802637889691</v>
      </c>
    </row>
    <row r="1106" spans="1:29" ht="15.75" x14ac:dyDescent="0.25">
      <c r="A1106" s="11">
        <f t="shared" si="33"/>
        <v>2049</v>
      </c>
      <c r="B1106" s="10">
        <f t="shared" ref="B1106:S1106" si="45">AVERAGE(B445:B456)</f>
        <v>18.579625</v>
      </c>
      <c r="C1106" s="10">
        <f t="shared" si="45"/>
        <v>18.585783333333335</v>
      </c>
      <c r="D1106" s="10">
        <f t="shared" si="45"/>
        <v>18.729049999999997</v>
      </c>
      <c r="E1106" s="10">
        <f t="shared" si="45"/>
        <v>18.761158333333331</v>
      </c>
      <c r="F1106" s="10">
        <f t="shared" si="45"/>
        <v>18.565000000000001</v>
      </c>
      <c r="G1106" s="10">
        <f t="shared" si="45"/>
        <v>18.580033333333336</v>
      </c>
      <c r="H1106" s="10">
        <f t="shared" si="45"/>
        <v>18.750283333333332</v>
      </c>
      <c r="I1106" s="10">
        <f t="shared" si="45"/>
        <v>18.584683333333334</v>
      </c>
      <c r="J1106" s="10">
        <f t="shared" si="45"/>
        <v>18.557999999999996</v>
      </c>
      <c r="K1106" s="53">
        <f t="shared" si="45"/>
        <v>18.580783333333333</v>
      </c>
      <c r="L1106" s="10">
        <f t="shared" si="45"/>
        <v>19.337283333333335</v>
      </c>
      <c r="M1106" s="10">
        <f t="shared" si="45"/>
        <v>18.384541666666667</v>
      </c>
      <c r="N1106" s="10">
        <f t="shared" si="45"/>
        <v>18.399424999999997</v>
      </c>
      <c r="O1106" s="10">
        <f t="shared" si="45"/>
        <v>18.574883333333332</v>
      </c>
      <c r="P1106" s="10">
        <f t="shared" si="45"/>
        <v>18.410991666666664</v>
      </c>
      <c r="Q1106" s="10">
        <f t="shared" si="45"/>
        <v>19.17018333333333</v>
      </c>
      <c r="R1106" s="10">
        <f t="shared" si="45"/>
        <v>19.805099999999999</v>
      </c>
      <c r="S1106" s="10">
        <f t="shared" si="45"/>
        <v>18.039541666666668</v>
      </c>
      <c r="T1106" s="49">
        <f>SUM(T445:T456)</f>
        <v>357.24568100000005</v>
      </c>
      <c r="U1106" s="49">
        <f>SUM(U445:U456)</f>
        <v>142.03263249999998</v>
      </c>
      <c r="V1106" s="49">
        <f>SUM(V445:V456)</f>
        <v>50.187500000000007</v>
      </c>
      <c r="W1106" s="49">
        <f>SUM(W445:W456)</f>
        <v>5.0822234999999996</v>
      </c>
      <c r="X1106" s="49">
        <f>SUM(X445:X456)</f>
        <v>20.758966663999999</v>
      </c>
      <c r="Y1106" s="49"/>
      <c r="Z1106" s="55"/>
      <c r="AA1106" s="54"/>
      <c r="AB1106" s="50">
        <f>AVERAGE(AB445:AB456)</f>
        <v>18.598976266026401</v>
      </c>
      <c r="AC1106" s="45">
        <f>AVERAGE(AC445:AC456)</f>
        <v>18.450951678657074</v>
      </c>
    </row>
    <row r="1107" spans="1:29" ht="15.75" x14ac:dyDescent="0.25">
      <c r="A1107" s="11">
        <f t="shared" si="33"/>
        <v>2050</v>
      </c>
      <c r="B1107" s="10">
        <f t="shared" ref="B1107:S1107" si="46">AVERAGE(B457:B468)</f>
        <v>19.283283333333333</v>
      </c>
      <c r="C1107" s="10">
        <f t="shared" si="46"/>
        <v>19.289474999999999</v>
      </c>
      <c r="D1107" s="10">
        <f t="shared" si="46"/>
        <v>19.432758333333329</v>
      </c>
      <c r="E1107" s="10">
        <f t="shared" si="46"/>
        <v>19.464825000000001</v>
      </c>
      <c r="F1107" s="10">
        <f t="shared" si="46"/>
        <v>19.268674999999998</v>
      </c>
      <c r="G1107" s="10">
        <f t="shared" si="46"/>
        <v>19.283683333333336</v>
      </c>
      <c r="H1107" s="10">
        <f t="shared" si="46"/>
        <v>19.453958333333329</v>
      </c>
      <c r="I1107" s="10">
        <f t="shared" si="46"/>
        <v>19.288358333333335</v>
      </c>
      <c r="J1107" s="10">
        <f t="shared" si="46"/>
        <v>19.261675</v>
      </c>
      <c r="K1107" s="53">
        <f t="shared" si="46"/>
        <v>19.284475</v>
      </c>
      <c r="L1107" s="10">
        <f t="shared" si="46"/>
        <v>20.040958333333332</v>
      </c>
      <c r="M1107" s="10">
        <f t="shared" si="46"/>
        <v>19.081133333333337</v>
      </c>
      <c r="N1107" s="10">
        <f t="shared" si="46"/>
        <v>19.095974999999999</v>
      </c>
      <c r="O1107" s="10">
        <f t="shared" si="46"/>
        <v>19.271466666666662</v>
      </c>
      <c r="P1107" s="10">
        <f t="shared" si="46"/>
        <v>19.107583333333334</v>
      </c>
      <c r="Q1107" s="10">
        <f t="shared" si="46"/>
        <v>19.866766666666667</v>
      </c>
      <c r="R1107" s="10">
        <f t="shared" si="46"/>
        <v>20.503425000000004</v>
      </c>
      <c r="S1107" s="10">
        <f t="shared" si="46"/>
        <v>18.722899999999999</v>
      </c>
      <c r="T1107" s="49">
        <f>SUM(T457:T468)</f>
        <v>357.24568100000005</v>
      </c>
      <c r="U1107" s="49">
        <f>SUM(U457:U468)</f>
        <v>142.03263249999998</v>
      </c>
      <c r="V1107" s="49">
        <f>SUM(V457:V468)</f>
        <v>50.187500000000007</v>
      </c>
      <c r="W1107" s="49">
        <f>SUM(W457:W468)</f>
        <v>5.0822234999999996</v>
      </c>
      <c r="X1107" s="49">
        <f>SUM(X457:X468)</f>
        <v>20.758966663999999</v>
      </c>
      <c r="Y1107" s="49"/>
      <c r="Z1107" s="55"/>
      <c r="AA1107" s="54"/>
      <c r="AB1107" s="50">
        <f>AVERAGE(AB457:AB468)</f>
        <v>19.302651462778996</v>
      </c>
      <c r="AC1107" s="45">
        <f>AVERAGE(AC457:AC468)</f>
        <v>19.147537170263789</v>
      </c>
    </row>
    <row r="1108" spans="1:29" ht="15.75" x14ac:dyDescent="0.25">
      <c r="A1108" s="11">
        <f t="shared" si="33"/>
        <v>2051</v>
      </c>
      <c r="B1108" s="10">
        <f t="shared" ref="B1108:S1108" si="47">AVERAGE(B469:B480)</f>
        <v>20.013616666666667</v>
      </c>
      <c r="C1108" s="10">
        <f t="shared" si="47"/>
        <v>20.019791666666663</v>
      </c>
      <c r="D1108" s="10">
        <f t="shared" si="47"/>
        <v>20.163083333333336</v>
      </c>
      <c r="E1108" s="10">
        <f t="shared" si="47"/>
        <v>20.195166666666665</v>
      </c>
      <c r="F1108" s="10">
        <f t="shared" si="47"/>
        <v>19.999008333333332</v>
      </c>
      <c r="G1108" s="10">
        <f t="shared" si="47"/>
        <v>20.014025</v>
      </c>
      <c r="H1108" s="10">
        <f t="shared" si="47"/>
        <v>20.184291666666667</v>
      </c>
      <c r="I1108" s="10">
        <f t="shared" si="47"/>
        <v>20.018699999999999</v>
      </c>
      <c r="J1108" s="10">
        <f t="shared" si="47"/>
        <v>19.992008333333334</v>
      </c>
      <c r="K1108" s="53">
        <f t="shared" si="47"/>
        <v>20.014808333333331</v>
      </c>
      <c r="L1108" s="10">
        <f t="shared" si="47"/>
        <v>20.771291666666666</v>
      </c>
      <c r="M1108" s="10">
        <f t="shared" si="47"/>
        <v>19.804066666666671</v>
      </c>
      <c r="N1108" s="10">
        <f t="shared" si="47"/>
        <v>19.818949999999997</v>
      </c>
      <c r="O1108" s="10">
        <f t="shared" si="47"/>
        <v>19.994416666666666</v>
      </c>
      <c r="P1108" s="10">
        <f t="shared" si="47"/>
        <v>19.830533333333332</v>
      </c>
      <c r="Q1108" s="10">
        <f t="shared" si="47"/>
        <v>20.589716666666668</v>
      </c>
      <c r="R1108" s="10">
        <f t="shared" si="47"/>
        <v>21.228200000000005</v>
      </c>
      <c r="S1108" s="10">
        <f t="shared" si="47"/>
        <v>19.432116666666662</v>
      </c>
      <c r="T1108" s="49">
        <f>SUM(T469:T480)</f>
        <v>357.24568100000005</v>
      </c>
      <c r="U1108" s="49">
        <f>SUM(U469:U480)</f>
        <v>142.03263249999998</v>
      </c>
      <c r="V1108" s="49">
        <f>SUM(V469:V480)</f>
        <v>50.187500000000007</v>
      </c>
      <c r="W1108" s="49">
        <f>SUM(W469:W480)</f>
        <v>5.0822234999999996</v>
      </c>
      <c r="X1108" s="49">
        <f>SUM(X469:X480)</f>
        <v>20.758966663999999</v>
      </c>
      <c r="Y1108" s="49"/>
      <c r="Z1108" s="55"/>
      <c r="AA1108" s="54"/>
      <c r="AB1108" s="50">
        <f>AVERAGE(AB469:AB480)</f>
        <v>20.032982467101913</v>
      </c>
      <c r="AC1108" s="45">
        <f>AVERAGE(AC469:AC480)</f>
        <v>19.870482853717025</v>
      </c>
    </row>
    <row r="1109" spans="1:29" ht="15.75" x14ac:dyDescent="0.25">
      <c r="A1109" s="11">
        <f t="shared" si="33"/>
        <v>2052</v>
      </c>
      <c r="B1109" s="10">
        <f t="shared" ref="B1109:S1109" si="48">AVERAGE(B481:B492)</f>
        <v>20.771616666666667</v>
      </c>
      <c r="C1109" s="10">
        <f t="shared" si="48"/>
        <v>20.777791666666666</v>
      </c>
      <c r="D1109" s="10">
        <f t="shared" si="48"/>
        <v>20.921066666666665</v>
      </c>
      <c r="E1109" s="10">
        <f t="shared" si="48"/>
        <v>20.953158333333331</v>
      </c>
      <c r="F1109" s="10">
        <f t="shared" si="48"/>
        <v>20.757008333333332</v>
      </c>
      <c r="G1109" s="10">
        <f t="shared" si="48"/>
        <v>20.772025000000003</v>
      </c>
      <c r="H1109" s="10">
        <f t="shared" si="48"/>
        <v>20.942299999999999</v>
      </c>
      <c r="I1109" s="10">
        <f t="shared" si="48"/>
        <v>20.776691666666668</v>
      </c>
      <c r="J1109" s="10">
        <f t="shared" si="48"/>
        <v>20.750008333333337</v>
      </c>
      <c r="K1109" s="53">
        <f t="shared" si="48"/>
        <v>20.7728</v>
      </c>
      <c r="L1109" s="10">
        <f t="shared" si="48"/>
        <v>21.529300000000003</v>
      </c>
      <c r="M1109" s="10">
        <f t="shared" si="48"/>
        <v>20.554433333333332</v>
      </c>
      <c r="N1109" s="10">
        <f t="shared" si="48"/>
        <v>20.569291666666668</v>
      </c>
      <c r="O1109" s="10">
        <f t="shared" si="48"/>
        <v>20.744775000000004</v>
      </c>
      <c r="P1109" s="10">
        <f t="shared" si="48"/>
        <v>20.580874999999995</v>
      </c>
      <c r="Q1109" s="10">
        <f t="shared" si="48"/>
        <v>21.340075000000002</v>
      </c>
      <c r="R1109" s="10">
        <f t="shared" si="48"/>
        <v>21.980408333333333</v>
      </c>
      <c r="S1109" s="10">
        <f t="shared" si="48"/>
        <v>20.168208333333336</v>
      </c>
      <c r="T1109" s="49">
        <f>SUM(T481:T492)</f>
        <v>358.17703550000004</v>
      </c>
      <c r="U1109" s="49">
        <f>SUM(U481:U492)</f>
        <v>142.42176299999997</v>
      </c>
      <c r="V1109" s="49">
        <f>SUM(V481:V492)</f>
        <v>50.325000000000003</v>
      </c>
      <c r="W1109" s="49">
        <f>SUM(W481:W492)</f>
        <v>5.0961473999999995</v>
      </c>
      <c r="X1109" s="49">
        <f>SUM(X481:X492)</f>
        <v>20.800615543999996</v>
      </c>
      <c r="Y1109" s="49"/>
      <c r="Z1109" s="55"/>
      <c r="AA1109" s="54"/>
      <c r="AB1109" s="50">
        <f>AVERAGE(AB481:AB492)</f>
        <v>20.790978762174969</v>
      </c>
      <c r="AC1109" s="45">
        <f>AVERAGE(AC481:AC492)</f>
        <v>20.620839268585136</v>
      </c>
    </row>
    <row r="1110" spans="1:29" ht="15.75" x14ac:dyDescent="0.25">
      <c r="A1110" s="11">
        <f t="shared" si="33"/>
        <v>2053</v>
      </c>
      <c r="B1110" s="10">
        <f t="shared" ref="B1110:S1110" si="49">AVERAGE(B493:B504)</f>
        <v>21.558325</v>
      </c>
      <c r="C1110" s="10">
        <f t="shared" si="49"/>
        <v>21.564508333333333</v>
      </c>
      <c r="D1110" s="10">
        <f t="shared" si="49"/>
        <v>21.707774999999998</v>
      </c>
      <c r="E1110" s="10">
        <f t="shared" si="49"/>
        <v>21.739866666666668</v>
      </c>
      <c r="F1110" s="10">
        <f t="shared" si="49"/>
        <v>21.543716666666665</v>
      </c>
      <c r="G1110" s="10">
        <f t="shared" si="49"/>
        <v>21.558750000000003</v>
      </c>
      <c r="H1110" s="10">
        <f t="shared" si="49"/>
        <v>21.728991666666669</v>
      </c>
      <c r="I1110" s="10">
        <f t="shared" si="49"/>
        <v>21.563383333333334</v>
      </c>
      <c r="J1110" s="10">
        <f t="shared" si="49"/>
        <v>21.536716666666667</v>
      </c>
      <c r="K1110" s="53">
        <f t="shared" si="49"/>
        <v>21.5595</v>
      </c>
      <c r="L1110" s="10">
        <f t="shared" si="49"/>
        <v>22.315991666666665</v>
      </c>
      <c r="M1110" s="10">
        <f t="shared" si="49"/>
        <v>21.333208333333335</v>
      </c>
      <c r="N1110" s="10">
        <f t="shared" si="49"/>
        <v>21.348075000000005</v>
      </c>
      <c r="O1110" s="10">
        <f t="shared" si="49"/>
        <v>21.523533333333333</v>
      </c>
      <c r="P1110" s="10">
        <f t="shared" si="49"/>
        <v>21.359666666666669</v>
      </c>
      <c r="Q1110" s="10">
        <f t="shared" si="49"/>
        <v>22.118833333333338</v>
      </c>
      <c r="R1110" s="10">
        <f t="shared" si="49"/>
        <v>22.761133333333333</v>
      </c>
      <c r="S1110" s="10">
        <f t="shared" si="49"/>
        <v>20.932174999999997</v>
      </c>
      <c r="T1110" s="49">
        <f>SUM(T493:T504)</f>
        <v>357.24568100000005</v>
      </c>
      <c r="U1110" s="49">
        <f>SUM(U493:U504)</f>
        <v>142.03263249999998</v>
      </c>
      <c r="V1110" s="49">
        <f>SUM(V493:V504)</f>
        <v>50.187500000000007</v>
      </c>
      <c r="W1110" s="49">
        <f>SUM(W493:W504)</f>
        <v>5.0822234999999996</v>
      </c>
      <c r="X1110" s="49">
        <f>SUM(X493:X504)</f>
        <v>20.758966663999999</v>
      </c>
      <c r="Y1110" s="49"/>
      <c r="Z1110" s="55"/>
      <c r="AA1110" s="54"/>
      <c r="AB1110" s="50">
        <f>AVERAGE(AB493:AB504)</f>
        <v>21.577691528127144</v>
      </c>
      <c r="AC1110" s="45">
        <f>AVERAGE(AC493:AC504)</f>
        <v>21.399612470023982</v>
      </c>
    </row>
    <row r="1111" spans="1:29" ht="15.75" x14ac:dyDescent="0.25">
      <c r="A1111" s="11">
        <f t="shared" si="33"/>
        <v>2054</v>
      </c>
      <c r="B1111" s="10">
        <f t="shared" ref="B1111:S1111" si="50">AVERAGE(B505:B516)</f>
        <v>22.374841666666665</v>
      </c>
      <c r="C1111" s="10">
        <f t="shared" si="50"/>
        <v>22.381008333333337</v>
      </c>
      <c r="D1111" s="10">
        <f t="shared" si="50"/>
        <v>22.5243</v>
      </c>
      <c r="E1111" s="10">
        <f t="shared" si="50"/>
        <v>22.55639166666667</v>
      </c>
      <c r="F1111" s="10">
        <f t="shared" si="50"/>
        <v>22.360225</v>
      </c>
      <c r="G1111" s="10">
        <f t="shared" si="50"/>
        <v>22.375258333333335</v>
      </c>
      <c r="H1111" s="10">
        <f t="shared" si="50"/>
        <v>22.545508333333334</v>
      </c>
      <c r="I1111" s="10">
        <f t="shared" si="50"/>
        <v>22.37991666666667</v>
      </c>
      <c r="J1111" s="10">
        <f t="shared" si="50"/>
        <v>22.353224999999998</v>
      </c>
      <c r="K1111" s="53">
        <f t="shared" si="50"/>
        <v>22.376033333333336</v>
      </c>
      <c r="L1111" s="10">
        <f t="shared" si="50"/>
        <v>23.132508333333334</v>
      </c>
      <c r="M1111" s="10">
        <f t="shared" si="50"/>
        <v>22.141475</v>
      </c>
      <c r="N1111" s="10">
        <f t="shared" si="50"/>
        <v>22.156358333333333</v>
      </c>
      <c r="O1111" s="10">
        <f t="shared" si="50"/>
        <v>22.331808333333338</v>
      </c>
      <c r="P1111" s="10">
        <f t="shared" si="50"/>
        <v>22.167933333333334</v>
      </c>
      <c r="Q1111" s="10">
        <f t="shared" si="50"/>
        <v>22.927108333333337</v>
      </c>
      <c r="R1111" s="10">
        <f t="shared" si="50"/>
        <v>23.571425000000001</v>
      </c>
      <c r="S1111" s="10">
        <f t="shared" si="50"/>
        <v>21.725091666666668</v>
      </c>
      <c r="T1111" s="49">
        <f>SUM(T505:T516)</f>
        <v>357.24568100000005</v>
      </c>
      <c r="U1111" s="49">
        <f>SUM(U505:U516)</f>
        <v>142.03263249999998</v>
      </c>
      <c r="V1111" s="49">
        <f>SUM(V505:V516)</f>
        <v>50.187500000000007</v>
      </c>
      <c r="W1111" s="49">
        <f>SUM(W505:W516)</f>
        <v>5.0822234999999996</v>
      </c>
      <c r="X1111" s="49">
        <f>SUM(X505:X516)</f>
        <v>20.758966663999999</v>
      </c>
      <c r="Y1111" s="49"/>
      <c r="Z1111" s="52"/>
      <c r="AA1111" s="51"/>
      <c r="AB1111" s="50">
        <f>AVERAGE(AB505:AB516)</f>
        <v>22.394202534387915</v>
      </c>
      <c r="AC1111" s="45">
        <f>AVERAGE(AC505:AC516)</f>
        <v>22.207886750599524</v>
      </c>
    </row>
    <row r="1112" spans="1:29" ht="15.75" x14ac:dyDescent="0.25">
      <c r="A1112" s="11">
        <f t="shared" si="33"/>
        <v>2055</v>
      </c>
      <c r="B1112" s="10">
        <f t="shared" ref="B1112:S1112" si="51">AVERAGE(B517:B528)</f>
        <v>23.222275</v>
      </c>
      <c r="C1112" s="10">
        <f t="shared" si="51"/>
        <v>23.228458333333336</v>
      </c>
      <c r="D1112" s="10">
        <f t="shared" si="51"/>
        <v>23.371733333333339</v>
      </c>
      <c r="E1112" s="10">
        <f t="shared" si="51"/>
        <v>23.403833333333335</v>
      </c>
      <c r="F1112" s="10">
        <f t="shared" si="51"/>
        <v>23.207666666666668</v>
      </c>
      <c r="G1112" s="10">
        <f t="shared" si="51"/>
        <v>23.222691666666673</v>
      </c>
      <c r="H1112" s="10">
        <f t="shared" si="51"/>
        <v>23.392958333333336</v>
      </c>
      <c r="I1112" s="10">
        <f t="shared" si="51"/>
        <v>23.227358333333331</v>
      </c>
      <c r="J1112" s="10">
        <f t="shared" si="51"/>
        <v>23.200666666666663</v>
      </c>
      <c r="K1112" s="53">
        <f t="shared" si="51"/>
        <v>23.223466666666667</v>
      </c>
      <c r="L1112" s="10">
        <f t="shared" si="51"/>
        <v>23.979958333333329</v>
      </c>
      <c r="M1112" s="10">
        <f t="shared" si="51"/>
        <v>22.980358333333339</v>
      </c>
      <c r="N1112" s="10">
        <f t="shared" si="51"/>
        <v>22.995225000000001</v>
      </c>
      <c r="O1112" s="10">
        <f t="shared" si="51"/>
        <v>23.170708333333334</v>
      </c>
      <c r="P1112" s="10">
        <f t="shared" si="51"/>
        <v>23.006833333333333</v>
      </c>
      <c r="Q1112" s="10">
        <f t="shared" si="51"/>
        <v>23.766008333333332</v>
      </c>
      <c r="R1112" s="10">
        <f t="shared" si="51"/>
        <v>24.412416666666662</v>
      </c>
      <c r="S1112" s="10">
        <f t="shared" si="51"/>
        <v>22.54805</v>
      </c>
      <c r="T1112" s="49">
        <f>SUM(T517:T528)</f>
        <v>357.24568100000005</v>
      </c>
      <c r="U1112" s="49">
        <f>SUM(U517:U528)</f>
        <v>142.03263249999998</v>
      </c>
      <c r="V1112" s="49">
        <f>SUM(V517:V528)</f>
        <v>50.187500000000007</v>
      </c>
      <c r="W1112" s="49">
        <f>SUM(W517:W528)</f>
        <v>5.0822234999999996</v>
      </c>
      <c r="X1112" s="49">
        <f>SUM(X517:X528)</f>
        <v>20.758966663999999</v>
      </c>
      <c r="Y1112" s="49"/>
      <c r="Z1112" s="52"/>
      <c r="AA1112" s="51"/>
      <c r="AB1112" s="50">
        <f>AVERAGE(AB517:AB528)</f>
        <v>23.241643749828711</v>
      </c>
      <c r="AC1112" s="45">
        <f>AVERAGE(AC517:AC528)</f>
        <v>23.046773321342926</v>
      </c>
    </row>
    <row r="1113" spans="1:29" ht="15.75" x14ac:dyDescent="0.25">
      <c r="A1113" s="11">
        <f t="shared" si="33"/>
        <v>2056</v>
      </c>
      <c r="B1113" s="10">
        <f t="shared" ref="B1113:S1113" si="52">AVERAGE(B529:B540)</f>
        <v>24.101833333333332</v>
      </c>
      <c r="C1113" s="10">
        <f t="shared" si="52"/>
        <v>24.108000000000001</v>
      </c>
      <c r="D1113" s="10">
        <f t="shared" si="52"/>
        <v>24.251291666666663</v>
      </c>
      <c r="E1113" s="10">
        <f t="shared" si="52"/>
        <v>24.283383333333333</v>
      </c>
      <c r="F1113" s="10">
        <f t="shared" si="52"/>
        <v>24.087216666666663</v>
      </c>
      <c r="G1113" s="10">
        <f t="shared" si="52"/>
        <v>24.102241666666668</v>
      </c>
      <c r="H1113" s="10">
        <f t="shared" si="52"/>
        <v>24.272499999999997</v>
      </c>
      <c r="I1113" s="10">
        <f t="shared" si="52"/>
        <v>24.106891666666666</v>
      </c>
      <c r="J1113" s="10">
        <f t="shared" si="52"/>
        <v>24.080216666666669</v>
      </c>
      <c r="K1113" s="53">
        <f t="shared" si="52"/>
        <v>24.103008333333335</v>
      </c>
      <c r="L1113" s="10">
        <f t="shared" si="52"/>
        <v>24.859499999999997</v>
      </c>
      <c r="M1113" s="10">
        <f t="shared" si="52"/>
        <v>23.851033333333337</v>
      </c>
      <c r="N1113" s="10">
        <f t="shared" si="52"/>
        <v>23.865891666666666</v>
      </c>
      <c r="O1113" s="10">
        <f t="shared" si="52"/>
        <v>24.041366666666665</v>
      </c>
      <c r="P1113" s="10">
        <f t="shared" si="52"/>
        <v>23.877475000000004</v>
      </c>
      <c r="Q1113" s="10">
        <f t="shared" si="52"/>
        <v>24.636666666666667</v>
      </c>
      <c r="R1113" s="10">
        <f t="shared" si="52"/>
        <v>25.285258333333335</v>
      </c>
      <c r="S1113" s="10">
        <f t="shared" si="52"/>
        <v>23.40218333333333</v>
      </c>
      <c r="T1113" s="49">
        <f>SUM(T529:T540)</f>
        <v>358.17703550000004</v>
      </c>
      <c r="U1113" s="49">
        <f>SUM(U529:U540)</f>
        <v>142.42176299999997</v>
      </c>
      <c r="V1113" s="49">
        <f>SUM(V529:V540)</f>
        <v>50.325000000000003</v>
      </c>
      <c r="W1113" s="49">
        <f>SUM(W529:W540)</f>
        <v>5.0961473999999995</v>
      </c>
      <c r="X1113" s="49">
        <f>SUM(X529:X540)</f>
        <v>20.800615543999996</v>
      </c>
      <c r="Y1113" s="49"/>
      <c r="Z1113" s="52"/>
      <c r="AA1113" s="51"/>
      <c r="AB1113" s="50">
        <f>AVERAGE(AB529:AB540)</f>
        <v>24.121191935520731</v>
      </c>
      <c r="AC1113" s="45">
        <f>AVERAGE(AC529:AC540)</f>
        <v>23.91743693045564</v>
      </c>
    </row>
    <row r="1114" spans="1:29" ht="15.75" x14ac:dyDescent="0.25">
      <c r="A1114" s="11">
        <f t="shared" si="33"/>
        <v>2057</v>
      </c>
      <c r="B1114" s="10">
        <f t="shared" ref="B1114:S1114" si="53">AVERAGE(B541:B552)</f>
        <v>25.014708333333331</v>
      </c>
      <c r="C1114" s="10">
        <f t="shared" si="53"/>
        <v>25.020849999999996</v>
      </c>
      <c r="D1114" s="10">
        <f t="shared" si="53"/>
        <v>25.164149999999996</v>
      </c>
      <c r="E1114" s="10">
        <f t="shared" si="53"/>
        <v>25.196241666666666</v>
      </c>
      <c r="F1114" s="10">
        <f t="shared" si="53"/>
        <v>25.000091666666666</v>
      </c>
      <c r="G1114" s="10">
        <f t="shared" si="53"/>
        <v>25.015125000000001</v>
      </c>
      <c r="H1114" s="10">
        <f t="shared" si="53"/>
        <v>25.185358333333337</v>
      </c>
      <c r="I1114" s="10">
        <f t="shared" si="53"/>
        <v>25.019774999999999</v>
      </c>
      <c r="J1114" s="10">
        <f t="shared" si="53"/>
        <v>24.993091666666668</v>
      </c>
      <c r="K1114" s="53">
        <f t="shared" si="53"/>
        <v>25.015874999999998</v>
      </c>
      <c r="L1114" s="10">
        <f t="shared" si="53"/>
        <v>25.77235833333334</v>
      </c>
      <c r="M1114" s="10">
        <f t="shared" si="53"/>
        <v>24.754683333333336</v>
      </c>
      <c r="N1114" s="10">
        <f t="shared" si="53"/>
        <v>24.769549999999999</v>
      </c>
      <c r="O1114" s="10">
        <f t="shared" si="53"/>
        <v>24.945016666666664</v>
      </c>
      <c r="P1114" s="10">
        <f t="shared" si="53"/>
        <v>24.781133333333333</v>
      </c>
      <c r="Q1114" s="10">
        <f t="shared" si="53"/>
        <v>25.540316666666666</v>
      </c>
      <c r="R1114" s="10">
        <f t="shared" si="53"/>
        <v>26.191166666666664</v>
      </c>
      <c r="S1114" s="10">
        <f t="shared" si="53"/>
        <v>24.288658333333334</v>
      </c>
      <c r="T1114" s="49">
        <f>SUM(T541:T552)</f>
        <v>357.24568100000005</v>
      </c>
      <c r="U1114" s="49">
        <f>SUM(U541:U552)</f>
        <v>142.03263249999998</v>
      </c>
      <c r="V1114" s="49">
        <f>SUM(V541:V552)</f>
        <v>50.187500000000007</v>
      </c>
      <c r="W1114" s="49">
        <f>SUM(W541:W552)</f>
        <v>5.0822234999999996</v>
      </c>
      <c r="X1114" s="49">
        <f>SUM(X541:X552)</f>
        <v>20.758966663999999</v>
      </c>
      <c r="Y1114" s="49"/>
      <c r="Z1114" s="52"/>
      <c r="AA1114" s="51"/>
      <c r="AB1114" s="50">
        <f>AVERAGE(AB541:AB552)</f>
        <v>25.034060787258312</v>
      </c>
      <c r="AC1114" s="45">
        <f>AVERAGE(AC541:AC552)</f>
        <v>24.82108860911271</v>
      </c>
    </row>
    <row r="1115" spans="1:29" ht="15.75" x14ac:dyDescent="0.25">
      <c r="A1115" s="11">
        <f t="shared" si="33"/>
        <v>2058</v>
      </c>
      <c r="B1115" s="10">
        <f t="shared" ref="B1115:S1115" si="54">AVERAGE(B553:B564)</f>
        <v>25.962141666666668</v>
      </c>
      <c r="C1115" s="10">
        <f t="shared" si="54"/>
        <v>25.968308333333329</v>
      </c>
      <c r="D1115" s="10">
        <f t="shared" si="54"/>
        <v>26.111599999999999</v>
      </c>
      <c r="E1115" s="10">
        <f t="shared" si="54"/>
        <v>26.143683333333339</v>
      </c>
      <c r="F1115" s="10">
        <f t="shared" si="54"/>
        <v>25.947533333333329</v>
      </c>
      <c r="G1115" s="10">
        <f t="shared" si="54"/>
        <v>25.962549999999997</v>
      </c>
      <c r="H1115" s="10">
        <f t="shared" si="54"/>
        <v>26.132799999999992</v>
      </c>
      <c r="I1115" s="10">
        <f t="shared" si="54"/>
        <v>25.967216666666662</v>
      </c>
      <c r="J1115" s="10">
        <f t="shared" si="54"/>
        <v>25.940533333333335</v>
      </c>
      <c r="K1115" s="53">
        <f t="shared" si="54"/>
        <v>25.963325000000001</v>
      </c>
      <c r="L1115" s="10">
        <f t="shared" si="54"/>
        <v>26.719800000000003</v>
      </c>
      <c r="M1115" s="10">
        <f t="shared" si="54"/>
        <v>25.692558333333327</v>
      </c>
      <c r="N1115" s="10">
        <f t="shared" si="54"/>
        <v>25.707441666666664</v>
      </c>
      <c r="O1115" s="10">
        <f t="shared" si="54"/>
        <v>25.882900000000006</v>
      </c>
      <c r="P1115" s="10">
        <f t="shared" si="54"/>
        <v>25.719033333333332</v>
      </c>
      <c r="Q1115" s="10">
        <f t="shared" si="54"/>
        <v>26.478199999999998</v>
      </c>
      <c r="R1115" s="10">
        <f t="shared" si="54"/>
        <v>27.131399999999996</v>
      </c>
      <c r="S1115" s="10">
        <f t="shared" si="54"/>
        <v>25.208749999999998</v>
      </c>
      <c r="T1115" s="49">
        <f>SUM(T553:T564)</f>
        <v>357.24568100000005</v>
      </c>
      <c r="U1115" s="49">
        <f>SUM(U553:U564)</f>
        <v>142.03263249999998</v>
      </c>
      <c r="V1115" s="49">
        <f>SUM(V553:V564)</f>
        <v>50.187500000000007</v>
      </c>
      <c r="W1115" s="49">
        <f>SUM(W553:W564)</f>
        <v>5.0822234999999996</v>
      </c>
      <c r="X1115" s="49">
        <f>SUM(X553:X564)</f>
        <v>20.758966663999999</v>
      </c>
      <c r="Y1115" s="49"/>
      <c r="Z1115" s="52"/>
      <c r="AA1115" s="51"/>
      <c r="AB1115" s="50">
        <f>AVERAGE(AB553:AB564)</f>
        <v>25.981503976019809</v>
      </c>
      <c r="AC1115" s="45">
        <f>AVERAGE(AC553:AC564)</f>
        <v>25.758971942446049</v>
      </c>
    </row>
    <row r="1116" spans="1:29" ht="15.75" x14ac:dyDescent="0.25">
      <c r="A1116" s="11">
        <f t="shared" si="33"/>
        <v>2059</v>
      </c>
      <c r="B1116" s="10">
        <f t="shared" ref="B1116:S1116" si="55">AVERAGE(B565:B576)</f>
        <v>26.945474999999998</v>
      </c>
      <c r="C1116" s="10">
        <f t="shared" si="55"/>
        <v>26.951649999999997</v>
      </c>
      <c r="D1116" s="10">
        <f t="shared" si="55"/>
        <v>27.094949999999997</v>
      </c>
      <c r="E1116" s="10">
        <f t="shared" si="55"/>
        <v>27.12703333333333</v>
      </c>
      <c r="F1116" s="10">
        <f t="shared" si="55"/>
        <v>26.930858333333337</v>
      </c>
      <c r="G1116" s="10">
        <f t="shared" si="55"/>
        <v>26.945891666666668</v>
      </c>
      <c r="H1116" s="10">
        <f t="shared" si="55"/>
        <v>27.116133333333334</v>
      </c>
      <c r="I1116" s="10">
        <f t="shared" si="55"/>
        <v>26.950541666666666</v>
      </c>
      <c r="J1116" s="10">
        <f t="shared" si="55"/>
        <v>26.923858333333339</v>
      </c>
      <c r="K1116" s="53">
        <f t="shared" si="55"/>
        <v>26.946666666666662</v>
      </c>
      <c r="L1116" s="10">
        <f t="shared" si="55"/>
        <v>27.703133333333337</v>
      </c>
      <c r="M1116" s="10">
        <f t="shared" si="55"/>
        <v>26.665991666666667</v>
      </c>
      <c r="N1116" s="10">
        <f t="shared" si="55"/>
        <v>26.680875</v>
      </c>
      <c r="O1116" s="10">
        <f t="shared" si="55"/>
        <v>26.856316666666668</v>
      </c>
      <c r="P1116" s="10">
        <f t="shared" si="55"/>
        <v>26.692433333333337</v>
      </c>
      <c r="Q1116" s="10">
        <f t="shared" si="55"/>
        <v>27.451616666666666</v>
      </c>
      <c r="R1116" s="10">
        <f t="shared" si="55"/>
        <v>28.107266666666664</v>
      </c>
      <c r="S1116" s="10">
        <f t="shared" si="55"/>
        <v>26.163658333333331</v>
      </c>
      <c r="T1116" s="49">
        <f>SUM(T565:T576)</f>
        <v>357.24568100000005</v>
      </c>
      <c r="U1116" s="49">
        <f>SUM(U565:U576)</f>
        <v>142.03263249999998</v>
      </c>
      <c r="V1116" s="49">
        <f>SUM(V565:V576)</f>
        <v>50.187500000000007</v>
      </c>
      <c r="W1116" s="49">
        <f>SUM(W565:W576)</f>
        <v>5.0822234999999996</v>
      </c>
      <c r="X1116" s="49">
        <f>SUM(X565:X576)</f>
        <v>20.758966663999999</v>
      </c>
      <c r="Y1116" s="49"/>
      <c r="Z1116" s="10"/>
      <c r="AA1116" s="10"/>
      <c r="AB1116" s="50">
        <f>AVERAGE(AB565:AB576)</f>
        <v>26.96483968662028</v>
      </c>
      <c r="AC1116" s="45">
        <f>AVERAGE(AC565:AC576)</f>
        <v>26.732394364508394</v>
      </c>
    </row>
    <row r="1117" spans="1:29" ht="15.75" x14ac:dyDescent="0.25">
      <c r="A1117" s="11">
        <f t="shared" si="33"/>
        <v>2060</v>
      </c>
      <c r="B1117" s="10">
        <f t="shared" ref="B1117:S1117" si="56">AVERAGE(B577:B588)</f>
        <v>27.966083333333334</v>
      </c>
      <c r="C1117" s="10">
        <f t="shared" si="56"/>
        <v>27.972233333333335</v>
      </c>
      <c r="D1117" s="10">
        <f t="shared" si="56"/>
        <v>28.115533333333335</v>
      </c>
      <c r="E1117" s="10">
        <f t="shared" si="56"/>
        <v>28.147633333333332</v>
      </c>
      <c r="F1117" s="10">
        <f t="shared" si="56"/>
        <v>27.951458333333335</v>
      </c>
      <c r="G1117" s="10">
        <f t="shared" si="56"/>
        <v>27.966466666666665</v>
      </c>
      <c r="H1117" s="10">
        <f t="shared" si="56"/>
        <v>28.136733333333339</v>
      </c>
      <c r="I1117" s="10">
        <f t="shared" si="56"/>
        <v>27.971158333333335</v>
      </c>
      <c r="J1117" s="10">
        <f t="shared" si="56"/>
        <v>27.944458333333333</v>
      </c>
      <c r="K1117" s="53">
        <f t="shared" si="56"/>
        <v>27.96726666666666</v>
      </c>
      <c r="L1117" s="10">
        <f t="shared" si="56"/>
        <v>28.723733333333332</v>
      </c>
      <c r="M1117" s="10">
        <f t="shared" si="56"/>
        <v>27.676291666666668</v>
      </c>
      <c r="N1117" s="10">
        <f t="shared" si="56"/>
        <v>27.691149999999997</v>
      </c>
      <c r="O1117" s="10">
        <f t="shared" si="56"/>
        <v>27.866608333333332</v>
      </c>
      <c r="P1117" s="10">
        <f t="shared" si="56"/>
        <v>27.702733333333338</v>
      </c>
      <c r="Q1117" s="10">
        <f t="shared" si="56"/>
        <v>28.46190833333333</v>
      </c>
      <c r="R1117" s="10">
        <f t="shared" si="56"/>
        <v>29.120058333333336</v>
      </c>
      <c r="S1117" s="10">
        <f t="shared" si="56"/>
        <v>27.15474166666667</v>
      </c>
      <c r="T1117" s="49">
        <f>SUM(T577:T588)</f>
        <v>358.17703550000004</v>
      </c>
      <c r="U1117" s="49">
        <f>SUM(U577:U588)</f>
        <v>142.42176299999997</v>
      </c>
      <c r="V1117" s="49">
        <f>SUM(V577:V588)</f>
        <v>50.325000000000003</v>
      </c>
      <c r="W1117" s="49">
        <f>SUM(W577:W588)</f>
        <v>5.0961473999999995</v>
      </c>
      <c r="X1117" s="49">
        <f>SUM(X577:X588)</f>
        <v>20.800615543999996</v>
      </c>
      <c r="Y1117" s="49"/>
      <c r="Z1117" s="52"/>
      <c r="AA1117" s="51"/>
      <c r="AB1117" s="50">
        <f>AVERAGE(AB577:AB588)</f>
        <v>27.985433221136002</v>
      </c>
      <c r="AC1117" s="45">
        <f>AVERAGE(AC577:AC588)</f>
        <v>27.74268770983214</v>
      </c>
    </row>
    <row r="1118" spans="1:29" ht="15.75" x14ac:dyDescent="0.25">
      <c r="A1118" s="11">
        <f t="shared" si="33"/>
        <v>2061</v>
      </c>
      <c r="B1118" s="10">
        <f t="shared" ref="B1118:S1118" si="57">AVERAGE(B589:B600)</f>
        <v>29.025324999999999</v>
      </c>
      <c r="C1118" s="10">
        <f t="shared" si="57"/>
        <v>29.03146666666666</v>
      </c>
      <c r="D1118" s="10">
        <f t="shared" si="57"/>
        <v>29.174791666666668</v>
      </c>
      <c r="E1118" s="10">
        <f t="shared" si="57"/>
        <v>29.206875</v>
      </c>
      <c r="F1118" s="10">
        <f t="shared" si="57"/>
        <v>29.01070833333333</v>
      </c>
      <c r="G1118" s="10">
        <f t="shared" si="57"/>
        <v>29.025716666666664</v>
      </c>
      <c r="H1118" s="10">
        <f t="shared" si="57"/>
        <v>29.195983333333334</v>
      </c>
      <c r="I1118" s="10">
        <f t="shared" si="57"/>
        <v>29.030416666666667</v>
      </c>
      <c r="J1118" s="10">
        <f t="shared" si="57"/>
        <v>29.003708333333325</v>
      </c>
      <c r="K1118" s="53">
        <f t="shared" si="57"/>
        <v>29.026533333333333</v>
      </c>
      <c r="L1118" s="10">
        <f t="shared" si="57"/>
        <v>29.78298333333333</v>
      </c>
      <c r="M1118" s="10">
        <f t="shared" si="57"/>
        <v>28.724833333333333</v>
      </c>
      <c r="N1118" s="10">
        <f t="shared" si="57"/>
        <v>28.739699999999996</v>
      </c>
      <c r="O1118" s="10">
        <f t="shared" si="57"/>
        <v>28.915175000000009</v>
      </c>
      <c r="P1118" s="10">
        <f t="shared" si="57"/>
        <v>28.751275000000003</v>
      </c>
      <c r="Q1118" s="10">
        <f t="shared" si="57"/>
        <v>29.510475</v>
      </c>
      <c r="R1118" s="10">
        <f t="shared" si="57"/>
        <v>30.171241666666663</v>
      </c>
      <c r="S1118" s="10">
        <f t="shared" si="57"/>
        <v>28.183391666666669</v>
      </c>
      <c r="T1118" s="49">
        <f>SUM(T589:T600)</f>
        <v>357.24568100000005</v>
      </c>
      <c r="U1118" s="49">
        <f>SUM(U589:U600)</f>
        <v>142.03263249999998</v>
      </c>
      <c r="V1118" s="49">
        <f>SUM(V589:V600)</f>
        <v>50.187500000000007</v>
      </c>
      <c r="W1118" s="49">
        <f>SUM(W589:W600)</f>
        <v>5.0822234999999996</v>
      </c>
      <c r="X1118" s="49">
        <f>SUM(X589:X600)</f>
        <v>20.758966663999999</v>
      </c>
      <c r="Y1118" s="49"/>
      <c r="Z1118" s="52"/>
      <c r="AA1118" s="51"/>
      <c r="AB1118" s="50">
        <f>AVERAGE(AB589:AB600)</f>
        <v>29.044678962872677</v>
      </c>
      <c r="AC1118" s="45">
        <f>AVERAGE(AC589:AC600)</f>
        <v>28.791241187050364</v>
      </c>
    </row>
    <row r="1119" spans="1:29" ht="15" x14ac:dyDescent="0.2">
      <c r="A1119" s="11">
        <f t="shared" si="33"/>
        <v>2062</v>
      </c>
      <c r="B1119" s="10">
        <f t="shared" ref="B1119:K1128" ca="1" si="58">AVERAGE(OFFSET(B$601,($A1119-$A$1119)*12,0,12,1))</f>
        <v>30.124700000000001</v>
      </c>
      <c r="C1119" s="10">
        <f t="shared" ca="1" si="58"/>
        <v>30.130866666666666</v>
      </c>
      <c r="D1119" s="10">
        <f t="shared" ca="1" si="58"/>
        <v>30.27416666666667</v>
      </c>
      <c r="E1119" s="10">
        <f t="shared" ca="1" si="58"/>
        <v>30.306250000000002</v>
      </c>
      <c r="F1119" s="10">
        <f t="shared" ca="1" si="58"/>
        <v>30.110099999999999</v>
      </c>
      <c r="G1119" s="10">
        <f t="shared" ca="1" si="58"/>
        <v>30.125100000000003</v>
      </c>
      <c r="H1119" s="10">
        <f t="shared" ca="1" si="58"/>
        <v>30.295358333333336</v>
      </c>
      <c r="I1119" s="10">
        <f t="shared" ca="1" si="58"/>
        <v>30.129783333333332</v>
      </c>
      <c r="J1119" s="10">
        <f t="shared" ca="1" si="58"/>
        <v>30.103100000000001</v>
      </c>
      <c r="K1119" s="10">
        <f t="shared" ca="1" si="58"/>
        <v>30.125891666666664</v>
      </c>
      <c r="L1119" s="10">
        <f t="shared" ref="L1119:S1128" ca="1" si="59">AVERAGE(OFFSET(L$601,($A1119-$A$1119)*12,0,12,1))</f>
        <v>30.882358333333329</v>
      </c>
      <c r="M1119" s="10">
        <f t="shared" ca="1" si="59"/>
        <v>29.813124999999999</v>
      </c>
      <c r="N1119" s="10">
        <f t="shared" ca="1" si="59"/>
        <v>29.827983333333332</v>
      </c>
      <c r="O1119" s="10">
        <f t="shared" ca="1" si="59"/>
        <v>30.003458333333331</v>
      </c>
      <c r="P1119" s="10">
        <f t="shared" ca="1" si="59"/>
        <v>29.83956666666667</v>
      </c>
      <c r="Q1119" s="10">
        <f t="shared" ca="1" si="59"/>
        <v>30.598758333333336</v>
      </c>
      <c r="R1119" s="10">
        <f t="shared" ca="1" si="59"/>
        <v>31.262258333333332</v>
      </c>
      <c r="S1119" s="10">
        <f t="shared" ca="1" si="59"/>
        <v>29.250991666666664</v>
      </c>
      <c r="T1119" s="49">
        <f t="shared" ref="T1119:X1128" ca="1" si="60">SUM(OFFSET(T$601,($A1119-$A$1119)*12,0,12,1))</f>
        <v>357.24568100000005</v>
      </c>
      <c r="U1119" s="49">
        <f t="shared" ca="1" si="60"/>
        <v>142.03263249999998</v>
      </c>
      <c r="V1119" s="49">
        <f t="shared" ca="1" si="60"/>
        <v>50.187500000000007</v>
      </c>
      <c r="W1119" s="49">
        <f t="shared" ca="1" si="60"/>
        <v>5.0822234999999996</v>
      </c>
      <c r="X1119" s="49">
        <f t="shared" ca="1" si="60"/>
        <v>20.758966663999999</v>
      </c>
      <c r="Y1119" s="10"/>
      <c r="Z1119" s="10"/>
      <c r="AA1119" s="10"/>
      <c r="AB1119" s="10">
        <f t="shared" ref="AB1119:AC1138" ca="1" si="61">AVERAGE(OFFSET(AB$601,($A1119-$A$1119)*12,0,12,1))</f>
        <v>30.144065560361266</v>
      </c>
      <c r="AC1119" s="10">
        <f t="shared" ca="1" si="61"/>
        <v>29.904050899280577</v>
      </c>
    </row>
    <row r="1120" spans="1:29" ht="15" x14ac:dyDescent="0.2">
      <c r="A1120" s="11">
        <f t="shared" si="33"/>
        <v>2063</v>
      </c>
      <c r="B1120" s="10">
        <f t="shared" ca="1" si="58"/>
        <v>31.265733333333333</v>
      </c>
      <c r="C1120" s="10">
        <f t="shared" ca="1" si="58"/>
        <v>31.271883333333331</v>
      </c>
      <c r="D1120" s="10">
        <f t="shared" ca="1" si="58"/>
        <v>31.415166666666675</v>
      </c>
      <c r="E1120" s="10">
        <f t="shared" ca="1" si="58"/>
        <v>31.447266666666664</v>
      </c>
      <c r="F1120" s="10">
        <f t="shared" ca="1" si="58"/>
        <v>31.251108333333331</v>
      </c>
      <c r="G1120" s="10">
        <f t="shared" ca="1" si="58"/>
        <v>31.26613333333334</v>
      </c>
      <c r="H1120" s="10">
        <f t="shared" ca="1" si="58"/>
        <v>31.436391666666669</v>
      </c>
      <c r="I1120" s="10">
        <f t="shared" ca="1" si="58"/>
        <v>31.270799999999998</v>
      </c>
      <c r="J1120" s="10">
        <f t="shared" ca="1" si="58"/>
        <v>31.244108333333333</v>
      </c>
      <c r="K1120" s="10">
        <f t="shared" ca="1" si="58"/>
        <v>31.266900000000003</v>
      </c>
      <c r="L1120" s="10">
        <f t="shared" ca="1" si="59"/>
        <v>32.023391666666669</v>
      </c>
      <c r="M1120" s="10">
        <f t="shared" ca="1" si="59"/>
        <v>30.942625000000003</v>
      </c>
      <c r="N1120" s="10">
        <f t="shared" ca="1" si="59"/>
        <v>30.957508333333333</v>
      </c>
      <c r="O1120" s="10">
        <f t="shared" ca="1" si="59"/>
        <v>31.132958333333335</v>
      </c>
      <c r="P1120" s="10">
        <f t="shared" ca="1" si="59"/>
        <v>30.96908333333333</v>
      </c>
      <c r="Q1120" s="10">
        <f t="shared" ca="1" si="59"/>
        <v>31.728258333333333</v>
      </c>
      <c r="R1120" s="10">
        <f t="shared" ca="1" si="59"/>
        <v>32.394583333333337</v>
      </c>
      <c r="S1120" s="10">
        <f t="shared" ca="1" si="59"/>
        <v>30.359033333333329</v>
      </c>
      <c r="T1120" s="49">
        <f t="shared" ca="1" si="60"/>
        <v>357.24568100000005</v>
      </c>
      <c r="U1120" s="49">
        <f t="shared" ca="1" si="60"/>
        <v>142.03263249999998</v>
      </c>
      <c r="V1120" s="49">
        <f t="shared" ca="1" si="60"/>
        <v>50.187500000000007</v>
      </c>
      <c r="W1120" s="49">
        <f t="shared" ca="1" si="60"/>
        <v>5.0822234999999996</v>
      </c>
      <c r="X1120" s="49">
        <f t="shared" ca="1" si="60"/>
        <v>20.758966663999999</v>
      </c>
      <c r="Y1120" s="10"/>
      <c r="Z1120" s="10"/>
      <c r="AA1120" s="10"/>
      <c r="AB1120" s="10">
        <f t="shared" ca="1" si="61"/>
        <v>31.28508226289431</v>
      </c>
      <c r="AC1120" s="10">
        <f t="shared" ca="1" si="61"/>
        <v>31.033554736211027</v>
      </c>
    </row>
    <row r="1121" spans="1:29" ht="15" x14ac:dyDescent="0.2">
      <c r="A1121" s="11">
        <f t="shared" si="33"/>
        <v>2064</v>
      </c>
      <c r="B1121" s="10">
        <f t="shared" ca="1" si="58"/>
        <v>32.449983333333329</v>
      </c>
      <c r="C1121" s="10">
        <f t="shared" ca="1" si="58"/>
        <v>32.456141666666667</v>
      </c>
      <c r="D1121" s="10">
        <f t="shared" ca="1" si="58"/>
        <v>32.59941666666667</v>
      </c>
      <c r="E1121" s="10">
        <f t="shared" ca="1" si="58"/>
        <v>32.631525000000003</v>
      </c>
      <c r="F1121" s="10">
        <f t="shared" ca="1" si="58"/>
        <v>32.43536666666666</v>
      </c>
      <c r="G1121" s="10">
        <f t="shared" ca="1" si="58"/>
        <v>32.450383333333335</v>
      </c>
      <c r="H1121" s="10">
        <f t="shared" ca="1" si="58"/>
        <v>32.620633333333338</v>
      </c>
      <c r="I1121" s="10">
        <f t="shared" ca="1" si="58"/>
        <v>32.455041666666666</v>
      </c>
      <c r="J1121" s="10">
        <f t="shared" ca="1" si="58"/>
        <v>32.428366666666662</v>
      </c>
      <c r="K1121" s="10">
        <f t="shared" ca="1" si="58"/>
        <v>32.451149999999998</v>
      </c>
      <c r="L1121" s="10">
        <f t="shared" ca="1" si="59"/>
        <v>33.207633333333327</v>
      </c>
      <c r="M1121" s="10">
        <f t="shared" ca="1" si="59"/>
        <v>32.114924999999999</v>
      </c>
      <c r="N1121" s="10">
        <f t="shared" ca="1" si="59"/>
        <v>32.129808333333337</v>
      </c>
      <c r="O1121" s="10">
        <f t="shared" ca="1" si="59"/>
        <v>32.305258333333335</v>
      </c>
      <c r="P1121" s="10">
        <f t="shared" ca="1" si="59"/>
        <v>32.141375000000004</v>
      </c>
      <c r="Q1121" s="10">
        <f t="shared" ca="1" si="59"/>
        <v>32.900558333333336</v>
      </c>
      <c r="R1121" s="10">
        <f t="shared" ca="1" si="59"/>
        <v>33.569825000000002</v>
      </c>
      <c r="S1121" s="10">
        <f t="shared" ca="1" si="59"/>
        <v>31.509049999999998</v>
      </c>
      <c r="T1121" s="49">
        <f t="shared" ca="1" si="60"/>
        <v>358.17703550000004</v>
      </c>
      <c r="U1121" s="49">
        <f t="shared" ca="1" si="60"/>
        <v>142.42176299999997</v>
      </c>
      <c r="V1121" s="49">
        <f t="shared" ca="1" si="60"/>
        <v>50.325000000000003</v>
      </c>
      <c r="W1121" s="49">
        <f t="shared" ca="1" si="60"/>
        <v>5.0961473999999995</v>
      </c>
      <c r="X1121" s="49">
        <f t="shared" ca="1" si="60"/>
        <v>20.800615543999996</v>
      </c>
      <c r="Y1121" s="10"/>
      <c r="Z1121" s="10"/>
      <c r="AA1121" s="10"/>
      <c r="AB1121" s="10">
        <f t="shared" ca="1" si="61"/>
        <v>32.469335985077869</v>
      </c>
      <c r="AC1121" s="10">
        <f t="shared" ca="1" si="61"/>
        <v>32.205853537170263</v>
      </c>
    </row>
    <row r="1122" spans="1:29" ht="15" x14ac:dyDescent="0.2">
      <c r="A1122" s="11">
        <f t="shared" si="33"/>
        <v>2065</v>
      </c>
      <c r="B1122" s="10">
        <f t="shared" ca="1" si="58"/>
        <v>33.679074999999997</v>
      </c>
      <c r="C1122" s="10">
        <f t="shared" ca="1" si="58"/>
        <v>33.685258333333337</v>
      </c>
      <c r="D1122" s="10">
        <f t="shared" ca="1" si="58"/>
        <v>33.828541666666666</v>
      </c>
      <c r="E1122" s="10">
        <f t="shared" ca="1" si="58"/>
        <v>33.860633333333332</v>
      </c>
      <c r="F1122" s="10">
        <f t="shared" ca="1" si="58"/>
        <v>33.664475000000003</v>
      </c>
      <c r="G1122" s="10">
        <f t="shared" ca="1" si="58"/>
        <v>33.679491666666671</v>
      </c>
      <c r="H1122" s="10">
        <f t="shared" ca="1" si="58"/>
        <v>33.849741666666674</v>
      </c>
      <c r="I1122" s="10">
        <f t="shared" ca="1" si="58"/>
        <v>33.684158333333329</v>
      </c>
      <c r="J1122" s="10">
        <f t="shared" ca="1" si="58"/>
        <v>33.657474999999998</v>
      </c>
      <c r="K1122" s="10">
        <f t="shared" ca="1" si="58"/>
        <v>33.680266666666661</v>
      </c>
      <c r="L1122" s="10">
        <f t="shared" ca="1" si="59"/>
        <v>34.43674166666667</v>
      </c>
      <c r="M1122" s="10">
        <f t="shared" ca="1" si="59"/>
        <v>33.331616666666662</v>
      </c>
      <c r="N1122" s="10">
        <f t="shared" ca="1" si="59"/>
        <v>33.346516666666666</v>
      </c>
      <c r="O1122" s="10">
        <f t="shared" ca="1" si="59"/>
        <v>33.521966666666671</v>
      </c>
      <c r="P1122" s="10">
        <f t="shared" ca="1" si="59"/>
        <v>33.358091666666667</v>
      </c>
      <c r="Q1122" s="10">
        <f t="shared" ca="1" si="59"/>
        <v>34.117266666666666</v>
      </c>
      <c r="R1122" s="10">
        <f t="shared" ca="1" si="59"/>
        <v>34.789566666666666</v>
      </c>
      <c r="S1122" s="10">
        <f t="shared" ca="1" si="59"/>
        <v>32.702649999999998</v>
      </c>
      <c r="T1122" s="49">
        <f t="shared" ca="1" si="60"/>
        <v>357.24568100000005</v>
      </c>
      <c r="U1122" s="49">
        <f t="shared" ca="1" si="60"/>
        <v>142.03263249999998</v>
      </c>
      <c r="V1122" s="49">
        <f t="shared" ca="1" si="60"/>
        <v>50.187500000000007</v>
      </c>
      <c r="W1122" s="49">
        <f t="shared" ca="1" si="60"/>
        <v>5.0822234999999996</v>
      </c>
      <c r="X1122" s="49">
        <f t="shared" ca="1" si="60"/>
        <v>20.758966663999999</v>
      </c>
      <c r="Y1122" s="10"/>
      <c r="Z1122" s="10"/>
      <c r="AA1122" s="10"/>
      <c r="AB1122" s="10">
        <f t="shared" ca="1" si="61"/>
        <v>33.698446829435049</v>
      </c>
      <c r="AC1122" s="10">
        <f t="shared" ca="1" si="61"/>
        <v>33.422557314148683</v>
      </c>
    </row>
    <row r="1123" spans="1:29" ht="15" x14ac:dyDescent="0.2">
      <c r="A1123" s="11">
        <f t="shared" si="33"/>
        <v>2066</v>
      </c>
      <c r="B1123" s="10">
        <f t="shared" ca="1" si="58"/>
        <v>34.954766666666664</v>
      </c>
      <c r="C1123" s="10">
        <f t="shared" ca="1" si="58"/>
        <v>34.960908333333336</v>
      </c>
      <c r="D1123" s="10">
        <f t="shared" ca="1" si="58"/>
        <v>35.104199999999992</v>
      </c>
      <c r="E1123" s="10">
        <f t="shared" ca="1" si="58"/>
        <v>35.136299999999999</v>
      </c>
      <c r="F1123" s="10">
        <f t="shared" ca="1" si="58"/>
        <v>34.940125000000002</v>
      </c>
      <c r="G1123" s="10">
        <f t="shared" ca="1" si="58"/>
        <v>34.955150000000003</v>
      </c>
      <c r="H1123" s="10">
        <f t="shared" ca="1" si="58"/>
        <v>35.125416666666659</v>
      </c>
      <c r="I1123" s="10">
        <f t="shared" ca="1" si="58"/>
        <v>34.959833333333329</v>
      </c>
      <c r="J1123" s="10">
        <f t="shared" ca="1" si="58"/>
        <v>34.933124999999997</v>
      </c>
      <c r="K1123" s="10">
        <f t="shared" ca="1" si="58"/>
        <v>34.955941666666668</v>
      </c>
      <c r="L1123" s="10">
        <f t="shared" ca="1" si="59"/>
        <v>35.71241666666667</v>
      </c>
      <c r="M1123" s="10">
        <f t="shared" ca="1" si="59"/>
        <v>34.594441666666661</v>
      </c>
      <c r="N1123" s="10">
        <f t="shared" ca="1" si="59"/>
        <v>34.609299999999998</v>
      </c>
      <c r="O1123" s="10">
        <f t="shared" ca="1" si="59"/>
        <v>34.784758333333336</v>
      </c>
      <c r="P1123" s="10">
        <f t="shared" ca="1" si="59"/>
        <v>34.620883333333332</v>
      </c>
      <c r="Q1123" s="10">
        <f t="shared" ca="1" si="59"/>
        <v>35.380058333333331</v>
      </c>
      <c r="R1123" s="10">
        <f t="shared" ca="1" si="59"/>
        <v>36.055525000000003</v>
      </c>
      <c r="S1123" s="10">
        <f t="shared" ca="1" si="59"/>
        <v>33.941458333333337</v>
      </c>
      <c r="T1123" s="49">
        <f t="shared" ca="1" si="60"/>
        <v>357.24568100000005</v>
      </c>
      <c r="U1123" s="49">
        <f t="shared" ca="1" si="60"/>
        <v>142.03263249999998</v>
      </c>
      <c r="V1123" s="49">
        <f t="shared" ca="1" si="60"/>
        <v>50.187500000000007</v>
      </c>
      <c r="W1123" s="49">
        <f t="shared" ca="1" si="60"/>
        <v>5.0822234999999996</v>
      </c>
      <c r="X1123" s="49">
        <f t="shared" ca="1" si="60"/>
        <v>20.758966663999999</v>
      </c>
      <c r="Y1123" s="10"/>
      <c r="Z1123" s="10"/>
      <c r="AA1123" s="10"/>
      <c r="AB1123" s="10">
        <f t="shared" ca="1" si="61"/>
        <v>34.974106955913861</v>
      </c>
      <c r="AC1123" s="10">
        <f t="shared" ca="1" si="61"/>
        <v>34.685360011990404</v>
      </c>
    </row>
    <row r="1124" spans="1:29" ht="15" x14ac:dyDescent="0.2">
      <c r="A1124" s="11">
        <f t="shared" si="33"/>
        <v>2067</v>
      </c>
      <c r="B1124" s="10">
        <f t="shared" ca="1" si="58"/>
        <v>36.278758333333336</v>
      </c>
      <c r="C1124" s="10">
        <f t="shared" ca="1" si="58"/>
        <v>36.2849</v>
      </c>
      <c r="D1124" s="10">
        <f t="shared" ca="1" si="58"/>
        <v>36.42819166666667</v>
      </c>
      <c r="E1124" s="10">
        <f t="shared" ca="1" si="58"/>
        <v>36.46030833333333</v>
      </c>
      <c r="F1124" s="10">
        <f t="shared" ca="1" si="58"/>
        <v>36.264125</v>
      </c>
      <c r="G1124" s="10">
        <f t="shared" ca="1" si="58"/>
        <v>36.279158333333335</v>
      </c>
      <c r="H1124" s="10">
        <f t="shared" ca="1" si="58"/>
        <v>36.449408333333338</v>
      </c>
      <c r="I1124" s="10">
        <f t="shared" ca="1" si="58"/>
        <v>36.28380833333334</v>
      </c>
      <c r="J1124" s="10">
        <f t="shared" ca="1" si="58"/>
        <v>36.257125000000002</v>
      </c>
      <c r="K1124" s="10">
        <f t="shared" ca="1" si="58"/>
        <v>36.279933333333325</v>
      </c>
      <c r="L1124" s="10">
        <f t="shared" ca="1" si="59"/>
        <v>37.036408333333334</v>
      </c>
      <c r="M1124" s="10">
        <f t="shared" ca="1" si="59"/>
        <v>35.905058333333336</v>
      </c>
      <c r="N1124" s="10">
        <f t="shared" ca="1" si="59"/>
        <v>35.919941666666666</v>
      </c>
      <c r="O1124" s="10">
        <f t="shared" ca="1" si="59"/>
        <v>36.095399999999991</v>
      </c>
      <c r="P1124" s="10">
        <f t="shared" ca="1" si="59"/>
        <v>35.93151666666666</v>
      </c>
      <c r="Q1124" s="10">
        <f t="shared" ca="1" si="59"/>
        <v>36.6907</v>
      </c>
      <c r="R1124" s="10">
        <f t="shared" ca="1" si="59"/>
        <v>37.369433333333333</v>
      </c>
      <c r="S1124" s="10">
        <f t="shared" ca="1" si="59"/>
        <v>35.227183333333336</v>
      </c>
      <c r="T1124" s="49">
        <f t="shared" ca="1" si="60"/>
        <v>357.24568100000005</v>
      </c>
      <c r="U1124" s="49">
        <f t="shared" ca="1" si="60"/>
        <v>142.03263249999998</v>
      </c>
      <c r="V1124" s="49">
        <f t="shared" ca="1" si="60"/>
        <v>50.187500000000007</v>
      </c>
      <c r="W1124" s="49">
        <f t="shared" ca="1" si="60"/>
        <v>5.0822234999999996</v>
      </c>
      <c r="X1124" s="49">
        <f t="shared" ca="1" si="60"/>
        <v>20.758966663999999</v>
      </c>
      <c r="Y1124" s="10"/>
      <c r="Z1124" s="10"/>
      <c r="AA1124" s="10"/>
      <c r="AB1124" s="10">
        <f t="shared" ca="1" si="61"/>
        <v>36.298102018196893</v>
      </c>
      <c r="AC1124" s="10">
        <f t="shared" ca="1" si="61"/>
        <v>35.995991846522777</v>
      </c>
    </row>
    <row r="1125" spans="1:29" ht="15" x14ac:dyDescent="0.2">
      <c r="A1125" s="11">
        <f t="shared" si="33"/>
        <v>2068</v>
      </c>
      <c r="B1125" s="10">
        <f t="shared" ca="1" si="58"/>
        <v>37.652891666666669</v>
      </c>
      <c r="C1125" s="10">
        <f t="shared" ca="1" si="58"/>
        <v>37.659083333333335</v>
      </c>
      <c r="D1125" s="10">
        <f t="shared" ca="1" si="58"/>
        <v>37.802358333333331</v>
      </c>
      <c r="E1125" s="10">
        <f t="shared" ca="1" si="58"/>
        <v>37.834441666666663</v>
      </c>
      <c r="F1125" s="10">
        <f t="shared" ca="1" si="58"/>
        <v>37.638275</v>
      </c>
      <c r="G1125" s="10">
        <f t="shared" ca="1" si="58"/>
        <v>37.653300000000002</v>
      </c>
      <c r="H1125" s="10">
        <f t="shared" ca="1" si="58"/>
        <v>37.823558333333338</v>
      </c>
      <c r="I1125" s="10">
        <f t="shared" ca="1" si="58"/>
        <v>37.657966666666674</v>
      </c>
      <c r="J1125" s="10">
        <f t="shared" ca="1" si="58"/>
        <v>37.631274999999995</v>
      </c>
      <c r="K1125" s="10">
        <f t="shared" ca="1" si="58"/>
        <v>37.654083333333332</v>
      </c>
      <c r="L1125" s="10">
        <f t="shared" ca="1" si="59"/>
        <v>38.410558333333327</v>
      </c>
      <c r="M1125" s="10">
        <f t="shared" ca="1" si="59"/>
        <v>37.265341666666671</v>
      </c>
      <c r="N1125" s="10">
        <f t="shared" ca="1" si="59"/>
        <v>37.280225000000002</v>
      </c>
      <c r="O1125" s="10">
        <f t="shared" ca="1" si="59"/>
        <v>37.455674999999992</v>
      </c>
      <c r="P1125" s="10">
        <f t="shared" ca="1" si="59"/>
        <v>37.291800000000002</v>
      </c>
      <c r="Q1125" s="10">
        <f t="shared" ca="1" si="59"/>
        <v>38.050975000000001</v>
      </c>
      <c r="R1125" s="10">
        <f t="shared" ca="1" si="59"/>
        <v>38.733091666666667</v>
      </c>
      <c r="S1125" s="10">
        <f t="shared" ca="1" si="59"/>
        <v>36.561624999999999</v>
      </c>
      <c r="T1125" s="49">
        <f t="shared" ca="1" si="60"/>
        <v>358.17703550000004</v>
      </c>
      <c r="U1125" s="49">
        <f t="shared" ca="1" si="60"/>
        <v>142.42176299999997</v>
      </c>
      <c r="V1125" s="49">
        <f t="shared" ca="1" si="60"/>
        <v>50.325000000000003</v>
      </c>
      <c r="W1125" s="49">
        <f t="shared" ca="1" si="60"/>
        <v>5.0961473999999995</v>
      </c>
      <c r="X1125" s="49">
        <f t="shared" ca="1" si="60"/>
        <v>20.800615543999996</v>
      </c>
      <c r="Y1125" s="10"/>
      <c r="Z1125" s="10"/>
      <c r="AA1125" s="10"/>
      <c r="AB1125" s="10">
        <f t="shared" ca="1" si="61"/>
        <v>37.672258691767745</v>
      </c>
      <c r="AC1125" s="10">
        <f t="shared" ca="1" si="61"/>
        <v>37.356271402877695</v>
      </c>
    </row>
    <row r="1126" spans="1:29" ht="15" x14ac:dyDescent="0.2">
      <c r="A1126" s="11">
        <f t="shared" si="33"/>
        <v>2069</v>
      </c>
      <c r="B1126" s="10">
        <f t="shared" ca="1" si="58"/>
        <v>39.07910833333333</v>
      </c>
      <c r="C1126" s="10">
        <f t="shared" ca="1" si="58"/>
        <v>39.085275000000003</v>
      </c>
      <c r="D1126" s="10">
        <f t="shared" ca="1" si="58"/>
        <v>39.228566666666666</v>
      </c>
      <c r="E1126" s="10">
        <f t="shared" ca="1" si="58"/>
        <v>39.260658333333332</v>
      </c>
      <c r="F1126" s="10">
        <f t="shared" ca="1" si="58"/>
        <v>39.064500000000002</v>
      </c>
      <c r="G1126" s="10">
        <f t="shared" ca="1" si="58"/>
        <v>39.079533333333337</v>
      </c>
      <c r="H1126" s="10">
        <f t="shared" ca="1" si="58"/>
        <v>39.249775000000007</v>
      </c>
      <c r="I1126" s="10">
        <f t="shared" ca="1" si="58"/>
        <v>39.084166666666668</v>
      </c>
      <c r="J1126" s="10">
        <f t="shared" ca="1" si="58"/>
        <v>39.057500000000005</v>
      </c>
      <c r="K1126" s="10">
        <f t="shared" ca="1" si="58"/>
        <v>39.080283333333334</v>
      </c>
      <c r="L1126" s="10">
        <f t="shared" ca="1" si="59"/>
        <v>39.836775000000003</v>
      </c>
      <c r="M1126" s="10">
        <f t="shared" ca="1" si="59"/>
        <v>38.677174999999998</v>
      </c>
      <c r="N1126" s="10">
        <f t="shared" ca="1" si="59"/>
        <v>38.692041666666668</v>
      </c>
      <c r="O1126" s="10">
        <f t="shared" ca="1" si="59"/>
        <v>38.8675</v>
      </c>
      <c r="P1126" s="10">
        <f t="shared" ca="1" si="59"/>
        <v>38.703624999999995</v>
      </c>
      <c r="Q1126" s="10">
        <f t="shared" ca="1" si="59"/>
        <v>39.462800000000001</v>
      </c>
      <c r="R1126" s="10">
        <f t="shared" ca="1" si="59"/>
        <v>40.14845833333333</v>
      </c>
      <c r="S1126" s="10">
        <f t="shared" ca="1" si="59"/>
        <v>37.946625000000004</v>
      </c>
      <c r="T1126" s="49">
        <f t="shared" ca="1" si="60"/>
        <v>357.24568100000005</v>
      </c>
      <c r="U1126" s="49">
        <f t="shared" ca="1" si="60"/>
        <v>142.03263249999998</v>
      </c>
      <c r="V1126" s="49">
        <f t="shared" ca="1" si="60"/>
        <v>50.187500000000007</v>
      </c>
      <c r="W1126" s="49">
        <f t="shared" ca="1" si="60"/>
        <v>5.0822234999999996</v>
      </c>
      <c r="X1126" s="49">
        <f t="shared" ca="1" si="60"/>
        <v>20.758966663999999</v>
      </c>
      <c r="Y1126" s="10"/>
      <c r="Z1126" s="10"/>
      <c r="AA1126" s="10"/>
      <c r="AB1126" s="10">
        <f t="shared" ca="1" si="61"/>
        <v>39.098472080731305</v>
      </c>
      <c r="AC1126" s="10">
        <f t="shared" ca="1" si="61"/>
        <v>38.76809880095923</v>
      </c>
    </row>
    <row r="1127" spans="1:29" ht="15" x14ac:dyDescent="0.2">
      <c r="A1127" s="11">
        <f t="shared" ref="A1127:A1157" si="62">A1126+1</f>
        <v>2070</v>
      </c>
      <c r="B1127" s="10">
        <f t="shared" ca="1" si="58"/>
        <v>40.559341666666668</v>
      </c>
      <c r="C1127" s="10">
        <f t="shared" ca="1" si="58"/>
        <v>40.565508333333334</v>
      </c>
      <c r="D1127" s="10">
        <f t="shared" ca="1" si="58"/>
        <v>40.708800000000004</v>
      </c>
      <c r="E1127" s="10">
        <f t="shared" ca="1" si="58"/>
        <v>40.740883333333336</v>
      </c>
      <c r="F1127" s="10">
        <f t="shared" ca="1" si="58"/>
        <v>40.544725</v>
      </c>
      <c r="G1127" s="10">
        <f t="shared" ca="1" si="58"/>
        <v>40.559750000000001</v>
      </c>
      <c r="H1127" s="10">
        <f t="shared" ca="1" si="58"/>
        <v>40.72998333333333</v>
      </c>
      <c r="I1127" s="10">
        <f t="shared" ca="1" si="58"/>
        <v>40.564416666666666</v>
      </c>
      <c r="J1127" s="10">
        <f t="shared" ca="1" si="58"/>
        <v>40.537725000000002</v>
      </c>
      <c r="K1127" s="10">
        <f t="shared" ca="1" si="58"/>
        <v>40.560516666666665</v>
      </c>
      <c r="L1127" s="10">
        <f t="shared" ca="1" si="59"/>
        <v>41.316983333333333</v>
      </c>
      <c r="M1127" s="10">
        <f t="shared" ca="1" si="59"/>
        <v>40.14245833333333</v>
      </c>
      <c r="N1127" s="10">
        <f t="shared" ca="1" si="59"/>
        <v>40.157324999999993</v>
      </c>
      <c r="O1127" s="10">
        <f t="shared" ca="1" si="59"/>
        <v>40.332799999999999</v>
      </c>
      <c r="P1127" s="10">
        <f t="shared" ca="1" si="59"/>
        <v>40.168908333333327</v>
      </c>
      <c r="Q1127" s="10">
        <f t="shared" ca="1" si="59"/>
        <v>40.928100000000001</v>
      </c>
      <c r="R1127" s="10">
        <f t="shared" ca="1" si="59"/>
        <v>41.61740833333333</v>
      </c>
      <c r="S1127" s="10">
        <f t="shared" ca="1" si="59"/>
        <v>39.384058333333329</v>
      </c>
      <c r="T1127" s="49">
        <f t="shared" ca="1" si="60"/>
        <v>357.24568100000005</v>
      </c>
      <c r="U1127" s="49">
        <f t="shared" ca="1" si="60"/>
        <v>142.03263249999998</v>
      </c>
      <c r="V1127" s="49">
        <f t="shared" ca="1" si="60"/>
        <v>50.187500000000007</v>
      </c>
      <c r="W1127" s="49">
        <f t="shared" ca="1" si="60"/>
        <v>5.0822234999999996</v>
      </c>
      <c r="X1127" s="49">
        <f t="shared" ca="1" si="60"/>
        <v>20.758966663999999</v>
      </c>
      <c r="Y1127" s="10"/>
      <c r="Z1127" s="10"/>
      <c r="AA1127" s="10"/>
      <c r="AB1127" s="10">
        <f t="shared" ca="1" si="61"/>
        <v>40.57870188959982</v>
      </c>
      <c r="AC1127" s="10">
        <f t="shared" ca="1" si="61"/>
        <v>40.233389688249403</v>
      </c>
    </row>
    <row r="1128" spans="1:29" ht="15" x14ac:dyDescent="0.2">
      <c r="A1128" s="11">
        <f t="shared" si="62"/>
        <v>2071</v>
      </c>
      <c r="B1128" s="10">
        <f t="shared" ca="1" si="58"/>
        <v>42.09565833333334</v>
      </c>
      <c r="C1128" s="10">
        <f t="shared" ca="1" si="58"/>
        <v>42.101824999999998</v>
      </c>
      <c r="D1128" s="10">
        <f t="shared" ca="1" si="58"/>
        <v>42.245100000000001</v>
      </c>
      <c r="E1128" s="10">
        <f t="shared" ca="1" si="58"/>
        <v>42.277200000000001</v>
      </c>
      <c r="F1128" s="10">
        <f t="shared" ca="1" si="58"/>
        <v>42.08103333333333</v>
      </c>
      <c r="G1128" s="10">
        <f t="shared" ca="1" si="58"/>
        <v>42.096050000000005</v>
      </c>
      <c r="H1128" s="10">
        <f t="shared" ca="1" si="58"/>
        <v>42.266325000000002</v>
      </c>
      <c r="I1128" s="10">
        <f t="shared" ca="1" si="58"/>
        <v>42.100733333333331</v>
      </c>
      <c r="J1128" s="10">
        <f t="shared" ca="1" si="58"/>
        <v>42.07403333333334</v>
      </c>
      <c r="K1128" s="10">
        <f t="shared" ca="1" si="58"/>
        <v>42.096833333333336</v>
      </c>
      <c r="L1128" s="10">
        <f t="shared" ca="1" si="59"/>
        <v>42.853324999999991</v>
      </c>
      <c r="M1128" s="10">
        <f t="shared" ca="1" si="59"/>
        <v>41.663249999999998</v>
      </c>
      <c r="N1128" s="10">
        <f t="shared" ca="1" si="59"/>
        <v>41.678133333333342</v>
      </c>
      <c r="O1128" s="10">
        <f t="shared" ca="1" si="59"/>
        <v>41.8536</v>
      </c>
      <c r="P1128" s="10">
        <f t="shared" ca="1" si="59"/>
        <v>41.689725000000003</v>
      </c>
      <c r="Q1128" s="10">
        <f t="shared" ca="1" si="59"/>
        <v>42.448900000000002</v>
      </c>
      <c r="R1128" s="10">
        <f t="shared" ca="1" si="59"/>
        <v>43.142024999999997</v>
      </c>
      <c r="S1128" s="10">
        <f t="shared" ca="1" si="59"/>
        <v>40.875974999999997</v>
      </c>
      <c r="T1128" s="49">
        <f t="shared" ca="1" si="60"/>
        <v>357.24568100000005</v>
      </c>
      <c r="U1128" s="49">
        <f t="shared" ca="1" si="60"/>
        <v>142.03263249999998</v>
      </c>
      <c r="V1128" s="49">
        <f t="shared" ca="1" si="60"/>
        <v>50.187500000000007</v>
      </c>
      <c r="W1128" s="49">
        <f t="shared" ca="1" si="60"/>
        <v>5.0822234999999996</v>
      </c>
      <c r="X1128" s="49">
        <f t="shared" ca="1" si="60"/>
        <v>20.758966663999999</v>
      </c>
      <c r="Y1128" s="10"/>
      <c r="Z1128" s="10"/>
      <c r="AA1128" s="10"/>
      <c r="AB1128" s="10">
        <f t="shared" ca="1" si="61"/>
        <v>42.115011828600217</v>
      </c>
      <c r="AC1128" s="10">
        <f t="shared" ca="1" si="61"/>
        <v>41.754189688249404</v>
      </c>
    </row>
    <row r="1129" spans="1:29" ht="15" x14ac:dyDescent="0.2">
      <c r="A1129" s="11">
        <f t="shared" si="62"/>
        <v>2072</v>
      </c>
      <c r="B1129" s="10">
        <f t="shared" ref="B1129:K1138" ca="1" si="63">AVERAGE(OFFSET(B$601,($A1129-$A$1119)*12,0,12,1))</f>
        <v>43.690149999999996</v>
      </c>
      <c r="C1129" s="10">
        <f t="shared" ca="1" si="63"/>
        <v>43.696316666666668</v>
      </c>
      <c r="D1129" s="10">
        <f t="shared" ca="1" si="63"/>
        <v>43.839624999999991</v>
      </c>
      <c r="E1129" s="10">
        <f t="shared" ca="1" si="63"/>
        <v>43.871700000000004</v>
      </c>
      <c r="F1129" s="10">
        <f t="shared" ca="1" si="63"/>
        <v>43.675541666666653</v>
      </c>
      <c r="G1129" s="10">
        <f t="shared" ca="1" si="63"/>
        <v>43.690566666666662</v>
      </c>
      <c r="H1129" s="10">
        <f t="shared" ca="1" si="63"/>
        <v>43.860833333333339</v>
      </c>
      <c r="I1129" s="10">
        <f t="shared" ca="1" si="63"/>
        <v>43.695233333333327</v>
      </c>
      <c r="J1129" s="10">
        <f t="shared" ca="1" si="63"/>
        <v>43.66854166666667</v>
      </c>
      <c r="K1129" s="10">
        <f t="shared" ca="1" si="63"/>
        <v>43.69135</v>
      </c>
      <c r="L1129" s="10">
        <f t="shared" ref="L1129:S1138" ca="1" si="64">AVERAGE(OFFSET(L$601,($A1129-$A$1119)*12,0,12,1))</f>
        <v>44.447833333333335</v>
      </c>
      <c r="M1129" s="10">
        <f t="shared" ca="1" si="64"/>
        <v>43.241675000000008</v>
      </c>
      <c r="N1129" s="10">
        <f t="shared" ca="1" si="64"/>
        <v>43.256549999999997</v>
      </c>
      <c r="O1129" s="10">
        <f t="shared" ca="1" si="64"/>
        <v>43.432008333333329</v>
      </c>
      <c r="P1129" s="10">
        <f t="shared" ca="1" si="64"/>
        <v>43.268133333333331</v>
      </c>
      <c r="Q1129" s="10">
        <f t="shared" ca="1" si="64"/>
        <v>44.02730833333333</v>
      </c>
      <c r="R1129" s="10">
        <f t="shared" ca="1" si="64"/>
        <v>44.724400000000003</v>
      </c>
      <c r="S1129" s="10">
        <f t="shared" ca="1" si="64"/>
        <v>42.424400000000006</v>
      </c>
      <c r="T1129" s="49">
        <f t="shared" ref="T1129:X1138" ca="1" si="65">SUM(OFFSET(T$601,($A1129-$A$1119)*12,0,12,1))</f>
        <v>358.17703550000004</v>
      </c>
      <c r="U1129" s="49">
        <f t="shared" ca="1" si="65"/>
        <v>142.42176299999997</v>
      </c>
      <c r="V1129" s="49">
        <f t="shared" ca="1" si="65"/>
        <v>50.325000000000003</v>
      </c>
      <c r="W1129" s="49">
        <f t="shared" ca="1" si="65"/>
        <v>5.0961473999999995</v>
      </c>
      <c r="X1129" s="49">
        <f t="shared" ca="1" si="65"/>
        <v>20.800615543999996</v>
      </c>
      <c r="Y1129" s="10"/>
      <c r="Z1129" s="10"/>
      <c r="AA1129" s="10"/>
      <c r="AB1129" s="10">
        <f t="shared" ca="1" si="61"/>
        <v>43.70951534008109</v>
      </c>
      <c r="AC1129" s="10">
        <f t="shared" ca="1" si="61"/>
        <v>43.33260425659472</v>
      </c>
    </row>
    <row r="1130" spans="1:29" ht="15" x14ac:dyDescent="0.2">
      <c r="A1130" s="11">
        <f t="shared" si="62"/>
        <v>2073</v>
      </c>
      <c r="B1130" s="10">
        <f t="shared" ca="1" si="63"/>
        <v>45.345066666666661</v>
      </c>
      <c r="C1130" s="10">
        <f t="shared" ca="1" si="63"/>
        <v>45.35124166666666</v>
      </c>
      <c r="D1130" s="10">
        <f t="shared" ca="1" si="63"/>
        <v>45.494525000000003</v>
      </c>
      <c r="E1130" s="10">
        <f t="shared" ca="1" si="63"/>
        <v>45.526599999999995</v>
      </c>
      <c r="F1130" s="10">
        <f t="shared" ca="1" si="63"/>
        <v>45.330458333333326</v>
      </c>
      <c r="G1130" s="10">
        <f t="shared" ca="1" si="63"/>
        <v>45.345474999999993</v>
      </c>
      <c r="H1130" s="10">
        <f t="shared" ca="1" si="63"/>
        <v>45.515724999999996</v>
      </c>
      <c r="I1130" s="10">
        <f t="shared" ca="1" si="63"/>
        <v>45.350133333333332</v>
      </c>
      <c r="J1130" s="10">
        <f t="shared" ca="1" si="63"/>
        <v>45.323458333333342</v>
      </c>
      <c r="K1130" s="10">
        <f t="shared" ca="1" si="63"/>
        <v>45.346241666666664</v>
      </c>
      <c r="L1130" s="10">
        <f t="shared" ca="1" si="64"/>
        <v>46.102725</v>
      </c>
      <c r="M1130" s="10">
        <f t="shared" ca="1" si="64"/>
        <v>44.879891666666659</v>
      </c>
      <c r="N1130" s="10">
        <f t="shared" ca="1" si="64"/>
        <v>44.894758333333336</v>
      </c>
      <c r="O1130" s="10">
        <f t="shared" ca="1" si="64"/>
        <v>45.070225000000001</v>
      </c>
      <c r="P1130" s="10">
        <f t="shared" ca="1" si="64"/>
        <v>44.90634166666667</v>
      </c>
      <c r="Q1130" s="10">
        <f t="shared" ca="1" si="64"/>
        <v>45.665525000000002</v>
      </c>
      <c r="R1130" s="10">
        <f t="shared" ca="1" si="64"/>
        <v>46.366691666666668</v>
      </c>
      <c r="S1130" s="10">
        <f t="shared" ca="1" si="64"/>
        <v>44.031483333333334</v>
      </c>
      <c r="T1130" s="49">
        <f t="shared" ca="1" si="65"/>
        <v>357.24568100000005</v>
      </c>
      <c r="U1130" s="49">
        <f t="shared" ca="1" si="65"/>
        <v>142.03263249999998</v>
      </c>
      <c r="V1130" s="49">
        <f t="shared" ca="1" si="65"/>
        <v>50.187500000000007</v>
      </c>
      <c r="W1130" s="49">
        <f t="shared" ca="1" si="65"/>
        <v>5.0822234999999996</v>
      </c>
      <c r="X1130" s="49">
        <f t="shared" ca="1" si="65"/>
        <v>20.758966663999999</v>
      </c>
      <c r="Y1130" s="10"/>
      <c r="Z1130" s="10"/>
      <c r="AA1130" s="10"/>
      <c r="AB1130" s="10">
        <f t="shared" ca="1" si="61"/>
        <v>45.364429869652639</v>
      </c>
      <c r="AC1130" s="10">
        <f t="shared" ca="1" si="61"/>
        <v>44.970819244604321</v>
      </c>
    </row>
    <row r="1131" spans="1:29" ht="15" x14ac:dyDescent="0.2">
      <c r="A1131" s="11">
        <f t="shared" si="62"/>
        <v>2074</v>
      </c>
      <c r="B1131" s="10">
        <f t="shared" ca="1" si="63"/>
        <v>47.062683333333325</v>
      </c>
      <c r="C1131" s="10">
        <f t="shared" ca="1" si="63"/>
        <v>47.068824999999997</v>
      </c>
      <c r="D1131" s="10">
        <f t="shared" ca="1" si="63"/>
        <v>47.212108333333333</v>
      </c>
      <c r="E1131" s="10">
        <f t="shared" ca="1" si="63"/>
        <v>47.244225</v>
      </c>
      <c r="F1131" s="10">
        <f t="shared" ca="1" si="63"/>
        <v>47.048058333333337</v>
      </c>
      <c r="G1131" s="10">
        <f t="shared" ca="1" si="63"/>
        <v>47.063083333333331</v>
      </c>
      <c r="H1131" s="10">
        <f t="shared" ca="1" si="63"/>
        <v>47.233325000000001</v>
      </c>
      <c r="I1131" s="10">
        <f t="shared" ca="1" si="63"/>
        <v>47.06774166666667</v>
      </c>
      <c r="J1131" s="10">
        <f t="shared" ca="1" si="63"/>
        <v>47.041058333333332</v>
      </c>
      <c r="K1131" s="10">
        <f t="shared" ca="1" si="63"/>
        <v>47.063849999999995</v>
      </c>
      <c r="L1131" s="10">
        <f t="shared" ca="1" si="64"/>
        <v>47.820325000000004</v>
      </c>
      <c r="M1131" s="10">
        <f t="shared" ca="1" si="64"/>
        <v>46.58014166666667</v>
      </c>
      <c r="N1131" s="10">
        <f t="shared" ca="1" si="64"/>
        <v>46.595025</v>
      </c>
      <c r="O1131" s="10">
        <f t="shared" ca="1" si="64"/>
        <v>46.770483333333338</v>
      </c>
      <c r="P1131" s="10">
        <f t="shared" ca="1" si="64"/>
        <v>46.606591666666667</v>
      </c>
      <c r="Q1131" s="10">
        <f t="shared" ca="1" si="64"/>
        <v>47.365783333333333</v>
      </c>
      <c r="R1131" s="10">
        <f t="shared" ca="1" si="64"/>
        <v>48.071191666666664</v>
      </c>
      <c r="S1131" s="10">
        <f t="shared" ca="1" si="64"/>
        <v>45.699449999999992</v>
      </c>
      <c r="T1131" s="49">
        <f t="shared" ca="1" si="65"/>
        <v>357.24568100000005</v>
      </c>
      <c r="U1131" s="49">
        <f t="shared" ca="1" si="65"/>
        <v>142.03263249999998</v>
      </c>
      <c r="V1131" s="49">
        <f t="shared" ca="1" si="65"/>
        <v>50.187500000000007</v>
      </c>
      <c r="W1131" s="49">
        <f t="shared" ca="1" si="65"/>
        <v>5.0822234999999996</v>
      </c>
      <c r="X1131" s="49">
        <f t="shared" ca="1" si="65"/>
        <v>20.758966663999999</v>
      </c>
      <c r="Y1131" s="10"/>
      <c r="Z1131" s="10"/>
      <c r="AA1131" s="10"/>
      <c r="AB1131" s="10">
        <f t="shared" ca="1" si="61"/>
        <v>47.082029220725353</v>
      </c>
      <c r="AC1131" s="10">
        <f t="shared" ca="1" si="61"/>
        <v>46.671073980815351</v>
      </c>
    </row>
    <row r="1132" spans="1:29" ht="15" x14ac:dyDescent="0.2">
      <c r="A1132" s="11">
        <f t="shared" si="62"/>
        <v>2075</v>
      </c>
      <c r="B1132" s="10">
        <f t="shared" ca="1" si="63"/>
        <v>48.845341666666677</v>
      </c>
      <c r="C1132" s="10">
        <f t="shared" ca="1" si="63"/>
        <v>48.851500000000009</v>
      </c>
      <c r="D1132" s="10">
        <f t="shared" ca="1" si="63"/>
        <v>48.994775000000004</v>
      </c>
      <c r="E1132" s="10">
        <f t="shared" ca="1" si="63"/>
        <v>49.026883333333338</v>
      </c>
      <c r="F1132" s="10">
        <f t="shared" ca="1" si="63"/>
        <v>48.830700000000007</v>
      </c>
      <c r="G1132" s="10">
        <f t="shared" ca="1" si="63"/>
        <v>48.845733333333349</v>
      </c>
      <c r="H1132" s="10">
        <f t="shared" ca="1" si="63"/>
        <v>49.015991666666658</v>
      </c>
      <c r="I1132" s="10">
        <f t="shared" ca="1" si="63"/>
        <v>48.850399999999986</v>
      </c>
      <c r="J1132" s="10">
        <f t="shared" ca="1" si="63"/>
        <v>48.823700000000002</v>
      </c>
      <c r="K1132" s="10">
        <f t="shared" ca="1" si="63"/>
        <v>48.84650833333334</v>
      </c>
      <c r="L1132" s="10">
        <f t="shared" ca="1" si="64"/>
        <v>49.602991666666668</v>
      </c>
      <c r="M1132" s="10">
        <f t="shared" ca="1" si="64"/>
        <v>48.344816666666674</v>
      </c>
      <c r="N1132" s="10">
        <f t="shared" ca="1" si="64"/>
        <v>48.359716666666664</v>
      </c>
      <c r="O1132" s="10">
        <f t="shared" ca="1" si="64"/>
        <v>48.535175000000002</v>
      </c>
      <c r="P1132" s="10">
        <f t="shared" ca="1" si="64"/>
        <v>48.371299999999998</v>
      </c>
      <c r="Q1132" s="10">
        <f t="shared" ca="1" si="64"/>
        <v>49.130474999999997</v>
      </c>
      <c r="R1132" s="10">
        <f t="shared" ca="1" si="64"/>
        <v>49.840308333333333</v>
      </c>
      <c r="S1132" s="10">
        <f t="shared" ca="1" si="64"/>
        <v>47.430599999999998</v>
      </c>
      <c r="T1132" s="49">
        <f t="shared" ca="1" si="65"/>
        <v>357.24568100000005</v>
      </c>
      <c r="U1132" s="49">
        <f t="shared" ca="1" si="65"/>
        <v>142.03263249999998</v>
      </c>
      <c r="V1132" s="49">
        <f t="shared" ca="1" si="65"/>
        <v>50.187500000000007</v>
      </c>
      <c r="W1132" s="49">
        <f t="shared" ca="1" si="65"/>
        <v>5.0822234999999996</v>
      </c>
      <c r="X1132" s="49">
        <f t="shared" ca="1" si="65"/>
        <v>20.758966663999999</v>
      </c>
      <c r="Y1132" s="10"/>
      <c r="Z1132" s="10"/>
      <c r="AA1132" s="10"/>
      <c r="AB1132" s="10">
        <f t="shared" ca="1" si="61"/>
        <v>48.86468671162163</v>
      </c>
      <c r="AC1132" s="10">
        <f t="shared" ca="1" si="61"/>
        <v>48.435762290167851</v>
      </c>
    </row>
    <row r="1133" spans="1:29" ht="15" x14ac:dyDescent="0.2">
      <c r="A1133" s="11">
        <f t="shared" si="62"/>
        <v>2076</v>
      </c>
      <c r="B1133" s="10">
        <f t="shared" ca="1" si="63"/>
        <v>50.695549999999997</v>
      </c>
      <c r="C1133" s="10">
        <f t="shared" ca="1" si="63"/>
        <v>50.701691666666669</v>
      </c>
      <c r="D1133" s="10">
        <f t="shared" ca="1" si="63"/>
        <v>50.844991666666665</v>
      </c>
      <c r="E1133" s="10">
        <f t="shared" ca="1" si="63"/>
        <v>50.877100000000013</v>
      </c>
      <c r="F1133" s="10">
        <f t="shared" ca="1" si="63"/>
        <v>50.680925000000002</v>
      </c>
      <c r="G1133" s="10">
        <f t="shared" ca="1" si="63"/>
        <v>50.69594166666667</v>
      </c>
      <c r="H1133" s="10">
        <f t="shared" ca="1" si="63"/>
        <v>50.866183333333332</v>
      </c>
      <c r="I1133" s="10">
        <f t="shared" ca="1" si="63"/>
        <v>50.700583333333334</v>
      </c>
      <c r="J1133" s="10">
        <f t="shared" ca="1" si="63"/>
        <v>50.673924999999997</v>
      </c>
      <c r="K1133" s="10">
        <f t="shared" ca="1" si="63"/>
        <v>50.696724999999994</v>
      </c>
      <c r="L1133" s="10">
        <f t="shared" ca="1" si="64"/>
        <v>51.453183333333335</v>
      </c>
      <c r="M1133" s="10">
        <f t="shared" ca="1" si="64"/>
        <v>50.176349999999985</v>
      </c>
      <c r="N1133" s="10">
        <f t="shared" ca="1" si="64"/>
        <v>50.191241666666663</v>
      </c>
      <c r="O1133" s="10">
        <f t="shared" ca="1" si="64"/>
        <v>50.366691666666668</v>
      </c>
      <c r="P1133" s="10">
        <f t="shared" ca="1" si="64"/>
        <v>50.202800000000003</v>
      </c>
      <c r="Q1133" s="10">
        <f t="shared" ca="1" si="64"/>
        <v>50.961991666666655</v>
      </c>
      <c r="R1133" s="10">
        <f t="shared" ca="1" si="64"/>
        <v>51.676400000000001</v>
      </c>
      <c r="S1133" s="10">
        <f t="shared" ca="1" si="64"/>
        <v>49.227333333333341</v>
      </c>
      <c r="T1133" s="49">
        <f t="shared" ca="1" si="65"/>
        <v>358.17703550000004</v>
      </c>
      <c r="U1133" s="49">
        <f t="shared" ca="1" si="65"/>
        <v>142.42176299999997</v>
      </c>
      <c r="V1133" s="49">
        <f t="shared" ca="1" si="65"/>
        <v>50.325000000000003</v>
      </c>
      <c r="W1133" s="49">
        <f t="shared" ca="1" si="65"/>
        <v>5.0961473999999995</v>
      </c>
      <c r="X1133" s="49">
        <f t="shared" ca="1" si="65"/>
        <v>20.800615543999996</v>
      </c>
      <c r="Y1133" s="10"/>
      <c r="Z1133" s="10"/>
      <c r="AA1133" s="10"/>
      <c r="AB1133" s="10">
        <f t="shared" ca="1" si="61"/>
        <v>50.71489442399993</v>
      </c>
      <c r="AC1133" s="10">
        <f t="shared" ca="1" si="61"/>
        <v>50.267282793764984</v>
      </c>
    </row>
    <row r="1134" spans="1:29" ht="15" x14ac:dyDescent="0.2">
      <c r="A1134" s="11">
        <f t="shared" si="62"/>
        <v>2077</v>
      </c>
      <c r="B1134" s="10">
        <f t="shared" ca="1" si="63"/>
        <v>52.615816666666667</v>
      </c>
      <c r="C1134" s="10">
        <f t="shared" ca="1" si="63"/>
        <v>52.621991666666673</v>
      </c>
      <c r="D1134" s="10">
        <f t="shared" ca="1" si="63"/>
        <v>52.765274999999995</v>
      </c>
      <c r="E1134" s="10">
        <f t="shared" ca="1" si="63"/>
        <v>52.797358333333335</v>
      </c>
      <c r="F1134" s="10">
        <f t="shared" ca="1" si="63"/>
        <v>52.601216666666666</v>
      </c>
      <c r="G1134" s="10">
        <f t="shared" ca="1" si="63"/>
        <v>52.616225000000007</v>
      </c>
      <c r="H1134" s="10">
        <f t="shared" ca="1" si="63"/>
        <v>52.786483333333337</v>
      </c>
      <c r="I1134" s="10">
        <f t="shared" ca="1" si="63"/>
        <v>52.620899999999999</v>
      </c>
      <c r="J1134" s="10">
        <f t="shared" ca="1" si="63"/>
        <v>52.594216666666675</v>
      </c>
      <c r="K1134" s="10">
        <f t="shared" ca="1" si="63"/>
        <v>52.617008333333331</v>
      </c>
      <c r="L1134" s="10">
        <f t="shared" ca="1" si="64"/>
        <v>53.373483333333333</v>
      </c>
      <c r="M1134" s="10">
        <f t="shared" ca="1" si="64"/>
        <v>52.077283333333327</v>
      </c>
      <c r="N1134" s="10">
        <f t="shared" ca="1" si="64"/>
        <v>52.09214166666667</v>
      </c>
      <c r="O1134" s="10">
        <f t="shared" ca="1" si="64"/>
        <v>52.267599999999995</v>
      </c>
      <c r="P1134" s="10">
        <f t="shared" ca="1" si="64"/>
        <v>52.103725000000004</v>
      </c>
      <c r="Q1134" s="10">
        <f t="shared" ca="1" si="64"/>
        <v>52.862899999999996</v>
      </c>
      <c r="R1134" s="10">
        <f t="shared" ca="1" si="64"/>
        <v>53.582058333333322</v>
      </c>
      <c r="S1134" s="10">
        <f t="shared" ca="1" si="64"/>
        <v>51.092108333333329</v>
      </c>
      <c r="T1134" s="49">
        <f t="shared" ca="1" si="65"/>
        <v>357.24568100000005</v>
      </c>
      <c r="U1134" s="49">
        <f t="shared" ca="1" si="65"/>
        <v>142.03263249999998</v>
      </c>
      <c r="V1134" s="49">
        <f t="shared" ca="1" si="65"/>
        <v>50.187500000000007</v>
      </c>
      <c r="W1134" s="49">
        <f t="shared" ca="1" si="65"/>
        <v>5.0822234999999996</v>
      </c>
      <c r="X1134" s="49">
        <f t="shared" ca="1" si="65"/>
        <v>20.758966663999999</v>
      </c>
      <c r="Y1134" s="10"/>
      <c r="Z1134" s="10"/>
      <c r="AA1134" s="10"/>
      <c r="AB1134" s="10">
        <f t="shared" ca="1" si="61"/>
        <v>52.635183883569646</v>
      </c>
      <c r="AC1134" s="10">
        <f t="shared" ca="1" si="61"/>
        <v>52.168201678657077</v>
      </c>
    </row>
    <row r="1135" spans="1:29" ht="15" x14ac:dyDescent="0.2">
      <c r="A1135" s="11">
        <f t="shared" si="62"/>
        <v>2078</v>
      </c>
      <c r="B1135" s="10">
        <f t="shared" ca="1" si="63"/>
        <v>54.608849999999997</v>
      </c>
      <c r="C1135" s="10">
        <f t="shared" ca="1" si="63"/>
        <v>54.615025000000003</v>
      </c>
      <c r="D1135" s="10">
        <f t="shared" ca="1" si="63"/>
        <v>54.758291666666658</v>
      </c>
      <c r="E1135" s="10">
        <f t="shared" ca="1" si="63"/>
        <v>54.790408333333339</v>
      </c>
      <c r="F1135" s="10">
        <f t="shared" ca="1" si="63"/>
        <v>54.594241666666669</v>
      </c>
      <c r="G1135" s="10">
        <f t="shared" ca="1" si="63"/>
        <v>54.609266666666677</v>
      </c>
      <c r="H1135" s="10">
        <f t="shared" ca="1" si="63"/>
        <v>54.779516666666666</v>
      </c>
      <c r="I1135" s="10">
        <f t="shared" ca="1" si="63"/>
        <v>54.613916666666675</v>
      </c>
      <c r="J1135" s="10">
        <f t="shared" ca="1" si="63"/>
        <v>54.587241666666671</v>
      </c>
      <c r="K1135" s="10">
        <f t="shared" ca="1" si="63"/>
        <v>54.610033333333341</v>
      </c>
      <c r="L1135" s="10">
        <f t="shared" ca="1" si="64"/>
        <v>55.366516666666662</v>
      </c>
      <c r="M1135" s="10">
        <f t="shared" ca="1" si="64"/>
        <v>54.050183333333329</v>
      </c>
      <c r="N1135" s="10">
        <f t="shared" ca="1" si="64"/>
        <v>54.065066666666667</v>
      </c>
      <c r="O1135" s="10">
        <f t="shared" ca="1" si="64"/>
        <v>54.240533333333332</v>
      </c>
      <c r="P1135" s="10">
        <f t="shared" ca="1" si="64"/>
        <v>54.076658333333334</v>
      </c>
      <c r="Q1135" s="10">
        <f t="shared" ca="1" si="64"/>
        <v>54.835833333333341</v>
      </c>
      <c r="R1135" s="10">
        <f t="shared" ca="1" si="64"/>
        <v>55.559916666666659</v>
      </c>
      <c r="S1135" s="10">
        <f t="shared" ca="1" si="64"/>
        <v>53.027550000000012</v>
      </c>
      <c r="T1135" s="49">
        <f t="shared" ca="1" si="65"/>
        <v>357.24568100000005</v>
      </c>
      <c r="U1135" s="49">
        <f t="shared" ca="1" si="65"/>
        <v>142.03263249999998</v>
      </c>
      <c r="V1135" s="49">
        <f t="shared" ca="1" si="65"/>
        <v>50.187500000000007</v>
      </c>
      <c r="W1135" s="49">
        <f t="shared" ca="1" si="65"/>
        <v>5.0822234999999996</v>
      </c>
      <c r="X1135" s="49">
        <f t="shared" ca="1" si="65"/>
        <v>20.758966663999999</v>
      </c>
      <c r="Y1135" s="10"/>
      <c r="Z1135" s="10"/>
      <c r="AA1135" s="10"/>
      <c r="AB1135" s="10">
        <f t="shared" ca="1" si="61"/>
        <v>54.628214254642188</v>
      </c>
      <c r="AC1135" s="10">
        <f t="shared" ca="1" si="61"/>
        <v>54.141123021582736</v>
      </c>
    </row>
    <row r="1136" spans="1:29" ht="15" x14ac:dyDescent="0.2">
      <c r="A1136" s="11">
        <f t="shared" si="62"/>
        <v>2079</v>
      </c>
      <c r="B1136" s="10">
        <f t="shared" ca="1" si="63"/>
        <v>56.677408333333346</v>
      </c>
      <c r="C1136" s="10">
        <f t="shared" ca="1" si="63"/>
        <v>56.683541666666663</v>
      </c>
      <c r="D1136" s="10">
        <f t="shared" ca="1" si="63"/>
        <v>56.826825000000007</v>
      </c>
      <c r="E1136" s="10">
        <f t="shared" ca="1" si="63"/>
        <v>56.858941666666652</v>
      </c>
      <c r="F1136" s="10">
        <f t="shared" ca="1" si="63"/>
        <v>56.66276666666667</v>
      </c>
      <c r="G1136" s="10">
        <f t="shared" ca="1" si="63"/>
        <v>56.677783333333338</v>
      </c>
      <c r="H1136" s="10">
        <f t="shared" ca="1" si="63"/>
        <v>56.848049999999994</v>
      </c>
      <c r="I1136" s="10">
        <f t="shared" ca="1" si="63"/>
        <v>56.682458333333329</v>
      </c>
      <c r="J1136" s="10">
        <f t="shared" ca="1" si="63"/>
        <v>56.655766666666665</v>
      </c>
      <c r="K1136" s="10">
        <f t="shared" ca="1" si="63"/>
        <v>56.678566666666661</v>
      </c>
      <c r="L1136" s="10">
        <f t="shared" ca="1" si="64"/>
        <v>57.43504999999999</v>
      </c>
      <c r="M1136" s="10">
        <f t="shared" ca="1" si="64"/>
        <v>56.097833333333334</v>
      </c>
      <c r="N1136" s="10">
        <f t="shared" ca="1" si="64"/>
        <v>56.112716666666671</v>
      </c>
      <c r="O1136" s="10">
        <f t="shared" ca="1" si="64"/>
        <v>56.28819166666667</v>
      </c>
      <c r="P1136" s="10">
        <f t="shared" ca="1" si="64"/>
        <v>56.124291666666664</v>
      </c>
      <c r="Q1136" s="10">
        <f t="shared" ca="1" si="64"/>
        <v>56.883491666666664</v>
      </c>
      <c r="R1136" s="10">
        <f t="shared" ca="1" si="64"/>
        <v>57.61269166666667</v>
      </c>
      <c r="S1136" s="10">
        <f t="shared" ca="1" si="64"/>
        <v>55.036291666666671</v>
      </c>
      <c r="T1136" s="49">
        <f t="shared" ca="1" si="65"/>
        <v>357.24568100000005</v>
      </c>
      <c r="U1136" s="49">
        <f t="shared" ca="1" si="65"/>
        <v>142.03263249999998</v>
      </c>
      <c r="V1136" s="49">
        <f t="shared" ca="1" si="65"/>
        <v>50.187500000000007</v>
      </c>
      <c r="W1136" s="49">
        <f t="shared" ca="1" si="65"/>
        <v>5.0822234999999996</v>
      </c>
      <c r="X1136" s="49">
        <f t="shared" ca="1" si="65"/>
        <v>20.758966663999999</v>
      </c>
      <c r="Y1136" s="10"/>
      <c r="Z1136" s="10"/>
      <c r="AA1136" s="10"/>
      <c r="AB1136" s="10">
        <f t="shared" ca="1" si="61"/>
        <v>56.696742000095249</v>
      </c>
      <c r="AC1136" s="10">
        <f t="shared" ca="1" si="61"/>
        <v>56.188774400479616</v>
      </c>
    </row>
    <row r="1137" spans="1:29" ht="15" x14ac:dyDescent="0.2">
      <c r="A1137" s="11">
        <f t="shared" si="62"/>
        <v>2080</v>
      </c>
      <c r="B1137" s="10">
        <f t="shared" ca="1" si="63"/>
        <v>58.824275</v>
      </c>
      <c r="C1137" s="10">
        <f t="shared" ca="1" si="63"/>
        <v>58.830424999999998</v>
      </c>
      <c r="D1137" s="10">
        <f t="shared" ca="1" si="63"/>
        <v>58.973733333333335</v>
      </c>
      <c r="E1137" s="10">
        <f t="shared" ca="1" si="63"/>
        <v>59.005824999999994</v>
      </c>
      <c r="F1137" s="10">
        <f t="shared" ca="1" si="63"/>
        <v>58.809649999999998</v>
      </c>
      <c r="G1137" s="10">
        <f t="shared" ca="1" si="63"/>
        <v>58.824674999999992</v>
      </c>
      <c r="H1137" s="10">
        <f t="shared" ca="1" si="63"/>
        <v>58.994941666666669</v>
      </c>
      <c r="I1137" s="10">
        <f t="shared" ca="1" si="63"/>
        <v>58.829349999999998</v>
      </c>
      <c r="J1137" s="10">
        <f t="shared" ca="1" si="63"/>
        <v>58.80265</v>
      </c>
      <c r="K1137" s="10">
        <f t="shared" ca="1" si="63"/>
        <v>58.82547499999999</v>
      </c>
      <c r="L1137" s="10">
        <f t="shared" ca="1" si="64"/>
        <v>59.581941666666665</v>
      </c>
      <c r="M1137" s="10">
        <f t="shared" ca="1" si="64"/>
        <v>58.223066666666675</v>
      </c>
      <c r="N1137" s="10">
        <f t="shared" ca="1" si="64"/>
        <v>58.237950000000012</v>
      </c>
      <c r="O1137" s="10">
        <f t="shared" ca="1" si="64"/>
        <v>58.413408333333329</v>
      </c>
      <c r="P1137" s="10">
        <f t="shared" ca="1" si="64"/>
        <v>58.249541666666666</v>
      </c>
      <c r="Q1137" s="10">
        <f t="shared" ca="1" si="64"/>
        <v>59.008708333333338</v>
      </c>
      <c r="R1137" s="10">
        <f t="shared" ca="1" si="64"/>
        <v>59.743233333333336</v>
      </c>
      <c r="S1137" s="10">
        <f t="shared" ca="1" si="64"/>
        <v>57.121124999999999</v>
      </c>
      <c r="T1137" s="49">
        <f t="shared" ca="1" si="65"/>
        <v>358.17703550000004</v>
      </c>
      <c r="U1137" s="49">
        <f t="shared" ca="1" si="65"/>
        <v>142.42176299999997</v>
      </c>
      <c r="V1137" s="49">
        <f t="shared" ca="1" si="65"/>
        <v>50.325000000000003</v>
      </c>
      <c r="W1137" s="49">
        <f t="shared" ca="1" si="65"/>
        <v>5.0961473999999995</v>
      </c>
      <c r="X1137" s="49">
        <f t="shared" ca="1" si="65"/>
        <v>20.800615543999996</v>
      </c>
      <c r="Y1137" s="10"/>
      <c r="Z1137" s="10"/>
      <c r="AA1137" s="10"/>
      <c r="AB1137" s="10">
        <f t="shared" ca="1" si="61"/>
        <v>58.843627859732976</v>
      </c>
      <c r="AC1137" s="10">
        <f t="shared" ca="1" si="61"/>
        <v>58.31400257793765</v>
      </c>
    </row>
    <row r="1138" spans="1:29" ht="15" x14ac:dyDescent="0.2">
      <c r="A1138" s="11">
        <f t="shared" si="62"/>
        <v>2081</v>
      </c>
      <c r="B1138" s="10">
        <f t="shared" ca="1" si="63"/>
        <v>61.052500000000002</v>
      </c>
      <c r="C1138" s="10">
        <f t="shared" ca="1" si="63"/>
        <v>61.058658333333334</v>
      </c>
      <c r="D1138" s="10">
        <f t="shared" ca="1" si="63"/>
        <v>61.20194166666667</v>
      </c>
      <c r="E1138" s="10">
        <f t="shared" ca="1" si="63"/>
        <v>61.234050000000003</v>
      </c>
      <c r="F1138" s="10">
        <f t="shared" ca="1" si="63"/>
        <v>61.037875000000007</v>
      </c>
      <c r="G1138" s="10">
        <f t="shared" ca="1" si="63"/>
        <v>61.052908333333335</v>
      </c>
      <c r="H1138" s="10">
        <f t="shared" ca="1" si="63"/>
        <v>61.223150000000004</v>
      </c>
      <c r="I1138" s="10">
        <f t="shared" ca="1" si="63"/>
        <v>61.057549999999999</v>
      </c>
      <c r="J1138" s="10">
        <f t="shared" ca="1" si="63"/>
        <v>61.030875000000002</v>
      </c>
      <c r="K1138" s="10">
        <f t="shared" ca="1" si="63"/>
        <v>61.053675000000005</v>
      </c>
      <c r="L1138" s="10">
        <f t="shared" ca="1" si="64"/>
        <v>61.81015</v>
      </c>
      <c r="M1138" s="10">
        <f t="shared" ca="1" si="64"/>
        <v>60.428799999999995</v>
      </c>
      <c r="N1138" s="10">
        <f t="shared" ca="1" si="64"/>
        <v>60.443666666666672</v>
      </c>
      <c r="O1138" s="10">
        <f t="shared" ca="1" si="64"/>
        <v>60.61914166666665</v>
      </c>
      <c r="P1138" s="10">
        <f t="shared" ca="1" si="64"/>
        <v>60.455250000000007</v>
      </c>
      <c r="Q1138" s="10">
        <f t="shared" ca="1" si="64"/>
        <v>61.21444166666668</v>
      </c>
      <c r="R1138" s="10">
        <f t="shared" ca="1" si="64"/>
        <v>61.954483333333343</v>
      </c>
      <c r="S1138" s="10">
        <f t="shared" ca="1" si="64"/>
        <v>59.284966666666662</v>
      </c>
      <c r="T1138" s="49">
        <f t="shared" ca="1" si="65"/>
        <v>357.24568100000005</v>
      </c>
      <c r="U1138" s="49">
        <f t="shared" ca="1" si="65"/>
        <v>142.03263249999998</v>
      </c>
      <c r="V1138" s="49">
        <f t="shared" ca="1" si="65"/>
        <v>50.187500000000007</v>
      </c>
      <c r="W1138" s="49">
        <f t="shared" ca="1" si="65"/>
        <v>5.0822234999999996</v>
      </c>
      <c r="X1138" s="49">
        <f t="shared" ca="1" si="65"/>
        <v>20.758966663999999</v>
      </c>
      <c r="Y1138" s="10"/>
      <c r="Z1138" s="10"/>
      <c r="AA1138" s="10"/>
      <c r="AB1138" s="10">
        <f t="shared" ca="1" si="61"/>
        <v>61.071852511099394</v>
      </c>
      <c r="AC1138" s="10">
        <f t="shared" ca="1" si="61"/>
        <v>60.519731354916075</v>
      </c>
    </row>
    <row r="1139" spans="1:29" ht="15" x14ac:dyDescent="0.2">
      <c r="A1139" s="11">
        <f t="shared" si="62"/>
        <v>2082</v>
      </c>
      <c r="B1139" s="10">
        <f t="shared" ref="B1139:K1148" ca="1" si="66">AVERAGE(OFFSET(B$601,($A1139-$A$1119)*12,0,12,1))</f>
        <v>63.365124999999985</v>
      </c>
      <c r="C1139" s="10">
        <f t="shared" ca="1" si="66"/>
        <v>63.371291666666657</v>
      </c>
      <c r="D1139" s="10">
        <f t="shared" ca="1" si="66"/>
        <v>63.514575000000015</v>
      </c>
      <c r="E1139" s="10">
        <f t="shared" ca="1" si="66"/>
        <v>63.546683333333334</v>
      </c>
      <c r="F1139" s="10">
        <f t="shared" ca="1" si="66"/>
        <v>63.350525000000005</v>
      </c>
      <c r="G1139" s="10">
        <f t="shared" ca="1" si="66"/>
        <v>63.365541666666665</v>
      </c>
      <c r="H1139" s="10">
        <f t="shared" ca="1" si="66"/>
        <v>63.535791666666661</v>
      </c>
      <c r="I1139" s="10">
        <f t="shared" ca="1" si="66"/>
        <v>63.370191666666663</v>
      </c>
      <c r="J1139" s="10">
        <f t="shared" ca="1" si="66"/>
        <v>63.343525</v>
      </c>
      <c r="K1139" s="10">
        <f t="shared" ca="1" si="66"/>
        <v>63.366299999999995</v>
      </c>
      <c r="L1139" s="10">
        <f t="shared" ref="L1139:S1148" ca="1" si="67">AVERAGE(OFFSET(L$601,($A1139-$A$1119)*12,0,12,1))</f>
        <v>64.122791666666657</v>
      </c>
      <c r="M1139" s="10">
        <f t="shared" ca="1" si="67"/>
        <v>62.718091666666659</v>
      </c>
      <c r="N1139" s="10">
        <f t="shared" ca="1" si="67"/>
        <v>62.732966666666663</v>
      </c>
      <c r="O1139" s="10">
        <f t="shared" ca="1" si="67"/>
        <v>62.908441666666668</v>
      </c>
      <c r="P1139" s="10">
        <f t="shared" ca="1" si="67"/>
        <v>62.744558333333323</v>
      </c>
      <c r="Q1139" s="10">
        <f t="shared" ca="1" si="67"/>
        <v>63.503741666666663</v>
      </c>
      <c r="R1139" s="10">
        <f t="shared" ca="1" si="67"/>
        <v>64.249491666666685</v>
      </c>
      <c r="S1139" s="10">
        <f t="shared" ca="1" si="67"/>
        <v>61.530749999999991</v>
      </c>
      <c r="T1139" s="49">
        <f t="shared" ref="T1139:X1148" ca="1" si="68">SUM(OFFSET(T$601,($A1139-$A$1119)*12,0,12,1))</f>
        <v>357.24568100000005</v>
      </c>
      <c r="U1139" s="49">
        <f t="shared" ca="1" si="68"/>
        <v>142.03263249999998</v>
      </c>
      <c r="V1139" s="49">
        <f t="shared" ca="1" si="68"/>
        <v>50.187500000000007</v>
      </c>
      <c r="W1139" s="49">
        <f t="shared" ca="1" si="68"/>
        <v>5.0822234999999996</v>
      </c>
      <c r="X1139" s="49">
        <f t="shared" ca="1" si="68"/>
        <v>20.758966663999999</v>
      </c>
      <c r="Y1139" s="10"/>
      <c r="Z1139" s="10"/>
      <c r="AA1139" s="10"/>
      <c r="AB1139" s="10">
        <f t="shared" ref="AB1139:AC1157" ca="1" si="69">AVERAGE(OFFSET(AB$601,($A1139-$A$1119)*12,0,12,1))</f>
        <v>63.384490059162516</v>
      </c>
      <c r="AC1139" s="10">
        <f t="shared" ca="1" si="69"/>
        <v>62.80902967625898</v>
      </c>
    </row>
    <row r="1140" spans="1:29" ht="15" x14ac:dyDescent="0.2">
      <c r="A1140" s="11">
        <f t="shared" si="62"/>
        <v>2083</v>
      </c>
      <c r="B1140" s="10">
        <f t="shared" ca="1" si="66"/>
        <v>65.765358333333339</v>
      </c>
      <c r="C1140" s="10">
        <f t="shared" ca="1" si="66"/>
        <v>65.771533333333338</v>
      </c>
      <c r="D1140" s="10">
        <f t="shared" ca="1" si="66"/>
        <v>65.914824999999993</v>
      </c>
      <c r="E1140" s="10">
        <f t="shared" ca="1" si="66"/>
        <v>65.94690833333334</v>
      </c>
      <c r="F1140" s="10">
        <f t="shared" ca="1" si="66"/>
        <v>65.750766666666664</v>
      </c>
      <c r="G1140" s="10">
        <f t="shared" ca="1" si="66"/>
        <v>65.765758333333352</v>
      </c>
      <c r="H1140" s="10">
        <f t="shared" ca="1" si="66"/>
        <v>65.936016666666674</v>
      </c>
      <c r="I1140" s="10">
        <f t="shared" ca="1" si="66"/>
        <v>65.770425000000003</v>
      </c>
      <c r="J1140" s="10">
        <f t="shared" ca="1" si="66"/>
        <v>65.743766666666673</v>
      </c>
      <c r="K1140" s="10">
        <f t="shared" ca="1" si="66"/>
        <v>65.766541666666669</v>
      </c>
      <c r="L1140" s="10">
        <f t="shared" ca="1" si="67"/>
        <v>66.523016666666663</v>
      </c>
      <c r="M1140" s="10">
        <f t="shared" ca="1" si="67"/>
        <v>65.094108333333324</v>
      </c>
      <c r="N1140" s="10">
        <f t="shared" ca="1" si="67"/>
        <v>65.108983333333313</v>
      </c>
      <c r="O1140" s="10">
        <f t="shared" ca="1" si="67"/>
        <v>65.284458333333333</v>
      </c>
      <c r="P1140" s="10">
        <f t="shared" ca="1" si="67"/>
        <v>65.120558333333321</v>
      </c>
      <c r="Q1140" s="10">
        <f t="shared" ca="1" si="67"/>
        <v>65.879758333333342</v>
      </c>
      <c r="R1140" s="10">
        <f t="shared" ca="1" si="67"/>
        <v>66.631433333333334</v>
      </c>
      <c r="S1140" s="10">
        <f t="shared" ca="1" si="67"/>
        <v>63.861633333333337</v>
      </c>
      <c r="T1140" s="49">
        <f t="shared" ca="1" si="68"/>
        <v>357.24568100000005</v>
      </c>
      <c r="U1140" s="49">
        <f t="shared" ca="1" si="68"/>
        <v>142.03263249999998</v>
      </c>
      <c r="V1140" s="49">
        <f t="shared" ca="1" si="68"/>
        <v>50.187500000000007</v>
      </c>
      <c r="W1140" s="49">
        <f t="shared" ca="1" si="68"/>
        <v>5.0822234999999996</v>
      </c>
      <c r="X1140" s="49">
        <f t="shared" ca="1" si="68"/>
        <v>20.758966663999999</v>
      </c>
      <c r="Y1140" s="10"/>
      <c r="Z1140" s="10"/>
      <c r="AA1140" s="10"/>
      <c r="AB1140" s="10">
        <f t="shared" ca="1" si="69"/>
        <v>65.784726546498248</v>
      </c>
      <c r="AC1140" s="10">
        <f t="shared" ca="1" si="69"/>
        <v>65.185043944844139</v>
      </c>
    </row>
    <row r="1141" spans="1:29" ht="15" x14ac:dyDescent="0.2">
      <c r="A1141" s="11">
        <f t="shared" si="62"/>
        <v>2084</v>
      </c>
      <c r="B1141" s="10">
        <f t="shared" ca="1" si="66"/>
        <v>68.256516666666684</v>
      </c>
      <c r="C1141" s="10">
        <f t="shared" ca="1" si="66"/>
        <v>68.262683333333328</v>
      </c>
      <c r="D1141" s="10">
        <f t="shared" ca="1" si="66"/>
        <v>68.405966666666671</v>
      </c>
      <c r="E1141" s="10">
        <f t="shared" ca="1" si="66"/>
        <v>68.438075000000012</v>
      </c>
      <c r="F1141" s="10">
        <f t="shared" ca="1" si="66"/>
        <v>68.241908333333328</v>
      </c>
      <c r="G1141" s="10">
        <f t="shared" ca="1" si="66"/>
        <v>68.256933333333336</v>
      </c>
      <c r="H1141" s="10">
        <f t="shared" ca="1" si="66"/>
        <v>68.427191666666673</v>
      </c>
      <c r="I1141" s="10">
        <f t="shared" ca="1" si="66"/>
        <v>68.261591666666675</v>
      </c>
      <c r="J1141" s="10">
        <f t="shared" ca="1" si="66"/>
        <v>68.234908333333337</v>
      </c>
      <c r="K1141" s="10">
        <f t="shared" ca="1" si="66"/>
        <v>68.257708333333326</v>
      </c>
      <c r="L1141" s="10">
        <f t="shared" ca="1" si="67"/>
        <v>69.014191666666676</v>
      </c>
      <c r="M1141" s="10">
        <f t="shared" ca="1" si="67"/>
        <v>67.560124999999999</v>
      </c>
      <c r="N1141" s="10">
        <f t="shared" ca="1" si="67"/>
        <v>67.574991666666662</v>
      </c>
      <c r="O1141" s="10">
        <f t="shared" ca="1" si="67"/>
        <v>67.750466666666668</v>
      </c>
      <c r="P1141" s="10">
        <f t="shared" ca="1" si="67"/>
        <v>67.58659999999999</v>
      </c>
      <c r="Q1141" s="10">
        <f t="shared" ca="1" si="67"/>
        <v>68.345766666666677</v>
      </c>
      <c r="R1141" s="10">
        <f t="shared" ca="1" si="67"/>
        <v>69.103625000000008</v>
      </c>
      <c r="S1141" s="10">
        <f t="shared" ca="1" si="67"/>
        <v>66.280799999999985</v>
      </c>
      <c r="T1141" s="49">
        <f t="shared" ca="1" si="68"/>
        <v>358.17703550000004</v>
      </c>
      <c r="U1141" s="49">
        <f t="shared" ca="1" si="68"/>
        <v>142.42176299999997</v>
      </c>
      <c r="V1141" s="49">
        <f t="shared" ca="1" si="68"/>
        <v>50.325000000000003</v>
      </c>
      <c r="W1141" s="49">
        <f t="shared" ca="1" si="68"/>
        <v>5.0961473999999995</v>
      </c>
      <c r="X1141" s="49">
        <f t="shared" ca="1" si="68"/>
        <v>20.800615543999996</v>
      </c>
      <c r="Y1141" s="10"/>
      <c r="Z1141" s="10"/>
      <c r="AA1141" s="10"/>
      <c r="AB1141" s="10">
        <f t="shared" ca="1" si="69"/>
        <v>68.275879962762346</v>
      </c>
      <c r="AC1141" s="10">
        <f t="shared" ca="1" si="69"/>
        <v>67.651059952038352</v>
      </c>
    </row>
    <row r="1142" spans="1:29" ht="15" x14ac:dyDescent="0.2">
      <c r="A1142" s="11">
        <f t="shared" si="62"/>
        <v>2085</v>
      </c>
      <c r="B1142" s="10">
        <f t="shared" ca="1" si="66"/>
        <v>70.842066666666668</v>
      </c>
      <c r="C1142" s="10">
        <f t="shared" ca="1" si="66"/>
        <v>70.848224999999985</v>
      </c>
      <c r="D1142" s="10">
        <f t="shared" ca="1" si="66"/>
        <v>70.991491666666676</v>
      </c>
      <c r="E1142" s="10">
        <f t="shared" ca="1" si="66"/>
        <v>71.023600000000002</v>
      </c>
      <c r="F1142" s="10">
        <f t="shared" ca="1" si="66"/>
        <v>70.827433333333332</v>
      </c>
      <c r="G1142" s="10">
        <f t="shared" ca="1" si="66"/>
        <v>70.842474999999993</v>
      </c>
      <c r="H1142" s="10">
        <f t="shared" ca="1" si="66"/>
        <v>71.012716666666662</v>
      </c>
      <c r="I1142" s="10">
        <f t="shared" ca="1" si="66"/>
        <v>70.847116666666679</v>
      </c>
      <c r="J1142" s="10">
        <f t="shared" ca="1" si="66"/>
        <v>70.820433333333327</v>
      </c>
      <c r="K1142" s="10">
        <f t="shared" ca="1" si="66"/>
        <v>70.843216666666663</v>
      </c>
      <c r="L1142" s="10">
        <f t="shared" ca="1" si="67"/>
        <v>71.599716666666666</v>
      </c>
      <c r="M1142" s="10">
        <f t="shared" ca="1" si="67"/>
        <v>70.119574999999998</v>
      </c>
      <c r="N1142" s="10">
        <f t="shared" ca="1" si="67"/>
        <v>70.13444166666666</v>
      </c>
      <c r="O1142" s="10">
        <f t="shared" ca="1" si="67"/>
        <v>70.309891666666658</v>
      </c>
      <c r="P1142" s="10">
        <f t="shared" ca="1" si="67"/>
        <v>70.146025000000023</v>
      </c>
      <c r="Q1142" s="10">
        <f t="shared" ca="1" si="67"/>
        <v>70.905191666666653</v>
      </c>
      <c r="R1142" s="10">
        <f t="shared" ca="1" si="67"/>
        <v>71.669475000000006</v>
      </c>
      <c r="S1142" s="10">
        <f t="shared" ca="1" si="67"/>
        <v>68.791633333333337</v>
      </c>
      <c r="T1142" s="49">
        <f t="shared" ca="1" si="68"/>
        <v>357.24568100000005</v>
      </c>
      <c r="U1142" s="49">
        <f t="shared" ca="1" si="68"/>
        <v>142.03263249999998</v>
      </c>
      <c r="V1142" s="49">
        <f t="shared" ca="1" si="68"/>
        <v>50.187500000000007</v>
      </c>
      <c r="W1142" s="49">
        <f t="shared" ca="1" si="68"/>
        <v>5.0822234999999996</v>
      </c>
      <c r="X1142" s="49">
        <f t="shared" ca="1" si="68"/>
        <v>20.758966663999999</v>
      </c>
      <c r="Y1142" s="10"/>
      <c r="Z1142" s="10"/>
      <c r="AA1142" s="10"/>
      <c r="AB1142" s="10">
        <f t="shared" ca="1" si="69"/>
        <v>70.861414364837046</v>
      </c>
      <c r="AC1142" s="10">
        <f t="shared" ca="1" si="69"/>
        <v>70.210495023980826</v>
      </c>
    </row>
    <row r="1143" spans="1:29" ht="15" x14ac:dyDescent="0.2">
      <c r="A1143" s="11">
        <f t="shared" si="62"/>
        <v>2086</v>
      </c>
      <c r="B1143" s="10">
        <f t="shared" ca="1" si="66"/>
        <v>73.525533333333343</v>
      </c>
      <c r="C1143" s="10">
        <f t="shared" ca="1" si="66"/>
        <v>73.531699999999987</v>
      </c>
      <c r="D1143" s="10">
        <f t="shared" ca="1" si="66"/>
        <v>73.674991666666685</v>
      </c>
      <c r="E1143" s="10">
        <f t="shared" ca="1" si="66"/>
        <v>73.70708333333333</v>
      </c>
      <c r="F1143" s="10">
        <f t="shared" ca="1" si="66"/>
        <v>73.510899999999992</v>
      </c>
      <c r="G1143" s="10">
        <f t="shared" ca="1" si="66"/>
        <v>73.525941666666668</v>
      </c>
      <c r="H1143" s="10">
        <f t="shared" ca="1" si="66"/>
        <v>73.696191666666678</v>
      </c>
      <c r="I1143" s="10">
        <f t="shared" ca="1" si="66"/>
        <v>73.53061666666666</v>
      </c>
      <c r="J1143" s="10">
        <f t="shared" ca="1" si="66"/>
        <v>73.503900000000002</v>
      </c>
      <c r="K1143" s="10">
        <f t="shared" ca="1" si="66"/>
        <v>73.526724999999999</v>
      </c>
      <c r="L1143" s="10">
        <f t="shared" ca="1" si="67"/>
        <v>74.283191666666667</v>
      </c>
      <c r="M1143" s="10">
        <f t="shared" ca="1" si="67"/>
        <v>72.775958333333321</v>
      </c>
      <c r="N1143" s="10">
        <f t="shared" ca="1" si="67"/>
        <v>72.790833333333339</v>
      </c>
      <c r="O1143" s="10">
        <f t="shared" ca="1" si="67"/>
        <v>72.966300000000004</v>
      </c>
      <c r="P1143" s="10">
        <f t="shared" ca="1" si="67"/>
        <v>72.802408333333332</v>
      </c>
      <c r="Q1143" s="10">
        <f t="shared" ca="1" si="67"/>
        <v>73.561599999999984</v>
      </c>
      <c r="R1143" s="10">
        <f t="shared" ca="1" si="67"/>
        <v>74.332508333333337</v>
      </c>
      <c r="S1143" s="10">
        <f t="shared" ca="1" si="67"/>
        <v>71.397525000000016</v>
      </c>
      <c r="T1143" s="49">
        <f t="shared" ca="1" si="68"/>
        <v>357.24568100000005</v>
      </c>
      <c r="U1143" s="49">
        <f t="shared" ca="1" si="68"/>
        <v>142.03263249999998</v>
      </c>
      <c r="V1143" s="49">
        <f t="shared" ca="1" si="68"/>
        <v>50.187500000000007</v>
      </c>
      <c r="W1143" s="49">
        <f t="shared" ca="1" si="68"/>
        <v>5.0822234999999996</v>
      </c>
      <c r="X1143" s="49">
        <f t="shared" ca="1" si="68"/>
        <v>20.758966663999999</v>
      </c>
      <c r="Y1143" s="10"/>
      <c r="Z1143" s="10"/>
      <c r="AA1143" s="10"/>
      <c r="AB1143" s="10">
        <f t="shared" ca="1" si="69"/>
        <v>73.544889365617323</v>
      </c>
      <c r="AC1143" s="10">
        <f t="shared" ca="1" si="69"/>
        <v>72.866890167865705</v>
      </c>
    </row>
    <row r="1144" spans="1:29" ht="15" x14ac:dyDescent="0.2">
      <c r="A1144" s="11">
        <f t="shared" si="62"/>
        <v>2087</v>
      </c>
      <c r="B1144" s="10">
        <f t="shared" ca="1" si="66"/>
        <v>76.310658333333336</v>
      </c>
      <c r="C1144" s="10">
        <f t="shared" ca="1" si="66"/>
        <v>76.316825000000009</v>
      </c>
      <c r="D1144" s="10">
        <f t="shared" ca="1" si="66"/>
        <v>76.460116666666678</v>
      </c>
      <c r="E1144" s="10">
        <f t="shared" ca="1" si="66"/>
        <v>76.492208333333338</v>
      </c>
      <c r="F1144" s="10">
        <f t="shared" ca="1" si="66"/>
        <v>76.296041666666653</v>
      </c>
      <c r="G1144" s="10">
        <f t="shared" ca="1" si="66"/>
        <v>76.311075000000017</v>
      </c>
      <c r="H1144" s="10">
        <f t="shared" ca="1" si="66"/>
        <v>76.481308333333331</v>
      </c>
      <c r="I1144" s="10">
        <f t="shared" ca="1" si="66"/>
        <v>76.315725</v>
      </c>
      <c r="J1144" s="10">
        <f t="shared" ca="1" si="66"/>
        <v>76.289041666666662</v>
      </c>
      <c r="K1144" s="10">
        <f t="shared" ca="1" si="66"/>
        <v>76.311849999999993</v>
      </c>
      <c r="L1144" s="10">
        <f t="shared" ca="1" si="67"/>
        <v>77.068308333333334</v>
      </c>
      <c r="M1144" s="10">
        <f t="shared" ca="1" si="67"/>
        <v>75.532991666666675</v>
      </c>
      <c r="N1144" s="10">
        <f t="shared" ca="1" si="67"/>
        <v>75.547849999999997</v>
      </c>
      <c r="O1144" s="10">
        <f t="shared" ca="1" si="67"/>
        <v>75.723324999999988</v>
      </c>
      <c r="P1144" s="10">
        <f t="shared" ca="1" si="67"/>
        <v>75.559441666666672</v>
      </c>
      <c r="Q1144" s="10">
        <f t="shared" ca="1" si="67"/>
        <v>76.318625000000011</v>
      </c>
      <c r="R1144" s="10">
        <f t="shared" ca="1" si="67"/>
        <v>77.096416666666656</v>
      </c>
      <c r="S1144" s="10">
        <f t="shared" ca="1" si="67"/>
        <v>74.102166666666662</v>
      </c>
      <c r="T1144" s="49">
        <f t="shared" ca="1" si="68"/>
        <v>357.24568100000005</v>
      </c>
      <c r="U1144" s="49">
        <f t="shared" ca="1" si="68"/>
        <v>142.03263249999998</v>
      </c>
      <c r="V1144" s="49">
        <f t="shared" ca="1" si="68"/>
        <v>50.187500000000007</v>
      </c>
      <c r="W1144" s="49">
        <f t="shared" ca="1" si="68"/>
        <v>5.0822234999999996</v>
      </c>
      <c r="X1144" s="49">
        <f t="shared" ca="1" si="68"/>
        <v>20.758966663999999</v>
      </c>
      <c r="Y1144" s="10"/>
      <c r="Z1144" s="10"/>
      <c r="AA1144" s="10"/>
      <c r="AB1144" s="10">
        <f t="shared" ca="1" si="69"/>
        <v>76.330019528413388</v>
      </c>
      <c r="AC1144" s="10">
        <f t="shared" ca="1" si="69"/>
        <v>75.623918764988005</v>
      </c>
    </row>
    <row r="1145" spans="1:29" ht="15" x14ac:dyDescent="0.2">
      <c r="A1145" s="11">
        <f t="shared" si="62"/>
        <v>2088</v>
      </c>
      <c r="B1145" s="10">
        <f t="shared" ca="1" si="66"/>
        <v>79.201291666666648</v>
      </c>
      <c r="C1145" s="10">
        <f t="shared" ca="1" si="66"/>
        <v>79.207466666666662</v>
      </c>
      <c r="D1145" s="10">
        <f t="shared" ca="1" si="66"/>
        <v>79.350758333333346</v>
      </c>
      <c r="E1145" s="10">
        <f t="shared" ca="1" si="66"/>
        <v>79.382833333333338</v>
      </c>
      <c r="F1145" s="10">
        <f t="shared" ca="1" si="66"/>
        <v>79.186683333333335</v>
      </c>
      <c r="G1145" s="10">
        <f t="shared" ca="1" si="66"/>
        <v>79.201700000000002</v>
      </c>
      <c r="H1145" s="10">
        <f t="shared" ca="1" si="66"/>
        <v>79.371958333333325</v>
      </c>
      <c r="I1145" s="10">
        <f t="shared" ca="1" si="66"/>
        <v>79.206374999999994</v>
      </c>
      <c r="J1145" s="10">
        <f t="shared" ca="1" si="66"/>
        <v>79.17968333333333</v>
      </c>
      <c r="K1145" s="10">
        <f t="shared" ca="1" si="66"/>
        <v>79.202483333333319</v>
      </c>
      <c r="L1145" s="10">
        <f t="shared" ca="1" si="67"/>
        <v>79.958958333333342</v>
      </c>
      <c r="M1145" s="10">
        <f t="shared" ca="1" si="67"/>
        <v>78.39444166666668</v>
      </c>
      <c r="N1145" s="10">
        <f t="shared" ca="1" si="67"/>
        <v>78.409316666666669</v>
      </c>
      <c r="O1145" s="10">
        <f t="shared" ca="1" si="67"/>
        <v>78.584791666666675</v>
      </c>
      <c r="P1145" s="10">
        <f t="shared" ca="1" si="67"/>
        <v>78.420924999999997</v>
      </c>
      <c r="Q1145" s="10">
        <f t="shared" ca="1" si="67"/>
        <v>79.180091666666669</v>
      </c>
      <c r="R1145" s="10">
        <f t="shared" ca="1" si="67"/>
        <v>79.965041666666664</v>
      </c>
      <c r="S1145" s="10">
        <f t="shared" ca="1" si="67"/>
        <v>76.90928333333332</v>
      </c>
      <c r="T1145" s="49">
        <f t="shared" ca="1" si="68"/>
        <v>358.17703550000004</v>
      </c>
      <c r="U1145" s="49">
        <f t="shared" ca="1" si="68"/>
        <v>142.42176299999997</v>
      </c>
      <c r="V1145" s="49">
        <f t="shared" ca="1" si="68"/>
        <v>50.325000000000003</v>
      </c>
      <c r="W1145" s="49">
        <f t="shared" ca="1" si="68"/>
        <v>5.0961473999999995</v>
      </c>
      <c r="X1145" s="49">
        <f t="shared" ca="1" si="68"/>
        <v>20.800615543999996</v>
      </c>
      <c r="Y1145" s="10"/>
      <c r="Z1145" s="10"/>
      <c r="AA1145" s="10"/>
      <c r="AB1145" s="10">
        <f t="shared" ca="1" si="69"/>
        <v>79.220657068066615</v>
      </c>
      <c r="AC1145" s="10">
        <f t="shared" ca="1" si="69"/>
        <v>78.485382074340521</v>
      </c>
    </row>
    <row r="1146" spans="1:29" ht="15" x14ac:dyDescent="0.2">
      <c r="A1146" s="11">
        <f t="shared" si="62"/>
        <v>2089</v>
      </c>
      <c r="B1146" s="10">
        <f t="shared" ca="1" si="66"/>
        <v>82.201458333333321</v>
      </c>
      <c r="C1146" s="10">
        <f t="shared" ca="1" si="66"/>
        <v>82.20760833333334</v>
      </c>
      <c r="D1146" s="10">
        <f t="shared" ca="1" si="66"/>
        <v>82.350874999999988</v>
      </c>
      <c r="E1146" s="10">
        <f t="shared" ca="1" si="66"/>
        <v>82.382991666666669</v>
      </c>
      <c r="F1146" s="10">
        <f t="shared" ca="1" si="66"/>
        <v>82.186816666666672</v>
      </c>
      <c r="G1146" s="10">
        <f t="shared" ca="1" si="66"/>
        <v>82.201849999999993</v>
      </c>
      <c r="H1146" s="10">
        <f t="shared" ca="1" si="66"/>
        <v>82.372108333333315</v>
      </c>
      <c r="I1146" s="10">
        <f t="shared" ca="1" si="66"/>
        <v>82.206508333333332</v>
      </c>
      <c r="J1146" s="10">
        <f t="shared" ca="1" si="66"/>
        <v>82.179816666666667</v>
      </c>
      <c r="K1146" s="10">
        <f t="shared" ca="1" si="66"/>
        <v>82.202608333333345</v>
      </c>
      <c r="L1146" s="10">
        <f t="shared" ca="1" si="67"/>
        <v>82.959108333333333</v>
      </c>
      <c r="M1146" s="10">
        <f t="shared" ca="1" si="67"/>
        <v>81.364324999999994</v>
      </c>
      <c r="N1146" s="10">
        <f t="shared" ca="1" si="67"/>
        <v>81.379208333333338</v>
      </c>
      <c r="O1146" s="10">
        <f t="shared" ca="1" si="67"/>
        <v>81.554658333333322</v>
      </c>
      <c r="P1146" s="10">
        <f t="shared" ca="1" si="67"/>
        <v>81.390783333333331</v>
      </c>
      <c r="Q1146" s="10">
        <f t="shared" ca="1" si="67"/>
        <v>82.149958333333345</v>
      </c>
      <c r="R1146" s="10">
        <f t="shared" ca="1" si="67"/>
        <v>82.942324999999997</v>
      </c>
      <c r="S1146" s="10">
        <f t="shared" ca="1" si="67"/>
        <v>79.822708333333324</v>
      </c>
      <c r="T1146" s="49">
        <f t="shared" ca="1" si="68"/>
        <v>357.24568100000005</v>
      </c>
      <c r="U1146" s="49">
        <f t="shared" ca="1" si="68"/>
        <v>142.03263249999998</v>
      </c>
      <c r="V1146" s="49">
        <f t="shared" ca="1" si="68"/>
        <v>50.187500000000007</v>
      </c>
      <c r="W1146" s="49">
        <f t="shared" ca="1" si="68"/>
        <v>5.0822234999999996</v>
      </c>
      <c r="X1146" s="49">
        <f t="shared" ca="1" si="68"/>
        <v>20.758966663999999</v>
      </c>
      <c r="Y1146" s="10"/>
      <c r="Z1146" s="10"/>
      <c r="AA1146" s="10"/>
      <c r="AB1146" s="10">
        <f t="shared" ca="1" si="69"/>
        <v>82.220798783839314</v>
      </c>
      <c r="AC1146" s="10">
        <f t="shared" ca="1" si="69"/>
        <v>81.455254736211032</v>
      </c>
    </row>
    <row r="1147" spans="1:29" ht="15" x14ac:dyDescent="0.2">
      <c r="A1147" s="11">
        <f t="shared" si="62"/>
        <v>2090</v>
      </c>
      <c r="B1147" s="10">
        <f t="shared" ca="1" si="66"/>
        <v>85.315233333333325</v>
      </c>
      <c r="C1147" s="10">
        <f t="shared" ca="1" si="66"/>
        <v>85.321433333333331</v>
      </c>
      <c r="D1147" s="10">
        <f t="shared" ca="1" si="66"/>
        <v>85.464691666666667</v>
      </c>
      <c r="E1147" s="10">
        <f t="shared" ca="1" si="66"/>
        <v>85.496775</v>
      </c>
      <c r="F1147" s="10">
        <f t="shared" ca="1" si="66"/>
        <v>85.300625000000011</v>
      </c>
      <c r="G1147" s="10">
        <f t="shared" ca="1" si="66"/>
        <v>85.315658333333346</v>
      </c>
      <c r="H1147" s="10">
        <f t="shared" ca="1" si="66"/>
        <v>85.485908333333327</v>
      </c>
      <c r="I1147" s="10">
        <f t="shared" ca="1" si="66"/>
        <v>85.32030833333333</v>
      </c>
      <c r="J1147" s="10">
        <f t="shared" ca="1" si="66"/>
        <v>85.293625000000006</v>
      </c>
      <c r="K1147" s="10">
        <f t="shared" ca="1" si="66"/>
        <v>85.316416666666669</v>
      </c>
      <c r="L1147" s="10">
        <f t="shared" ca="1" si="67"/>
        <v>86.072908333333316</v>
      </c>
      <c r="M1147" s="10">
        <f t="shared" ca="1" si="67"/>
        <v>84.44669166666668</v>
      </c>
      <c r="N1147" s="10">
        <f t="shared" ca="1" si="67"/>
        <v>84.461558333333329</v>
      </c>
      <c r="O1147" s="10">
        <f t="shared" ca="1" si="67"/>
        <v>84.637024999999994</v>
      </c>
      <c r="P1147" s="10">
        <f t="shared" ca="1" si="67"/>
        <v>84.47315833333333</v>
      </c>
      <c r="Q1147" s="10">
        <f t="shared" ca="1" si="67"/>
        <v>85.232324999999989</v>
      </c>
      <c r="R1147" s="10">
        <f t="shared" ca="1" si="67"/>
        <v>86.032408333333322</v>
      </c>
      <c r="S1147" s="10">
        <f t="shared" ca="1" si="67"/>
        <v>82.846516666666673</v>
      </c>
      <c r="T1147" s="49">
        <f t="shared" ca="1" si="68"/>
        <v>357.24568100000005</v>
      </c>
      <c r="U1147" s="49">
        <f t="shared" ca="1" si="68"/>
        <v>142.03263249999998</v>
      </c>
      <c r="V1147" s="49">
        <f t="shared" ca="1" si="68"/>
        <v>50.187500000000007</v>
      </c>
      <c r="W1147" s="49">
        <f t="shared" ca="1" si="68"/>
        <v>5.0822234999999996</v>
      </c>
      <c r="X1147" s="49">
        <f t="shared" ca="1" si="68"/>
        <v>20.758966663999999</v>
      </c>
      <c r="Y1147" s="10"/>
      <c r="Z1147" s="10"/>
      <c r="AA1147" s="10"/>
      <c r="AB1147" s="10">
        <f t="shared" ca="1" si="69"/>
        <v>85.334605425423874</v>
      </c>
      <c r="AC1147" s="10">
        <f t="shared" ca="1" si="69"/>
        <v>84.537621642685849</v>
      </c>
    </row>
    <row r="1148" spans="1:29" ht="15" x14ac:dyDescent="0.2">
      <c r="A1148" s="11">
        <f t="shared" si="62"/>
        <v>2091</v>
      </c>
      <c r="B1148" s="10">
        <f t="shared" ca="1" si="66"/>
        <v>88.546983333333344</v>
      </c>
      <c r="C1148" s="10">
        <f t="shared" ca="1" si="66"/>
        <v>88.553150000000002</v>
      </c>
      <c r="D1148" s="10">
        <f t="shared" ca="1" si="66"/>
        <v>88.696433333333346</v>
      </c>
      <c r="E1148" s="10">
        <f t="shared" ca="1" si="66"/>
        <v>88.728533333333345</v>
      </c>
      <c r="F1148" s="10">
        <f t="shared" ca="1" si="66"/>
        <v>88.532366666666675</v>
      </c>
      <c r="G1148" s="10">
        <f t="shared" ca="1" si="66"/>
        <v>88.547399999999996</v>
      </c>
      <c r="H1148" s="10">
        <f t="shared" ca="1" si="66"/>
        <v>88.71764166666668</v>
      </c>
      <c r="I1148" s="10">
        <f t="shared" ca="1" si="66"/>
        <v>88.552050000000008</v>
      </c>
      <c r="J1148" s="10">
        <f t="shared" ca="1" si="66"/>
        <v>88.52536666666667</v>
      </c>
      <c r="K1148" s="10">
        <f t="shared" ca="1" si="66"/>
        <v>88.548158333333319</v>
      </c>
      <c r="L1148" s="10">
        <f t="shared" ca="1" si="67"/>
        <v>89.304641666666669</v>
      </c>
      <c r="M1148" s="10">
        <f t="shared" ca="1" si="67"/>
        <v>87.645825000000002</v>
      </c>
      <c r="N1148" s="10">
        <f t="shared" ca="1" si="67"/>
        <v>87.660699999999977</v>
      </c>
      <c r="O1148" s="10">
        <f t="shared" ca="1" si="67"/>
        <v>87.836166666666671</v>
      </c>
      <c r="P1148" s="10">
        <f t="shared" ca="1" si="67"/>
        <v>87.672283333333326</v>
      </c>
      <c r="Q1148" s="10">
        <f t="shared" ca="1" si="67"/>
        <v>88.431466666666665</v>
      </c>
      <c r="R1148" s="10">
        <f t="shared" ca="1" si="67"/>
        <v>89.239533333333327</v>
      </c>
      <c r="S1148" s="10">
        <f t="shared" ca="1" si="67"/>
        <v>85.984875000000002</v>
      </c>
      <c r="T1148" s="49">
        <f t="shared" ca="1" si="68"/>
        <v>357.24568100000005</v>
      </c>
      <c r="U1148" s="49">
        <f t="shared" ca="1" si="68"/>
        <v>142.03263249999998</v>
      </c>
      <c r="V1148" s="49">
        <f t="shared" ca="1" si="68"/>
        <v>50.187500000000007</v>
      </c>
      <c r="W1148" s="49">
        <f t="shared" ca="1" si="68"/>
        <v>5.0822234999999996</v>
      </c>
      <c r="X1148" s="49">
        <f t="shared" ca="1" si="68"/>
        <v>20.758966663999999</v>
      </c>
      <c r="Y1148" s="10"/>
      <c r="Z1148" s="10"/>
      <c r="AA1148" s="10"/>
      <c r="AB1148" s="10">
        <f t="shared" ca="1" si="69"/>
        <v>88.56634332319301</v>
      </c>
      <c r="AC1148" s="10">
        <f t="shared" ca="1" si="69"/>
        <v>87.736758033573139</v>
      </c>
    </row>
    <row r="1149" spans="1:29" ht="15" x14ac:dyDescent="0.2">
      <c r="A1149" s="11">
        <f t="shared" si="62"/>
        <v>2092</v>
      </c>
      <c r="B1149" s="10">
        <f t="shared" ref="B1149:K1157" ca="1" si="70">AVERAGE(OFFSET(B$601,($A1149-$A$1119)*12,0,12,1))</f>
        <v>91.901175000000009</v>
      </c>
      <c r="C1149" s="10">
        <f t="shared" ca="1" si="70"/>
        <v>91.907325</v>
      </c>
      <c r="D1149" s="10">
        <f t="shared" ca="1" si="70"/>
        <v>92.050616666666656</v>
      </c>
      <c r="E1149" s="10">
        <f t="shared" ca="1" si="70"/>
        <v>92.082724999999996</v>
      </c>
      <c r="F1149" s="10">
        <f t="shared" ca="1" si="70"/>
        <v>91.88655</v>
      </c>
      <c r="G1149" s="10">
        <f t="shared" ca="1" si="70"/>
        <v>91.901574999999994</v>
      </c>
      <c r="H1149" s="10">
        <f t="shared" ca="1" si="70"/>
        <v>92.071833333333316</v>
      </c>
      <c r="I1149" s="10">
        <f t="shared" ca="1" si="70"/>
        <v>91.906241666666673</v>
      </c>
      <c r="J1149" s="10">
        <f t="shared" ca="1" si="70"/>
        <v>91.879549999999995</v>
      </c>
      <c r="K1149" s="10">
        <f t="shared" ca="1" si="70"/>
        <v>91.902341666666658</v>
      </c>
      <c r="L1149" s="10">
        <f t="shared" ref="L1149:S1157" ca="1" si="71">AVERAGE(OFFSET(L$601,($A1149-$A$1119)*12,0,12,1))</f>
        <v>92.658833333333334</v>
      </c>
      <c r="M1149" s="10">
        <f t="shared" ca="1" si="71"/>
        <v>90.966149999999985</v>
      </c>
      <c r="N1149" s="10">
        <f t="shared" ca="1" si="71"/>
        <v>90.981025000000002</v>
      </c>
      <c r="O1149" s="10">
        <f t="shared" ca="1" si="71"/>
        <v>91.156491666666668</v>
      </c>
      <c r="P1149" s="10">
        <f t="shared" ca="1" si="71"/>
        <v>90.992599999999996</v>
      </c>
      <c r="Q1149" s="10">
        <f t="shared" ca="1" si="71"/>
        <v>91.751791666666676</v>
      </c>
      <c r="R1149" s="10">
        <f t="shared" ca="1" si="71"/>
        <v>92.568166666666642</v>
      </c>
      <c r="S1149" s="10">
        <f t="shared" ca="1" si="71"/>
        <v>89.242100000000008</v>
      </c>
      <c r="T1149" s="49">
        <f t="shared" ref="T1149:X1157" ca="1" si="72">SUM(OFFSET(T$601,($A1149-$A$1119)*12,0,12,1))</f>
        <v>358.17703550000004</v>
      </c>
      <c r="U1149" s="49">
        <f t="shared" ca="1" si="72"/>
        <v>142.42176299999997</v>
      </c>
      <c r="V1149" s="49">
        <f t="shared" ca="1" si="72"/>
        <v>50.325000000000003</v>
      </c>
      <c r="W1149" s="49">
        <f t="shared" ca="1" si="72"/>
        <v>5.0961473999999995</v>
      </c>
      <c r="X1149" s="49">
        <f t="shared" ca="1" si="72"/>
        <v>20.800615543999996</v>
      </c>
      <c r="Y1149" s="10"/>
      <c r="Z1149" s="10"/>
      <c r="AA1149" s="10"/>
      <c r="AB1149" s="10">
        <f t="shared" ca="1" si="69"/>
        <v>91.920525104154578</v>
      </c>
      <c r="AC1149" s="10">
        <f t="shared" ca="1" si="69"/>
        <v>91.057081834532369</v>
      </c>
    </row>
    <row r="1150" spans="1:29" ht="15" x14ac:dyDescent="0.2">
      <c r="A1150" s="11">
        <f t="shared" si="62"/>
        <v>2093</v>
      </c>
      <c r="B1150" s="10">
        <f t="shared" ca="1" si="70"/>
        <v>95.382408333333331</v>
      </c>
      <c r="C1150" s="10">
        <f t="shared" ca="1" si="70"/>
        <v>95.388558333333336</v>
      </c>
      <c r="D1150" s="10">
        <f t="shared" ca="1" si="70"/>
        <v>95.531841666666651</v>
      </c>
      <c r="E1150" s="10">
        <f t="shared" ca="1" si="70"/>
        <v>95.563949999999991</v>
      </c>
      <c r="F1150" s="10">
        <f t="shared" ca="1" si="70"/>
        <v>95.367774999999995</v>
      </c>
      <c r="G1150" s="10">
        <f t="shared" ca="1" si="70"/>
        <v>95.38280833333333</v>
      </c>
      <c r="H1150" s="10">
        <f t="shared" ca="1" si="70"/>
        <v>95.55305833333334</v>
      </c>
      <c r="I1150" s="10">
        <f t="shared" ca="1" si="70"/>
        <v>95.38746666666664</v>
      </c>
      <c r="J1150" s="10">
        <f t="shared" ca="1" si="70"/>
        <v>95.360775000000004</v>
      </c>
      <c r="K1150" s="10">
        <f t="shared" ca="1" si="70"/>
        <v>95.383575000000008</v>
      </c>
      <c r="L1150" s="10">
        <f t="shared" ca="1" si="71"/>
        <v>96.140058333333329</v>
      </c>
      <c r="M1150" s="10">
        <f t="shared" ca="1" si="71"/>
        <v>94.412250000000014</v>
      </c>
      <c r="N1150" s="10">
        <f t="shared" ca="1" si="71"/>
        <v>94.427116666666663</v>
      </c>
      <c r="O1150" s="10">
        <f t="shared" ca="1" si="71"/>
        <v>94.602583333333328</v>
      </c>
      <c r="P1150" s="10">
        <f t="shared" ca="1" si="71"/>
        <v>94.438708333333338</v>
      </c>
      <c r="Q1150" s="10">
        <f t="shared" ca="1" si="71"/>
        <v>95.197883333333323</v>
      </c>
      <c r="R1150" s="10">
        <f t="shared" ca="1" si="71"/>
        <v>96.022883333333326</v>
      </c>
      <c r="S1150" s="10">
        <f t="shared" ca="1" si="71"/>
        <v>92.622733333333329</v>
      </c>
      <c r="T1150" s="49">
        <f t="shared" ca="1" si="72"/>
        <v>357.24568100000005</v>
      </c>
      <c r="U1150" s="49">
        <f t="shared" ca="1" si="72"/>
        <v>142.03263249999998</v>
      </c>
      <c r="V1150" s="49">
        <f t="shared" ca="1" si="72"/>
        <v>50.187500000000007</v>
      </c>
      <c r="W1150" s="49">
        <f t="shared" ca="1" si="72"/>
        <v>5.0822234999999996</v>
      </c>
      <c r="X1150" s="49">
        <f t="shared" ca="1" si="72"/>
        <v>20.758966663999999</v>
      </c>
      <c r="Y1150" s="10"/>
      <c r="Z1150" s="10"/>
      <c r="AA1150" s="10"/>
      <c r="AB1150" s="10">
        <f t="shared" ca="1" si="69"/>
        <v>95.401754662103244</v>
      </c>
      <c r="AC1150" s="10">
        <f t="shared" ca="1" si="69"/>
        <v>94.503178776978416</v>
      </c>
    </row>
    <row r="1151" spans="1:29" ht="15" x14ac:dyDescent="0.2">
      <c r="A1151" s="11">
        <f t="shared" si="62"/>
        <v>2094</v>
      </c>
      <c r="B1151" s="10">
        <f t="shared" ca="1" si="70"/>
        <v>98.995508333333348</v>
      </c>
      <c r="C1151" s="10">
        <f t="shared" ca="1" si="70"/>
        <v>99.001649999999984</v>
      </c>
      <c r="D1151" s="10">
        <f t="shared" ca="1" si="70"/>
        <v>99.144958333333349</v>
      </c>
      <c r="E1151" s="10">
        <f t="shared" ca="1" si="70"/>
        <v>99.177058333333335</v>
      </c>
      <c r="F1151" s="10">
        <f t="shared" ca="1" si="70"/>
        <v>98.98090000000002</v>
      </c>
      <c r="G1151" s="10">
        <f t="shared" ca="1" si="70"/>
        <v>98.995924999999986</v>
      </c>
      <c r="H1151" s="10">
        <f t="shared" ca="1" si="70"/>
        <v>99.166175000000024</v>
      </c>
      <c r="I1151" s="10">
        <f t="shared" ca="1" si="70"/>
        <v>99.000583333333338</v>
      </c>
      <c r="J1151" s="10">
        <f t="shared" ca="1" si="70"/>
        <v>98.9739</v>
      </c>
      <c r="K1151" s="10">
        <f t="shared" ca="1" si="70"/>
        <v>98.996700000000018</v>
      </c>
      <c r="L1151" s="10">
        <f t="shared" ca="1" si="71"/>
        <v>99.753175000000013</v>
      </c>
      <c r="M1151" s="10">
        <f t="shared" ca="1" si="71"/>
        <v>97.988908333333328</v>
      </c>
      <c r="N1151" s="10">
        <f t="shared" ca="1" si="71"/>
        <v>98.003774999999976</v>
      </c>
      <c r="O1151" s="10">
        <f t="shared" ca="1" si="71"/>
        <v>98.179233333333329</v>
      </c>
      <c r="P1151" s="10">
        <f t="shared" ca="1" si="71"/>
        <v>98.015366666666679</v>
      </c>
      <c r="Q1151" s="10">
        <f t="shared" ca="1" si="71"/>
        <v>98.774533333333338</v>
      </c>
      <c r="R1151" s="10">
        <f t="shared" ca="1" si="71"/>
        <v>99.608474999999999</v>
      </c>
      <c r="S1151" s="10">
        <f t="shared" ca="1" si="71"/>
        <v>96.13144166666666</v>
      </c>
      <c r="T1151" s="49">
        <f t="shared" ca="1" si="72"/>
        <v>357.24568100000005</v>
      </c>
      <c r="U1151" s="49">
        <f t="shared" ca="1" si="72"/>
        <v>142.03263249999998</v>
      </c>
      <c r="V1151" s="49">
        <f t="shared" ca="1" si="72"/>
        <v>50.187500000000007</v>
      </c>
      <c r="W1151" s="49">
        <f t="shared" ca="1" si="72"/>
        <v>5.0822234999999996</v>
      </c>
      <c r="X1151" s="49">
        <f t="shared" ca="1" si="72"/>
        <v>20.758966663999999</v>
      </c>
      <c r="Y1151" s="10"/>
      <c r="Z1151" s="10"/>
      <c r="AA1151" s="10"/>
      <c r="AB1151" s="10">
        <f t="shared" ca="1" si="69"/>
        <v>99.014865465301384</v>
      </c>
      <c r="AC1151" s="10">
        <f t="shared" ca="1" si="69"/>
        <v>98.07983333333334</v>
      </c>
    </row>
    <row r="1152" spans="1:29" ht="15" x14ac:dyDescent="0.2">
      <c r="A1152" s="11">
        <f t="shared" si="62"/>
        <v>2095</v>
      </c>
      <c r="B1152" s="10">
        <f t="shared" ca="1" si="70"/>
        <v>102.74551666666666</v>
      </c>
      <c r="C1152" s="10">
        <f t="shared" ca="1" si="70"/>
        <v>102.75165833333334</v>
      </c>
      <c r="D1152" s="10">
        <f t="shared" ca="1" si="70"/>
        <v>102.89494166666668</v>
      </c>
      <c r="E1152" s="10">
        <f t="shared" ca="1" si="70"/>
        <v>102.92704166666668</v>
      </c>
      <c r="F1152" s="10">
        <f t="shared" ca="1" si="70"/>
        <v>102.73088333333334</v>
      </c>
      <c r="G1152" s="10">
        <f t="shared" ca="1" si="70"/>
        <v>102.74591666666664</v>
      </c>
      <c r="H1152" s="10">
        <f t="shared" ca="1" si="70"/>
        <v>102.91616666666668</v>
      </c>
      <c r="I1152" s="10">
        <f t="shared" ca="1" si="70"/>
        <v>102.75057499999998</v>
      </c>
      <c r="J1152" s="10">
        <f t="shared" ca="1" si="70"/>
        <v>102.72388333333333</v>
      </c>
      <c r="K1152" s="10">
        <f t="shared" ca="1" si="70"/>
        <v>102.74667499999998</v>
      </c>
      <c r="L1152" s="10">
        <f t="shared" ca="1" si="71"/>
        <v>103.50316666666667</v>
      </c>
      <c r="M1152" s="10">
        <f t="shared" ca="1" si="71"/>
        <v>101.70105000000001</v>
      </c>
      <c r="N1152" s="10">
        <f t="shared" ca="1" si="71"/>
        <v>101.71590833333335</v>
      </c>
      <c r="O1152" s="10">
        <f t="shared" ca="1" si="71"/>
        <v>101.89139166666666</v>
      </c>
      <c r="P1152" s="10">
        <f t="shared" ca="1" si="71"/>
        <v>101.72750000000001</v>
      </c>
      <c r="Q1152" s="10">
        <f t="shared" ca="1" si="71"/>
        <v>102.48669166666666</v>
      </c>
      <c r="R1152" s="10">
        <f t="shared" ca="1" si="71"/>
        <v>103.32989166666665</v>
      </c>
      <c r="S1152" s="10">
        <f t="shared" ca="1" si="71"/>
        <v>99.773041666666686</v>
      </c>
      <c r="T1152" s="49">
        <f t="shared" ca="1" si="72"/>
        <v>357.24568100000005</v>
      </c>
      <c r="U1152" s="49">
        <f t="shared" ca="1" si="72"/>
        <v>142.03263249999998</v>
      </c>
      <c r="V1152" s="49">
        <f t="shared" ca="1" si="72"/>
        <v>50.187500000000007</v>
      </c>
      <c r="W1152" s="49">
        <f t="shared" ca="1" si="72"/>
        <v>5.0822234999999996</v>
      </c>
      <c r="X1152" s="49">
        <f t="shared" ca="1" si="72"/>
        <v>20.758966663999999</v>
      </c>
      <c r="Y1152" s="10"/>
      <c r="Z1152" s="10"/>
      <c r="AA1152" s="10"/>
      <c r="AB1152" s="10">
        <f t="shared" ca="1" si="69"/>
        <v>102.76485965686392</v>
      </c>
      <c r="AC1152" s="10">
        <f t="shared" ca="1" si="69"/>
        <v>101.79198087529976</v>
      </c>
    </row>
    <row r="1153" spans="1:29" ht="15" x14ac:dyDescent="0.2">
      <c r="A1153" s="11">
        <f t="shared" si="62"/>
        <v>2096</v>
      </c>
      <c r="B1153" s="10">
        <f t="shared" ca="1" si="70"/>
        <v>106.63754166666666</v>
      </c>
      <c r="C1153" s="10">
        <f t="shared" ca="1" si="70"/>
        <v>106.64370000000001</v>
      </c>
      <c r="D1153" s="10">
        <f t="shared" ca="1" si="70"/>
        <v>106.78698333333334</v>
      </c>
      <c r="E1153" s="10">
        <f t="shared" ca="1" si="70"/>
        <v>106.81907499999998</v>
      </c>
      <c r="F1153" s="10">
        <f t="shared" ca="1" si="70"/>
        <v>106.62292500000001</v>
      </c>
      <c r="G1153" s="10">
        <f t="shared" ca="1" si="70"/>
        <v>106.63795</v>
      </c>
      <c r="H1153" s="10">
        <f t="shared" ca="1" si="70"/>
        <v>106.80819166666664</v>
      </c>
      <c r="I1153" s="10">
        <f t="shared" ca="1" si="70"/>
        <v>106.64260000000002</v>
      </c>
      <c r="J1153" s="10">
        <f t="shared" ca="1" si="70"/>
        <v>106.615925</v>
      </c>
      <c r="K1153" s="10">
        <f t="shared" ca="1" si="70"/>
        <v>106.63870833333333</v>
      </c>
      <c r="L1153" s="10">
        <f t="shared" ca="1" si="71"/>
        <v>107.39519166666668</v>
      </c>
      <c r="M1153" s="10">
        <f t="shared" ca="1" si="71"/>
        <v>105.55382499999997</v>
      </c>
      <c r="N1153" s="10">
        <f t="shared" ca="1" si="71"/>
        <v>105.56866666666666</v>
      </c>
      <c r="O1153" s="10">
        <f t="shared" ca="1" si="71"/>
        <v>105.74415833333332</v>
      </c>
      <c r="P1153" s="10">
        <f t="shared" ca="1" si="71"/>
        <v>105.58024999999999</v>
      </c>
      <c r="Q1153" s="10">
        <f t="shared" ca="1" si="71"/>
        <v>106.33945833333333</v>
      </c>
      <c r="R1153" s="10">
        <f t="shared" ca="1" si="71"/>
        <v>107.19229999999999</v>
      </c>
      <c r="S1153" s="10">
        <f t="shared" ca="1" si="71"/>
        <v>103.55261666666668</v>
      </c>
      <c r="T1153" s="49">
        <f t="shared" ca="1" si="72"/>
        <v>358.17703550000004</v>
      </c>
      <c r="U1153" s="49">
        <f t="shared" ca="1" si="72"/>
        <v>142.42176299999997</v>
      </c>
      <c r="V1153" s="49">
        <f t="shared" ca="1" si="72"/>
        <v>50.325000000000003</v>
      </c>
      <c r="W1153" s="49">
        <f t="shared" ca="1" si="72"/>
        <v>5.0961473999999995</v>
      </c>
      <c r="X1153" s="49">
        <f t="shared" ca="1" si="72"/>
        <v>20.800615543999996</v>
      </c>
      <c r="Y1153" s="10"/>
      <c r="Z1153" s="10"/>
      <c r="AA1153" s="10"/>
      <c r="AB1153" s="10">
        <f t="shared" ca="1" si="69"/>
        <v>106.65689602833309</v>
      </c>
      <c r="AC1153" s="10">
        <f t="shared" ca="1" si="69"/>
        <v>105.64474754196641</v>
      </c>
    </row>
    <row r="1154" spans="1:29" ht="15" x14ac:dyDescent="0.2">
      <c r="A1154" s="11">
        <f t="shared" si="62"/>
        <v>2097</v>
      </c>
      <c r="B1154" s="10">
        <f t="shared" ca="1" si="70"/>
        <v>110.67701666666666</v>
      </c>
      <c r="C1154" s="10">
        <f t="shared" ca="1" si="70"/>
        <v>110.68318333333332</v>
      </c>
      <c r="D1154" s="10">
        <f t="shared" ca="1" si="70"/>
        <v>110.826475</v>
      </c>
      <c r="E1154" s="10">
        <f t="shared" ca="1" si="70"/>
        <v>110.85855833333333</v>
      </c>
      <c r="F1154" s="10">
        <f t="shared" ca="1" si="70"/>
        <v>110.66240833333335</v>
      </c>
      <c r="G1154" s="10">
        <f t="shared" ca="1" si="70"/>
        <v>110.67743333333333</v>
      </c>
      <c r="H1154" s="10">
        <f t="shared" ca="1" si="70"/>
        <v>110.84767499999998</v>
      </c>
      <c r="I1154" s="10">
        <f t="shared" ca="1" si="70"/>
        <v>110.68208333333331</v>
      </c>
      <c r="J1154" s="10">
        <f t="shared" ca="1" si="70"/>
        <v>110.65540833333331</v>
      </c>
      <c r="K1154" s="10">
        <f t="shared" ca="1" si="70"/>
        <v>110.67819166666665</v>
      </c>
      <c r="L1154" s="10">
        <f t="shared" ca="1" si="71"/>
        <v>111.43467499999998</v>
      </c>
      <c r="M1154" s="10">
        <f t="shared" ca="1" si="71"/>
        <v>109.552525</v>
      </c>
      <c r="N1154" s="10">
        <f t="shared" ca="1" si="71"/>
        <v>109.56739166666667</v>
      </c>
      <c r="O1154" s="10">
        <f t="shared" ca="1" si="71"/>
        <v>109.74284999999999</v>
      </c>
      <c r="P1154" s="10">
        <f t="shared" ca="1" si="71"/>
        <v>109.57896666666666</v>
      </c>
      <c r="Q1154" s="10">
        <f t="shared" ca="1" si="71"/>
        <v>110.33814999999998</v>
      </c>
      <c r="R1154" s="10">
        <f t="shared" ca="1" si="71"/>
        <v>111.20101666666665</v>
      </c>
      <c r="S1154" s="10">
        <f t="shared" ca="1" si="71"/>
        <v>107.47534166666667</v>
      </c>
      <c r="T1154" s="49">
        <f t="shared" ca="1" si="72"/>
        <v>357.24568100000005</v>
      </c>
      <c r="U1154" s="49">
        <f t="shared" ca="1" si="72"/>
        <v>142.03263249999998</v>
      </c>
      <c r="V1154" s="49">
        <f t="shared" ca="1" si="72"/>
        <v>50.187500000000007</v>
      </c>
      <c r="W1154" s="49">
        <f t="shared" ca="1" si="72"/>
        <v>5.0822234999999996</v>
      </c>
      <c r="X1154" s="49">
        <f t="shared" ca="1" si="72"/>
        <v>20.758966663999999</v>
      </c>
      <c r="Y1154" s="10"/>
      <c r="Z1154" s="10"/>
      <c r="AA1154" s="10"/>
      <c r="AB1154" s="10">
        <f t="shared" ca="1" si="69"/>
        <v>110.69637926053396</v>
      </c>
      <c r="AC1154" s="10">
        <f t="shared" ca="1" si="69"/>
        <v>109.64344760191845</v>
      </c>
    </row>
    <row r="1155" spans="1:29" ht="15" x14ac:dyDescent="0.2">
      <c r="A1155" s="11">
        <f t="shared" si="62"/>
        <v>2098</v>
      </c>
      <c r="B1155" s="10">
        <f t="shared" ca="1" si="70"/>
        <v>114.86951666666668</v>
      </c>
      <c r="C1155" s="10">
        <f t="shared" ca="1" si="70"/>
        <v>114.87568333333336</v>
      </c>
      <c r="D1155" s="10">
        <f t="shared" ca="1" si="70"/>
        <v>115.018975</v>
      </c>
      <c r="E1155" s="10">
        <f t="shared" ca="1" si="70"/>
        <v>115.05106666666667</v>
      </c>
      <c r="F1155" s="10">
        <f t="shared" ca="1" si="70"/>
        <v>114.85489999999999</v>
      </c>
      <c r="G1155" s="10">
        <f t="shared" ca="1" si="70"/>
        <v>114.86989999999999</v>
      </c>
      <c r="H1155" s="10">
        <f t="shared" ca="1" si="70"/>
        <v>115.04017499999999</v>
      </c>
      <c r="I1155" s="10">
        <f t="shared" ca="1" si="70"/>
        <v>114.8746</v>
      </c>
      <c r="J1155" s="10">
        <f t="shared" ca="1" si="70"/>
        <v>114.8479</v>
      </c>
      <c r="K1155" s="10">
        <f t="shared" ca="1" si="70"/>
        <v>114.87070833333333</v>
      </c>
      <c r="L1155" s="10">
        <f t="shared" ca="1" si="71"/>
        <v>115.62717499999998</v>
      </c>
      <c r="M1155" s="10">
        <f t="shared" ca="1" si="71"/>
        <v>113.70269999999999</v>
      </c>
      <c r="N1155" s="10">
        <f t="shared" ca="1" si="71"/>
        <v>113.71760833333333</v>
      </c>
      <c r="O1155" s="10">
        <f t="shared" ca="1" si="71"/>
        <v>113.89305</v>
      </c>
      <c r="P1155" s="10">
        <f t="shared" ca="1" si="71"/>
        <v>113.72918333333335</v>
      </c>
      <c r="Q1155" s="10">
        <f t="shared" ca="1" si="71"/>
        <v>114.48835000000003</v>
      </c>
      <c r="R1155" s="10">
        <f t="shared" ca="1" si="71"/>
        <v>115.36156666666669</v>
      </c>
      <c r="S1155" s="10">
        <f t="shared" ca="1" si="71"/>
        <v>111.54668333333335</v>
      </c>
      <c r="T1155" s="49">
        <f t="shared" ca="1" si="72"/>
        <v>357.24568100000005</v>
      </c>
      <c r="U1155" s="49">
        <f t="shared" ca="1" si="72"/>
        <v>142.03263249999998</v>
      </c>
      <c r="V1155" s="49">
        <f t="shared" ca="1" si="72"/>
        <v>50.187500000000007</v>
      </c>
      <c r="W1155" s="49">
        <f t="shared" ca="1" si="72"/>
        <v>5.0822234999999996</v>
      </c>
      <c r="X1155" s="49">
        <f t="shared" ca="1" si="72"/>
        <v>20.758966663999999</v>
      </c>
      <c r="Y1155" s="10"/>
      <c r="Z1155" s="10"/>
      <c r="AA1155" s="10"/>
      <c r="AB1155" s="10">
        <f t="shared" ca="1" si="69"/>
        <v>114.88887392946295</v>
      </c>
      <c r="AC1155" s="10">
        <f t="shared" ca="1" si="69"/>
        <v>113.79364232613909</v>
      </c>
    </row>
    <row r="1156" spans="1:29" ht="15" x14ac:dyDescent="0.2">
      <c r="A1156" s="11">
        <f t="shared" si="62"/>
        <v>2099</v>
      </c>
      <c r="B1156" s="10">
        <f t="shared" ca="1" si="70"/>
        <v>119.22085</v>
      </c>
      <c r="C1156" s="10">
        <f t="shared" ca="1" si="70"/>
        <v>119.22701666666666</v>
      </c>
      <c r="D1156" s="10">
        <f t="shared" ca="1" si="70"/>
        <v>119.37028333333332</v>
      </c>
      <c r="E1156" s="10">
        <f t="shared" ca="1" si="70"/>
        <v>119.40239166666667</v>
      </c>
      <c r="F1156" s="10">
        <f t="shared" ca="1" si="70"/>
        <v>119.20622499999998</v>
      </c>
      <c r="G1156" s="10">
        <f t="shared" ca="1" si="70"/>
        <v>119.22125833333332</v>
      </c>
      <c r="H1156" s="10">
        <f t="shared" ca="1" si="70"/>
        <v>119.39150833333333</v>
      </c>
      <c r="I1156" s="10">
        <f t="shared" ca="1" si="70"/>
        <v>119.22591666666669</v>
      </c>
      <c r="J1156" s="10">
        <f t="shared" ca="1" si="70"/>
        <v>119.199225</v>
      </c>
      <c r="K1156" s="10">
        <f t="shared" ca="1" si="70"/>
        <v>119.22201666666666</v>
      </c>
      <c r="L1156" s="10">
        <f t="shared" ca="1" si="71"/>
        <v>119.97850833333335</v>
      </c>
      <c r="M1156" s="10">
        <f t="shared" ca="1" si="71"/>
        <v>118.01014166666666</v>
      </c>
      <c r="N1156" s="10">
        <f t="shared" ca="1" si="71"/>
        <v>118.02499999999999</v>
      </c>
      <c r="O1156" s="10">
        <f t="shared" ca="1" si="71"/>
        <v>118.200475</v>
      </c>
      <c r="P1156" s="10">
        <f t="shared" ca="1" si="71"/>
        <v>118.03657499999998</v>
      </c>
      <c r="Q1156" s="10">
        <f t="shared" ca="1" si="71"/>
        <v>118.79577499999999</v>
      </c>
      <c r="R1156" s="10">
        <f t="shared" ca="1" si="71"/>
        <v>119.67975833333337</v>
      </c>
      <c r="S1156" s="10">
        <f t="shared" ca="1" si="71"/>
        <v>115.77224166666666</v>
      </c>
      <c r="T1156" s="49">
        <f t="shared" ca="1" si="72"/>
        <v>357.24568100000005</v>
      </c>
      <c r="U1156" s="49">
        <f t="shared" ca="1" si="72"/>
        <v>142.03263249999998</v>
      </c>
      <c r="V1156" s="49">
        <f t="shared" ca="1" si="72"/>
        <v>50.187500000000007</v>
      </c>
      <c r="W1156" s="49">
        <f t="shared" ca="1" si="72"/>
        <v>5.0822234999999996</v>
      </c>
      <c r="X1156" s="49">
        <f t="shared" ca="1" si="72"/>
        <v>20.758966663999999</v>
      </c>
      <c r="Y1156" s="10"/>
      <c r="Z1156" s="10"/>
      <c r="AA1156" s="10"/>
      <c r="AB1156" s="10">
        <f t="shared" ca="1" si="69"/>
        <v>119.24020480438686</v>
      </c>
      <c r="AC1156" s="10">
        <f t="shared" ca="1" si="69"/>
        <v>118.10106636690648</v>
      </c>
    </row>
    <row r="1157" spans="1:29" ht="15" x14ac:dyDescent="0.2">
      <c r="A1157" s="11">
        <f t="shared" si="62"/>
        <v>2100</v>
      </c>
      <c r="B1157" s="10">
        <f t="shared" ca="1" si="70"/>
        <v>123.73693333333334</v>
      </c>
      <c r="C1157" s="10">
        <f t="shared" ca="1" si="70"/>
        <v>123.74310000000001</v>
      </c>
      <c r="D1157" s="10">
        <f t="shared" ca="1" si="70"/>
        <v>123.88639166666667</v>
      </c>
      <c r="E1157" s="10">
        <f t="shared" ca="1" si="70"/>
        <v>123.91849166666668</v>
      </c>
      <c r="F1157" s="10">
        <f t="shared" ca="1" si="70"/>
        <v>123.72233333333332</v>
      </c>
      <c r="G1157" s="10">
        <f t="shared" ca="1" si="70"/>
        <v>123.73734999999999</v>
      </c>
      <c r="H1157" s="10">
        <f t="shared" ca="1" si="70"/>
        <v>123.9076</v>
      </c>
      <c r="I1157" s="10">
        <f t="shared" ca="1" si="70"/>
        <v>123.74201666666669</v>
      </c>
      <c r="J1157" s="10">
        <f t="shared" ca="1" si="70"/>
        <v>123.71533333333333</v>
      </c>
      <c r="K1157" s="10">
        <f t="shared" ca="1" si="70"/>
        <v>123.73812499999997</v>
      </c>
      <c r="L1157" s="10">
        <f t="shared" ca="1" si="71"/>
        <v>124.49459999999999</v>
      </c>
      <c r="M1157" s="10">
        <f t="shared" ca="1" si="71"/>
        <v>122.48064166666667</v>
      </c>
      <c r="N1157" s="10">
        <f t="shared" ca="1" si="71"/>
        <v>122.49552499999999</v>
      </c>
      <c r="O1157" s="10">
        <f t="shared" ca="1" si="71"/>
        <v>122.67098333333333</v>
      </c>
      <c r="P1157" s="10">
        <f t="shared" ca="1" si="71"/>
        <v>122.50709999999998</v>
      </c>
      <c r="Q1157" s="10">
        <f t="shared" ca="1" si="71"/>
        <v>123.26628333333332</v>
      </c>
      <c r="R1157" s="10">
        <f t="shared" ca="1" si="71"/>
        <v>124.16141666666668</v>
      </c>
      <c r="S1157" s="10">
        <f t="shared" ca="1" si="71"/>
        <v>120.15782499999999</v>
      </c>
      <c r="T1157" s="49">
        <f t="shared" ca="1" si="72"/>
        <v>358.17703550000004</v>
      </c>
      <c r="U1157" s="49">
        <f t="shared" ca="1" si="72"/>
        <v>142.42176299999997</v>
      </c>
      <c r="V1157" s="49">
        <f t="shared" ca="1" si="72"/>
        <v>50.325000000000003</v>
      </c>
      <c r="W1157" s="49">
        <f t="shared" ca="1" si="72"/>
        <v>5.0961473999999995</v>
      </c>
      <c r="X1157" s="49">
        <f t="shared" ca="1" si="72"/>
        <v>20.758966663999999</v>
      </c>
      <c r="Y1157" s="10"/>
      <c r="Z1157" s="10"/>
      <c r="AA1157" s="10"/>
      <c r="AB1157" s="10">
        <f t="shared" ca="1" si="69"/>
        <v>123.75630046898554</v>
      </c>
      <c r="AC1157" s="10">
        <f t="shared" ca="1" si="69"/>
        <v>122.57157517985611</v>
      </c>
    </row>
    <row r="1158" spans="1:29" ht="15" x14ac:dyDescent="0.2">
      <c r="A1158" s="11"/>
    </row>
    <row r="1159" spans="1:29" ht="15" x14ac:dyDescent="0.2">
      <c r="A1159" s="11"/>
    </row>
    <row r="1160" spans="1:29" ht="15" x14ac:dyDescent="0.2">
      <c r="A1160" s="11"/>
    </row>
    <row r="1161" spans="1:29" ht="15" x14ac:dyDescent="0.2">
      <c r="A1161" s="11"/>
    </row>
    <row r="1162" spans="1:29" ht="15" x14ac:dyDescent="0.2">
      <c r="A1162" s="11"/>
    </row>
    <row r="1163" spans="1:29" ht="15" x14ac:dyDescent="0.2">
      <c r="A1163" s="11"/>
    </row>
    <row r="1164" spans="1:29" ht="15" x14ac:dyDescent="0.2">
      <c r="A1164" s="11"/>
    </row>
    <row r="1165" spans="1:29" ht="15" x14ac:dyDescent="0.2">
      <c r="A1165" s="11"/>
    </row>
    <row r="1166" spans="1:29" ht="15" x14ac:dyDescent="0.2">
      <c r="A1166" s="11"/>
    </row>
    <row r="1167" spans="1:29" ht="15" x14ac:dyDescent="0.2">
      <c r="A1167" s="11"/>
    </row>
    <row r="1168" spans="1:29" ht="15" x14ac:dyDescent="0.2">
      <c r="A1168" s="11"/>
    </row>
    <row r="1169" spans="1:1" ht="15" x14ac:dyDescent="0.2">
      <c r="A1169" s="11"/>
    </row>
    <row r="1170" spans="1:1" ht="15" x14ac:dyDescent="0.2">
      <c r="A1170" s="11"/>
    </row>
    <row r="1171" spans="1:1" ht="15" x14ac:dyDescent="0.2">
      <c r="A1171" s="11"/>
    </row>
    <row r="1172" spans="1:1" ht="15" x14ac:dyDescent="0.2">
      <c r="A1172" s="11"/>
    </row>
  </sheetData>
  <mergeCells count="4">
    <mergeCell ref="Z9:AA9"/>
    <mergeCell ref="T9:Y9"/>
    <mergeCell ref="T10:Y10"/>
    <mergeCell ref="T8:Y8"/>
  </mergeCells>
  <pageMargins left="0.25" right="0.25" top="0.5" bottom="0.5" header="0.25" footer="0.25"/>
  <pageSetup paperSize="17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7</xdr:col>
                    <xdr:colOff>285750</xdr:colOff>
                    <xdr:row>7</xdr:row>
                    <xdr:rowOff>28575</xdr:rowOff>
                  </from>
                  <to>
                    <xdr:col>8</xdr:col>
                    <xdr:colOff>552450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11</xdr:col>
                    <xdr:colOff>0</xdr:colOff>
                    <xdr:row>7</xdr:row>
                    <xdr:rowOff>133350</xdr:rowOff>
                  </from>
                  <to>
                    <xdr:col>12</xdr:col>
                    <xdr:colOff>266700</xdr:colOff>
                    <xdr:row>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76"/>
  <sheetViews>
    <sheetView zoomScale="70" zoomScaleNormal="70" workbookViewId="0">
      <pane xSplit="1" ySplit="11" topLeftCell="B12" activePane="bottomRight" state="frozen"/>
      <selection activeCell="B7" sqref="B7"/>
      <selection pane="topRight" activeCell="B7" sqref="B7"/>
      <selection pane="bottomLeft" activeCell="B7" sqref="B7"/>
      <selection pane="bottomRight" activeCell="B12" sqref="B12"/>
    </sheetView>
  </sheetViews>
  <sheetFormatPr defaultColWidth="7.109375" defaultRowHeight="12.75" x14ac:dyDescent="0.2"/>
  <cols>
    <col min="1" max="1" width="19.21875" style="9" customWidth="1"/>
    <col min="2" max="2" width="7.88671875" style="9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 x14ac:dyDescent="0.25">
      <c r="A1" s="107" t="s">
        <v>91</v>
      </c>
    </row>
    <row r="2" spans="1:30" ht="15.75" x14ac:dyDescent="0.25">
      <c r="A2" s="107" t="s">
        <v>92</v>
      </c>
    </row>
    <row r="3" spans="1:30" ht="15.75" x14ac:dyDescent="0.25">
      <c r="A3" s="107" t="s">
        <v>93</v>
      </c>
    </row>
    <row r="4" spans="1:30" ht="15.75" x14ac:dyDescent="0.25">
      <c r="A4" s="107" t="s">
        <v>94</v>
      </c>
    </row>
    <row r="5" spans="1:30" ht="15.75" x14ac:dyDescent="0.25">
      <c r="A5" s="107" t="s">
        <v>96</v>
      </c>
    </row>
    <row r="6" spans="1:30" ht="15.75" x14ac:dyDescent="0.25">
      <c r="A6" s="107" t="s">
        <v>101</v>
      </c>
    </row>
    <row r="8" spans="1:30" ht="15.75" x14ac:dyDescent="0.25">
      <c r="A8" s="25" t="s">
        <v>28</v>
      </c>
      <c r="B8" s="25"/>
      <c r="C8" s="106"/>
      <c r="O8" s="78"/>
      <c r="P8" s="78"/>
      <c r="Q8" s="78"/>
      <c r="R8" s="78"/>
      <c r="S8" s="78"/>
    </row>
    <row r="9" spans="1:30" ht="15.75" x14ac:dyDescent="0.25">
      <c r="A9" s="25"/>
      <c r="C9" s="116" t="s">
        <v>90</v>
      </c>
      <c r="D9" s="116"/>
      <c r="E9" s="116"/>
      <c r="F9" s="116"/>
      <c r="G9" s="105"/>
      <c r="H9" s="105"/>
      <c r="I9" s="121" t="s">
        <v>89</v>
      </c>
      <c r="J9" s="122"/>
      <c r="K9" s="122"/>
      <c r="L9" s="104"/>
      <c r="M9" s="80"/>
      <c r="N9" s="103"/>
      <c r="O9" s="120"/>
      <c r="P9" s="120"/>
      <c r="Q9" s="120"/>
      <c r="R9" s="102"/>
      <c r="S9" s="102"/>
    </row>
    <row r="10" spans="1:30" ht="97.9" customHeight="1" x14ac:dyDescent="0.25">
      <c r="A10" s="101"/>
      <c r="B10" s="101"/>
      <c r="C10" s="73" t="s">
        <v>76</v>
      </c>
      <c r="D10" s="77" t="s">
        <v>75</v>
      </c>
      <c r="E10" s="73" t="s">
        <v>74</v>
      </c>
      <c r="F10" s="73" t="s">
        <v>73</v>
      </c>
      <c r="G10" s="77" t="s">
        <v>72</v>
      </c>
      <c r="H10" s="77" t="s">
        <v>71</v>
      </c>
      <c r="I10" s="77" t="s">
        <v>70</v>
      </c>
      <c r="J10" s="77" t="s">
        <v>69</v>
      </c>
      <c r="K10" s="77" t="s">
        <v>68</v>
      </c>
      <c r="L10" s="73" t="s">
        <v>88</v>
      </c>
      <c r="M10" s="74" t="s">
        <v>67</v>
      </c>
      <c r="N10" s="19" t="s">
        <v>66</v>
      </c>
      <c r="O10" s="76" t="s">
        <v>87</v>
      </c>
      <c r="P10" s="76" t="s">
        <v>86</v>
      </c>
      <c r="Q10" s="76" t="s">
        <v>85</v>
      </c>
      <c r="R10" s="76" t="s">
        <v>84</v>
      </c>
      <c r="S10" s="100" t="s">
        <v>83</v>
      </c>
      <c r="T10" s="21" t="s">
        <v>82</v>
      </c>
    </row>
    <row r="11" spans="1:30" ht="15.75" x14ac:dyDescent="0.25">
      <c r="A11" s="20" t="s">
        <v>15</v>
      </c>
      <c r="B11" s="20" t="s">
        <v>81</v>
      </c>
      <c r="C11" s="20" t="s">
        <v>80</v>
      </c>
      <c r="D11" s="20" t="s">
        <v>80</v>
      </c>
      <c r="E11" s="20" t="s">
        <v>80</v>
      </c>
      <c r="F11" s="20" t="s">
        <v>80</v>
      </c>
      <c r="G11" s="20" t="s">
        <v>80</v>
      </c>
      <c r="H11" s="20" t="s">
        <v>80</v>
      </c>
      <c r="I11" s="20" t="s">
        <v>80</v>
      </c>
      <c r="J11" s="20" t="s">
        <v>80</v>
      </c>
      <c r="K11" s="20" t="s">
        <v>80</v>
      </c>
      <c r="L11" s="20" t="s">
        <v>80</v>
      </c>
      <c r="M11" s="99" t="s">
        <v>80</v>
      </c>
      <c r="N11" s="20" t="s">
        <v>80</v>
      </c>
      <c r="O11" s="20" t="s">
        <v>80</v>
      </c>
      <c r="P11" s="20" t="s">
        <v>80</v>
      </c>
      <c r="Q11" s="20" t="s">
        <v>80</v>
      </c>
      <c r="R11" s="20" t="s">
        <v>80</v>
      </c>
      <c r="S11" s="20" t="s">
        <v>80</v>
      </c>
      <c r="T11" s="20" t="s">
        <v>80</v>
      </c>
    </row>
    <row r="12" spans="1:30" ht="15" x14ac:dyDescent="0.2">
      <c r="A12" s="16">
        <v>41275</v>
      </c>
      <c r="B12" s="97">
        <v>31</v>
      </c>
      <c r="C12" s="83">
        <v>122.58</v>
      </c>
      <c r="D12" s="83">
        <v>297.94099999999997</v>
      </c>
      <c r="E12" s="92">
        <v>89.177000000000007</v>
      </c>
      <c r="F12" s="83">
        <v>200.30199999999999</v>
      </c>
      <c r="G12" s="86">
        <v>40</v>
      </c>
      <c r="H12" s="83">
        <v>0</v>
      </c>
      <c r="I12" s="83">
        <v>0</v>
      </c>
      <c r="J12" s="86">
        <v>100</v>
      </c>
      <c r="K12" s="86">
        <v>300</v>
      </c>
      <c r="L12" s="83">
        <v>1150</v>
      </c>
      <c r="M12" s="98"/>
      <c r="N12" s="83">
        <v>125</v>
      </c>
      <c r="O12" s="86">
        <v>240</v>
      </c>
      <c r="P12" s="86">
        <v>0</v>
      </c>
      <c r="Q12" s="86">
        <v>355</v>
      </c>
      <c r="R12" s="86">
        <v>100</v>
      </c>
      <c r="S12" s="83">
        <v>695</v>
      </c>
      <c r="T12" s="83">
        <v>50</v>
      </c>
      <c r="U12" s="84"/>
      <c r="V12" s="84"/>
      <c r="W12" s="84"/>
      <c r="X12" s="84"/>
      <c r="Y12" s="84"/>
      <c r="Z12" s="84"/>
      <c r="AA12" s="84"/>
      <c r="AB12" s="84"/>
      <c r="AC12" s="84"/>
      <c r="AD12" s="84"/>
    </row>
    <row r="13" spans="1:30" ht="15" x14ac:dyDescent="0.2">
      <c r="A13" s="16">
        <v>41306</v>
      </c>
      <c r="B13" s="97">
        <v>28</v>
      </c>
      <c r="C13" s="83">
        <v>122.58</v>
      </c>
      <c r="D13" s="83">
        <v>297.94099999999997</v>
      </c>
      <c r="E13" s="92">
        <v>89.177000000000007</v>
      </c>
      <c r="F13" s="83">
        <v>200.30199999999999</v>
      </c>
      <c r="G13" s="86">
        <v>40</v>
      </c>
      <c r="H13" s="83">
        <v>0</v>
      </c>
      <c r="I13" s="83">
        <v>0</v>
      </c>
      <c r="J13" s="86">
        <v>100</v>
      </c>
      <c r="K13" s="86">
        <v>300</v>
      </c>
      <c r="L13" s="83">
        <v>1150</v>
      </c>
      <c r="M13" s="98"/>
      <c r="N13" s="83">
        <v>125</v>
      </c>
      <c r="O13" s="86">
        <v>240</v>
      </c>
      <c r="P13" s="86">
        <v>0</v>
      </c>
      <c r="Q13" s="86">
        <v>355</v>
      </c>
      <c r="R13" s="86">
        <v>100</v>
      </c>
      <c r="S13" s="83">
        <v>695</v>
      </c>
      <c r="T13" s="83">
        <v>50</v>
      </c>
      <c r="U13" s="84"/>
      <c r="V13" s="84"/>
      <c r="W13" s="84"/>
      <c r="X13" s="84"/>
      <c r="Y13" s="84"/>
      <c r="Z13" s="84"/>
      <c r="AA13" s="84"/>
      <c r="AB13" s="84"/>
      <c r="AC13" s="84"/>
      <c r="AD13" s="84"/>
    </row>
    <row r="14" spans="1:30" ht="15" x14ac:dyDescent="0.2">
      <c r="A14" s="16">
        <v>41334</v>
      </c>
      <c r="B14" s="97">
        <v>31</v>
      </c>
      <c r="C14" s="83">
        <v>122.58</v>
      </c>
      <c r="D14" s="83">
        <v>297.94099999999997</v>
      </c>
      <c r="E14" s="92">
        <v>89.177000000000007</v>
      </c>
      <c r="F14" s="83">
        <v>200.30199999999999</v>
      </c>
      <c r="G14" s="86">
        <v>40</v>
      </c>
      <c r="H14" s="83">
        <v>0</v>
      </c>
      <c r="I14" s="83">
        <v>0</v>
      </c>
      <c r="J14" s="86">
        <v>100</v>
      </c>
      <c r="K14" s="86">
        <v>300</v>
      </c>
      <c r="L14" s="83">
        <v>1150</v>
      </c>
      <c r="M14" s="98"/>
      <c r="N14" s="83">
        <v>125</v>
      </c>
      <c r="O14" s="86">
        <v>240</v>
      </c>
      <c r="P14" s="86">
        <v>0</v>
      </c>
      <c r="Q14" s="86">
        <v>355</v>
      </c>
      <c r="R14" s="86">
        <v>100</v>
      </c>
      <c r="S14" s="83">
        <v>695</v>
      </c>
      <c r="T14" s="83">
        <v>50</v>
      </c>
      <c r="U14" s="84"/>
      <c r="V14" s="84"/>
      <c r="W14" s="84"/>
      <c r="X14" s="84"/>
      <c r="Y14" s="84"/>
      <c r="Z14" s="84"/>
      <c r="AA14" s="84"/>
      <c r="AB14" s="84"/>
      <c r="AC14" s="84"/>
      <c r="AD14" s="84"/>
    </row>
    <row r="15" spans="1:30" ht="15" x14ac:dyDescent="0.2">
      <c r="A15" s="16">
        <v>41365</v>
      </c>
      <c r="B15" s="97">
        <v>30</v>
      </c>
      <c r="C15" s="83">
        <v>141.29300000000001</v>
      </c>
      <c r="D15" s="83">
        <v>267.99299999999999</v>
      </c>
      <c r="E15" s="92">
        <v>115.01600000000001</v>
      </c>
      <c r="F15" s="83">
        <v>249.69800000000001</v>
      </c>
      <c r="G15" s="86">
        <v>40</v>
      </c>
      <c r="H15" s="83">
        <v>25</v>
      </c>
      <c r="I15" s="83">
        <v>0</v>
      </c>
      <c r="J15" s="86">
        <v>100</v>
      </c>
      <c r="K15" s="86">
        <v>300</v>
      </c>
      <c r="L15" s="83">
        <v>1239</v>
      </c>
      <c r="M15" s="98"/>
      <c r="N15" s="83">
        <v>125</v>
      </c>
      <c r="O15" s="86">
        <v>240</v>
      </c>
      <c r="P15" s="86">
        <v>120</v>
      </c>
      <c r="Q15" s="86">
        <v>235</v>
      </c>
      <c r="R15" s="86">
        <v>100</v>
      </c>
      <c r="S15" s="83">
        <v>695</v>
      </c>
      <c r="T15" s="83">
        <v>50</v>
      </c>
      <c r="U15" s="84"/>
      <c r="V15" s="84"/>
      <c r="W15" s="84"/>
      <c r="X15" s="84"/>
      <c r="Y15" s="84"/>
      <c r="Z15" s="84"/>
      <c r="AA15" s="84"/>
      <c r="AB15" s="84"/>
      <c r="AC15" s="84"/>
      <c r="AD15" s="84"/>
    </row>
    <row r="16" spans="1:30" ht="15" x14ac:dyDescent="0.2">
      <c r="A16" s="16">
        <v>41395</v>
      </c>
      <c r="B16" s="97">
        <v>31</v>
      </c>
      <c r="C16" s="83">
        <v>194.20500000000001</v>
      </c>
      <c r="D16" s="83">
        <v>267.46600000000001</v>
      </c>
      <c r="E16" s="92">
        <v>133.845</v>
      </c>
      <c r="F16" s="83">
        <v>213.48400000000001</v>
      </c>
      <c r="G16" s="86">
        <v>40</v>
      </c>
      <c r="H16" s="83">
        <v>25</v>
      </c>
      <c r="I16" s="98">
        <v>30</v>
      </c>
      <c r="J16" s="86">
        <v>100</v>
      </c>
      <c r="K16" s="86">
        <v>300</v>
      </c>
      <c r="L16" s="83">
        <v>1304</v>
      </c>
      <c r="M16" s="98"/>
      <c r="N16" s="83">
        <v>100</v>
      </c>
      <c r="O16" s="86">
        <v>240</v>
      </c>
      <c r="P16" s="86">
        <v>120</v>
      </c>
      <c r="Q16" s="86">
        <v>235</v>
      </c>
      <c r="R16" s="86">
        <v>100</v>
      </c>
      <c r="S16" s="83">
        <v>695</v>
      </c>
      <c r="T16" s="83">
        <v>50</v>
      </c>
      <c r="U16" s="84"/>
      <c r="V16" s="84"/>
      <c r="W16" s="84"/>
      <c r="X16" s="84"/>
      <c r="Y16" s="84"/>
      <c r="Z16" s="84"/>
      <c r="AA16" s="84"/>
      <c r="AB16" s="84"/>
      <c r="AC16" s="84"/>
      <c r="AD16" s="84"/>
    </row>
    <row r="17" spans="1:30" ht="15" x14ac:dyDescent="0.2">
      <c r="A17" s="16">
        <v>41426</v>
      </c>
      <c r="B17" s="97">
        <v>30</v>
      </c>
      <c r="C17" s="83">
        <v>194.20500000000001</v>
      </c>
      <c r="D17" s="83">
        <v>267.46600000000001</v>
      </c>
      <c r="E17" s="92">
        <v>133.845</v>
      </c>
      <c r="F17" s="83">
        <v>213.48400000000001</v>
      </c>
      <c r="G17" s="86">
        <v>40</v>
      </c>
      <c r="H17" s="83">
        <v>25</v>
      </c>
      <c r="I17" s="98">
        <v>30</v>
      </c>
      <c r="J17" s="86">
        <v>100</v>
      </c>
      <c r="K17" s="86">
        <v>300</v>
      </c>
      <c r="L17" s="83">
        <v>1304</v>
      </c>
      <c r="M17" s="98"/>
      <c r="N17" s="83">
        <v>55</v>
      </c>
      <c r="O17" s="86">
        <v>240</v>
      </c>
      <c r="P17" s="86">
        <v>120</v>
      </c>
      <c r="Q17" s="86">
        <v>235</v>
      </c>
      <c r="R17" s="86">
        <v>100</v>
      </c>
      <c r="S17" s="83">
        <v>695</v>
      </c>
      <c r="T17" s="83">
        <v>50</v>
      </c>
      <c r="U17" s="84"/>
      <c r="V17" s="84"/>
      <c r="W17" s="84"/>
      <c r="X17" s="84"/>
      <c r="Y17" s="84"/>
      <c r="Z17" s="84"/>
      <c r="AA17" s="84"/>
      <c r="AB17" s="84"/>
      <c r="AC17" s="84"/>
      <c r="AD17" s="84"/>
    </row>
    <row r="18" spans="1:30" ht="15" x14ac:dyDescent="0.2">
      <c r="A18" s="16">
        <v>41456</v>
      </c>
      <c r="B18" s="97">
        <v>31</v>
      </c>
      <c r="C18" s="83">
        <v>194.20500000000001</v>
      </c>
      <c r="D18" s="83">
        <v>267.46600000000001</v>
      </c>
      <c r="E18" s="92">
        <v>133.845</v>
      </c>
      <c r="F18" s="83">
        <v>213.48400000000001</v>
      </c>
      <c r="G18" s="86">
        <v>40</v>
      </c>
      <c r="H18" s="83">
        <v>25</v>
      </c>
      <c r="I18" s="98">
        <v>30</v>
      </c>
      <c r="J18" s="86">
        <v>100</v>
      </c>
      <c r="K18" s="86">
        <v>300</v>
      </c>
      <c r="L18" s="83">
        <v>1304</v>
      </c>
      <c r="M18" s="98"/>
      <c r="N18" s="83">
        <v>55</v>
      </c>
      <c r="O18" s="86">
        <v>240</v>
      </c>
      <c r="P18" s="86">
        <v>120</v>
      </c>
      <c r="Q18" s="86">
        <v>235</v>
      </c>
      <c r="R18" s="86">
        <v>100</v>
      </c>
      <c r="S18" s="83">
        <v>695</v>
      </c>
      <c r="T18" s="83">
        <v>0</v>
      </c>
      <c r="U18" s="84"/>
      <c r="V18" s="84"/>
      <c r="W18" s="84"/>
      <c r="X18" s="84"/>
      <c r="Y18" s="84"/>
      <c r="Z18" s="84"/>
      <c r="AA18" s="84"/>
      <c r="AB18" s="84"/>
      <c r="AC18" s="84"/>
      <c r="AD18" s="84"/>
    </row>
    <row r="19" spans="1:30" ht="15" x14ac:dyDescent="0.2">
      <c r="A19" s="16">
        <v>41487</v>
      </c>
      <c r="B19" s="97">
        <v>31</v>
      </c>
      <c r="C19" s="83">
        <v>194.20500000000001</v>
      </c>
      <c r="D19" s="83">
        <v>267.46600000000001</v>
      </c>
      <c r="E19" s="92">
        <v>133.845</v>
      </c>
      <c r="F19" s="83">
        <v>213.48400000000001</v>
      </c>
      <c r="G19" s="86">
        <v>40</v>
      </c>
      <c r="H19" s="83">
        <v>25</v>
      </c>
      <c r="I19" s="98">
        <v>30</v>
      </c>
      <c r="J19" s="86">
        <v>100</v>
      </c>
      <c r="K19" s="86">
        <v>300</v>
      </c>
      <c r="L19" s="83">
        <v>1304</v>
      </c>
      <c r="M19" s="98"/>
      <c r="N19" s="83">
        <v>55</v>
      </c>
      <c r="O19" s="86">
        <v>240</v>
      </c>
      <c r="P19" s="86">
        <v>120</v>
      </c>
      <c r="Q19" s="86">
        <v>235</v>
      </c>
      <c r="R19" s="86">
        <v>100</v>
      </c>
      <c r="S19" s="83">
        <v>695</v>
      </c>
      <c r="T19" s="83">
        <v>0</v>
      </c>
      <c r="U19" s="84"/>
      <c r="V19" s="84"/>
      <c r="W19" s="84"/>
      <c r="X19" s="84"/>
      <c r="Y19" s="84"/>
      <c r="Z19" s="84"/>
      <c r="AA19" s="84"/>
      <c r="AB19" s="84"/>
      <c r="AC19" s="84"/>
      <c r="AD19" s="84"/>
    </row>
    <row r="20" spans="1:30" ht="15" x14ac:dyDescent="0.2">
      <c r="A20" s="16">
        <v>41518</v>
      </c>
      <c r="B20" s="97">
        <v>30</v>
      </c>
      <c r="C20" s="83">
        <v>194.20500000000001</v>
      </c>
      <c r="D20" s="83">
        <v>267.46600000000001</v>
      </c>
      <c r="E20" s="92">
        <v>133.845</v>
      </c>
      <c r="F20" s="83">
        <v>213.48400000000001</v>
      </c>
      <c r="G20" s="86">
        <v>40</v>
      </c>
      <c r="H20" s="83">
        <v>25</v>
      </c>
      <c r="I20" s="98">
        <v>30</v>
      </c>
      <c r="J20" s="86">
        <v>100</v>
      </c>
      <c r="K20" s="86">
        <v>300</v>
      </c>
      <c r="L20" s="83">
        <v>1304</v>
      </c>
      <c r="M20" s="98"/>
      <c r="N20" s="83">
        <v>55</v>
      </c>
      <c r="O20" s="86">
        <v>240</v>
      </c>
      <c r="P20" s="86">
        <v>120</v>
      </c>
      <c r="Q20" s="86">
        <v>235</v>
      </c>
      <c r="R20" s="86">
        <v>100</v>
      </c>
      <c r="S20" s="83">
        <v>695</v>
      </c>
      <c r="T20" s="83">
        <v>0</v>
      </c>
      <c r="U20" s="84"/>
      <c r="V20" s="84"/>
      <c r="W20" s="84"/>
      <c r="X20" s="84"/>
      <c r="Y20" s="84"/>
      <c r="Z20" s="84"/>
      <c r="AA20" s="84"/>
      <c r="AB20" s="84"/>
      <c r="AC20" s="84"/>
      <c r="AD20" s="84"/>
    </row>
    <row r="21" spans="1:30" ht="15" x14ac:dyDescent="0.2">
      <c r="A21" s="16">
        <v>41548</v>
      </c>
      <c r="B21" s="97">
        <v>31</v>
      </c>
      <c r="C21" s="83">
        <v>131.881</v>
      </c>
      <c r="D21" s="83">
        <v>277.16699999999997</v>
      </c>
      <c r="E21" s="92">
        <v>79.08</v>
      </c>
      <c r="F21" s="83">
        <v>285.87200000000001</v>
      </c>
      <c r="G21" s="86">
        <v>40</v>
      </c>
      <c r="H21" s="83">
        <v>25</v>
      </c>
      <c r="I21" s="83">
        <v>0</v>
      </c>
      <c r="J21" s="86">
        <v>100</v>
      </c>
      <c r="K21" s="86">
        <v>300</v>
      </c>
      <c r="L21" s="83">
        <v>1239</v>
      </c>
      <c r="M21" s="98"/>
      <c r="N21" s="83">
        <v>100</v>
      </c>
      <c r="O21" s="86">
        <v>240</v>
      </c>
      <c r="P21" s="86">
        <v>120</v>
      </c>
      <c r="Q21" s="86">
        <v>235</v>
      </c>
      <c r="R21" s="86">
        <v>100</v>
      </c>
      <c r="S21" s="83">
        <v>695</v>
      </c>
      <c r="T21" s="83">
        <v>0</v>
      </c>
      <c r="U21" s="84"/>
      <c r="V21" s="84"/>
      <c r="W21" s="84"/>
      <c r="X21" s="84"/>
      <c r="Y21" s="84"/>
      <c r="Z21" s="84"/>
      <c r="AA21" s="84"/>
      <c r="AB21" s="84"/>
      <c r="AC21" s="84"/>
      <c r="AD21" s="84"/>
    </row>
    <row r="22" spans="1:30" ht="15" x14ac:dyDescent="0.2">
      <c r="A22" s="16">
        <v>41579</v>
      </c>
      <c r="B22" s="97">
        <v>30</v>
      </c>
      <c r="C22" s="83">
        <v>122.58</v>
      </c>
      <c r="D22" s="83">
        <v>297.94099999999997</v>
      </c>
      <c r="E22" s="92">
        <v>89.177000000000007</v>
      </c>
      <c r="F22" s="83">
        <v>200.30199999999999</v>
      </c>
      <c r="G22" s="86">
        <v>40</v>
      </c>
      <c r="H22" s="83">
        <v>0</v>
      </c>
      <c r="I22" s="83">
        <v>0</v>
      </c>
      <c r="J22" s="86">
        <v>100</v>
      </c>
      <c r="K22" s="86">
        <v>300</v>
      </c>
      <c r="L22" s="83">
        <v>1150</v>
      </c>
      <c r="M22" s="98"/>
      <c r="N22" s="83">
        <v>125</v>
      </c>
      <c r="O22" s="86">
        <v>240</v>
      </c>
      <c r="P22" s="86">
        <v>0</v>
      </c>
      <c r="Q22" s="86">
        <v>355</v>
      </c>
      <c r="R22" s="86">
        <v>100</v>
      </c>
      <c r="S22" s="83">
        <v>695</v>
      </c>
      <c r="T22" s="83">
        <v>50</v>
      </c>
      <c r="U22" s="84"/>
      <c r="V22" s="84"/>
      <c r="W22" s="84"/>
      <c r="X22" s="84"/>
      <c r="Y22" s="84"/>
      <c r="Z22" s="84"/>
      <c r="AA22" s="84"/>
      <c r="AB22" s="84"/>
      <c r="AC22" s="84"/>
      <c r="AD22" s="84"/>
    </row>
    <row r="23" spans="1:30" ht="15" x14ac:dyDescent="0.2">
      <c r="A23" s="16">
        <v>41609</v>
      </c>
      <c r="B23" s="97">
        <v>31</v>
      </c>
      <c r="C23" s="83">
        <f>122.58</f>
        <v>122.58</v>
      </c>
      <c r="D23" s="83">
        <f>297.941</f>
        <v>297.94099999999997</v>
      </c>
      <c r="E23" s="92">
        <f>89.177</f>
        <v>89.177000000000007</v>
      </c>
      <c r="F23" s="83">
        <f>240.302-40</f>
        <v>200.30199999999999</v>
      </c>
      <c r="G23" s="86">
        <v>40</v>
      </c>
      <c r="H23" s="83">
        <v>0</v>
      </c>
      <c r="I23" s="83">
        <v>0</v>
      </c>
      <c r="J23" s="86">
        <v>100</v>
      </c>
      <c r="K23" s="86">
        <v>300</v>
      </c>
      <c r="L23" s="83">
        <f t="shared" ref="L23:L86" si="0">SUM(C23:K23)</f>
        <v>1150</v>
      </c>
      <c r="M23" s="98"/>
      <c r="N23" s="83">
        <f>125</f>
        <v>125</v>
      </c>
      <c r="O23" s="86">
        <v>240</v>
      </c>
      <c r="P23" s="86">
        <v>0</v>
      </c>
      <c r="Q23" s="86">
        <f t="shared" ref="Q23:Q86" si="1">695-R23-O23-P23</f>
        <v>355</v>
      </c>
      <c r="R23" s="86">
        <f t="shared" ref="R23:R86" si="2">200-J23</f>
        <v>100</v>
      </c>
      <c r="S23" s="83">
        <f t="shared" ref="S23:S86" si="3">SUM(O23:R23)</f>
        <v>695</v>
      </c>
      <c r="T23" s="83">
        <f>50</f>
        <v>50</v>
      </c>
      <c r="U23" s="84"/>
      <c r="V23" s="84"/>
      <c r="W23" s="84"/>
      <c r="X23" s="84"/>
      <c r="Y23" s="84"/>
      <c r="Z23" s="84"/>
      <c r="AA23" s="84"/>
      <c r="AB23" s="84"/>
      <c r="AC23" s="84"/>
      <c r="AD23" s="84"/>
    </row>
    <row r="24" spans="1:30" ht="15.75" x14ac:dyDescent="0.25">
      <c r="A24" s="16">
        <v>41640</v>
      </c>
      <c r="B24" s="97">
        <v>31</v>
      </c>
      <c r="C24" s="83">
        <f>122.58</f>
        <v>122.58</v>
      </c>
      <c r="D24" s="83">
        <f>297.941</f>
        <v>297.94099999999997</v>
      </c>
      <c r="E24" s="92">
        <f>89.177</f>
        <v>89.177000000000007</v>
      </c>
      <c r="F24" s="83">
        <f>240.302-40</f>
        <v>200.30199999999999</v>
      </c>
      <c r="G24" s="86">
        <v>40</v>
      </c>
      <c r="H24" s="83">
        <v>0</v>
      </c>
      <c r="I24" s="83">
        <v>0</v>
      </c>
      <c r="J24" s="86">
        <v>100</v>
      </c>
      <c r="K24" s="86">
        <v>300</v>
      </c>
      <c r="L24" s="83">
        <f t="shared" si="0"/>
        <v>1150</v>
      </c>
      <c r="M24" s="94"/>
      <c r="N24" s="83">
        <f>100</f>
        <v>100</v>
      </c>
      <c r="O24" s="86">
        <v>240</v>
      </c>
      <c r="P24" s="86">
        <v>0</v>
      </c>
      <c r="Q24" s="86">
        <f t="shared" si="1"/>
        <v>355</v>
      </c>
      <c r="R24" s="86">
        <f t="shared" si="2"/>
        <v>100</v>
      </c>
      <c r="S24" s="83">
        <f t="shared" si="3"/>
        <v>695</v>
      </c>
      <c r="T24" s="83">
        <f>50</f>
        <v>50</v>
      </c>
      <c r="U24" s="84"/>
      <c r="V24" s="84"/>
      <c r="W24" s="84"/>
      <c r="X24" s="84"/>
      <c r="Y24" s="84"/>
      <c r="Z24" s="84"/>
      <c r="AA24" s="84"/>
      <c r="AB24" s="84"/>
      <c r="AC24" s="84"/>
      <c r="AD24" s="84"/>
    </row>
    <row r="25" spans="1:30" ht="15.75" x14ac:dyDescent="0.25">
      <c r="A25" s="16">
        <v>41671</v>
      </c>
      <c r="B25" s="97">
        <v>28</v>
      </c>
      <c r="C25" s="83">
        <f>122.58</f>
        <v>122.58</v>
      </c>
      <c r="D25" s="83">
        <f>297.941</f>
        <v>297.94099999999997</v>
      </c>
      <c r="E25" s="92">
        <f>89.177</f>
        <v>89.177000000000007</v>
      </c>
      <c r="F25" s="83">
        <f>240.302-40</f>
        <v>200.30199999999999</v>
      </c>
      <c r="G25" s="86">
        <v>40</v>
      </c>
      <c r="H25" s="83">
        <v>0</v>
      </c>
      <c r="I25" s="83">
        <v>0</v>
      </c>
      <c r="J25" s="86">
        <v>100</v>
      </c>
      <c r="K25" s="86">
        <v>300</v>
      </c>
      <c r="L25" s="83">
        <f t="shared" si="0"/>
        <v>1150</v>
      </c>
      <c r="M25" s="94"/>
      <c r="N25" s="83">
        <f>100</f>
        <v>100</v>
      </c>
      <c r="O25" s="86">
        <v>240</v>
      </c>
      <c r="P25" s="86">
        <v>0</v>
      </c>
      <c r="Q25" s="86">
        <f t="shared" si="1"/>
        <v>355</v>
      </c>
      <c r="R25" s="86">
        <f t="shared" si="2"/>
        <v>100</v>
      </c>
      <c r="S25" s="83">
        <f t="shared" si="3"/>
        <v>695</v>
      </c>
      <c r="T25" s="83">
        <f>50</f>
        <v>50</v>
      </c>
      <c r="U25" s="84"/>
      <c r="V25" s="84"/>
      <c r="W25" s="84"/>
      <c r="X25" s="84"/>
      <c r="Y25" s="84"/>
      <c r="Z25" s="84"/>
      <c r="AA25" s="84"/>
      <c r="AB25" s="84"/>
      <c r="AC25" s="84"/>
      <c r="AD25" s="84"/>
    </row>
    <row r="26" spans="1:30" ht="15.75" x14ac:dyDescent="0.25">
      <c r="A26" s="16">
        <v>41699</v>
      </c>
      <c r="B26" s="97">
        <v>31</v>
      </c>
      <c r="C26" s="83">
        <f>122.58</f>
        <v>122.58</v>
      </c>
      <c r="D26" s="83">
        <f>297.941</f>
        <v>297.94099999999997</v>
      </c>
      <c r="E26" s="92">
        <f>89.177</f>
        <v>89.177000000000007</v>
      </c>
      <c r="F26" s="83">
        <f>240.302-40</f>
        <v>200.30199999999999</v>
      </c>
      <c r="G26" s="86">
        <v>40</v>
      </c>
      <c r="H26" s="83">
        <v>0</v>
      </c>
      <c r="I26" s="83">
        <v>0</v>
      </c>
      <c r="J26" s="86">
        <v>100</v>
      </c>
      <c r="K26" s="86">
        <v>300</v>
      </c>
      <c r="L26" s="83">
        <f t="shared" si="0"/>
        <v>1150</v>
      </c>
      <c r="M26" s="94"/>
      <c r="N26" s="83">
        <f>100</f>
        <v>100</v>
      </c>
      <c r="O26" s="86">
        <v>240</v>
      </c>
      <c r="P26" s="86">
        <v>0</v>
      </c>
      <c r="Q26" s="86">
        <f t="shared" si="1"/>
        <v>355</v>
      </c>
      <c r="R26" s="86">
        <f t="shared" si="2"/>
        <v>100</v>
      </c>
      <c r="S26" s="83">
        <f t="shared" si="3"/>
        <v>695</v>
      </c>
      <c r="T26" s="83">
        <f>50</f>
        <v>50</v>
      </c>
      <c r="U26" s="84"/>
      <c r="V26" s="84"/>
      <c r="W26" s="84"/>
      <c r="X26" s="84"/>
      <c r="Y26" s="84"/>
      <c r="Z26" s="84"/>
      <c r="AA26" s="84"/>
      <c r="AB26" s="84"/>
      <c r="AC26" s="84"/>
      <c r="AD26" s="84"/>
    </row>
    <row r="27" spans="1:30" ht="15.75" x14ac:dyDescent="0.25">
      <c r="A27" s="16">
        <v>41730</v>
      </c>
      <c r="B27" s="97">
        <v>30</v>
      </c>
      <c r="C27" s="83">
        <f>141.293</f>
        <v>141.29300000000001</v>
      </c>
      <c r="D27" s="83">
        <f>267.993</f>
        <v>267.99299999999999</v>
      </c>
      <c r="E27" s="92">
        <f>115.016</f>
        <v>115.01600000000001</v>
      </c>
      <c r="F27" s="83">
        <f>314.698-40-25</f>
        <v>249.69799999999998</v>
      </c>
      <c r="G27" s="86">
        <v>40</v>
      </c>
      <c r="H27" s="83">
        <v>25</v>
      </c>
      <c r="I27" s="83">
        <v>0</v>
      </c>
      <c r="J27" s="86">
        <v>100</v>
      </c>
      <c r="K27" s="86">
        <v>300</v>
      </c>
      <c r="L27" s="83">
        <f t="shared" si="0"/>
        <v>1239</v>
      </c>
      <c r="M27" s="94"/>
      <c r="N27" s="83">
        <f>100</f>
        <v>100</v>
      </c>
      <c r="O27" s="86">
        <v>240</v>
      </c>
      <c r="P27" s="86">
        <f t="shared" ref="P27:P33" si="4">145-H27</f>
        <v>120</v>
      </c>
      <c r="Q27" s="86">
        <f t="shared" si="1"/>
        <v>235</v>
      </c>
      <c r="R27" s="86">
        <f t="shared" si="2"/>
        <v>100</v>
      </c>
      <c r="S27" s="83">
        <f t="shared" si="3"/>
        <v>695</v>
      </c>
      <c r="T27" s="83">
        <f>50</f>
        <v>50</v>
      </c>
      <c r="U27" s="84"/>
      <c r="V27" s="84"/>
      <c r="W27" s="84"/>
      <c r="X27" s="84"/>
      <c r="Y27" s="84"/>
      <c r="Z27" s="84"/>
      <c r="AA27" s="84"/>
      <c r="AB27" s="84"/>
      <c r="AC27" s="84"/>
      <c r="AD27" s="84"/>
    </row>
    <row r="28" spans="1:30" ht="15.75" x14ac:dyDescent="0.25">
      <c r="A28" s="16">
        <v>41760</v>
      </c>
      <c r="B28" s="97">
        <v>31</v>
      </c>
      <c r="C28" s="83">
        <f>194.205</f>
        <v>194.20500000000001</v>
      </c>
      <c r="D28" s="83">
        <f>267.466</f>
        <v>267.46600000000001</v>
      </c>
      <c r="E28" s="92">
        <f>133.845</f>
        <v>133.845</v>
      </c>
      <c r="F28" s="83">
        <f>278.484-40-25</f>
        <v>213.48399999999998</v>
      </c>
      <c r="G28" s="86">
        <v>40</v>
      </c>
      <c r="H28" s="83">
        <v>25</v>
      </c>
      <c r="I28" s="98">
        <v>50</v>
      </c>
      <c r="J28" s="86">
        <v>100</v>
      </c>
      <c r="K28" s="86">
        <v>300</v>
      </c>
      <c r="L28" s="83">
        <f t="shared" si="0"/>
        <v>1324</v>
      </c>
      <c r="M28" s="94"/>
      <c r="N28" s="83">
        <f>75</f>
        <v>75</v>
      </c>
      <c r="O28" s="86">
        <v>240</v>
      </c>
      <c r="P28" s="86">
        <f t="shared" si="4"/>
        <v>120</v>
      </c>
      <c r="Q28" s="86">
        <f t="shared" si="1"/>
        <v>235</v>
      </c>
      <c r="R28" s="86">
        <f t="shared" si="2"/>
        <v>100</v>
      </c>
      <c r="S28" s="83">
        <f t="shared" si="3"/>
        <v>695</v>
      </c>
      <c r="T28" s="83">
        <f>50</f>
        <v>50</v>
      </c>
      <c r="U28" s="84"/>
      <c r="V28" s="84"/>
      <c r="W28" s="84"/>
      <c r="X28" s="84"/>
      <c r="Y28" s="84"/>
      <c r="Z28" s="84"/>
      <c r="AA28" s="84"/>
      <c r="AB28" s="84"/>
      <c r="AC28" s="84"/>
      <c r="AD28" s="84"/>
    </row>
    <row r="29" spans="1:30" ht="15.75" x14ac:dyDescent="0.25">
      <c r="A29" s="16">
        <v>41791</v>
      </c>
      <c r="B29" s="97">
        <v>30</v>
      </c>
      <c r="C29" s="83">
        <f>194.205</f>
        <v>194.20500000000001</v>
      </c>
      <c r="D29" s="83">
        <f>267.466</f>
        <v>267.46600000000001</v>
      </c>
      <c r="E29" s="92">
        <f>133.845</f>
        <v>133.845</v>
      </c>
      <c r="F29" s="83">
        <f>278.484-40-25</f>
        <v>213.48399999999998</v>
      </c>
      <c r="G29" s="86">
        <v>40</v>
      </c>
      <c r="H29" s="83">
        <v>25</v>
      </c>
      <c r="I29" s="98">
        <v>50</v>
      </c>
      <c r="J29" s="86">
        <v>100</v>
      </c>
      <c r="K29" s="86">
        <v>300</v>
      </c>
      <c r="L29" s="83">
        <f t="shared" si="0"/>
        <v>1324</v>
      </c>
      <c r="M29" s="94"/>
      <c r="N29" s="83">
        <f>30</f>
        <v>30</v>
      </c>
      <c r="O29" s="86">
        <v>240</v>
      </c>
      <c r="P29" s="86">
        <f t="shared" si="4"/>
        <v>120</v>
      </c>
      <c r="Q29" s="86">
        <f t="shared" si="1"/>
        <v>235</v>
      </c>
      <c r="R29" s="86">
        <f t="shared" si="2"/>
        <v>100</v>
      </c>
      <c r="S29" s="83">
        <f t="shared" si="3"/>
        <v>695</v>
      </c>
      <c r="T29" s="83">
        <f>50</f>
        <v>50</v>
      </c>
      <c r="U29" s="84"/>
      <c r="V29" s="84"/>
      <c r="W29" s="84"/>
      <c r="X29" s="84"/>
      <c r="Y29" s="84"/>
      <c r="Z29" s="84"/>
      <c r="AA29" s="84"/>
      <c r="AB29" s="84"/>
      <c r="AC29" s="84"/>
      <c r="AD29" s="84"/>
    </row>
    <row r="30" spans="1:30" ht="15.75" x14ac:dyDescent="0.25">
      <c r="A30" s="16">
        <v>41821</v>
      </c>
      <c r="B30" s="97">
        <v>31</v>
      </c>
      <c r="C30" s="83">
        <f>194.205</f>
        <v>194.20500000000001</v>
      </c>
      <c r="D30" s="83">
        <f>267.466</f>
        <v>267.46600000000001</v>
      </c>
      <c r="E30" s="92">
        <f>133.845</f>
        <v>133.845</v>
      </c>
      <c r="F30" s="83">
        <f>278.484-40-25</f>
        <v>213.48399999999998</v>
      </c>
      <c r="G30" s="86">
        <v>40</v>
      </c>
      <c r="H30" s="83">
        <v>25</v>
      </c>
      <c r="I30" s="98">
        <v>50</v>
      </c>
      <c r="J30" s="86">
        <v>100</v>
      </c>
      <c r="K30" s="86">
        <v>300</v>
      </c>
      <c r="L30" s="83">
        <f t="shared" si="0"/>
        <v>1324</v>
      </c>
      <c r="M30" s="94"/>
      <c r="N30" s="83">
        <f>30</f>
        <v>30</v>
      </c>
      <c r="O30" s="86">
        <v>240</v>
      </c>
      <c r="P30" s="86">
        <f t="shared" si="4"/>
        <v>120</v>
      </c>
      <c r="Q30" s="86">
        <f t="shared" si="1"/>
        <v>235</v>
      </c>
      <c r="R30" s="86">
        <f t="shared" si="2"/>
        <v>100</v>
      </c>
      <c r="S30" s="83">
        <f t="shared" si="3"/>
        <v>695</v>
      </c>
      <c r="T30" s="83">
        <f>0</f>
        <v>0</v>
      </c>
      <c r="U30" s="84"/>
      <c r="V30" s="84"/>
      <c r="W30" s="84"/>
      <c r="X30" s="84"/>
      <c r="Y30" s="84"/>
      <c r="Z30" s="84"/>
      <c r="AA30" s="84"/>
      <c r="AB30" s="84"/>
      <c r="AC30" s="84"/>
      <c r="AD30" s="84"/>
    </row>
    <row r="31" spans="1:30" ht="15.75" x14ac:dyDescent="0.25">
      <c r="A31" s="16">
        <v>41852</v>
      </c>
      <c r="B31" s="97">
        <v>31</v>
      </c>
      <c r="C31" s="83">
        <f>194.205</f>
        <v>194.20500000000001</v>
      </c>
      <c r="D31" s="83">
        <f>267.466</f>
        <v>267.46600000000001</v>
      </c>
      <c r="E31" s="92">
        <f>133.845</f>
        <v>133.845</v>
      </c>
      <c r="F31" s="83">
        <f>278.484-40-25</f>
        <v>213.48399999999998</v>
      </c>
      <c r="G31" s="86">
        <v>40</v>
      </c>
      <c r="H31" s="83">
        <v>25</v>
      </c>
      <c r="I31" s="98">
        <v>50</v>
      </c>
      <c r="J31" s="86">
        <v>100</v>
      </c>
      <c r="K31" s="86">
        <v>300</v>
      </c>
      <c r="L31" s="83">
        <f t="shared" si="0"/>
        <v>1324</v>
      </c>
      <c r="M31" s="94"/>
      <c r="N31" s="83">
        <f>30</f>
        <v>30</v>
      </c>
      <c r="O31" s="86">
        <v>240</v>
      </c>
      <c r="P31" s="86">
        <f t="shared" si="4"/>
        <v>120</v>
      </c>
      <c r="Q31" s="86">
        <f t="shared" si="1"/>
        <v>235</v>
      </c>
      <c r="R31" s="86">
        <f t="shared" si="2"/>
        <v>100</v>
      </c>
      <c r="S31" s="83">
        <f t="shared" si="3"/>
        <v>695</v>
      </c>
      <c r="T31" s="83">
        <f>0</f>
        <v>0</v>
      </c>
      <c r="U31" s="84"/>
      <c r="V31" s="84"/>
      <c r="W31" s="84"/>
      <c r="X31" s="84"/>
      <c r="Y31" s="84"/>
      <c r="Z31" s="84"/>
      <c r="AA31" s="84"/>
      <c r="AB31" s="84"/>
      <c r="AC31" s="84"/>
      <c r="AD31" s="84"/>
    </row>
    <row r="32" spans="1:30" ht="15.75" x14ac:dyDescent="0.25">
      <c r="A32" s="16">
        <v>41883</v>
      </c>
      <c r="B32" s="97">
        <v>30</v>
      </c>
      <c r="C32" s="83">
        <f>194.205</f>
        <v>194.20500000000001</v>
      </c>
      <c r="D32" s="83">
        <f>267.466</f>
        <v>267.46600000000001</v>
      </c>
      <c r="E32" s="92">
        <f>133.845</f>
        <v>133.845</v>
      </c>
      <c r="F32" s="83">
        <f>278.484-40-25</f>
        <v>213.48399999999998</v>
      </c>
      <c r="G32" s="86">
        <v>40</v>
      </c>
      <c r="H32" s="83">
        <v>25</v>
      </c>
      <c r="I32" s="98">
        <v>50</v>
      </c>
      <c r="J32" s="86">
        <v>100</v>
      </c>
      <c r="K32" s="86">
        <v>300</v>
      </c>
      <c r="L32" s="83">
        <f t="shared" si="0"/>
        <v>1324</v>
      </c>
      <c r="M32" s="94"/>
      <c r="N32" s="83">
        <f>30</f>
        <v>30</v>
      </c>
      <c r="O32" s="86">
        <v>240</v>
      </c>
      <c r="P32" s="86">
        <f t="shared" si="4"/>
        <v>120</v>
      </c>
      <c r="Q32" s="86">
        <f t="shared" si="1"/>
        <v>235</v>
      </c>
      <c r="R32" s="86">
        <f t="shared" si="2"/>
        <v>100</v>
      </c>
      <c r="S32" s="83">
        <f t="shared" si="3"/>
        <v>695</v>
      </c>
      <c r="T32" s="83">
        <f>0</f>
        <v>0</v>
      </c>
      <c r="U32" s="84"/>
      <c r="V32" s="84"/>
      <c r="W32" s="84"/>
      <c r="X32" s="84"/>
      <c r="Y32" s="84"/>
      <c r="Z32" s="84"/>
      <c r="AA32" s="84"/>
      <c r="AB32" s="84"/>
      <c r="AC32" s="84"/>
      <c r="AD32" s="84"/>
    </row>
    <row r="33" spans="1:30" ht="15.75" x14ac:dyDescent="0.25">
      <c r="A33" s="16">
        <v>41913</v>
      </c>
      <c r="B33" s="97">
        <v>31</v>
      </c>
      <c r="C33" s="83">
        <f>131.881</f>
        <v>131.881</v>
      </c>
      <c r="D33" s="83">
        <f>277.167</f>
        <v>277.16699999999997</v>
      </c>
      <c r="E33" s="92">
        <f>79.08</f>
        <v>79.08</v>
      </c>
      <c r="F33" s="83">
        <f>350.872-40-25</f>
        <v>285.87200000000001</v>
      </c>
      <c r="G33" s="86">
        <v>40</v>
      </c>
      <c r="H33" s="83">
        <v>25</v>
      </c>
      <c r="I33" s="83">
        <v>0</v>
      </c>
      <c r="J33" s="86">
        <v>100</v>
      </c>
      <c r="K33" s="86">
        <v>300</v>
      </c>
      <c r="L33" s="83">
        <f t="shared" si="0"/>
        <v>1239</v>
      </c>
      <c r="M33" s="94"/>
      <c r="N33" s="83">
        <f>75</f>
        <v>75</v>
      </c>
      <c r="O33" s="86">
        <v>240</v>
      </c>
      <c r="P33" s="86">
        <f t="shared" si="4"/>
        <v>120</v>
      </c>
      <c r="Q33" s="86">
        <f t="shared" si="1"/>
        <v>235</v>
      </c>
      <c r="R33" s="86">
        <f t="shared" si="2"/>
        <v>100</v>
      </c>
      <c r="S33" s="83">
        <f t="shared" si="3"/>
        <v>695</v>
      </c>
      <c r="T33" s="83">
        <f>0</f>
        <v>0</v>
      </c>
      <c r="U33" s="84"/>
      <c r="V33" s="84"/>
      <c r="W33" s="84"/>
      <c r="X33" s="84"/>
      <c r="Y33" s="84"/>
      <c r="Z33" s="84"/>
      <c r="AA33" s="84"/>
      <c r="AB33" s="84"/>
      <c r="AC33" s="84"/>
      <c r="AD33" s="84"/>
    </row>
    <row r="34" spans="1:30" ht="15.75" x14ac:dyDescent="0.25">
      <c r="A34" s="16">
        <v>41944</v>
      </c>
      <c r="B34" s="97">
        <v>30</v>
      </c>
      <c r="C34" s="83">
        <f>122.58</f>
        <v>122.58</v>
      </c>
      <c r="D34" s="83">
        <f>297.941</f>
        <v>297.94099999999997</v>
      </c>
      <c r="E34" s="92">
        <f>89.177</f>
        <v>89.177000000000007</v>
      </c>
      <c r="F34" s="83">
        <f>240.302-40</f>
        <v>200.30199999999999</v>
      </c>
      <c r="G34" s="86">
        <v>40</v>
      </c>
      <c r="H34" s="83">
        <v>0</v>
      </c>
      <c r="I34" s="83">
        <v>0</v>
      </c>
      <c r="J34" s="86">
        <v>100</v>
      </c>
      <c r="K34" s="86">
        <v>300</v>
      </c>
      <c r="L34" s="83">
        <f t="shared" si="0"/>
        <v>1150</v>
      </c>
      <c r="M34" s="94"/>
      <c r="N34" s="83">
        <f>100</f>
        <v>100</v>
      </c>
      <c r="O34" s="86">
        <v>240</v>
      </c>
      <c r="P34" s="86">
        <v>0</v>
      </c>
      <c r="Q34" s="86">
        <f t="shared" si="1"/>
        <v>355</v>
      </c>
      <c r="R34" s="86">
        <f t="shared" si="2"/>
        <v>100</v>
      </c>
      <c r="S34" s="83">
        <f t="shared" si="3"/>
        <v>695</v>
      </c>
      <c r="T34" s="83">
        <f>50</f>
        <v>50</v>
      </c>
      <c r="U34" s="84"/>
      <c r="V34" s="84"/>
      <c r="W34" s="84"/>
      <c r="X34" s="84"/>
      <c r="Y34" s="84"/>
      <c r="Z34" s="84"/>
      <c r="AA34" s="84"/>
      <c r="AB34" s="84"/>
      <c r="AC34" s="84"/>
      <c r="AD34" s="84"/>
    </row>
    <row r="35" spans="1:30" ht="15.75" x14ac:dyDescent="0.25">
      <c r="A35" s="16">
        <v>41974</v>
      </c>
      <c r="B35" s="97">
        <v>31</v>
      </c>
      <c r="C35" s="83">
        <f>122.58</f>
        <v>122.58</v>
      </c>
      <c r="D35" s="83">
        <f>297.941</f>
        <v>297.94099999999997</v>
      </c>
      <c r="E35" s="92">
        <f>89.177</f>
        <v>89.177000000000007</v>
      </c>
      <c r="F35" s="83">
        <f>240.302-40</f>
        <v>200.30199999999999</v>
      </c>
      <c r="G35" s="86">
        <v>40</v>
      </c>
      <c r="H35" s="83">
        <v>0</v>
      </c>
      <c r="I35" s="83">
        <v>0</v>
      </c>
      <c r="J35" s="86">
        <v>100</v>
      </c>
      <c r="K35" s="86">
        <v>300</v>
      </c>
      <c r="L35" s="83">
        <f t="shared" si="0"/>
        <v>1150</v>
      </c>
      <c r="M35" s="94"/>
      <c r="N35" s="83">
        <f>100</f>
        <v>100</v>
      </c>
      <c r="O35" s="86">
        <v>240</v>
      </c>
      <c r="P35" s="86">
        <v>0</v>
      </c>
      <c r="Q35" s="86">
        <f t="shared" si="1"/>
        <v>355</v>
      </c>
      <c r="R35" s="86">
        <f t="shared" si="2"/>
        <v>100</v>
      </c>
      <c r="S35" s="83">
        <f t="shared" si="3"/>
        <v>695</v>
      </c>
      <c r="T35" s="83">
        <f>50</f>
        <v>50</v>
      </c>
      <c r="U35" s="84"/>
      <c r="V35" s="84"/>
      <c r="W35" s="84"/>
      <c r="X35" s="84"/>
      <c r="Y35" s="84"/>
      <c r="Z35" s="84"/>
      <c r="AA35" s="84"/>
      <c r="AB35" s="84"/>
      <c r="AC35" s="84"/>
      <c r="AD35" s="84"/>
    </row>
    <row r="36" spans="1:30" ht="15.75" x14ac:dyDescent="0.25">
      <c r="A36" s="16">
        <v>42005</v>
      </c>
      <c r="B36" s="97">
        <v>31</v>
      </c>
      <c r="C36" s="83">
        <f>122.58</f>
        <v>122.58</v>
      </c>
      <c r="D36" s="83">
        <f>297.941</f>
        <v>297.94099999999997</v>
      </c>
      <c r="E36" s="92">
        <f>89.177</f>
        <v>89.177000000000007</v>
      </c>
      <c r="F36" s="83">
        <f>240.302-40</f>
        <v>200.30199999999999</v>
      </c>
      <c r="G36" s="86">
        <v>40</v>
      </c>
      <c r="H36" s="83">
        <v>0</v>
      </c>
      <c r="I36" s="83">
        <v>0</v>
      </c>
      <c r="J36" s="86">
        <v>100</v>
      </c>
      <c r="K36" s="86">
        <v>300</v>
      </c>
      <c r="L36" s="83">
        <f t="shared" si="0"/>
        <v>1150</v>
      </c>
      <c r="M36" s="94"/>
      <c r="N36" s="83">
        <f>100</f>
        <v>100</v>
      </c>
      <c r="O36" s="86">
        <v>240</v>
      </c>
      <c r="P36" s="86">
        <v>0</v>
      </c>
      <c r="Q36" s="86">
        <f t="shared" si="1"/>
        <v>355</v>
      </c>
      <c r="R36" s="86">
        <f t="shared" si="2"/>
        <v>100</v>
      </c>
      <c r="S36" s="83">
        <f t="shared" si="3"/>
        <v>695</v>
      </c>
      <c r="T36" s="83">
        <f>50</f>
        <v>50</v>
      </c>
      <c r="U36" s="84"/>
      <c r="V36" s="84"/>
      <c r="W36" s="84"/>
      <c r="X36" s="84"/>
      <c r="Y36" s="84"/>
      <c r="Z36" s="84"/>
      <c r="AA36" s="84"/>
      <c r="AB36" s="84"/>
      <c r="AC36" s="84"/>
      <c r="AD36" s="84"/>
    </row>
    <row r="37" spans="1:30" ht="15.75" x14ac:dyDescent="0.25">
      <c r="A37" s="16">
        <v>42036</v>
      </c>
      <c r="B37" s="97">
        <v>28</v>
      </c>
      <c r="C37" s="83">
        <f>122.58</f>
        <v>122.58</v>
      </c>
      <c r="D37" s="83">
        <f>297.941</f>
        <v>297.94099999999997</v>
      </c>
      <c r="E37" s="92">
        <f>89.177</f>
        <v>89.177000000000007</v>
      </c>
      <c r="F37" s="83">
        <f>240.302-40</f>
        <v>200.30199999999999</v>
      </c>
      <c r="G37" s="86">
        <v>40</v>
      </c>
      <c r="H37" s="83">
        <v>0</v>
      </c>
      <c r="I37" s="83">
        <v>0</v>
      </c>
      <c r="J37" s="86">
        <v>100</v>
      </c>
      <c r="K37" s="86">
        <v>300</v>
      </c>
      <c r="L37" s="83">
        <f t="shared" si="0"/>
        <v>1150</v>
      </c>
      <c r="M37" s="94"/>
      <c r="N37" s="83">
        <f>100</f>
        <v>100</v>
      </c>
      <c r="O37" s="86">
        <v>240</v>
      </c>
      <c r="P37" s="86">
        <v>0</v>
      </c>
      <c r="Q37" s="86">
        <f t="shared" si="1"/>
        <v>355</v>
      </c>
      <c r="R37" s="86">
        <f t="shared" si="2"/>
        <v>100</v>
      </c>
      <c r="S37" s="83">
        <f t="shared" si="3"/>
        <v>695</v>
      </c>
      <c r="T37" s="83">
        <f>50</f>
        <v>50</v>
      </c>
      <c r="U37" s="84"/>
      <c r="V37" s="84"/>
      <c r="W37" s="84"/>
      <c r="X37" s="84"/>
      <c r="Y37" s="84"/>
      <c r="Z37" s="84"/>
      <c r="AA37" s="84"/>
      <c r="AB37" s="84"/>
      <c r="AC37" s="84"/>
      <c r="AD37" s="84"/>
    </row>
    <row r="38" spans="1:30" ht="15.75" x14ac:dyDescent="0.25">
      <c r="A38" s="16">
        <v>42064</v>
      </c>
      <c r="B38" s="97">
        <v>31</v>
      </c>
      <c r="C38" s="83">
        <f>122.58</f>
        <v>122.58</v>
      </c>
      <c r="D38" s="83">
        <f>297.941</f>
        <v>297.94099999999997</v>
      </c>
      <c r="E38" s="92">
        <f>89.177</f>
        <v>89.177000000000007</v>
      </c>
      <c r="F38" s="83">
        <f>240.302-40</f>
        <v>200.30199999999999</v>
      </c>
      <c r="G38" s="86">
        <v>40</v>
      </c>
      <c r="H38" s="83">
        <v>0</v>
      </c>
      <c r="I38" s="83">
        <v>0</v>
      </c>
      <c r="J38" s="86">
        <v>100</v>
      </c>
      <c r="K38" s="86">
        <v>300</v>
      </c>
      <c r="L38" s="83">
        <f t="shared" si="0"/>
        <v>1150</v>
      </c>
      <c r="M38" s="94"/>
      <c r="N38" s="83">
        <f>100</f>
        <v>100</v>
      </c>
      <c r="O38" s="86">
        <v>240</v>
      </c>
      <c r="P38" s="86">
        <v>0</v>
      </c>
      <c r="Q38" s="86">
        <f t="shared" si="1"/>
        <v>355</v>
      </c>
      <c r="R38" s="86">
        <f t="shared" si="2"/>
        <v>100</v>
      </c>
      <c r="S38" s="83">
        <f t="shared" si="3"/>
        <v>695</v>
      </c>
      <c r="T38" s="83">
        <f>50</f>
        <v>50</v>
      </c>
      <c r="U38" s="84"/>
      <c r="V38" s="84"/>
      <c r="W38" s="84"/>
      <c r="X38" s="84"/>
      <c r="Y38" s="84"/>
      <c r="Z38" s="84"/>
      <c r="AA38" s="84"/>
      <c r="AB38" s="84"/>
      <c r="AC38" s="84"/>
      <c r="AD38" s="84"/>
    </row>
    <row r="39" spans="1:30" ht="15.75" x14ac:dyDescent="0.25">
      <c r="A39" s="16">
        <v>42095</v>
      </c>
      <c r="B39" s="97">
        <v>30</v>
      </c>
      <c r="C39" s="83">
        <f>141.293</f>
        <v>141.29300000000001</v>
      </c>
      <c r="D39" s="83">
        <f>267.993</f>
        <v>267.99299999999999</v>
      </c>
      <c r="E39" s="92">
        <f>115.016</f>
        <v>115.01600000000001</v>
      </c>
      <c r="F39" s="83">
        <f>314.698-40-25-60-100</f>
        <v>89.697999999999979</v>
      </c>
      <c r="G39" s="86">
        <v>40</v>
      </c>
      <c r="H39" s="83">
        <f t="shared" ref="H39:H45" si="5">25+60+100</f>
        <v>185</v>
      </c>
      <c r="I39" s="83">
        <v>0</v>
      </c>
      <c r="J39" s="86">
        <v>100</v>
      </c>
      <c r="K39" s="86">
        <v>300</v>
      </c>
      <c r="L39" s="83">
        <f t="shared" si="0"/>
        <v>1239</v>
      </c>
      <c r="M39" s="94"/>
      <c r="N39" s="83">
        <f>100</f>
        <v>100</v>
      </c>
      <c r="O39" s="86">
        <v>240</v>
      </c>
      <c r="P39" s="86">
        <f t="shared" ref="P39:P45" si="6">120+40</f>
        <v>160</v>
      </c>
      <c r="Q39" s="86">
        <f t="shared" si="1"/>
        <v>195</v>
      </c>
      <c r="R39" s="86">
        <f t="shared" si="2"/>
        <v>100</v>
      </c>
      <c r="S39" s="83">
        <f t="shared" si="3"/>
        <v>695</v>
      </c>
      <c r="T39" s="83">
        <f>50</f>
        <v>50</v>
      </c>
      <c r="U39" s="84"/>
      <c r="V39" s="84"/>
      <c r="W39" s="84"/>
      <c r="X39" s="84"/>
      <c r="Y39" s="84"/>
      <c r="Z39" s="84"/>
      <c r="AA39" s="84"/>
      <c r="AB39" s="84"/>
      <c r="AC39" s="84"/>
      <c r="AD39" s="84"/>
    </row>
    <row r="40" spans="1:30" ht="15.75" x14ac:dyDescent="0.25">
      <c r="A40" s="16">
        <v>42125</v>
      </c>
      <c r="B40" s="97">
        <v>31</v>
      </c>
      <c r="C40" s="83">
        <f>194.205</f>
        <v>194.20500000000001</v>
      </c>
      <c r="D40" s="83">
        <f>267.466</f>
        <v>267.46600000000001</v>
      </c>
      <c r="E40" s="92">
        <f>133.845</f>
        <v>133.845</v>
      </c>
      <c r="F40" s="83">
        <f>278.484-40-25-60-100</f>
        <v>53.48399999999998</v>
      </c>
      <c r="G40" s="86">
        <v>40</v>
      </c>
      <c r="H40" s="83">
        <f t="shared" si="5"/>
        <v>185</v>
      </c>
      <c r="I40" s="98">
        <v>50</v>
      </c>
      <c r="J40" s="86">
        <v>100</v>
      </c>
      <c r="K40" s="86">
        <v>300</v>
      </c>
      <c r="L40" s="83">
        <f t="shared" si="0"/>
        <v>1324</v>
      </c>
      <c r="M40" s="94"/>
      <c r="N40" s="83">
        <f>75</f>
        <v>75</v>
      </c>
      <c r="O40" s="86">
        <v>240</v>
      </c>
      <c r="P40" s="86">
        <f t="shared" si="6"/>
        <v>160</v>
      </c>
      <c r="Q40" s="86">
        <f t="shared" si="1"/>
        <v>195</v>
      </c>
      <c r="R40" s="86">
        <f t="shared" si="2"/>
        <v>100</v>
      </c>
      <c r="S40" s="83">
        <f t="shared" si="3"/>
        <v>695</v>
      </c>
      <c r="T40" s="83">
        <f>50</f>
        <v>50</v>
      </c>
      <c r="U40" s="84"/>
      <c r="V40" s="84"/>
      <c r="W40" s="84"/>
      <c r="X40" s="84"/>
      <c r="Y40" s="84"/>
      <c r="Z40" s="84"/>
      <c r="AA40" s="84"/>
      <c r="AB40" s="84"/>
      <c r="AC40" s="84"/>
      <c r="AD40" s="84"/>
    </row>
    <row r="41" spans="1:30" ht="15.75" x14ac:dyDescent="0.25">
      <c r="A41" s="16">
        <v>42156</v>
      </c>
      <c r="B41" s="97">
        <v>30</v>
      </c>
      <c r="C41" s="83">
        <f>194.205</f>
        <v>194.20500000000001</v>
      </c>
      <c r="D41" s="83">
        <f>267.466</f>
        <v>267.46600000000001</v>
      </c>
      <c r="E41" s="92">
        <f>133.845</f>
        <v>133.845</v>
      </c>
      <c r="F41" s="83">
        <f>278.484-40-25-60-100</f>
        <v>53.48399999999998</v>
      </c>
      <c r="G41" s="86">
        <v>40</v>
      </c>
      <c r="H41" s="83">
        <f t="shared" si="5"/>
        <v>185</v>
      </c>
      <c r="I41" s="98">
        <v>50</v>
      </c>
      <c r="J41" s="86">
        <v>100</v>
      </c>
      <c r="K41" s="86">
        <v>300</v>
      </c>
      <c r="L41" s="83">
        <f t="shared" si="0"/>
        <v>1324</v>
      </c>
      <c r="M41" s="94"/>
      <c r="N41" s="83">
        <f>30</f>
        <v>30</v>
      </c>
      <c r="O41" s="86">
        <v>240</v>
      </c>
      <c r="P41" s="86">
        <f t="shared" si="6"/>
        <v>160</v>
      </c>
      <c r="Q41" s="86">
        <f t="shared" si="1"/>
        <v>195</v>
      </c>
      <c r="R41" s="86">
        <f t="shared" si="2"/>
        <v>100</v>
      </c>
      <c r="S41" s="83">
        <f t="shared" si="3"/>
        <v>695</v>
      </c>
      <c r="T41" s="83">
        <f>50</f>
        <v>50</v>
      </c>
      <c r="U41" s="84"/>
      <c r="V41" s="84"/>
      <c r="W41" s="84"/>
      <c r="X41" s="84"/>
      <c r="Y41" s="84"/>
      <c r="Z41" s="84"/>
      <c r="AA41" s="84"/>
      <c r="AB41" s="84"/>
      <c r="AC41" s="84"/>
      <c r="AD41" s="84"/>
    </row>
    <row r="42" spans="1:30" ht="15.75" x14ac:dyDescent="0.25">
      <c r="A42" s="16">
        <v>42186</v>
      </c>
      <c r="B42" s="97">
        <v>31</v>
      </c>
      <c r="C42" s="83">
        <f>194.205</f>
        <v>194.20500000000001</v>
      </c>
      <c r="D42" s="83">
        <f>267.466</f>
        <v>267.46600000000001</v>
      </c>
      <c r="E42" s="92">
        <f>133.845</f>
        <v>133.845</v>
      </c>
      <c r="F42" s="83">
        <f>278.484-40-25-60-100</f>
        <v>53.48399999999998</v>
      </c>
      <c r="G42" s="86">
        <v>40</v>
      </c>
      <c r="H42" s="83">
        <f t="shared" si="5"/>
        <v>185</v>
      </c>
      <c r="I42" s="98">
        <v>50</v>
      </c>
      <c r="J42" s="86">
        <v>100</v>
      </c>
      <c r="K42" s="86">
        <v>300</v>
      </c>
      <c r="L42" s="83">
        <f t="shared" si="0"/>
        <v>1324</v>
      </c>
      <c r="M42" s="94"/>
      <c r="N42" s="83">
        <f>30</f>
        <v>30</v>
      </c>
      <c r="O42" s="86">
        <v>240</v>
      </c>
      <c r="P42" s="86">
        <f t="shared" si="6"/>
        <v>160</v>
      </c>
      <c r="Q42" s="86">
        <f t="shared" si="1"/>
        <v>195</v>
      </c>
      <c r="R42" s="86">
        <f t="shared" si="2"/>
        <v>100</v>
      </c>
      <c r="S42" s="83">
        <f t="shared" si="3"/>
        <v>695</v>
      </c>
      <c r="T42" s="83">
        <f>0</f>
        <v>0</v>
      </c>
      <c r="U42" s="84"/>
      <c r="V42" s="84"/>
      <c r="W42" s="84"/>
      <c r="X42" s="84"/>
      <c r="Y42" s="84"/>
      <c r="Z42" s="84"/>
      <c r="AA42" s="84"/>
      <c r="AB42" s="84"/>
      <c r="AC42" s="84"/>
      <c r="AD42" s="84"/>
    </row>
    <row r="43" spans="1:30" ht="15.75" x14ac:dyDescent="0.25">
      <c r="A43" s="16">
        <v>42217</v>
      </c>
      <c r="B43" s="97">
        <v>31</v>
      </c>
      <c r="C43" s="83">
        <f>194.205</f>
        <v>194.20500000000001</v>
      </c>
      <c r="D43" s="83">
        <f>267.466</f>
        <v>267.46600000000001</v>
      </c>
      <c r="E43" s="92">
        <f>133.845</f>
        <v>133.845</v>
      </c>
      <c r="F43" s="83">
        <f>278.484-40-25-60-100</f>
        <v>53.48399999999998</v>
      </c>
      <c r="G43" s="86">
        <v>40</v>
      </c>
      <c r="H43" s="83">
        <f t="shared" si="5"/>
        <v>185</v>
      </c>
      <c r="I43" s="98">
        <v>50</v>
      </c>
      <c r="J43" s="86">
        <v>100</v>
      </c>
      <c r="K43" s="86">
        <v>300</v>
      </c>
      <c r="L43" s="83">
        <f t="shared" si="0"/>
        <v>1324</v>
      </c>
      <c r="M43" s="94"/>
      <c r="N43" s="83">
        <f>30</f>
        <v>30</v>
      </c>
      <c r="O43" s="86">
        <v>240</v>
      </c>
      <c r="P43" s="86">
        <f t="shared" si="6"/>
        <v>160</v>
      </c>
      <c r="Q43" s="86">
        <f t="shared" si="1"/>
        <v>195</v>
      </c>
      <c r="R43" s="86">
        <f t="shared" si="2"/>
        <v>100</v>
      </c>
      <c r="S43" s="83">
        <f t="shared" si="3"/>
        <v>695</v>
      </c>
      <c r="T43" s="83">
        <f>0</f>
        <v>0</v>
      </c>
      <c r="U43" s="84"/>
      <c r="V43" s="84"/>
      <c r="W43" s="84"/>
      <c r="X43" s="84"/>
      <c r="Y43" s="84"/>
      <c r="Z43" s="84"/>
      <c r="AA43" s="84"/>
      <c r="AB43" s="84"/>
      <c r="AC43" s="84"/>
      <c r="AD43" s="84"/>
    </row>
    <row r="44" spans="1:30" ht="15.75" x14ac:dyDescent="0.25">
      <c r="A44" s="16">
        <v>42248</v>
      </c>
      <c r="B44" s="97">
        <v>30</v>
      </c>
      <c r="C44" s="83">
        <f>194.205</f>
        <v>194.20500000000001</v>
      </c>
      <c r="D44" s="83">
        <f>267.466</f>
        <v>267.46600000000001</v>
      </c>
      <c r="E44" s="92">
        <f>133.845</f>
        <v>133.845</v>
      </c>
      <c r="F44" s="83">
        <f>278.484-40-25-60-100</f>
        <v>53.48399999999998</v>
      </c>
      <c r="G44" s="86">
        <v>40</v>
      </c>
      <c r="H44" s="83">
        <f t="shared" si="5"/>
        <v>185</v>
      </c>
      <c r="I44" s="98">
        <v>50</v>
      </c>
      <c r="J44" s="86">
        <v>100</v>
      </c>
      <c r="K44" s="86">
        <v>300</v>
      </c>
      <c r="L44" s="83">
        <f t="shared" si="0"/>
        <v>1324</v>
      </c>
      <c r="M44" s="94"/>
      <c r="N44" s="83">
        <f>30</f>
        <v>30</v>
      </c>
      <c r="O44" s="86">
        <v>240</v>
      </c>
      <c r="P44" s="86">
        <f t="shared" si="6"/>
        <v>160</v>
      </c>
      <c r="Q44" s="86">
        <f t="shared" si="1"/>
        <v>195</v>
      </c>
      <c r="R44" s="86">
        <f t="shared" si="2"/>
        <v>100</v>
      </c>
      <c r="S44" s="83">
        <f t="shared" si="3"/>
        <v>695</v>
      </c>
      <c r="T44" s="83">
        <f>0</f>
        <v>0</v>
      </c>
      <c r="U44" s="84"/>
      <c r="V44" s="84"/>
      <c r="W44" s="84"/>
      <c r="X44" s="84"/>
      <c r="Y44" s="84"/>
      <c r="Z44" s="84"/>
      <c r="AA44" s="84"/>
      <c r="AB44" s="84"/>
      <c r="AC44" s="84"/>
      <c r="AD44" s="84"/>
    </row>
    <row r="45" spans="1:30" ht="15.75" x14ac:dyDescent="0.25">
      <c r="A45" s="16">
        <v>42278</v>
      </c>
      <c r="B45" s="97">
        <v>31</v>
      </c>
      <c r="C45" s="83">
        <f>131.881</f>
        <v>131.881</v>
      </c>
      <c r="D45" s="83">
        <f>277.167</f>
        <v>277.16699999999997</v>
      </c>
      <c r="E45" s="92">
        <f>79.08</f>
        <v>79.08</v>
      </c>
      <c r="F45" s="83">
        <f>350.872-40-25-60-100</f>
        <v>125.87200000000001</v>
      </c>
      <c r="G45" s="86">
        <v>40</v>
      </c>
      <c r="H45" s="83">
        <f t="shared" si="5"/>
        <v>185</v>
      </c>
      <c r="I45" s="83">
        <v>0</v>
      </c>
      <c r="J45" s="86">
        <v>100</v>
      </c>
      <c r="K45" s="86">
        <v>300</v>
      </c>
      <c r="L45" s="83">
        <f t="shared" si="0"/>
        <v>1239</v>
      </c>
      <c r="M45" s="94"/>
      <c r="N45" s="83">
        <f>75</f>
        <v>75</v>
      </c>
      <c r="O45" s="86">
        <v>240</v>
      </c>
      <c r="P45" s="86">
        <f t="shared" si="6"/>
        <v>160</v>
      </c>
      <c r="Q45" s="86">
        <f t="shared" si="1"/>
        <v>195</v>
      </c>
      <c r="R45" s="86">
        <f t="shared" si="2"/>
        <v>100</v>
      </c>
      <c r="S45" s="83">
        <f t="shared" si="3"/>
        <v>695</v>
      </c>
      <c r="T45" s="83">
        <f>0</f>
        <v>0</v>
      </c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0" ht="15.75" x14ac:dyDescent="0.25">
      <c r="A46" s="16">
        <v>42309</v>
      </c>
      <c r="B46" s="97">
        <v>30</v>
      </c>
      <c r="C46" s="83">
        <f>122.58</f>
        <v>122.58</v>
      </c>
      <c r="D46" s="83">
        <f>297.941</f>
        <v>297.94099999999997</v>
      </c>
      <c r="E46" s="92">
        <f>89.177</f>
        <v>89.177000000000007</v>
      </c>
      <c r="F46" s="83">
        <f>240.302-40-60-100</f>
        <v>40.301999999999992</v>
      </c>
      <c r="G46" s="86">
        <v>40</v>
      </c>
      <c r="H46" s="83">
        <f>60+100</f>
        <v>160</v>
      </c>
      <c r="I46" s="83">
        <v>0</v>
      </c>
      <c r="J46" s="86">
        <v>100</v>
      </c>
      <c r="K46" s="86">
        <v>300</v>
      </c>
      <c r="L46" s="83">
        <f t="shared" si="0"/>
        <v>1150</v>
      </c>
      <c r="M46" s="94"/>
      <c r="N46" s="83">
        <f>100</f>
        <v>100</v>
      </c>
      <c r="O46" s="86">
        <v>240</v>
      </c>
      <c r="P46" s="86">
        <v>40</v>
      </c>
      <c r="Q46" s="86">
        <f t="shared" si="1"/>
        <v>315</v>
      </c>
      <c r="R46" s="86">
        <f t="shared" si="2"/>
        <v>100</v>
      </c>
      <c r="S46" s="83">
        <f t="shared" si="3"/>
        <v>695</v>
      </c>
      <c r="T46" s="83">
        <f>50</f>
        <v>50</v>
      </c>
      <c r="U46" s="84"/>
      <c r="V46" s="84"/>
      <c r="W46" s="84"/>
      <c r="X46" s="84"/>
      <c r="Y46" s="84"/>
      <c r="Z46" s="84"/>
      <c r="AA46" s="84"/>
      <c r="AB46" s="84"/>
      <c r="AC46" s="84"/>
      <c r="AD46" s="84"/>
    </row>
    <row r="47" spans="1:30" ht="15.75" x14ac:dyDescent="0.25">
      <c r="A47" s="16">
        <v>42339</v>
      </c>
      <c r="B47" s="97">
        <v>31</v>
      </c>
      <c r="C47" s="83">
        <f>122.58</f>
        <v>122.58</v>
      </c>
      <c r="D47" s="83">
        <f>297.941</f>
        <v>297.94099999999997</v>
      </c>
      <c r="E47" s="92">
        <f>89.177</f>
        <v>89.177000000000007</v>
      </c>
      <c r="F47" s="83">
        <f>240.302-40-60-100</f>
        <v>40.301999999999992</v>
      </c>
      <c r="G47" s="86">
        <v>40</v>
      </c>
      <c r="H47" s="83">
        <f>60+100</f>
        <v>160</v>
      </c>
      <c r="I47" s="83">
        <v>0</v>
      </c>
      <c r="J47" s="86">
        <v>100</v>
      </c>
      <c r="K47" s="86">
        <v>300</v>
      </c>
      <c r="L47" s="83">
        <f t="shared" si="0"/>
        <v>1150</v>
      </c>
      <c r="M47" s="94"/>
      <c r="N47" s="83">
        <f>100</f>
        <v>100</v>
      </c>
      <c r="O47" s="86">
        <v>240</v>
      </c>
      <c r="P47" s="86">
        <v>40</v>
      </c>
      <c r="Q47" s="86">
        <f t="shared" si="1"/>
        <v>315</v>
      </c>
      <c r="R47" s="86">
        <f t="shared" si="2"/>
        <v>100</v>
      </c>
      <c r="S47" s="83">
        <f t="shared" si="3"/>
        <v>695</v>
      </c>
      <c r="T47" s="83">
        <f>50</f>
        <v>50</v>
      </c>
      <c r="U47" s="84"/>
      <c r="V47" s="84"/>
      <c r="W47" s="84"/>
      <c r="X47" s="84"/>
      <c r="Y47" s="84"/>
      <c r="Z47" s="84"/>
      <c r="AA47" s="84"/>
      <c r="AB47" s="84"/>
      <c r="AC47" s="84"/>
      <c r="AD47" s="84"/>
    </row>
    <row r="48" spans="1:30" ht="15.75" x14ac:dyDescent="0.25">
      <c r="A48" s="16">
        <v>42370</v>
      </c>
      <c r="B48" s="97">
        <v>31</v>
      </c>
      <c r="C48" s="83">
        <f>122.58</f>
        <v>122.58</v>
      </c>
      <c r="D48" s="83">
        <f>297.941</f>
        <v>297.94099999999997</v>
      </c>
      <c r="E48" s="92">
        <f>89.177</f>
        <v>89.177000000000007</v>
      </c>
      <c r="F48" s="83">
        <f>240.302-40-60-100</f>
        <v>40.301999999999992</v>
      </c>
      <c r="G48" s="86">
        <v>40</v>
      </c>
      <c r="H48" s="83">
        <f>60+100</f>
        <v>160</v>
      </c>
      <c r="I48" s="83">
        <v>0</v>
      </c>
      <c r="J48" s="86">
        <v>100</v>
      </c>
      <c r="K48" s="86">
        <v>300</v>
      </c>
      <c r="L48" s="83">
        <f t="shared" si="0"/>
        <v>1150</v>
      </c>
      <c r="M48" s="94"/>
      <c r="N48" s="83">
        <f>100</f>
        <v>100</v>
      </c>
      <c r="O48" s="86">
        <v>240</v>
      </c>
      <c r="P48" s="86">
        <v>40</v>
      </c>
      <c r="Q48" s="86">
        <f t="shared" si="1"/>
        <v>315</v>
      </c>
      <c r="R48" s="86">
        <f t="shared" si="2"/>
        <v>100</v>
      </c>
      <c r="S48" s="83">
        <f t="shared" si="3"/>
        <v>695</v>
      </c>
      <c r="T48" s="83">
        <f>50</f>
        <v>50</v>
      </c>
      <c r="U48" s="84"/>
      <c r="V48" s="84"/>
      <c r="W48" s="84"/>
      <c r="X48" s="84"/>
      <c r="Y48" s="84"/>
      <c r="Z48" s="84"/>
      <c r="AA48" s="84"/>
      <c r="AB48" s="84"/>
      <c r="AC48" s="84"/>
      <c r="AD48" s="84"/>
    </row>
    <row r="49" spans="1:30" ht="15.75" x14ac:dyDescent="0.25">
      <c r="A49" s="16">
        <v>42401</v>
      </c>
      <c r="B49" s="97">
        <v>29</v>
      </c>
      <c r="C49" s="83">
        <f>122.58</f>
        <v>122.58</v>
      </c>
      <c r="D49" s="83">
        <f>297.941</f>
        <v>297.94099999999997</v>
      </c>
      <c r="E49" s="92">
        <f>89.177</f>
        <v>89.177000000000007</v>
      </c>
      <c r="F49" s="83">
        <f>240.302-40-60-100</f>
        <v>40.301999999999992</v>
      </c>
      <c r="G49" s="86">
        <v>40</v>
      </c>
      <c r="H49" s="83">
        <f>60+100</f>
        <v>160</v>
      </c>
      <c r="I49" s="83">
        <v>0</v>
      </c>
      <c r="J49" s="86">
        <v>100</v>
      </c>
      <c r="K49" s="86">
        <v>300</v>
      </c>
      <c r="L49" s="83">
        <f t="shared" si="0"/>
        <v>1150</v>
      </c>
      <c r="M49" s="94"/>
      <c r="N49" s="83">
        <f>100</f>
        <v>100</v>
      </c>
      <c r="O49" s="86">
        <v>240</v>
      </c>
      <c r="P49" s="86">
        <v>40</v>
      </c>
      <c r="Q49" s="86">
        <f t="shared" si="1"/>
        <v>315</v>
      </c>
      <c r="R49" s="86">
        <f t="shared" si="2"/>
        <v>100</v>
      </c>
      <c r="S49" s="83">
        <f t="shared" si="3"/>
        <v>695</v>
      </c>
      <c r="T49" s="83">
        <f>50</f>
        <v>50</v>
      </c>
      <c r="U49" s="84"/>
      <c r="V49" s="84"/>
      <c r="W49" s="84"/>
      <c r="X49" s="84"/>
      <c r="Y49" s="84"/>
      <c r="Z49" s="84"/>
      <c r="AA49" s="84"/>
      <c r="AB49" s="84"/>
      <c r="AC49" s="84"/>
      <c r="AD49" s="84"/>
    </row>
    <row r="50" spans="1:30" ht="15.75" x14ac:dyDescent="0.25">
      <c r="A50" s="16">
        <v>42430</v>
      </c>
      <c r="B50" s="97">
        <v>31</v>
      </c>
      <c r="C50" s="83">
        <f>122.58</f>
        <v>122.58</v>
      </c>
      <c r="D50" s="83">
        <f>297.941</f>
        <v>297.94099999999997</v>
      </c>
      <c r="E50" s="92">
        <f>89.177</f>
        <v>89.177000000000007</v>
      </c>
      <c r="F50" s="83">
        <f>240.302-40-60-100</f>
        <v>40.301999999999992</v>
      </c>
      <c r="G50" s="86">
        <v>40</v>
      </c>
      <c r="H50" s="83">
        <f>60+100</f>
        <v>160</v>
      </c>
      <c r="I50" s="83">
        <v>0</v>
      </c>
      <c r="J50" s="86">
        <v>100</v>
      </c>
      <c r="K50" s="86">
        <v>300</v>
      </c>
      <c r="L50" s="83">
        <f t="shared" si="0"/>
        <v>1150</v>
      </c>
      <c r="M50" s="94"/>
      <c r="N50" s="83">
        <f>100</f>
        <v>100</v>
      </c>
      <c r="O50" s="86">
        <v>240</v>
      </c>
      <c r="P50" s="86">
        <v>40</v>
      </c>
      <c r="Q50" s="86">
        <f t="shared" si="1"/>
        <v>315</v>
      </c>
      <c r="R50" s="86">
        <f t="shared" si="2"/>
        <v>100</v>
      </c>
      <c r="S50" s="83">
        <f t="shared" si="3"/>
        <v>695</v>
      </c>
      <c r="T50" s="83">
        <f>50</f>
        <v>50</v>
      </c>
      <c r="U50" s="84"/>
      <c r="V50" s="84"/>
      <c r="W50" s="84"/>
      <c r="X50" s="84"/>
      <c r="Y50" s="84"/>
      <c r="Z50" s="84"/>
      <c r="AA50" s="84"/>
      <c r="AB50" s="84"/>
      <c r="AC50" s="84"/>
      <c r="AD50" s="84"/>
    </row>
    <row r="51" spans="1:30" ht="15.75" x14ac:dyDescent="0.25">
      <c r="A51" s="16">
        <v>42461</v>
      </c>
      <c r="B51" s="97">
        <v>30</v>
      </c>
      <c r="C51" s="83">
        <f>141.293</f>
        <v>141.29300000000001</v>
      </c>
      <c r="D51" s="83">
        <f>267.993</f>
        <v>267.99299999999999</v>
      </c>
      <c r="E51" s="92">
        <f>115.016</f>
        <v>115.01600000000001</v>
      </c>
      <c r="F51" s="83">
        <f>314.698-40-25-60-100</f>
        <v>89.697999999999979</v>
      </c>
      <c r="G51" s="86">
        <v>40</v>
      </c>
      <c r="H51" s="83">
        <f t="shared" ref="H51:H57" si="7">25+60+100</f>
        <v>185</v>
      </c>
      <c r="I51" s="83">
        <v>0</v>
      </c>
      <c r="J51" s="86">
        <v>100</v>
      </c>
      <c r="K51" s="86">
        <v>300</v>
      </c>
      <c r="L51" s="83">
        <f t="shared" si="0"/>
        <v>1239</v>
      </c>
      <c r="M51" s="94"/>
      <c r="N51" s="83">
        <f>100</f>
        <v>100</v>
      </c>
      <c r="O51" s="86">
        <v>240</v>
      </c>
      <c r="P51" s="86">
        <v>160</v>
      </c>
      <c r="Q51" s="86">
        <f t="shared" si="1"/>
        <v>195</v>
      </c>
      <c r="R51" s="86">
        <f t="shared" si="2"/>
        <v>100</v>
      </c>
      <c r="S51" s="83">
        <f t="shared" si="3"/>
        <v>695</v>
      </c>
      <c r="T51" s="83">
        <f>50</f>
        <v>50</v>
      </c>
      <c r="U51" s="84"/>
      <c r="V51" s="84"/>
      <c r="W51" s="84"/>
      <c r="X51" s="84"/>
      <c r="Y51" s="84"/>
      <c r="Z51" s="84"/>
      <c r="AA51" s="84"/>
      <c r="AB51" s="84"/>
      <c r="AC51" s="84"/>
      <c r="AD51" s="84"/>
    </row>
    <row r="52" spans="1:30" ht="15.75" x14ac:dyDescent="0.25">
      <c r="A52" s="16">
        <v>42491</v>
      </c>
      <c r="B52" s="97">
        <v>31</v>
      </c>
      <c r="C52" s="83">
        <f>194.205</f>
        <v>194.20500000000001</v>
      </c>
      <c r="D52" s="83">
        <f>267.466</f>
        <v>267.46600000000001</v>
      </c>
      <c r="E52" s="92">
        <f>133.845</f>
        <v>133.845</v>
      </c>
      <c r="F52" s="83">
        <f>278.484-40-25-60-100</f>
        <v>53.48399999999998</v>
      </c>
      <c r="G52" s="86">
        <v>40</v>
      </c>
      <c r="H52" s="83">
        <f t="shared" si="7"/>
        <v>185</v>
      </c>
      <c r="I52" s="83">
        <f t="shared" ref="I52:I115" si="8">400-J52-K52</f>
        <v>0</v>
      </c>
      <c r="J52" s="86">
        <v>100</v>
      </c>
      <c r="K52" s="86">
        <v>300</v>
      </c>
      <c r="L52" s="83">
        <f t="shared" si="0"/>
        <v>1274</v>
      </c>
      <c r="M52" s="94"/>
      <c r="N52" s="83">
        <f>75</f>
        <v>75</v>
      </c>
      <c r="O52" s="86">
        <v>240</v>
      </c>
      <c r="P52" s="86">
        <v>160</v>
      </c>
      <c r="Q52" s="86">
        <f t="shared" si="1"/>
        <v>195</v>
      </c>
      <c r="R52" s="86">
        <f t="shared" si="2"/>
        <v>100</v>
      </c>
      <c r="S52" s="83">
        <f t="shared" si="3"/>
        <v>695</v>
      </c>
      <c r="T52" s="83">
        <f>50</f>
        <v>50</v>
      </c>
      <c r="U52" s="84"/>
      <c r="V52" s="84"/>
      <c r="W52" s="84"/>
      <c r="X52" s="84"/>
      <c r="Y52" s="84"/>
      <c r="Z52" s="84"/>
      <c r="AA52" s="84"/>
      <c r="AB52" s="84"/>
      <c r="AC52" s="84"/>
      <c r="AD52" s="84"/>
    </row>
    <row r="53" spans="1:30" ht="15.75" x14ac:dyDescent="0.25">
      <c r="A53" s="16">
        <v>42522</v>
      </c>
      <c r="B53" s="97">
        <v>30</v>
      </c>
      <c r="C53" s="83">
        <f>194.205</f>
        <v>194.20500000000001</v>
      </c>
      <c r="D53" s="83">
        <f>267.466</f>
        <v>267.46600000000001</v>
      </c>
      <c r="E53" s="92">
        <f>133.845</f>
        <v>133.845</v>
      </c>
      <c r="F53" s="83">
        <f>278.484-40-25-60-100</f>
        <v>53.48399999999998</v>
      </c>
      <c r="G53" s="86">
        <v>40</v>
      </c>
      <c r="H53" s="83">
        <f t="shared" si="7"/>
        <v>185</v>
      </c>
      <c r="I53" s="83">
        <f t="shared" si="8"/>
        <v>0</v>
      </c>
      <c r="J53" s="86">
        <v>100</v>
      </c>
      <c r="K53" s="86">
        <v>300</v>
      </c>
      <c r="L53" s="83">
        <f t="shared" si="0"/>
        <v>1274</v>
      </c>
      <c r="M53" s="94"/>
      <c r="N53" s="83">
        <f>30</f>
        <v>30</v>
      </c>
      <c r="O53" s="86">
        <v>240</v>
      </c>
      <c r="P53" s="86">
        <v>160</v>
      </c>
      <c r="Q53" s="86">
        <f t="shared" si="1"/>
        <v>195</v>
      </c>
      <c r="R53" s="86">
        <f t="shared" si="2"/>
        <v>100</v>
      </c>
      <c r="S53" s="83">
        <f t="shared" si="3"/>
        <v>695</v>
      </c>
      <c r="T53" s="83">
        <f>50</f>
        <v>50</v>
      </c>
      <c r="U53" s="84"/>
      <c r="V53" s="84"/>
      <c r="W53" s="84"/>
      <c r="X53" s="84"/>
      <c r="Y53" s="84"/>
      <c r="Z53" s="84"/>
      <c r="AA53" s="84"/>
      <c r="AB53" s="84"/>
      <c r="AC53" s="84"/>
      <c r="AD53" s="84"/>
    </row>
    <row r="54" spans="1:30" ht="15.75" x14ac:dyDescent="0.25">
      <c r="A54" s="16">
        <v>42552</v>
      </c>
      <c r="B54" s="97">
        <v>31</v>
      </c>
      <c r="C54" s="83">
        <f>194.205</f>
        <v>194.20500000000001</v>
      </c>
      <c r="D54" s="83">
        <f>267.466</f>
        <v>267.46600000000001</v>
      </c>
      <c r="E54" s="92">
        <f>133.845</f>
        <v>133.845</v>
      </c>
      <c r="F54" s="83">
        <f>278.484-40-25-60-100</f>
        <v>53.48399999999998</v>
      </c>
      <c r="G54" s="86">
        <v>40</v>
      </c>
      <c r="H54" s="83">
        <f t="shared" si="7"/>
        <v>185</v>
      </c>
      <c r="I54" s="83">
        <f t="shared" si="8"/>
        <v>0</v>
      </c>
      <c r="J54" s="86">
        <v>100</v>
      </c>
      <c r="K54" s="86">
        <v>300</v>
      </c>
      <c r="L54" s="83">
        <f t="shared" si="0"/>
        <v>1274</v>
      </c>
      <c r="M54" s="94"/>
      <c r="N54" s="83">
        <f>30</f>
        <v>30</v>
      </c>
      <c r="O54" s="86">
        <v>240</v>
      </c>
      <c r="P54" s="86">
        <v>160</v>
      </c>
      <c r="Q54" s="86">
        <f t="shared" si="1"/>
        <v>195</v>
      </c>
      <c r="R54" s="86">
        <f t="shared" si="2"/>
        <v>100</v>
      </c>
      <c r="S54" s="83">
        <f t="shared" si="3"/>
        <v>695</v>
      </c>
      <c r="T54" s="83">
        <f>0</f>
        <v>0</v>
      </c>
      <c r="U54" s="84"/>
      <c r="V54" s="84"/>
      <c r="W54" s="84"/>
      <c r="X54" s="84"/>
      <c r="Y54" s="84"/>
      <c r="Z54" s="84"/>
      <c r="AA54" s="84"/>
      <c r="AB54" s="84"/>
      <c r="AC54" s="84"/>
      <c r="AD54" s="84"/>
    </row>
    <row r="55" spans="1:30" ht="15.75" x14ac:dyDescent="0.25">
      <c r="A55" s="16">
        <v>42583</v>
      </c>
      <c r="B55" s="97">
        <v>31</v>
      </c>
      <c r="C55" s="83">
        <f>194.205</f>
        <v>194.20500000000001</v>
      </c>
      <c r="D55" s="83">
        <f>267.466</f>
        <v>267.46600000000001</v>
      </c>
      <c r="E55" s="92">
        <f>133.845</f>
        <v>133.845</v>
      </c>
      <c r="F55" s="83">
        <f>278.484-40-25-60-100</f>
        <v>53.48399999999998</v>
      </c>
      <c r="G55" s="86">
        <v>40</v>
      </c>
      <c r="H55" s="83">
        <f t="shared" si="7"/>
        <v>185</v>
      </c>
      <c r="I55" s="83">
        <f t="shared" si="8"/>
        <v>0</v>
      </c>
      <c r="J55" s="86">
        <v>100</v>
      </c>
      <c r="K55" s="86">
        <v>300</v>
      </c>
      <c r="L55" s="83">
        <f t="shared" si="0"/>
        <v>1274</v>
      </c>
      <c r="M55" s="94"/>
      <c r="N55" s="83">
        <f>30</f>
        <v>30</v>
      </c>
      <c r="O55" s="86">
        <v>240</v>
      </c>
      <c r="P55" s="86">
        <v>160</v>
      </c>
      <c r="Q55" s="86">
        <f t="shared" si="1"/>
        <v>195</v>
      </c>
      <c r="R55" s="86">
        <f t="shared" si="2"/>
        <v>100</v>
      </c>
      <c r="S55" s="83">
        <f t="shared" si="3"/>
        <v>695</v>
      </c>
      <c r="T55" s="83">
        <f>0</f>
        <v>0</v>
      </c>
      <c r="U55" s="84"/>
      <c r="V55" s="84"/>
      <c r="W55" s="84"/>
      <c r="X55" s="84"/>
      <c r="Y55" s="84"/>
      <c r="Z55" s="84"/>
      <c r="AA55" s="84"/>
      <c r="AB55" s="84"/>
      <c r="AC55" s="84"/>
      <c r="AD55" s="84"/>
    </row>
    <row r="56" spans="1:30" ht="15.75" x14ac:dyDescent="0.25">
      <c r="A56" s="16">
        <v>42614</v>
      </c>
      <c r="B56" s="97">
        <v>30</v>
      </c>
      <c r="C56" s="83">
        <f>194.205</f>
        <v>194.20500000000001</v>
      </c>
      <c r="D56" s="83">
        <f>267.466</f>
        <v>267.46600000000001</v>
      </c>
      <c r="E56" s="92">
        <f>133.845</f>
        <v>133.845</v>
      </c>
      <c r="F56" s="83">
        <f>278.484-40-25-60-100</f>
        <v>53.48399999999998</v>
      </c>
      <c r="G56" s="86">
        <v>40</v>
      </c>
      <c r="H56" s="83">
        <f t="shared" si="7"/>
        <v>185</v>
      </c>
      <c r="I56" s="83">
        <f t="shared" si="8"/>
        <v>0</v>
      </c>
      <c r="J56" s="86">
        <v>100</v>
      </c>
      <c r="K56" s="86">
        <v>300</v>
      </c>
      <c r="L56" s="83">
        <f t="shared" si="0"/>
        <v>1274</v>
      </c>
      <c r="M56" s="94"/>
      <c r="N56" s="83">
        <f>30</f>
        <v>30</v>
      </c>
      <c r="O56" s="86">
        <v>240</v>
      </c>
      <c r="P56" s="86">
        <v>160</v>
      </c>
      <c r="Q56" s="86">
        <f t="shared" si="1"/>
        <v>195</v>
      </c>
      <c r="R56" s="86">
        <f t="shared" si="2"/>
        <v>100</v>
      </c>
      <c r="S56" s="83">
        <f t="shared" si="3"/>
        <v>695</v>
      </c>
      <c r="T56" s="83">
        <f>0</f>
        <v>0</v>
      </c>
      <c r="U56" s="84"/>
      <c r="V56" s="84"/>
      <c r="W56" s="84"/>
      <c r="X56" s="84"/>
      <c r="Y56" s="84"/>
      <c r="Z56" s="84"/>
      <c r="AA56" s="84"/>
      <c r="AB56" s="84"/>
      <c r="AC56" s="84"/>
      <c r="AD56" s="84"/>
    </row>
    <row r="57" spans="1:30" ht="15.75" x14ac:dyDescent="0.25">
      <c r="A57" s="16">
        <v>42644</v>
      </c>
      <c r="B57" s="97">
        <v>31</v>
      </c>
      <c r="C57" s="83">
        <f>131.881</f>
        <v>131.881</v>
      </c>
      <c r="D57" s="83">
        <f>277.167</f>
        <v>277.16699999999997</v>
      </c>
      <c r="E57" s="92">
        <f>79.08</f>
        <v>79.08</v>
      </c>
      <c r="F57" s="83">
        <f>350.872-40-25-60-100</f>
        <v>125.87200000000001</v>
      </c>
      <c r="G57" s="86">
        <v>40</v>
      </c>
      <c r="H57" s="83">
        <f t="shared" si="7"/>
        <v>185</v>
      </c>
      <c r="I57" s="83">
        <f t="shared" si="8"/>
        <v>0</v>
      </c>
      <c r="J57" s="86">
        <v>100</v>
      </c>
      <c r="K57" s="86">
        <v>300</v>
      </c>
      <c r="L57" s="83">
        <f t="shared" si="0"/>
        <v>1239</v>
      </c>
      <c r="M57" s="94"/>
      <c r="N57" s="83">
        <f>75</f>
        <v>75</v>
      </c>
      <c r="O57" s="86">
        <v>240</v>
      </c>
      <c r="P57" s="86">
        <v>160</v>
      </c>
      <c r="Q57" s="86">
        <f t="shared" si="1"/>
        <v>195</v>
      </c>
      <c r="R57" s="86">
        <f t="shared" si="2"/>
        <v>100</v>
      </c>
      <c r="S57" s="83">
        <f t="shared" si="3"/>
        <v>695</v>
      </c>
      <c r="T57" s="83">
        <f>0</f>
        <v>0</v>
      </c>
      <c r="U57" s="84"/>
      <c r="V57" s="84"/>
      <c r="W57" s="84"/>
      <c r="X57" s="84"/>
      <c r="Y57" s="84"/>
      <c r="Z57" s="84"/>
      <c r="AA57" s="84"/>
      <c r="AB57" s="84"/>
      <c r="AC57" s="84"/>
      <c r="AD57" s="84"/>
    </row>
    <row r="58" spans="1:30" ht="15.75" x14ac:dyDescent="0.25">
      <c r="A58" s="16">
        <v>42675</v>
      </c>
      <c r="B58" s="97">
        <v>30</v>
      </c>
      <c r="C58" s="83">
        <f>122.58</f>
        <v>122.58</v>
      </c>
      <c r="D58" s="83">
        <f>297.941</f>
        <v>297.94099999999997</v>
      </c>
      <c r="E58" s="92">
        <f>89.177</f>
        <v>89.177000000000007</v>
      </c>
      <c r="F58" s="83">
        <f>240.302-40-60-100</f>
        <v>40.301999999999992</v>
      </c>
      <c r="G58" s="86">
        <v>40</v>
      </c>
      <c r="H58" s="83">
        <f>60+100</f>
        <v>160</v>
      </c>
      <c r="I58" s="83">
        <f t="shared" si="8"/>
        <v>0</v>
      </c>
      <c r="J58" s="86">
        <v>100</v>
      </c>
      <c r="K58" s="86">
        <v>300</v>
      </c>
      <c r="L58" s="83">
        <f t="shared" si="0"/>
        <v>1150</v>
      </c>
      <c r="M58" s="94"/>
      <c r="N58" s="83">
        <f>100</f>
        <v>100</v>
      </c>
      <c r="O58" s="86">
        <v>240</v>
      </c>
      <c r="P58" s="86">
        <v>40</v>
      </c>
      <c r="Q58" s="86">
        <f t="shared" si="1"/>
        <v>315</v>
      </c>
      <c r="R58" s="86">
        <f t="shared" si="2"/>
        <v>100</v>
      </c>
      <c r="S58" s="83">
        <f t="shared" si="3"/>
        <v>695</v>
      </c>
      <c r="T58" s="83">
        <f>50</f>
        <v>50</v>
      </c>
      <c r="U58" s="84"/>
      <c r="V58" s="84"/>
      <c r="W58" s="84"/>
      <c r="X58" s="84"/>
      <c r="Y58" s="84"/>
      <c r="Z58" s="84"/>
      <c r="AA58" s="84"/>
      <c r="AB58" s="84"/>
      <c r="AC58" s="84"/>
      <c r="AD58" s="84"/>
    </row>
    <row r="59" spans="1:30" ht="15.75" x14ac:dyDescent="0.25">
      <c r="A59" s="16">
        <v>42705</v>
      </c>
      <c r="B59" s="97">
        <v>31</v>
      </c>
      <c r="C59" s="83">
        <f>122.58</f>
        <v>122.58</v>
      </c>
      <c r="D59" s="83">
        <f>297.941</f>
        <v>297.94099999999997</v>
      </c>
      <c r="E59" s="92">
        <f>89.177</f>
        <v>89.177000000000007</v>
      </c>
      <c r="F59" s="83">
        <f>240.302-40-60-100</f>
        <v>40.301999999999992</v>
      </c>
      <c r="G59" s="86">
        <v>40</v>
      </c>
      <c r="H59" s="83">
        <f>60+100</f>
        <v>160</v>
      </c>
      <c r="I59" s="83">
        <f t="shared" si="8"/>
        <v>0</v>
      </c>
      <c r="J59" s="86">
        <v>100</v>
      </c>
      <c r="K59" s="86">
        <v>300</v>
      </c>
      <c r="L59" s="83">
        <f t="shared" si="0"/>
        <v>1150</v>
      </c>
      <c r="M59" s="94"/>
      <c r="N59" s="83">
        <f>100</f>
        <v>100</v>
      </c>
      <c r="O59" s="86">
        <v>240</v>
      </c>
      <c r="P59" s="86">
        <v>40</v>
      </c>
      <c r="Q59" s="86">
        <f t="shared" si="1"/>
        <v>315</v>
      </c>
      <c r="R59" s="86">
        <f t="shared" si="2"/>
        <v>100</v>
      </c>
      <c r="S59" s="83">
        <f t="shared" si="3"/>
        <v>695</v>
      </c>
      <c r="T59" s="83">
        <f>50</f>
        <v>50</v>
      </c>
      <c r="U59" s="84"/>
      <c r="V59" s="84"/>
      <c r="W59" s="84"/>
      <c r="X59" s="84"/>
      <c r="Y59" s="84"/>
      <c r="Z59" s="84"/>
      <c r="AA59" s="84"/>
      <c r="AB59" s="84"/>
      <c r="AC59" s="84"/>
      <c r="AD59" s="84"/>
    </row>
    <row r="60" spans="1:30" ht="15.75" x14ac:dyDescent="0.25">
      <c r="A60" s="16">
        <v>42736</v>
      </c>
      <c r="B60" s="97">
        <v>31</v>
      </c>
      <c r="C60" s="83">
        <f>122.58</f>
        <v>122.58</v>
      </c>
      <c r="D60" s="83">
        <f>297.941</f>
        <v>297.94099999999997</v>
      </c>
      <c r="E60" s="92">
        <f>89.177</f>
        <v>89.177000000000007</v>
      </c>
      <c r="F60" s="83">
        <f>240.302-40-60-100</f>
        <v>40.301999999999992</v>
      </c>
      <c r="G60" s="86">
        <v>40</v>
      </c>
      <c r="H60" s="83">
        <f>60+100</f>
        <v>160</v>
      </c>
      <c r="I60" s="83">
        <f t="shared" si="8"/>
        <v>0</v>
      </c>
      <c r="J60" s="86">
        <v>100</v>
      </c>
      <c r="K60" s="86">
        <v>300</v>
      </c>
      <c r="L60" s="83">
        <f t="shared" si="0"/>
        <v>1150</v>
      </c>
      <c r="M60" s="94">
        <v>400</v>
      </c>
      <c r="N60" s="83">
        <f>100</f>
        <v>100</v>
      </c>
      <c r="O60" s="86">
        <v>240</v>
      </c>
      <c r="P60" s="86">
        <v>40</v>
      </c>
      <c r="Q60" s="86">
        <f t="shared" si="1"/>
        <v>315</v>
      </c>
      <c r="R60" s="86">
        <f t="shared" si="2"/>
        <v>100</v>
      </c>
      <c r="S60" s="83">
        <f t="shared" si="3"/>
        <v>695</v>
      </c>
      <c r="T60" s="83">
        <f>50</f>
        <v>50</v>
      </c>
      <c r="U60" s="84"/>
      <c r="V60" s="84"/>
      <c r="W60" s="84"/>
      <c r="X60" s="84"/>
      <c r="Y60" s="84"/>
      <c r="Z60" s="84"/>
      <c r="AA60" s="84"/>
      <c r="AB60" s="84"/>
      <c r="AC60" s="84"/>
      <c r="AD60" s="84"/>
    </row>
    <row r="61" spans="1:30" ht="15.75" x14ac:dyDescent="0.25">
      <c r="A61" s="16">
        <v>42767</v>
      </c>
      <c r="B61" s="97">
        <v>28</v>
      </c>
      <c r="C61" s="83">
        <f>122.58</f>
        <v>122.58</v>
      </c>
      <c r="D61" s="83">
        <f>297.941</f>
        <v>297.94099999999997</v>
      </c>
      <c r="E61" s="92">
        <f>89.177</f>
        <v>89.177000000000007</v>
      </c>
      <c r="F61" s="83">
        <f>240.302-40-60-100</f>
        <v>40.301999999999992</v>
      </c>
      <c r="G61" s="86">
        <v>40</v>
      </c>
      <c r="H61" s="83">
        <f>60+100</f>
        <v>160</v>
      </c>
      <c r="I61" s="83">
        <f t="shared" si="8"/>
        <v>0</v>
      </c>
      <c r="J61" s="86">
        <v>100</v>
      </c>
      <c r="K61" s="86">
        <v>300</v>
      </c>
      <c r="L61" s="83">
        <f t="shared" si="0"/>
        <v>1150</v>
      </c>
      <c r="M61" s="94">
        <v>400</v>
      </c>
      <c r="N61" s="83">
        <f>100</f>
        <v>100</v>
      </c>
      <c r="O61" s="86">
        <v>240</v>
      </c>
      <c r="P61" s="86">
        <v>40</v>
      </c>
      <c r="Q61" s="86">
        <f t="shared" si="1"/>
        <v>315</v>
      </c>
      <c r="R61" s="86">
        <f t="shared" si="2"/>
        <v>100</v>
      </c>
      <c r="S61" s="83">
        <f t="shared" si="3"/>
        <v>695</v>
      </c>
      <c r="T61" s="83">
        <f>50</f>
        <v>50</v>
      </c>
      <c r="U61" s="84"/>
      <c r="V61" s="84"/>
      <c r="W61" s="84"/>
      <c r="X61" s="84"/>
      <c r="Y61" s="84"/>
      <c r="Z61" s="84"/>
      <c r="AA61" s="84"/>
      <c r="AB61" s="84"/>
      <c r="AC61" s="84"/>
      <c r="AD61" s="84"/>
    </row>
    <row r="62" spans="1:30" ht="15.75" x14ac:dyDescent="0.25">
      <c r="A62" s="16">
        <v>42795</v>
      </c>
      <c r="B62" s="97">
        <v>31</v>
      </c>
      <c r="C62" s="83">
        <f>122.58</f>
        <v>122.58</v>
      </c>
      <c r="D62" s="83">
        <f>297.941</f>
        <v>297.94099999999997</v>
      </c>
      <c r="E62" s="92">
        <f>89.177</f>
        <v>89.177000000000007</v>
      </c>
      <c r="F62" s="83">
        <f>240.302-40-60-100</f>
        <v>40.301999999999992</v>
      </c>
      <c r="G62" s="86">
        <v>40</v>
      </c>
      <c r="H62" s="83">
        <f>60+100</f>
        <v>160</v>
      </c>
      <c r="I62" s="83">
        <f t="shared" si="8"/>
        <v>0</v>
      </c>
      <c r="J62" s="86">
        <v>100</v>
      </c>
      <c r="K62" s="86">
        <v>300</v>
      </c>
      <c r="L62" s="83">
        <f t="shared" si="0"/>
        <v>1150</v>
      </c>
      <c r="M62" s="94">
        <v>400</v>
      </c>
      <c r="N62" s="83">
        <f>100</f>
        <v>100</v>
      </c>
      <c r="O62" s="86">
        <v>240</v>
      </c>
      <c r="P62" s="86">
        <v>40</v>
      </c>
      <c r="Q62" s="86">
        <f t="shared" si="1"/>
        <v>315</v>
      </c>
      <c r="R62" s="86">
        <f t="shared" si="2"/>
        <v>100</v>
      </c>
      <c r="S62" s="83">
        <f t="shared" si="3"/>
        <v>695</v>
      </c>
      <c r="T62" s="83">
        <f>50</f>
        <v>50</v>
      </c>
      <c r="U62" s="84"/>
      <c r="V62" s="84"/>
      <c r="W62" s="84"/>
      <c r="X62" s="84"/>
      <c r="Y62" s="84"/>
      <c r="Z62" s="84"/>
      <c r="AA62" s="84"/>
      <c r="AB62" s="84"/>
      <c r="AC62" s="84"/>
      <c r="AD62" s="84"/>
    </row>
    <row r="63" spans="1:30" ht="15.75" x14ac:dyDescent="0.25">
      <c r="A63" s="16">
        <v>42826</v>
      </c>
      <c r="B63" s="97">
        <v>30</v>
      </c>
      <c r="C63" s="83">
        <f>141.293</f>
        <v>141.29300000000001</v>
      </c>
      <c r="D63" s="83">
        <f>267.993</f>
        <v>267.99299999999999</v>
      </c>
      <c r="E63" s="92">
        <f>115.016</f>
        <v>115.01600000000001</v>
      </c>
      <c r="F63" s="83">
        <f>314.698-40-25-60-100</f>
        <v>89.697999999999979</v>
      </c>
      <c r="G63" s="86">
        <v>40</v>
      </c>
      <c r="H63" s="83">
        <f t="shared" ref="H63:H69" si="9">25+60+100</f>
        <v>185</v>
      </c>
      <c r="I63" s="83">
        <f t="shared" si="8"/>
        <v>0</v>
      </c>
      <c r="J63" s="86">
        <v>100</v>
      </c>
      <c r="K63" s="86">
        <v>300</v>
      </c>
      <c r="L63" s="83">
        <f t="shared" si="0"/>
        <v>1239</v>
      </c>
      <c r="M63" s="94">
        <v>400</v>
      </c>
      <c r="N63" s="83">
        <f>100</f>
        <v>100</v>
      </c>
      <c r="O63" s="86">
        <v>240</v>
      </c>
      <c r="P63" s="86">
        <v>160</v>
      </c>
      <c r="Q63" s="86">
        <f t="shared" si="1"/>
        <v>195</v>
      </c>
      <c r="R63" s="86">
        <f t="shared" si="2"/>
        <v>100</v>
      </c>
      <c r="S63" s="83">
        <f t="shared" si="3"/>
        <v>695</v>
      </c>
      <c r="T63" s="83">
        <f>50</f>
        <v>50</v>
      </c>
      <c r="U63" s="84"/>
      <c r="V63" s="84"/>
      <c r="W63" s="84"/>
      <c r="X63" s="84"/>
      <c r="Y63" s="84"/>
      <c r="Z63" s="84"/>
      <c r="AA63" s="84"/>
      <c r="AB63" s="84"/>
      <c r="AC63" s="84"/>
      <c r="AD63" s="84"/>
    </row>
    <row r="64" spans="1:30" ht="15.75" x14ac:dyDescent="0.25">
      <c r="A64" s="16">
        <v>42856</v>
      </c>
      <c r="B64" s="97">
        <v>31</v>
      </c>
      <c r="C64" s="83">
        <f>194.205</f>
        <v>194.20500000000001</v>
      </c>
      <c r="D64" s="83">
        <f>267.466</f>
        <v>267.46600000000001</v>
      </c>
      <c r="E64" s="92">
        <f>133.845</f>
        <v>133.845</v>
      </c>
      <c r="F64" s="83">
        <f>278.484-40-25-60-100</f>
        <v>53.48399999999998</v>
      </c>
      <c r="G64" s="86">
        <v>40</v>
      </c>
      <c r="H64" s="83">
        <f t="shared" si="9"/>
        <v>185</v>
      </c>
      <c r="I64" s="83">
        <f t="shared" si="8"/>
        <v>0</v>
      </c>
      <c r="J64" s="86">
        <v>100</v>
      </c>
      <c r="K64" s="86">
        <v>300</v>
      </c>
      <c r="L64" s="83">
        <f t="shared" si="0"/>
        <v>1274</v>
      </c>
      <c r="M64" s="94">
        <v>400</v>
      </c>
      <c r="N64" s="83">
        <f>75</f>
        <v>75</v>
      </c>
      <c r="O64" s="86">
        <v>240</v>
      </c>
      <c r="P64" s="86">
        <v>160</v>
      </c>
      <c r="Q64" s="86">
        <f t="shared" si="1"/>
        <v>195</v>
      </c>
      <c r="R64" s="86">
        <f t="shared" si="2"/>
        <v>100</v>
      </c>
      <c r="S64" s="83">
        <f t="shared" si="3"/>
        <v>695</v>
      </c>
      <c r="T64" s="83">
        <f>50</f>
        <v>50</v>
      </c>
      <c r="U64" s="84"/>
      <c r="V64" s="84"/>
      <c r="W64" s="84"/>
      <c r="X64" s="84"/>
      <c r="Y64" s="84"/>
      <c r="Z64" s="84"/>
      <c r="AA64" s="84"/>
      <c r="AB64" s="84"/>
      <c r="AC64" s="84"/>
      <c r="AD64" s="84"/>
    </row>
    <row r="65" spans="1:30" ht="15.75" x14ac:dyDescent="0.25">
      <c r="A65" s="16">
        <v>42887</v>
      </c>
      <c r="B65" s="97">
        <v>30</v>
      </c>
      <c r="C65" s="83">
        <f>194.205</f>
        <v>194.20500000000001</v>
      </c>
      <c r="D65" s="83">
        <f>267.466</f>
        <v>267.46600000000001</v>
      </c>
      <c r="E65" s="92">
        <f>133.845</f>
        <v>133.845</v>
      </c>
      <c r="F65" s="83">
        <f>278.484-40-25-60-100</f>
        <v>53.48399999999998</v>
      </c>
      <c r="G65" s="86">
        <v>40</v>
      </c>
      <c r="H65" s="83">
        <f t="shared" si="9"/>
        <v>185</v>
      </c>
      <c r="I65" s="83">
        <f t="shared" si="8"/>
        <v>0</v>
      </c>
      <c r="J65" s="86">
        <v>100</v>
      </c>
      <c r="K65" s="86">
        <v>300</v>
      </c>
      <c r="L65" s="83">
        <f t="shared" si="0"/>
        <v>1274</v>
      </c>
      <c r="M65" s="94">
        <v>400</v>
      </c>
      <c r="N65" s="83">
        <f>30</f>
        <v>30</v>
      </c>
      <c r="O65" s="86">
        <v>240</v>
      </c>
      <c r="P65" s="86">
        <v>160</v>
      </c>
      <c r="Q65" s="86">
        <f t="shared" si="1"/>
        <v>195</v>
      </c>
      <c r="R65" s="86">
        <f t="shared" si="2"/>
        <v>100</v>
      </c>
      <c r="S65" s="83">
        <f t="shared" si="3"/>
        <v>695</v>
      </c>
      <c r="T65" s="83">
        <f>50</f>
        <v>50</v>
      </c>
      <c r="U65" s="84"/>
      <c r="V65" s="84"/>
      <c r="W65" s="84"/>
      <c r="X65" s="84"/>
      <c r="Y65" s="84"/>
      <c r="Z65" s="84"/>
      <c r="AA65" s="84"/>
      <c r="AB65" s="84"/>
      <c r="AC65" s="84"/>
      <c r="AD65" s="84"/>
    </row>
    <row r="66" spans="1:30" ht="15.75" x14ac:dyDescent="0.25">
      <c r="A66" s="16">
        <v>42917</v>
      </c>
      <c r="B66" s="97">
        <v>31</v>
      </c>
      <c r="C66" s="83">
        <f>194.205</f>
        <v>194.20500000000001</v>
      </c>
      <c r="D66" s="83">
        <f>267.466</f>
        <v>267.46600000000001</v>
      </c>
      <c r="E66" s="92">
        <f>133.845</f>
        <v>133.845</v>
      </c>
      <c r="F66" s="83">
        <f>278.484-40-25-60-100</f>
        <v>53.48399999999998</v>
      </c>
      <c r="G66" s="86">
        <v>40</v>
      </c>
      <c r="H66" s="83">
        <f t="shared" si="9"/>
        <v>185</v>
      </c>
      <c r="I66" s="83">
        <f t="shared" si="8"/>
        <v>0</v>
      </c>
      <c r="J66" s="86">
        <v>100</v>
      </c>
      <c r="K66" s="86">
        <v>300</v>
      </c>
      <c r="L66" s="83">
        <f t="shared" si="0"/>
        <v>1274</v>
      </c>
      <c r="M66" s="94">
        <v>400</v>
      </c>
      <c r="N66" s="83">
        <f>30</f>
        <v>30</v>
      </c>
      <c r="O66" s="86">
        <v>240</v>
      </c>
      <c r="P66" s="86">
        <v>160</v>
      </c>
      <c r="Q66" s="86">
        <f t="shared" si="1"/>
        <v>195</v>
      </c>
      <c r="R66" s="86">
        <f t="shared" si="2"/>
        <v>100</v>
      </c>
      <c r="S66" s="83">
        <f t="shared" si="3"/>
        <v>695</v>
      </c>
      <c r="T66" s="83">
        <f>0</f>
        <v>0</v>
      </c>
      <c r="U66" s="84"/>
      <c r="V66" s="84"/>
      <c r="W66" s="84"/>
      <c r="X66" s="84"/>
      <c r="Y66" s="84"/>
      <c r="Z66" s="84"/>
      <c r="AA66" s="84"/>
      <c r="AB66" s="84"/>
      <c r="AC66" s="84"/>
      <c r="AD66" s="84"/>
    </row>
    <row r="67" spans="1:30" ht="15.75" x14ac:dyDescent="0.25">
      <c r="A67" s="16">
        <v>42948</v>
      </c>
      <c r="B67" s="97">
        <v>31</v>
      </c>
      <c r="C67" s="83">
        <f>194.205</f>
        <v>194.20500000000001</v>
      </c>
      <c r="D67" s="83">
        <f>267.466</f>
        <v>267.46600000000001</v>
      </c>
      <c r="E67" s="92">
        <f>133.845</f>
        <v>133.845</v>
      </c>
      <c r="F67" s="83">
        <f>278.484-40-25-60-100</f>
        <v>53.48399999999998</v>
      </c>
      <c r="G67" s="86">
        <v>40</v>
      </c>
      <c r="H67" s="83">
        <f t="shared" si="9"/>
        <v>185</v>
      </c>
      <c r="I67" s="83">
        <f t="shared" si="8"/>
        <v>0</v>
      </c>
      <c r="J67" s="86">
        <v>100</v>
      </c>
      <c r="K67" s="86">
        <v>300</v>
      </c>
      <c r="L67" s="83">
        <f t="shared" si="0"/>
        <v>1274</v>
      </c>
      <c r="M67" s="94">
        <v>400</v>
      </c>
      <c r="N67" s="83">
        <f>30</f>
        <v>30</v>
      </c>
      <c r="O67" s="86">
        <v>240</v>
      </c>
      <c r="P67" s="86">
        <v>160</v>
      </c>
      <c r="Q67" s="86">
        <f t="shared" si="1"/>
        <v>195</v>
      </c>
      <c r="R67" s="86">
        <f t="shared" si="2"/>
        <v>100</v>
      </c>
      <c r="S67" s="83">
        <f t="shared" si="3"/>
        <v>695</v>
      </c>
      <c r="T67" s="83">
        <f>0</f>
        <v>0</v>
      </c>
      <c r="U67" s="84"/>
      <c r="V67" s="84"/>
      <c r="W67" s="84"/>
      <c r="X67" s="84"/>
      <c r="Y67" s="84"/>
      <c r="Z67" s="84"/>
      <c r="AA67" s="84"/>
      <c r="AB67" s="84"/>
      <c r="AC67" s="84"/>
      <c r="AD67" s="84"/>
    </row>
    <row r="68" spans="1:30" ht="15.75" x14ac:dyDescent="0.25">
      <c r="A68" s="16">
        <v>42979</v>
      </c>
      <c r="B68" s="97">
        <v>30</v>
      </c>
      <c r="C68" s="83">
        <f>194.205</f>
        <v>194.20500000000001</v>
      </c>
      <c r="D68" s="83">
        <f>267.466</f>
        <v>267.46600000000001</v>
      </c>
      <c r="E68" s="92">
        <f>133.845</f>
        <v>133.845</v>
      </c>
      <c r="F68" s="83">
        <f>278.484-40-25-60-100</f>
        <v>53.48399999999998</v>
      </c>
      <c r="G68" s="86">
        <v>40</v>
      </c>
      <c r="H68" s="83">
        <f t="shared" si="9"/>
        <v>185</v>
      </c>
      <c r="I68" s="83">
        <f t="shared" si="8"/>
        <v>0</v>
      </c>
      <c r="J68" s="86">
        <v>100</v>
      </c>
      <c r="K68" s="86">
        <v>300</v>
      </c>
      <c r="L68" s="83">
        <f t="shared" si="0"/>
        <v>1274</v>
      </c>
      <c r="M68" s="94">
        <v>400</v>
      </c>
      <c r="N68" s="83">
        <f>30</f>
        <v>30</v>
      </c>
      <c r="O68" s="86">
        <v>240</v>
      </c>
      <c r="P68" s="86">
        <v>160</v>
      </c>
      <c r="Q68" s="86">
        <f t="shared" si="1"/>
        <v>195</v>
      </c>
      <c r="R68" s="86">
        <f t="shared" si="2"/>
        <v>100</v>
      </c>
      <c r="S68" s="83">
        <f t="shared" si="3"/>
        <v>695</v>
      </c>
      <c r="T68" s="83">
        <f>0</f>
        <v>0</v>
      </c>
      <c r="U68" s="84"/>
      <c r="V68" s="84"/>
      <c r="W68" s="84"/>
      <c r="X68" s="84"/>
      <c r="Y68" s="84"/>
      <c r="Z68" s="84"/>
      <c r="AA68" s="84"/>
      <c r="AB68" s="84"/>
      <c r="AC68" s="84"/>
      <c r="AD68" s="84"/>
    </row>
    <row r="69" spans="1:30" ht="15.75" x14ac:dyDescent="0.25">
      <c r="A69" s="16">
        <v>43009</v>
      </c>
      <c r="B69" s="97">
        <v>31</v>
      </c>
      <c r="C69" s="83">
        <f>131.881</f>
        <v>131.881</v>
      </c>
      <c r="D69" s="83">
        <f>277.167</f>
        <v>277.16699999999997</v>
      </c>
      <c r="E69" s="92">
        <f>79.08</f>
        <v>79.08</v>
      </c>
      <c r="F69" s="83">
        <f>350.872-40-25-60-100</f>
        <v>125.87200000000001</v>
      </c>
      <c r="G69" s="86">
        <v>40</v>
      </c>
      <c r="H69" s="83">
        <f t="shared" si="9"/>
        <v>185</v>
      </c>
      <c r="I69" s="83">
        <f t="shared" si="8"/>
        <v>0</v>
      </c>
      <c r="J69" s="86">
        <v>100</v>
      </c>
      <c r="K69" s="86">
        <v>300</v>
      </c>
      <c r="L69" s="83">
        <f t="shared" si="0"/>
        <v>1239</v>
      </c>
      <c r="M69" s="94">
        <v>400</v>
      </c>
      <c r="N69" s="83">
        <f>75</f>
        <v>75</v>
      </c>
      <c r="O69" s="86">
        <v>240</v>
      </c>
      <c r="P69" s="86">
        <v>160</v>
      </c>
      <c r="Q69" s="86">
        <f t="shared" si="1"/>
        <v>195</v>
      </c>
      <c r="R69" s="86">
        <f t="shared" si="2"/>
        <v>100</v>
      </c>
      <c r="S69" s="83">
        <f t="shared" si="3"/>
        <v>695</v>
      </c>
      <c r="T69" s="83">
        <f>0</f>
        <v>0</v>
      </c>
      <c r="U69" s="84"/>
      <c r="V69" s="84"/>
      <c r="W69" s="84"/>
      <c r="X69" s="84"/>
      <c r="Y69" s="84"/>
      <c r="Z69" s="84"/>
      <c r="AA69" s="84"/>
      <c r="AB69" s="84"/>
      <c r="AC69" s="84"/>
      <c r="AD69" s="84"/>
    </row>
    <row r="70" spans="1:30" ht="15.75" x14ac:dyDescent="0.25">
      <c r="A70" s="16">
        <v>43040</v>
      </c>
      <c r="B70" s="97">
        <v>30</v>
      </c>
      <c r="C70" s="83">
        <f>122.58</f>
        <v>122.58</v>
      </c>
      <c r="D70" s="83">
        <f>297.941</f>
        <v>297.94099999999997</v>
      </c>
      <c r="E70" s="92">
        <f>89.177</f>
        <v>89.177000000000007</v>
      </c>
      <c r="F70" s="83">
        <f>240.302-40-60-100</f>
        <v>40.301999999999992</v>
      </c>
      <c r="G70" s="86">
        <v>40</v>
      </c>
      <c r="H70" s="83">
        <f>60+100</f>
        <v>160</v>
      </c>
      <c r="I70" s="83">
        <f t="shared" si="8"/>
        <v>0</v>
      </c>
      <c r="J70" s="86">
        <v>100</v>
      </c>
      <c r="K70" s="86">
        <v>300</v>
      </c>
      <c r="L70" s="83">
        <f t="shared" si="0"/>
        <v>1150</v>
      </c>
      <c r="M70" s="94">
        <v>400</v>
      </c>
      <c r="N70" s="83">
        <f>100</f>
        <v>100</v>
      </c>
      <c r="O70" s="86">
        <v>240</v>
      </c>
      <c r="P70" s="86">
        <v>40</v>
      </c>
      <c r="Q70" s="86">
        <f t="shared" si="1"/>
        <v>315</v>
      </c>
      <c r="R70" s="86">
        <f t="shared" si="2"/>
        <v>100</v>
      </c>
      <c r="S70" s="83">
        <f t="shared" si="3"/>
        <v>695</v>
      </c>
      <c r="T70" s="83">
        <f>50</f>
        <v>50</v>
      </c>
      <c r="U70" s="84"/>
      <c r="V70" s="84"/>
      <c r="W70" s="84"/>
      <c r="X70" s="84"/>
      <c r="Y70" s="84"/>
      <c r="Z70" s="84"/>
      <c r="AA70" s="84"/>
      <c r="AB70" s="84"/>
      <c r="AC70" s="84"/>
      <c r="AD70" s="84"/>
    </row>
    <row r="71" spans="1:30" ht="15.75" x14ac:dyDescent="0.25">
      <c r="A71" s="16">
        <v>43070</v>
      </c>
      <c r="B71" s="97">
        <v>31</v>
      </c>
      <c r="C71" s="83">
        <f>122.58</f>
        <v>122.58</v>
      </c>
      <c r="D71" s="83">
        <f>297.941</f>
        <v>297.94099999999997</v>
      </c>
      <c r="E71" s="92">
        <f>89.177</f>
        <v>89.177000000000007</v>
      </c>
      <c r="F71" s="83">
        <f>240.302-40-60-100</f>
        <v>40.301999999999992</v>
      </c>
      <c r="G71" s="86">
        <v>40</v>
      </c>
      <c r="H71" s="83">
        <f>60+100</f>
        <v>160</v>
      </c>
      <c r="I71" s="83">
        <f t="shared" si="8"/>
        <v>0</v>
      </c>
      <c r="J71" s="86">
        <v>100</v>
      </c>
      <c r="K71" s="86">
        <v>300</v>
      </c>
      <c r="L71" s="83">
        <f t="shared" si="0"/>
        <v>1150</v>
      </c>
      <c r="M71" s="94">
        <v>400</v>
      </c>
      <c r="N71" s="83">
        <f>100</f>
        <v>100</v>
      </c>
      <c r="O71" s="86">
        <v>240</v>
      </c>
      <c r="P71" s="86">
        <v>40</v>
      </c>
      <c r="Q71" s="86">
        <f t="shared" si="1"/>
        <v>315</v>
      </c>
      <c r="R71" s="86">
        <f t="shared" si="2"/>
        <v>100</v>
      </c>
      <c r="S71" s="83">
        <f t="shared" si="3"/>
        <v>695</v>
      </c>
      <c r="T71" s="83">
        <f>50</f>
        <v>50</v>
      </c>
      <c r="U71" s="84"/>
      <c r="V71" s="84"/>
      <c r="W71" s="84"/>
      <c r="X71" s="84"/>
      <c r="Y71" s="84"/>
      <c r="Z71" s="84"/>
      <c r="AA71" s="84"/>
      <c r="AB71" s="84"/>
      <c r="AC71" s="84"/>
      <c r="AD71" s="84"/>
    </row>
    <row r="72" spans="1:30" ht="15.75" x14ac:dyDescent="0.25">
      <c r="A72" s="16">
        <v>43101</v>
      </c>
      <c r="B72" s="97">
        <v>31</v>
      </c>
      <c r="C72" s="83">
        <f>122.58</f>
        <v>122.58</v>
      </c>
      <c r="D72" s="83">
        <f>297.941</f>
        <v>297.94099999999997</v>
      </c>
      <c r="E72" s="92">
        <f>89.177</f>
        <v>89.177000000000007</v>
      </c>
      <c r="F72" s="83">
        <f>240.302-40-60-100</f>
        <v>40.301999999999992</v>
      </c>
      <c r="G72" s="86">
        <v>40</v>
      </c>
      <c r="H72" s="83">
        <f>60+100</f>
        <v>160</v>
      </c>
      <c r="I72" s="83">
        <f t="shared" si="8"/>
        <v>0</v>
      </c>
      <c r="J72" s="86">
        <v>100</v>
      </c>
      <c r="K72" s="86">
        <v>300</v>
      </c>
      <c r="L72" s="83">
        <f t="shared" si="0"/>
        <v>1150</v>
      </c>
      <c r="M72" s="94">
        <v>400</v>
      </c>
      <c r="N72" s="83">
        <f>100</f>
        <v>100</v>
      </c>
      <c r="O72" s="86">
        <v>240</v>
      </c>
      <c r="P72" s="86">
        <v>40</v>
      </c>
      <c r="Q72" s="86">
        <f t="shared" si="1"/>
        <v>315</v>
      </c>
      <c r="R72" s="86">
        <f t="shared" si="2"/>
        <v>100</v>
      </c>
      <c r="S72" s="83">
        <f t="shared" si="3"/>
        <v>695</v>
      </c>
      <c r="T72" s="83">
        <f>50</f>
        <v>50</v>
      </c>
      <c r="U72" s="84"/>
      <c r="V72" s="84"/>
      <c r="W72" s="84"/>
      <c r="X72" s="84"/>
      <c r="Y72" s="84"/>
      <c r="Z72" s="84"/>
      <c r="AA72" s="84"/>
      <c r="AB72" s="84"/>
      <c r="AC72" s="84"/>
      <c r="AD72" s="84"/>
    </row>
    <row r="73" spans="1:30" ht="15.75" x14ac:dyDescent="0.25">
      <c r="A73" s="16">
        <v>43132</v>
      </c>
      <c r="B73" s="97">
        <v>28</v>
      </c>
      <c r="C73" s="83">
        <f>122.58</f>
        <v>122.58</v>
      </c>
      <c r="D73" s="83">
        <f>297.941</f>
        <v>297.94099999999997</v>
      </c>
      <c r="E73" s="92">
        <f>89.177</f>
        <v>89.177000000000007</v>
      </c>
      <c r="F73" s="83">
        <f>240.302-40-60-100</f>
        <v>40.301999999999992</v>
      </c>
      <c r="G73" s="86">
        <v>40</v>
      </c>
      <c r="H73" s="83">
        <f>60+100</f>
        <v>160</v>
      </c>
      <c r="I73" s="83">
        <f t="shared" si="8"/>
        <v>0</v>
      </c>
      <c r="J73" s="86">
        <v>100</v>
      </c>
      <c r="K73" s="86">
        <v>300</v>
      </c>
      <c r="L73" s="83">
        <f t="shared" si="0"/>
        <v>1150</v>
      </c>
      <c r="M73" s="94">
        <v>400</v>
      </c>
      <c r="N73" s="83">
        <f>100</f>
        <v>100</v>
      </c>
      <c r="O73" s="86">
        <v>240</v>
      </c>
      <c r="P73" s="86">
        <v>40</v>
      </c>
      <c r="Q73" s="86">
        <f t="shared" si="1"/>
        <v>315</v>
      </c>
      <c r="R73" s="86">
        <f t="shared" si="2"/>
        <v>100</v>
      </c>
      <c r="S73" s="83">
        <f t="shared" si="3"/>
        <v>695</v>
      </c>
      <c r="T73" s="83">
        <f>50</f>
        <v>50</v>
      </c>
      <c r="U73" s="84"/>
      <c r="V73" s="84"/>
      <c r="W73" s="84"/>
      <c r="X73" s="84"/>
      <c r="Y73" s="84"/>
      <c r="Z73" s="84"/>
      <c r="AA73" s="84"/>
      <c r="AB73" s="84"/>
      <c r="AC73" s="84"/>
      <c r="AD73" s="84"/>
    </row>
    <row r="74" spans="1:30" ht="15.75" x14ac:dyDescent="0.25">
      <c r="A74" s="16">
        <v>43160</v>
      </c>
      <c r="B74" s="97">
        <v>31</v>
      </c>
      <c r="C74" s="83">
        <f>122.58</f>
        <v>122.58</v>
      </c>
      <c r="D74" s="83">
        <f>297.941</f>
        <v>297.94099999999997</v>
      </c>
      <c r="E74" s="92">
        <f>89.177</f>
        <v>89.177000000000007</v>
      </c>
      <c r="F74" s="83">
        <f>240.302-40-60-100</f>
        <v>40.301999999999992</v>
      </c>
      <c r="G74" s="86">
        <v>40</v>
      </c>
      <c r="H74" s="83">
        <f>60+100</f>
        <v>160</v>
      </c>
      <c r="I74" s="83">
        <f t="shared" si="8"/>
        <v>0</v>
      </c>
      <c r="J74" s="86">
        <v>100</v>
      </c>
      <c r="K74" s="86">
        <v>300</v>
      </c>
      <c r="L74" s="83">
        <f t="shared" si="0"/>
        <v>1150</v>
      </c>
      <c r="M74" s="94">
        <v>400</v>
      </c>
      <c r="N74" s="83">
        <f>100</f>
        <v>100</v>
      </c>
      <c r="O74" s="86">
        <v>240</v>
      </c>
      <c r="P74" s="86">
        <v>40</v>
      </c>
      <c r="Q74" s="86">
        <f t="shared" si="1"/>
        <v>315</v>
      </c>
      <c r="R74" s="86">
        <f t="shared" si="2"/>
        <v>100</v>
      </c>
      <c r="S74" s="83">
        <f t="shared" si="3"/>
        <v>695</v>
      </c>
      <c r="T74" s="83">
        <f>50</f>
        <v>50</v>
      </c>
      <c r="U74" s="84"/>
      <c r="V74" s="84"/>
      <c r="W74" s="84"/>
      <c r="X74" s="84"/>
      <c r="Y74" s="84"/>
      <c r="Z74" s="84"/>
      <c r="AA74" s="84"/>
      <c r="AB74" s="84"/>
      <c r="AC74" s="84"/>
      <c r="AD74" s="84"/>
    </row>
    <row r="75" spans="1:30" ht="15.75" x14ac:dyDescent="0.25">
      <c r="A75" s="16">
        <v>43191</v>
      </c>
      <c r="B75" s="97">
        <v>30</v>
      </c>
      <c r="C75" s="83">
        <f>141.293</f>
        <v>141.29300000000001</v>
      </c>
      <c r="D75" s="83">
        <f>267.993</f>
        <v>267.99299999999999</v>
      </c>
      <c r="E75" s="92">
        <f>115.016</f>
        <v>115.01600000000001</v>
      </c>
      <c r="F75" s="83">
        <f>314.698-40-25-60-100</f>
        <v>89.697999999999979</v>
      </c>
      <c r="G75" s="86">
        <v>40</v>
      </c>
      <c r="H75" s="83">
        <f t="shared" ref="H75:H81" si="10">25+60+100</f>
        <v>185</v>
      </c>
      <c r="I75" s="83">
        <f t="shared" si="8"/>
        <v>0</v>
      </c>
      <c r="J75" s="86">
        <v>100</v>
      </c>
      <c r="K75" s="86">
        <v>300</v>
      </c>
      <c r="L75" s="83">
        <f t="shared" si="0"/>
        <v>1239</v>
      </c>
      <c r="M75" s="94">
        <v>400</v>
      </c>
      <c r="N75" s="83">
        <f>100</f>
        <v>100</v>
      </c>
      <c r="O75" s="86">
        <v>240</v>
      </c>
      <c r="P75" s="86">
        <v>160</v>
      </c>
      <c r="Q75" s="86">
        <f t="shared" si="1"/>
        <v>195</v>
      </c>
      <c r="R75" s="86">
        <f t="shared" si="2"/>
        <v>100</v>
      </c>
      <c r="S75" s="83">
        <f t="shared" si="3"/>
        <v>695</v>
      </c>
      <c r="T75" s="83">
        <f>50</f>
        <v>50</v>
      </c>
      <c r="U75" s="84"/>
      <c r="V75" s="84"/>
      <c r="W75" s="84"/>
      <c r="X75" s="84"/>
      <c r="Y75" s="84"/>
      <c r="Z75" s="84"/>
      <c r="AA75" s="84"/>
      <c r="AB75" s="84"/>
      <c r="AC75" s="84"/>
      <c r="AD75" s="84"/>
    </row>
    <row r="76" spans="1:30" ht="15.75" x14ac:dyDescent="0.25">
      <c r="A76" s="16">
        <v>43221</v>
      </c>
      <c r="B76" s="97">
        <v>31</v>
      </c>
      <c r="C76" s="83">
        <f>194.205</f>
        <v>194.20500000000001</v>
      </c>
      <c r="D76" s="83">
        <f>267.466</f>
        <v>267.46600000000001</v>
      </c>
      <c r="E76" s="92">
        <f>133.845</f>
        <v>133.845</v>
      </c>
      <c r="F76" s="83">
        <f>278.484-40-25-60-100</f>
        <v>53.48399999999998</v>
      </c>
      <c r="G76" s="86">
        <v>40</v>
      </c>
      <c r="H76" s="83">
        <f t="shared" si="10"/>
        <v>185</v>
      </c>
      <c r="I76" s="83">
        <f t="shared" si="8"/>
        <v>0</v>
      </c>
      <c r="J76" s="86">
        <v>100</v>
      </c>
      <c r="K76" s="86">
        <v>300</v>
      </c>
      <c r="L76" s="83">
        <f t="shared" si="0"/>
        <v>1274</v>
      </c>
      <c r="M76" s="94">
        <v>400</v>
      </c>
      <c r="N76" s="83">
        <f>75</f>
        <v>75</v>
      </c>
      <c r="O76" s="86">
        <v>240</v>
      </c>
      <c r="P76" s="86">
        <v>160</v>
      </c>
      <c r="Q76" s="86">
        <f t="shared" si="1"/>
        <v>195</v>
      </c>
      <c r="R76" s="86">
        <f t="shared" si="2"/>
        <v>100</v>
      </c>
      <c r="S76" s="83">
        <f t="shared" si="3"/>
        <v>695</v>
      </c>
      <c r="T76" s="83">
        <f>50</f>
        <v>50</v>
      </c>
      <c r="U76" s="84"/>
      <c r="V76" s="84"/>
      <c r="W76" s="84"/>
      <c r="X76" s="84"/>
      <c r="Y76" s="84"/>
      <c r="Z76" s="84"/>
      <c r="AA76" s="84"/>
      <c r="AB76" s="84"/>
      <c r="AC76" s="84"/>
      <c r="AD76" s="84"/>
    </row>
    <row r="77" spans="1:30" ht="15.75" x14ac:dyDescent="0.25">
      <c r="A77" s="16">
        <v>43252</v>
      </c>
      <c r="B77" s="97">
        <v>30</v>
      </c>
      <c r="C77" s="83">
        <f>194.205</f>
        <v>194.20500000000001</v>
      </c>
      <c r="D77" s="83">
        <f>267.466</f>
        <v>267.46600000000001</v>
      </c>
      <c r="E77" s="92">
        <f>133.845</f>
        <v>133.845</v>
      </c>
      <c r="F77" s="83">
        <f>278.484-40-25-60-100</f>
        <v>53.48399999999998</v>
      </c>
      <c r="G77" s="86">
        <v>40</v>
      </c>
      <c r="H77" s="83">
        <f t="shared" si="10"/>
        <v>185</v>
      </c>
      <c r="I77" s="83">
        <f t="shared" si="8"/>
        <v>0</v>
      </c>
      <c r="J77" s="86">
        <v>100</v>
      </c>
      <c r="K77" s="86">
        <v>300</v>
      </c>
      <c r="L77" s="83">
        <f t="shared" si="0"/>
        <v>1274</v>
      </c>
      <c r="M77" s="94">
        <v>400</v>
      </c>
      <c r="N77" s="83">
        <f>30</f>
        <v>30</v>
      </c>
      <c r="O77" s="86">
        <v>240</v>
      </c>
      <c r="P77" s="86">
        <v>160</v>
      </c>
      <c r="Q77" s="86">
        <f t="shared" si="1"/>
        <v>195</v>
      </c>
      <c r="R77" s="86">
        <f t="shared" si="2"/>
        <v>100</v>
      </c>
      <c r="S77" s="83">
        <f t="shared" si="3"/>
        <v>695</v>
      </c>
      <c r="T77" s="83">
        <f>50</f>
        <v>50</v>
      </c>
      <c r="U77" s="84"/>
      <c r="V77" s="84"/>
      <c r="W77" s="84"/>
      <c r="X77" s="84"/>
      <c r="Y77" s="84"/>
      <c r="Z77" s="84"/>
      <c r="AA77" s="84"/>
      <c r="AB77" s="84"/>
      <c r="AC77" s="84"/>
      <c r="AD77" s="84"/>
    </row>
    <row r="78" spans="1:30" ht="15.75" x14ac:dyDescent="0.25">
      <c r="A78" s="16">
        <v>43282</v>
      </c>
      <c r="B78" s="97">
        <v>31</v>
      </c>
      <c r="C78" s="83">
        <f>194.205</f>
        <v>194.20500000000001</v>
      </c>
      <c r="D78" s="83">
        <f>267.466</f>
        <v>267.46600000000001</v>
      </c>
      <c r="E78" s="92">
        <f>133.845</f>
        <v>133.845</v>
      </c>
      <c r="F78" s="83">
        <f>278.484-40-25-60-100</f>
        <v>53.48399999999998</v>
      </c>
      <c r="G78" s="86">
        <v>40</v>
      </c>
      <c r="H78" s="83">
        <f t="shared" si="10"/>
        <v>185</v>
      </c>
      <c r="I78" s="83">
        <f t="shared" si="8"/>
        <v>0</v>
      </c>
      <c r="J78" s="86">
        <v>100</v>
      </c>
      <c r="K78" s="86">
        <v>300</v>
      </c>
      <c r="L78" s="83">
        <f t="shared" si="0"/>
        <v>1274</v>
      </c>
      <c r="M78" s="94">
        <v>400</v>
      </c>
      <c r="N78" s="83">
        <f>30</f>
        <v>30</v>
      </c>
      <c r="O78" s="86">
        <v>240</v>
      </c>
      <c r="P78" s="86">
        <v>160</v>
      </c>
      <c r="Q78" s="86">
        <f t="shared" si="1"/>
        <v>195</v>
      </c>
      <c r="R78" s="86">
        <f t="shared" si="2"/>
        <v>100</v>
      </c>
      <c r="S78" s="83">
        <f t="shared" si="3"/>
        <v>695</v>
      </c>
      <c r="T78" s="83">
        <f>0</f>
        <v>0</v>
      </c>
      <c r="U78" s="84"/>
      <c r="V78" s="84"/>
      <c r="W78" s="84"/>
      <c r="X78" s="84"/>
      <c r="Y78" s="84"/>
      <c r="Z78" s="84"/>
      <c r="AA78" s="84"/>
      <c r="AB78" s="84"/>
      <c r="AC78" s="84"/>
      <c r="AD78" s="84"/>
    </row>
    <row r="79" spans="1:30" ht="15.75" x14ac:dyDescent="0.25">
      <c r="A79" s="16">
        <v>43313</v>
      </c>
      <c r="B79" s="97">
        <v>31</v>
      </c>
      <c r="C79" s="83">
        <f>194.205</f>
        <v>194.20500000000001</v>
      </c>
      <c r="D79" s="83">
        <f>267.466</f>
        <v>267.46600000000001</v>
      </c>
      <c r="E79" s="92">
        <f>133.845</f>
        <v>133.845</v>
      </c>
      <c r="F79" s="83">
        <f>278.484-40-25-60-100</f>
        <v>53.48399999999998</v>
      </c>
      <c r="G79" s="86">
        <v>40</v>
      </c>
      <c r="H79" s="83">
        <f t="shared" si="10"/>
        <v>185</v>
      </c>
      <c r="I79" s="83">
        <f t="shared" si="8"/>
        <v>0</v>
      </c>
      <c r="J79" s="86">
        <v>100</v>
      </c>
      <c r="K79" s="86">
        <v>300</v>
      </c>
      <c r="L79" s="83">
        <f t="shared" si="0"/>
        <v>1274</v>
      </c>
      <c r="M79" s="94">
        <v>400</v>
      </c>
      <c r="N79" s="83">
        <f>30</f>
        <v>30</v>
      </c>
      <c r="O79" s="86">
        <v>240</v>
      </c>
      <c r="P79" s="86">
        <v>160</v>
      </c>
      <c r="Q79" s="86">
        <f t="shared" si="1"/>
        <v>195</v>
      </c>
      <c r="R79" s="86">
        <f t="shared" si="2"/>
        <v>100</v>
      </c>
      <c r="S79" s="83">
        <f t="shared" si="3"/>
        <v>695</v>
      </c>
      <c r="T79" s="83">
        <f>0</f>
        <v>0</v>
      </c>
      <c r="U79" s="84"/>
      <c r="V79" s="84"/>
      <c r="W79" s="84"/>
      <c r="X79" s="84"/>
      <c r="Y79" s="84"/>
      <c r="Z79" s="84"/>
      <c r="AA79" s="84"/>
      <c r="AB79" s="84"/>
      <c r="AC79" s="84"/>
      <c r="AD79" s="84"/>
    </row>
    <row r="80" spans="1:30" ht="15.75" x14ac:dyDescent="0.25">
      <c r="A80" s="16">
        <v>43344</v>
      </c>
      <c r="B80" s="97">
        <v>30</v>
      </c>
      <c r="C80" s="83">
        <f>194.205</f>
        <v>194.20500000000001</v>
      </c>
      <c r="D80" s="83">
        <f>267.466</f>
        <v>267.46600000000001</v>
      </c>
      <c r="E80" s="92">
        <f>133.845</f>
        <v>133.845</v>
      </c>
      <c r="F80" s="83">
        <f>278.484-40-25-60-100</f>
        <v>53.48399999999998</v>
      </c>
      <c r="G80" s="86">
        <v>40</v>
      </c>
      <c r="H80" s="83">
        <f t="shared" si="10"/>
        <v>185</v>
      </c>
      <c r="I80" s="83">
        <f t="shared" si="8"/>
        <v>0</v>
      </c>
      <c r="J80" s="86">
        <v>100</v>
      </c>
      <c r="K80" s="86">
        <v>300</v>
      </c>
      <c r="L80" s="83">
        <f t="shared" si="0"/>
        <v>1274</v>
      </c>
      <c r="M80" s="94">
        <v>400</v>
      </c>
      <c r="N80" s="83">
        <f>30</f>
        <v>30</v>
      </c>
      <c r="O80" s="86">
        <v>240</v>
      </c>
      <c r="P80" s="86">
        <v>160</v>
      </c>
      <c r="Q80" s="86">
        <f t="shared" si="1"/>
        <v>195</v>
      </c>
      <c r="R80" s="86">
        <f t="shared" si="2"/>
        <v>100</v>
      </c>
      <c r="S80" s="83">
        <f t="shared" si="3"/>
        <v>695</v>
      </c>
      <c r="T80" s="83">
        <f>0</f>
        <v>0</v>
      </c>
      <c r="U80" s="84"/>
      <c r="V80" s="84"/>
      <c r="W80" s="84"/>
      <c r="X80" s="84"/>
      <c r="Y80" s="84"/>
      <c r="Z80" s="84"/>
      <c r="AA80" s="84"/>
      <c r="AB80" s="84"/>
      <c r="AC80" s="84"/>
      <c r="AD80" s="84"/>
    </row>
    <row r="81" spans="1:30" ht="15.75" x14ac:dyDescent="0.25">
      <c r="A81" s="16">
        <v>43374</v>
      </c>
      <c r="B81" s="97">
        <v>31</v>
      </c>
      <c r="C81" s="83">
        <f>131.881</f>
        <v>131.881</v>
      </c>
      <c r="D81" s="83">
        <f>277.167</f>
        <v>277.16699999999997</v>
      </c>
      <c r="E81" s="92">
        <f>79.08</f>
        <v>79.08</v>
      </c>
      <c r="F81" s="83">
        <f>350.872-40-25-60-100</f>
        <v>125.87200000000001</v>
      </c>
      <c r="G81" s="86">
        <v>40</v>
      </c>
      <c r="H81" s="83">
        <f t="shared" si="10"/>
        <v>185</v>
      </c>
      <c r="I81" s="83">
        <f t="shared" si="8"/>
        <v>0</v>
      </c>
      <c r="J81" s="86">
        <v>100</v>
      </c>
      <c r="K81" s="86">
        <v>300</v>
      </c>
      <c r="L81" s="83">
        <f t="shared" si="0"/>
        <v>1239</v>
      </c>
      <c r="M81" s="94">
        <v>400</v>
      </c>
      <c r="N81" s="83">
        <f>75</f>
        <v>75</v>
      </c>
      <c r="O81" s="86">
        <v>240</v>
      </c>
      <c r="P81" s="86">
        <v>160</v>
      </c>
      <c r="Q81" s="86">
        <f t="shared" si="1"/>
        <v>195</v>
      </c>
      <c r="R81" s="86">
        <f t="shared" si="2"/>
        <v>100</v>
      </c>
      <c r="S81" s="83">
        <f t="shared" si="3"/>
        <v>695</v>
      </c>
      <c r="T81" s="83">
        <f>0</f>
        <v>0</v>
      </c>
      <c r="U81" s="84"/>
      <c r="V81" s="84"/>
      <c r="W81" s="84"/>
      <c r="X81" s="84"/>
      <c r="Y81" s="84"/>
      <c r="Z81" s="84"/>
      <c r="AA81" s="84"/>
      <c r="AB81" s="84"/>
      <c r="AC81" s="84"/>
      <c r="AD81" s="84"/>
    </row>
    <row r="82" spans="1:30" ht="15.75" x14ac:dyDescent="0.25">
      <c r="A82" s="16">
        <v>43405</v>
      </c>
      <c r="B82" s="97">
        <v>30</v>
      </c>
      <c r="C82" s="83">
        <f>122.58</f>
        <v>122.58</v>
      </c>
      <c r="D82" s="83">
        <f>297.941</f>
        <v>297.94099999999997</v>
      </c>
      <c r="E82" s="92">
        <f>89.177</f>
        <v>89.177000000000007</v>
      </c>
      <c r="F82" s="83">
        <f>240.302-40-60-100</f>
        <v>40.301999999999992</v>
      </c>
      <c r="G82" s="86">
        <v>40</v>
      </c>
      <c r="H82" s="83">
        <f>60+100</f>
        <v>160</v>
      </c>
      <c r="I82" s="83">
        <f t="shared" si="8"/>
        <v>0</v>
      </c>
      <c r="J82" s="86">
        <v>100</v>
      </c>
      <c r="K82" s="86">
        <v>300</v>
      </c>
      <c r="L82" s="83">
        <f t="shared" si="0"/>
        <v>1150</v>
      </c>
      <c r="M82" s="94">
        <v>400</v>
      </c>
      <c r="N82" s="83">
        <f>100</f>
        <v>100</v>
      </c>
      <c r="O82" s="86">
        <v>240</v>
      </c>
      <c r="P82" s="86">
        <v>40</v>
      </c>
      <c r="Q82" s="86">
        <f t="shared" si="1"/>
        <v>315</v>
      </c>
      <c r="R82" s="86">
        <f t="shared" si="2"/>
        <v>100</v>
      </c>
      <c r="S82" s="83">
        <f t="shared" si="3"/>
        <v>695</v>
      </c>
      <c r="T82" s="83">
        <f>50</f>
        <v>50</v>
      </c>
      <c r="U82" s="84"/>
      <c r="V82" s="84"/>
      <c r="W82" s="84"/>
      <c r="X82" s="84"/>
      <c r="Y82" s="84"/>
      <c r="Z82" s="84"/>
      <c r="AA82" s="84"/>
      <c r="AB82" s="84"/>
      <c r="AC82" s="84"/>
      <c r="AD82" s="84"/>
    </row>
    <row r="83" spans="1:30" ht="15.75" x14ac:dyDescent="0.25">
      <c r="A83" s="16">
        <v>43435</v>
      </c>
      <c r="B83" s="97">
        <v>31</v>
      </c>
      <c r="C83" s="83">
        <f>122.58</f>
        <v>122.58</v>
      </c>
      <c r="D83" s="83">
        <f>297.941</f>
        <v>297.94099999999997</v>
      </c>
      <c r="E83" s="92">
        <f>89.177</f>
        <v>89.177000000000007</v>
      </c>
      <c r="F83" s="83">
        <f>240.302-40-60-100</f>
        <v>40.301999999999992</v>
      </c>
      <c r="G83" s="86">
        <v>40</v>
      </c>
      <c r="H83" s="83">
        <f>60+100</f>
        <v>160</v>
      </c>
      <c r="I83" s="83">
        <f t="shared" si="8"/>
        <v>0</v>
      </c>
      <c r="J83" s="86">
        <v>100</v>
      </c>
      <c r="K83" s="86">
        <v>300</v>
      </c>
      <c r="L83" s="83">
        <f t="shared" si="0"/>
        <v>1150</v>
      </c>
      <c r="M83" s="94">
        <v>400</v>
      </c>
      <c r="N83" s="83">
        <f>100</f>
        <v>100</v>
      </c>
      <c r="O83" s="86">
        <v>240</v>
      </c>
      <c r="P83" s="86">
        <v>40</v>
      </c>
      <c r="Q83" s="86">
        <f t="shared" si="1"/>
        <v>315</v>
      </c>
      <c r="R83" s="86">
        <f t="shared" si="2"/>
        <v>100</v>
      </c>
      <c r="S83" s="83">
        <f t="shared" si="3"/>
        <v>695</v>
      </c>
      <c r="T83" s="83">
        <f>50</f>
        <v>50</v>
      </c>
      <c r="U83" s="84"/>
      <c r="V83" s="84"/>
      <c r="W83" s="84"/>
      <c r="X83" s="84"/>
      <c r="Y83" s="84"/>
      <c r="Z83" s="84"/>
      <c r="AA83" s="84"/>
      <c r="AB83" s="84"/>
      <c r="AC83" s="84"/>
      <c r="AD83" s="84"/>
    </row>
    <row r="84" spans="1:30" ht="15.75" x14ac:dyDescent="0.25">
      <c r="A84" s="16">
        <v>43466</v>
      </c>
      <c r="B84" s="97">
        <v>31</v>
      </c>
      <c r="C84" s="83">
        <f>122.58</f>
        <v>122.58</v>
      </c>
      <c r="D84" s="83">
        <f>297.941</f>
        <v>297.94099999999997</v>
      </c>
      <c r="E84" s="92">
        <f>89.177</f>
        <v>89.177000000000007</v>
      </c>
      <c r="F84" s="83">
        <f>240.302-40-60-100</f>
        <v>40.301999999999992</v>
      </c>
      <c r="G84" s="86">
        <v>40</v>
      </c>
      <c r="H84" s="83">
        <f>60+100</f>
        <v>160</v>
      </c>
      <c r="I84" s="83">
        <f t="shared" si="8"/>
        <v>0</v>
      </c>
      <c r="J84" s="86">
        <v>100</v>
      </c>
      <c r="K84" s="86">
        <v>300</v>
      </c>
      <c r="L84" s="83">
        <f t="shared" si="0"/>
        <v>1150</v>
      </c>
      <c r="M84" s="94">
        <v>400</v>
      </c>
      <c r="N84" s="83">
        <f>100</f>
        <v>100</v>
      </c>
      <c r="O84" s="86">
        <v>240</v>
      </c>
      <c r="P84" s="86">
        <v>40</v>
      </c>
      <c r="Q84" s="86">
        <f t="shared" si="1"/>
        <v>315</v>
      </c>
      <c r="R84" s="86">
        <f t="shared" si="2"/>
        <v>100</v>
      </c>
      <c r="S84" s="83">
        <f t="shared" si="3"/>
        <v>695</v>
      </c>
      <c r="T84" s="83">
        <f>50</f>
        <v>50</v>
      </c>
      <c r="U84" s="84"/>
      <c r="V84" s="84"/>
      <c r="W84" s="84"/>
      <c r="X84" s="84"/>
      <c r="Y84" s="84"/>
      <c r="Z84" s="84"/>
      <c r="AA84" s="84"/>
      <c r="AB84" s="84"/>
      <c r="AC84" s="84"/>
      <c r="AD84" s="84"/>
    </row>
    <row r="85" spans="1:30" ht="15.75" x14ac:dyDescent="0.25">
      <c r="A85" s="16">
        <v>43497</v>
      </c>
      <c r="B85" s="97">
        <v>28</v>
      </c>
      <c r="C85" s="83">
        <f>122.58</f>
        <v>122.58</v>
      </c>
      <c r="D85" s="83">
        <f>297.941</f>
        <v>297.94099999999997</v>
      </c>
      <c r="E85" s="92">
        <f>89.177</f>
        <v>89.177000000000007</v>
      </c>
      <c r="F85" s="83">
        <f>240.302-40-60-100</f>
        <v>40.301999999999992</v>
      </c>
      <c r="G85" s="86">
        <v>40</v>
      </c>
      <c r="H85" s="83">
        <f>60+100</f>
        <v>160</v>
      </c>
      <c r="I85" s="83">
        <f t="shared" si="8"/>
        <v>0</v>
      </c>
      <c r="J85" s="86">
        <v>100</v>
      </c>
      <c r="K85" s="86">
        <v>300</v>
      </c>
      <c r="L85" s="83">
        <f t="shared" si="0"/>
        <v>1150</v>
      </c>
      <c r="M85" s="94">
        <v>400</v>
      </c>
      <c r="N85" s="83">
        <f>100</f>
        <v>100</v>
      </c>
      <c r="O85" s="86">
        <v>240</v>
      </c>
      <c r="P85" s="86">
        <v>40</v>
      </c>
      <c r="Q85" s="86">
        <f t="shared" si="1"/>
        <v>315</v>
      </c>
      <c r="R85" s="86">
        <f t="shared" si="2"/>
        <v>100</v>
      </c>
      <c r="S85" s="83">
        <f t="shared" si="3"/>
        <v>695</v>
      </c>
      <c r="T85" s="83">
        <f>50</f>
        <v>50</v>
      </c>
      <c r="U85" s="84"/>
      <c r="V85" s="84"/>
      <c r="W85" s="84"/>
      <c r="X85" s="84"/>
      <c r="Y85" s="84"/>
      <c r="Z85" s="84"/>
      <c r="AA85" s="84"/>
      <c r="AB85" s="84"/>
      <c r="AC85" s="84"/>
      <c r="AD85" s="84"/>
    </row>
    <row r="86" spans="1:30" ht="15.75" x14ac:dyDescent="0.25">
      <c r="A86" s="16">
        <v>43525</v>
      </c>
      <c r="B86" s="97">
        <v>31</v>
      </c>
      <c r="C86" s="83">
        <f>122.58</f>
        <v>122.58</v>
      </c>
      <c r="D86" s="83">
        <f>297.941</f>
        <v>297.94099999999997</v>
      </c>
      <c r="E86" s="92">
        <f>89.177</f>
        <v>89.177000000000007</v>
      </c>
      <c r="F86" s="83">
        <f>240.302-40-60-100</f>
        <v>40.301999999999992</v>
      </c>
      <c r="G86" s="86">
        <v>40</v>
      </c>
      <c r="H86" s="83">
        <f>60+100</f>
        <v>160</v>
      </c>
      <c r="I86" s="83">
        <f t="shared" si="8"/>
        <v>0</v>
      </c>
      <c r="J86" s="86">
        <v>100</v>
      </c>
      <c r="K86" s="86">
        <v>300</v>
      </c>
      <c r="L86" s="83">
        <f t="shared" si="0"/>
        <v>1150</v>
      </c>
      <c r="M86" s="94">
        <v>400</v>
      </c>
      <c r="N86" s="83">
        <f>100</f>
        <v>100</v>
      </c>
      <c r="O86" s="86">
        <v>240</v>
      </c>
      <c r="P86" s="86">
        <v>40</v>
      </c>
      <c r="Q86" s="86">
        <f t="shared" si="1"/>
        <v>315</v>
      </c>
      <c r="R86" s="86">
        <f t="shared" si="2"/>
        <v>100</v>
      </c>
      <c r="S86" s="83">
        <f t="shared" si="3"/>
        <v>695</v>
      </c>
      <c r="T86" s="83">
        <f>50</f>
        <v>50</v>
      </c>
      <c r="U86" s="84"/>
      <c r="V86" s="84"/>
      <c r="W86" s="84"/>
      <c r="X86" s="84"/>
      <c r="Y86" s="84"/>
      <c r="Z86" s="84"/>
      <c r="AA86" s="84"/>
      <c r="AB86" s="84"/>
      <c r="AC86" s="84"/>
      <c r="AD86" s="84"/>
    </row>
    <row r="87" spans="1:30" ht="15.75" x14ac:dyDescent="0.25">
      <c r="A87" s="16">
        <v>43556</v>
      </c>
      <c r="B87" s="97">
        <v>30</v>
      </c>
      <c r="C87" s="83">
        <f>141.293</f>
        <v>141.29300000000001</v>
      </c>
      <c r="D87" s="83">
        <f>267.993</f>
        <v>267.99299999999999</v>
      </c>
      <c r="E87" s="92">
        <f>115.016</f>
        <v>115.01600000000001</v>
      </c>
      <c r="F87" s="83">
        <f>314.698-40-25-60-100</f>
        <v>89.697999999999979</v>
      </c>
      <c r="G87" s="86">
        <v>40</v>
      </c>
      <c r="H87" s="83">
        <f t="shared" ref="H87:H93" si="11">25+60+100</f>
        <v>185</v>
      </c>
      <c r="I87" s="83">
        <f t="shared" si="8"/>
        <v>0</v>
      </c>
      <c r="J87" s="86">
        <v>100</v>
      </c>
      <c r="K87" s="86">
        <v>300</v>
      </c>
      <c r="L87" s="83">
        <f t="shared" ref="L87:L150" si="12">SUM(C87:K87)</f>
        <v>1239</v>
      </c>
      <c r="M87" s="94">
        <v>400</v>
      </c>
      <c r="N87" s="83">
        <f>100</f>
        <v>100</v>
      </c>
      <c r="O87" s="86">
        <v>240</v>
      </c>
      <c r="P87" s="86">
        <v>160</v>
      </c>
      <c r="Q87" s="86">
        <f t="shared" ref="Q87:Q150" si="13">695-R87-O87-P87</f>
        <v>195</v>
      </c>
      <c r="R87" s="86">
        <f t="shared" ref="R87:R150" si="14">200-J87</f>
        <v>100</v>
      </c>
      <c r="S87" s="83">
        <f t="shared" ref="S87:S150" si="15">SUM(O87:R87)</f>
        <v>695</v>
      </c>
      <c r="T87" s="83">
        <f>50</f>
        <v>50</v>
      </c>
      <c r="U87" s="84"/>
      <c r="V87" s="84"/>
      <c r="W87" s="84"/>
      <c r="X87" s="84"/>
      <c r="Y87" s="84"/>
      <c r="Z87" s="84"/>
      <c r="AA87" s="84"/>
      <c r="AB87" s="84"/>
      <c r="AC87" s="84"/>
      <c r="AD87" s="84"/>
    </row>
    <row r="88" spans="1:30" ht="15.75" x14ac:dyDescent="0.25">
      <c r="A88" s="16">
        <v>43586</v>
      </c>
      <c r="B88" s="97">
        <v>31</v>
      </c>
      <c r="C88" s="83">
        <f>194.205</f>
        <v>194.20500000000001</v>
      </c>
      <c r="D88" s="83">
        <f>267.466</f>
        <v>267.46600000000001</v>
      </c>
      <c r="E88" s="92">
        <f>133.845</f>
        <v>133.845</v>
      </c>
      <c r="F88" s="83">
        <f>278.484-40-25-60-100</f>
        <v>53.48399999999998</v>
      </c>
      <c r="G88" s="86">
        <v>40</v>
      </c>
      <c r="H88" s="83">
        <f t="shared" si="11"/>
        <v>185</v>
      </c>
      <c r="I88" s="83">
        <f t="shared" si="8"/>
        <v>0</v>
      </c>
      <c r="J88" s="86">
        <v>100</v>
      </c>
      <c r="K88" s="86">
        <v>300</v>
      </c>
      <c r="L88" s="83">
        <f t="shared" si="12"/>
        <v>1274</v>
      </c>
      <c r="M88" s="94">
        <v>400</v>
      </c>
      <c r="N88" s="83">
        <f>75</f>
        <v>75</v>
      </c>
      <c r="O88" s="86">
        <v>240</v>
      </c>
      <c r="P88" s="86">
        <v>160</v>
      </c>
      <c r="Q88" s="86">
        <f t="shared" si="13"/>
        <v>195</v>
      </c>
      <c r="R88" s="86">
        <f t="shared" si="14"/>
        <v>100</v>
      </c>
      <c r="S88" s="83">
        <f t="shared" si="15"/>
        <v>695</v>
      </c>
      <c r="T88" s="83">
        <f>50</f>
        <v>50</v>
      </c>
      <c r="U88" s="84"/>
      <c r="V88" s="84"/>
      <c r="W88" s="84"/>
      <c r="X88" s="84"/>
      <c r="Y88" s="84"/>
      <c r="Z88" s="84"/>
      <c r="AA88" s="84"/>
      <c r="AB88" s="84"/>
      <c r="AC88" s="84"/>
      <c r="AD88" s="84"/>
    </row>
    <row r="89" spans="1:30" ht="15.75" x14ac:dyDescent="0.25">
      <c r="A89" s="16">
        <v>43617</v>
      </c>
      <c r="B89" s="97">
        <v>30</v>
      </c>
      <c r="C89" s="83">
        <f>194.205</f>
        <v>194.20500000000001</v>
      </c>
      <c r="D89" s="83">
        <f>267.466</f>
        <v>267.46600000000001</v>
      </c>
      <c r="E89" s="92">
        <f>133.845</f>
        <v>133.845</v>
      </c>
      <c r="F89" s="83">
        <f>278.484-40-25-60-100</f>
        <v>53.48399999999998</v>
      </c>
      <c r="G89" s="86">
        <v>40</v>
      </c>
      <c r="H89" s="83">
        <f t="shared" si="11"/>
        <v>185</v>
      </c>
      <c r="I89" s="83">
        <f t="shared" si="8"/>
        <v>0</v>
      </c>
      <c r="J89" s="86">
        <v>100</v>
      </c>
      <c r="K89" s="86">
        <v>300</v>
      </c>
      <c r="L89" s="83">
        <f t="shared" si="12"/>
        <v>1274</v>
      </c>
      <c r="M89" s="94">
        <v>400</v>
      </c>
      <c r="N89" s="83">
        <f>30</f>
        <v>30</v>
      </c>
      <c r="O89" s="86">
        <v>240</v>
      </c>
      <c r="P89" s="86">
        <v>160</v>
      </c>
      <c r="Q89" s="86">
        <f t="shared" si="13"/>
        <v>195</v>
      </c>
      <c r="R89" s="86">
        <f t="shared" si="14"/>
        <v>100</v>
      </c>
      <c r="S89" s="83">
        <f t="shared" si="15"/>
        <v>695</v>
      </c>
      <c r="T89" s="83">
        <f>50</f>
        <v>50</v>
      </c>
      <c r="U89" s="84"/>
      <c r="V89" s="84"/>
      <c r="W89" s="84"/>
      <c r="X89" s="84"/>
      <c r="Y89" s="84"/>
      <c r="Z89" s="84"/>
      <c r="AA89" s="84"/>
      <c r="AB89" s="84"/>
      <c r="AC89" s="84"/>
      <c r="AD89" s="84"/>
    </row>
    <row r="90" spans="1:30" ht="15.75" x14ac:dyDescent="0.25">
      <c r="A90" s="16">
        <v>43647</v>
      </c>
      <c r="B90" s="97">
        <v>31</v>
      </c>
      <c r="C90" s="83">
        <f>194.205</f>
        <v>194.20500000000001</v>
      </c>
      <c r="D90" s="83">
        <f>267.466</f>
        <v>267.46600000000001</v>
      </c>
      <c r="E90" s="92">
        <f>133.845</f>
        <v>133.845</v>
      </c>
      <c r="F90" s="83">
        <f>278.484-40-25-60-100</f>
        <v>53.48399999999998</v>
      </c>
      <c r="G90" s="86">
        <v>40</v>
      </c>
      <c r="H90" s="83">
        <f t="shared" si="11"/>
        <v>185</v>
      </c>
      <c r="I90" s="83">
        <f t="shared" si="8"/>
        <v>0</v>
      </c>
      <c r="J90" s="86">
        <v>100</v>
      </c>
      <c r="K90" s="86">
        <v>300</v>
      </c>
      <c r="L90" s="83">
        <f t="shared" si="12"/>
        <v>1274</v>
      </c>
      <c r="M90" s="94">
        <v>400</v>
      </c>
      <c r="N90" s="83">
        <f>30</f>
        <v>30</v>
      </c>
      <c r="O90" s="86">
        <v>240</v>
      </c>
      <c r="P90" s="86">
        <v>160</v>
      </c>
      <c r="Q90" s="86">
        <f t="shared" si="13"/>
        <v>195</v>
      </c>
      <c r="R90" s="86">
        <f t="shared" si="14"/>
        <v>100</v>
      </c>
      <c r="S90" s="83">
        <f t="shared" si="15"/>
        <v>695</v>
      </c>
      <c r="T90" s="83">
        <f>0</f>
        <v>0</v>
      </c>
      <c r="U90" s="84"/>
      <c r="V90" s="84"/>
      <c r="W90" s="84"/>
      <c r="X90" s="84"/>
      <c r="Y90" s="84"/>
      <c r="Z90" s="84"/>
      <c r="AA90" s="84"/>
      <c r="AB90" s="84"/>
      <c r="AC90" s="84"/>
      <c r="AD90" s="84"/>
    </row>
    <row r="91" spans="1:30" ht="15.75" x14ac:dyDescent="0.25">
      <c r="A91" s="16">
        <v>43678</v>
      </c>
      <c r="B91" s="97">
        <v>31</v>
      </c>
      <c r="C91" s="83">
        <f>194.205</f>
        <v>194.20500000000001</v>
      </c>
      <c r="D91" s="83">
        <f>267.466</f>
        <v>267.46600000000001</v>
      </c>
      <c r="E91" s="92">
        <f>133.845</f>
        <v>133.845</v>
      </c>
      <c r="F91" s="83">
        <f>278.484-40-25-60-100</f>
        <v>53.48399999999998</v>
      </c>
      <c r="G91" s="86">
        <v>40</v>
      </c>
      <c r="H91" s="83">
        <f t="shared" si="11"/>
        <v>185</v>
      </c>
      <c r="I91" s="83">
        <f t="shared" si="8"/>
        <v>0</v>
      </c>
      <c r="J91" s="86">
        <v>100</v>
      </c>
      <c r="K91" s="86">
        <v>300</v>
      </c>
      <c r="L91" s="83">
        <f t="shared" si="12"/>
        <v>1274</v>
      </c>
      <c r="M91" s="94">
        <v>400</v>
      </c>
      <c r="N91" s="83">
        <f>30</f>
        <v>30</v>
      </c>
      <c r="O91" s="86">
        <v>240</v>
      </c>
      <c r="P91" s="86">
        <v>160</v>
      </c>
      <c r="Q91" s="86">
        <f t="shared" si="13"/>
        <v>195</v>
      </c>
      <c r="R91" s="86">
        <f t="shared" si="14"/>
        <v>100</v>
      </c>
      <c r="S91" s="83">
        <f t="shared" si="15"/>
        <v>695</v>
      </c>
      <c r="T91" s="83">
        <f>0</f>
        <v>0</v>
      </c>
      <c r="U91" s="84"/>
      <c r="V91" s="84"/>
      <c r="W91" s="84"/>
      <c r="X91" s="84"/>
      <c r="Y91" s="84"/>
      <c r="Z91" s="84"/>
      <c r="AA91" s="84"/>
      <c r="AB91" s="84"/>
      <c r="AC91" s="84"/>
      <c r="AD91" s="84"/>
    </row>
    <row r="92" spans="1:30" ht="15.75" x14ac:dyDescent="0.25">
      <c r="A92" s="16">
        <v>43709</v>
      </c>
      <c r="B92" s="97">
        <v>30</v>
      </c>
      <c r="C92" s="83">
        <f>194.205</f>
        <v>194.20500000000001</v>
      </c>
      <c r="D92" s="83">
        <f>267.466</f>
        <v>267.46600000000001</v>
      </c>
      <c r="E92" s="92">
        <f>133.845</f>
        <v>133.845</v>
      </c>
      <c r="F92" s="83">
        <f>278.484-40-25-60-100</f>
        <v>53.48399999999998</v>
      </c>
      <c r="G92" s="86">
        <v>40</v>
      </c>
      <c r="H92" s="83">
        <f t="shared" si="11"/>
        <v>185</v>
      </c>
      <c r="I92" s="83">
        <f t="shared" si="8"/>
        <v>0</v>
      </c>
      <c r="J92" s="86">
        <v>100</v>
      </c>
      <c r="K92" s="86">
        <v>300</v>
      </c>
      <c r="L92" s="83">
        <f t="shared" si="12"/>
        <v>1274</v>
      </c>
      <c r="M92" s="94">
        <v>400</v>
      </c>
      <c r="N92" s="83">
        <f>30</f>
        <v>30</v>
      </c>
      <c r="O92" s="86">
        <v>240</v>
      </c>
      <c r="P92" s="86">
        <v>160</v>
      </c>
      <c r="Q92" s="86">
        <f t="shared" si="13"/>
        <v>195</v>
      </c>
      <c r="R92" s="86">
        <f t="shared" si="14"/>
        <v>100</v>
      </c>
      <c r="S92" s="83">
        <f t="shared" si="15"/>
        <v>695</v>
      </c>
      <c r="T92" s="83">
        <f>0</f>
        <v>0</v>
      </c>
      <c r="U92" s="84"/>
      <c r="V92" s="84"/>
      <c r="W92" s="84"/>
      <c r="X92" s="84"/>
      <c r="Y92" s="84"/>
      <c r="Z92" s="84"/>
      <c r="AA92" s="84"/>
      <c r="AB92" s="84"/>
      <c r="AC92" s="84"/>
      <c r="AD92" s="84"/>
    </row>
    <row r="93" spans="1:30" ht="15.75" x14ac:dyDescent="0.25">
      <c r="A93" s="16">
        <v>43739</v>
      </c>
      <c r="B93" s="97">
        <v>31</v>
      </c>
      <c r="C93" s="83">
        <f>131.881</f>
        <v>131.881</v>
      </c>
      <c r="D93" s="83">
        <f>277.167</f>
        <v>277.16699999999997</v>
      </c>
      <c r="E93" s="92">
        <f>79.08</f>
        <v>79.08</v>
      </c>
      <c r="F93" s="83">
        <f>350.872-40-25-60-100</f>
        <v>125.87200000000001</v>
      </c>
      <c r="G93" s="86">
        <v>40</v>
      </c>
      <c r="H93" s="83">
        <f t="shared" si="11"/>
        <v>185</v>
      </c>
      <c r="I93" s="83">
        <f t="shared" si="8"/>
        <v>0</v>
      </c>
      <c r="J93" s="86">
        <v>100</v>
      </c>
      <c r="K93" s="86">
        <v>300</v>
      </c>
      <c r="L93" s="83">
        <f t="shared" si="12"/>
        <v>1239</v>
      </c>
      <c r="M93" s="94">
        <v>400</v>
      </c>
      <c r="N93" s="83">
        <f>75</f>
        <v>75</v>
      </c>
      <c r="O93" s="86">
        <v>240</v>
      </c>
      <c r="P93" s="86">
        <v>160</v>
      </c>
      <c r="Q93" s="86">
        <f t="shared" si="13"/>
        <v>195</v>
      </c>
      <c r="R93" s="86">
        <f t="shared" si="14"/>
        <v>100</v>
      </c>
      <c r="S93" s="83">
        <f t="shared" si="15"/>
        <v>695</v>
      </c>
      <c r="T93" s="83">
        <f>0</f>
        <v>0</v>
      </c>
      <c r="U93" s="84"/>
      <c r="V93" s="84"/>
      <c r="W93" s="84"/>
      <c r="X93" s="84"/>
      <c r="Y93" s="84"/>
      <c r="Z93" s="84"/>
      <c r="AA93" s="84"/>
      <c r="AB93" s="84"/>
      <c r="AC93" s="84"/>
      <c r="AD93" s="84"/>
    </row>
    <row r="94" spans="1:30" ht="15.75" x14ac:dyDescent="0.25">
      <c r="A94" s="16">
        <v>43770</v>
      </c>
      <c r="B94" s="97">
        <v>30</v>
      </c>
      <c r="C94" s="83">
        <f>122.58</f>
        <v>122.58</v>
      </c>
      <c r="D94" s="83">
        <f>297.941</f>
        <v>297.94099999999997</v>
      </c>
      <c r="E94" s="92">
        <f>89.177</f>
        <v>89.177000000000007</v>
      </c>
      <c r="F94" s="83">
        <f>240.302-40-60-100</f>
        <v>40.301999999999992</v>
      </c>
      <c r="G94" s="86">
        <v>40</v>
      </c>
      <c r="H94" s="83">
        <f>60+100</f>
        <v>160</v>
      </c>
      <c r="I94" s="83">
        <f t="shared" si="8"/>
        <v>0</v>
      </c>
      <c r="J94" s="86">
        <v>100</v>
      </c>
      <c r="K94" s="86">
        <v>300</v>
      </c>
      <c r="L94" s="83">
        <f t="shared" si="12"/>
        <v>1150</v>
      </c>
      <c r="M94" s="94">
        <v>400</v>
      </c>
      <c r="N94" s="83">
        <f>100</f>
        <v>100</v>
      </c>
      <c r="O94" s="86">
        <v>240</v>
      </c>
      <c r="P94" s="86">
        <v>40</v>
      </c>
      <c r="Q94" s="86">
        <f t="shared" si="13"/>
        <v>315</v>
      </c>
      <c r="R94" s="86">
        <f t="shared" si="14"/>
        <v>100</v>
      </c>
      <c r="S94" s="83">
        <f t="shared" si="15"/>
        <v>695</v>
      </c>
      <c r="T94" s="83">
        <f>50</f>
        <v>50</v>
      </c>
      <c r="U94" s="84"/>
      <c r="V94" s="84"/>
      <c r="W94" s="84"/>
      <c r="X94" s="84"/>
      <c r="Y94" s="84"/>
      <c r="Z94" s="84"/>
      <c r="AA94" s="84"/>
      <c r="AB94" s="84"/>
      <c r="AC94" s="84"/>
      <c r="AD94" s="84"/>
    </row>
    <row r="95" spans="1:30" ht="15.75" x14ac:dyDescent="0.25">
      <c r="A95" s="16">
        <v>43800</v>
      </c>
      <c r="B95" s="97">
        <v>31</v>
      </c>
      <c r="C95" s="83">
        <f>122.58</f>
        <v>122.58</v>
      </c>
      <c r="D95" s="83">
        <f>297.941</f>
        <v>297.94099999999997</v>
      </c>
      <c r="E95" s="92">
        <f>89.177</f>
        <v>89.177000000000007</v>
      </c>
      <c r="F95" s="83">
        <f>240.302-40-60-100</f>
        <v>40.301999999999992</v>
      </c>
      <c r="G95" s="86">
        <v>40</v>
      </c>
      <c r="H95" s="83">
        <f>60+100</f>
        <v>160</v>
      </c>
      <c r="I95" s="83">
        <f t="shared" si="8"/>
        <v>0</v>
      </c>
      <c r="J95" s="86">
        <v>100</v>
      </c>
      <c r="K95" s="86">
        <v>300</v>
      </c>
      <c r="L95" s="83">
        <f t="shared" si="12"/>
        <v>1150</v>
      </c>
      <c r="M95" s="94">
        <v>400</v>
      </c>
      <c r="N95" s="83">
        <f>100</f>
        <v>100</v>
      </c>
      <c r="O95" s="86">
        <v>240</v>
      </c>
      <c r="P95" s="86">
        <v>40</v>
      </c>
      <c r="Q95" s="86">
        <f t="shared" si="13"/>
        <v>315</v>
      </c>
      <c r="R95" s="86">
        <f t="shared" si="14"/>
        <v>100</v>
      </c>
      <c r="S95" s="83">
        <f t="shared" si="15"/>
        <v>695</v>
      </c>
      <c r="T95" s="83">
        <f>50</f>
        <v>50</v>
      </c>
      <c r="U95" s="84"/>
      <c r="V95" s="84"/>
      <c r="W95" s="84"/>
      <c r="X95" s="84"/>
      <c r="Y95" s="84"/>
      <c r="Z95" s="84"/>
      <c r="AA95" s="84"/>
      <c r="AB95" s="84"/>
      <c r="AC95" s="84"/>
      <c r="AD95" s="84"/>
    </row>
    <row r="96" spans="1:30" ht="15.75" x14ac:dyDescent="0.25">
      <c r="A96" s="16">
        <v>43831</v>
      </c>
      <c r="B96" s="97">
        <v>31</v>
      </c>
      <c r="C96" s="83">
        <f>122.58</f>
        <v>122.58</v>
      </c>
      <c r="D96" s="83">
        <f>297.941</f>
        <v>297.94099999999997</v>
      </c>
      <c r="E96" s="92">
        <f>89.177</f>
        <v>89.177000000000007</v>
      </c>
      <c r="F96" s="83">
        <f>240.302-40-60-100</f>
        <v>40.301999999999992</v>
      </c>
      <c r="G96" s="86">
        <v>40</v>
      </c>
      <c r="H96" s="83">
        <f>60+100</f>
        <v>160</v>
      </c>
      <c r="I96" s="83">
        <f t="shared" si="8"/>
        <v>0</v>
      </c>
      <c r="J96" s="86">
        <v>100</v>
      </c>
      <c r="K96" s="86">
        <v>300</v>
      </c>
      <c r="L96" s="83">
        <f t="shared" si="12"/>
        <v>1150</v>
      </c>
      <c r="M96" s="94">
        <v>400</v>
      </c>
      <c r="N96" s="83">
        <f>100</f>
        <v>100</v>
      </c>
      <c r="O96" s="86">
        <v>240</v>
      </c>
      <c r="P96" s="86">
        <v>40</v>
      </c>
      <c r="Q96" s="86">
        <f t="shared" si="13"/>
        <v>315</v>
      </c>
      <c r="R96" s="86">
        <f t="shared" si="14"/>
        <v>100</v>
      </c>
      <c r="S96" s="83">
        <f t="shared" si="15"/>
        <v>695</v>
      </c>
      <c r="T96" s="83">
        <f>50</f>
        <v>50</v>
      </c>
      <c r="U96" s="84"/>
      <c r="V96" s="84"/>
      <c r="W96" s="84"/>
      <c r="X96" s="84"/>
      <c r="Y96" s="84"/>
      <c r="Z96" s="84"/>
      <c r="AA96" s="84"/>
      <c r="AB96" s="84"/>
      <c r="AC96" s="84"/>
      <c r="AD96" s="84"/>
    </row>
    <row r="97" spans="1:30" ht="15.75" x14ac:dyDescent="0.25">
      <c r="A97" s="16">
        <v>43862</v>
      </c>
      <c r="B97" s="97">
        <v>29</v>
      </c>
      <c r="C97" s="83">
        <f>122.58</f>
        <v>122.58</v>
      </c>
      <c r="D97" s="83">
        <f>297.941</f>
        <v>297.94099999999997</v>
      </c>
      <c r="E97" s="92">
        <f>89.177</f>
        <v>89.177000000000007</v>
      </c>
      <c r="F97" s="83">
        <f>240.302-40-60-100</f>
        <v>40.301999999999992</v>
      </c>
      <c r="G97" s="86">
        <v>40</v>
      </c>
      <c r="H97" s="83">
        <f>60+100</f>
        <v>160</v>
      </c>
      <c r="I97" s="83">
        <f t="shared" si="8"/>
        <v>0</v>
      </c>
      <c r="J97" s="86">
        <v>100</v>
      </c>
      <c r="K97" s="86">
        <v>300</v>
      </c>
      <c r="L97" s="83">
        <f t="shared" si="12"/>
        <v>1150</v>
      </c>
      <c r="M97" s="94">
        <v>400</v>
      </c>
      <c r="N97" s="83">
        <f>100</f>
        <v>100</v>
      </c>
      <c r="O97" s="86">
        <v>240</v>
      </c>
      <c r="P97" s="86">
        <v>40</v>
      </c>
      <c r="Q97" s="86">
        <f t="shared" si="13"/>
        <v>315</v>
      </c>
      <c r="R97" s="86">
        <f t="shared" si="14"/>
        <v>100</v>
      </c>
      <c r="S97" s="83">
        <f t="shared" si="15"/>
        <v>695</v>
      </c>
      <c r="T97" s="83">
        <f>50</f>
        <v>50</v>
      </c>
      <c r="U97" s="84"/>
      <c r="V97" s="84"/>
      <c r="W97" s="84"/>
      <c r="X97" s="84"/>
      <c r="Y97" s="84"/>
      <c r="Z97" s="84"/>
      <c r="AA97" s="84"/>
      <c r="AB97" s="84"/>
      <c r="AC97" s="84"/>
      <c r="AD97" s="84"/>
    </row>
    <row r="98" spans="1:30" ht="15.75" x14ac:dyDescent="0.25">
      <c r="A98" s="16">
        <v>43891</v>
      </c>
      <c r="B98" s="97">
        <v>31</v>
      </c>
      <c r="C98" s="83">
        <f>122.58</f>
        <v>122.58</v>
      </c>
      <c r="D98" s="83">
        <f>297.941</f>
        <v>297.94099999999997</v>
      </c>
      <c r="E98" s="92">
        <f>89.177</f>
        <v>89.177000000000007</v>
      </c>
      <c r="F98" s="83">
        <f>240.302-40-60-100</f>
        <v>40.301999999999992</v>
      </c>
      <c r="G98" s="86">
        <v>40</v>
      </c>
      <c r="H98" s="83">
        <f>60+100</f>
        <v>160</v>
      </c>
      <c r="I98" s="83">
        <f t="shared" si="8"/>
        <v>0</v>
      </c>
      <c r="J98" s="86">
        <v>100</v>
      </c>
      <c r="K98" s="86">
        <v>300</v>
      </c>
      <c r="L98" s="83">
        <f t="shared" si="12"/>
        <v>1150</v>
      </c>
      <c r="M98" s="94">
        <v>400</v>
      </c>
      <c r="N98" s="83">
        <f>100</f>
        <v>100</v>
      </c>
      <c r="O98" s="86">
        <v>240</v>
      </c>
      <c r="P98" s="86">
        <v>40</v>
      </c>
      <c r="Q98" s="86">
        <f t="shared" si="13"/>
        <v>315</v>
      </c>
      <c r="R98" s="86">
        <f t="shared" si="14"/>
        <v>100</v>
      </c>
      <c r="S98" s="83">
        <f t="shared" si="15"/>
        <v>695</v>
      </c>
      <c r="T98" s="83">
        <f>50</f>
        <v>50</v>
      </c>
      <c r="U98" s="84"/>
      <c r="V98" s="84"/>
      <c r="W98" s="84"/>
      <c r="X98" s="84"/>
      <c r="Y98" s="84"/>
      <c r="Z98" s="84"/>
      <c r="AA98" s="84"/>
      <c r="AB98" s="84"/>
      <c r="AC98" s="84"/>
      <c r="AD98" s="84"/>
    </row>
    <row r="99" spans="1:30" ht="15.75" x14ac:dyDescent="0.25">
      <c r="A99" s="16">
        <v>43922</v>
      </c>
      <c r="B99" s="97">
        <v>30</v>
      </c>
      <c r="C99" s="83">
        <f>141.293</f>
        <v>141.29300000000001</v>
      </c>
      <c r="D99" s="83">
        <f>267.993</f>
        <v>267.99299999999999</v>
      </c>
      <c r="E99" s="92">
        <f>115.016</f>
        <v>115.01600000000001</v>
      </c>
      <c r="F99" s="83">
        <f>314.698-40-25-60-100</f>
        <v>89.697999999999979</v>
      </c>
      <c r="G99" s="86">
        <v>40</v>
      </c>
      <c r="H99" s="83">
        <f t="shared" ref="H99:H105" si="16">25+60+100</f>
        <v>185</v>
      </c>
      <c r="I99" s="83">
        <f t="shared" si="8"/>
        <v>0</v>
      </c>
      <c r="J99" s="86">
        <v>100</v>
      </c>
      <c r="K99" s="86">
        <v>300</v>
      </c>
      <c r="L99" s="83">
        <f t="shared" si="12"/>
        <v>1239</v>
      </c>
      <c r="M99" s="94">
        <v>400</v>
      </c>
      <c r="N99" s="83">
        <f>100</f>
        <v>100</v>
      </c>
      <c r="O99" s="86">
        <v>240</v>
      </c>
      <c r="P99" s="86">
        <v>160</v>
      </c>
      <c r="Q99" s="86">
        <f t="shared" si="13"/>
        <v>195</v>
      </c>
      <c r="R99" s="86">
        <f t="shared" si="14"/>
        <v>100</v>
      </c>
      <c r="S99" s="83">
        <f t="shared" si="15"/>
        <v>695</v>
      </c>
      <c r="T99" s="83">
        <f>50</f>
        <v>50</v>
      </c>
      <c r="U99" s="84"/>
      <c r="V99" s="84"/>
      <c r="W99" s="84"/>
      <c r="X99" s="84"/>
      <c r="Y99" s="84"/>
      <c r="Z99" s="84"/>
      <c r="AA99" s="84"/>
      <c r="AB99" s="84"/>
      <c r="AC99" s="84"/>
      <c r="AD99" s="84"/>
    </row>
    <row r="100" spans="1:30" ht="15.75" x14ac:dyDescent="0.25">
      <c r="A100" s="16">
        <v>43952</v>
      </c>
      <c r="B100" s="97">
        <v>31</v>
      </c>
      <c r="C100" s="83">
        <f>194.205</f>
        <v>194.20500000000001</v>
      </c>
      <c r="D100" s="83">
        <f>267.466</f>
        <v>267.46600000000001</v>
      </c>
      <c r="E100" s="92">
        <f>133.845</f>
        <v>133.845</v>
      </c>
      <c r="F100" s="83">
        <f>278.484-40-25-60-100</f>
        <v>53.48399999999998</v>
      </c>
      <c r="G100" s="86">
        <v>40</v>
      </c>
      <c r="H100" s="83">
        <f t="shared" si="16"/>
        <v>185</v>
      </c>
      <c r="I100" s="83">
        <f t="shared" si="8"/>
        <v>0</v>
      </c>
      <c r="J100" s="86">
        <v>100</v>
      </c>
      <c r="K100" s="86">
        <v>300</v>
      </c>
      <c r="L100" s="83">
        <f t="shared" si="12"/>
        <v>1274</v>
      </c>
      <c r="M100" s="94">
        <v>600</v>
      </c>
      <c r="N100" s="83">
        <f>75</f>
        <v>75</v>
      </c>
      <c r="O100" s="86">
        <v>240</v>
      </c>
      <c r="P100" s="86">
        <v>160</v>
      </c>
      <c r="Q100" s="86">
        <f t="shared" si="13"/>
        <v>195</v>
      </c>
      <c r="R100" s="86">
        <f t="shared" si="14"/>
        <v>100</v>
      </c>
      <c r="S100" s="83">
        <f t="shared" si="15"/>
        <v>695</v>
      </c>
      <c r="T100" s="83">
        <f>50</f>
        <v>50</v>
      </c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</row>
    <row r="101" spans="1:30" ht="15.75" x14ac:dyDescent="0.25">
      <c r="A101" s="16">
        <v>43983</v>
      </c>
      <c r="B101" s="97">
        <v>30</v>
      </c>
      <c r="C101" s="83">
        <f>194.205</f>
        <v>194.20500000000001</v>
      </c>
      <c r="D101" s="83">
        <f>267.466</f>
        <v>267.46600000000001</v>
      </c>
      <c r="E101" s="92">
        <f>133.845</f>
        <v>133.845</v>
      </c>
      <c r="F101" s="83">
        <f>278.484-40-25-60-100</f>
        <v>53.48399999999998</v>
      </c>
      <c r="G101" s="86">
        <v>40</v>
      </c>
      <c r="H101" s="83">
        <f t="shared" si="16"/>
        <v>185</v>
      </c>
      <c r="I101" s="83">
        <f t="shared" si="8"/>
        <v>0</v>
      </c>
      <c r="J101" s="86">
        <v>100</v>
      </c>
      <c r="K101" s="86">
        <v>300</v>
      </c>
      <c r="L101" s="83">
        <f t="shared" si="12"/>
        <v>1274</v>
      </c>
      <c r="M101" s="94">
        <v>600</v>
      </c>
      <c r="N101" s="83">
        <f>30</f>
        <v>30</v>
      </c>
      <c r="O101" s="86">
        <v>240</v>
      </c>
      <c r="P101" s="86">
        <v>160</v>
      </c>
      <c r="Q101" s="86">
        <f t="shared" si="13"/>
        <v>195</v>
      </c>
      <c r="R101" s="86">
        <f t="shared" si="14"/>
        <v>100</v>
      </c>
      <c r="S101" s="83">
        <f t="shared" si="15"/>
        <v>695</v>
      </c>
      <c r="T101" s="83">
        <f>50</f>
        <v>50</v>
      </c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</row>
    <row r="102" spans="1:30" ht="15.75" x14ac:dyDescent="0.25">
      <c r="A102" s="16">
        <v>44013</v>
      </c>
      <c r="B102" s="97">
        <v>31</v>
      </c>
      <c r="C102" s="83">
        <f>194.205</f>
        <v>194.20500000000001</v>
      </c>
      <c r="D102" s="83">
        <f>267.466</f>
        <v>267.46600000000001</v>
      </c>
      <c r="E102" s="92">
        <f>133.845</f>
        <v>133.845</v>
      </c>
      <c r="F102" s="83">
        <f>278.484-40-25-60-100</f>
        <v>53.48399999999998</v>
      </c>
      <c r="G102" s="86">
        <v>40</v>
      </c>
      <c r="H102" s="83">
        <f t="shared" si="16"/>
        <v>185</v>
      </c>
      <c r="I102" s="83">
        <f t="shared" si="8"/>
        <v>0</v>
      </c>
      <c r="J102" s="86">
        <v>100</v>
      </c>
      <c r="K102" s="86">
        <v>300</v>
      </c>
      <c r="L102" s="83">
        <f t="shared" si="12"/>
        <v>1274</v>
      </c>
      <c r="M102" s="94">
        <v>600</v>
      </c>
      <c r="N102" s="83">
        <f>30</f>
        <v>30</v>
      </c>
      <c r="O102" s="86">
        <v>240</v>
      </c>
      <c r="P102" s="86">
        <v>160</v>
      </c>
      <c r="Q102" s="86">
        <f t="shared" si="13"/>
        <v>195</v>
      </c>
      <c r="R102" s="86">
        <f t="shared" si="14"/>
        <v>100</v>
      </c>
      <c r="S102" s="83">
        <f t="shared" si="15"/>
        <v>695</v>
      </c>
      <c r="T102" s="83">
        <f>0</f>
        <v>0</v>
      </c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</row>
    <row r="103" spans="1:30" ht="15.75" x14ac:dyDescent="0.25">
      <c r="A103" s="16">
        <v>44044</v>
      </c>
      <c r="B103" s="97">
        <v>31</v>
      </c>
      <c r="C103" s="83">
        <f>194.205</f>
        <v>194.20500000000001</v>
      </c>
      <c r="D103" s="83">
        <f>267.466</f>
        <v>267.46600000000001</v>
      </c>
      <c r="E103" s="92">
        <f>133.845</f>
        <v>133.845</v>
      </c>
      <c r="F103" s="83">
        <f>278.484-40-25-60-100</f>
        <v>53.48399999999998</v>
      </c>
      <c r="G103" s="86">
        <v>40</v>
      </c>
      <c r="H103" s="83">
        <f t="shared" si="16"/>
        <v>185</v>
      </c>
      <c r="I103" s="83">
        <f t="shared" si="8"/>
        <v>0</v>
      </c>
      <c r="J103" s="86">
        <v>100</v>
      </c>
      <c r="K103" s="86">
        <v>300</v>
      </c>
      <c r="L103" s="83">
        <f t="shared" si="12"/>
        <v>1274</v>
      </c>
      <c r="M103" s="94">
        <v>600</v>
      </c>
      <c r="N103" s="83">
        <f>30</f>
        <v>30</v>
      </c>
      <c r="O103" s="86">
        <v>240</v>
      </c>
      <c r="P103" s="86">
        <v>160</v>
      </c>
      <c r="Q103" s="86">
        <f t="shared" si="13"/>
        <v>195</v>
      </c>
      <c r="R103" s="86">
        <f t="shared" si="14"/>
        <v>100</v>
      </c>
      <c r="S103" s="83">
        <f t="shared" si="15"/>
        <v>695</v>
      </c>
      <c r="T103" s="83">
        <f>0</f>
        <v>0</v>
      </c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</row>
    <row r="104" spans="1:30" ht="15.75" x14ac:dyDescent="0.25">
      <c r="A104" s="16">
        <v>44075</v>
      </c>
      <c r="B104" s="97">
        <v>30</v>
      </c>
      <c r="C104" s="83">
        <f>194.205</f>
        <v>194.20500000000001</v>
      </c>
      <c r="D104" s="83">
        <f>267.466</f>
        <v>267.46600000000001</v>
      </c>
      <c r="E104" s="92">
        <f>133.845</f>
        <v>133.845</v>
      </c>
      <c r="F104" s="83">
        <f>278.484-40-25-60-100</f>
        <v>53.48399999999998</v>
      </c>
      <c r="G104" s="86">
        <v>40</v>
      </c>
      <c r="H104" s="83">
        <f t="shared" si="16"/>
        <v>185</v>
      </c>
      <c r="I104" s="83">
        <f t="shared" si="8"/>
        <v>0</v>
      </c>
      <c r="J104" s="86">
        <v>100</v>
      </c>
      <c r="K104" s="86">
        <v>300</v>
      </c>
      <c r="L104" s="83">
        <f t="shared" si="12"/>
        <v>1274</v>
      </c>
      <c r="M104" s="94">
        <v>600</v>
      </c>
      <c r="N104" s="83">
        <f>30</f>
        <v>30</v>
      </c>
      <c r="O104" s="86">
        <v>240</v>
      </c>
      <c r="P104" s="86">
        <v>160</v>
      </c>
      <c r="Q104" s="86">
        <f t="shared" si="13"/>
        <v>195</v>
      </c>
      <c r="R104" s="86">
        <f t="shared" si="14"/>
        <v>100</v>
      </c>
      <c r="S104" s="83">
        <f t="shared" si="15"/>
        <v>695</v>
      </c>
      <c r="T104" s="83">
        <f>0</f>
        <v>0</v>
      </c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</row>
    <row r="105" spans="1:30" ht="15.75" x14ac:dyDescent="0.25">
      <c r="A105" s="16">
        <v>44105</v>
      </c>
      <c r="B105" s="97">
        <v>31</v>
      </c>
      <c r="C105" s="83">
        <f>131.881</f>
        <v>131.881</v>
      </c>
      <c r="D105" s="83">
        <f>277.167</f>
        <v>277.16699999999997</v>
      </c>
      <c r="E105" s="92">
        <f>79.08</f>
        <v>79.08</v>
      </c>
      <c r="F105" s="83">
        <f>350.872-40-25-60-100</f>
        <v>125.87200000000001</v>
      </c>
      <c r="G105" s="86">
        <v>40</v>
      </c>
      <c r="H105" s="83">
        <f t="shared" si="16"/>
        <v>185</v>
      </c>
      <c r="I105" s="83">
        <f t="shared" si="8"/>
        <v>0</v>
      </c>
      <c r="J105" s="86">
        <v>100</v>
      </c>
      <c r="K105" s="86">
        <v>300</v>
      </c>
      <c r="L105" s="83">
        <f t="shared" si="12"/>
        <v>1239</v>
      </c>
      <c r="M105" s="94">
        <v>600</v>
      </c>
      <c r="N105" s="83">
        <f>75</f>
        <v>75</v>
      </c>
      <c r="O105" s="86">
        <v>240</v>
      </c>
      <c r="P105" s="86">
        <v>160</v>
      </c>
      <c r="Q105" s="86">
        <f t="shared" si="13"/>
        <v>195</v>
      </c>
      <c r="R105" s="86">
        <f t="shared" si="14"/>
        <v>100</v>
      </c>
      <c r="S105" s="83">
        <f t="shared" si="15"/>
        <v>695</v>
      </c>
      <c r="T105" s="83">
        <f>0</f>
        <v>0</v>
      </c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</row>
    <row r="106" spans="1:30" ht="15.75" x14ac:dyDescent="0.25">
      <c r="A106" s="16">
        <v>44136</v>
      </c>
      <c r="B106" s="97">
        <v>30</v>
      </c>
      <c r="C106" s="83">
        <f>122.58</f>
        <v>122.58</v>
      </c>
      <c r="D106" s="83">
        <f>297.941</f>
        <v>297.94099999999997</v>
      </c>
      <c r="E106" s="92">
        <f>89.177</f>
        <v>89.177000000000007</v>
      </c>
      <c r="F106" s="83">
        <f>240.302-40-60-100</f>
        <v>40.301999999999992</v>
      </c>
      <c r="G106" s="86">
        <v>40</v>
      </c>
      <c r="H106" s="83">
        <f>60+100</f>
        <v>160</v>
      </c>
      <c r="I106" s="83">
        <f t="shared" si="8"/>
        <v>0</v>
      </c>
      <c r="J106" s="86">
        <v>100</v>
      </c>
      <c r="K106" s="86">
        <v>300</v>
      </c>
      <c r="L106" s="83">
        <f t="shared" si="12"/>
        <v>1150</v>
      </c>
      <c r="M106" s="94">
        <v>600</v>
      </c>
      <c r="N106" s="83">
        <f>100</f>
        <v>100</v>
      </c>
      <c r="O106" s="86">
        <v>240</v>
      </c>
      <c r="P106" s="86">
        <v>40</v>
      </c>
      <c r="Q106" s="86">
        <f t="shared" si="13"/>
        <v>315</v>
      </c>
      <c r="R106" s="86">
        <f t="shared" si="14"/>
        <v>100</v>
      </c>
      <c r="S106" s="83">
        <f t="shared" si="15"/>
        <v>695</v>
      </c>
      <c r="T106" s="83">
        <f>50</f>
        <v>50</v>
      </c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</row>
    <row r="107" spans="1:30" ht="15.75" x14ac:dyDescent="0.25">
      <c r="A107" s="16">
        <v>44166</v>
      </c>
      <c r="B107" s="97">
        <v>31</v>
      </c>
      <c r="C107" s="83">
        <f>122.58</f>
        <v>122.58</v>
      </c>
      <c r="D107" s="83">
        <f>297.941</f>
        <v>297.94099999999997</v>
      </c>
      <c r="E107" s="92">
        <f>89.177</f>
        <v>89.177000000000007</v>
      </c>
      <c r="F107" s="83">
        <f>240.302-40-60-100</f>
        <v>40.301999999999992</v>
      </c>
      <c r="G107" s="86">
        <v>40</v>
      </c>
      <c r="H107" s="83">
        <f>60+100</f>
        <v>160</v>
      </c>
      <c r="I107" s="83">
        <f t="shared" si="8"/>
        <v>0</v>
      </c>
      <c r="J107" s="86">
        <v>100</v>
      </c>
      <c r="K107" s="86">
        <v>300</v>
      </c>
      <c r="L107" s="83">
        <f t="shared" si="12"/>
        <v>1150</v>
      </c>
      <c r="M107" s="94">
        <v>600</v>
      </c>
      <c r="N107" s="83">
        <f>100</f>
        <v>100</v>
      </c>
      <c r="O107" s="86">
        <v>240</v>
      </c>
      <c r="P107" s="86">
        <v>40</v>
      </c>
      <c r="Q107" s="86">
        <f t="shared" si="13"/>
        <v>315</v>
      </c>
      <c r="R107" s="86">
        <f t="shared" si="14"/>
        <v>100</v>
      </c>
      <c r="S107" s="83">
        <f t="shared" si="15"/>
        <v>695</v>
      </c>
      <c r="T107" s="83">
        <f>50</f>
        <v>50</v>
      </c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</row>
    <row r="108" spans="1:30" ht="15.75" x14ac:dyDescent="0.25">
      <c r="A108" s="16">
        <v>44197</v>
      </c>
      <c r="B108" s="97">
        <v>31</v>
      </c>
      <c r="C108" s="83">
        <f>122.58</f>
        <v>122.58</v>
      </c>
      <c r="D108" s="83">
        <f>297.941</f>
        <v>297.94099999999997</v>
      </c>
      <c r="E108" s="92">
        <f>89.177</f>
        <v>89.177000000000007</v>
      </c>
      <c r="F108" s="83">
        <f>240.302-40-60-100</f>
        <v>40.301999999999992</v>
      </c>
      <c r="G108" s="86">
        <v>40</v>
      </c>
      <c r="H108" s="83">
        <f>60+100</f>
        <v>160</v>
      </c>
      <c r="I108" s="83">
        <f t="shared" si="8"/>
        <v>0</v>
      </c>
      <c r="J108" s="86">
        <v>100</v>
      </c>
      <c r="K108" s="86">
        <v>300</v>
      </c>
      <c r="L108" s="83">
        <f t="shared" si="12"/>
        <v>1150</v>
      </c>
      <c r="M108" s="94">
        <v>600</v>
      </c>
      <c r="N108" s="83">
        <f>100</f>
        <v>100</v>
      </c>
      <c r="O108" s="86">
        <v>240</v>
      </c>
      <c r="P108" s="86">
        <v>40</v>
      </c>
      <c r="Q108" s="86">
        <f t="shared" si="13"/>
        <v>315</v>
      </c>
      <c r="R108" s="86">
        <f t="shared" si="14"/>
        <v>100</v>
      </c>
      <c r="S108" s="83">
        <f t="shared" si="15"/>
        <v>695</v>
      </c>
      <c r="T108" s="83">
        <f>50</f>
        <v>50</v>
      </c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</row>
    <row r="109" spans="1:30" ht="15.75" x14ac:dyDescent="0.25">
      <c r="A109" s="16">
        <v>44228</v>
      </c>
      <c r="B109" s="97">
        <v>28</v>
      </c>
      <c r="C109" s="83">
        <f>122.58</f>
        <v>122.58</v>
      </c>
      <c r="D109" s="83">
        <f>297.941</f>
        <v>297.94099999999997</v>
      </c>
      <c r="E109" s="92">
        <f>89.177</f>
        <v>89.177000000000007</v>
      </c>
      <c r="F109" s="83">
        <f>240.302-40-60-100</f>
        <v>40.301999999999992</v>
      </c>
      <c r="G109" s="86">
        <v>40</v>
      </c>
      <c r="H109" s="83">
        <f>60+100</f>
        <v>160</v>
      </c>
      <c r="I109" s="83">
        <f t="shared" si="8"/>
        <v>0</v>
      </c>
      <c r="J109" s="86">
        <v>100</v>
      </c>
      <c r="K109" s="86">
        <v>300</v>
      </c>
      <c r="L109" s="83">
        <f t="shared" si="12"/>
        <v>1150</v>
      </c>
      <c r="M109" s="94">
        <v>600</v>
      </c>
      <c r="N109" s="83">
        <f>100</f>
        <v>100</v>
      </c>
      <c r="O109" s="86">
        <v>240</v>
      </c>
      <c r="P109" s="86">
        <v>40</v>
      </c>
      <c r="Q109" s="86">
        <f t="shared" si="13"/>
        <v>315</v>
      </c>
      <c r="R109" s="86">
        <f t="shared" si="14"/>
        <v>100</v>
      </c>
      <c r="S109" s="83">
        <f t="shared" si="15"/>
        <v>695</v>
      </c>
      <c r="T109" s="83">
        <f>50</f>
        <v>50</v>
      </c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</row>
    <row r="110" spans="1:30" ht="15.75" x14ac:dyDescent="0.25">
      <c r="A110" s="16">
        <v>44256</v>
      </c>
      <c r="B110" s="97">
        <v>31</v>
      </c>
      <c r="C110" s="83">
        <f>122.58</f>
        <v>122.58</v>
      </c>
      <c r="D110" s="83">
        <f>297.941</f>
        <v>297.94099999999997</v>
      </c>
      <c r="E110" s="92">
        <f>89.177</f>
        <v>89.177000000000007</v>
      </c>
      <c r="F110" s="83">
        <f>240.302-40-60-100</f>
        <v>40.301999999999992</v>
      </c>
      <c r="G110" s="86">
        <v>40</v>
      </c>
      <c r="H110" s="83">
        <f>60+100</f>
        <v>160</v>
      </c>
      <c r="I110" s="83">
        <f t="shared" si="8"/>
        <v>0</v>
      </c>
      <c r="J110" s="86">
        <v>100</v>
      </c>
      <c r="K110" s="86">
        <v>300</v>
      </c>
      <c r="L110" s="83">
        <f t="shared" si="12"/>
        <v>1150</v>
      </c>
      <c r="M110" s="94">
        <v>600</v>
      </c>
      <c r="N110" s="83">
        <f>100</f>
        <v>100</v>
      </c>
      <c r="O110" s="86">
        <v>240</v>
      </c>
      <c r="P110" s="86">
        <v>40</v>
      </c>
      <c r="Q110" s="86">
        <f t="shared" si="13"/>
        <v>315</v>
      </c>
      <c r="R110" s="86">
        <f t="shared" si="14"/>
        <v>100</v>
      </c>
      <c r="S110" s="83">
        <f t="shared" si="15"/>
        <v>695</v>
      </c>
      <c r="T110" s="83">
        <f>50</f>
        <v>50</v>
      </c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</row>
    <row r="111" spans="1:30" ht="15.75" x14ac:dyDescent="0.25">
      <c r="A111" s="16">
        <v>44287</v>
      </c>
      <c r="B111" s="97">
        <v>30</v>
      </c>
      <c r="C111" s="83">
        <f>141.293</f>
        <v>141.29300000000001</v>
      </c>
      <c r="D111" s="83">
        <f>267.993</f>
        <v>267.99299999999999</v>
      </c>
      <c r="E111" s="92">
        <f>115.016</f>
        <v>115.01600000000001</v>
      </c>
      <c r="F111" s="83">
        <f>314.698-40-25-60-100</f>
        <v>89.697999999999979</v>
      </c>
      <c r="G111" s="86">
        <v>40</v>
      </c>
      <c r="H111" s="83">
        <f t="shared" ref="H111:H117" si="17">25+60+100</f>
        <v>185</v>
      </c>
      <c r="I111" s="83">
        <f t="shared" si="8"/>
        <v>0</v>
      </c>
      <c r="J111" s="86">
        <v>100</v>
      </c>
      <c r="K111" s="86">
        <v>300</v>
      </c>
      <c r="L111" s="83">
        <f t="shared" si="12"/>
        <v>1239</v>
      </c>
      <c r="M111" s="94">
        <v>600</v>
      </c>
      <c r="N111" s="83">
        <f>100</f>
        <v>100</v>
      </c>
      <c r="O111" s="86">
        <v>240</v>
      </c>
      <c r="P111" s="86">
        <v>160</v>
      </c>
      <c r="Q111" s="86">
        <f t="shared" si="13"/>
        <v>195</v>
      </c>
      <c r="R111" s="86">
        <f t="shared" si="14"/>
        <v>100</v>
      </c>
      <c r="S111" s="83">
        <f t="shared" si="15"/>
        <v>695</v>
      </c>
      <c r="T111" s="83">
        <f>50</f>
        <v>50</v>
      </c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</row>
    <row r="112" spans="1:30" ht="15.75" x14ac:dyDescent="0.25">
      <c r="A112" s="16">
        <v>44317</v>
      </c>
      <c r="B112" s="97">
        <v>31</v>
      </c>
      <c r="C112" s="83">
        <f>194.205</f>
        <v>194.20500000000001</v>
      </c>
      <c r="D112" s="83">
        <f>267.466</f>
        <v>267.46600000000001</v>
      </c>
      <c r="E112" s="92">
        <f>133.845</f>
        <v>133.845</v>
      </c>
      <c r="F112" s="83">
        <f>278.484-40-25-60-100</f>
        <v>53.48399999999998</v>
      </c>
      <c r="G112" s="86">
        <v>40</v>
      </c>
      <c r="H112" s="83">
        <f t="shared" si="17"/>
        <v>185</v>
      </c>
      <c r="I112" s="83">
        <f t="shared" si="8"/>
        <v>0</v>
      </c>
      <c r="J112" s="86">
        <v>100</v>
      </c>
      <c r="K112" s="86">
        <v>300</v>
      </c>
      <c r="L112" s="83">
        <f t="shared" si="12"/>
        <v>1274</v>
      </c>
      <c r="M112" s="94">
        <v>600</v>
      </c>
      <c r="N112" s="83">
        <f>75</f>
        <v>75</v>
      </c>
      <c r="O112" s="86">
        <v>240</v>
      </c>
      <c r="P112" s="86">
        <v>160</v>
      </c>
      <c r="Q112" s="86">
        <f t="shared" si="13"/>
        <v>195</v>
      </c>
      <c r="R112" s="86">
        <f t="shared" si="14"/>
        <v>100</v>
      </c>
      <c r="S112" s="83">
        <f t="shared" si="15"/>
        <v>695</v>
      </c>
      <c r="T112" s="83">
        <f>50</f>
        <v>50</v>
      </c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</row>
    <row r="113" spans="1:30" ht="15.75" x14ac:dyDescent="0.25">
      <c r="A113" s="16">
        <v>44348</v>
      </c>
      <c r="B113" s="97">
        <v>30</v>
      </c>
      <c r="C113" s="83">
        <f>194.205</f>
        <v>194.20500000000001</v>
      </c>
      <c r="D113" s="83">
        <f>267.466</f>
        <v>267.46600000000001</v>
      </c>
      <c r="E113" s="92">
        <f>133.845</f>
        <v>133.845</v>
      </c>
      <c r="F113" s="83">
        <f>278.484-40-25-60-100</f>
        <v>53.48399999999998</v>
      </c>
      <c r="G113" s="86">
        <v>40</v>
      </c>
      <c r="H113" s="83">
        <f t="shared" si="17"/>
        <v>185</v>
      </c>
      <c r="I113" s="83">
        <f t="shared" si="8"/>
        <v>0</v>
      </c>
      <c r="J113" s="86">
        <v>100</v>
      </c>
      <c r="K113" s="86">
        <v>300</v>
      </c>
      <c r="L113" s="83">
        <f t="shared" si="12"/>
        <v>1274</v>
      </c>
      <c r="M113" s="94">
        <v>600</v>
      </c>
      <c r="N113" s="83">
        <f>30</f>
        <v>30</v>
      </c>
      <c r="O113" s="86">
        <v>240</v>
      </c>
      <c r="P113" s="86">
        <v>160</v>
      </c>
      <c r="Q113" s="86">
        <f t="shared" si="13"/>
        <v>195</v>
      </c>
      <c r="R113" s="86">
        <f t="shared" si="14"/>
        <v>100</v>
      </c>
      <c r="S113" s="83">
        <f t="shared" si="15"/>
        <v>695</v>
      </c>
      <c r="T113" s="83">
        <f>50</f>
        <v>50</v>
      </c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</row>
    <row r="114" spans="1:30" ht="15.75" x14ac:dyDescent="0.25">
      <c r="A114" s="16">
        <v>44378</v>
      </c>
      <c r="B114" s="97">
        <v>31</v>
      </c>
      <c r="C114" s="83">
        <f>194.205</f>
        <v>194.20500000000001</v>
      </c>
      <c r="D114" s="83">
        <f>267.466</f>
        <v>267.46600000000001</v>
      </c>
      <c r="E114" s="92">
        <f>133.845</f>
        <v>133.845</v>
      </c>
      <c r="F114" s="83">
        <f>278.484-40-25-60-100</f>
        <v>53.48399999999998</v>
      </c>
      <c r="G114" s="86">
        <v>40</v>
      </c>
      <c r="H114" s="83">
        <f t="shared" si="17"/>
        <v>185</v>
      </c>
      <c r="I114" s="83">
        <f t="shared" si="8"/>
        <v>0</v>
      </c>
      <c r="J114" s="86">
        <v>100</v>
      </c>
      <c r="K114" s="86">
        <v>300</v>
      </c>
      <c r="L114" s="83">
        <f t="shared" si="12"/>
        <v>1274</v>
      </c>
      <c r="M114" s="94">
        <v>600</v>
      </c>
      <c r="N114" s="83">
        <f>30</f>
        <v>30</v>
      </c>
      <c r="O114" s="86">
        <v>240</v>
      </c>
      <c r="P114" s="86">
        <v>160</v>
      </c>
      <c r="Q114" s="86">
        <f t="shared" si="13"/>
        <v>195</v>
      </c>
      <c r="R114" s="86">
        <f t="shared" si="14"/>
        <v>100</v>
      </c>
      <c r="S114" s="83">
        <f t="shared" si="15"/>
        <v>695</v>
      </c>
      <c r="T114" s="83">
        <f>0</f>
        <v>0</v>
      </c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</row>
    <row r="115" spans="1:30" ht="15.75" x14ac:dyDescent="0.25">
      <c r="A115" s="16">
        <v>44409</v>
      </c>
      <c r="B115" s="97">
        <v>31</v>
      </c>
      <c r="C115" s="83">
        <f>194.205</f>
        <v>194.20500000000001</v>
      </c>
      <c r="D115" s="83">
        <f>267.466</f>
        <v>267.46600000000001</v>
      </c>
      <c r="E115" s="92">
        <f>133.845</f>
        <v>133.845</v>
      </c>
      <c r="F115" s="83">
        <f>278.484-40-25-60-100</f>
        <v>53.48399999999998</v>
      </c>
      <c r="G115" s="86">
        <v>40</v>
      </c>
      <c r="H115" s="83">
        <f t="shared" si="17"/>
        <v>185</v>
      </c>
      <c r="I115" s="83">
        <f t="shared" si="8"/>
        <v>0</v>
      </c>
      <c r="J115" s="86">
        <v>100</v>
      </c>
      <c r="K115" s="86">
        <v>300</v>
      </c>
      <c r="L115" s="83">
        <f t="shared" si="12"/>
        <v>1274</v>
      </c>
      <c r="M115" s="94">
        <v>600</v>
      </c>
      <c r="N115" s="83">
        <f>30</f>
        <v>30</v>
      </c>
      <c r="O115" s="86">
        <v>240</v>
      </c>
      <c r="P115" s="86">
        <v>160</v>
      </c>
      <c r="Q115" s="86">
        <f t="shared" si="13"/>
        <v>195</v>
      </c>
      <c r="R115" s="86">
        <f t="shared" si="14"/>
        <v>100</v>
      </c>
      <c r="S115" s="83">
        <f t="shared" si="15"/>
        <v>695</v>
      </c>
      <c r="T115" s="83">
        <f>0</f>
        <v>0</v>
      </c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</row>
    <row r="116" spans="1:30" ht="15.75" x14ac:dyDescent="0.25">
      <c r="A116" s="16">
        <v>44440</v>
      </c>
      <c r="B116" s="97">
        <v>30</v>
      </c>
      <c r="C116" s="83">
        <f>194.205</f>
        <v>194.20500000000001</v>
      </c>
      <c r="D116" s="83">
        <f>267.466</f>
        <v>267.46600000000001</v>
      </c>
      <c r="E116" s="92">
        <f>133.845</f>
        <v>133.845</v>
      </c>
      <c r="F116" s="83">
        <f>278.484-40-25-60-100</f>
        <v>53.48399999999998</v>
      </c>
      <c r="G116" s="86">
        <v>40</v>
      </c>
      <c r="H116" s="83">
        <f t="shared" si="17"/>
        <v>185</v>
      </c>
      <c r="I116" s="83">
        <f t="shared" ref="I116:I179" si="18">400-J116-K116</f>
        <v>0</v>
      </c>
      <c r="J116" s="86">
        <v>100</v>
      </c>
      <c r="K116" s="86">
        <v>300</v>
      </c>
      <c r="L116" s="83">
        <f t="shared" si="12"/>
        <v>1274</v>
      </c>
      <c r="M116" s="94">
        <v>600</v>
      </c>
      <c r="N116" s="83">
        <f>30</f>
        <v>30</v>
      </c>
      <c r="O116" s="86">
        <v>240</v>
      </c>
      <c r="P116" s="86">
        <v>160</v>
      </c>
      <c r="Q116" s="86">
        <f t="shared" si="13"/>
        <v>195</v>
      </c>
      <c r="R116" s="86">
        <f t="shared" si="14"/>
        <v>100</v>
      </c>
      <c r="S116" s="83">
        <f t="shared" si="15"/>
        <v>695</v>
      </c>
      <c r="T116" s="83">
        <f>0</f>
        <v>0</v>
      </c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</row>
    <row r="117" spans="1:30" ht="15.75" x14ac:dyDescent="0.25">
      <c r="A117" s="16">
        <v>44470</v>
      </c>
      <c r="B117" s="97">
        <v>31</v>
      </c>
      <c r="C117" s="83">
        <f>131.881</f>
        <v>131.881</v>
      </c>
      <c r="D117" s="83">
        <f>277.167</f>
        <v>277.16699999999997</v>
      </c>
      <c r="E117" s="92">
        <f>79.08</f>
        <v>79.08</v>
      </c>
      <c r="F117" s="83">
        <f>350.872-40-25-60-100</f>
        <v>125.87200000000001</v>
      </c>
      <c r="G117" s="86">
        <v>40</v>
      </c>
      <c r="H117" s="83">
        <f t="shared" si="17"/>
        <v>185</v>
      </c>
      <c r="I117" s="83">
        <f t="shared" si="18"/>
        <v>0</v>
      </c>
      <c r="J117" s="86">
        <v>100</v>
      </c>
      <c r="K117" s="86">
        <v>300</v>
      </c>
      <c r="L117" s="83">
        <f t="shared" si="12"/>
        <v>1239</v>
      </c>
      <c r="M117" s="94">
        <v>600</v>
      </c>
      <c r="N117" s="83">
        <f>75</f>
        <v>75</v>
      </c>
      <c r="O117" s="86">
        <v>240</v>
      </c>
      <c r="P117" s="86">
        <v>160</v>
      </c>
      <c r="Q117" s="86">
        <f t="shared" si="13"/>
        <v>195</v>
      </c>
      <c r="R117" s="86">
        <f t="shared" si="14"/>
        <v>100</v>
      </c>
      <c r="S117" s="83">
        <f t="shared" si="15"/>
        <v>695</v>
      </c>
      <c r="T117" s="83">
        <f>0</f>
        <v>0</v>
      </c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</row>
    <row r="118" spans="1:30" ht="15.75" x14ac:dyDescent="0.25">
      <c r="A118" s="16">
        <v>44501</v>
      </c>
      <c r="B118" s="97">
        <v>30</v>
      </c>
      <c r="C118" s="83">
        <f>122.58</f>
        <v>122.58</v>
      </c>
      <c r="D118" s="83">
        <f>297.941</f>
        <v>297.94099999999997</v>
      </c>
      <c r="E118" s="92">
        <f>89.177</f>
        <v>89.177000000000007</v>
      </c>
      <c r="F118" s="83">
        <f>240.302-40-60-100</f>
        <v>40.301999999999992</v>
      </c>
      <c r="G118" s="86">
        <v>40</v>
      </c>
      <c r="H118" s="83">
        <f>60+100</f>
        <v>160</v>
      </c>
      <c r="I118" s="83">
        <f t="shared" si="18"/>
        <v>0</v>
      </c>
      <c r="J118" s="86">
        <v>100</v>
      </c>
      <c r="K118" s="86">
        <v>300</v>
      </c>
      <c r="L118" s="83">
        <f t="shared" si="12"/>
        <v>1150</v>
      </c>
      <c r="M118" s="94">
        <v>600</v>
      </c>
      <c r="N118" s="83">
        <f>100</f>
        <v>100</v>
      </c>
      <c r="O118" s="86">
        <v>240</v>
      </c>
      <c r="P118" s="86">
        <v>40</v>
      </c>
      <c r="Q118" s="86">
        <f t="shared" si="13"/>
        <v>315</v>
      </c>
      <c r="R118" s="86">
        <f t="shared" si="14"/>
        <v>100</v>
      </c>
      <c r="S118" s="83">
        <f t="shared" si="15"/>
        <v>695</v>
      </c>
      <c r="T118" s="83">
        <f>50</f>
        <v>50</v>
      </c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</row>
    <row r="119" spans="1:30" ht="15.75" x14ac:dyDescent="0.25">
      <c r="A119" s="16">
        <v>44531</v>
      </c>
      <c r="B119" s="97">
        <v>31</v>
      </c>
      <c r="C119" s="83">
        <f>122.58</f>
        <v>122.58</v>
      </c>
      <c r="D119" s="83">
        <f>297.941</f>
        <v>297.94099999999997</v>
      </c>
      <c r="E119" s="92">
        <f>89.177</f>
        <v>89.177000000000007</v>
      </c>
      <c r="F119" s="83">
        <f>240.302-40-60-100</f>
        <v>40.301999999999992</v>
      </c>
      <c r="G119" s="86">
        <v>40</v>
      </c>
      <c r="H119" s="83">
        <f>60+100</f>
        <v>160</v>
      </c>
      <c r="I119" s="83">
        <f t="shared" si="18"/>
        <v>0</v>
      </c>
      <c r="J119" s="86">
        <v>100</v>
      </c>
      <c r="K119" s="86">
        <v>300</v>
      </c>
      <c r="L119" s="83">
        <f t="shared" si="12"/>
        <v>1150</v>
      </c>
      <c r="M119" s="94">
        <v>600</v>
      </c>
      <c r="N119" s="83">
        <f>100</f>
        <v>100</v>
      </c>
      <c r="O119" s="86">
        <v>240</v>
      </c>
      <c r="P119" s="86">
        <v>40</v>
      </c>
      <c r="Q119" s="86">
        <f t="shared" si="13"/>
        <v>315</v>
      </c>
      <c r="R119" s="86">
        <f t="shared" si="14"/>
        <v>100</v>
      </c>
      <c r="S119" s="83">
        <f t="shared" si="15"/>
        <v>695</v>
      </c>
      <c r="T119" s="83">
        <f>50</f>
        <v>50</v>
      </c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</row>
    <row r="120" spans="1:30" ht="15.75" x14ac:dyDescent="0.25">
      <c r="A120" s="16">
        <v>44562</v>
      </c>
      <c r="B120" s="97">
        <v>31</v>
      </c>
      <c r="C120" s="83">
        <f>122.58</f>
        <v>122.58</v>
      </c>
      <c r="D120" s="83">
        <f>297.941</f>
        <v>297.94099999999997</v>
      </c>
      <c r="E120" s="92">
        <f>89.177</f>
        <v>89.177000000000007</v>
      </c>
      <c r="F120" s="83">
        <f>240.302-40-60-100</f>
        <v>40.301999999999992</v>
      </c>
      <c r="G120" s="86">
        <v>40</v>
      </c>
      <c r="H120" s="83">
        <f>60+100</f>
        <v>160</v>
      </c>
      <c r="I120" s="83">
        <f t="shared" si="18"/>
        <v>0</v>
      </c>
      <c r="J120" s="86">
        <v>100</v>
      </c>
      <c r="K120" s="86">
        <v>300</v>
      </c>
      <c r="L120" s="83">
        <f t="shared" si="12"/>
        <v>1150</v>
      </c>
      <c r="M120" s="94">
        <v>600</v>
      </c>
      <c r="N120" s="83">
        <f>100</f>
        <v>100</v>
      </c>
      <c r="O120" s="86">
        <v>240</v>
      </c>
      <c r="P120" s="86">
        <v>40</v>
      </c>
      <c r="Q120" s="86">
        <f t="shared" si="13"/>
        <v>315</v>
      </c>
      <c r="R120" s="86">
        <f t="shared" si="14"/>
        <v>100</v>
      </c>
      <c r="S120" s="83">
        <f t="shared" si="15"/>
        <v>695</v>
      </c>
      <c r="T120" s="83">
        <f>50</f>
        <v>50</v>
      </c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</row>
    <row r="121" spans="1:30" ht="15.75" x14ac:dyDescent="0.25">
      <c r="A121" s="16">
        <v>44593</v>
      </c>
      <c r="B121" s="97">
        <v>28</v>
      </c>
      <c r="C121" s="83">
        <f>122.58</f>
        <v>122.58</v>
      </c>
      <c r="D121" s="83">
        <f>297.941</f>
        <v>297.94099999999997</v>
      </c>
      <c r="E121" s="92">
        <f>89.177</f>
        <v>89.177000000000007</v>
      </c>
      <c r="F121" s="83">
        <f>240.302-40-60-100</f>
        <v>40.301999999999992</v>
      </c>
      <c r="G121" s="86">
        <v>40</v>
      </c>
      <c r="H121" s="83">
        <f>60+100</f>
        <v>160</v>
      </c>
      <c r="I121" s="83">
        <f t="shared" si="18"/>
        <v>0</v>
      </c>
      <c r="J121" s="86">
        <v>100</v>
      </c>
      <c r="K121" s="86">
        <v>300</v>
      </c>
      <c r="L121" s="83">
        <f t="shared" si="12"/>
        <v>1150</v>
      </c>
      <c r="M121" s="94">
        <v>600</v>
      </c>
      <c r="N121" s="83">
        <f>100</f>
        <v>100</v>
      </c>
      <c r="O121" s="86">
        <v>240</v>
      </c>
      <c r="P121" s="86">
        <v>40</v>
      </c>
      <c r="Q121" s="86">
        <f t="shared" si="13"/>
        <v>315</v>
      </c>
      <c r="R121" s="86">
        <f t="shared" si="14"/>
        <v>100</v>
      </c>
      <c r="S121" s="83">
        <f t="shared" si="15"/>
        <v>695</v>
      </c>
      <c r="T121" s="83">
        <f>50</f>
        <v>50</v>
      </c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</row>
    <row r="122" spans="1:30" ht="15.75" x14ac:dyDescent="0.25">
      <c r="A122" s="16">
        <v>44621</v>
      </c>
      <c r="B122" s="97">
        <v>31</v>
      </c>
      <c r="C122" s="83">
        <f>122.58</f>
        <v>122.58</v>
      </c>
      <c r="D122" s="83">
        <f>297.941</f>
        <v>297.94099999999997</v>
      </c>
      <c r="E122" s="92">
        <f>89.177</f>
        <v>89.177000000000007</v>
      </c>
      <c r="F122" s="83">
        <f>240.302-40-60-100</f>
        <v>40.301999999999992</v>
      </c>
      <c r="G122" s="86">
        <v>40</v>
      </c>
      <c r="H122" s="83">
        <f>60+100</f>
        <v>160</v>
      </c>
      <c r="I122" s="83">
        <f t="shared" si="18"/>
        <v>0</v>
      </c>
      <c r="J122" s="86">
        <v>100</v>
      </c>
      <c r="K122" s="86">
        <v>300</v>
      </c>
      <c r="L122" s="83">
        <f t="shared" si="12"/>
        <v>1150</v>
      </c>
      <c r="M122" s="94">
        <v>600</v>
      </c>
      <c r="N122" s="83">
        <f>100</f>
        <v>100</v>
      </c>
      <c r="O122" s="86">
        <v>240</v>
      </c>
      <c r="P122" s="86">
        <v>40</v>
      </c>
      <c r="Q122" s="86">
        <f t="shared" si="13"/>
        <v>315</v>
      </c>
      <c r="R122" s="86">
        <f t="shared" si="14"/>
        <v>100</v>
      </c>
      <c r="S122" s="83">
        <f t="shared" si="15"/>
        <v>695</v>
      </c>
      <c r="T122" s="83">
        <f>50</f>
        <v>50</v>
      </c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</row>
    <row r="123" spans="1:30" ht="15.75" x14ac:dyDescent="0.25">
      <c r="A123" s="16">
        <v>44652</v>
      </c>
      <c r="B123" s="97">
        <v>30</v>
      </c>
      <c r="C123" s="83">
        <f>141.293</f>
        <v>141.29300000000001</v>
      </c>
      <c r="D123" s="83">
        <f>267.993</f>
        <v>267.99299999999999</v>
      </c>
      <c r="E123" s="92">
        <f>115.016</f>
        <v>115.01600000000001</v>
      </c>
      <c r="F123" s="83">
        <f>314.698-40-25-60-100</f>
        <v>89.697999999999979</v>
      </c>
      <c r="G123" s="86">
        <v>40</v>
      </c>
      <c r="H123" s="83">
        <f t="shared" ref="H123:H129" si="19">25+60+100</f>
        <v>185</v>
      </c>
      <c r="I123" s="83">
        <f t="shared" si="18"/>
        <v>0</v>
      </c>
      <c r="J123" s="86">
        <v>100</v>
      </c>
      <c r="K123" s="86">
        <v>300</v>
      </c>
      <c r="L123" s="83">
        <f t="shared" si="12"/>
        <v>1239</v>
      </c>
      <c r="M123" s="94">
        <v>600</v>
      </c>
      <c r="N123" s="83">
        <f>100</f>
        <v>100</v>
      </c>
      <c r="O123" s="86">
        <v>240</v>
      </c>
      <c r="P123" s="86">
        <v>160</v>
      </c>
      <c r="Q123" s="86">
        <f t="shared" si="13"/>
        <v>195</v>
      </c>
      <c r="R123" s="86">
        <f t="shared" si="14"/>
        <v>100</v>
      </c>
      <c r="S123" s="83">
        <f t="shared" si="15"/>
        <v>695</v>
      </c>
      <c r="T123" s="83">
        <f>50</f>
        <v>50</v>
      </c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</row>
    <row r="124" spans="1:30" ht="15.75" x14ac:dyDescent="0.25">
      <c r="A124" s="16">
        <v>44682</v>
      </c>
      <c r="B124" s="97">
        <v>31</v>
      </c>
      <c r="C124" s="83">
        <f>194.205</f>
        <v>194.20500000000001</v>
      </c>
      <c r="D124" s="83">
        <f>267.466</f>
        <v>267.46600000000001</v>
      </c>
      <c r="E124" s="92">
        <f>133.845</f>
        <v>133.845</v>
      </c>
      <c r="F124" s="83">
        <f>278.484-40-25-60-100</f>
        <v>53.48399999999998</v>
      </c>
      <c r="G124" s="86">
        <v>40</v>
      </c>
      <c r="H124" s="83">
        <f t="shared" si="19"/>
        <v>185</v>
      </c>
      <c r="I124" s="83">
        <f t="shared" si="18"/>
        <v>0</v>
      </c>
      <c r="J124" s="86">
        <v>100</v>
      </c>
      <c r="K124" s="86">
        <v>300</v>
      </c>
      <c r="L124" s="83">
        <f t="shared" si="12"/>
        <v>1274</v>
      </c>
      <c r="M124" s="94">
        <v>600</v>
      </c>
      <c r="N124" s="83">
        <f>75</f>
        <v>75</v>
      </c>
      <c r="O124" s="86">
        <v>240</v>
      </c>
      <c r="P124" s="86">
        <v>160</v>
      </c>
      <c r="Q124" s="86">
        <f t="shared" si="13"/>
        <v>195</v>
      </c>
      <c r="R124" s="86">
        <f t="shared" si="14"/>
        <v>100</v>
      </c>
      <c r="S124" s="83">
        <f t="shared" si="15"/>
        <v>695</v>
      </c>
      <c r="T124" s="83">
        <f>50</f>
        <v>50</v>
      </c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</row>
    <row r="125" spans="1:30" ht="15.75" x14ac:dyDescent="0.25">
      <c r="A125" s="16">
        <v>44713</v>
      </c>
      <c r="B125" s="97">
        <v>30</v>
      </c>
      <c r="C125" s="83">
        <f>194.205</f>
        <v>194.20500000000001</v>
      </c>
      <c r="D125" s="83">
        <f>267.466</f>
        <v>267.46600000000001</v>
      </c>
      <c r="E125" s="92">
        <f>133.845</f>
        <v>133.845</v>
      </c>
      <c r="F125" s="83">
        <f>278.484-40-25-60-100</f>
        <v>53.48399999999998</v>
      </c>
      <c r="G125" s="86">
        <v>40</v>
      </c>
      <c r="H125" s="83">
        <f t="shared" si="19"/>
        <v>185</v>
      </c>
      <c r="I125" s="83">
        <f t="shared" si="18"/>
        <v>0</v>
      </c>
      <c r="J125" s="86">
        <v>100</v>
      </c>
      <c r="K125" s="86">
        <v>300</v>
      </c>
      <c r="L125" s="83">
        <f t="shared" si="12"/>
        <v>1274</v>
      </c>
      <c r="M125" s="94">
        <v>600</v>
      </c>
      <c r="N125" s="83">
        <f>30</f>
        <v>30</v>
      </c>
      <c r="O125" s="86">
        <v>240</v>
      </c>
      <c r="P125" s="86">
        <v>160</v>
      </c>
      <c r="Q125" s="86">
        <f t="shared" si="13"/>
        <v>195</v>
      </c>
      <c r="R125" s="86">
        <f t="shared" si="14"/>
        <v>100</v>
      </c>
      <c r="S125" s="83">
        <f t="shared" si="15"/>
        <v>695</v>
      </c>
      <c r="T125" s="83">
        <f>50</f>
        <v>50</v>
      </c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</row>
    <row r="126" spans="1:30" ht="15.75" x14ac:dyDescent="0.25">
      <c r="A126" s="16">
        <v>44743</v>
      </c>
      <c r="B126" s="97">
        <v>31</v>
      </c>
      <c r="C126" s="83">
        <f>194.205</f>
        <v>194.20500000000001</v>
      </c>
      <c r="D126" s="83">
        <f>267.466</f>
        <v>267.46600000000001</v>
      </c>
      <c r="E126" s="92">
        <f>133.845</f>
        <v>133.845</v>
      </c>
      <c r="F126" s="83">
        <f>278.484-40-25-60-100</f>
        <v>53.48399999999998</v>
      </c>
      <c r="G126" s="86">
        <v>40</v>
      </c>
      <c r="H126" s="83">
        <f t="shared" si="19"/>
        <v>185</v>
      </c>
      <c r="I126" s="83">
        <f t="shared" si="18"/>
        <v>0</v>
      </c>
      <c r="J126" s="86">
        <v>100</v>
      </c>
      <c r="K126" s="86">
        <v>300</v>
      </c>
      <c r="L126" s="83">
        <f t="shared" si="12"/>
        <v>1274</v>
      </c>
      <c r="M126" s="94">
        <v>600</v>
      </c>
      <c r="N126" s="83">
        <f>30</f>
        <v>30</v>
      </c>
      <c r="O126" s="86">
        <v>240</v>
      </c>
      <c r="P126" s="86">
        <v>160</v>
      </c>
      <c r="Q126" s="86">
        <f t="shared" si="13"/>
        <v>195</v>
      </c>
      <c r="R126" s="86">
        <f t="shared" si="14"/>
        <v>100</v>
      </c>
      <c r="S126" s="83">
        <f t="shared" si="15"/>
        <v>695</v>
      </c>
      <c r="T126" s="83">
        <f>0</f>
        <v>0</v>
      </c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</row>
    <row r="127" spans="1:30" ht="15.75" x14ac:dyDescent="0.25">
      <c r="A127" s="16">
        <v>44774</v>
      </c>
      <c r="B127" s="97">
        <v>31</v>
      </c>
      <c r="C127" s="83">
        <f>194.205</f>
        <v>194.20500000000001</v>
      </c>
      <c r="D127" s="83">
        <f>267.466</f>
        <v>267.46600000000001</v>
      </c>
      <c r="E127" s="92">
        <f>133.845</f>
        <v>133.845</v>
      </c>
      <c r="F127" s="83">
        <f>278.484-40-25-60-100</f>
        <v>53.48399999999998</v>
      </c>
      <c r="G127" s="86">
        <v>40</v>
      </c>
      <c r="H127" s="83">
        <f t="shared" si="19"/>
        <v>185</v>
      </c>
      <c r="I127" s="83">
        <f t="shared" si="18"/>
        <v>0</v>
      </c>
      <c r="J127" s="86">
        <v>100</v>
      </c>
      <c r="K127" s="86">
        <v>300</v>
      </c>
      <c r="L127" s="83">
        <f t="shared" si="12"/>
        <v>1274</v>
      </c>
      <c r="M127" s="94">
        <v>600</v>
      </c>
      <c r="N127" s="83">
        <f>30</f>
        <v>30</v>
      </c>
      <c r="O127" s="86">
        <v>240</v>
      </c>
      <c r="P127" s="86">
        <v>160</v>
      </c>
      <c r="Q127" s="86">
        <f t="shared" si="13"/>
        <v>195</v>
      </c>
      <c r="R127" s="86">
        <f t="shared" si="14"/>
        <v>100</v>
      </c>
      <c r="S127" s="83">
        <f t="shared" si="15"/>
        <v>695</v>
      </c>
      <c r="T127" s="83">
        <f>0</f>
        <v>0</v>
      </c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</row>
    <row r="128" spans="1:30" ht="15.75" x14ac:dyDescent="0.25">
      <c r="A128" s="16">
        <v>44805</v>
      </c>
      <c r="B128" s="97">
        <v>30</v>
      </c>
      <c r="C128" s="83">
        <f>194.205</f>
        <v>194.20500000000001</v>
      </c>
      <c r="D128" s="83">
        <f>267.466</f>
        <v>267.46600000000001</v>
      </c>
      <c r="E128" s="92">
        <f>133.845</f>
        <v>133.845</v>
      </c>
      <c r="F128" s="83">
        <f>278.484-40-25-60-100</f>
        <v>53.48399999999998</v>
      </c>
      <c r="G128" s="86">
        <v>40</v>
      </c>
      <c r="H128" s="83">
        <f t="shared" si="19"/>
        <v>185</v>
      </c>
      <c r="I128" s="83">
        <f t="shared" si="18"/>
        <v>0</v>
      </c>
      <c r="J128" s="86">
        <v>100</v>
      </c>
      <c r="K128" s="86">
        <v>300</v>
      </c>
      <c r="L128" s="83">
        <f t="shared" si="12"/>
        <v>1274</v>
      </c>
      <c r="M128" s="94">
        <v>600</v>
      </c>
      <c r="N128" s="83">
        <f>30</f>
        <v>30</v>
      </c>
      <c r="O128" s="86">
        <v>240</v>
      </c>
      <c r="P128" s="86">
        <v>160</v>
      </c>
      <c r="Q128" s="86">
        <f t="shared" si="13"/>
        <v>195</v>
      </c>
      <c r="R128" s="86">
        <f t="shared" si="14"/>
        <v>100</v>
      </c>
      <c r="S128" s="83">
        <f t="shared" si="15"/>
        <v>695</v>
      </c>
      <c r="T128" s="83">
        <f>0</f>
        <v>0</v>
      </c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</row>
    <row r="129" spans="1:30" ht="15.75" x14ac:dyDescent="0.25">
      <c r="A129" s="16">
        <v>44835</v>
      </c>
      <c r="B129" s="97">
        <v>31</v>
      </c>
      <c r="C129" s="83">
        <f>131.881</f>
        <v>131.881</v>
      </c>
      <c r="D129" s="83">
        <f>277.167</f>
        <v>277.16699999999997</v>
      </c>
      <c r="E129" s="92">
        <f>79.08</f>
        <v>79.08</v>
      </c>
      <c r="F129" s="83">
        <f>350.872-40-25-60-100</f>
        <v>125.87200000000001</v>
      </c>
      <c r="G129" s="86">
        <v>40</v>
      </c>
      <c r="H129" s="83">
        <f t="shared" si="19"/>
        <v>185</v>
      </c>
      <c r="I129" s="83">
        <f t="shared" si="18"/>
        <v>0</v>
      </c>
      <c r="J129" s="86">
        <v>100</v>
      </c>
      <c r="K129" s="86">
        <v>300</v>
      </c>
      <c r="L129" s="83">
        <f t="shared" si="12"/>
        <v>1239</v>
      </c>
      <c r="M129" s="94">
        <v>600</v>
      </c>
      <c r="N129" s="83">
        <f>75</f>
        <v>75</v>
      </c>
      <c r="O129" s="86">
        <v>240</v>
      </c>
      <c r="P129" s="86">
        <v>160</v>
      </c>
      <c r="Q129" s="86">
        <f t="shared" si="13"/>
        <v>195</v>
      </c>
      <c r="R129" s="86">
        <f t="shared" si="14"/>
        <v>100</v>
      </c>
      <c r="S129" s="83">
        <f t="shared" si="15"/>
        <v>695</v>
      </c>
      <c r="T129" s="83">
        <f>0</f>
        <v>0</v>
      </c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</row>
    <row r="130" spans="1:30" ht="15.75" x14ac:dyDescent="0.25">
      <c r="A130" s="16">
        <v>44866</v>
      </c>
      <c r="B130" s="97">
        <v>30</v>
      </c>
      <c r="C130" s="83">
        <f>122.58</f>
        <v>122.58</v>
      </c>
      <c r="D130" s="83">
        <f>297.941</f>
        <v>297.94099999999997</v>
      </c>
      <c r="E130" s="92">
        <f>89.177</f>
        <v>89.177000000000007</v>
      </c>
      <c r="F130" s="83">
        <f>240.302-40-60-100</f>
        <v>40.301999999999992</v>
      </c>
      <c r="G130" s="86">
        <v>40</v>
      </c>
      <c r="H130" s="83">
        <f>60+100</f>
        <v>160</v>
      </c>
      <c r="I130" s="83">
        <f t="shared" si="18"/>
        <v>0</v>
      </c>
      <c r="J130" s="86">
        <v>100</v>
      </c>
      <c r="K130" s="86">
        <v>300</v>
      </c>
      <c r="L130" s="83">
        <f t="shared" si="12"/>
        <v>1150</v>
      </c>
      <c r="M130" s="94">
        <v>600</v>
      </c>
      <c r="N130" s="83">
        <f>100</f>
        <v>100</v>
      </c>
      <c r="O130" s="86">
        <v>240</v>
      </c>
      <c r="P130" s="86">
        <v>40</v>
      </c>
      <c r="Q130" s="86">
        <f t="shared" si="13"/>
        <v>315</v>
      </c>
      <c r="R130" s="86">
        <f t="shared" si="14"/>
        <v>100</v>
      </c>
      <c r="S130" s="83">
        <f t="shared" si="15"/>
        <v>695</v>
      </c>
      <c r="T130" s="83">
        <f>50</f>
        <v>50</v>
      </c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</row>
    <row r="131" spans="1:30" ht="15.75" x14ac:dyDescent="0.25">
      <c r="A131" s="16">
        <v>44896</v>
      </c>
      <c r="B131" s="97">
        <v>31</v>
      </c>
      <c r="C131" s="83">
        <f>122.58</f>
        <v>122.58</v>
      </c>
      <c r="D131" s="83">
        <f>297.941</f>
        <v>297.94099999999997</v>
      </c>
      <c r="E131" s="92">
        <f>89.177</f>
        <v>89.177000000000007</v>
      </c>
      <c r="F131" s="83">
        <f>240.302-40-60-100</f>
        <v>40.301999999999992</v>
      </c>
      <c r="G131" s="86">
        <v>40</v>
      </c>
      <c r="H131" s="83">
        <f>60+100</f>
        <v>160</v>
      </c>
      <c r="I131" s="83">
        <f t="shared" si="18"/>
        <v>0</v>
      </c>
      <c r="J131" s="86">
        <v>100</v>
      </c>
      <c r="K131" s="86">
        <v>300</v>
      </c>
      <c r="L131" s="83">
        <f t="shared" si="12"/>
        <v>1150</v>
      </c>
      <c r="M131" s="94">
        <v>600</v>
      </c>
      <c r="N131" s="83">
        <f>100</f>
        <v>100</v>
      </c>
      <c r="O131" s="86">
        <v>240</v>
      </c>
      <c r="P131" s="86">
        <v>40</v>
      </c>
      <c r="Q131" s="86">
        <f t="shared" si="13"/>
        <v>315</v>
      </c>
      <c r="R131" s="86">
        <f t="shared" si="14"/>
        <v>100</v>
      </c>
      <c r="S131" s="83">
        <f t="shared" si="15"/>
        <v>695</v>
      </c>
      <c r="T131" s="83">
        <f>50</f>
        <v>50</v>
      </c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</row>
    <row r="132" spans="1:30" ht="15.75" x14ac:dyDescent="0.25">
      <c r="A132" s="16">
        <v>44927</v>
      </c>
      <c r="B132" s="97">
        <v>31</v>
      </c>
      <c r="C132" s="83">
        <f>122.58</f>
        <v>122.58</v>
      </c>
      <c r="D132" s="83">
        <f>297.941</f>
        <v>297.94099999999997</v>
      </c>
      <c r="E132" s="92">
        <f>89.177</f>
        <v>89.177000000000007</v>
      </c>
      <c r="F132" s="83">
        <f>240.302-40-60-100</f>
        <v>40.301999999999992</v>
      </c>
      <c r="G132" s="86">
        <v>40</v>
      </c>
      <c r="H132" s="83">
        <f>60+100</f>
        <v>160</v>
      </c>
      <c r="I132" s="83">
        <f t="shared" si="18"/>
        <v>0</v>
      </c>
      <c r="J132" s="86">
        <v>100</v>
      </c>
      <c r="K132" s="86">
        <v>300</v>
      </c>
      <c r="L132" s="83">
        <f t="shared" si="12"/>
        <v>1150</v>
      </c>
      <c r="M132" s="94">
        <v>600</v>
      </c>
      <c r="N132" s="83">
        <f>100</f>
        <v>100</v>
      </c>
      <c r="O132" s="86">
        <v>240</v>
      </c>
      <c r="P132" s="86">
        <v>40</v>
      </c>
      <c r="Q132" s="86">
        <f t="shared" si="13"/>
        <v>315</v>
      </c>
      <c r="R132" s="86">
        <f t="shared" si="14"/>
        <v>100</v>
      </c>
      <c r="S132" s="83">
        <f t="shared" si="15"/>
        <v>695</v>
      </c>
      <c r="T132" s="83">
        <f>50</f>
        <v>50</v>
      </c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</row>
    <row r="133" spans="1:30" ht="15.75" x14ac:dyDescent="0.25">
      <c r="A133" s="16">
        <v>44958</v>
      </c>
      <c r="B133" s="97">
        <v>28</v>
      </c>
      <c r="C133" s="83">
        <f>122.58</f>
        <v>122.58</v>
      </c>
      <c r="D133" s="83">
        <f>297.941</f>
        <v>297.94099999999997</v>
      </c>
      <c r="E133" s="92">
        <f>89.177</f>
        <v>89.177000000000007</v>
      </c>
      <c r="F133" s="83">
        <f>240.302-40-60-100</f>
        <v>40.301999999999992</v>
      </c>
      <c r="G133" s="86">
        <v>40</v>
      </c>
      <c r="H133" s="83">
        <f>60+100</f>
        <v>160</v>
      </c>
      <c r="I133" s="83">
        <f t="shared" si="18"/>
        <v>0</v>
      </c>
      <c r="J133" s="86">
        <v>100</v>
      </c>
      <c r="K133" s="86">
        <v>300</v>
      </c>
      <c r="L133" s="83">
        <f t="shared" si="12"/>
        <v>1150</v>
      </c>
      <c r="M133" s="94">
        <v>600</v>
      </c>
      <c r="N133" s="83">
        <f>100</f>
        <v>100</v>
      </c>
      <c r="O133" s="86">
        <v>240</v>
      </c>
      <c r="P133" s="86">
        <v>40</v>
      </c>
      <c r="Q133" s="86">
        <f t="shared" si="13"/>
        <v>315</v>
      </c>
      <c r="R133" s="86">
        <f t="shared" si="14"/>
        <v>100</v>
      </c>
      <c r="S133" s="83">
        <f t="shared" si="15"/>
        <v>695</v>
      </c>
      <c r="T133" s="83">
        <f>50</f>
        <v>50</v>
      </c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</row>
    <row r="134" spans="1:30" ht="15.75" x14ac:dyDescent="0.25">
      <c r="A134" s="16">
        <v>44986</v>
      </c>
      <c r="B134" s="97">
        <v>31</v>
      </c>
      <c r="C134" s="83">
        <f>122.58</f>
        <v>122.58</v>
      </c>
      <c r="D134" s="83">
        <f>297.941</f>
        <v>297.94099999999997</v>
      </c>
      <c r="E134" s="92">
        <f>89.177</f>
        <v>89.177000000000007</v>
      </c>
      <c r="F134" s="83">
        <f>240.302-40-60-100</f>
        <v>40.301999999999992</v>
      </c>
      <c r="G134" s="86">
        <v>40</v>
      </c>
      <c r="H134" s="83">
        <f>60+100</f>
        <v>160</v>
      </c>
      <c r="I134" s="83">
        <f t="shared" si="18"/>
        <v>0</v>
      </c>
      <c r="J134" s="86">
        <v>100</v>
      </c>
      <c r="K134" s="86">
        <v>300</v>
      </c>
      <c r="L134" s="83">
        <f t="shared" si="12"/>
        <v>1150</v>
      </c>
      <c r="M134" s="94">
        <v>600</v>
      </c>
      <c r="N134" s="83">
        <f>100</f>
        <v>100</v>
      </c>
      <c r="O134" s="86">
        <v>240</v>
      </c>
      <c r="P134" s="86">
        <v>40</v>
      </c>
      <c r="Q134" s="86">
        <f t="shared" si="13"/>
        <v>315</v>
      </c>
      <c r="R134" s="86">
        <f t="shared" si="14"/>
        <v>100</v>
      </c>
      <c r="S134" s="83">
        <f t="shared" si="15"/>
        <v>695</v>
      </c>
      <c r="T134" s="83">
        <f>50</f>
        <v>50</v>
      </c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</row>
    <row r="135" spans="1:30" ht="15.75" x14ac:dyDescent="0.25">
      <c r="A135" s="16">
        <v>45017</v>
      </c>
      <c r="B135" s="97">
        <v>30</v>
      </c>
      <c r="C135" s="83">
        <f>141.293</f>
        <v>141.29300000000001</v>
      </c>
      <c r="D135" s="83">
        <f>267.993</f>
        <v>267.99299999999999</v>
      </c>
      <c r="E135" s="92">
        <f>115.016</f>
        <v>115.01600000000001</v>
      </c>
      <c r="F135" s="83">
        <f>314.698-40-25-60-100</f>
        <v>89.697999999999979</v>
      </c>
      <c r="G135" s="86">
        <v>40</v>
      </c>
      <c r="H135" s="83">
        <f t="shared" ref="H135:H141" si="20">25+60+100</f>
        <v>185</v>
      </c>
      <c r="I135" s="83">
        <f t="shared" si="18"/>
        <v>0</v>
      </c>
      <c r="J135" s="86">
        <v>100</v>
      </c>
      <c r="K135" s="86">
        <v>300</v>
      </c>
      <c r="L135" s="83">
        <f t="shared" si="12"/>
        <v>1239</v>
      </c>
      <c r="M135" s="94">
        <v>600</v>
      </c>
      <c r="N135" s="83">
        <f>100</f>
        <v>100</v>
      </c>
      <c r="O135" s="86">
        <v>240</v>
      </c>
      <c r="P135" s="86">
        <v>160</v>
      </c>
      <c r="Q135" s="86">
        <f t="shared" si="13"/>
        <v>195</v>
      </c>
      <c r="R135" s="86">
        <f t="shared" si="14"/>
        <v>100</v>
      </c>
      <c r="S135" s="83">
        <f t="shared" si="15"/>
        <v>695</v>
      </c>
      <c r="T135" s="83">
        <f>50</f>
        <v>50</v>
      </c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</row>
    <row r="136" spans="1:30" ht="15.75" x14ac:dyDescent="0.25">
      <c r="A136" s="16">
        <v>45047</v>
      </c>
      <c r="B136" s="97">
        <v>31</v>
      </c>
      <c r="C136" s="83">
        <f>194.205</f>
        <v>194.20500000000001</v>
      </c>
      <c r="D136" s="83">
        <f>267.466</f>
        <v>267.46600000000001</v>
      </c>
      <c r="E136" s="92">
        <f>133.845</f>
        <v>133.845</v>
      </c>
      <c r="F136" s="83">
        <f>278.484-40-25-60-100</f>
        <v>53.48399999999998</v>
      </c>
      <c r="G136" s="86">
        <v>40</v>
      </c>
      <c r="H136" s="83">
        <f t="shared" si="20"/>
        <v>185</v>
      </c>
      <c r="I136" s="83">
        <f t="shared" si="18"/>
        <v>0</v>
      </c>
      <c r="J136" s="86">
        <v>100</v>
      </c>
      <c r="K136" s="86">
        <v>300</v>
      </c>
      <c r="L136" s="83">
        <f t="shared" si="12"/>
        <v>1274</v>
      </c>
      <c r="M136" s="94">
        <v>600</v>
      </c>
      <c r="N136" s="83">
        <f>75</f>
        <v>75</v>
      </c>
      <c r="O136" s="86">
        <v>240</v>
      </c>
      <c r="P136" s="86">
        <v>160</v>
      </c>
      <c r="Q136" s="86">
        <f t="shared" si="13"/>
        <v>195</v>
      </c>
      <c r="R136" s="86">
        <f t="shared" si="14"/>
        <v>100</v>
      </c>
      <c r="S136" s="83">
        <f t="shared" si="15"/>
        <v>695</v>
      </c>
      <c r="T136" s="83">
        <f>50</f>
        <v>50</v>
      </c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</row>
    <row r="137" spans="1:30" ht="15.75" x14ac:dyDescent="0.25">
      <c r="A137" s="16">
        <v>45078</v>
      </c>
      <c r="B137" s="97">
        <v>30</v>
      </c>
      <c r="C137" s="83">
        <f>194.205</f>
        <v>194.20500000000001</v>
      </c>
      <c r="D137" s="83">
        <f>267.466</f>
        <v>267.46600000000001</v>
      </c>
      <c r="E137" s="92">
        <f>133.845</f>
        <v>133.845</v>
      </c>
      <c r="F137" s="83">
        <f>278.484-40-25-60-100</f>
        <v>53.48399999999998</v>
      </c>
      <c r="G137" s="86">
        <v>40</v>
      </c>
      <c r="H137" s="83">
        <f t="shared" si="20"/>
        <v>185</v>
      </c>
      <c r="I137" s="83">
        <f t="shared" si="18"/>
        <v>0</v>
      </c>
      <c r="J137" s="86">
        <v>100</v>
      </c>
      <c r="K137" s="86">
        <v>300</v>
      </c>
      <c r="L137" s="83">
        <f t="shared" si="12"/>
        <v>1274</v>
      </c>
      <c r="M137" s="94">
        <v>600</v>
      </c>
      <c r="N137" s="83">
        <f>30</f>
        <v>30</v>
      </c>
      <c r="O137" s="86">
        <v>240</v>
      </c>
      <c r="P137" s="86">
        <v>160</v>
      </c>
      <c r="Q137" s="86">
        <f t="shared" si="13"/>
        <v>195</v>
      </c>
      <c r="R137" s="86">
        <f t="shared" si="14"/>
        <v>100</v>
      </c>
      <c r="S137" s="83">
        <f t="shared" si="15"/>
        <v>695</v>
      </c>
      <c r="T137" s="83">
        <f>50</f>
        <v>50</v>
      </c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</row>
    <row r="138" spans="1:30" ht="15.75" x14ac:dyDescent="0.25">
      <c r="A138" s="16">
        <v>45108</v>
      </c>
      <c r="B138" s="97">
        <v>31</v>
      </c>
      <c r="C138" s="83">
        <f>194.205</f>
        <v>194.20500000000001</v>
      </c>
      <c r="D138" s="83">
        <f>267.466</f>
        <v>267.46600000000001</v>
      </c>
      <c r="E138" s="92">
        <f>133.845</f>
        <v>133.845</v>
      </c>
      <c r="F138" s="83">
        <f>278.484-40-25-60-100</f>
        <v>53.48399999999998</v>
      </c>
      <c r="G138" s="86">
        <v>40</v>
      </c>
      <c r="H138" s="83">
        <f t="shared" si="20"/>
        <v>185</v>
      </c>
      <c r="I138" s="83">
        <f t="shared" si="18"/>
        <v>0</v>
      </c>
      <c r="J138" s="86">
        <v>100</v>
      </c>
      <c r="K138" s="86">
        <v>300</v>
      </c>
      <c r="L138" s="83">
        <f t="shared" si="12"/>
        <v>1274</v>
      </c>
      <c r="M138" s="94">
        <v>600</v>
      </c>
      <c r="N138" s="83">
        <f>30</f>
        <v>30</v>
      </c>
      <c r="O138" s="86">
        <v>240</v>
      </c>
      <c r="P138" s="86">
        <v>160</v>
      </c>
      <c r="Q138" s="86">
        <f t="shared" si="13"/>
        <v>195</v>
      </c>
      <c r="R138" s="86">
        <f t="shared" si="14"/>
        <v>100</v>
      </c>
      <c r="S138" s="83">
        <f t="shared" si="15"/>
        <v>695</v>
      </c>
      <c r="T138" s="83">
        <f>0</f>
        <v>0</v>
      </c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</row>
    <row r="139" spans="1:30" ht="15.75" x14ac:dyDescent="0.25">
      <c r="A139" s="16">
        <v>45139</v>
      </c>
      <c r="B139" s="97">
        <v>31</v>
      </c>
      <c r="C139" s="83">
        <f>194.205</f>
        <v>194.20500000000001</v>
      </c>
      <c r="D139" s="83">
        <f>267.466</f>
        <v>267.46600000000001</v>
      </c>
      <c r="E139" s="92">
        <f>133.845</f>
        <v>133.845</v>
      </c>
      <c r="F139" s="83">
        <f>278.484-40-25-60-100</f>
        <v>53.48399999999998</v>
      </c>
      <c r="G139" s="86">
        <v>40</v>
      </c>
      <c r="H139" s="83">
        <f t="shared" si="20"/>
        <v>185</v>
      </c>
      <c r="I139" s="83">
        <f t="shared" si="18"/>
        <v>0</v>
      </c>
      <c r="J139" s="86">
        <v>100</v>
      </c>
      <c r="K139" s="86">
        <v>300</v>
      </c>
      <c r="L139" s="83">
        <f t="shared" si="12"/>
        <v>1274</v>
      </c>
      <c r="M139" s="94">
        <v>600</v>
      </c>
      <c r="N139" s="83">
        <f>30</f>
        <v>30</v>
      </c>
      <c r="O139" s="86">
        <v>240</v>
      </c>
      <c r="P139" s="86">
        <v>160</v>
      </c>
      <c r="Q139" s="86">
        <f t="shared" si="13"/>
        <v>195</v>
      </c>
      <c r="R139" s="86">
        <f t="shared" si="14"/>
        <v>100</v>
      </c>
      <c r="S139" s="83">
        <f t="shared" si="15"/>
        <v>695</v>
      </c>
      <c r="T139" s="83">
        <f>0</f>
        <v>0</v>
      </c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</row>
    <row r="140" spans="1:30" ht="15.75" x14ac:dyDescent="0.25">
      <c r="A140" s="16">
        <v>45170</v>
      </c>
      <c r="B140" s="97">
        <v>30</v>
      </c>
      <c r="C140" s="83">
        <f>194.205</f>
        <v>194.20500000000001</v>
      </c>
      <c r="D140" s="83">
        <f>267.466</f>
        <v>267.46600000000001</v>
      </c>
      <c r="E140" s="92">
        <f>133.845</f>
        <v>133.845</v>
      </c>
      <c r="F140" s="83">
        <f>278.484-40-25-60-100</f>
        <v>53.48399999999998</v>
      </c>
      <c r="G140" s="86">
        <v>40</v>
      </c>
      <c r="H140" s="83">
        <f t="shared" si="20"/>
        <v>185</v>
      </c>
      <c r="I140" s="83">
        <f t="shared" si="18"/>
        <v>0</v>
      </c>
      <c r="J140" s="86">
        <v>100</v>
      </c>
      <c r="K140" s="86">
        <v>300</v>
      </c>
      <c r="L140" s="83">
        <f t="shared" si="12"/>
        <v>1274</v>
      </c>
      <c r="M140" s="94">
        <v>600</v>
      </c>
      <c r="N140" s="83">
        <f>30</f>
        <v>30</v>
      </c>
      <c r="O140" s="86">
        <v>240</v>
      </c>
      <c r="P140" s="86">
        <v>160</v>
      </c>
      <c r="Q140" s="86">
        <f t="shared" si="13"/>
        <v>195</v>
      </c>
      <c r="R140" s="86">
        <f t="shared" si="14"/>
        <v>100</v>
      </c>
      <c r="S140" s="83">
        <f t="shared" si="15"/>
        <v>695</v>
      </c>
      <c r="T140" s="83">
        <f>0</f>
        <v>0</v>
      </c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</row>
    <row r="141" spans="1:30" ht="15.75" x14ac:dyDescent="0.25">
      <c r="A141" s="16">
        <v>45200</v>
      </c>
      <c r="B141" s="97">
        <v>31</v>
      </c>
      <c r="C141" s="83">
        <f>131.881</f>
        <v>131.881</v>
      </c>
      <c r="D141" s="83">
        <f>277.167</f>
        <v>277.16699999999997</v>
      </c>
      <c r="E141" s="92">
        <f>79.08</f>
        <v>79.08</v>
      </c>
      <c r="F141" s="83">
        <f>350.872-40-25-60-100</f>
        <v>125.87200000000001</v>
      </c>
      <c r="G141" s="86">
        <v>40</v>
      </c>
      <c r="H141" s="83">
        <f t="shared" si="20"/>
        <v>185</v>
      </c>
      <c r="I141" s="83">
        <f t="shared" si="18"/>
        <v>0</v>
      </c>
      <c r="J141" s="86">
        <v>100</v>
      </c>
      <c r="K141" s="86">
        <v>300</v>
      </c>
      <c r="L141" s="83">
        <f t="shared" si="12"/>
        <v>1239</v>
      </c>
      <c r="M141" s="94">
        <v>600</v>
      </c>
      <c r="N141" s="83">
        <f>75</f>
        <v>75</v>
      </c>
      <c r="O141" s="86">
        <v>240</v>
      </c>
      <c r="P141" s="86">
        <v>160</v>
      </c>
      <c r="Q141" s="86">
        <f t="shared" si="13"/>
        <v>195</v>
      </c>
      <c r="R141" s="86">
        <f t="shared" si="14"/>
        <v>100</v>
      </c>
      <c r="S141" s="83">
        <f t="shared" si="15"/>
        <v>695</v>
      </c>
      <c r="T141" s="83">
        <f>0</f>
        <v>0</v>
      </c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</row>
    <row r="142" spans="1:30" ht="15.75" x14ac:dyDescent="0.25">
      <c r="A142" s="16">
        <v>45231</v>
      </c>
      <c r="B142" s="97">
        <v>30</v>
      </c>
      <c r="C142" s="83">
        <f>122.58</f>
        <v>122.58</v>
      </c>
      <c r="D142" s="83">
        <f>297.941</f>
        <v>297.94099999999997</v>
      </c>
      <c r="E142" s="92">
        <f>89.177</f>
        <v>89.177000000000007</v>
      </c>
      <c r="F142" s="83">
        <f>240.302-40-60-100</f>
        <v>40.301999999999992</v>
      </c>
      <c r="G142" s="86">
        <v>40</v>
      </c>
      <c r="H142" s="83">
        <f>60+100</f>
        <v>160</v>
      </c>
      <c r="I142" s="83">
        <f t="shared" si="18"/>
        <v>0</v>
      </c>
      <c r="J142" s="86">
        <v>100</v>
      </c>
      <c r="K142" s="86">
        <v>300</v>
      </c>
      <c r="L142" s="83">
        <f t="shared" si="12"/>
        <v>1150</v>
      </c>
      <c r="M142" s="94">
        <v>600</v>
      </c>
      <c r="N142" s="83">
        <f>100</f>
        <v>100</v>
      </c>
      <c r="O142" s="86">
        <v>240</v>
      </c>
      <c r="P142" s="86">
        <v>40</v>
      </c>
      <c r="Q142" s="86">
        <f t="shared" si="13"/>
        <v>315</v>
      </c>
      <c r="R142" s="86">
        <f t="shared" si="14"/>
        <v>100</v>
      </c>
      <c r="S142" s="83">
        <f t="shared" si="15"/>
        <v>695</v>
      </c>
      <c r="T142" s="83">
        <f>50</f>
        <v>50</v>
      </c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</row>
    <row r="143" spans="1:30" ht="15.75" x14ac:dyDescent="0.25">
      <c r="A143" s="16">
        <v>45261</v>
      </c>
      <c r="B143" s="97">
        <v>31</v>
      </c>
      <c r="C143" s="83">
        <f>122.58</f>
        <v>122.58</v>
      </c>
      <c r="D143" s="83">
        <f>297.941</f>
        <v>297.94099999999997</v>
      </c>
      <c r="E143" s="92">
        <f>89.177</f>
        <v>89.177000000000007</v>
      </c>
      <c r="F143" s="83">
        <f>240.302-40-60-100</f>
        <v>40.301999999999992</v>
      </c>
      <c r="G143" s="86">
        <v>40</v>
      </c>
      <c r="H143" s="83">
        <f>60+100</f>
        <v>160</v>
      </c>
      <c r="I143" s="83">
        <f t="shared" si="18"/>
        <v>0</v>
      </c>
      <c r="J143" s="86">
        <v>100</v>
      </c>
      <c r="K143" s="86">
        <v>300</v>
      </c>
      <c r="L143" s="83">
        <f t="shared" si="12"/>
        <v>1150</v>
      </c>
      <c r="M143" s="94">
        <v>600</v>
      </c>
      <c r="N143" s="83">
        <f>100</f>
        <v>100</v>
      </c>
      <c r="O143" s="86">
        <v>240</v>
      </c>
      <c r="P143" s="86">
        <v>40</v>
      </c>
      <c r="Q143" s="86">
        <f t="shared" si="13"/>
        <v>315</v>
      </c>
      <c r="R143" s="86">
        <f t="shared" si="14"/>
        <v>100</v>
      </c>
      <c r="S143" s="83">
        <f t="shared" si="15"/>
        <v>695</v>
      </c>
      <c r="T143" s="83">
        <f>50</f>
        <v>50</v>
      </c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</row>
    <row r="144" spans="1:30" ht="15.75" x14ac:dyDescent="0.25">
      <c r="A144" s="16">
        <v>45292</v>
      </c>
      <c r="B144" s="97">
        <v>31</v>
      </c>
      <c r="C144" s="83">
        <f>122.58</f>
        <v>122.58</v>
      </c>
      <c r="D144" s="83">
        <f>297.941</f>
        <v>297.94099999999997</v>
      </c>
      <c r="E144" s="92">
        <f>89.177</f>
        <v>89.177000000000007</v>
      </c>
      <c r="F144" s="83">
        <f>240.302-40-60-100</f>
        <v>40.301999999999992</v>
      </c>
      <c r="G144" s="86">
        <v>40</v>
      </c>
      <c r="H144" s="83">
        <f>60+100</f>
        <v>160</v>
      </c>
      <c r="I144" s="83">
        <f t="shared" si="18"/>
        <v>0</v>
      </c>
      <c r="J144" s="86">
        <v>100</v>
      </c>
      <c r="K144" s="86">
        <v>300</v>
      </c>
      <c r="L144" s="83">
        <f t="shared" si="12"/>
        <v>1150</v>
      </c>
      <c r="M144" s="94">
        <v>600</v>
      </c>
      <c r="N144" s="83">
        <f>100</f>
        <v>100</v>
      </c>
      <c r="O144" s="86">
        <v>240</v>
      </c>
      <c r="P144" s="86">
        <v>40</v>
      </c>
      <c r="Q144" s="86">
        <f t="shared" si="13"/>
        <v>315</v>
      </c>
      <c r="R144" s="86">
        <f t="shared" si="14"/>
        <v>100</v>
      </c>
      <c r="S144" s="83">
        <f t="shared" si="15"/>
        <v>695</v>
      </c>
      <c r="T144" s="83">
        <f>50</f>
        <v>50</v>
      </c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</row>
    <row r="145" spans="1:30" ht="15.75" x14ac:dyDescent="0.25">
      <c r="A145" s="16">
        <v>45323</v>
      </c>
      <c r="B145" s="97">
        <v>29</v>
      </c>
      <c r="C145" s="83">
        <f>122.58</f>
        <v>122.58</v>
      </c>
      <c r="D145" s="83">
        <f>297.941</f>
        <v>297.94099999999997</v>
      </c>
      <c r="E145" s="92">
        <f>89.177</f>
        <v>89.177000000000007</v>
      </c>
      <c r="F145" s="83">
        <f>240.302-40-60-100</f>
        <v>40.301999999999992</v>
      </c>
      <c r="G145" s="86">
        <v>40</v>
      </c>
      <c r="H145" s="83">
        <f>60+100</f>
        <v>160</v>
      </c>
      <c r="I145" s="83">
        <f t="shared" si="18"/>
        <v>0</v>
      </c>
      <c r="J145" s="86">
        <v>100</v>
      </c>
      <c r="K145" s="86">
        <v>300</v>
      </c>
      <c r="L145" s="83">
        <f t="shared" si="12"/>
        <v>1150</v>
      </c>
      <c r="M145" s="94">
        <v>600</v>
      </c>
      <c r="N145" s="83">
        <f>100</f>
        <v>100</v>
      </c>
      <c r="O145" s="86">
        <v>240</v>
      </c>
      <c r="P145" s="86">
        <v>40</v>
      </c>
      <c r="Q145" s="86">
        <f t="shared" si="13"/>
        <v>315</v>
      </c>
      <c r="R145" s="86">
        <f t="shared" si="14"/>
        <v>100</v>
      </c>
      <c r="S145" s="83">
        <f t="shared" si="15"/>
        <v>695</v>
      </c>
      <c r="T145" s="83">
        <f>50</f>
        <v>50</v>
      </c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</row>
    <row r="146" spans="1:30" ht="15.75" x14ac:dyDescent="0.25">
      <c r="A146" s="16">
        <v>45352</v>
      </c>
      <c r="B146" s="97">
        <v>31</v>
      </c>
      <c r="C146" s="83">
        <f>122.58</f>
        <v>122.58</v>
      </c>
      <c r="D146" s="83">
        <f>297.941</f>
        <v>297.94099999999997</v>
      </c>
      <c r="E146" s="92">
        <f>89.177</f>
        <v>89.177000000000007</v>
      </c>
      <c r="F146" s="83">
        <f>240.302-40-60-100</f>
        <v>40.301999999999992</v>
      </c>
      <c r="G146" s="86">
        <v>40</v>
      </c>
      <c r="H146" s="83">
        <f>60+100</f>
        <v>160</v>
      </c>
      <c r="I146" s="83">
        <f t="shared" si="18"/>
        <v>0</v>
      </c>
      <c r="J146" s="86">
        <v>100</v>
      </c>
      <c r="K146" s="86">
        <v>300</v>
      </c>
      <c r="L146" s="83">
        <f t="shared" si="12"/>
        <v>1150</v>
      </c>
      <c r="M146" s="94">
        <v>600</v>
      </c>
      <c r="N146" s="83">
        <f>100</f>
        <v>100</v>
      </c>
      <c r="O146" s="86">
        <v>240</v>
      </c>
      <c r="P146" s="86">
        <v>40</v>
      </c>
      <c r="Q146" s="86">
        <f t="shared" si="13"/>
        <v>315</v>
      </c>
      <c r="R146" s="86">
        <f t="shared" si="14"/>
        <v>100</v>
      </c>
      <c r="S146" s="83">
        <f t="shared" si="15"/>
        <v>695</v>
      </c>
      <c r="T146" s="83">
        <f>50</f>
        <v>50</v>
      </c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</row>
    <row r="147" spans="1:30" ht="15.75" x14ac:dyDescent="0.25">
      <c r="A147" s="16">
        <v>45383</v>
      </c>
      <c r="B147" s="97">
        <v>30</v>
      </c>
      <c r="C147" s="83">
        <f>141.293</f>
        <v>141.29300000000001</v>
      </c>
      <c r="D147" s="83">
        <f>267.993</f>
        <v>267.99299999999999</v>
      </c>
      <c r="E147" s="92">
        <f>115.016</f>
        <v>115.01600000000001</v>
      </c>
      <c r="F147" s="83">
        <f>314.698-40-25-60-100</f>
        <v>89.697999999999979</v>
      </c>
      <c r="G147" s="86">
        <v>40</v>
      </c>
      <c r="H147" s="83">
        <f t="shared" ref="H147:H153" si="21">25+60+100</f>
        <v>185</v>
      </c>
      <c r="I147" s="83">
        <f t="shared" si="18"/>
        <v>0</v>
      </c>
      <c r="J147" s="86">
        <v>100</v>
      </c>
      <c r="K147" s="86">
        <v>300</v>
      </c>
      <c r="L147" s="83">
        <f t="shared" si="12"/>
        <v>1239</v>
      </c>
      <c r="M147" s="94">
        <v>600</v>
      </c>
      <c r="N147" s="83">
        <f>100</f>
        <v>100</v>
      </c>
      <c r="O147" s="86">
        <v>240</v>
      </c>
      <c r="P147" s="86">
        <v>160</v>
      </c>
      <c r="Q147" s="86">
        <f t="shared" si="13"/>
        <v>195</v>
      </c>
      <c r="R147" s="86">
        <f t="shared" si="14"/>
        <v>100</v>
      </c>
      <c r="S147" s="83">
        <f t="shared" si="15"/>
        <v>695</v>
      </c>
      <c r="T147" s="83">
        <f>50</f>
        <v>50</v>
      </c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</row>
    <row r="148" spans="1:30" ht="15.75" x14ac:dyDescent="0.25">
      <c r="A148" s="16">
        <v>45413</v>
      </c>
      <c r="B148" s="97">
        <v>31</v>
      </c>
      <c r="C148" s="83">
        <f>194.205</f>
        <v>194.20500000000001</v>
      </c>
      <c r="D148" s="83">
        <f>267.466</f>
        <v>267.46600000000001</v>
      </c>
      <c r="E148" s="92">
        <f>133.845</f>
        <v>133.845</v>
      </c>
      <c r="F148" s="83">
        <f>278.484-40-25-60-100</f>
        <v>53.48399999999998</v>
      </c>
      <c r="G148" s="86">
        <v>40</v>
      </c>
      <c r="H148" s="83">
        <f t="shared" si="21"/>
        <v>185</v>
      </c>
      <c r="I148" s="83">
        <f t="shared" si="18"/>
        <v>0</v>
      </c>
      <c r="J148" s="86">
        <v>100</v>
      </c>
      <c r="K148" s="86">
        <v>300</v>
      </c>
      <c r="L148" s="83">
        <f t="shared" si="12"/>
        <v>1274</v>
      </c>
      <c r="M148" s="94">
        <v>600</v>
      </c>
      <c r="N148" s="83">
        <f>75</f>
        <v>75</v>
      </c>
      <c r="O148" s="86">
        <v>240</v>
      </c>
      <c r="P148" s="86">
        <v>160</v>
      </c>
      <c r="Q148" s="86">
        <f t="shared" si="13"/>
        <v>195</v>
      </c>
      <c r="R148" s="86">
        <f t="shared" si="14"/>
        <v>100</v>
      </c>
      <c r="S148" s="83">
        <f t="shared" si="15"/>
        <v>695</v>
      </c>
      <c r="T148" s="83">
        <f>50</f>
        <v>50</v>
      </c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</row>
    <row r="149" spans="1:30" ht="15.75" x14ac:dyDescent="0.25">
      <c r="A149" s="16">
        <v>45444</v>
      </c>
      <c r="B149" s="97">
        <v>30</v>
      </c>
      <c r="C149" s="83">
        <f>194.205</f>
        <v>194.20500000000001</v>
      </c>
      <c r="D149" s="83">
        <f>267.466</f>
        <v>267.46600000000001</v>
      </c>
      <c r="E149" s="92">
        <f>133.845</f>
        <v>133.845</v>
      </c>
      <c r="F149" s="83">
        <f>278.484-40-25-60-100</f>
        <v>53.48399999999998</v>
      </c>
      <c r="G149" s="86">
        <v>40</v>
      </c>
      <c r="H149" s="83">
        <f t="shared" si="21"/>
        <v>185</v>
      </c>
      <c r="I149" s="83">
        <f t="shared" si="18"/>
        <v>0</v>
      </c>
      <c r="J149" s="86">
        <v>100</v>
      </c>
      <c r="K149" s="86">
        <v>300</v>
      </c>
      <c r="L149" s="83">
        <f t="shared" si="12"/>
        <v>1274</v>
      </c>
      <c r="M149" s="94">
        <v>600</v>
      </c>
      <c r="N149" s="83">
        <f>30</f>
        <v>30</v>
      </c>
      <c r="O149" s="86">
        <v>240</v>
      </c>
      <c r="P149" s="86">
        <v>160</v>
      </c>
      <c r="Q149" s="86">
        <f t="shared" si="13"/>
        <v>195</v>
      </c>
      <c r="R149" s="86">
        <f t="shared" si="14"/>
        <v>100</v>
      </c>
      <c r="S149" s="83">
        <f t="shared" si="15"/>
        <v>695</v>
      </c>
      <c r="T149" s="83">
        <f>50</f>
        <v>50</v>
      </c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</row>
    <row r="150" spans="1:30" ht="15.75" x14ac:dyDescent="0.25">
      <c r="A150" s="16">
        <v>45474</v>
      </c>
      <c r="B150" s="97">
        <v>31</v>
      </c>
      <c r="C150" s="83">
        <f>194.205</f>
        <v>194.20500000000001</v>
      </c>
      <c r="D150" s="83">
        <f>267.466</f>
        <v>267.46600000000001</v>
      </c>
      <c r="E150" s="92">
        <f>133.845</f>
        <v>133.845</v>
      </c>
      <c r="F150" s="83">
        <f>278.484-40-25-60-100</f>
        <v>53.48399999999998</v>
      </c>
      <c r="G150" s="86">
        <v>40</v>
      </c>
      <c r="H150" s="83">
        <f t="shared" si="21"/>
        <v>185</v>
      </c>
      <c r="I150" s="83">
        <f t="shared" si="18"/>
        <v>0</v>
      </c>
      <c r="J150" s="86">
        <v>100</v>
      </c>
      <c r="K150" s="86">
        <v>300</v>
      </c>
      <c r="L150" s="83">
        <f t="shared" si="12"/>
        <v>1274</v>
      </c>
      <c r="M150" s="94">
        <v>600</v>
      </c>
      <c r="N150" s="83">
        <f>30</f>
        <v>30</v>
      </c>
      <c r="O150" s="86">
        <v>240</v>
      </c>
      <c r="P150" s="86">
        <v>160</v>
      </c>
      <c r="Q150" s="86">
        <f t="shared" si="13"/>
        <v>195</v>
      </c>
      <c r="R150" s="86">
        <f t="shared" si="14"/>
        <v>100</v>
      </c>
      <c r="S150" s="83">
        <f t="shared" si="15"/>
        <v>695</v>
      </c>
      <c r="T150" s="83">
        <f>0</f>
        <v>0</v>
      </c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</row>
    <row r="151" spans="1:30" ht="15.75" x14ac:dyDescent="0.25">
      <c r="A151" s="16">
        <v>45505</v>
      </c>
      <c r="B151" s="97">
        <v>31</v>
      </c>
      <c r="C151" s="83">
        <f>194.205</f>
        <v>194.20500000000001</v>
      </c>
      <c r="D151" s="83">
        <f>267.466</f>
        <v>267.46600000000001</v>
      </c>
      <c r="E151" s="92">
        <f>133.845</f>
        <v>133.845</v>
      </c>
      <c r="F151" s="83">
        <f>278.484-40-25-60-100</f>
        <v>53.48399999999998</v>
      </c>
      <c r="G151" s="86">
        <v>40</v>
      </c>
      <c r="H151" s="83">
        <f t="shared" si="21"/>
        <v>185</v>
      </c>
      <c r="I151" s="83">
        <f t="shared" si="18"/>
        <v>0</v>
      </c>
      <c r="J151" s="86">
        <v>100</v>
      </c>
      <c r="K151" s="86">
        <v>300</v>
      </c>
      <c r="L151" s="83">
        <f t="shared" ref="L151:L214" si="22">SUM(C151:K151)</f>
        <v>1274</v>
      </c>
      <c r="M151" s="94">
        <v>600</v>
      </c>
      <c r="N151" s="83">
        <f>30</f>
        <v>30</v>
      </c>
      <c r="O151" s="86">
        <v>240</v>
      </c>
      <c r="P151" s="86">
        <v>160</v>
      </c>
      <c r="Q151" s="86">
        <f t="shared" ref="Q151:Q214" si="23">695-R151-O151-P151</f>
        <v>195</v>
      </c>
      <c r="R151" s="86">
        <f t="shared" ref="R151:R214" si="24">200-J151</f>
        <v>100</v>
      </c>
      <c r="S151" s="83">
        <f t="shared" ref="S151:S214" si="25">SUM(O151:R151)</f>
        <v>695</v>
      </c>
      <c r="T151" s="83">
        <f>0</f>
        <v>0</v>
      </c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</row>
    <row r="152" spans="1:30" ht="15.75" x14ac:dyDescent="0.25">
      <c r="A152" s="16">
        <v>45536</v>
      </c>
      <c r="B152" s="97">
        <v>30</v>
      </c>
      <c r="C152" s="83">
        <f>194.205</f>
        <v>194.20500000000001</v>
      </c>
      <c r="D152" s="83">
        <f>267.466</f>
        <v>267.46600000000001</v>
      </c>
      <c r="E152" s="92">
        <f>133.845</f>
        <v>133.845</v>
      </c>
      <c r="F152" s="83">
        <f>278.484-40-25-60-100</f>
        <v>53.48399999999998</v>
      </c>
      <c r="G152" s="86">
        <v>40</v>
      </c>
      <c r="H152" s="83">
        <f t="shared" si="21"/>
        <v>185</v>
      </c>
      <c r="I152" s="83">
        <f t="shared" si="18"/>
        <v>0</v>
      </c>
      <c r="J152" s="86">
        <v>100</v>
      </c>
      <c r="K152" s="86">
        <v>300</v>
      </c>
      <c r="L152" s="83">
        <f t="shared" si="22"/>
        <v>1274</v>
      </c>
      <c r="M152" s="94">
        <v>600</v>
      </c>
      <c r="N152" s="83">
        <f>30</f>
        <v>30</v>
      </c>
      <c r="O152" s="86">
        <v>240</v>
      </c>
      <c r="P152" s="86">
        <v>160</v>
      </c>
      <c r="Q152" s="86">
        <f t="shared" si="23"/>
        <v>195</v>
      </c>
      <c r="R152" s="86">
        <f t="shared" si="24"/>
        <v>100</v>
      </c>
      <c r="S152" s="83">
        <f t="shared" si="25"/>
        <v>695</v>
      </c>
      <c r="T152" s="83">
        <f>0</f>
        <v>0</v>
      </c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</row>
    <row r="153" spans="1:30" ht="15.75" x14ac:dyDescent="0.25">
      <c r="A153" s="16">
        <v>45566</v>
      </c>
      <c r="B153" s="97">
        <v>31</v>
      </c>
      <c r="C153" s="83">
        <f>131.881</f>
        <v>131.881</v>
      </c>
      <c r="D153" s="83">
        <f>277.167</f>
        <v>277.16699999999997</v>
      </c>
      <c r="E153" s="92">
        <f>79.08</f>
        <v>79.08</v>
      </c>
      <c r="F153" s="83">
        <f>350.872-40-25-60-100</f>
        <v>125.87200000000001</v>
      </c>
      <c r="G153" s="86">
        <v>40</v>
      </c>
      <c r="H153" s="83">
        <f t="shared" si="21"/>
        <v>185</v>
      </c>
      <c r="I153" s="83">
        <f t="shared" si="18"/>
        <v>0</v>
      </c>
      <c r="J153" s="86">
        <v>100</v>
      </c>
      <c r="K153" s="86">
        <v>300</v>
      </c>
      <c r="L153" s="83">
        <f t="shared" si="22"/>
        <v>1239</v>
      </c>
      <c r="M153" s="94">
        <v>600</v>
      </c>
      <c r="N153" s="83">
        <f>75</f>
        <v>75</v>
      </c>
      <c r="O153" s="86">
        <v>240</v>
      </c>
      <c r="P153" s="86">
        <v>160</v>
      </c>
      <c r="Q153" s="86">
        <f t="shared" si="23"/>
        <v>195</v>
      </c>
      <c r="R153" s="86">
        <f t="shared" si="24"/>
        <v>100</v>
      </c>
      <c r="S153" s="83">
        <f t="shared" si="25"/>
        <v>695</v>
      </c>
      <c r="T153" s="83">
        <f>0</f>
        <v>0</v>
      </c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</row>
    <row r="154" spans="1:30" ht="15.75" x14ac:dyDescent="0.25">
      <c r="A154" s="16">
        <v>45597</v>
      </c>
      <c r="B154" s="97">
        <v>30</v>
      </c>
      <c r="C154" s="83">
        <f>122.58</f>
        <v>122.58</v>
      </c>
      <c r="D154" s="83">
        <f>297.941</f>
        <v>297.94099999999997</v>
      </c>
      <c r="E154" s="92">
        <f>89.177</f>
        <v>89.177000000000007</v>
      </c>
      <c r="F154" s="83">
        <f>240.302-40-60-100</f>
        <v>40.301999999999992</v>
      </c>
      <c r="G154" s="86">
        <v>40</v>
      </c>
      <c r="H154" s="83">
        <f>60+100</f>
        <v>160</v>
      </c>
      <c r="I154" s="83">
        <f t="shared" si="18"/>
        <v>0</v>
      </c>
      <c r="J154" s="86">
        <v>100</v>
      </c>
      <c r="K154" s="86">
        <v>300</v>
      </c>
      <c r="L154" s="83">
        <f t="shared" si="22"/>
        <v>1150</v>
      </c>
      <c r="M154" s="94">
        <v>600</v>
      </c>
      <c r="N154" s="83">
        <f>100</f>
        <v>100</v>
      </c>
      <c r="O154" s="86">
        <v>240</v>
      </c>
      <c r="P154" s="86">
        <v>40</v>
      </c>
      <c r="Q154" s="86">
        <f t="shared" si="23"/>
        <v>315</v>
      </c>
      <c r="R154" s="86">
        <f t="shared" si="24"/>
        <v>100</v>
      </c>
      <c r="S154" s="83">
        <f t="shared" si="25"/>
        <v>695</v>
      </c>
      <c r="T154" s="83">
        <f>50</f>
        <v>50</v>
      </c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</row>
    <row r="155" spans="1:30" ht="15.75" x14ac:dyDescent="0.25">
      <c r="A155" s="16">
        <v>45627</v>
      </c>
      <c r="B155" s="97">
        <v>31</v>
      </c>
      <c r="C155" s="83">
        <f>122.58</f>
        <v>122.58</v>
      </c>
      <c r="D155" s="83">
        <f>297.941</f>
        <v>297.94099999999997</v>
      </c>
      <c r="E155" s="92">
        <f>89.177</f>
        <v>89.177000000000007</v>
      </c>
      <c r="F155" s="83">
        <f>240.302-40-60-100</f>
        <v>40.301999999999992</v>
      </c>
      <c r="G155" s="86">
        <v>40</v>
      </c>
      <c r="H155" s="83">
        <f>60+100</f>
        <v>160</v>
      </c>
      <c r="I155" s="83">
        <f t="shared" si="18"/>
        <v>0</v>
      </c>
      <c r="J155" s="86">
        <v>100</v>
      </c>
      <c r="K155" s="86">
        <v>300</v>
      </c>
      <c r="L155" s="83">
        <f t="shared" si="22"/>
        <v>1150</v>
      </c>
      <c r="M155" s="94">
        <v>600</v>
      </c>
      <c r="N155" s="83">
        <f>100</f>
        <v>100</v>
      </c>
      <c r="O155" s="86">
        <v>240</v>
      </c>
      <c r="P155" s="86">
        <v>40</v>
      </c>
      <c r="Q155" s="86">
        <f t="shared" si="23"/>
        <v>315</v>
      </c>
      <c r="R155" s="86">
        <f t="shared" si="24"/>
        <v>100</v>
      </c>
      <c r="S155" s="83">
        <f t="shared" si="25"/>
        <v>695</v>
      </c>
      <c r="T155" s="83">
        <f>50</f>
        <v>50</v>
      </c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</row>
    <row r="156" spans="1:30" ht="15.75" x14ac:dyDescent="0.25">
      <c r="A156" s="16">
        <v>45658</v>
      </c>
      <c r="B156" s="97">
        <v>31</v>
      </c>
      <c r="C156" s="83">
        <f>122.58</f>
        <v>122.58</v>
      </c>
      <c r="D156" s="83">
        <f>297.941</f>
        <v>297.94099999999997</v>
      </c>
      <c r="E156" s="92">
        <f>89.177</f>
        <v>89.177000000000007</v>
      </c>
      <c r="F156" s="83">
        <f>240.302-40-60-100</f>
        <v>40.301999999999992</v>
      </c>
      <c r="G156" s="86">
        <v>40</v>
      </c>
      <c r="H156" s="83">
        <f>60+100</f>
        <v>160</v>
      </c>
      <c r="I156" s="83">
        <f t="shared" si="18"/>
        <v>0</v>
      </c>
      <c r="J156" s="86">
        <v>100</v>
      </c>
      <c r="K156" s="86">
        <v>300</v>
      </c>
      <c r="L156" s="83">
        <f t="shared" si="22"/>
        <v>1150</v>
      </c>
      <c r="M156" s="94">
        <v>600</v>
      </c>
      <c r="N156" s="83">
        <f>100</f>
        <v>100</v>
      </c>
      <c r="O156" s="86">
        <v>240</v>
      </c>
      <c r="P156" s="86">
        <v>40</v>
      </c>
      <c r="Q156" s="86">
        <f t="shared" si="23"/>
        <v>315</v>
      </c>
      <c r="R156" s="86">
        <f t="shared" si="24"/>
        <v>100</v>
      </c>
      <c r="S156" s="83">
        <f t="shared" si="25"/>
        <v>695</v>
      </c>
      <c r="T156" s="83">
        <f>50</f>
        <v>50</v>
      </c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</row>
    <row r="157" spans="1:30" ht="15.75" x14ac:dyDescent="0.25">
      <c r="A157" s="16">
        <v>45689</v>
      </c>
      <c r="B157" s="97">
        <v>28</v>
      </c>
      <c r="C157" s="83">
        <f>122.58</f>
        <v>122.58</v>
      </c>
      <c r="D157" s="83">
        <f>297.941</f>
        <v>297.94099999999997</v>
      </c>
      <c r="E157" s="92">
        <f>89.177</f>
        <v>89.177000000000007</v>
      </c>
      <c r="F157" s="83">
        <f>240.302-40-60-100</f>
        <v>40.301999999999992</v>
      </c>
      <c r="G157" s="86">
        <v>40</v>
      </c>
      <c r="H157" s="83">
        <f>60+100</f>
        <v>160</v>
      </c>
      <c r="I157" s="83">
        <f t="shared" si="18"/>
        <v>0</v>
      </c>
      <c r="J157" s="86">
        <v>100</v>
      </c>
      <c r="K157" s="86">
        <v>300</v>
      </c>
      <c r="L157" s="83">
        <f t="shared" si="22"/>
        <v>1150</v>
      </c>
      <c r="M157" s="94">
        <v>600</v>
      </c>
      <c r="N157" s="83">
        <f>100</f>
        <v>100</v>
      </c>
      <c r="O157" s="86">
        <v>240</v>
      </c>
      <c r="P157" s="86">
        <v>40</v>
      </c>
      <c r="Q157" s="86">
        <f t="shared" si="23"/>
        <v>315</v>
      </c>
      <c r="R157" s="86">
        <f t="shared" si="24"/>
        <v>100</v>
      </c>
      <c r="S157" s="83">
        <f t="shared" si="25"/>
        <v>695</v>
      </c>
      <c r="T157" s="83">
        <f>50</f>
        <v>50</v>
      </c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</row>
    <row r="158" spans="1:30" ht="15.75" x14ac:dyDescent="0.25">
      <c r="A158" s="16">
        <v>45717</v>
      </c>
      <c r="B158" s="97">
        <v>31</v>
      </c>
      <c r="C158" s="83">
        <f>122.58</f>
        <v>122.58</v>
      </c>
      <c r="D158" s="83">
        <f>297.941</f>
        <v>297.94099999999997</v>
      </c>
      <c r="E158" s="92">
        <f>89.177</f>
        <v>89.177000000000007</v>
      </c>
      <c r="F158" s="83">
        <f>240.302-40-60-100</f>
        <v>40.301999999999992</v>
      </c>
      <c r="G158" s="86">
        <v>40</v>
      </c>
      <c r="H158" s="83">
        <f>60+100</f>
        <v>160</v>
      </c>
      <c r="I158" s="83">
        <f t="shared" si="18"/>
        <v>0</v>
      </c>
      <c r="J158" s="86">
        <v>100</v>
      </c>
      <c r="K158" s="86">
        <v>300</v>
      </c>
      <c r="L158" s="83">
        <f t="shared" si="22"/>
        <v>1150</v>
      </c>
      <c r="M158" s="94">
        <v>600</v>
      </c>
      <c r="N158" s="83">
        <f>100</f>
        <v>100</v>
      </c>
      <c r="O158" s="86">
        <v>240</v>
      </c>
      <c r="P158" s="86">
        <v>40</v>
      </c>
      <c r="Q158" s="86">
        <f t="shared" si="23"/>
        <v>315</v>
      </c>
      <c r="R158" s="86">
        <f t="shared" si="24"/>
        <v>100</v>
      </c>
      <c r="S158" s="83">
        <f t="shared" si="25"/>
        <v>695</v>
      </c>
      <c r="T158" s="83">
        <f>50</f>
        <v>50</v>
      </c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</row>
    <row r="159" spans="1:30" ht="15.75" x14ac:dyDescent="0.25">
      <c r="A159" s="16">
        <v>45748</v>
      </c>
      <c r="B159" s="97">
        <v>30</v>
      </c>
      <c r="C159" s="83">
        <f>141.293</f>
        <v>141.29300000000001</v>
      </c>
      <c r="D159" s="83">
        <f>267.993</f>
        <v>267.99299999999999</v>
      </c>
      <c r="E159" s="92">
        <f>115.016</f>
        <v>115.01600000000001</v>
      </c>
      <c r="F159" s="83">
        <f>314.698-40-25-60-100</f>
        <v>89.697999999999979</v>
      </c>
      <c r="G159" s="86">
        <v>40</v>
      </c>
      <c r="H159" s="83">
        <f t="shared" ref="H159:H165" si="26">25+60+100</f>
        <v>185</v>
      </c>
      <c r="I159" s="83">
        <f t="shared" si="18"/>
        <v>0</v>
      </c>
      <c r="J159" s="86">
        <v>100</v>
      </c>
      <c r="K159" s="86">
        <v>300</v>
      </c>
      <c r="L159" s="83">
        <f t="shared" si="22"/>
        <v>1239</v>
      </c>
      <c r="M159" s="94">
        <v>600</v>
      </c>
      <c r="N159" s="83">
        <f>100</f>
        <v>100</v>
      </c>
      <c r="O159" s="86">
        <v>240</v>
      </c>
      <c r="P159" s="86">
        <v>160</v>
      </c>
      <c r="Q159" s="86">
        <f t="shared" si="23"/>
        <v>195</v>
      </c>
      <c r="R159" s="86">
        <f t="shared" si="24"/>
        <v>100</v>
      </c>
      <c r="S159" s="83">
        <f t="shared" si="25"/>
        <v>695</v>
      </c>
      <c r="T159" s="83">
        <f>50</f>
        <v>50</v>
      </c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</row>
    <row r="160" spans="1:30" ht="15.75" x14ac:dyDescent="0.25">
      <c r="A160" s="16">
        <v>45778</v>
      </c>
      <c r="B160" s="97">
        <v>31</v>
      </c>
      <c r="C160" s="83">
        <f>194.205</f>
        <v>194.20500000000001</v>
      </c>
      <c r="D160" s="83">
        <f>267.466</f>
        <v>267.46600000000001</v>
      </c>
      <c r="E160" s="92">
        <f>133.845</f>
        <v>133.845</v>
      </c>
      <c r="F160" s="83">
        <f>278.484-40-25-60-100</f>
        <v>53.48399999999998</v>
      </c>
      <c r="G160" s="86">
        <v>40</v>
      </c>
      <c r="H160" s="83">
        <f t="shared" si="26"/>
        <v>185</v>
      </c>
      <c r="I160" s="83">
        <f t="shared" si="18"/>
        <v>0</v>
      </c>
      <c r="J160" s="86">
        <v>100</v>
      </c>
      <c r="K160" s="86">
        <v>300</v>
      </c>
      <c r="L160" s="83">
        <f t="shared" si="22"/>
        <v>1274</v>
      </c>
      <c r="M160" s="94">
        <v>600</v>
      </c>
      <c r="N160" s="83">
        <f>75</f>
        <v>75</v>
      </c>
      <c r="O160" s="86">
        <v>240</v>
      </c>
      <c r="P160" s="86">
        <v>160</v>
      </c>
      <c r="Q160" s="86">
        <f t="shared" si="23"/>
        <v>195</v>
      </c>
      <c r="R160" s="86">
        <f t="shared" si="24"/>
        <v>100</v>
      </c>
      <c r="S160" s="83">
        <f t="shared" si="25"/>
        <v>695</v>
      </c>
      <c r="T160" s="83">
        <f>50</f>
        <v>50</v>
      </c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</row>
    <row r="161" spans="1:30" ht="15.75" x14ac:dyDescent="0.25">
      <c r="A161" s="16">
        <v>45809</v>
      </c>
      <c r="B161" s="97">
        <v>30</v>
      </c>
      <c r="C161" s="83">
        <f>194.205</f>
        <v>194.20500000000001</v>
      </c>
      <c r="D161" s="83">
        <f>267.466</f>
        <v>267.46600000000001</v>
      </c>
      <c r="E161" s="92">
        <f>133.845</f>
        <v>133.845</v>
      </c>
      <c r="F161" s="83">
        <f>278.484-40-25-60-100</f>
        <v>53.48399999999998</v>
      </c>
      <c r="G161" s="86">
        <v>40</v>
      </c>
      <c r="H161" s="83">
        <f t="shared" si="26"/>
        <v>185</v>
      </c>
      <c r="I161" s="83">
        <f t="shared" si="18"/>
        <v>0</v>
      </c>
      <c r="J161" s="86">
        <v>100</v>
      </c>
      <c r="K161" s="86">
        <v>300</v>
      </c>
      <c r="L161" s="83">
        <f t="shared" si="22"/>
        <v>1274</v>
      </c>
      <c r="M161" s="94">
        <v>600</v>
      </c>
      <c r="N161" s="83">
        <f>30</f>
        <v>30</v>
      </c>
      <c r="O161" s="86">
        <v>240</v>
      </c>
      <c r="P161" s="86">
        <v>160</v>
      </c>
      <c r="Q161" s="86">
        <f t="shared" si="23"/>
        <v>195</v>
      </c>
      <c r="R161" s="86">
        <f t="shared" si="24"/>
        <v>100</v>
      </c>
      <c r="S161" s="83">
        <f t="shared" si="25"/>
        <v>695</v>
      </c>
      <c r="T161" s="83">
        <f>50</f>
        <v>50</v>
      </c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</row>
    <row r="162" spans="1:30" ht="15.75" x14ac:dyDescent="0.25">
      <c r="A162" s="16">
        <v>45839</v>
      </c>
      <c r="B162" s="97">
        <v>31</v>
      </c>
      <c r="C162" s="83">
        <f>194.205</f>
        <v>194.20500000000001</v>
      </c>
      <c r="D162" s="83">
        <f>267.466</f>
        <v>267.46600000000001</v>
      </c>
      <c r="E162" s="92">
        <f>133.845</f>
        <v>133.845</v>
      </c>
      <c r="F162" s="83">
        <f>278.484-40-25-60-100</f>
        <v>53.48399999999998</v>
      </c>
      <c r="G162" s="86">
        <v>40</v>
      </c>
      <c r="H162" s="83">
        <f t="shared" si="26"/>
        <v>185</v>
      </c>
      <c r="I162" s="83">
        <f t="shared" si="18"/>
        <v>0</v>
      </c>
      <c r="J162" s="86">
        <v>100</v>
      </c>
      <c r="K162" s="86">
        <v>300</v>
      </c>
      <c r="L162" s="83">
        <f t="shared" si="22"/>
        <v>1274</v>
      </c>
      <c r="M162" s="94">
        <v>600</v>
      </c>
      <c r="N162" s="83">
        <f>30</f>
        <v>30</v>
      </c>
      <c r="O162" s="86">
        <v>240</v>
      </c>
      <c r="P162" s="86">
        <v>160</v>
      </c>
      <c r="Q162" s="86">
        <f t="shared" si="23"/>
        <v>195</v>
      </c>
      <c r="R162" s="86">
        <f t="shared" si="24"/>
        <v>100</v>
      </c>
      <c r="S162" s="83">
        <f t="shared" si="25"/>
        <v>695</v>
      </c>
      <c r="T162" s="83">
        <f>0</f>
        <v>0</v>
      </c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</row>
    <row r="163" spans="1:30" ht="15.75" x14ac:dyDescent="0.25">
      <c r="A163" s="16">
        <v>45870</v>
      </c>
      <c r="B163" s="97">
        <v>31</v>
      </c>
      <c r="C163" s="83">
        <f>194.205</f>
        <v>194.20500000000001</v>
      </c>
      <c r="D163" s="83">
        <f>267.466</f>
        <v>267.46600000000001</v>
      </c>
      <c r="E163" s="92">
        <f>133.845</f>
        <v>133.845</v>
      </c>
      <c r="F163" s="83">
        <f>278.484-40-25-60-100</f>
        <v>53.48399999999998</v>
      </c>
      <c r="G163" s="86">
        <v>40</v>
      </c>
      <c r="H163" s="83">
        <f t="shared" si="26"/>
        <v>185</v>
      </c>
      <c r="I163" s="83">
        <f t="shared" si="18"/>
        <v>0</v>
      </c>
      <c r="J163" s="86">
        <v>100</v>
      </c>
      <c r="K163" s="86">
        <v>300</v>
      </c>
      <c r="L163" s="83">
        <f t="shared" si="22"/>
        <v>1274</v>
      </c>
      <c r="M163" s="94">
        <v>600</v>
      </c>
      <c r="N163" s="83">
        <f>30</f>
        <v>30</v>
      </c>
      <c r="O163" s="86">
        <v>240</v>
      </c>
      <c r="P163" s="86">
        <v>160</v>
      </c>
      <c r="Q163" s="86">
        <f t="shared" si="23"/>
        <v>195</v>
      </c>
      <c r="R163" s="86">
        <f t="shared" si="24"/>
        <v>100</v>
      </c>
      <c r="S163" s="83">
        <f t="shared" si="25"/>
        <v>695</v>
      </c>
      <c r="T163" s="83">
        <f>0</f>
        <v>0</v>
      </c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</row>
    <row r="164" spans="1:30" ht="15.75" x14ac:dyDescent="0.25">
      <c r="A164" s="16">
        <v>45901</v>
      </c>
      <c r="B164" s="97">
        <v>30</v>
      </c>
      <c r="C164" s="83">
        <f>194.205</f>
        <v>194.20500000000001</v>
      </c>
      <c r="D164" s="83">
        <f>267.466</f>
        <v>267.46600000000001</v>
      </c>
      <c r="E164" s="92">
        <f>133.845</f>
        <v>133.845</v>
      </c>
      <c r="F164" s="83">
        <f>278.484-40-25-60-100</f>
        <v>53.48399999999998</v>
      </c>
      <c r="G164" s="86">
        <v>40</v>
      </c>
      <c r="H164" s="83">
        <f t="shared" si="26"/>
        <v>185</v>
      </c>
      <c r="I164" s="83">
        <f t="shared" si="18"/>
        <v>0</v>
      </c>
      <c r="J164" s="86">
        <v>100</v>
      </c>
      <c r="K164" s="86">
        <v>300</v>
      </c>
      <c r="L164" s="83">
        <f t="shared" si="22"/>
        <v>1274</v>
      </c>
      <c r="M164" s="94">
        <v>600</v>
      </c>
      <c r="N164" s="83">
        <f>30</f>
        <v>30</v>
      </c>
      <c r="O164" s="86">
        <v>240</v>
      </c>
      <c r="P164" s="86">
        <v>160</v>
      </c>
      <c r="Q164" s="86">
        <f t="shared" si="23"/>
        <v>195</v>
      </c>
      <c r="R164" s="86">
        <f t="shared" si="24"/>
        <v>100</v>
      </c>
      <c r="S164" s="83">
        <f t="shared" si="25"/>
        <v>695</v>
      </c>
      <c r="T164" s="83">
        <f>0</f>
        <v>0</v>
      </c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</row>
    <row r="165" spans="1:30" ht="15.75" x14ac:dyDescent="0.25">
      <c r="A165" s="16">
        <v>45931</v>
      </c>
      <c r="B165" s="97">
        <v>31</v>
      </c>
      <c r="C165" s="83">
        <f>131.881</f>
        <v>131.881</v>
      </c>
      <c r="D165" s="83">
        <f>277.167</f>
        <v>277.16699999999997</v>
      </c>
      <c r="E165" s="92">
        <f>79.08</f>
        <v>79.08</v>
      </c>
      <c r="F165" s="83">
        <f>350.872-40-25-60-100</f>
        <v>125.87200000000001</v>
      </c>
      <c r="G165" s="86">
        <v>40</v>
      </c>
      <c r="H165" s="83">
        <f t="shared" si="26"/>
        <v>185</v>
      </c>
      <c r="I165" s="83">
        <f t="shared" si="18"/>
        <v>0</v>
      </c>
      <c r="J165" s="86">
        <v>100</v>
      </c>
      <c r="K165" s="86">
        <v>300</v>
      </c>
      <c r="L165" s="83">
        <f t="shared" si="22"/>
        <v>1239</v>
      </c>
      <c r="M165" s="94">
        <v>600</v>
      </c>
      <c r="N165" s="83">
        <f>75</f>
        <v>75</v>
      </c>
      <c r="O165" s="86">
        <v>240</v>
      </c>
      <c r="P165" s="86">
        <v>160</v>
      </c>
      <c r="Q165" s="86">
        <f t="shared" si="23"/>
        <v>195</v>
      </c>
      <c r="R165" s="86">
        <f t="shared" si="24"/>
        <v>100</v>
      </c>
      <c r="S165" s="83">
        <f t="shared" si="25"/>
        <v>695</v>
      </c>
      <c r="T165" s="83">
        <f>0</f>
        <v>0</v>
      </c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</row>
    <row r="166" spans="1:30" ht="15.75" x14ac:dyDescent="0.25">
      <c r="A166" s="16">
        <v>45962</v>
      </c>
      <c r="B166" s="97">
        <v>30</v>
      </c>
      <c r="C166" s="83">
        <f>122.58</f>
        <v>122.58</v>
      </c>
      <c r="D166" s="83">
        <f>297.941</f>
        <v>297.94099999999997</v>
      </c>
      <c r="E166" s="92">
        <f>89.177</f>
        <v>89.177000000000007</v>
      </c>
      <c r="F166" s="83">
        <f>240.302-40-60-100</f>
        <v>40.301999999999992</v>
      </c>
      <c r="G166" s="86">
        <v>40</v>
      </c>
      <c r="H166" s="83">
        <f>60+100</f>
        <v>160</v>
      </c>
      <c r="I166" s="83">
        <f t="shared" si="18"/>
        <v>0</v>
      </c>
      <c r="J166" s="86">
        <v>100</v>
      </c>
      <c r="K166" s="86">
        <v>300</v>
      </c>
      <c r="L166" s="83">
        <f t="shared" si="22"/>
        <v>1150</v>
      </c>
      <c r="M166" s="94">
        <v>600</v>
      </c>
      <c r="N166" s="83">
        <f>100</f>
        <v>100</v>
      </c>
      <c r="O166" s="86">
        <v>240</v>
      </c>
      <c r="P166" s="86">
        <v>40</v>
      </c>
      <c r="Q166" s="86">
        <f t="shared" si="23"/>
        <v>315</v>
      </c>
      <c r="R166" s="86">
        <f t="shared" si="24"/>
        <v>100</v>
      </c>
      <c r="S166" s="83">
        <f t="shared" si="25"/>
        <v>695</v>
      </c>
      <c r="T166" s="83">
        <f>50</f>
        <v>50</v>
      </c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</row>
    <row r="167" spans="1:30" ht="15.75" x14ac:dyDescent="0.25">
      <c r="A167" s="16">
        <v>45992</v>
      </c>
      <c r="B167" s="97">
        <v>31</v>
      </c>
      <c r="C167" s="83">
        <f>122.58</f>
        <v>122.58</v>
      </c>
      <c r="D167" s="83">
        <f>297.941</f>
        <v>297.94099999999997</v>
      </c>
      <c r="E167" s="92">
        <f>89.177</f>
        <v>89.177000000000007</v>
      </c>
      <c r="F167" s="83">
        <f>240.302-40-60-100</f>
        <v>40.301999999999992</v>
      </c>
      <c r="G167" s="86">
        <v>40</v>
      </c>
      <c r="H167" s="83">
        <f>60+100</f>
        <v>160</v>
      </c>
      <c r="I167" s="83">
        <f t="shared" si="18"/>
        <v>0</v>
      </c>
      <c r="J167" s="86">
        <v>100</v>
      </c>
      <c r="K167" s="86">
        <v>300</v>
      </c>
      <c r="L167" s="83">
        <f t="shared" si="22"/>
        <v>1150</v>
      </c>
      <c r="M167" s="94">
        <v>600</v>
      </c>
      <c r="N167" s="83">
        <f>100</f>
        <v>100</v>
      </c>
      <c r="O167" s="86">
        <v>240</v>
      </c>
      <c r="P167" s="86">
        <v>40</v>
      </c>
      <c r="Q167" s="86">
        <f t="shared" si="23"/>
        <v>315</v>
      </c>
      <c r="R167" s="86">
        <f t="shared" si="24"/>
        <v>100</v>
      </c>
      <c r="S167" s="83">
        <f t="shared" si="25"/>
        <v>695</v>
      </c>
      <c r="T167" s="83">
        <f>50</f>
        <v>50</v>
      </c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</row>
    <row r="168" spans="1:30" ht="15.75" x14ac:dyDescent="0.25">
      <c r="A168" s="16">
        <v>46023</v>
      </c>
      <c r="B168" s="97">
        <v>31</v>
      </c>
      <c r="C168" s="83">
        <f>122.58</f>
        <v>122.58</v>
      </c>
      <c r="D168" s="83">
        <f>297.941</f>
        <v>297.94099999999997</v>
      </c>
      <c r="E168" s="92">
        <f>89.177</f>
        <v>89.177000000000007</v>
      </c>
      <c r="F168" s="83">
        <f>240.302-40-60-100</f>
        <v>40.301999999999992</v>
      </c>
      <c r="G168" s="86">
        <v>40</v>
      </c>
      <c r="H168" s="83">
        <f>60+100</f>
        <v>160</v>
      </c>
      <c r="I168" s="83">
        <f t="shared" si="18"/>
        <v>0</v>
      </c>
      <c r="J168" s="86">
        <v>100</v>
      </c>
      <c r="K168" s="86">
        <v>300</v>
      </c>
      <c r="L168" s="83">
        <f t="shared" si="22"/>
        <v>1150</v>
      </c>
      <c r="M168" s="94">
        <v>600</v>
      </c>
      <c r="N168" s="83">
        <f>100</f>
        <v>100</v>
      </c>
      <c r="O168" s="86">
        <v>240</v>
      </c>
      <c r="P168" s="86">
        <v>40</v>
      </c>
      <c r="Q168" s="86">
        <f t="shared" si="23"/>
        <v>315</v>
      </c>
      <c r="R168" s="86">
        <f t="shared" si="24"/>
        <v>100</v>
      </c>
      <c r="S168" s="83">
        <f t="shared" si="25"/>
        <v>695</v>
      </c>
      <c r="T168" s="83">
        <f>50</f>
        <v>50</v>
      </c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</row>
    <row r="169" spans="1:30" ht="15.75" x14ac:dyDescent="0.25">
      <c r="A169" s="16">
        <v>46054</v>
      </c>
      <c r="B169" s="97">
        <v>28</v>
      </c>
      <c r="C169" s="83">
        <f>122.58</f>
        <v>122.58</v>
      </c>
      <c r="D169" s="83">
        <f>297.941</f>
        <v>297.94099999999997</v>
      </c>
      <c r="E169" s="92">
        <f>89.177</f>
        <v>89.177000000000007</v>
      </c>
      <c r="F169" s="83">
        <f>240.302-40-60-100</f>
        <v>40.301999999999992</v>
      </c>
      <c r="G169" s="86">
        <v>40</v>
      </c>
      <c r="H169" s="83">
        <f>60+100</f>
        <v>160</v>
      </c>
      <c r="I169" s="83">
        <f t="shared" si="18"/>
        <v>0</v>
      </c>
      <c r="J169" s="86">
        <v>100</v>
      </c>
      <c r="K169" s="86">
        <v>300</v>
      </c>
      <c r="L169" s="83">
        <f t="shared" si="22"/>
        <v>1150</v>
      </c>
      <c r="M169" s="94">
        <v>600</v>
      </c>
      <c r="N169" s="83">
        <f>100</f>
        <v>100</v>
      </c>
      <c r="O169" s="86">
        <v>240</v>
      </c>
      <c r="P169" s="86">
        <v>40</v>
      </c>
      <c r="Q169" s="86">
        <f t="shared" si="23"/>
        <v>315</v>
      </c>
      <c r="R169" s="86">
        <f t="shared" si="24"/>
        <v>100</v>
      </c>
      <c r="S169" s="83">
        <f t="shared" si="25"/>
        <v>695</v>
      </c>
      <c r="T169" s="83">
        <f>50</f>
        <v>50</v>
      </c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</row>
    <row r="170" spans="1:30" ht="15.75" x14ac:dyDescent="0.25">
      <c r="A170" s="16">
        <v>46082</v>
      </c>
      <c r="B170" s="97">
        <v>31</v>
      </c>
      <c r="C170" s="83">
        <f>122.58</f>
        <v>122.58</v>
      </c>
      <c r="D170" s="83">
        <f>297.941</f>
        <v>297.94099999999997</v>
      </c>
      <c r="E170" s="92">
        <f>89.177</f>
        <v>89.177000000000007</v>
      </c>
      <c r="F170" s="83">
        <f>240.302-40-60-100</f>
        <v>40.301999999999992</v>
      </c>
      <c r="G170" s="86">
        <v>40</v>
      </c>
      <c r="H170" s="83">
        <f>60+100</f>
        <v>160</v>
      </c>
      <c r="I170" s="83">
        <f t="shared" si="18"/>
        <v>0</v>
      </c>
      <c r="J170" s="86">
        <v>100</v>
      </c>
      <c r="K170" s="86">
        <v>300</v>
      </c>
      <c r="L170" s="83">
        <f t="shared" si="22"/>
        <v>1150</v>
      </c>
      <c r="M170" s="94">
        <v>600</v>
      </c>
      <c r="N170" s="83">
        <f>100</f>
        <v>100</v>
      </c>
      <c r="O170" s="86">
        <v>240</v>
      </c>
      <c r="P170" s="86">
        <v>40</v>
      </c>
      <c r="Q170" s="86">
        <f t="shared" si="23"/>
        <v>315</v>
      </c>
      <c r="R170" s="86">
        <f t="shared" si="24"/>
        <v>100</v>
      </c>
      <c r="S170" s="83">
        <f t="shared" si="25"/>
        <v>695</v>
      </c>
      <c r="T170" s="83">
        <f>50</f>
        <v>50</v>
      </c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</row>
    <row r="171" spans="1:30" ht="15.75" x14ac:dyDescent="0.25">
      <c r="A171" s="16">
        <v>46113</v>
      </c>
      <c r="B171" s="97">
        <v>30</v>
      </c>
      <c r="C171" s="83">
        <f>141.293</f>
        <v>141.29300000000001</v>
      </c>
      <c r="D171" s="83">
        <f>267.993</f>
        <v>267.99299999999999</v>
      </c>
      <c r="E171" s="92">
        <f>115.016</f>
        <v>115.01600000000001</v>
      </c>
      <c r="F171" s="83">
        <f>314.698-40-25-60-100</f>
        <v>89.697999999999979</v>
      </c>
      <c r="G171" s="86">
        <v>40</v>
      </c>
      <c r="H171" s="83">
        <f t="shared" ref="H171:H177" si="27">25+60+100</f>
        <v>185</v>
      </c>
      <c r="I171" s="83">
        <f t="shared" si="18"/>
        <v>0</v>
      </c>
      <c r="J171" s="86">
        <v>100</v>
      </c>
      <c r="K171" s="86">
        <v>300</v>
      </c>
      <c r="L171" s="83">
        <f t="shared" si="22"/>
        <v>1239</v>
      </c>
      <c r="M171" s="94">
        <v>600</v>
      </c>
      <c r="N171" s="83">
        <f>100</f>
        <v>100</v>
      </c>
      <c r="O171" s="86">
        <v>240</v>
      </c>
      <c r="P171" s="86">
        <v>160</v>
      </c>
      <c r="Q171" s="86">
        <f t="shared" si="23"/>
        <v>195</v>
      </c>
      <c r="R171" s="86">
        <f t="shared" si="24"/>
        <v>100</v>
      </c>
      <c r="S171" s="83">
        <f t="shared" si="25"/>
        <v>695</v>
      </c>
      <c r="T171" s="83">
        <f>50</f>
        <v>50</v>
      </c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</row>
    <row r="172" spans="1:30" ht="15.75" x14ac:dyDescent="0.25">
      <c r="A172" s="16">
        <v>46143</v>
      </c>
      <c r="B172" s="97">
        <v>31</v>
      </c>
      <c r="C172" s="83">
        <f>194.205</f>
        <v>194.20500000000001</v>
      </c>
      <c r="D172" s="83">
        <f>267.466</f>
        <v>267.46600000000001</v>
      </c>
      <c r="E172" s="92">
        <f>133.845</f>
        <v>133.845</v>
      </c>
      <c r="F172" s="83">
        <f>278.484-40-25-60-100</f>
        <v>53.48399999999998</v>
      </c>
      <c r="G172" s="86">
        <v>40</v>
      </c>
      <c r="H172" s="83">
        <f t="shared" si="27"/>
        <v>185</v>
      </c>
      <c r="I172" s="83">
        <f t="shared" si="18"/>
        <v>0</v>
      </c>
      <c r="J172" s="86">
        <v>100</v>
      </c>
      <c r="K172" s="86">
        <v>300</v>
      </c>
      <c r="L172" s="83">
        <f t="shared" si="22"/>
        <v>1274</v>
      </c>
      <c r="M172" s="94">
        <v>600</v>
      </c>
      <c r="N172" s="83">
        <f>75</f>
        <v>75</v>
      </c>
      <c r="O172" s="86">
        <v>240</v>
      </c>
      <c r="P172" s="86">
        <v>160</v>
      </c>
      <c r="Q172" s="86">
        <f t="shared" si="23"/>
        <v>195</v>
      </c>
      <c r="R172" s="86">
        <f t="shared" si="24"/>
        <v>100</v>
      </c>
      <c r="S172" s="83">
        <f t="shared" si="25"/>
        <v>695</v>
      </c>
      <c r="T172" s="83">
        <f>50</f>
        <v>50</v>
      </c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</row>
    <row r="173" spans="1:30" ht="15.75" x14ac:dyDescent="0.25">
      <c r="A173" s="16">
        <v>46174</v>
      </c>
      <c r="B173" s="97">
        <v>30</v>
      </c>
      <c r="C173" s="83">
        <f>194.205</f>
        <v>194.20500000000001</v>
      </c>
      <c r="D173" s="83">
        <f>267.466</f>
        <v>267.46600000000001</v>
      </c>
      <c r="E173" s="92">
        <f>133.845</f>
        <v>133.845</v>
      </c>
      <c r="F173" s="83">
        <f>278.484-40-25-60-100</f>
        <v>53.48399999999998</v>
      </c>
      <c r="G173" s="86">
        <v>40</v>
      </c>
      <c r="H173" s="83">
        <f t="shared" si="27"/>
        <v>185</v>
      </c>
      <c r="I173" s="83">
        <f t="shared" si="18"/>
        <v>0</v>
      </c>
      <c r="J173" s="86">
        <v>100</v>
      </c>
      <c r="K173" s="86">
        <v>300</v>
      </c>
      <c r="L173" s="83">
        <f t="shared" si="22"/>
        <v>1274</v>
      </c>
      <c r="M173" s="94">
        <v>600</v>
      </c>
      <c r="N173" s="83">
        <f>30</f>
        <v>30</v>
      </c>
      <c r="O173" s="86">
        <v>240</v>
      </c>
      <c r="P173" s="86">
        <v>160</v>
      </c>
      <c r="Q173" s="86">
        <f t="shared" si="23"/>
        <v>195</v>
      </c>
      <c r="R173" s="86">
        <f t="shared" si="24"/>
        <v>100</v>
      </c>
      <c r="S173" s="83">
        <f t="shared" si="25"/>
        <v>695</v>
      </c>
      <c r="T173" s="83">
        <f>50</f>
        <v>50</v>
      </c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</row>
    <row r="174" spans="1:30" ht="15.75" x14ac:dyDescent="0.25">
      <c r="A174" s="16">
        <v>46204</v>
      </c>
      <c r="B174" s="97">
        <v>31</v>
      </c>
      <c r="C174" s="83">
        <f>194.205</f>
        <v>194.20500000000001</v>
      </c>
      <c r="D174" s="83">
        <f>267.466</f>
        <v>267.46600000000001</v>
      </c>
      <c r="E174" s="92">
        <f>133.845</f>
        <v>133.845</v>
      </c>
      <c r="F174" s="83">
        <f>278.484-40-25-60-100</f>
        <v>53.48399999999998</v>
      </c>
      <c r="G174" s="86">
        <v>40</v>
      </c>
      <c r="H174" s="83">
        <f t="shared" si="27"/>
        <v>185</v>
      </c>
      <c r="I174" s="83">
        <f t="shared" si="18"/>
        <v>0</v>
      </c>
      <c r="J174" s="86">
        <v>100</v>
      </c>
      <c r="K174" s="86">
        <v>300</v>
      </c>
      <c r="L174" s="83">
        <f t="shared" si="22"/>
        <v>1274</v>
      </c>
      <c r="M174" s="94">
        <v>600</v>
      </c>
      <c r="N174" s="83">
        <f>30</f>
        <v>30</v>
      </c>
      <c r="O174" s="86">
        <v>240</v>
      </c>
      <c r="P174" s="86">
        <v>160</v>
      </c>
      <c r="Q174" s="86">
        <f t="shared" si="23"/>
        <v>195</v>
      </c>
      <c r="R174" s="86">
        <f t="shared" si="24"/>
        <v>100</v>
      </c>
      <c r="S174" s="83">
        <f t="shared" si="25"/>
        <v>695</v>
      </c>
      <c r="T174" s="83">
        <f>0</f>
        <v>0</v>
      </c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</row>
    <row r="175" spans="1:30" ht="15.75" x14ac:dyDescent="0.25">
      <c r="A175" s="16">
        <v>46235</v>
      </c>
      <c r="B175" s="97">
        <v>31</v>
      </c>
      <c r="C175" s="83">
        <f>194.205</f>
        <v>194.20500000000001</v>
      </c>
      <c r="D175" s="83">
        <f>267.466</f>
        <v>267.46600000000001</v>
      </c>
      <c r="E175" s="92">
        <f>133.845</f>
        <v>133.845</v>
      </c>
      <c r="F175" s="83">
        <f>278.484-40-25-60-100</f>
        <v>53.48399999999998</v>
      </c>
      <c r="G175" s="86">
        <v>40</v>
      </c>
      <c r="H175" s="83">
        <f t="shared" si="27"/>
        <v>185</v>
      </c>
      <c r="I175" s="83">
        <f t="shared" si="18"/>
        <v>0</v>
      </c>
      <c r="J175" s="86">
        <v>100</v>
      </c>
      <c r="K175" s="86">
        <v>300</v>
      </c>
      <c r="L175" s="83">
        <f t="shared" si="22"/>
        <v>1274</v>
      </c>
      <c r="M175" s="94">
        <v>600</v>
      </c>
      <c r="N175" s="83">
        <f>30</f>
        <v>30</v>
      </c>
      <c r="O175" s="86">
        <v>240</v>
      </c>
      <c r="P175" s="86">
        <v>160</v>
      </c>
      <c r="Q175" s="86">
        <f t="shared" si="23"/>
        <v>195</v>
      </c>
      <c r="R175" s="86">
        <f t="shared" si="24"/>
        <v>100</v>
      </c>
      <c r="S175" s="83">
        <f t="shared" si="25"/>
        <v>695</v>
      </c>
      <c r="T175" s="83">
        <f>0</f>
        <v>0</v>
      </c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</row>
    <row r="176" spans="1:30" ht="15.75" x14ac:dyDescent="0.25">
      <c r="A176" s="16">
        <v>46266</v>
      </c>
      <c r="B176" s="97">
        <v>30</v>
      </c>
      <c r="C176" s="83">
        <f>194.205</f>
        <v>194.20500000000001</v>
      </c>
      <c r="D176" s="83">
        <f>267.466</f>
        <v>267.46600000000001</v>
      </c>
      <c r="E176" s="92">
        <f>133.845</f>
        <v>133.845</v>
      </c>
      <c r="F176" s="83">
        <f>278.484-40-25-60-100</f>
        <v>53.48399999999998</v>
      </c>
      <c r="G176" s="86">
        <v>40</v>
      </c>
      <c r="H176" s="83">
        <f t="shared" si="27"/>
        <v>185</v>
      </c>
      <c r="I176" s="83">
        <f t="shared" si="18"/>
        <v>0</v>
      </c>
      <c r="J176" s="86">
        <v>100</v>
      </c>
      <c r="K176" s="86">
        <v>300</v>
      </c>
      <c r="L176" s="83">
        <f t="shared" si="22"/>
        <v>1274</v>
      </c>
      <c r="M176" s="94">
        <v>600</v>
      </c>
      <c r="N176" s="83">
        <f>30</f>
        <v>30</v>
      </c>
      <c r="O176" s="86">
        <v>240</v>
      </c>
      <c r="P176" s="86">
        <v>160</v>
      </c>
      <c r="Q176" s="86">
        <f t="shared" si="23"/>
        <v>195</v>
      </c>
      <c r="R176" s="86">
        <f t="shared" si="24"/>
        <v>100</v>
      </c>
      <c r="S176" s="83">
        <f t="shared" si="25"/>
        <v>695</v>
      </c>
      <c r="T176" s="83">
        <f>0</f>
        <v>0</v>
      </c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</row>
    <row r="177" spans="1:30" ht="15.75" x14ac:dyDescent="0.25">
      <c r="A177" s="16">
        <v>46296</v>
      </c>
      <c r="B177" s="97">
        <v>31</v>
      </c>
      <c r="C177" s="83">
        <f>131.881</f>
        <v>131.881</v>
      </c>
      <c r="D177" s="83">
        <f>277.167</f>
        <v>277.16699999999997</v>
      </c>
      <c r="E177" s="92">
        <f>79.08</f>
        <v>79.08</v>
      </c>
      <c r="F177" s="83">
        <f>350.872-40-25-60-100</f>
        <v>125.87200000000001</v>
      </c>
      <c r="G177" s="86">
        <v>40</v>
      </c>
      <c r="H177" s="83">
        <f t="shared" si="27"/>
        <v>185</v>
      </c>
      <c r="I177" s="83">
        <f t="shared" si="18"/>
        <v>0</v>
      </c>
      <c r="J177" s="86">
        <v>100</v>
      </c>
      <c r="K177" s="86">
        <v>300</v>
      </c>
      <c r="L177" s="83">
        <f t="shared" si="22"/>
        <v>1239</v>
      </c>
      <c r="M177" s="94">
        <v>600</v>
      </c>
      <c r="N177" s="83">
        <f>75</f>
        <v>75</v>
      </c>
      <c r="O177" s="86">
        <v>240</v>
      </c>
      <c r="P177" s="86">
        <v>160</v>
      </c>
      <c r="Q177" s="86">
        <f t="shared" si="23"/>
        <v>195</v>
      </c>
      <c r="R177" s="86">
        <f t="shared" si="24"/>
        <v>100</v>
      </c>
      <c r="S177" s="83">
        <f t="shared" si="25"/>
        <v>695</v>
      </c>
      <c r="T177" s="83">
        <f>0</f>
        <v>0</v>
      </c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</row>
    <row r="178" spans="1:30" ht="15.75" x14ac:dyDescent="0.25">
      <c r="A178" s="16">
        <v>46327</v>
      </c>
      <c r="B178" s="97">
        <v>30</v>
      </c>
      <c r="C178" s="83">
        <f>122.58</f>
        <v>122.58</v>
      </c>
      <c r="D178" s="83">
        <f>297.941</f>
        <v>297.94099999999997</v>
      </c>
      <c r="E178" s="92">
        <f>89.177</f>
        <v>89.177000000000007</v>
      </c>
      <c r="F178" s="83">
        <f>240.302-40-60-100</f>
        <v>40.301999999999992</v>
      </c>
      <c r="G178" s="86">
        <v>40</v>
      </c>
      <c r="H178" s="83">
        <f>60+100</f>
        <v>160</v>
      </c>
      <c r="I178" s="83">
        <f t="shared" si="18"/>
        <v>0</v>
      </c>
      <c r="J178" s="86">
        <v>100</v>
      </c>
      <c r="K178" s="86">
        <v>300</v>
      </c>
      <c r="L178" s="83">
        <f t="shared" si="22"/>
        <v>1150</v>
      </c>
      <c r="M178" s="94">
        <v>600</v>
      </c>
      <c r="N178" s="83">
        <f>100</f>
        <v>100</v>
      </c>
      <c r="O178" s="86">
        <v>240</v>
      </c>
      <c r="P178" s="86">
        <v>40</v>
      </c>
      <c r="Q178" s="86">
        <f t="shared" si="23"/>
        <v>315</v>
      </c>
      <c r="R178" s="86">
        <f t="shared" si="24"/>
        <v>100</v>
      </c>
      <c r="S178" s="83">
        <f t="shared" si="25"/>
        <v>695</v>
      </c>
      <c r="T178" s="83">
        <f>50</f>
        <v>50</v>
      </c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</row>
    <row r="179" spans="1:30" ht="15.75" x14ac:dyDescent="0.25">
      <c r="A179" s="16">
        <v>46357</v>
      </c>
      <c r="B179" s="97">
        <v>31</v>
      </c>
      <c r="C179" s="83">
        <f>122.58</f>
        <v>122.58</v>
      </c>
      <c r="D179" s="83">
        <f>297.941</f>
        <v>297.94099999999997</v>
      </c>
      <c r="E179" s="92">
        <f>89.177</f>
        <v>89.177000000000007</v>
      </c>
      <c r="F179" s="83">
        <f>240.302-40-60-100</f>
        <v>40.301999999999992</v>
      </c>
      <c r="G179" s="86">
        <v>40</v>
      </c>
      <c r="H179" s="83">
        <f>60+100</f>
        <v>160</v>
      </c>
      <c r="I179" s="83">
        <f t="shared" si="18"/>
        <v>0</v>
      </c>
      <c r="J179" s="86">
        <v>100</v>
      </c>
      <c r="K179" s="86">
        <v>300</v>
      </c>
      <c r="L179" s="83">
        <f t="shared" si="22"/>
        <v>1150</v>
      </c>
      <c r="M179" s="94">
        <v>600</v>
      </c>
      <c r="N179" s="83">
        <f>100</f>
        <v>100</v>
      </c>
      <c r="O179" s="86">
        <v>240</v>
      </c>
      <c r="P179" s="86">
        <v>40</v>
      </c>
      <c r="Q179" s="86">
        <f t="shared" si="23"/>
        <v>315</v>
      </c>
      <c r="R179" s="86">
        <f t="shared" si="24"/>
        <v>100</v>
      </c>
      <c r="S179" s="83">
        <f t="shared" si="25"/>
        <v>695</v>
      </c>
      <c r="T179" s="83">
        <f>50</f>
        <v>50</v>
      </c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</row>
    <row r="180" spans="1:30" ht="15.75" x14ac:dyDescent="0.25">
      <c r="A180" s="16">
        <v>46388</v>
      </c>
      <c r="B180" s="97">
        <v>31</v>
      </c>
      <c r="C180" s="83">
        <f>122.58</f>
        <v>122.58</v>
      </c>
      <c r="D180" s="83">
        <f>297.941</f>
        <v>297.94099999999997</v>
      </c>
      <c r="E180" s="92">
        <f>89.177</f>
        <v>89.177000000000007</v>
      </c>
      <c r="F180" s="83">
        <f>240.302-40-60-100</f>
        <v>40.301999999999992</v>
      </c>
      <c r="G180" s="86">
        <v>40</v>
      </c>
      <c r="H180" s="83">
        <f>60+100</f>
        <v>160</v>
      </c>
      <c r="I180" s="83">
        <f t="shared" ref="I180:I243" si="28">400-J180-K180</f>
        <v>0</v>
      </c>
      <c r="J180" s="86">
        <v>100</v>
      </c>
      <c r="K180" s="86">
        <v>300</v>
      </c>
      <c r="L180" s="83">
        <f t="shared" si="22"/>
        <v>1150</v>
      </c>
      <c r="M180" s="94">
        <v>600</v>
      </c>
      <c r="N180" s="83">
        <f>100</f>
        <v>100</v>
      </c>
      <c r="O180" s="86">
        <v>240</v>
      </c>
      <c r="P180" s="86">
        <v>40</v>
      </c>
      <c r="Q180" s="86">
        <f t="shared" si="23"/>
        <v>315</v>
      </c>
      <c r="R180" s="86">
        <f t="shared" si="24"/>
        <v>100</v>
      </c>
      <c r="S180" s="83">
        <f t="shared" si="25"/>
        <v>695</v>
      </c>
      <c r="T180" s="83">
        <f>50</f>
        <v>50</v>
      </c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</row>
    <row r="181" spans="1:30" ht="15.75" x14ac:dyDescent="0.25">
      <c r="A181" s="16">
        <v>46419</v>
      </c>
      <c r="B181" s="97">
        <v>28</v>
      </c>
      <c r="C181" s="83">
        <f>122.58</f>
        <v>122.58</v>
      </c>
      <c r="D181" s="83">
        <f>297.941</f>
        <v>297.94099999999997</v>
      </c>
      <c r="E181" s="92">
        <f>89.177</f>
        <v>89.177000000000007</v>
      </c>
      <c r="F181" s="83">
        <f>240.302-40-60-100</f>
        <v>40.301999999999992</v>
      </c>
      <c r="G181" s="86">
        <v>40</v>
      </c>
      <c r="H181" s="83">
        <f>60+100</f>
        <v>160</v>
      </c>
      <c r="I181" s="83">
        <f t="shared" si="28"/>
        <v>0</v>
      </c>
      <c r="J181" s="86">
        <v>100</v>
      </c>
      <c r="K181" s="86">
        <v>300</v>
      </c>
      <c r="L181" s="83">
        <f t="shared" si="22"/>
        <v>1150</v>
      </c>
      <c r="M181" s="94">
        <v>600</v>
      </c>
      <c r="N181" s="83">
        <f>100</f>
        <v>100</v>
      </c>
      <c r="O181" s="86">
        <v>240</v>
      </c>
      <c r="P181" s="86">
        <v>40</v>
      </c>
      <c r="Q181" s="86">
        <f t="shared" si="23"/>
        <v>315</v>
      </c>
      <c r="R181" s="86">
        <f t="shared" si="24"/>
        <v>100</v>
      </c>
      <c r="S181" s="83">
        <f t="shared" si="25"/>
        <v>695</v>
      </c>
      <c r="T181" s="83">
        <f>50</f>
        <v>50</v>
      </c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</row>
    <row r="182" spans="1:30" ht="15.75" x14ac:dyDescent="0.25">
      <c r="A182" s="16">
        <v>46447</v>
      </c>
      <c r="B182" s="97">
        <v>31</v>
      </c>
      <c r="C182" s="83">
        <f>122.58</f>
        <v>122.58</v>
      </c>
      <c r="D182" s="83">
        <f>297.941</f>
        <v>297.94099999999997</v>
      </c>
      <c r="E182" s="92">
        <f>89.177</f>
        <v>89.177000000000007</v>
      </c>
      <c r="F182" s="83">
        <f>240.302-40-60-100</f>
        <v>40.301999999999992</v>
      </c>
      <c r="G182" s="86">
        <v>40</v>
      </c>
      <c r="H182" s="83">
        <f>60+100</f>
        <v>160</v>
      </c>
      <c r="I182" s="83">
        <f t="shared" si="28"/>
        <v>0</v>
      </c>
      <c r="J182" s="86">
        <v>100</v>
      </c>
      <c r="K182" s="86">
        <v>300</v>
      </c>
      <c r="L182" s="83">
        <f t="shared" si="22"/>
        <v>1150</v>
      </c>
      <c r="M182" s="94">
        <v>600</v>
      </c>
      <c r="N182" s="83">
        <f>100</f>
        <v>100</v>
      </c>
      <c r="O182" s="86">
        <v>240</v>
      </c>
      <c r="P182" s="86">
        <v>40</v>
      </c>
      <c r="Q182" s="86">
        <f t="shared" si="23"/>
        <v>315</v>
      </c>
      <c r="R182" s="86">
        <f t="shared" si="24"/>
        <v>100</v>
      </c>
      <c r="S182" s="83">
        <f t="shared" si="25"/>
        <v>695</v>
      </c>
      <c r="T182" s="83">
        <f>50</f>
        <v>50</v>
      </c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</row>
    <row r="183" spans="1:30" ht="15.75" x14ac:dyDescent="0.25">
      <c r="A183" s="16">
        <v>46478</v>
      </c>
      <c r="B183" s="97">
        <v>30</v>
      </c>
      <c r="C183" s="83">
        <f>141.293</f>
        <v>141.29300000000001</v>
      </c>
      <c r="D183" s="83">
        <f>267.993</f>
        <v>267.99299999999999</v>
      </c>
      <c r="E183" s="92">
        <f>115.016</f>
        <v>115.01600000000001</v>
      </c>
      <c r="F183" s="83">
        <f>314.698-40-25-60-100</f>
        <v>89.697999999999979</v>
      </c>
      <c r="G183" s="86">
        <v>40</v>
      </c>
      <c r="H183" s="83">
        <f t="shared" ref="H183:H189" si="29">25+60+100</f>
        <v>185</v>
      </c>
      <c r="I183" s="83">
        <f t="shared" si="28"/>
        <v>0</v>
      </c>
      <c r="J183" s="86">
        <v>100</v>
      </c>
      <c r="K183" s="86">
        <v>300</v>
      </c>
      <c r="L183" s="83">
        <f t="shared" si="22"/>
        <v>1239</v>
      </c>
      <c r="M183" s="94">
        <v>600</v>
      </c>
      <c r="N183" s="83">
        <f>100</f>
        <v>100</v>
      </c>
      <c r="O183" s="86">
        <v>240</v>
      </c>
      <c r="P183" s="86">
        <v>160</v>
      </c>
      <c r="Q183" s="86">
        <f t="shared" si="23"/>
        <v>195</v>
      </c>
      <c r="R183" s="86">
        <f t="shared" si="24"/>
        <v>100</v>
      </c>
      <c r="S183" s="83">
        <f t="shared" si="25"/>
        <v>695</v>
      </c>
      <c r="T183" s="83">
        <f>50</f>
        <v>50</v>
      </c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</row>
    <row r="184" spans="1:30" ht="15.75" x14ac:dyDescent="0.25">
      <c r="A184" s="16">
        <v>46508</v>
      </c>
      <c r="B184" s="97">
        <v>31</v>
      </c>
      <c r="C184" s="83">
        <f>194.205</f>
        <v>194.20500000000001</v>
      </c>
      <c r="D184" s="83">
        <f>267.466</f>
        <v>267.46600000000001</v>
      </c>
      <c r="E184" s="92">
        <f>133.845</f>
        <v>133.845</v>
      </c>
      <c r="F184" s="83">
        <f>278.484-40-25-60-100</f>
        <v>53.48399999999998</v>
      </c>
      <c r="G184" s="86">
        <v>40</v>
      </c>
      <c r="H184" s="83">
        <f t="shared" si="29"/>
        <v>185</v>
      </c>
      <c r="I184" s="83">
        <f t="shared" si="28"/>
        <v>0</v>
      </c>
      <c r="J184" s="86">
        <v>100</v>
      </c>
      <c r="K184" s="86">
        <v>300</v>
      </c>
      <c r="L184" s="83">
        <f t="shared" si="22"/>
        <v>1274</v>
      </c>
      <c r="M184" s="94">
        <v>600</v>
      </c>
      <c r="N184" s="83">
        <f>75</f>
        <v>75</v>
      </c>
      <c r="O184" s="86">
        <v>240</v>
      </c>
      <c r="P184" s="86">
        <v>160</v>
      </c>
      <c r="Q184" s="86">
        <f t="shared" si="23"/>
        <v>195</v>
      </c>
      <c r="R184" s="86">
        <f t="shared" si="24"/>
        <v>100</v>
      </c>
      <c r="S184" s="83">
        <f t="shared" si="25"/>
        <v>695</v>
      </c>
      <c r="T184" s="83">
        <f>50</f>
        <v>50</v>
      </c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</row>
    <row r="185" spans="1:30" ht="15.75" x14ac:dyDescent="0.25">
      <c r="A185" s="16">
        <v>46539</v>
      </c>
      <c r="B185" s="97">
        <v>30</v>
      </c>
      <c r="C185" s="83">
        <f>194.205</f>
        <v>194.20500000000001</v>
      </c>
      <c r="D185" s="83">
        <f>267.466</f>
        <v>267.46600000000001</v>
      </c>
      <c r="E185" s="92">
        <f>133.845</f>
        <v>133.845</v>
      </c>
      <c r="F185" s="83">
        <f>278.484-40-25-60-100</f>
        <v>53.48399999999998</v>
      </c>
      <c r="G185" s="86">
        <v>40</v>
      </c>
      <c r="H185" s="83">
        <f t="shared" si="29"/>
        <v>185</v>
      </c>
      <c r="I185" s="83">
        <f t="shared" si="28"/>
        <v>0</v>
      </c>
      <c r="J185" s="86">
        <v>100</v>
      </c>
      <c r="K185" s="86">
        <v>300</v>
      </c>
      <c r="L185" s="83">
        <f t="shared" si="22"/>
        <v>1274</v>
      </c>
      <c r="M185" s="94">
        <v>600</v>
      </c>
      <c r="N185" s="83">
        <f>30</f>
        <v>30</v>
      </c>
      <c r="O185" s="86">
        <v>240</v>
      </c>
      <c r="P185" s="86">
        <v>160</v>
      </c>
      <c r="Q185" s="86">
        <f t="shared" si="23"/>
        <v>195</v>
      </c>
      <c r="R185" s="86">
        <f t="shared" si="24"/>
        <v>100</v>
      </c>
      <c r="S185" s="83">
        <f t="shared" si="25"/>
        <v>695</v>
      </c>
      <c r="T185" s="83">
        <f>50</f>
        <v>50</v>
      </c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</row>
    <row r="186" spans="1:30" ht="15.75" x14ac:dyDescent="0.25">
      <c r="A186" s="16">
        <v>46569</v>
      </c>
      <c r="B186" s="97">
        <v>31</v>
      </c>
      <c r="C186" s="83">
        <f>194.205</f>
        <v>194.20500000000001</v>
      </c>
      <c r="D186" s="83">
        <f>267.466</f>
        <v>267.46600000000001</v>
      </c>
      <c r="E186" s="92">
        <f>133.845</f>
        <v>133.845</v>
      </c>
      <c r="F186" s="83">
        <f>278.484-40-25-60-100</f>
        <v>53.48399999999998</v>
      </c>
      <c r="G186" s="86">
        <v>40</v>
      </c>
      <c r="H186" s="83">
        <f t="shared" si="29"/>
        <v>185</v>
      </c>
      <c r="I186" s="83">
        <f t="shared" si="28"/>
        <v>0</v>
      </c>
      <c r="J186" s="86">
        <v>100</v>
      </c>
      <c r="K186" s="86">
        <v>300</v>
      </c>
      <c r="L186" s="83">
        <f t="shared" si="22"/>
        <v>1274</v>
      </c>
      <c r="M186" s="94">
        <v>600</v>
      </c>
      <c r="N186" s="83">
        <f>30</f>
        <v>30</v>
      </c>
      <c r="O186" s="86">
        <v>240</v>
      </c>
      <c r="P186" s="86">
        <v>160</v>
      </c>
      <c r="Q186" s="86">
        <f t="shared" si="23"/>
        <v>195</v>
      </c>
      <c r="R186" s="86">
        <f t="shared" si="24"/>
        <v>100</v>
      </c>
      <c r="S186" s="83">
        <f t="shared" si="25"/>
        <v>695</v>
      </c>
      <c r="T186" s="83">
        <f>0</f>
        <v>0</v>
      </c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</row>
    <row r="187" spans="1:30" ht="15.75" x14ac:dyDescent="0.25">
      <c r="A187" s="16">
        <v>46600</v>
      </c>
      <c r="B187" s="97">
        <v>31</v>
      </c>
      <c r="C187" s="83">
        <f>194.205</f>
        <v>194.20500000000001</v>
      </c>
      <c r="D187" s="83">
        <f>267.466</f>
        <v>267.46600000000001</v>
      </c>
      <c r="E187" s="92">
        <f>133.845</f>
        <v>133.845</v>
      </c>
      <c r="F187" s="83">
        <f>278.484-40-25-60-100</f>
        <v>53.48399999999998</v>
      </c>
      <c r="G187" s="86">
        <v>40</v>
      </c>
      <c r="H187" s="83">
        <f t="shared" si="29"/>
        <v>185</v>
      </c>
      <c r="I187" s="83">
        <f t="shared" si="28"/>
        <v>0</v>
      </c>
      <c r="J187" s="86">
        <v>100</v>
      </c>
      <c r="K187" s="86">
        <v>300</v>
      </c>
      <c r="L187" s="83">
        <f t="shared" si="22"/>
        <v>1274</v>
      </c>
      <c r="M187" s="94">
        <v>600</v>
      </c>
      <c r="N187" s="83">
        <f>30</f>
        <v>30</v>
      </c>
      <c r="O187" s="86">
        <v>240</v>
      </c>
      <c r="P187" s="86">
        <v>160</v>
      </c>
      <c r="Q187" s="86">
        <f t="shared" si="23"/>
        <v>195</v>
      </c>
      <c r="R187" s="86">
        <f t="shared" si="24"/>
        <v>100</v>
      </c>
      <c r="S187" s="83">
        <f t="shared" si="25"/>
        <v>695</v>
      </c>
      <c r="T187" s="83">
        <f>0</f>
        <v>0</v>
      </c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</row>
    <row r="188" spans="1:30" ht="15.75" x14ac:dyDescent="0.25">
      <c r="A188" s="16">
        <v>46631</v>
      </c>
      <c r="B188" s="97">
        <v>30</v>
      </c>
      <c r="C188" s="83">
        <f>194.205</f>
        <v>194.20500000000001</v>
      </c>
      <c r="D188" s="83">
        <f>267.466</f>
        <v>267.46600000000001</v>
      </c>
      <c r="E188" s="92">
        <f>133.845</f>
        <v>133.845</v>
      </c>
      <c r="F188" s="83">
        <f>278.484-40-25-60-100</f>
        <v>53.48399999999998</v>
      </c>
      <c r="G188" s="86">
        <v>40</v>
      </c>
      <c r="H188" s="83">
        <f t="shared" si="29"/>
        <v>185</v>
      </c>
      <c r="I188" s="83">
        <f t="shared" si="28"/>
        <v>0</v>
      </c>
      <c r="J188" s="86">
        <v>100</v>
      </c>
      <c r="K188" s="86">
        <v>300</v>
      </c>
      <c r="L188" s="83">
        <f t="shared" si="22"/>
        <v>1274</v>
      </c>
      <c r="M188" s="94">
        <v>600</v>
      </c>
      <c r="N188" s="83">
        <f>30</f>
        <v>30</v>
      </c>
      <c r="O188" s="86">
        <v>240</v>
      </c>
      <c r="P188" s="86">
        <v>160</v>
      </c>
      <c r="Q188" s="86">
        <f t="shared" si="23"/>
        <v>195</v>
      </c>
      <c r="R188" s="86">
        <f t="shared" si="24"/>
        <v>100</v>
      </c>
      <c r="S188" s="83">
        <f t="shared" si="25"/>
        <v>695</v>
      </c>
      <c r="T188" s="83">
        <f>0</f>
        <v>0</v>
      </c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</row>
    <row r="189" spans="1:30" ht="15.75" x14ac:dyDescent="0.25">
      <c r="A189" s="16">
        <v>46661</v>
      </c>
      <c r="B189" s="97">
        <v>31</v>
      </c>
      <c r="C189" s="83">
        <f>131.881</f>
        <v>131.881</v>
      </c>
      <c r="D189" s="83">
        <f>277.167</f>
        <v>277.16699999999997</v>
      </c>
      <c r="E189" s="92">
        <f>79.08</f>
        <v>79.08</v>
      </c>
      <c r="F189" s="83">
        <f>350.872-40-25-60-100</f>
        <v>125.87200000000001</v>
      </c>
      <c r="G189" s="86">
        <v>40</v>
      </c>
      <c r="H189" s="83">
        <f t="shared" si="29"/>
        <v>185</v>
      </c>
      <c r="I189" s="83">
        <f t="shared" si="28"/>
        <v>0</v>
      </c>
      <c r="J189" s="86">
        <v>100</v>
      </c>
      <c r="K189" s="86">
        <v>300</v>
      </c>
      <c r="L189" s="83">
        <f t="shared" si="22"/>
        <v>1239</v>
      </c>
      <c r="M189" s="94">
        <v>600</v>
      </c>
      <c r="N189" s="83">
        <f>75</f>
        <v>75</v>
      </c>
      <c r="O189" s="86">
        <v>240</v>
      </c>
      <c r="P189" s="86">
        <v>160</v>
      </c>
      <c r="Q189" s="86">
        <f t="shared" si="23"/>
        <v>195</v>
      </c>
      <c r="R189" s="86">
        <f t="shared" si="24"/>
        <v>100</v>
      </c>
      <c r="S189" s="83">
        <f t="shared" si="25"/>
        <v>695</v>
      </c>
      <c r="T189" s="83">
        <f>0</f>
        <v>0</v>
      </c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</row>
    <row r="190" spans="1:30" ht="15.75" x14ac:dyDescent="0.25">
      <c r="A190" s="16">
        <v>46692</v>
      </c>
      <c r="B190" s="97">
        <v>30</v>
      </c>
      <c r="C190" s="83">
        <f>122.58</f>
        <v>122.58</v>
      </c>
      <c r="D190" s="83">
        <f>297.941</f>
        <v>297.94099999999997</v>
      </c>
      <c r="E190" s="92">
        <f>89.177</f>
        <v>89.177000000000007</v>
      </c>
      <c r="F190" s="83">
        <f>240.302-40-60-100</f>
        <v>40.301999999999992</v>
      </c>
      <c r="G190" s="86">
        <v>40</v>
      </c>
      <c r="H190" s="83">
        <f>60+100</f>
        <v>160</v>
      </c>
      <c r="I190" s="83">
        <f t="shared" si="28"/>
        <v>0</v>
      </c>
      <c r="J190" s="86">
        <v>100</v>
      </c>
      <c r="K190" s="86">
        <v>300</v>
      </c>
      <c r="L190" s="83">
        <f t="shared" si="22"/>
        <v>1150</v>
      </c>
      <c r="M190" s="94">
        <v>600</v>
      </c>
      <c r="N190" s="83">
        <f>100</f>
        <v>100</v>
      </c>
      <c r="O190" s="86">
        <v>240</v>
      </c>
      <c r="P190" s="86">
        <v>40</v>
      </c>
      <c r="Q190" s="86">
        <f t="shared" si="23"/>
        <v>315</v>
      </c>
      <c r="R190" s="86">
        <f t="shared" si="24"/>
        <v>100</v>
      </c>
      <c r="S190" s="83">
        <f t="shared" si="25"/>
        <v>695</v>
      </c>
      <c r="T190" s="83">
        <f>50</f>
        <v>50</v>
      </c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</row>
    <row r="191" spans="1:30" ht="15.75" x14ac:dyDescent="0.25">
      <c r="A191" s="16">
        <v>46722</v>
      </c>
      <c r="B191" s="97">
        <v>31</v>
      </c>
      <c r="C191" s="83">
        <f>122.58</f>
        <v>122.58</v>
      </c>
      <c r="D191" s="83">
        <f>297.941</f>
        <v>297.94099999999997</v>
      </c>
      <c r="E191" s="92">
        <f>89.177</f>
        <v>89.177000000000007</v>
      </c>
      <c r="F191" s="83">
        <f>240.302-40-60-100</f>
        <v>40.301999999999992</v>
      </c>
      <c r="G191" s="86">
        <v>40</v>
      </c>
      <c r="H191" s="83">
        <f>60+100</f>
        <v>160</v>
      </c>
      <c r="I191" s="83">
        <f t="shared" si="28"/>
        <v>0</v>
      </c>
      <c r="J191" s="86">
        <v>100</v>
      </c>
      <c r="K191" s="86">
        <v>300</v>
      </c>
      <c r="L191" s="83">
        <f t="shared" si="22"/>
        <v>1150</v>
      </c>
      <c r="M191" s="94">
        <v>600</v>
      </c>
      <c r="N191" s="83">
        <f>100</f>
        <v>100</v>
      </c>
      <c r="O191" s="86">
        <v>240</v>
      </c>
      <c r="P191" s="86">
        <v>40</v>
      </c>
      <c r="Q191" s="86">
        <f t="shared" si="23"/>
        <v>315</v>
      </c>
      <c r="R191" s="86">
        <f t="shared" si="24"/>
        <v>100</v>
      </c>
      <c r="S191" s="83">
        <f t="shared" si="25"/>
        <v>695</v>
      </c>
      <c r="T191" s="83">
        <f>50</f>
        <v>50</v>
      </c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</row>
    <row r="192" spans="1:30" ht="15.75" x14ac:dyDescent="0.25">
      <c r="A192" s="16">
        <v>46753</v>
      </c>
      <c r="B192" s="97">
        <v>31</v>
      </c>
      <c r="C192" s="83">
        <f>122.58</f>
        <v>122.58</v>
      </c>
      <c r="D192" s="83">
        <f>297.941</f>
        <v>297.94099999999997</v>
      </c>
      <c r="E192" s="92">
        <f>89.177</f>
        <v>89.177000000000007</v>
      </c>
      <c r="F192" s="83">
        <f>240.302-40-60-100</f>
        <v>40.301999999999992</v>
      </c>
      <c r="G192" s="86">
        <v>40</v>
      </c>
      <c r="H192" s="83">
        <f>60+100</f>
        <v>160</v>
      </c>
      <c r="I192" s="83">
        <f t="shared" si="28"/>
        <v>0</v>
      </c>
      <c r="J192" s="86">
        <v>100</v>
      </c>
      <c r="K192" s="86">
        <v>300</v>
      </c>
      <c r="L192" s="83">
        <f t="shared" si="22"/>
        <v>1150</v>
      </c>
      <c r="M192" s="94">
        <v>600</v>
      </c>
      <c r="N192" s="83">
        <f>100</f>
        <v>100</v>
      </c>
      <c r="O192" s="86">
        <v>240</v>
      </c>
      <c r="P192" s="86">
        <v>40</v>
      </c>
      <c r="Q192" s="86">
        <f t="shared" si="23"/>
        <v>315</v>
      </c>
      <c r="R192" s="86">
        <f t="shared" si="24"/>
        <v>100</v>
      </c>
      <c r="S192" s="83">
        <f t="shared" si="25"/>
        <v>695</v>
      </c>
      <c r="T192" s="83">
        <f>50</f>
        <v>50</v>
      </c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</row>
    <row r="193" spans="1:30" ht="15.75" x14ac:dyDescent="0.25">
      <c r="A193" s="16">
        <v>46784</v>
      </c>
      <c r="B193" s="97">
        <v>29</v>
      </c>
      <c r="C193" s="83">
        <f>122.58</f>
        <v>122.58</v>
      </c>
      <c r="D193" s="83">
        <f>297.941</f>
        <v>297.94099999999997</v>
      </c>
      <c r="E193" s="92">
        <f>89.177</f>
        <v>89.177000000000007</v>
      </c>
      <c r="F193" s="83">
        <f>240.302-40-60-100</f>
        <v>40.301999999999992</v>
      </c>
      <c r="G193" s="86">
        <v>40</v>
      </c>
      <c r="H193" s="83">
        <f>60+100</f>
        <v>160</v>
      </c>
      <c r="I193" s="83">
        <f t="shared" si="28"/>
        <v>0</v>
      </c>
      <c r="J193" s="86">
        <v>100</v>
      </c>
      <c r="K193" s="86">
        <v>300</v>
      </c>
      <c r="L193" s="83">
        <f t="shared" si="22"/>
        <v>1150</v>
      </c>
      <c r="M193" s="94">
        <v>600</v>
      </c>
      <c r="N193" s="83">
        <f>100</f>
        <v>100</v>
      </c>
      <c r="O193" s="86">
        <v>240</v>
      </c>
      <c r="P193" s="86">
        <v>40</v>
      </c>
      <c r="Q193" s="86">
        <f t="shared" si="23"/>
        <v>315</v>
      </c>
      <c r="R193" s="86">
        <f t="shared" si="24"/>
        <v>100</v>
      </c>
      <c r="S193" s="83">
        <f t="shared" si="25"/>
        <v>695</v>
      </c>
      <c r="T193" s="83">
        <f>50</f>
        <v>50</v>
      </c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</row>
    <row r="194" spans="1:30" ht="15.75" x14ac:dyDescent="0.25">
      <c r="A194" s="16">
        <v>46813</v>
      </c>
      <c r="B194" s="97">
        <v>31</v>
      </c>
      <c r="C194" s="83">
        <f>122.58</f>
        <v>122.58</v>
      </c>
      <c r="D194" s="83">
        <f>297.941</f>
        <v>297.94099999999997</v>
      </c>
      <c r="E194" s="92">
        <f>89.177</f>
        <v>89.177000000000007</v>
      </c>
      <c r="F194" s="83">
        <f>240.302-40-60-100</f>
        <v>40.301999999999992</v>
      </c>
      <c r="G194" s="86">
        <v>40</v>
      </c>
      <c r="H194" s="83">
        <f>60+100</f>
        <v>160</v>
      </c>
      <c r="I194" s="83">
        <f t="shared" si="28"/>
        <v>0</v>
      </c>
      <c r="J194" s="86">
        <v>100</v>
      </c>
      <c r="K194" s="86">
        <v>300</v>
      </c>
      <c r="L194" s="83">
        <f t="shared" si="22"/>
        <v>1150</v>
      </c>
      <c r="M194" s="94">
        <v>600</v>
      </c>
      <c r="N194" s="83">
        <f>100</f>
        <v>100</v>
      </c>
      <c r="O194" s="86">
        <v>240</v>
      </c>
      <c r="P194" s="86">
        <v>40</v>
      </c>
      <c r="Q194" s="86">
        <f t="shared" si="23"/>
        <v>315</v>
      </c>
      <c r="R194" s="86">
        <f t="shared" si="24"/>
        <v>100</v>
      </c>
      <c r="S194" s="83">
        <f t="shared" si="25"/>
        <v>695</v>
      </c>
      <c r="T194" s="83">
        <f>50</f>
        <v>50</v>
      </c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</row>
    <row r="195" spans="1:30" ht="15.75" x14ac:dyDescent="0.25">
      <c r="A195" s="16">
        <v>46844</v>
      </c>
      <c r="B195" s="97">
        <v>30</v>
      </c>
      <c r="C195" s="83">
        <f>141.293</f>
        <v>141.29300000000001</v>
      </c>
      <c r="D195" s="83">
        <f>267.993</f>
        <v>267.99299999999999</v>
      </c>
      <c r="E195" s="92">
        <f>115.016</f>
        <v>115.01600000000001</v>
      </c>
      <c r="F195" s="83">
        <f>314.698-40-25-60-100</f>
        <v>89.697999999999979</v>
      </c>
      <c r="G195" s="86">
        <v>40</v>
      </c>
      <c r="H195" s="83">
        <f t="shared" ref="H195:H201" si="30">25+60+100</f>
        <v>185</v>
      </c>
      <c r="I195" s="83">
        <f t="shared" si="28"/>
        <v>0</v>
      </c>
      <c r="J195" s="86">
        <v>100</v>
      </c>
      <c r="K195" s="86">
        <v>300</v>
      </c>
      <c r="L195" s="83">
        <f t="shared" si="22"/>
        <v>1239</v>
      </c>
      <c r="M195" s="94">
        <v>600</v>
      </c>
      <c r="N195" s="83">
        <f>100</f>
        <v>100</v>
      </c>
      <c r="O195" s="86">
        <v>240</v>
      </c>
      <c r="P195" s="86">
        <v>160</v>
      </c>
      <c r="Q195" s="86">
        <f t="shared" si="23"/>
        <v>195</v>
      </c>
      <c r="R195" s="86">
        <f t="shared" si="24"/>
        <v>100</v>
      </c>
      <c r="S195" s="83">
        <f t="shared" si="25"/>
        <v>695</v>
      </c>
      <c r="T195" s="83">
        <f>50</f>
        <v>50</v>
      </c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</row>
    <row r="196" spans="1:30" ht="15.75" x14ac:dyDescent="0.25">
      <c r="A196" s="16">
        <v>46874</v>
      </c>
      <c r="B196" s="97">
        <v>31</v>
      </c>
      <c r="C196" s="83">
        <f>194.205</f>
        <v>194.20500000000001</v>
      </c>
      <c r="D196" s="83">
        <f>267.466</f>
        <v>267.46600000000001</v>
      </c>
      <c r="E196" s="92">
        <f>133.845</f>
        <v>133.845</v>
      </c>
      <c r="F196" s="83">
        <f>278.484-40-25-60-100</f>
        <v>53.48399999999998</v>
      </c>
      <c r="G196" s="86">
        <v>40</v>
      </c>
      <c r="H196" s="83">
        <f t="shared" si="30"/>
        <v>185</v>
      </c>
      <c r="I196" s="83">
        <f t="shared" si="28"/>
        <v>0</v>
      </c>
      <c r="J196" s="86">
        <v>100</v>
      </c>
      <c r="K196" s="86">
        <v>300</v>
      </c>
      <c r="L196" s="83">
        <f t="shared" si="22"/>
        <v>1274</v>
      </c>
      <c r="M196" s="94">
        <v>600</v>
      </c>
      <c r="N196" s="83">
        <f>75</f>
        <v>75</v>
      </c>
      <c r="O196" s="86">
        <v>240</v>
      </c>
      <c r="P196" s="86">
        <v>160</v>
      </c>
      <c r="Q196" s="86">
        <f t="shared" si="23"/>
        <v>195</v>
      </c>
      <c r="R196" s="86">
        <f t="shared" si="24"/>
        <v>100</v>
      </c>
      <c r="S196" s="83">
        <f t="shared" si="25"/>
        <v>695</v>
      </c>
      <c r="T196" s="83">
        <f>50</f>
        <v>50</v>
      </c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</row>
    <row r="197" spans="1:30" ht="15.75" x14ac:dyDescent="0.25">
      <c r="A197" s="16">
        <v>46905</v>
      </c>
      <c r="B197" s="97">
        <v>30</v>
      </c>
      <c r="C197" s="83">
        <f>194.205</f>
        <v>194.20500000000001</v>
      </c>
      <c r="D197" s="83">
        <f>267.466</f>
        <v>267.46600000000001</v>
      </c>
      <c r="E197" s="92">
        <f>133.845</f>
        <v>133.845</v>
      </c>
      <c r="F197" s="83">
        <f>278.484-40-25-60-100</f>
        <v>53.48399999999998</v>
      </c>
      <c r="G197" s="86">
        <v>40</v>
      </c>
      <c r="H197" s="83">
        <f t="shared" si="30"/>
        <v>185</v>
      </c>
      <c r="I197" s="83">
        <f t="shared" si="28"/>
        <v>0</v>
      </c>
      <c r="J197" s="86">
        <v>100</v>
      </c>
      <c r="K197" s="86">
        <v>300</v>
      </c>
      <c r="L197" s="83">
        <f t="shared" si="22"/>
        <v>1274</v>
      </c>
      <c r="M197" s="94">
        <v>600</v>
      </c>
      <c r="N197" s="83">
        <f>30</f>
        <v>30</v>
      </c>
      <c r="O197" s="86">
        <v>240</v>
      </c>
      <c r="P197" s="86">
        <v>160</v>
      </c>
      <c r="Q197" s="86">
        <f t="shared" si="23"/>
        <v>195</v>
      </c>
      <c r="R197" s="86">
        <f t="shared" si="24"/>
        <v>100</v>
      </c>
      <c r="S197" s="83">
        <f t="shared" si="25"/>
        <v>695</v>
      </c>
      <c r="T197" s="83">
        <f>50</f>
        <v>50</v>
      </c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</row>
    <row r="198" spans="1:30" ht="15.75" x14ac:dyDescent="0.25">
      <c r="A198" s="16">
        <v>46935</v>
      </c>
      <c r="B198" s="97">
        <v>31</v>
      </c>
      <c r="C198" s="83">
        <f>194.205</f>
        <v>194.20500000000001</v>
      </c>
      <c r="D198" s="83">
        <f>267.466</f>
        <v>267.46600000000001</v>
      </c>
      <c r="E198" s="92">
        <f>133.845</f>
        <v>133.845</v>
      </c>
      <c r="F198" s="83">
        <f>278.484-40-25-60-100</f>
        <v>53.48399999999998</v>
      </c>
      <c r="G198" s="86">
        <v>40</v>
      </c>
      <c r="H198" s="83">
        <f t="shared" si="30"/>
        <v>185</v>
      </c>
      <c r="I198" s="83">
        <f t="shared" si="28"/>
        <v>0</v>
      </c>
      <c r="J198" s="86">
        <v>100</v>
      </c>
      <c r="K198" s="86">
        <v>300</v>
      </c>
      <c r="L198" s="83">
        <f t="shared" si="22"/>
        <v>1274</v>
      </c>
      <c r="M198" s="94">
        <v>600</v>
      </c>
      <c r="N198" s="83">
        <f>30</f>
        <v>30</v>
      </c>
      <c r="O198" s="86">
        <v>240</v>
      </c>
      <c r="P198" s="86">
        <v>160</v>
      </c>
      <c r="Q198" s="86">
        <f t="shared" si="23"/>
        <v>195</v>
      </c>
      <c r="R198" s="86">
        <f t="shared" si="24"/>
        <v>100</v>
      </c>
      <c r="S198" s="83">
        <f t="shared" si="25"/>
        <v>695</v>
      </c>
      <c r="T198" s="83">
        <f>0</f>
        <v>0</v>
      </c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</row>
    <row r="199" spans="1:30" ht="15.75" x14ac:dyDescent="0.25">
      <c r="A199" s="16">
        <v>46966</v>
      </c>
      <c r="B199" s="97">
        <v>31</v>
      </c>
      <c r="C199" s="83">
        <f>194.205</f>
        <v>194.20500000000001</v>
      </c>
      <c r="D199" s="83">
        <f>267.466</f>
        <v>267.46600000000001</v>
      </c>
      <c r="E199" s="92">
        <f>133.845</f>
        <v>133.845</v>
      </c>
      <c r="F199" s="83">
        <f>278.484-40-25-60-100</f>
        <v>53.48399999999998</v>
      </c>
      <c r="G199" s="86">
        <v>40</v>
      </c>
      <c r="H199" s="83">
        <f t="shared" si="30"/>
        <v>185</v>
      </c>
      <c r="I199" s="83">
        <f t="shared" si="28"/>
        <v>0</v>
      </c>
      <c r="J199" s="86">
        <v>100</v>
      </c>
      <c r="K199" s="86">
        <v>300</v>
      </c>
      <c r="L199" s="83">
        <f t="shared" si="22"/>
        <v>1274</v>
      </c>
      <c r="M199" s="94">
        <v>600</v>
      </c>
      <c r="N199" s="83">
        <f>30</f>
        <v>30</v>
      </c>
      <c r="O199" s="86">
        <v>240</v>
      </c>
      <c r="P199" s="86">
        <v>160</v>
      </c>
      <c r="Q199" s="86">
        <f t="shared" si="23"/>
        <v>195</v>
      </c>
      <c r="R199" s="86">
        <f t="shared" si="24"/>
        <v>100</v>
      </c>
      <c r="S199" s="83">
        <f t="shared" si="25"/>
        <v>695</v>
      </c>
      <c r="T199" s="83">
        <f>0</f>
        <v>0</v>
      </c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</row>
    <row r="200" spans="1:30" ht="15.75" x14ac:dyDescent="0.25">
      <c r="A200" s="16">
        <v>46997</v>
      </c>
      <c r="B200" s="97">
        <v>30</v>
      </c>
      <c r="C200" s="83">
        <f>194.205</f>
        <v>194.20500000000001</v>
      </c>
      <c r="D200" s="83">
        <f>267.466</f>
        <v>267.46600000000001</v>
      </c>
      <c r="E200" s="92">
        <f>133.845</f>
        <v>133.845</v>
      </c>
      <c r="F200" s="83">
        <f>278.484-40-25-60-100</f>
        <v>53.48399999999998</v>
      </c>
      <c r="G200" s="86">
        <v>40</v>
      </c>
      <c r="H200" s="83">
        <f t="shared" si="30"/>
        <v>185</v>
      </c>
      <c r="I200" s="83">
        <f t="shared" si="28"/>
        <v>0</v>
      </c>
      <c r="J200" s="86">
        <v>100</v>
      </c>
      <c r="K200" s="86">
        <v>300</v>
      </c>
      <c r="L200" s="83">
        <f t="shared" si="22"/>
        <v>1274</v>
      </c>
      <c r="M200" s="94">
        <v>600</v>
      </c>
      <c r="N200" s="83">
        <f>30</f>
        <v>30</v>
      </c>
      <c r="O200" s="86">
        <v>240</v>
      </c>
      <c r="P200" s="86">
        <v>160</v>
      </c>
      <c r="Q200" s="86">
        <f t="shared" si="23"/>
        <v>195</v>
      </c>
      <c r="R200" s="86">
        <f t="shared" si="24"/>
        <v>100</v>
      </c>
      <c r="S200" s="83">
        <f t="shared" si="25"/>
        <v>695</v>
      </c>
      <c r="T200" s="83">
        <f>0</f>
        <v>0</v>
      </c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</row>
    <row r="201" spans="1:30" ht="15.75" x14ac:dyDescent="0.25">
      <c r="A201" s="16">
        <v>47027</v>
      </c>
      <c r="B201" s="97">
        <v>31</v>
      </c>
      <c r="C201" s="83">
        <f>131.881</f>
        <v>131.881</v>
      </c>
      <c r="D201" s="83">
        <f>277.167</f>
        <v>277.16699999999997</v>
      </c>
      <c r="E201" s="92">
        <f>79.08</f>
        <v>79.08</v>
      </c>
      <c r="F201" s="83">
        <f>350.872-40-25-60-100</f>
        <v>125.87200000000001</v>
      </c>
      <c r="G201" s="86">
        <v>40</v>
      </c>
      <c r="H201" s="83">
        <f t="shared" si="30"/>
        <v>185</v>
      </c>
      <c r="I201" s="83">
        <f t="shared" si="28"/>
        <v>0</v>
      </c>
      <c r="J201" s="86">
        <v>100</v>
      </c>
      <c r="K201" s="86">
        <v>300</v>
      </c>
      <c r="L201" s="83">
        <f t="shared" si="22"/>
        <v>1239</v>
      </c>
      <c r="M201" s="94">
        <v>600</v>
      </c>
      <c r="N201" s="83">
        <f>75</f>
        <v>75</v>
      </c>
      <c r="O201" s="86">
        <v>240</v>
      </c>
      <c r="P201" s="86">
        <v>160</v>
      </c>
      <c r="Q201" s="86">
        <f t="shared" si="23"/>
        <v>195</v>
      </c>
      <c r="R201" s="86">
        <f t="shared" si="24"/>
        <v>100</v>
      </c>
      <c r="S201" s="83">
        <f t="shared" si="25"/>
        <v>695</v>
      </c>
      <c r="T201" s="83">
        <f>0</f>
        <v>0</v>
      </c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</row>
    <row r="202" spans="1:30" ht="15.75" x14ac:dyDescent="0.25">
      <c r="A202" s="16">
        <v>47058</v>
      </c>
      <c r="B202" s="97">
        <v>30</v>
      </c>
      <c r="C202" s="83">
        <f>122.58</f>
        <v>122.58</v>
      </c>
      <c r="D202" s="83">
        <f>297.941</f>
        <v>297.94099999999997</v>
      </c>
      <c r="E202" s="92">
        <f>89.177</f>
        <v>89.177000000000007</v>
      </c>
      <c r="F202" s="83">
        <f>240.302-40-60-100</f>
        <v>40.301999999999992</v>
      </c>
      <c r="G202" s="86">
        <v>40</v>
      </c>
      <c r="H202" s="83">
        <f>60+100</f>
        <v>160</v>
      </c>
      <c r="I202" s="83">
        <f t="shared" si="28"/>
        <v>0</v>
      </c>
      <c r="J202" s="86">
        <v>100</v>
      </c>
      <c r="K202" s="86">
        <v>300</v>
      </c>
      <c r="L202" s="83">
        <f t="shared" si="22"/>
        <v>1150</v>
      </c>
      <c r="M202" s="94">
        <v>600</v>
      </c>
      <c r="N202" s="83">
        <f>100</f>
        <v>100</v>
      </c>
      <c r="O202" s="86">
        <v>240</v>
      </c>
      <c r="P202" s="86">
        <v>40</v>
      </c>
      <c r="Q202" s="86">
        <f t="shared" si="23"/>
        <v>315</v>
      </c>
      <c r="R202" s="86">
        <f t="shared" si="24"/>
        <v>100</v>
      </c>
      <c r="S202" s="83">
        <f t="shared" si="25"/>
        <v>695</v>
      </c>
      <c r="T202" s="83">
        <f>50</f>
        <v>50</v>
      </c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</row>
    <row r="203" spans="1:30" ht="15.75" x14ac:dyDescent="0.25">
      <c r="A203" s="16">
        <v>47088</v>
      </c>
      <c r="B203" s="97">
        <v>31</v>
      </c>
      <c r="C203" s="83">
        <f>122.58</f>
        <v>122.58</v>
      </c>
      <c r="D203" s="83">
        <f>297.941</f>
        <v>297.94099999999997</v>
      </c>
      <c r="E203" s="92">
        <f>89.177</f>
        <v>89.177000000000007</v>
      </c>
      <c r="F203" s="83">
        <f>240.302-40-60-100</f>
        <v>40.301999999999992</v>
      </c>
      <c r="G203" s="86">
        <v>40</v>
      </c>
      <c r="H203" s="83">
        <f>60+100</f>
        <v>160</v>
      </c>
      <c r="I203" s="83">
        <f t="shared" si="28"/>
        <v>0</v>
      </c>
      <c r="J203" s="86">
        <v>100</v>
      </c>
      <c r="K203" s="86">
        <v>300</v>
      </c>
      <c r="L203" s="83">
        <f t="shared" si="22"/>
        <v>1150</v>
      </c>
      <c r="M203" s="94">
        <v>600</v>
      </c>
      <c r="N203" s="83">
        <f>100</f>
        <v>100</v>
      </c>
      <c r="O203" s="86">
        <v>240</v>
      </c>
      <c r="P203" s="86">
        <v>40</v>
      </c>
      <c r="Q203" s="86">
        <f t="shared" si="23"/>
        <v>315</v>
      </c>
      <c r="R203" s="86">
        <f t="shared" si="24"/>
        <v>100</v>
      </c>
      <c r="S203" s="83">
        <f t="shared" si="25"/>
        <v>695</v>
      </c>
      <c r="T203" s="83">
        <f>50</f>
        <v>50</v>
      </c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</row>
    <row r="204" spans="1:30" ht="15.75" x14ac:dyDescent="0.25">
      <c r="A204" s="16">
        <v>47119</v>
      </c>
      <c r="B204" s="97">
        <v>31</v>
      </c>
      <c r="C204" s="83">
        <f>122.58</f>
        <v>122.58</v>
      </c>
      <c r="D204" s="83">
        <f>297.941</f>
        <v>297.94099999999997</v>
      </c>
      <c r="E204" s="92">
        <f>89.177</f>
        <v>89.177000000000007</v>
      </c>
      <c r="F204" s="83">
        <f>240.302-40-60-100</f>
        <v>40.301999999999992</v>
      </c>
      <c r="G204" s="86">
        <v>40</v>
      </c>
      <c r="H204" s="83">
        <f>60+100</f>
        <v>160</v>
      </c>
      <c r="I204" s="83">
        <f t="shared" si="28"/>
        <v>0</v>
      </c>
      <c r="J204" s="86">
        <v>100</v>
      </c>
      <c r="K204" s="86">
        <v>300</v>
      </c>
      <c r="L204" s="83">
        <f t="shared" si="22"/>
        <v>1150</v>
      </c>
      <c r="M204" s="94">
        <v>600</v>
      </c>
      <c r="N204" s="83">
        <f>100</f>
        <v>100</v>
      </c>
      <c r="O204" s="86">
        <v>240</v>
      </c>
      <c r="P204" s="86">
        <v>40</v>
      </c>
      <c r="Q204" s="86">
        <f t="shared" si="23"/>
        <v>315</v>
      </c>
      <c r="R204" s="86">
        <f t="shared" si="24"/>
        <v>100</v>
      </c>
      <c r="S204" s="83">
        <f t="shared" si="25"/>
        <v>695</v>
      </c>
      <c r="T204" s="83">
        <f>50</f>
        <v>50</v>
      </c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</row>
    <row r="205" spans="1:30" ht="15.75" x14ac:dyDescent="0.25">
      <c r="A205" s="16">
        <v>47150</v>
      </c>
      <c r="B205" s="97">
        <v>28</v>
      </c>
      <c r="C205" s="83">
        <f>122.58</f>
        <v>122.58</v>
      </c>
      <c r="D205" s="83">
        <f>297.941</f>
        <v>297.94099999999997</v>
      </c>
      <c r="E205" s="92">
        <f>89.177</f>
        <v>89.177000000000007</v>
      </c>
      <c r="F205" s="83">
        <f>240.302-40-60-100</f>
        <v>40.301999999999992</v>
      </c>
      <c r="G205" s="86">
        <v>40</v>
      </c>
      <c r="H205" s="83">
        <f>60+100</f>
        <v>160</v>
      </c>
      <c r="I205" s="83">
        <f t="shared" si="28"/>
        <v>0</v>
      </c>
      <c r="J205" s="86">
        <v>100</v>
      </c>
      <c r="K205" s="86">
        <v>300</v>
      </c>
      <c r="L205" s="83">
        <f t="shared" si="22"/>
        <v>1150</v>
      </c>
      <c r="M205" s="94">
        <v>600</v>
      </c>
      <c r="N205" s="83">
        <f>100</f>
        <v>100</v>
      </c>
      <c r="O205" s="86">
        <v>240</v>
      </c>
      <c r="P205" s="86">
        <v>40</v>
      </c>
      <c r="Q205" s="86">
        <f t="shared" si="23"/>
        <v>315</v>
      </c>
      <c r="R205" s="86">
        <f t="shared" si="24"/>
        <v>100</v>
      </c>
      <c r="S205" s="83">
        <f t="shared" si="25"/>
        <v>695</v>
      </c>
      <c r="T205" s="83">
        <f>50</f>
        <v>50</v>
      </c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</row>
    <row r="206" spans="1:30" ht="15.75" x14ac:dyDescent="0.25">
      <c r="A206" s="16">
        <v>47178</v>
      </c>
      <c r="B206" s="97">
        <v>31</v>
      </c>
      <c r="C206" s="83">
        <f>122.58</f>
        <v>122.58</v>
      </c>
      <c r="D206" s="83">
        <f>297.941</f>
        <v>297.94099999999997</v>
      </c>
      <c r="E206" s="92">
        <f>89.177</f>
        <v>89.177000000000007</v>
      </c>
      <c r="F206" s="83">
        <f>240.302-40-60-100</f>
        <v>40.301999999999992</v>
      </c>
      <c r="G206" s="86">
        <v>40</v>
      </c>
      <c r="H206" s="83">
        <f>60+100</f>
        <v>160</v>
      </c>
      <c r="I206" s="83">
        <f t="shared" si="28"/>
        <v>0</v>
      </c>
      <c r="J206" s="86">
        <v>100</v>
      </c>
      <c r="K206" s="86">
        <v>300</v>
      </c>
      <c r="L206" s="83">
        <f t="shared" si="22"/>
        <v>1150</v>
      </c>
      <c r="M206" s="94">
        <v>600</v>
      </c>
      <c r="N206" s="83">
        <f>100</f>
        <v>100</v>
      </c>
      <c r="O206" s="86">
        <v>240</v>
      </c>
      <c r="P206" s="86">
        <v>40</v>
      </c>
      <c r="Q206" s="86">
        <f t="shared" si="23"/>
        <v>315</v>
      </c>
      <c r="R206" s="86">
        <f t="shared" si="24"/>
        <v>100</v>
      </c>
      <c r="S206" s="83">
        <f t="shared" si="25"/>
        <v>695</v>
      </c>
      <c r="T206" s="83">
        <f>50</f>
        <v>50</v>
      </c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</row>
    <row r="207" spans="1:30" ht="15.75" x14ac:dyDescent="0.25">
      <c r="A207" s="16">
        <v>47209</v>
      </c>
      <c r="B207" s="97">
        <v>30</v>
      </c>
      <c r="C207" s="83">
        <f>141.293</f>
        <v>141.29300000000001</v>
      </c>
      <c r="D207" s="83">
        <f>267.993</f>
        <v>267.99299999999999</v>
      </c>
      <c r="E207" s="92">
        <f>115.016</f>
        <v>115.01600000000001</v>
      </c>
      <c r="F207" s="83">
        <f>314.698-40-25-60-100</f>
        <v>89.697999999999979</v>
      </c>
      <c r="G207" s="86">
        <v>40</v>
      </c>
      <c r="H207" s="83">
        <f t="shared" ref="H207:H213" si="31">25+60+100</f>
        <v>185</v>
      </c>
      <c r="I207" s="83">
        <f t="shared" si="28"/>
        <v>0</v>
      </c>
      <c r="J207" s="86">
        <v>100</v>
      </c>
      <c r="K207" s="86">
        <v>300</v>
      </c>
      <c r="L207" s="83">
        <f t="shared" si="22"/>
        <v>1239</v>
      </c>
      <c r="M207" s="94">
        <v>600</v>
      </c>
      <c r="N207" s="83">
        <f>100</f>
        <v>100</v>
      </c>
      <c r="O207" s="86">
        <v>240</v>
      </c>
      <c r="P207" s="86">
        <v>160</v>
      </c>
      <c r="Q207" s="86">
        <f t="shared" si="23"/>
        <v>195</v>
      </c>
      <c r="R207" s="86">
        <f t="shared" si="24"/>
        <v>100</v>
      </c>
      <c r="S207" s="83">
        <f t="shared" si="25"/>
        <v>695</v>
      </c>
      <c r="T207" s="83">
        <f>50</f>
        <v>50</v>
      </c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</row>
    <row r="208" spans="1:30" ht="15.75" x14ac:dyDescent="0.25">
      <c r="A208" s="16">
        <v>47239</v>
      </c>
      <c r="B208" s="97">
        <v>31</v>
      </c>
      <c r="C208" s="83">
        <f>194.205</f>
        <v>194.20500000000001</v>
      </c>
      <c r="D208" s="83">
        <f>267.466</f>
        <v>267.46600000000001</v>
      </c>
      <c r="E208" s="92">
        <f>133.845</f>
        <v>133.845</v>
      </c>
      <c r="F208" s="83">
        <f>278.484-40-25-60-100</f>
        <v>53.48399999999998</v>
      </c>
      <c r="G208" s="86">
        <v>40</v>
      </c>
      <c r="H208" s="83">
        <f t="shared" si="31"/>
        <v>185</v>
      </c>
      <c r="I208" s="83">
        <f t="shared" si="28"/>
        <v>0</v>
      </c>
      <c r="J208" s="86">
        <v>100</v>
      </c>
      <c r="K208" s="86">
        <v>300</v>
      </c>
      <c r="L208" s="83">
        <f t="shared" si="22"/>
        <v>1274</v>
      </c>
      <c r="M208" s="94">
        <v>600</v>
      </c>
      <c r="N208" s="83">
        <f>75</f>
        <v>75</v>
      </c>
      <c r="O208" s="86">
        <v>240</v>
      </c>
      <c r="P208" s="86">
        <v>160</v>
      </c>
      <c r="Q208" s="86">
        <f t="shared" si="23"/>
        <v>195</v>
      </c>
      <c r="R208" s="86">
        <f t="shared" si="24"/>
        <v>100</v>
      </c>
      <c r="S208" s="83">
        <f t="shared" si="25"/>
        <v>695</v>
      </c>
      <c r="T208" s="83">
        <f>50</f>
        <v>50</v>
      </c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</row>
    <row r="209" spans="1:30" ht="15.75" x14ac:dyDescent="0.25">
      <c r="A209" s="16">
        <v>47270</v>
      </c>
      <c r="B209" s="97">
        <v>30</v>
      </c>
      <c r="C209" s="83">
        <f>194.205</f>
        <v>194.20500000000001</v>
      </c>
      <c r="D209" s="83">
        <f>267.466</f>
        <v>267.46600000000001</v>
      </c>
      <c r="E209" s="92">
        <f>133.845</f>
        <v>133.845</v>
      </c>
      <c r="F209" s="83">
        <f>278.484-40-25-60-100</f>
        <v>53.48399999999998</v>
      </c>
      <c r="G209" s="86">
        <v>40</v>
      </c>
      <c r="H209" s="83">
        <f t="shared" si="31"/>
        <v>185</v>
      </c>
      <c r="I209" s="83">
        <f t="shared" si="28"/>
        <v>0</v>
      </c>
      <c r="J209" s="86">
        <v>100</v>
      </c>
      <c r="K209" s="86">
        <v>300</v>
      </c>
      <c r="L209" s="83">
        <f t="shared" si="22"/>
        <v>1274</v>
      </c>
      <c r="M209" s="94">
        <v>600</v>
      </c>
      <c r="N209" s="83">
        <f>30</f>
        <v>30</v>
      </c>
      <c r="O209" s="86">
        <v>240</v>
      </c>
      <c r="P209" s="86">
        <v>160</v>
      </c>
      <c r="Q209" s="86">
        <f t="shared" si="23"/>
        <v>195</v>
      </c>
      <c r="R209" s="86">
        <f t="shared" si="24"/>
        <v>100</v>
      </c>
      <c r="S209" s="83">
        <f t="shared" si="25"/>
        <v>695</v>
      </c>
      <c r="T209" s="83">
        <f>50</f>
        <v>50</v>
      </c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</row>
    <row r="210" spans="1:30" ht="15.75" x14ac:dyDescent="0.25">
      <c r="A210" s="16">
        <v>47300</v>
      </c>
      <c r="B210" s="97">
        <v>31</v>
      </c>
      <c r="C210" s="83">
        <f>194.205</f>
        <v>194.20500000000001</v>
      </c>
      <c r="D210" s="83">
        <f>267.466</f>
        <v>267.46600000000001</v>
      </c>
      <c r="E210" s="92">
        <f>133.845</f>
        <v>133.845</v>
      </c>
      <c r="F210" s="83">
        <f>278.484-40-25-60-100</f>
        <v>53.48399999999998</v>
      </c>
      <c r="G210" s="86">
        <v>40</v>
      </c>
      <c r="H210" s="83">
        <f t="shared" si="31"/>
        <v>185</v>
      </c>
      <c r="I210" s="83">
        <f t="shared" si="28"/>
        <v>0</v>
      </c>
      <c r="J210" s="86">
        <v>100</v>
      </c>
      <c r="K210" s="86">
        <v>300</v>
      </c>
      <c r="L210" s="83">
        <f t="shared" si="22"/>
        <v>1274</v>
      </c>
      <c r="M210" s="94">
        <v>600</v>
      </c>
      <c r="N210" s="83">
        <f>30</f>
        <v>30</v>
      </c>
      <c r="O210" s="86">
        <v>240</v>
      </c>
      <c r="P210" s="86">
        <v>160</v>
      </c>
      <c r="Q210" s="86">
        <f t="shared" si="23"/>
        <v>195</v>
      </c>
      <c r="R210" s="86">
        <f t="shared" si="24"/>
        <v>100</v>
      </c>
      <c r="S210" s="83">
        <f t="shared" si="25"/>
        <v>695</v>
      </c>
      <c r="T210" s="83">
        <f>0</f>
        <v>0</v>
      </c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</row>
    <row r="211" spans="1:30" ht="15.75" x14ac:dyDescent="0.25">
      <c r="A211" s="16">
        <v>47331</v>
      </c>
      <c r="B211" s="97">
        <v>31</v>
      </c>
      <c r="C211" s="83">
        <f>194.205</f>
        <v>194.20500000000001</v>
      </c>
      <c r="D211" s="83">
        <f>267.466</f>
        <v>267.46600000000001</v>
      </c>
      <c r="E211" s="92">
        <f>133.845</f>
        <v>133.845</v>
      </c>
      <c r="F211" s="83">
        <f>278.484-40-25-60-100</f>
        <v>53.48399999999998</v>
      </c>
      <c r="G211" s="86">
        <v>40</v>
      </c>
      <c r="H211" s="83">
        <f t="shared" si="31"/>
        <v>185</v>
      </c>
      <c r="I211" s="83">
        <f t="shared" si="28"/>
        <v>0</v>
      </c>
      <c r="J211" s="86">
        <v>100</v>
      </c>
      <c r="K211" s="86">
        <v>300</v>
      </c>
      <c r="L211" s="83">
        <f t="shared" si="22"/>
        <v>1274</v>
      </c>
      <c r="M211" s="94">
        <v>600</v>
      </c>
      <c r="N211" s="83">
        <f>30</f>
        <v>30</v>
      </c>
      <c r="O211" s="86">
        <v>240</v>
      </c>
      <c r="P211" s="86">
        <v>160</v>
      </c>
      <c r="Q211" s="86">
        <f t="shared" si="23"/>
        <v>195</v>
      </c>
      <c r="R211" s="86">
        <f t="shared" si="24"/>
        <v>100</v>
      </c>
      <c r="S211" s="83">
        <f t="shared" si="25"/>
        <v>695</v>
      </c>
      <c r="T211" s="83">
        <f>0</f>
        <v>0</v>
      </c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</row>
    <row r="212" spans="1:30" ht="15.75" x14ac:dyDescent="0.25">
      <c r="A212" s="16">
        <v>47362</v>
      </c>
      <c r="B212" s="97">
        <v>30</v>
      </c>
      <c r="C212" s="83">
        <f>194.205</f>
        <v>194.20500000000001</v>
      </c>
      <c r="D212" s="83">
        <f>267.466</f>
        <v>267.46600000000001</v>
      </c>
      <c r="E212" s="92">
        <f>133.845</f>
        <v>133.845</v>
      </c>
      <c r="F212" s="83">
        <f>278.484-40-25-60-100</f>
        <v>53.48399999999998</v>
      </c>
      <c r="G212" s="86">
        <v>40</v>
      </c>
      <c r="H212" s="83">
        <f t="shared" si="31"/>
        <v>185</v>
      </c>
      <c r="I212" s="83">
        <f t="shared" si="28"/>
        <v>0</v>
      </c>
      <c r="J212" s="86">
        <v>100</v>
      </c>
      <c r="K212" s="86">
        <v>300</v>
      </c>
      <c r="L212" s="83">
        <f t="shared" si="22"/>
        <v>1274</v>
      </c>
      <c r="M212" s="94">
        <v>600</v>
      </c>
      <c r="N212" s="83">
        <f>30</f>
        <v>30</v>
      </c>
      <c r="O212" s="86">
        <v>240</v>
      </c>
      <c r="P212" s="86">
        <v>160</v>
      </c>
      <c r="Q212" s="86">
        <f t="shared" si="23"/>
        <v>195</v>
      </c>
      <c r="R212" s="86">
        <f t="shared" si="24"/>
        <v>100</v>
      </c>
      <c r="S212" s="83">
        <f t="shared" si="25"/>
        <v>695</v>
      </c>
      <c r="T212" s="83">
        <f>0</f>
        <v>0</v>
      </c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</row>
    <row r="213" spans="1:30" ht="15.75" x14ac:dyDescent="0.25">
      <c r="A213" s="16">
        <v>47392</v>
      </c>
      <c r="B213" s="97">
        <v>31</v>
      </c>
      <c r="C213" s="83">
        <f>131.881</f>
        <v>131.881</v>
      </c>
      <c r="D213" s="83">
        <f>277.167</f>
        <v>277.16699999999997</v>
      </c>
      <c r="E213" s="92">
        <f>79.08</f>
        <v>79.08</v>
      </c>
      <c r="F213" s="83">
        <f>350.872-40-25-60-100</f>
        <v>125.87200000000001</v>
      </c>
      <c r="G213" s="86">
        <v>40</v>
      </c>
      <c r="H213" s="83">
        <f t="shared" si="31"/>
        <v>185</v>
      </c>
      <c r="I213" s="83">
        <f t="shared" si="28"/>
        <v>0</v>
      </c>
      <c r="J213" s="86">
        <v>100</v>
      </c>
      <c r="K213" s="86">
        <v>300</v>
      </c>
      <c r="L213" s="83">
        <f t="shared" si="22"/>
        <v>1239</v>
      </c>
      <c r="M213" s="94">
        <v>600</v>
      </c>
      <c r="N213" s="83">
        <f>75</f>
        <v>75</v>
      </c>
      <c r="O213" s="86">
        <v>240</v>
      </c>
      <c r="P213" s="86">
        <v>160</v>
      </c>
      <c r="Q213" s="86">
        <f t="shared" si="23"/>
        <v>195</v>
      </c>
      <c r="R213" s="86">
        <f t="shared" si="24"/>
        <v>100</v>
      </c>
      <c r="S213" s="83">
        <f t="shared" si="25"/>
        <v>695</v>
      </c>
      <c r="T213" s="83">
        <f>0</f>
        <v>0</v>
      </c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</row>
    <row r="214" spans="1:30" ht="15.75" x14ac:dyDescent="0.25">
      <c r="A214" s="16">
        <v>47423</v>
      </c>
      <c r="B214" s="97">
        <v>30</v>
      </c>
      <c r="C214" s="83">
        <f>122.58</f>
        <v>122.58</v>
      </c>
      <c r="D214" s="83">
        <f>297.941</f>
        <v>297.94099999999997</v>
      </c>
      <c r="E214" s="92">
        <f>89.177</f>
        <v>89.177000000000007</v>
      </c>
      <c r="F214" s="83">
        <f>240.302-40-60-100</f>
        <v>40.301999999999992</v>
      </c>
      <c r="G214" s="86">
        <v>40</v>
      </c>
      <c r="H214" s="83">
        <f>60+100</f>
        <v>160</v>
      </c>
      <c r="I214" s="83">
        <f t="shared" si="28"/>
        <v>0</v>
      </c>
      <c r="J214" s="86">
        <v>100</v>
      </c>
      <c r="K214" s="86">
        <v>300</v>
      </c>
      <c r="L214" s="83">
        <f t="shared" si="22"/>
        <v>1150</v>
      </c>
      <c r="M214" s="94">
        <v>600</v>
      </c>
      <c r="N214" s="83">
        <f>100</f>
        <v>100</v>
      </c>
      <c r="O214" s="86">
        <v>240</v>
      </c>
      <c r="P214" s="86">
        <v>40</v>
      </c>
      <c r="Q214" s="86">
        <f t="shared" si="23"/>
        <v>315</v>
      </c>
      <c r="R214" s="86">
        <f t="shared" si="24"/>
        <v>100</v>
      </c>
      <c r="S214" s="83">
        <f t="shared" si="25"/>
        <v>695</v>
      </c>
      <c r="T214" s="83">
        <f>50</f>
        <v>50</v>
      </c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</row>
    <row r="215" spans="1:30" ht="15.75" x14ac:dyDescent="0.25">
      <c r="A215" s="16">
        <v>47453</v>
      </c>
      <c r="B215" s="97">
        <v>31</v>
      </c>
      <c r="C215" s="83">
        <f>122.58</f>
        <v>122.58</v>
      </c>
      <c r="D215" s="83">
        <f>297.941</f>
        <v>297.94099999999997</v>
      </c>
      <c r="E215" s="92">
        <f>89.177</f>
        <v>89.177000000000007</v>
      </c>
      <c r="F215" s="83">
        <f>240.302-40-60-100</f>
        <v>40.301999999999992</v>
      </c>
      <c r="G215" s="86">
        <v>40</v>
      </c>
      <c r="H215" s="83">
        <f>60+100</f>
        <v>160</v>
      </c>
      <c r="I215" s="83">
        <f t="shared" si="28"/>
        <v>0</v>
      </c>
      <c r="J215" s="86">
        <v>100</v>
      </c>
      <c r="K215" s="86">
        <v>300</v>
      </c>
      <c r="L215" s="83">
        <f t="shared" ref="L215:L278" si="32">SUM(C215:K215)</f>
        <v>1150</v>
      </c>
      <c r="M215" s="94">
        <v>600</v>
      </c>
      <c r="N215" s="83">
        <f>100</f>
        <v>100</v>
      </c>
      <c r="O215" s="86">
        <v>240</v>
      </c>
      <c r="P215" s="86">
        <v>40</v>
      </c>
      <c r="Q215" s="86">
        <f t="shared" ref="Q215:Q278" si="33">695-R215-O215-P215</f>
        <v>315</v>
      </c>
      <c r="R215" s="86">
        <f t="shared" ref="R215:R278" si="34">200-J215</f>
        <v>100</v>
      </c>
      <c r="S215" s="83">
        <f t="shared" ref="S215:S278" si="35">SUM(O215:R215)</f>
        <v>695</v>
      </c>
      <c r="T215" s="83">
        <f>50</f>
        <v>50</v>
      </c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</row>
    <row r="216" spans="1:30" ht="15.75" x14ac:dyDescent="0.25">
      <c r="A216" s="16">
        <v>47484</v>
      </c>
      <c r="B216" s="97">
        <v>31</v>
      </c>
      <c r="C216" s="83">
        <f>122.58</f>
        <v>122.58</v>
      </c>
      <c r="D216" s="83">
        <f>297.941</f>
        <v>297.94099999999997</v>
      </c>
      <c r="E216" s="92">
        <f>89.177</f>
        <v>89.177000000000007</v>
      </c>
      <c r="F216" s="83">
        <f>240.302-40-60-100</f>
        <v>40.301999999999992</v>
      </c>
      <c r="G216" s="86">
        <v>40</v>
      </c>
      <c r="H216" s="83">
        <f>60+100</f>
        <v>160</v>
      </c>
      <c r="I216" s="83">
        <f t="shared" si="28"/>
        <v>0</v>
      </c>
      <c r="J216" s="86">
        <v>100</v>
      </c>
      <c r="K216" s="86">
        <v>300</v>
      </c>
      <c r="L216" s="83">
        <f t="shared" si="32"/>
        <v>1150</v>
      </c>
      <c r="M216" s="94">
        <v>600</v>
      </c>
      <c r="N216" s="83">
        <f>100</f>
        <v>100</v>
      </c>
      <c r="O216" s="86">
        <v>240</v>
      </c>
      <c r="P216" s="86">
        <v>40</v>
      </c>
      <c r="Q216" s="86">
        <f t="shared" si="33"/>
        <v>315</v>
      </c>
      <c r="R216" s="86">
        <f t="shared" si="34"/>
        <v>100</v>
      </c>
      <c r="S216" s="83">
        <f t="shared" si="35"/>
        <v>695</v>
      </c>
      <c r="T216" s="83">
        <f>50</f>
        <v>50</v>
      </c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</row>
    <row r="217" spans="1:30" ht="15.75" x14ac:dyDescent="0.25">
      <c r="A217" s="16">
        <v>47515</v>
      </c>
      <c r="B217" s="97">
        <v>28</v>
      </c>
      <c r="C217" s="83">
        <f>122.58</f>
        <v>122.58</v>
      </c>
      <c r="D217" s="83">
        <f>297.941</f>
        <v>297.94099999999997</v>
      </c>
      <c r="E217" s="92">
        <f>89.177</f>
        <v>89.177000000000007</v>
      </c>
      <c r="F217" s="83">
        <f>240.302-40-60-100</f>
        <v>40.301999999999992</v>
      </c>
      <c r="G217" s="86">
        <v>40</v>
      </c>
      <c r="H217" s="83">
        <f>60+100</f>
        <v>160</v>
      </c>
      <c r="I217" s="83">
        <f t="shared" si="28"/>
        <v>0</v>
      </c>
      <c r="J217" s="86">
        <v>100</v>
      </c>
      <c r="K217" s="86">
        <v>300</v>
      </c>
      <c r="L217" s="83">
        <f t="shared" si="32"/>
        <v>1150</v>
      </c>
      <c r="M217" s="94">
        <v>600</v>
      </c>
      <c r="N217" s="83">
        <f>100</f>
        <v>100</v>
      </c>
      <c r="O217" s="86">
        <v>240</v>
      </c>
      <c r="P217" s="86">
        <v>40</v>
      </c>
      <c r="Q217" s="86">
        <f t="shared" si="33"/>
        <v>315</v>
      </c>
      <c r="R217" s="86">
        <f t="shared" si="34"/>
        <v>100</v>
      </c>
      <c r="S217" s="83">
        <f t="shared" si="35"/>
        <v>695</v>
      </c>
      <c r="T217" s="83">
        <f>50</f>
        <v>50</v>
      </c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</row>
    <row r="218" spans="1:30" ht="15.75" x14ac:dyDescent="0.25">
      <c r="A218" s="16">
        <v>47543</v>
      </c>
      <c r="B218" s="97">
        <v>31</v>
      </c>
      <c r="C218" s="83">
        <f>122.58</f>
        <v>122.58</v>
      </c>
      <c r="D218" s="83">
        <f>297.941</f>
        <v>297.94099999999997</v>
      </c>
      <c r="E218" s="92">
        <f>89.177</f>
        <v>89.177000000000007</v>
      </c>
      <c r="F218" s="83">
        <f>240.302-40-60-100</f>
        <v>40.301999999999992</v>
      </c>
      <c r="G218" s="86">
        <v>40</v>
      </c>
      <c r="H218" s="83">
        <f>60+100</f>
        <v>160</v>
      </c>
      <c r="I218" s="83">
        <f t="shared" si="28"/>
        <v>0</v>
      </c>
      <c r="J218" s="86">
        <v>100</v>
      </c>
      <c r="K218" s="86">
        <v>300</v>
      </c>
      <c r="L218" s="83">
        <f t="shared" si="32"/>
        <v>1150</v>
      </c>
      <c r="M218" s="94">
        <v>600</v>
      </c>
      <c r="N218" s="83">
        <f>100</f>
        <v>100</v>
      </c>
      <c r="O218" s="86">
        <v>240</v>
      </c>
      <c r="P218" s="86">
        <v>40</v>
      </c>
      <c r="Q218" s="86">
        <f t="shared" si="33"/>
        <v>315</v>
      </c>
      <c r="R218" s="86">
        <f t="shared" si="34"/>
        <v>100</v>
      </c>
      <c r="S218" s="83">
        <f t="shared" si="35"/>
        <v>695</v>
      </c>
      <c r="T218" s="83">
        <f>50</f>
        <v>50</v>
      </c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</row>
    <row r="219" spans="1:30" ht="15.75" x14ac:dyDescent="0.25">
      <c r="A219" s="16">
        <v>47574</v>
      </c>
      <c r="B219" s="97">
        <v>30</v>
      </c>
      <c r="C219" s="83">
        <f>141.293</f>
        <v>141.29300000000001</v>
      </c>
      <c r="D219" s="83">
        <f>267.993</f>
        <v>267.99299999999999</v>
      </c>
      <c r="E219" s="92">
        <f>115.016</f>
        <v>115.01600000000001</v>
      </c>
      <c r="F219" s="83">
        <f>314.698-40-25-60-100</f>
        <v>89.697999999999979</v>
      </c>
      <c r="G219" s="86">
        <v>40</v>
      </c>
      <c r="H219" s="83">
        <f t="shared" ref="H219:H225" si="36">25+60+100</f>
        <v>185</v>
      </c>
      <c r="I219" s="83">
        <f t="shared" si="28"/>
        <v>0</v>
      </c>
      <c r="J219" s="86">
        <v>100</v>
      </c>
      <c r="K219" s="86">
        <v>300</v>
      </c>
      <c r="L219" s="83">
        <f t="shared" si="32"/>
        <v>1239</v>
      </c>
      <c r="M219" s="94">
        <v>600</v>
      </c>
      <c r="N219" s="83">
        <f>100</f>
        <v>100</v>
      </c>
      <c r="O219" s="86">
        <v>240</v>
      </c>
      <c r="P219" s="86">
        <v>160</v>
      </c>
      <c r="Q219" s="86">
        <f t="shared" si="33"/>
        <v>195</v>
      </c>
      <c r="R219" s="86">
        <f t="shared" si="34"/>
        <v>100</v>
      </c>
      <c r="S219" s="83">
        <f t="shared" si="35"/>
        <v>695</v>
      </c>
      <c r="T219" s="83">
        <f>50</f>
        <v>50</v>
      </c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</row>
    <row r="220" spans="1:30" ht="15.75" x14ac:dyDescent="0.25">
      <c r="A220" s="16">
        <v>47604</v>
      </c>
      <c r="B220" s="97">
        <v>31</v>
      </c>
      <c r="C220" s="83">
        <f>194.205</f>
        <v>194.20500000000001</v>
      </c>
      <c r="D220" s="83">
        <f>267.466</f>
        <v>267.46600000000001</v>
      </c>
      <c r="E220" s="92">
        <f>133.845</f>
        <v>133.845</v>
      </c>
      <c r="F220" s="83">
        <f>278.484-40-25-60-100</f>
        <v>53.48399999999998</v>
      </c>
      <c r="G220" s="86">
        <v>40</v>
      </c>
      <c r="H220" s="83">
        <f t="shared" si="36"/>
        <v>185</v>
      </c>
      <c r="I220" s="83">
        <f t="shared" si="28"/>
        <v>0</v>
      </c>
      <c r="J220" s="86">
        <v>100</v>
      </c>
      <c r="K220" s="86">
        <v>300</v>
      </c>
      <c r="L220" s="83">
        <f t="shared" si="32"/>
        <v>1274</v>
      </c>
      <c r="M220" s="94">
        <v>600</v>
      </c>
      <c r="N220" s="83">
        <f>75</f>
        <v>75</v>
      </c>
      <c r="O220" s="86">
        <v>240</v>
      </c>
      <c r="P220" s="86">
        <v>160</v>
      </c>
      <c r="Q220" s="86">
        <f t="shared" si="33"/>
        <v>195</v>
      </c>
      <c r="R220" s="86">
        <f t="shared" si="34"/>
        <v>100</v>
      </c>
      <c r="S220" s="83">
        <f t="shared" si="35"/>
        <v>695</v>
      </c>
      <c r="T220" s="83">
        <f>50</f>
        <v>50</v>
      </c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</row>
    <row r="221" spans="1:30" ht="15.75" x14ac:dyDescent="0.25">
      <c r="A221" s="16">
        <v>47635</v>
      </c>
      <c r="B221" s="97">
        <v>30</v>
      </c>
      <c r="C221" s="83">
        <f>194.205</f>
        <v>194.20500000000001</v>
      </c>
      <c r="D221" s="83">
        <f>267.466</f>
        <v>267.46600000000001</v>
      </c>
      <c r="E221" s="92">
        <f>133.845</f>
        <v>133.845</v>
      </c>
      <c r="F221" s="83">
        <f>278.484-40-25-60-100</f>
        <v>53.48399999999998</v>
      </c>
      <c r="G221" s="86">
        <v>40</v>
      </c>
      <c r="H221" s="83">
        <f t="shared" si="36"/>
        <v>185</v>
      </c>
      <c r="I221" s="83">
        <f t="shared" si="28"/>
        <v>0</v>
      </c>
      <c r="J221" s="86">
        <v>100</v>
      </c>
      <c r="K221" s="86">
        <v>300</v>
      </c>
      <c r="L221" s="83">
        <f t="shared" si="32"/>
        <v>1274</v>
      </c>
      <c r="M221" s="94">
        <v>600</v>
      </c>
      <c r="N221" s="83">
        <f>30</f>
        <v>30</v>
      </c>
      <c r="O221" s="86">
        <v>240</v>
      </c>
      <c r="P221" s="86">
        <v>160</v>
      </c>
      <c r="Q221" s="86">
        <f t="shared" si="33"/>
        <v>195</v>
      </c>
      <c r="R221" s="86">
        <f t="shared" si="34"/>
        <v>100</v>
      </c>
      <c r="S221" s="83">
        <f t="shared" si="35"/>
        <v>695</v>
      </c>
      <c r="T221" s="83">
        <f>50</f>
        <v>50</v>
      </c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</row>
    <row r="222" spans="1:30" ht="15.75" x14ac:dyDescent="0.25">
      <c r="A222" s="16">
        <v>47665</v>
      </c>
      <c r="B222" s="97">
        <v>31</v>
      </c>
      <c r="C222" s="83">
        <f>194.205</f>
        <v>194.20500000000001</v>
      </c>
      <c r="D222" s="83">
        <f>267.466</f>
        <v>267.46600000000001</v>
      </c>
      <c r="E222" s="92">
        <f>133.845</f>
        <v>133.845</v>
      </c>
      <c r="F222" s="83">
        <f>278.484-40-25-60-100</f>
        <v>53.48399999999998</v>
      </c>
      <c r="G222" s="86">
        <v>40</v>
      </c>
      <c r="H222" s="83">
        <f t="shared" si="36"/>
        <v>185</v>
      </c>
      <c r="I222" s="83">
        <f t="shared" si="28"/>
        <v>0</v>
      </c>
      <c r="J222" s="86">
        <v>100</v>
      </c>
      <c r="K222" s="86">
        <v>300</v>
      </c>
      <c r="L222" s="83">
        <f t="shared" si="32"/>
        <v>1274</v>
      </c>
      <c r="M222" s="94">
        <v>600</v>
      </c>
      <c r="N222" s="83">
        <f>30</f>
        <v>30</v>
      </c>
      <c r="O222" s="86">
        <v>240</v>
      </c>
      <c r="P222" s="86">
        <v>160</v>
      </c>
      <c r="Q222" s="86">
        <f t="shared" si="33"/>
        <v>195</v>
      </c>
      <c r="R222" s="86">
        <f t="shared" si="34"/>
        <v>100</v>
      </c>
      <c r="S222" s="83">
        <f t="shared" si="35"/>
        <v>695</v>
      </c>
      <c r="T222" s="83">
        <f>0</f>
        <v>0</v>
      </c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</row>
    <row r="223" spans="1:30" ht="15.75" x14ac:dyDescent="0.25">
      <c r="A223" s="16">
        <v>47696</v>
      </c>
      <c r="B223" s="97">
        <v>31</v>
      </c>
      <c r="C223" s="83">
        <f>194.205</f>
        <v>194.20500000000001</v>
      </c>
      <c r="D223" s="83">
        <f>267.466</f>
        <v>267.46600000000001</v>
      </c>
      <c r="E223" s="92">
        <f>133.845</f>
        <v>133.845</v>
      </c>
      <c r="F223" s="83">
        <f>278.484-40-25-60-100</f>
        <v>53.48399999999998</v>
      </c>
      <c r="G223" s="86">
        <v>40</v>
      </c>
      <c r="H223" s="83">
        <f t="shared" si="36"/>
        <v>185</v>
      </c>
      <c r="I223" s="83">
        <f t="shared" si="28"/>
        <v>0</v>
      </c>
      <c r="J223" s="86">
        <v>100</v>
      </c>
      <c r="K223" s="86">
        <v>300</v>
      </c>
      <c r="L223" s="83">
        <f t="shared" si="32"/>
        <v>1274</v>
      </c>
      <c r="M223" s="94">
        <v>600</v>
      </c>
      <c r="N223" s="83">
        <f>30</f>
        <v>30</v>
      </c>
      <c r="O223" s="86">
        <v>240</v>
      </c>
      <c r="P223" s="86">
        <v>160</v>
      </c>
      <c r="Q223" s="86">
        <f t="shared" si="33"/>
        <v>195</v>
      </c>
      <c r="R223" s="86">
        <f t="shared" si="34"/>
        <v>100</v>
      </c>
      <c r="S223" s="83">
        <f t="shared" si="35"/>
        <v>695</v>
      </c>
      <c r="T223" s="83">
        <f>0</f>
        <v>0</v>
      </c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</row>
    <row r="224" spans="1:30" ht="15.75" x14ac:dyDescent="0.25">
      <c r="A224" s="16">
        <v>47727</v>
      </c>
      <c r="B224" s="97">
        <v>30</v>
      </c>
      <c r="C224" s="83">
        <f>194.205</f>
        <v>194.20500000000001</v>
      </c>
      <c r="D224" s="83">
        <f>267.466</f>
        <v>267.46600000000001</v>
      </c>
      <c r="E224" s="92">
        <f>133.845</f>
        <v>133.845</v>
      </c>
      <c r="F224" s="83">
        <f>278.484-40-25-60-100</f>
        <v>53.48399999999998</v>
      </c>
      <c r="G224" s="86">
        <v>40</v>
      </c>
      <c r="H224" s="83">
        <f t="shared" si="36"/>
        <v>185</v>
      </c>
      <c r="I224" s="83">
        <f t="shared" si="28"/>
        <v>0</v>
      </c>
      <c r="J224" s="86">
        <v>100</v>
      </c>
      <c r="K224" s="86">
        <v>300</v>
      </c>
      <c r="L224" s="83">
        <f t="shared" si="32"/>
        <v>1274</v>
      </c>
      <c r="M224" s="94">
        <v>600</v>
      </c>
      <c r="N224" s="83">
        <f>30</f>
        <v>30</v>
      </c>
      <c r="O224" s="86">
        <v>240</v>
      </c>
      <c r="P224" s="86">
        <v>160</v>
      </c>
      <c r="Q224" s="86">
        <f t="shared" si="33"/>
        <v>195</v>
      </c>
      <c r="R224" s="86">
        <f t="shared" si="34"/>
        <v>100</v>
      </c>
      <c r="S224" s="83">
        <f t="shared" si="35"/>
        <v>695</v>
      </c>
      <c r="T224" s="83">
        <f>0</f>
        <v>0</v>
      </c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</row>
    <row r="225" spans="1:30" ht="15.75" x14ac:dyDescent="0.25">
      <c r="A225" s="16">
        <v>47757</v>
      </c>
      <c r="B225" s="97">
        <v>31</v>
      </c>
      <c r="C225" s="83">
        <f>131.881</f>
        <v>131.881</v>
      </c>
      <c r="D225" s="83">
        <f>277.167</f>
        <v>277.16699999999997</v>
      </c>
      <c r="E225" s="92">
        <f>79.08</f>
        <v>79.08</v>
      </c>
      <c r="F225" s="83">
        <f>350.872-40-25-60-100</f>
        <v>125.87200000000001</v>
      </c>
      <c r="G225" s="86">
        <v>40</v>
      </c>
      <c r="H225" s="83">
        <f t="shared" si="36"/>
        <v>185</v>
      </c>
      <c r="I225" s="83">
        <f t="shared" si="28"/>
        <v>0</v>
      </c>
      <c r="J225" s="86">
        <v>100</v>
      </c>
      <c r="K225" s="86">
        <v>300</v>
      </c>
      <c r="L225" s="83">
        <f t="shared" si="32"/>
        <v>1239</v>
      </c>
      <c r="M225" s="94">
        <v>600</v>
      </c>
      <c r="N225" s="83">
        <f>75</f>
        <v>75</v>
      </c>
      <c r="O225" s="86">
        <v>240</v>
      </c>
      <c r="P225" s="86">
        <v>160</v>
      </c>
      <c r="Q225" s="86">
        <f t="shared" si="33"/>
        <v>195</v>
      </c>
      <c r="R225" s="86">
        <f t="shared" si="34"/>
        <v>100</v>
      </c>
      <c r="S225" s="83">
        <f t="shared" si="35"/>
        <v>695</v>
      </c>
      <c r="T225" s="83">
        <f>0</f>
        <v>0</v>
      </c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</row>
    <row r="226" spans="1:30" ht="15.75" x14ac:dyDescent="0.25">
      <c r="A226" s="16">
        <v>47788</v>
      </c>
      <c r="B226" s="97">
        <v>30</v>
      </c>
      <c r="C226" s="83">
        <f>122.58</f>
        <v>122.58</v>
      </c>
      <c r="D226" s="83">
        <f>297.941</f>
        <v>297.94099999999997</v>
      </c>
      <c r="E226" s="92">
        <f>89.177</f>
        <v>89.177000000000007</v>
      </c>
      <c r="F226" s="83">
        <f>240.302-40-60-100</f>
        <v>40.301999999999992</v>
      </c>
      <c r="G226" s="86">
        <v>40</v>
      </c>
      <c r="H226" s="83">
        <f>60+100</f>
        <v>160</v>
      </c>
      <c r="I226" s="83">
        <f t="shared" si="28"/>
        <v>0</v>
      </c>
      <c r="J226" s="86">
        <v>100</v>
      </c>
      <c r="K226" s="86">
        <v>300</v>
      </c>
      <c r="L226" s="83">
        <f t="shared" si="32"/>
        <v>1150</v>
      </c>
      <c r="M226" s="94">
        <v>600</v>
      </c>
      <c r="N226" s="83">
        <f>100</f>
        <v>100</v>
      </c>
      <c r="O226" s="86">
        <v>240</v>
      </c>
      <c r="P226" s="86">
        <v>40</v>
      </c>
      <c r="Q226" s="86">
        <f t="shared" si="33"/>
        <v>315</v>
      </c>
      <c r="R226" s="86">
        <f t="shared" si="34"/>
        <v>100</v>
      </c>
      <c r="S226" s="83">
        <f t="shared" si="35"/>
        <v>695</v>
      </c>
      <c r="T226" s="83">
        <f>50</f>
        <v>50</v>
      </c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</row>
    <row r="227" spans="1:30" ht="15.75" x14ac:dyDescent="0.25">
      <c r="A227" s="16">
        <v>47818</v>
      </c>
      <c r="B227" s="97">
        <v>31</v>
      </c>
      <c r="C227" s="83">
        <f>122.58</f>
        <v>122.58</v>
      </c>
      <c r="D227" s="83">
        <f>297.941</f>
        <v>297.94099999999997</v>
      </c>
      <c r="E227" s="92">
        <f>89.177</f>
        <v>89.177000000000007</v>
      </c>
      <c r="F227" s="83">
        <f>240.302-40-60-100</f>
        <v>40.301999999999992</v>
      </c>
      <c r="G227" s="86">
        <v>40</v>
      </c>
      <c r="H227" s="83">
        <f>60+100</f>
        <v>160</v>
      </c>
      <c r="I227" s="83">
        <f t="shared" si="28"/>
        <v>0</v>
      </c>
      <c r="J227" s="86">
        <v>100</v>
      </c>
      <c r="K227" s="86">
        <v>300</v>
      </c>
      <c r="L227" s="83">
        <f t="shared" si="32"/>
        <v>1150</v>
      </c>
      <c r="M227" s="94">
        <v>600</v>
      </c>
      <c r="N227" s="83">
        <f>100</f>
        <v>100</v>
      </c>
      <c r="O227" s="86">
        <v>240</v>
      </c>
      <c r="P227" s="86">
        <v>40</v>
      </c>
      <c r="Q227" s="86">
        <f t="shared" si="33"/>
        <v>315</v>
      </c>
      <c r="R227" s="86">
        <f t="shared" si="34"/>
        <v>100</v>
      </c>
      <c r="S227" s="83">
        <f t="shared" si="35"/>
        <v>695</v>
      </c>
      <c r="T227" s="83">
        <f>50</f>
        <v>50</v>
      </c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</row>
    <row r="228" spans="1:30" ht="15.75" x14ac:dyDescent="0.25">
      <c r="A228" s="16">
        <v>47849</v>
      </c>
      <c r="B228" s="97">
        <v>31</v>
      </c>
      <c r="C228" s="83">
        <f>122.58</f>
        <v>122.58</v>
      </c>
      <c r="D228" s="83">
        <f>297.941</f>
        <v>297.94099999999997</v>
      </c>
      <c r="E228" s="92">
        <f>89.177</f>
        <v>89.177000000000007</v>
      </c>
      <c r="F228" s="83">
        <f>240.302-40-60-100</f>
        <v>40.301999999999992</v>
      </c>
      <c r="G228" s="86">
        <v>40</v>
      </c>
      <c r="H228" s="83">
        <f>60+100</f>
        <v>160</v>
      </c>
      <c r="I228" s="83">
        <f t="shared" si="28"/>
        <v>0</v>
      </c>
      <c r="J228" s="86">
        <v>100</v>
      </c>
      <c r="K228" s="86">
        <v>300</v>
      </c>
      <c r="L228" s="83">
        <f t="shared" si="32"/>
        <v>1150</v>
      </c>
      <c r="M228" s="94">
        <v>600</v>
      </c>
      <c r="N228" s="83">
        <f>100</f>
        <v>100</v>
      </c>
      <c r="O228" s="86">
        <v>240</v>
      </c>
      <c r="P228" s="86">
        <v>40</v>
      </c>
      <c r="Q228" s="86">
        <f t="shared" si="33"/>
        <v>315</v>
      </c>
      <c r="R228" s="86">
        <f t="shared" si="34"/>
        <v>100</v>
      </c>
      <c r="S228" s="83">
        <f t="shared" si="35"/>
        <v>695</v>
      </c>
      <c r="T228" s="83">
        <f>50</f>
        <v>50</v>
      </c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</row>
    <row r="229" spans="1:30" ht="15.75" x14ac:dyDescent="0.25">
      <c r="A229" s="16">
        <v>47880</v>
      </c>
      <c r="B229" s="97">
        <v>28</v>
      </c>
      <c r="C229" s="83">
        <f>122.58</f>
        <v>122.58</v>
      </c>
      <c r="D229" s="83">
        <f>297.941</f>
        <v>297.94099999999997</v>
      </c>
      <c r="E229" s="92">
        <f>89.177</f>
        <v>89.177000000000007</v>
      </c>
      <c r="F229" s="83">
        <f>240.302-40-60-100</f>
        <v>40.301999999999992</v>
      </c>
      <c r="G229" s="86">
        <v>40</v>
      </c>
      <c r="H229" s="83">
        <f>60+100</f>
        <v>160</v>
      </c>
      <c r="I229" s="83">
        <f t="shared" si="28"/>
        <v>0</v>
      </c>
      <c r="J229" s="86">
        <v>100</v>
      </c>
      <c r="K229" s="86">
        <v>300</v>
      </c>
      <c r="L229" s="83">
        <f t="shared" si="32"/>
        <v>1150</v>
      </c>
      <c r="M229" s="94">
        <v>600</v>
      </c>
      <c r="N229" s="83">
        <f>100</f>
        <v>100</v>
      </c>
      <c r="O229" s="86">
        <v>240</v>
      </c>
      <c r="P229" s="86">
        <v>40</v>
      </c>
      <c r="Q229" s="86">
        <f t="shared" si="33"/>
        <v>315</v>
      </c>
      <c r="R229" s="86">
        <f t="shared" si="34"/>
        <v>100</v>
      </c>
      <c r="S229" s="83">
        <f t="shared" si="35"/>
        <v>695</v>
      </c>
      <c r="T229" s="83">
        <f>50</f>
        <v>50</v>
      </c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</row>
    <row r="230" spans="1:30" ht="15.75" x14ac:dyDescent="0.25">
      <c r="A230" s="16">
        <v>47908</v>
      </c>
      <c r="B230" s="97">
        <v>31</v>
      </c>
      <c r="C230" s="83">
        <f>122.58</f>
        <v>122.58</v>
      </c>
      <c r="D230" s="83">
        <f>297.941</f>
        <v>297.94099999999997</v>
      </c>
      <c r="E230" s="92">
        <f>89.177</f>
        <v>89.177000000000007</v>
      </c>
      <c r="F230" s="83">
        <f>240.302-40-60-100</f>
        <v>40.301999999999992</v>
      </c>
      <c r="G230" s="86">
        <v>40</v>
      </c>
      <c r="H230" s="83">
        <f>60+100</f>
        <v>160</v>
      </c>
      <c r="I230" s="83">
        <f t="shared" si="28"/>
        <v>0</v>
      </c>
      <c r="J230" s="86">
        <v>100</v>
      </c>
      <c r="K230" s="86">
        <v>300</v>
      </c>
      <c r="L230" s="83">
        <f t="shared" si="32"/>
        <v>1150</v>
      </c>
      <c r="M230" s="94">
        <v>600</v>
      </c>
      <c r="N230" s="83">
        <f>100</f>
        <v>100</v>
      </c>
      <c r="O230" s="86">
        <v>240</v>
      </c>
      <c r="P230" s="86">
        <v>40</v>
      </c>
      <c r="Q230" s="86">
        <f t="shared" si="33"/>
        <v>315</v>
      </c>
      <c r="R230" s="86">
        <f t="shared" si="34"/>
        <v>100</v>
      </c>
      <c r="S230" s="83">
        <f t="shared" si="35"/>
        <v>695</v>
      </c>
      <c r="T230" s="83">
        <f>50</f>
        <v>50</v>
      </c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</row>
    <row r="231" spans="1:30" ht="15.75" x14ac:dyDescent="0.25">
      <c r="A231" s="16">
        <v>47939</v>
      </c>
      <c r="B231" s="97">
        <v>30</v>
      </c>
      <c r="C231" s="83">
        <f>141.293</f>
        <v>141.29300000000001</v>
      </c>
      <c r="D231" s="83">
        <f>267.993</f>
        <v>267.99299999999999</v>
      </c>
      <c r="E231" s="92">
        <f>115.016</f>
        <v>115.01600000000001</v>
      </c>
      <c r="F231" s="83">
        <f>314.698-40-25-60-100</f>
        <v>89.697999999999979</v>
      </c>
      <c r="G231" s="86">
        <v>40</v>
      </c>
      <c r="H231" s="83">
        <f t="shared" ref="H231:H237" si="37">25+60+100</f>
        <v>185</v>
      </c>
      <c r="I231" s="83">
        <f t="shared" si="28"/>
        <v>0</v>
      </c>
      <c r="J231" s="86">
        <v>100</v>
      </c>
      <c r="K231" s="86">
        <v>300</v>
      </c>
      <c r="L231" s="83">
        <f t="shared" si="32"/>
        <v>1239</v>
      </c>
      <c r="M231" s="94">
        <v>600</v>
      </c>
      <c r="N231" s="83">
        <f>100</f>
        <v>100</v>
      </c>
      <c r="O231" s="86">
        <v>240</v>
      </c>
      <c r="P231" s="86">
        <v>160</v>
      </c>
      <c r="Q231" s="86">
        <f t="shared" si="33"/>
        <v>195</v>
      </c>
      <c r="R231" s="86">
        <f t="shared" si="34"/>
        <v>100</v>
      </c>
      <c r="S231" s="83">
        <f t="shared" si="35"/>
        <v>695</v>
      </c>
      <c r="T231" s="83">
        <f>50</f>
        <v>50</v>
      </c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</row>
    <row r="232" spans="1:30" ht="15.75" x14ac:dyDescent="0.25">
      <c r="A232" s="16">
        <v>47969</v>
      </c>
      <c r="B232" s="97">
        <v>31</v>
      </c>
      <c r="C232" s="83">
        <f>194.205</f>
        <v>194.20500000000001</v>
      </c>
      <c r="D232" s="83">
        <f>267.466</f>
        <v>267.46600000000001</v>
      </c>
      <c r="E232" s="92">
        <f>133.845</f>
        <v>133.845</v>
      </c>
      <c r="F232" s="83">
        <f>278.484-40-25-60-100</f>
        <v>53.48399999999998</v>
      </c>
      <c r="G232" s="86">
        <v>40</v>
      </c>
      <c r="H232" s="83">
        <f t="shared" si="37"/>
        <v>185</v>
      </c>
      <c r="I232" s="83">
        <f t="shared" si="28"/>
        <v>0</v>
      </c>
      <c r="J232" s="86">
        <v>100</v>
      </c>
      <c r="K232" s="86">
        <v>300</v>
      </c>
      <c r="L232" s="83">
        <f t="shared" si="32"/>
        <v>1274</v>
      </c>
      <c r="M232" s="94">
        <v>600</v>
      </c>
      <c r="N232" s="83">
        <f>75</f>
        <v>75</v>
      </c>
      <c r="O232" s="86">
        <v>240</v>
      </c>
      <c r="P232" s="86">
        <v>160</v>
      </c>
      <c r="Q232" s="86">
        <f t="shared" si="33"/>
        <v>195</v>
      </c>
      <c r="R232" s="86">
        <f t="shared" si="34"/>
        <v>100</v>
      </c>
      <c r="S232" s="83">
        <f t="shared" si="35"/>
        <v>695</v>
      </c>
      <c r="T232" s="83">
        <f>50</f>
        <v>50</v>
      </c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</row>
    <row r="233" spans="1:30" ht="15.75" x14ac:dyDescent="0.25">
      <c r="A233" s="16">
        <v>48000</v>
      </c>
      <c r="B233" s="97">
        <v>30</v>
      </c>
      <c r="C233" s="83">
        <f>194.205</f>
        <v>194.20500000000001</v>
      </c>
      <c r="D233" s="83">
        <f>267.466</f>
        <v>267.46600000000001</v>
      </c>
      <c r="E233" s="92">
        <f>133.845</f>
        <v>133.845</v>
      </c>
      <c r="F233" s="83">
        <f>278.484-40-25-60-100</f>
        <v>53.48399999999998</v>
      </c>
      <c r="G233" s="86">
        <v>40</v>
      </c>
      <c r="H233" s="83">
        <f t="shared" si="37"/>
        <v>185</v>
      </c>
      <c r="I233" s="83">
        <f t="shared" si="28"/>
        <v>0</v>
      </c>
      <c r="J233" s="86">
        <v>100</v>
      </c>
      <c r="K233" s="86">
        <v>300</v>
      </c>
      <c r="L233" s="83">
        <f t="shared" si="32"/>
        <v>1274</v>
      </c>
      <c r="M233" s="94">
        <v>600</v>
      </c>
      <c r="N233" s="83">
        <f>30</f>
        <v>30</v>
      </c>
      <c r="O233" s="86">
        <v>240</v>
      </c>
      <c r="P233" s="86">
        <v>160</v>
      </c>
      <c r="Q233" s="86">
        <f t="shared" si="33"/>
        <v>195</v>
      </c>
      <c r="R233" s="86">
        <f t="shared" si="34"/>
        <v>100</v>
      </c>
      <c r="S233" s="83">
        <f t="shared" si="35"/>
        <v>695</v>
      </c>
      <c r="T233" s="83">
        <f>50</f>
        <v>50</v>
      </c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</row>
    <row r="234" spans="1:30" ht="15.75" x14ac:dyDescent="0.25">
      <c r="A234" s="16">
        <v>48030</v>
      </c>
      <c r="B234" s="97">
        <v>31</v>
      </c>
      <c r="C234" s="83">
        <f>194.205</f>
        <v>194.20500000000001</v>
      </c>
      <c r="D234" s="83">
        <f>267.466</f>
        <v>267.46600000000001</v>
      </c>
      <c r="E234" s="92">
        <f>133.845</f>
        <v>133.845</v>
      </c>
      <c r="F234" s="83">
        <f>278.484-40-25-60-100</f>
        <v>53.48399999999998</v>
      </c>
      <c r="G234" s="86">
        <v>40</v>
      </c>
      <c r="H234" s="83">
        <f t="shared" si="37"/>
        <v>185</v>
      </c>
      <c r="I234" s="83">
        <f t="shared" si="28"/>
        <v>0</v>
      </c>
      <c r="J234" s="86">
        <v>100</v>
      </c>
      <c r="K234" s="86">
        <v>300</v>
      </c>
      <c r="L234" s="83">
        <f t="shared" si="32"/>
        <v>1274</v>
      </c>
      <c r="M234" s="94">
        <v>600</v>
      </c>
      <c r="N234" s="83">
        <f>30</f>
        <v>30</v>
      </c>
      <c r="O234" s="86">
        <v>240</v>
      </c>
      <c r="P234" s="86">
        <v>160</v>
      </c>
      <c r="Q234" s="86">
        <f t="shared" si="33"/>
        <v>195</v>
      </c>
      <c r="R234" s="86">
        <f t="shared" si="34"/>
        <v>100</v>
      </c>
      <c r="S234" s="83">
        <f t="shared" si="35"/>
        <v>695</v>
      </c>
      <c r="T234" s="83">
        <f>0</f>
        <v>0</v>
      </c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</row>
    <row r="235" spans="1:30" ht="15.75" x14ac:dyDescent="0.25">
      <c r="A235" s="16">
        <v>48061</v>
      </c>
      <c r="B235" s="97">
        <v>31</v>
      </c>
      <c r="C235" s="83">
        <f>194.205</f>
        <v>194.20500000000001</v>
      </c>
      <c r="D235" s="83">
        <f>267.466</f>
        <v>267.46600000000001</v>
      </c>
      <c r="E235" s="92">
        <f>133.845</f>
        <v>133.845</v>
      </c>
      <c r="F235" s="83">
        <f>278.484-40-25-60-100</f>
        <v>53.48399999999998</v>
      </c>
      <c r="G235" s="86">
        <v>40</v>
      </c>
      <c r="H235" s="83">
        <f t="shared" si="37"/>
        <v>185</v>
      </c>
      <c r="I235" s="83">
        <f t="shared" si="28"/>
        <v>0</v>
      </c>
      <c r="J235" s="86">
        <v>100</v>
      </c>
      <c r="K235" s="86">
        <v>300</v>
      </c>
      <c r="L235" s="83">
        <f t="shared" si="32"/>
        <v>1274</v>
      </c>
      <c r="M235" s="94">
        <v>600</v>
      </c>
      <c r="N235" s="83">
        <f>30</f>
        <v>30</v>
      </c>
      <c r="O235" s="86">
        <v>240</v>
      </c>
      <c r="P235" s="86">
        <v>160</v>
      </c>
      <c r="Q235" s="86">
        <f t="shared" si="33"/>
        <v>195</v>
      </c>
      <c r="R235" s="86">
        <f t="shared" si="34"/>
        <v>100</v>
      </c>
      <c r="S235" s="83">
        <f t="shared" si="35"/>
        <v>695</v>
      </c>
      <c r="T235" s="83">
        <f>0</f>
        <v>0</v>
      </c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</row>
    <row r="236" spans="1:30" ht="15.75" x14ac:dyDescent="0.25">
      <c r="A236" s="16">
        <v>48092</v>
      </c>
      <c r="B236" s="97">
        <v>30</v>
      </c>
      <c r="C236" s="83">
        <f>194.205</f>
        <v>194.20500000000001</v>
      </c>
      <c r="D236" s="83">
        <f>267.466</f>
        <v>267.46600000000001</v>
      </c>
      <c r="E236" s="92">
        <f>133.845</f>
        <v>133.845</v>
      </c>
      <c r="F236" s="83">
        <f>278.484-40-25-60-100</f>
        <v>53.48399999999998</v>
      </c>
      <c r="G236" s="86">
        <v>40</v>
      </c>
      <c r="H236" s="83">
        <f t="shared" si="37"/>
        <v>185</v>
      </c>
      <c r="I236" s="83">
        <f t="shared" si="28"/>
        <v>0</v>
      </c>
      <c r="J236" s="86">
        <v>100</v>
      </c>
      <c r="K236" s="86">
        <v>300</v>
      </c>
      <c r="L236" s="83">
        <f t="shared" si="32"/>
        <v>1274</v>
      </c>
      <c r="M236" s="94">
        <v>600</v>
      </c>
      <c r="N236" s="83">
        <f>30</f>
        <v>30</v>
      </c>
      <c r="O236" s="86">
        <v>240</v>
      </c>
      <c r="P236" s="86">
        <v>160</v>
      </c>
      <c r="Q236" s="86">
        <f t="shared" si="33"/>
        <v>195</v>
      </c>
      <c r="R236" s="86">
        <f t="shared" si="34"/>
        <v>100</v>
      </c>
      <c r="S236" s="83">
        <f t="shared" si="35"/>
        <v>695</v>
      </c>
      <c r="T236" s="83">
        <f>0</f>
        <v>0</v>
      </c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</row>
    <row r="237" spans="1:30" ht="15.75" x14ac:dyDescent="0.25">
      <c r="A237" s="16">
        <v>48122</v>
      </c>
      <c r="B237" s="97">
        <v>31</v>
      </c>
      <c r="C237" s="83">
        <f>131.881</f>
        <v>131.881</v>
      </c>
      <c r="D237" s="83">
        <f>277.167</f>
        <v>277.16699999999997</v>
      </c>
      <c r="E237" s="92">
        <f>79.08</f>
        <v>79.08</v>
      </c>
      <c r="F237" s="83">
        <f>350.872-40-25-60-100</f>
        <v>125.87200000000001</v>
      </c>
      <c r="G237" s="86">
        <v>40</v>
      </c>
      <c r="H237" s="83">
        <f t="shared" si="37"/>
        <v>185</v>
      </c>
      <c r="I237" s="83">
        <f t="shared" si="28"/>
        <v>0</v>
      </c>
      <c r="J237" s="86">
        <v>100</v>
      </c>
      <c r="K237" s="86">
        <v>300</v>
      </c>
      <c r="L237" s="83">
        <f t="shared" si="32"/>
        <v>1239</v>
      </c>
      <c r="M237" s="94">
        <v>600</v>
      </c>
      <c r="N237" s="83">
        <f>75</f>
        <v>75</v>
      </c>
      <c r="O237" s="86">
        <v>240</v>
      </c>
      <c r="P237" s="86">
        <v>160</v>
      </c>
      <c r="Q237" s="86">
        <f t="shared" si="33"/>
        <v>195</v>
      </c>
      <c r="R237" s="86">
        <f t="shared" si="34"/>
        <v>100</v>
      </c>
      <c r="S237" s="83">
        <f t="shared" si="35"/>
        <v>695</v>
      </c>
      <c r="T237" s="83">
        <f>0</f>
        <v>0</v>
      </c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</row>
    <row r="238" spans="1:30" ht="15.75" x14ac:dyDescent="0.25">
      <c r="A238" s="16">
        <v>48153</v>
      </c>
      <c r="B238" s="97">
        <v>30</v>
      </c>
      <c r="C238" s="83">
        <f>122.58</f>
        <v>122.58</v>
      </c>
      <c r="D238" s="83">
        <f>297.941</f>
        <v>297.94099999999997</v>
      </c>
      <c r="E238" s="92">
        <f>89.177</f>
        <v>89.177000000000007</v>
      </c>
      <c r="F238" s="83">
        <f>240.302-40-60-100</f>
        <v>40.301999999999992</v>
      </c>
      <c r="G238" s="86">
        <v>40</v>
      </c>
      <c r="H238" s="83">
        <f>60+100</f>
        <v>160</v>
      </c>
      <c r="I238" s="83">
        <f t="shared" si="28"/>
        <v>0</v>
      </c>
      <c r="J238" s="86">
        <v>100</v>
      </c>
      <c r="K238" s="86">
        <v>300</v>
      </c>
      <c r="L238" s="83">
        <f t="shared" si="32"/>
        <v>1150</v>
      </c>
      <c r="M238" s="94">
        <v>600</v>
      </c>
      <c r="N238" s="83">
        <f>100</f>
        <v>100</v>
      </c>
      <c r="O238" s="86">
        <v>240</v>
      </c>
      <c r="P238" s="86">
        <v>40</v>
      </c>
      <c r="Q238" s="86">
        <f t="shared" si="33"/>
        <v>315</v>
      </c>
      <c r="R238" s="86">
        <f t="shared" si="34"/>
        <v>100</v>
      </c>
      <c r="S238" s="83">
        <f t="shared" si="35"/>
        <v>695</v>
      </c>
      <c r="T238" s="83">
        <f>50</f>
        <v>50</v>
      </c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</row>
    <row r="239" spans="1:30" ht="15.75" x14ac:dyDescent="0.25">
      <c r="A239" s="16">
        <v>48183</v>
      </c>
      <c r="B239" s="97">
        <v>31</v>
      </c>
      <c r="C239" s="83">
        <f>122.58</f>
        <v>122.58</v>
      </c>
      <c r="D239" s="83">
        <f>297.941</f>
        <v>297.94099999999997</v>
      </c>
      <c r="E239" s="92">
        <f>89.177</f>
        <v>89.177000000000007</v>
      </c>
      <c r="F239" s="83">
        <f>240.302-40-60-100</f>
        <v>40.301999999999992</v>
      </c>
      <c r="G239" s="86">
        <v>40</v>
      </c>
      <c r="H239" s="83">
        <f>60+100</f>
        <v>160</v>
      </c>
      <c r="I239" s="83">
        <f t="shared" si="28"/>
        <v>0</v>
      </c>
      <c r="J239" s="86">
        <v>100</v>
      </c>
      <c r="K239" s="86">
        <v>300</v>
      </c>
      <c r="L239" s="83">
        <f t="shared" si="32"/>
        <v>1150</v>
      </c>
      <c r="M239" s="94">
        <v>600</v>
      </c>
      <c r="N239" s="83">
        <f>100</f>
        <v>100</v>
      </c>
      <c r="O239" s="86">
        <v>240</v>
      </c>
      <c r="P239" s="86">
        <v>40</v>
      </c>
      <c r="Q239" s="86">
        <f t="shared" si="33"/>
        <v>315</v>
      </c>
      <c r="R239" s="86">
        <f t="shared" si="34"/>
        <v>100</v>
      </c>
      <c r="S239" s="83">
        <f t="shared" si="35"/>
        <v>695</v>
      </c>
      <c r="T239" s="83">
        <f>50</f>
        <v>50</v>
      </c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</row>
    <row r="240" spans="1:30" ht="15.75" x14ac:dyDescent="0.25">
      <c r="A240" s="16">
        <v>48214</v>
      </c>
      <c r="B240" s="97">
        <v>31</v>
      </c>
      <c r="C240" s="83">
        <f>122.58</f>
        <v>122.58</v>
      </c>
      <c r="D240" s="83">
        <f>297.941</f>
        <v>297.94099999999997</v>
      </c>
      <c r="E240" s="92">
        <f>89.177</f>
        <v>89.177000000000007</v>
      </c>
      <c r="F240" s="83">
        <f>240.302-40-60-100</f>
        <v>40.301999999999992</v>
      </c>
      <c r="G240" s="86">
        <v>40</v>
      </c>
      <c r="H240" s="83">
        <f>60+100</f>
        <v>160</v>
      </c>
      <c r="I240" s="83">
        <f t="shared" si="28"/>
        <v>0</v>
      </c>
      <c r="J240" s="86">
        <v>100</v>
      </c>
      <c r="K240" s="86">
        <v>300</v>
      </c>
      <c r="L240" s="83">
        <f t="shared" si="32"/>
        <v>1150</v>
      </c>
      <c r="M240" s="94">
        <v>600</v>
      </c>
      <c r="N240" s="83">
        <f>100</f>
        <v>100</v>
      </c>
      <c r="O240" s="86">
        <v>240</v>
      </c>
      <c r="P240" s="86">
        <v>40</v>
      </c>
      <c r="Q240" s="86">
        <f t="shared" si="33"/>
        <v>315</v>
      </c>
      <c r="R240" s="86">
        <f t="shared" si="34"/>
        <v>100</v>
      </c>
      <c r="S240" s="83">
        <f t="shared" si="35"/>
        <v>695</v>
      </c>
      <c r="T240" s="83">
        <f>50</f>
        <v>50</v>
      </c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</row>
    <row r="241" spans="1:30" ht="15.75" x14ac:dyDescent="0.25">
      <c r="A241" s="16">
        <v>48245</v>
      </c>
      <c r="B241" s="97">
        <v>29</v>
      </c>
      <c r="C241" s="83">
        <f>122.58</f>
        <v>122.58</v>
      </c>
      <c r="D241" s="83">
        <f>297.941</f>
        <v>297.94099999999997</v>
      </c>
      <c r="E241" s="92">
        <f>89.177</f>
        <v>89.177000000000007</v>
      </c>
      <c r="F241" s="83">
        <f>240.302-40-60-100</f>
        <v>40.301999999999992</v>
      </c>
      <c r="G241" s="86">
        <v>40</v>
      </c>
      <c r="H241" s="83">
        <f>60+100</f>
        <v>160</v>
      </c>
      <c r="I241" s="83">
        <f t="shared" si="28"/>
        <v>0</v>
      </c>
      <c r="J241" s="86">
        <v>100</v>
      </c>
      <c r="K241" s="86">
        <v>300</v>
      </c>
      <c r="L241" s="83">
        <f t="shared" si="32"/>
        <v>1150</v>
      </c>
      <c r="M241" s="94">
        <v>600</v>
      </c>
      <c r="N241" s="83">
        <f>100</f>
        <v>100</v>
      </c>
      <c r="O241" s="86">
        <v>240</v>
      </c>
      <c r="P241" s="86">
        <v>40</v>
      </c>
      <c r="Q241" s="86">
        <f t="shared" si="33"/>
        <v>315</v>
      </c>
      <c r="R241" s="86">
        <f t="shared" si="34"/>
        <v>100</v>
      </c>
      <c r="S241" s="83">
        <f t="shared" si="35"/>
        <v>695</v>
      </c>
      <c r="T241" s="83">
        <f>50</f>
        <v>50</v>
      </c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</row>
    <row r="242" spans="1:30" ht="15.75" x14ac:dyDescent="0.25">
      <c r="A242" s="16">
        <v>48274</v>
      </c>
      <c r="B242" s="97">
        <v>31</v>
      </c>
      <c r="C242" s="83">
        <f>122.58</f>
        <v>122.58</v>
      </c>
      <c r="D242" s="83">
        <f>297.941</f>
        <v>297.94099999999997</v>
      </c>
      <c r="E242" s="92">
        <f>89.177</f>
        <v>89.177000000000007</v>
      </c>
      <c r="F242" s="83">
        <f>240.302-40-60-100</f>
        <v>40.301999999999992</v>
      </c>
      <c r="G242" s="86">
        <v>40</v>
      </c>
      <c r="H242" s="83">
        <f>60+100</f>
        <v>160</v>
      </c>
      <c r="I242" s="83">
        <f t="shared" si="28"/>
        <v>0</v>
      </c>
      <c r="J242" s="86">
        <v>100</v>
      </c>
      <c r="K242" s="86">
        <v>300</v>
      </c>
      <c r="L242" s="83">
        <f t="shared" si="32"/>
        <v>1150</v>
      </c>
      <c r="M242" s="94">
        <v>600</v>
      </c>
      <c r="N242" s="83">
        <f>100</f>
        <v>100</v>
      </c>
      <c r="O242" s="86">
        <v>240</v>
      </c>
      <c r="P242" s="86">
        <v>40</v>
      </c>
      <c r="Q242" s="86">
        <f t="shared" si="33"/>
        <v>315</v>
      </c>
      <c r="R242" s="86">
        <f t="shared" si="34"/>
        <v>100</v>
      </c>
      <c r="S242" s="83">
        <f t="shared" si="35"/>
        <v>695</v>
      </c>
      <c r="T242" s="83">
        <f>50</f>
        <v>50</v>
      </c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</row>
    <row r="243" spans="1:30" ht="15.75" x14ac:dyDescent="0.25">
      <c r="A243" s="16">
        <v>48305</v>
      </c>
      <c r="B243" s="97">
        <v>30</v>
      </c>
      <c r="C243" s="83">
        <f>141.293</f>
        <v>141.29300000000001</v>
      </c>
      <c r="D243" s="83">
        <f>267.993</f>
        <v>267.99299999999999</v>
      </c>
      <c r="E243" s="92">
        <f>115.016</f>
        <v>115.01600000000001</v>
      </c>
      <c r="F243" s="83">
        <f>314.698-40-25-60-100</f>
        <v>89.697999999999979</v>
      </c>
      <c r="G243" s="86">
        <v>40</v>
      </c>
      <c r="H243" s="83">
        <f t="shared" ref="H243:H249" si="38">25+60+100</f>
        <v>185</v>
      </c>
      <c r="I243" s="83">
        <f t="shared" si="28"/>
        <v>0</v>
      </c>
      <c r="J243" s="86">
        <v>100</v>
      </c>
      <c r="K243" s="86">
        <v>300</v>
      </c>
      <c r="L243" s="83">
        <f t="shared" si="32"/>
        <v>1239</v>
      </c>
      <c r="M243" s="94">
        <v>600</v>
      </c>
      <c r="N243" s="83">
        <f>100</f>
        <v>100</v>
      </c>
      <c r="O243" s="86">
        <v>240</v>
      </c>
      <c r="P243" s="86">
        <v>160</v>
      </c>
      <c r="Q243" s="86">
        <f t="shared" si="33"/>
        <v>195</v>
      </c>
      <c r="R243" s="86">
        <f t="shared" si="34"/>
        <v>100</v>
      </c>
      <c r="S243" s="83">
        <f t="shared" si="35"/>
        <v>695</v>
      </c>
      <c r="T243" s="83">
        <f>50</f>
        <v>50</v>
      </c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</row>
    <row r="244" spans="1:30" ht="15.75" x14ac:dyDescent="0.25">
      <c r="A244" s="16">
        <v>48335</v>
      </c>
      <c r="B244" s="97">
        <v>31</v>
      </c>
      <c r="C244" s="83">
        <f>194.205</f>
        <v>194.20500000000001</v>
      </c>
      <c r="D244" s="83">
        <f>267.466</f>
        <v>267.46600000000001</v>
      </c>
      <c r="E244" s="92">
        <f>133.845</f>
        <v>133.845</v>
      </c>
      <c r="F244" s="83">
        <f>278.484-40-25-60-100</f>
        <v>53.48399999999998</v>
      </c>
      <c r="G244" s="86">
        <v>40</v>
      </c>
      <c r="H244" s="83">
        <f t="shared" si="38"/>
        <v>185</v>
      </c>
      <c r="I244" s="83">
        <f t="shared" ref="I244:I307" si="39">400-J244-K244</f>
        <v>0</v>
      </c>
      <c r="J244" s="86">
        <v>100</v>
      </c>
      <c r="K244" s="86">
        <v>300</v>
      </c>
      <c r="L244" s="83">
        <f t="shared" si="32"/>
        <v>1274</v>
      </c>
      <c r="M244" s="94">
        <v>600</v>
      </c>
      <c r="N244" s="83">
        <f>75</f>
        <v>75</v>
      </c>
      <c r="O244" s="86">
        <v>240</v>
      </c>
      <c r="P244" s="86">
        <v>160</v>
      </c>
      <c r="Q244" s="86">
        <f t="shared" si="33"/>
        <v>195</v>
      </c>
      <c r="R244" s="86">
        <f t="shared" si="34"/>
        <v>100</v>
      </c>
      <c r="S244" s="83">
        <f t="shared" si="35"/>
        <v>695</v>
      </c>
      <c r="T244" s="83">
        <f>50</f>
        <v>50</v>
      </c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</row>
    <row r="245" spans="1:30" ht="15.75" x14ac:dyDescent="0.25">
      <c r="A245" s="16">
        <v>48366</v>
      </c>
      <c r="B245" s="97">
        <v>30</v>
      </c>
      <c r="C245" s="83">
        <f>194.205</f>
        <v>194.20500000000001</v>
      </c>
      <c r="D245" s="83">
        <f>267.466</f>
        <v>267.46600000000001</v>
      </c>
      <c r="E245" s="92">
        <f>133.845</f>
        <v>133.845</v>
      </c>
      <c r="F245" s="83">
        <f>278.484-40-25-60-100</f>
        <v>53.48399999999998</v>
      </c>
      <c r="G245" s="86">
        <v>40</v>
      </c>
      <c r="H245" s="83">
        <f t="shared" si="38"/>
        <v>185</v>
      </c>
      <c r="I245" s="83">
        <f t="shared" si="39"/>
        <v>0</v>
      </c>
      <c r="J245" s="86">
        <v>100</v>
      </c>
      <c r="K245" s="86">
        <v>300</v>
      </c>
      <c r="L245" s="83">
        <f t="shared" si="32"/>
        <v>1274</v>
      </c>
      <c r="M245" s="94">
        <v>600</v>
      </c>
      <c r="N245" s="83">
        <f>30</f>
        <v>30</v>
      </c>
      <c r="O245" s="86">
        <v>240</v>
      </c>
      <c r="P245" s="86">
        <v>160</v>
      </c>
      <c r="Q245" s="86">
        <f t="shared" si="33"/>
        <v>195</v>
      </c>
      <c r="R245" s="86">
        <f t="shared" si="34"/>
        <v>100</v>
      </c>
      <c r="S245" s="83">
        <f t="shared" si="35"/>
        <v>695</v>
      </c>
      <c r="T245" s="83">
        <f>50</f>
        <v>50</v>
      </c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</row>
    <row r="246" spans="1:30" ht="15.75" x14ac:dyDescent="0.25">
      <c r="A246" s="16">
        <v>48396</v>
      </c>
      <c r="B246" s="97">
        <v>31</v>
      </c>
      <c r="C246" s="83">
        <f>194.205</f>
        <v>194.20500000000001</v>
      </c>
      <c r="D246" s="83">
        <f>267.466</f>
        <v>267.46600000000001</v>
      </c>
      <c r="E246" s="92">
        <f>133.845</f>
        <v>133.845</v>
      </c>
      <c r="F246" s="83">
        <f>278.484-40-25-60-100</f>
        <v>53.48399999999998</v>
      </c>
      <c r="G246" s="86">
        <v>40</v>
      </c>
      <c r="H246" s="83">
        <f t="shared" si="38"/>
        <v>185</v>
      </c>
      <c r="I246" s="83">
        <f t="shared" si="39"/>
        <v>0</v>
      </c>
      <c r="J246" s="86">
        <v>100</v>
      </c>
      <c r="K246" s="86">
        <v>300</v>
      </c>
      <c r="L246" s="83">
        <f t="shared" si="32"/>
        <v>1274</v>
      </c>
      <c r="M246" s="94">
        <v>600</v>
      </c>
      <c r="N246" s="83">
        <f>30</f>
        <v>30</v>
      </c>
      <c r="O246" s="86">
        <v>240</v>
      </c>
      <c r="P246" s="86">
        <v>160</v>
      </c>
      <c r="Q246" s="86">
        <f t="shared" si="33"/>
        <v>195</v>
      </c>
      <c r="R246" s="86">
        <f t="shared" si="34"/>
        <v>100</v>
      </c>
      <c r="S246" s="83">
        <f t="shared" si="35"/>
        <v>695</v>
      </c>
      <c r="T246" s="83">
        <f>0</f>
        <v>0</v>
      </c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</row>
    <row r="247" spans="1:30" ht="15.75" x14ac:dyDescent="0.25">
      <c r="A247" s="16">
        <v>48427</v>
      </c>
      <c r="B247" s="97">
        <v>31</v>
      </c>
      <c r="C247" s="83">
        <f>194.205</f>
        <v>194.20500000000001</v>
      </c>
      <c r="D247" s="83">
        <f>267.466</f>
        <v>267.46600000000001</v>
      </c>
      <c r="E247" s="92">
        <f>133.845</f>
        <v>133.845</v>
      </c>
      <c r="F247" s="83">
        <f>278.484-40-25-60-100</f>
        <v>53.48399999999998</v>
      </c>
      <c r="G247" s="86">
        <v>40</v>
      </c>
      <c r="H247" s="83">
        <f t="shared" si="38"/>
        <v>185</v>
      </c>
      <c r="I247" s="83">
        <f t="shared" si="39"/>
        <v>0</v>
      </c>
      <c r="J247" s="86">
        <v>100</v>
      </c>
      <c r="K247" s="86">
        <v>300</v>
      </c>
      <c r="L247" s="83">
        <f t="shared" si="32"/>
        <v>1274</v>
      </c>
      <c r="M247" s="94">
        <v>600</v>
      </c>
      <c r="N247" s="83">
        <f>30</f>
        <v>30</v>
      </c>
      <c r="O247" s="86">
        <v>240</v>
      </c>
      <c r="P247" s="86">
        <v>160</v>
      </c>
      <c r="Q247" s="86">
        <f t="shared" si="33"/>
        <v>195</v>
      </c>
      <c r="R247" s="86">
        <f t="shared" si="34"/>
        <v>100</v>
      </c>
      <c r="S247" s="83">
        <f t="shared" si="35"/>
        <v>695</v>
      </c>
      <c r="T247" s="83">
        <f>0</f>
        <v>0</v>
      </c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</row>
    <row r="248" spans="1:30" ht="15.75" x14ac:dyDescent="0.25">
      <c r="A248" s="16">
        <v>48458</v>
      </c>
      <c r="B248" s="97">
        <v>30</v>
      </c>
      <c r="C248" s="83">
        <f>194.205</f>
        <v>194.20500000000001</v>
      </c>
      <c r="D248" s="83">
        <f>267.466</f>
        <v>267.46600000000001</v>
      </c>
      <c r="E248" s="92">
        <f>133.845</f>
        <v>133.845</v>
      </c>
      <c r="F248" s="83">
        <f>278.484-40-25-60-100</f>
        <v>53.48399999999998</v>
      </c>
      <c r="G248" s="86">
        <v>40</v>
      </c>
      <c r="H248" s="83">
        <f t="shared" si="38"/>
        <v>185</v>
      </c>
      <c r="I248" s="83">
        <f t="shared" si="39"/>
        <v>0</v>
      </c>
      <c r="J248" s="86">
        <v>100</v>
      </c>
      <c r="K248" s="86">
        <v>300</v>
      </c>
      <c r="L248" s="83">
        <f t="shared" si="32"/>
        <v>1274</v>
      </c>
      <c r="M248" s="94">
        <v>600</v>
      </c>
      <c r="N248" s="83">
        <f>30</f>
        <v>30</v>
      </c>
      <c r="O248" s="86">
        <v>240</v>
      </c>
      <c r="P248" s="86">
        <v>160</v>
      </c>
      <c r="Q248" s="86">
        <f t="shared" si="33"/>
        <v>195</v>
      </c>
      <c r="R248" s="86">
        <f t="shared" si="34"/>
        <v>100</v>
      </c>
      <c r="S248" s="83">
        <f t="shared" si="35"/>
        <v>695</v>
      </c>
      <c r="T248" s="83">
        <f>0</f>
        <v>0</v>
      </c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</row>
    <row r="249" spans="1:30" ht="15.75" x14ac:dyDescent="0.25">
      <c r="A249" s="16">
        <v>48488</v>
      </c>
      <c r="B249" s="97">
        <v>31</v>
      </c>
      <c r="C249" s="83">
        <f>131.881</f>
        <v>131.881</v>
      </c>
      <c r="D249" s="83">
        <f>277.167</f>
        <v>277.16699999999997</v>
      </c>
      <c r="E249" s="92">
        <f>79.08</f>
        <v>79.08</v>
      </c>
      <c r="F249" s="83">
        <f>350.872-40-25-60-100</f>
        <v>125.87200000000001</v>
      </c>
      <c r="G249" s="86">
        <v>40</v>
      </c>
      <c r="H249" s="83">
        <f t="shared" si="38"/>
        <v>185</v>
      </c>
      <c r="I249" s="83">
        <f t="shared" si="39"/>
        <v>0</v>
      </c>
      <c r="J249" s="86">
        <v>100</v>
      </c>
      <c r="K249" s="86">
        <v>300</v>
      </c>
      <c r="L249" s="83">
        <f t="shared" si="32"/>
        <v>1239</v>
      </c>
      <c r="M249" s="94">
        <v>600</v>
      </c>
      <c r="N249" s="83">
        <f>75</f>
        <v>75</v>
      </c>
      <c r="O249" s="86">
        <v>240</v>
      </c>
      <c r="P249" s="86">
        <v>160</v>
      </c>
      <c r="Q249" s="86">
        <f t="shared" si="33"/>
        <v>195</v>
      </c>
      <c r="R249" s="86">
        <f t="shared" si="34"/>
        <v>100</v>
      </c>
      <c r="S249" s="83">
        <f t="shared" si="35"/>
        <v>695</v>
      </c>
      <c r="T249" s="83">
        <f>0</f>
        <v>0</v>
      </c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</row>
    <row r="250" spans="1:30" ht="15.75" x14ac:dyDescent="0.25">
      <c r="A250" s="16">
        <v>48519</v>
      </c>
      <c r="B250" s="97">
        <v>30</v>
      </c>
      <c r="C250" s="83">
        <f>122.58</f>
        <v>122.58</v>
      </c>
      <c r="D250" s="83">
        <f>297.941</f>
        <v>297.94099999999997</v>
      </c>
      <c r="E250" s="92">
        <f>89.177</f>
        <v>89.177000000000007</v>
      </c>
      <c r="F250" s="83">
        <f>240.302-40-60-100</f>
        <v>40.301999999999992</v>
      </c>
      <c r="G250" s="86">
        <v>40</v>
      </c>
      <c r="H250" s="83">
        <f>60+100</f>
        <v>160</v>
      </c>
      <c r="I250" s="83">
        <f t="shared" si="39"/>
        <v>0</v>
      </c>
      <c r="J250" s="86">
        <v>100</v>
      </c>
      <c r="K250" s="86">
        <v>300</v>
      </c>
      <c r="L250" s="83">
        <f t="shared" si="32"/>
        <v>1150</v>
      </c>
      <c r="M250" s="94">
        <v>600</v>
      </c>
      <c r="N250" s="83">
        <f>100</f>
        <v>100</v>
      </c>
      <c r="O250" s="86">
        <v>240</v>
      </c>
      <c r="P250" s="86">
        <v>40</v>
      </c>
      <c r="Q250" s="86">
        <f t="shared" si="33"/>
        <v>315</v>
      </c>
      <c r="R250" s="86">
        <f t="shared" si="34"/>
        <v>100</v>
      </c>
      <c r="S250" s="83">
        <f t="shared" si="35"/>
        <v>695</v>
      </c>
      <c r="T250" s="83">
        <f>50</f>
        <v>50</v>
      </c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</row>
    <row r="251" spans="1:30" ht="15.75" x14ac:dyDescent="0.25">
      <c r="A251" s="16">
        <v>48549</v>
      </c>
      <c r="B251" s="97">
        <v>31</v>
      </c>
      <c r="C251" s="83">
        <f>122.58</f>
        <v>122.58</v>
      </c>
      <c r="D251" s="83">
        <f>297.941</f>
        <v>297.94099999999997</v>
      </c>
      <c r="E251" s="92">
        <f>89.177</f>
        <v>89.177000000000007</v>
      </c>
      <c r="F251" s="83">
        <f>240.302-40-60-100</f>
        <v>40.301999999999992</v>
      </c>
      <c r="G251" s="86">
        <v>40</v>
      </c>
      <c r="H251" s="83">
        <f>60+100</f>
        <v>160</v>
      </c>
      <c r="I251" s="83">
        <f t="shared" si="39"/>
        <v>0</v>
      </c>
      <c r="J251" s="86">
        <v>100</v>
      </c>
      <c r="K251" s="86">
        <v>300</v>
      </c>
      <c r="L251" s="83">
        <f t="shared" si="32"/>
        <v>1150</v>
      </c>
      <c r="M251" s="94">
        <v>600</v>
      </c>
      <c r="N251" s="83">
        <f>100</f>
        <v>100</v>
      </c>
      <c r="O251" s="86">
        <v>240</v>
      </c>
      <c r="P251" s="86">
        <v>40</v>
      </c>
      <c r="Q251" s="86">
        <f t="shared" si="33"/>
        <v>315</v>
      </c>
      <c r="R251" s="86">
        <f t="shared" si="34"/>
        <v>100</v>
      </c>
      <c r="S251" s="83">
        <f t="shared" si="35"/>
        <v>695</v>
      </c>
      <c r="T251" s="83">
        <f>50</f>
        <v>50</v>
      </c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</row>
    <row r="252" spans="1:30" ht="15.75" x14ac:dyDescent="0.25">
      <c r="A252" s="16">
        <v>48580</v>
      </c>
      <c r="B252" s="97">
        <v>31</v>
      </c>
      <c r="C252" s="83">
        <f>122.58</f>
        <v>122.58</v>
      </c>
      <c r="D252" s="83">
        <f>297.941</f>
        <v>297.94099999999997</v>
      </c>
      <c r="E252" s="92">
        <f>89.177</f>
        <v>89.177000000000007</v>
      </c>
      <c r="F252" s="83">
        <f>240.302-40-60-100</f>
        <v>40.301999999999992</v>
      </c>
      <c r="G252" s="86">
        <v>40</v>
      </c>
      <c r="H252" s="83">
        <f>60+100</f>
        <v>160</v>
      </c>
      <c r="I252" s="83">
        <f t="shared" si="39"/>
        <v>0</v>
      </c>
      <c r="J252" s="86">
        <v>100</v>
      </c>
      <c r="K252" s="86">
        <v>300</v>
      </c>
      <c r="L252" s="83">
        <f t="shared" si="32"/>
        <v>1150</v>
      </c>
      <c r="M252" s="94">
        <v>600</v>
      </c>
      <c r="N252" s="83">
        <f>100</f>
        <v>100</v>
      </c>
      <c r="O252" s="86">
        <v>240</v>
      </c>
      <c r="P252" s="86">
        <v>40</v>
      </c>
      <c r="Q252" s="86">
        <f t="shared" si="33"/>
        <v>315</v>
      </c>
      <c r="R252" s="86">
        <f t="shared" si="34"/>
        <v>100</v>
      </c>
      <c r="S252" s="83">
        <f t="shared" si="35"/>
        <v>695</v>
      </c>
      <c r="T252" s="83">
        <f>50</f>
        <v>50</v>
      </c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</row>
    <row r="253" spans="1:30" ht="15.75" x14ac:dyDescent="0.25">
      <c r="A253" s="16">
        <v>48611</v>
      </c>
      <c r="B253" s="97">
        <v>28</v>
      </c>
      <c r="C253" s="83">
        <f>122.58</f>
        <v>122.58</v>
      </c>
      <c r="D253" s="83">
        <f>297.941</f>
        <v>297.94099999999997</v>
      </c>
      <c r="E253" s="92">
        <f>89.177</f>
        <v>89.177000000000007</v>
      </c>
      <c r="F253" s="83">
        <f>240.302-40-60-100</f>
        <v>40.301999999999992</v>
      </c>
      <c r="G253" s="86">
        <v>40</v>
      </c>
      <c r="H253" s="83">
        <f>60+100</f>
        <v>160</v>
      </c>
      <c r="I253" s="83">
        <f t="shared" si="39"/>
        <v>0</v>
      </c>
      <c r="J253" s="86">
        <v>100</v>
      </c>
      <c r="K253" s="86">
        <v>300</v>
      </c>
      <c r="L253" s="83">
        <f t="shared" si="32"/>
        <v>1150</v>
      </c>
      <c r="M253" s="94">
        <v>600</v>
      </c>
      <c r="N253" s="83">
        <f>100</f>
        <v>100</v>
      </c>
      <c r="O253" s="86">
        <v>240</v>
      </c>
      <c r="P253" s="86">
        <v>40</v>
      </c>
      <c r="Q253" s="86">
        <f t="shared" si="33"/>
        <v>315</v>
      </c>
      <c r="R253" s="86">
        <f t="shared" si="34"/>
        <v>100</v>
      </c>
      <c r="S253" s="83">
        <f t="shared" si="35"/>
        <v>695</v>
      </c>
      <c r="T253" s="83">
        <f>50</f>
        <v>50</v>
      </c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</row>
    <row r="254" spans="1:30" ht="15.75" x14ac:dyDescent="0.25">
      <c r="A254" s="16">
        <v>48639</v>
      </c>
      <c r="B254" s="97">
        <v>31</v>
      </c>
      <c r="C254" s="83">
        <f>122.58</f>
        <v>122.58</v>
      </c>
      <c r="D254" s="83">
        <f>297.941</f>
        <v>297.94099999999997</v>
      </c>
      <c r="E254" s="92">
        <f>89.177</f>
        <v>89.177000000000007</v>
      </c>
      <c r="F254" s="83">
        <f>240.302-40-60-100</f>
        <v>40.301999999999992</v>
      </c>
      <c r="G254" s="86">
        <v>40</v>
      </c>
      <c r="H254" s="83">
        <f>60+100</f>
        <v>160</v>
      </c>
      <c r="I254" s="83">
        <f t="shared" si="39"/>
        <v>0</v>
      </c>
      <c r="J254" s="86">
        <v>100</v>
      </c>
      <c r="K254" s="86">
        <v>300</v>
      </c>
      <c r="L254" s="83">
        <f t="shared" si="32"/>
        <v>1150</v>
      </c>
      <c r="M254" s="94">
        <v>600</v>
      </c>
      <c r="N254" s="83">
        <f>100</f>
        <v>100</v>
      </c>
      <c r="O254" s="86">
        <v>240</v>
      </c>
      <c r="P254" s="86">
        <v>40</v>
      </c>
      <c r="Q254" s="86">
        <f t="shared" si="33"/>
        <v>315</v>
      </c>
      <c r="R254" s="86">
        <f t="shared" si="34"/>
        <v>100</v>
      </c>
      <c r="S254" s="83">
        <f t="shared" si="35"/>
        <v>695</v>
      </c>
      <c r="T254" s="83">
        <f>50</f>
        <v>50</v>
      </c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</row>
    <row r="255" spans="1:30" ht="15.75" x14ac:dyDescent="0.25">
      <c r="A255" s="16">
        <v>48670</v>
      </c>
      <c r="B255" s="97">
        <v>30</v>
      </c>
      <c r="C255" s="83">
        <f>141.293</f>
        <v>141.29300000000001</v>
      </c>
      <c r="D255" s="83">
        <f>267.993</f>
        <v>267.99299999999999</v>
      </c>
      <c r="E255" s="92">
        <f>115.016</f>
        <v>115.01600000000001</v>
      </c>
      <c r="F255" s="83">
        <f>314.698-40-25-60-100</f>
        <v>89.697999999999979</v>
      </c>
      <c r="G255" s="86">
        <v>40</v>
      </c>
      <c r="H255" s="83">
        <f t="shared" ref="H255:H261" si="40">25+60+100</f>
        <v>185</v>
      </c>
      <c r="I255" s="83">
        <f t="shared" si="39"/>
        <v>0</v>
      </c>
      <c r="J255" s="86">
        <v>100</v>
      </c>
      <c r="K255" s="86">
        <v>300</v>
      </c>
      <c r="L255" s="83">
        <f t="shared" si="32"/>
        <v>1239</v>
      </c>
      <c r="M255" s="94">
        <v>600</v>
      </c>
      <c r="N255" s="83">
        <f>100</f>
        <v>100</v>
      </c>
      <c r="O255" s="86">
        <v>240</v>
      </c>
      <c r="P255" s="86">
        <v>160</v>
      </c>
      <c r="Q255" s="86">
        <f t="shared" si="33"/>
        <v>195</v>
      </c>
      <c r="R255" s="86">
        <f t="shared" si="34"/>
        <v>100</v>
      </c>
      <c r="S255" s="83">
        <f t="shared" si="35"/>
        <v>695</v>
      </c>
      <c r="T255" s="83">
        <f>50</f>
        <v>50</v>
      </c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</row>
    <row r="256" spans="1:30" ht="15.75" x14ac:dyDescent="0.25">
      <c r="A256" s="16">
        <v>48700</v>
      </c>
      <c r="B256" s="97">
        <v>31</v>
      </c>
      <c r="C256" s="83">
        <f>194.205</f>
        <v>194.20500000000001</v>
      </c>
      <c r="D256" s="83">
        <f>267.466</f>
        <v>267.46600000000001</v>
      </c>
      <c r="E256" s="92">
        <f>133.845</f>
        <v>133.845</v>
      </c>
      <c r="F256" s="83">
        <f>278.484-40-25-60-100</f>
        <v>53.48399999999998</v>
      </c>
      <c r="G256" s="86">
        <v>40</v>
      </c>
      <c r="H256" s="83">
        <f t="shared" si="40"/>
        <v>185</v>
      </c>
      <c r="I256" s="83">
        <f t="shared" si="39"/>
        <v>0</v>
      </c>
      <c r="J256" s="86">
        <v>100</v>
      </c>
      <c r="K256" s="86">
        <v>300</v>
      </c>
      <c r="L256" s="83">
        <f t="shared" si="32"/>
        <v>1274</v>
      </c>
      <c r="M256" s="94">
        <v>600</v>
      </c>
      <c r="N256" s="83">
        <f>75</f>
        <v>75</v>
      </c>
      <c r="O256" s="86">
        <v>240</v>
      </c>
      <c r="P256" s="86">
        <v>160</v>
      </c>
      <c r="Q256" s="86">
        <f t="shared" si="33"/>
        <v>195</v>
      </c>
      <c r="R256" s="86">
        <f t="shared" si="34"/>
        <v>100</v>
      </c>
      <c r="S256" s="83">
        <f t="shared" si="35"/>
        <v>695</v>
      </c>
      <c r="T256" s="83">
        <f>50</f>
        <v>50</v>
      </c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</row>
    <row r="257" spans="1:30" ht="15.75" x14ac:dyDescent="0.25">
      <c r="A257" s="16">
        <v>48731</v>
      </c>
      <c r="B257" s="97">
        <v>30</v>
      </c>
      <c r="C257" s="83">
        <f>194.205</f>
        <v>194.20500000000001</v>
      </c>
      <c r="D257" s="83">
        <f>267.466</f>
        <v>267.46600000000001</v>
      </c>
      <c r="E257" s="92">
        <f>133.845</f>
        <v>133.845</v>
      </c>
      <c r="F257" s="83">
        <f>278.484-40-25-60-100</f>
        <v>53.48399999999998</v>
      </c>
      <c r="G257" s="86">
        <v>40</v>
      </c>
      <c r="H257" s="83">
        <f t="shared" si="40"/>
        <v>185</v>
      </c>
      <c r="I257" s="83">
        <f t="shared" si="39"/>
        <v>0</v>
      </c>
      <c r="J257" s="86">
        <v>100</v>
      </c>
      <c r="K257" s="86">
        <v>300</v>
      </c>
      <c r="L257" s="83">
        <f t="shared" si="32"/>
        <v>1274</v>
      </c>
      <c r="M257" s="94">
        <v>600</v>
      </c>
      <c r="N257" s="83">
        <f>30</f>
        <v>30</v>
      </c>
      <c r="O257" s="86">
        <v>240</v>
      </c>
      <c r="P257" s="86">
        <v>160</v>
      </c>
      <c r="Q257" s="86">
        <f t="shared" si="33"/>
        <v>195</v>
      </c>
      <c r="R257" s="86">
        <f t="shared" si="34"/>
        <v>100</v>
      </c>
      <c r="S257" s="83">
        <f t="shared" si="35"/>
        <v>695</v>
      </c>
      <c r="T257" s="83">
        <f>50</f>
        <v>50</v>
      </c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</row>
    <row r="258" spans="1:30" ht="15.75" x14ac:dyDescent="0.25">
      <c r="A258" s="16">
        <v>48761</v>
      </c>
      <c r="B258" s="97">
        <v>31</v>
      </c>
      <c r="C258" s="83">
        <f>194.205</f>
        <v>194.20500000000001</v>
      </c>
      <c r="D258" s="83">
        <f>267.466</f>
        <v>267.46600000000001</v>
      </c>
      <c r="E258" s="92">
        <f>133.845</f>
        <v>133.845</v>
      </c>
      <c r="F258" s="83">
        <f>278.484-40-25-60-100</f>
        <v>53.48399999999998</v>
      </c>
      <c r="G258" s="86">
        <v>40</v>
      </c>
      <c r="H258" s="83">
        <f t="shared" si="40"/>
        <v>185</v>
      </c>
      <c r="I258" s="83">
        <f t="shared" si="39"/>
        <v>0</v>
      </c>
      <c r="J258" s="86">
        <v>100</v>
      </c>
      <c r="K258" s="86">
        <v>300</v>
      </c>
      <c r="L258" s="83">
        <f t="shared" si="32"/>
        <v>1274</v>
      </c>
      <c r="M258" s="94">
        <v>600</v>
      </c>
      <c r="N258" s="83">
        <f>30</f>
        <v>30</v>
      </c>
      <c r="O258" s="86">
        <v>240</v>
      </c>
      <c r="P258" s="86">
        <v>160</v>
      </c>
      <c r="Q258" s="86">
        <f t="shared" si="33"/>
        <v>195</v>
      </c>
      <c r="R258" s="86">
        <f t="shared" si="34"/>
        <v>100</v>
      </c>
      <c r="S258" s="83">
        <f t="shared" si="35"/>
        <v>695</v>
      </c>
      <c r="T258" s="83">
        <f>0</f>
        <v>0</v>
      </c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</row>
    <row r="259" spans="1:30" ht="15.75" x14ac:dyDescent="0.25">
      <c r="A259" s="16">
        <v>48792</v>
      </c>
      <c r="B259" s="97">
        <v>31</v>
      </c>
      <c r="C259" s="83">
        <f>194.205</f>
        <v>194.20500000000001</v>
      </c>
      <c r="D259" s="83">
        <f>267.466</f>
        <v>267.46600000000001</v>
      </c>
      <c r="E259" s="92">
        <f>133.845</f>
        <v>133.845</v>
      </c>
      <c r="F259" s="83">
        <f>278.484-40-25-60-100</f>
        <v>53.48399999999998</v>
      </c>
      <c r="G259" s="86">
        <v>40</v>
      </c>
      <c r="H259" s="83">
        <f t="shared" si="40"/>
        <v>185</v>
      </c>
      <c r="I259" s="83">
        <f t="shared" si="39"/>
        <v>0</v>
      </c>
      <c r="J259" s="86">
        <v>100</v>
      </c>
      <c r="K259" s="86">
        <v>300</v>
      </c>
      <c r="L259" s="83">
        <f t="shared" si="32"/>
        <v>1274</v>
      </c>
      <c r="M259" s="94">
        <v>600</v>
      </c>
      <c r="N259" s="83">
        <f>30</f>
        <v>30</v>
      </c>
      <c r="O259" s="86">
        <v>240</v>
      </c>
      <c r="P259" s="86">
        <v>160</v>
      </c>
      <c r="Q259" s="86">
        <f t="shared" si="33"/>
        <v>195</v>
      </c>
      <c r="R259" s="86">
        <f t="shared" si="34"/>
        <v>100</v>
      </c>
      <c r="S259" s="83">
        <f t="shared" si="35"/>
        <v>695</v>
      </c>
      <c r="T259" s="83">
        <f>0</f>
        <v>0</v>
      </c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</row>
    <row r="260" spans="1:30" ht="15.75" x14ac:dyDescent="0.25">
      <c r="A260" s="16">
        <v>48823</v>
      </c>
      <c r="B260" s="97">
        <v>30</v>
      </c>
      <c r="C260" s="83">
        <f>194.205</f>
        <v>194.20500000000001</v>
      </c>
      <c r="D260" s="83">
        <f>267.466</f>
        <v>267.46600000000001</v>
      </c>
      <c r="E260" s="92">
        <f>133.845</f>
        <v>133.845</v>
      </c>
      <c r="F260" s="83">
        <f>278.484-40-25-60-100</f>
        <v>53.48399999999998</v>
      </c>
      <c r="G260" s="86">
        <v>40</v>
      </c>
      <c r="H260" s="83">
        <f t="shared" si="40"/>
        <v>185</v>
      </c>
      <c r="I260" s="83">
        <f t="shared" si="39"/>
        <v>0</v>
      </c>
      <c r="J260" s="86">
        <v>100</v>
      </c>
      <c r="K260" s="86">
        <v>300</v>
      </c>
      <c r="L260" s="83">
        <f t="shared" si="32"/>
        <v>1274</v>
      </c>
      <c r="M260" s="94">
        <v>600</v>
      </c>
      <c r="N260" s="83">
        <f>30</f>
        <v>30</v>
      </c>
      <c r="O260" s="86">
        <v>240</v>
      </c>
      <c r="P260" s="86">
        <v>160</v>
      </c>
      <c r="Q260" s="86">
        <f t="shared" si="33"/>
        <v>195</v>
      </c>
      <c r="R260" s="86">
        <f t="shared" si="34"/>
        <v>100</v>
      </c>
      <c r="S260" s="83">
        <f t="shared" si="35"/>
        <v>695</v>
      </c>
      <c r="T260" s="83">
        <f>0</f>
        <v>0</v>
      </c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</row>
    <row r="261" spans="1:30" ht="15.75" x14ac:dyDescent="0.25">
      <c r="A261" s="16">
        <v>48853</v>
      </c>
      <c r="B261" s="97">
        <v>31</v>
      </c>
      <c r="C261" s="83">
        <f>131.881</f>
        <v>131.881</v>
      </c>
      <c r="D261" s="83">
        <f>277.167</f>
        <v>277.16699999999997</v>
      </c>
      <c r="E261" s="92">
        <f>79.08</f>
        <v>79.08</v>
      </c>
      <c r="F261" s="83">
        <f>350.872-40-25-60-100</f>
        <v>125.87200000000001</v>
      </c>
      <c r="G261" s="86">
        <v>40</v>
      </c>
      <c r="H261" s="83">
        <f t="shared" si="40"/>
        <v>185</v>
      </c>
      <c r="I261" s="83">
        <f t="shared" si="39"/>
        <v>0</v>
      </c>
      <c r="J261" s="86">
        <v>100</v>
      </c>
      <c r="K261" s="86">
        <v>300</v>
      </c>
      <c r="L261" s="83">
        <f t="shared" si="32"/>
        <v>1239</v>
      </c>
      <c r="M261" s="94">
        <v>600</v>
      </c>
      <c r="N261" s="83">
        <f>75</f>
        <v>75</v>
      </c>
      <c r="O261" s="86">
        <v>240</v>
      </c>
      <c r="P261" s="86">
        <v>160</v>
      </c>
      <c r="Q261" s="86">
        <f t="shared" si="33"/>
        <v>195</v>
      </c>
      <c r="R261" s="86">
        <f t="shared" si="34"/>
        <v>100</v>
      </c>
      <c r="S261" s="83">
        <f t="shared" si="35"/>
        <v>695</v>
      </c>
      <c r="T261" s="83">
        <f>0</f>
        <v>0</v>
      </c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</row>
    <row r="262" spans="1:30" ht="15.75" x14ac:dyDescent="0.25">
      <c r="A262" s="16">
        <v>48884</v>
      </c>
      <c r="B262" s="97">
        <v>30</v>
      </c>
      <c r="C262" s="83">
        <f>122.58</f>
        <v>122.58</v>
      </c>
      <c r="D262" s="83">
        <f>297.941</f>
        <v>297.94099999999997</v>
      </c>
      <c r="E262" s="92">
        <f>89.177</f>
        <v>89.177000000000007</v>
      </c>
      <c r="F262" s="83">
        <f>240.302-40-60-100</f>
        <v>40.301999999999992</v>
      </c>
      <c r="G262" s="86">
        <v>40</v>
      </c>
      <c r="H262" s="83">
        <f>60+100</f>
        <v>160</v>
      </c>
      <c r="I262" s="83">
        <f t="shared" si="39"/>
        <v>0</v>
      </c>
      <c r="J262" s="86">
        <v>100</v>
      </c>
      <c r="K262" s="86">
        <v>300</v>
      </c>
      <c r="L262" s="83">
        <f t="shared" si="32"/>
        <v>1150</v>
      </c>
      <c r="M262" s="94">
        <v>600</v>
      </c>
      <c r="N262" s="83">
        <f>100</f>
        <v>100</v>
      </c>
      <c r="O262" s="86">
        <v>240</v>
      </c>
      <c r="P262" s="86">
        <v>40</v>
      </c>
      <c r="Q262" s="86">
        <f t="shared" si="33"/>
        <v>315</v>
      </c>
      <c r="R262" s="86">
        <f t="shared" si="34"/>
        <v>100</v>
      </c>
      <c r="S262" s="83">
        <f t="shared" si="35"/>
        <v>695</v>
      </c>
      <c r="T262" s="83">
        <f>50</f>
        <v>50</v>
      </c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</row>
    <row r="263" spans="1:30" ht="15.75" x14ac:dyDescent="0.25">
      <c r="A263" s="16">
        <v>48914</v>
      </c>
      <c r="B263" s="97">
        <v>31</v>
      </c>
      <c r="C263" s="83">
        <f>122.58</f>
        <v>122.58</v>
      </c>
      <c r="D263" s="83">
        <f>297.941</f>
        <v>297.94099999999997</v>
      </c>
      <c r="E263" s="92">
        <f>89.177</f>
        <v>89.177000000000007</v>
      </c>
      <c r="F263" s="83">
        <f>240.302-40-60-100</f>
        <v>40.301999999999992</v>
      </c>
      <c r="G263" s="86">
        <v>40</v>
      </c>
      <c r="H263" s="83">
        <f>60+100</f>
        <v>160</v>
      </c>
      <c r="I263" s="83">
        <f t="shared" si="39"/>
        <v>0</v>
      </c>
      <c r="J263" s="86">
        <v>100</v>
      </c>
      <c r="K263" s="86">
        <v>300</v>
      </c>
      <c r="L263" s="83">
        <f t="shared" si="32"/>
        <v>1150</v>
      </c>
      <c r="M263" s="94">
        <v>600</v>
      </c>
      <c r="N263" s="83">
        <f>100</f>
        <v>100</v>
      </c>
      <c r="O263" s="86">
        <v>240</v>
      </c>
      <c r="P263" s="86">
        <v>40</v>
      </c>
      <c r="Q263" s="86">
        <f t="shared" si="33"/>
        <v>315</v>
      </c>
      <c r="R263" s="86">
        <f t="shared" si="34"/>
        <v>100</v>
      </c>
      <c r="S263" s="83">
        <f t="shared" si="35"/>
        <v>695</v>
      </c>
      <c r="T263" s="83">
        <f>50</f>
        <v>50</v>
      </c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</row>
    <row r="264" spans="1:30" ht="15.75" x14ac:dyDescent="0.25">
      <c r="A264" s="16">
        <v>48945</v>
      </c>
      <c r="B264" s="97">
        <v>31</v>
      </c>
      <c r="C264" s="83">
        <f>122.58</f>
        <v>122.58</v>
      </c>
      <c r="D264" s="83">
        <f>297.941</f>
        <v>297.94099999999997</v>
      </c>
      <c r="E264" s="92">
        <f>89.177</f>
        <v>89.177000000000007</v>
      </c>
      <c r="F264" s="83">
        <f>240.302-40-60-100</f>
        <v>40.301999999999992</v>
      </c>
      <c r="G264" s="86">
        <v>40</v>
      </c>
      <c r="H264" s="83">
        <f>60+100</f>
        <v>160</v>
      </c>
      <c r="I264" s="83">
        <f t="shared" si="39"/>
        <v>0</v>
      </c>
      <c r="J264" s="86">
        <v>100</v>
      </c>
      <c r="K264" s="86">
        <v>300</v>
      </c>
      <c r="L264" s="83">
        <f t="shared" si="32"/>
        <v>1150</v>
      </c>
      <c r="M264" s="94">
        <v>600</v>
      </c>
      <c r="N264" s="83">
        <f>100</f>
        <v>100</v>
      </c>
      <c r="O264" s="86">
        <v>240</v>
      </c>
      <c r="P264" s="86">
        <v>40</v>
      </c>
      <c r="Q264" s="86">
        <f t="shared" si="33"/>
        <v>315</v>
      </c>
      <c r="R264" s="86">
        <f t="shared" si="34"/>
        <v>100</v>
      </c>
      <c r="S264" s="83">
        <f t="shared" si="35"/>
        <v>695</v>
      </c>
      <c r="T264" s="83">
        <f>50</f>
        <v>50</v>
      </c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</row>
    <row r="265" spans="1:30" ht="15.75" x14ac:dyDescent="0.25">
      <c r="A265" s="16">
        <v>48976</v>
      </c>
      <c r="B265" s="97">
        <v>28</v>
      </c>
      <c r="C265" s="83">
        <f>122.58</f>
        <v>122.58</v>
      </c>
      <c r="D265" s="83">
        <f>297.941</f>
        <v>297.94099999999997</v>
      </c>
      <c r="E265" s="92">
        <f>89.177</f>
        <v>89.177000000000007</v>
      </c>
      <c r="F265" s="83">
        <f>240.302-40-60-100</f>
        <v>40.301999999999992</v>
      </c>
      <c r="G265" s="86">
        <v>40</v>
      </c>
      <c r="H265" s="83">
        <f>60+100</f>
        <v>160</v>
      </c>
      <c r="I265" s="83">
        <f t="shared" si="39"/>
        <v>0</v>
      </c>
      <c r="J265" s="86">
        <v>100</v>
      </c>
      <c r="K265" s="86">
        <v>300</v>
      </c>
      <c r="L265" s="83">
        <f t="shared" si="32"/>
        <v>1150</v>
      </c>
      <c r="M265" s="94">
        <v>600</v>
      </c>
      <c r="N265" s="83">
        <f>100</f>
        <v>100</v>
      </c>
      <c r="O265" s="86">
        <v>240</v>
      </c>
      <c r="P265" s="86">
        <v>40</v>
      </c>
      <c r="Q265" s="86">
        <f t="shared" si="33"/>
        <v>315</v>
      </c>
      <c r="R265" s="86">
        <f t="shared" si="34"/>
        <v>100</v>
      </c>
      <c r="S265" s="83">
        <f t="shared" si="35"/>
        <v>695</v>
      </c>
      <c r="T265" s="83">
        <f>50</f>
        <v>50</v>
      </c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</row>
    <row r="266" spans="1:30" ht="15.75" x14ac:dyDescent="0.25">
      <c r="A266" s="16">
        <v>49004</v>
      </c>
      <c r="B266" s="97">
        <v>31</v>
      </c>
      <c r="C266" s="83">
        <f>122.58</f>
        <v>122.58</v>
      </c>
      <c r="D266" s="83">
        <f>297.941</f>
        <v>297.94099999999997</v>
      </c>
      <c r="E266" s="92">
        <f>89.177</f>
        <v>89.177000000000007</v>
      </c>
      <c r="F266" s="83">
        <f>240.302-40-60-100</f>
        <v>40.301999999999992</v>
      </c>
      <c r="G266" s="86">
        <v>40</v>
      </c>
      <c r="H266" s="83">
        <f>60+100</f>
        <v>160</v>
      </c>
      <c r="I266" s="83">
        <f t="shared" si="39"/>
        <v>0</v>
      </c>
      <c r="J266" s="86">
        <v>100</v>
      </c>
      <c r="K266" s="86">
        <v>300</v>
      </c>
      <c r="L266" s="83">
        <f t="shared" si="32"/>
        <v>1150</v>
      </c>
      <c r="M266" s="94">
        <v>600</v>
      </c>
      <c r="N266" s="83">
        <f>100</f>
        <v>100</v>
      </c>
      <c r="O266" s="86">
        <v>240</v>
      </c>
      <c r="P266" s="86">
        <v>40</v>
      </c>
      <c r="Q266" s="86">
        <f t="shared" si="33"/>
        <v>315</v>
      </c>
      <c r="R266" s="86">
        <f t="shared" si="34"/>
        <v>100</v>
      </c>
      <c r="S266" s="83">
        <f t="shared" si="35"/>
        <v>695</v>
      </c>
      <c r="T266" s="83">
        <f>50</f>
        <v>50</v>
      </c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</row>
    <row r="267" spans="1:30" ht="15.75" x14ac:dyDescent="0.25">
      <c r="A267" s="16">
        <v>49035</v>
      </c>
      <c r="B267" s="97">
        <v>30</v>
      </c>
      <c r="C267" s="83">
        <f>141.293</f>
        <v>141.29300000000001</v>
      </c>
      <c r="D267" s="83">
        <f>267.993</f>
        <v>267.99299999999999</v>
      </c>
      <c r="E267" s="92">
        <f>115.016</f>
        <v>115.01600000000001</v>
      </c>
      <c r="F267" s="83">
        <f>314.698-40-25-60-100</f>
        <v>89.697999999999979</v>
      </c>
      <c r="G267" s="86">
        <v>40</v>
      </c>
      <c r="H267" s="83">
        <f t="shared" ref="H267:H273" si="41">25+60+100</f>
        <v>185</v>
      </c>
      <c r="I267" s="83">
        <f t="shared" si="39"/>
        <v>0</v>
      </c>
      <c r="J267" s="86">
        <v>100</v>
      </c>
      <c r="K267" s="86">
        <v>300</v>
      </c>
      <c r="L267" s="83">
        <f t="shared" si="32"/>
        <v>1239</v>
      </c>
      <c r="M267" s="94">
        <v>600</v>
      </c>
      <c r="N267" s="83">
        <f>100</f>
        <v>100</v>
      </c>
      <c r="O267" s="86">
        <v>240</v>
      </c>
      <c r="P267" s="86">
        <v>160</v>
      </c>
      <c r="Q267" s="86">
        <f t="shared" si="33"/>
        <v>195</v>
      </c>
      <c r="R267" s="86">
        <f t="shared" si="34"/>
        <v>100</v>
      </c>
      <c r="S267" s="83">
        <f t="shared" si="35"/>
        <v>695</v>
      </c>
      <c r="T267" s="83">
        <f>50</f>
        <v>50</v>
      </c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</row>
    <row r="268" spans="1:30" ht="15.75" x14ac:dyDescent="0.25">
      <c r="A268" s="16">
        <v>49065</v>
      </c>
      <c r="B268" s="97">
        <v>31</v>
      </c>
      <c r="C268" s="83">
        <f>194.205</f>
        <v>194.20500000000001</v>
      </c>
      <c r="D268" s="83">
        <f>267.466</f>
        <v>267.46600000000001</v>
      </c>
      <c r="E268" s="92">
        <f>133.845</f>
        <v>133.845</v>
      </c>
      <c r="F268" s="83">
        <f>278.484-40-25-60-100</f>
        <v>53.48399999999998</v>
      </c>
      <c r="G268" s="86">
        <v>40</v>
      </c>
      <c r="H268" s="83">
        <f t="shared" si="41"/>
        <v>185</v>
      </c>
      <c r="I268" s="83">
        <f t="shared" si="39"/>
        <v>0</v>
      </c>
      <c r="J268" s="86">
        <v>100</v>
      </c>
      <c r="K268" s="86">
        <v>300</v>
      </c>
      <c r="L268" s="83">
        <f t="shared" si="32"/>
        <v>1274</v>
      </c>
      <c r="M268" s="94">
        <v>600</v>
      </c>
      <c r="N268" s="83">
        <f>75</f>
        <v>75</v>
      </c>
      <c r="O268" s="86">
        <v>240</v>
      </c>
      <c r="P268" s="86">
        <v>160</v>
      </c>
      <c r="Q268" s="86">
        <f t="shared" si="33"/>
        <v>195</v>
      </c>
      <c r="R268" s="86">
        <f t="shared" si="34"/>
        <v>100</v>
      </c>
      <c r="S268" s="83">
        <f t="shared" si="35"/>
        <v>695</v>
      </c>
      <c r="T268" s="83">
        <f>50</f>
        <v>50</v>
      </c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</row>
    <row r="269" spans="1:30" ht="15.75" x14ac:dyDescent="0.25">
      <c r="A269" s="16">
        <v>49096</v>
      </c>
      <c r="B269" s="97">
        <v>30</v>
      </c>
      <c r="C269" s="83">
        <f>194.205</f>
        <v>194.20500000000001</v>
      </c>
      <c r="D269" s="83">
        <f>267.466</f>
        <v>267.46600000000001</v>
      </c>
      <c r="E269" s="92">
        <f>133.845</f>
        <v>133.845</v>
      </c>
      <c r="F269" s="83">
        <f>278.484-40-25-60-100</f>
        <v>53.48399999999998</v>
      </c>
      <c r="G269" s="86">
        <v>40</v>
      </c>
      <c r="H269" s="83">
        <f t="shared" si="41"/>
        <v>185</v>
      </c>
      <c r="I269" s="83">
        <f t="shared" si="39"/>
        <v>0</v>
      </c>
      <c r="J269" s="86">
        <v>100</v>
      </c>
      <c r="K269" s="86">
        <v>300</v>
      </c>
      <c r="L269" s="83">
        <f t="shared" si="32"/>
        <v>1274</v>
      </c>
      <c r="M269" s="94">
        <v>600</v>
      </c>
      <c r="N269" s="83">
        <f>30</f>
        <v>30</v>
      </c>
      <c r="O269" s="86">
        <v>240</v>
      </c>
      <c r="P269" s="86">
        <v>160</v>
      </c>
      <c r="Q269" s="86">
        <f t="shared" si="33"/>
        <v>195</v>
      </c>
      <c r="R269" s="86">
        <f t="shared" si="34"/>
        <v>100</v>
      </c>
      <c r="S269" s="83">
        <f t="shared" si="35"/>
        <v>695</v>
      </c>
      <c r="T269" s="83">
        <f>50</f>
        <v>50</v>
      </c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</row>
    <row r="270" spans="1:30" ht="15.75" x14ac:dyDescent="0.25">
      <c r="A270" s="16">
        <v>49126</v>
      </c>
      <c r="B270" s="97">
        <v>31</v>
      </c>
      <c r="C270" s="83">
        <f>194.205</f>
        <v>194.20500000000001</v>
      </c>
      <c r="D270" s="83">
        <f>267.466</f>
        <v>267.46600000000001</v>
      </c>
      <c r="E270" s="92">
        <f>133.845</f>
        <v>133.845</v>
      </c>
      <c r="F270" s="83">
        <f>278.484-40-25-60-100</f>
        <v>53.48399999999998</v>
      </c>
      <c r="G270" s="86">
        <v>40</v>
      </c>
      <c r="H270" s="83">
        <f t="shared" si="41"/>
        <v>185</v>
      </c>
      <c r="I270" s="83">
        <f t="shared" si="39"/>
        <v>0</v>
      </c>
      <c r="J270" s="86">
        <v>100</v>
      </c>
      <c r="K270" s="86">
        <v>300</v>
      </c>
      <c r="L270" s="83">
        <f t="shared" si="32"/>
        <v>1274</v>
      </c>
      <c r="M270" s="94">
        <v>600</v>
      </c>
      <c r="N270" s="83">
        <f>30</f>
        <v>30</v>
      </c>
      <c r="O270" s="86">
        <v>240</v>
      </c>
      <c r="P270" s="86">
        <v>160</v>
      </c>
      <c r="Q270" s="86">
        <f t="shared" si="33"/>
        <v>195</v>
      </c>
      <c r="R270" s="86">
        <f t="shared" si="34"/>
        <v>100</v>
      </c>
      <c r="S270" s="83">
        <f t="shared" si="35"/>
        <v>695</v>
      </c>
      <c r="T270" s="83">
        <f>0</f>
        <v>0</v>
      </c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</row>
    <row r="271" spans="1:30" ht="15.75" x14ac:dyDescent="0.25">
      <c r="A271" s="16">
        <v>49157</v>
      </c>
      <c r="B271" s="97">
        <v>31</v>
      </c>
      <c r="C271" s="83">
        <f>194.205</f>
        <v>194.20500000000001</v>
      </c>
      <c r="D271" s="83">
        <f>267.466</f>
        <v>267.46600000000001</v>
      </c>
      <c r="E271" s="92">
        <f>133.845</f>
        <v>133.845</v>
      </c>
      <c r="F271" s="83">
        <f>278.484-40-25-60-100</f>
        <v>53.48399999999998</v>
      </c>
      <c r="G271" s="86">
        <v>40</v>
      </c>
      <c r="H271" s="83">
        <f t="shared" si="41"/>
        <v>185</v>
      </c>
      <c r="I271" s="83">
        <f t="shared" si="39"/>
        <v>0</v>
      </c>
      <c r="J271" s="86">
        <v>100</v>
      </c>
      <c r="K271" s="86">
        <v>300</v>
      </c>
      <c r="L271" s="83">
        <f t="shared" si="32"/>
        <v>1274</v>
      </c>
      <c r="M271" s="94">
        <v>600</v>
      </c>
      <c r="N271" s="83">
        <f>30</f>
        <v>30</v>
      </c>
      <c r="O271" s="86">
        <v>240</v>
      </c>
      <c r="P271" s="86">
        <v>160</v>
      </c>
      <c r="Q271" s="86">
        <f t="shared" si="33"/>
        <v>195</v>
      </c>
      <c r="R271" s="86">
        <f t="shared" si="34"/>
        <v>100</v>
      </c>
      <c r="S271" s="83">
        <f t="shared" si="35"/>
        <v>695</v>
      </c>
      <c r="T271" s="83">
        <f>0</f>
        <v>0</v>
      </c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</row>
    <row r="272" spans="1:30" ht="15.75" x14ac:dyDescent="0.25">
      <c r="A272" s="16">
        <v>49188</v>
      </c>
      <c r="B272" s="97">
        <v>30</v>
      </c>
      <c r="C272" s="83">
        <f>194.205</f>
        <v>194.20500000000001</v>
      </c>
      <c r="D272" s="83">
        <f>267.466</f>
        <v>267.46600000000001</v>
      </c>
      <c r="E272" s="92">
        <f>133.845</f>
        <v>133.845</v>
      </c>
      <c r="F272" s="83">
        <f>278.484-40-25-60-100</f>
        <v>53.48399999999998</v>
      </c>
      <c r="G272" s="86">
        <v>40</v>
      </c>
      <c r="H272" s="83">
        <f t="shared" si="41"/>
        <v>185</v>
      </c>
      <c r="I272" s="83">
        <f t="shared" si="39"/>
        <v>0</v>
      </c>
      <c r="J272" s="86">
        <v>100</v>
      </c>
      <c r="K272" s="86">
        <v>300</v>
      </c>
      <c r="L272" s="83">
        <f t="shared" si="32"/>
        <v>1274</v>
      </c>
      <c r="M272" s="94">
        <v>600</v>
      </c>
      <c r="N272" s="83">
        <f>30</f>
        <v>30</v>
      </c>
      <c r="O272" s="86">
        <v>240</v>
      </c>
      <c r="P272" s="86">
        <v>160</v>
      </c>
      <c r="Q272" s="86">
        <f t="shared" si="33"/>
        <v>195</v>
      </c>
      <c r="R272" s="86">
        <f t="shared" si="34"/>
        <v>100</v>
      </c>
      <c r="S272" s="83">
        <f t="shared" si="35"/>
        <v>695</v>
      </c>
      <c r="T272" s="83">
        <f>0</f>
        <v>0</v>
      </c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</row>
    <row r="273" spans="1:30" ht="15.75" x14ac:dyDescent="0.25">
      <c r="A273" s="16">
        <v>49218</v>
      </c>
      <c r="B273" s="97">
        <v>31</v>
      </c>
      <c r="C273" s="83">
        <f>131.881</f>
        <v>131.881</v>
      </c>
      <c r="D273" s="83">
        <f>277.167</f>
        <v>277.16699999999997</v>
      </c>
      <c r="E273" s="92">
        <f>79.08</f>
        <v>79.08</v>
      </c>
      <c r="F273" s="83">
        <f>350.872-40-25-60-100</f>
        <v>125.87200000000001</v>
      </c>
      <c r="G273" s="86">
        <v>40</v>
      </c>
      <c r="H273" s="83">
        <f t="shared" si="41"/>
        <v>185</v>
      </c>
      <c r="I273" s="83">
        <f t="shared" si="39"/>
        <v>0</v>
      </c>
      <c r="J273" s="86">
        <v>100</v>
      </c>
      <c r="K273" s="86">
        <v>300</v>
      </c>
      <c r="L273" s="83">
        <f t="shared" si="32"/>
        <v>1239</v>
      </c>
      <c r="M273" s="94">
        <v>600</v>
      </c>
      <c r="N273" s="83">
        <f>75</f>
        <v>75</v>
      </c>
      <c r="O273" s="86">
        <v>240</v>
      </c>
      <c r="P273" s="86">
        <v>160</v>
      </c>
      <c r="Q273" s="86">
        <f t="shared" si="33"/>
        <v>195</v>
      </c>
      <c r="R273" s="86">
        <f t="shared" si="34"/>
        <v>100</v>
      </c>
      <c r="S273" s="83">
        <f t="shared" si="35"/>
        <v>695</v>
      </c>
      <c r="T273" s="83">
        <f>0</f>
        <v>0</v>
      </c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</row>
    <row r="274" spans="1:30" ht="15.75" x14ac:dyDescent="0.25">
      <c r="A274" s="16">
        <v>49249</v>
      </c>
      <c r="B274" s="97">
        <v>30</v>
      </c>
      <c r="C274" s="83">
        <f>122.58</f>
        <v>122.58</v>
      </c>
      <c r="D274" s="83">
        <f>297.941</f>
        <v>297.94099999999997</v>
      </c>
      <c r="E274" s="92">
        <f>89.177</f>
        <v>89.177000000000007</v>
      </c>
      <c r="F274" s="83">
        <f>240.302-40-60-100</f>
        <v>40.301999999999992</v>
      </c>
      <c r="G274" s="86">
        <v>40</v>
      </c>
      <c r="H274" s="83">
        <f>60+100</f>
        <v>160</v>
      </c>
      <c r="I274" s="83">
        <f t="shared" si="39"/>
        <v>0</v>
      </c>
      <c r="J274" s="86">
        <v>100</v>
      </c>
      <c r="K274" s="86">
        <v>300</v>
      </c>
      <c r="L274" s="83">
        <f t="shared" si="32"/>
        <v>1150</v>
      </c>
      <c r="M274" s="94">
        <v>600</v>
      </c>
      <c r="N274" s="83">
        <f>100</f>
        <v>100</v>
      </c>
      <c r="O274" s="86">
        <v>240</v>
      </c>
      <c r="P274" s="86">
        <v>40</v>
      </c>
      <c r="Q274" s="86">
        <f t="shared" si="33"/>
        <v>315</v>
      </c>
      <c r="R274" s="86">
        <f t="shared" si="34"/>
        <v>100</v>
      </c>
      <c r="S274" s="83">
        <f t="shared" si="35"/>
        <v>695</v>
      </c>
      <c r="T274" s="83">
        <f>50</f>
        <v>50</v>
      </c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</row>
    <row r="275" spans="1:30" ht="15.75" x14ac:dyDescent="0.25">
      <c r="A275" s="16">
        <v>49279</v>
      </c>
      <c r="B275" s="97">
        <v>31</v>
      </c>
      <c r="C275" s="83">
        <f>122.58</f>
        <v>122.58</v>
      </c>
      <c r="D275" s="83">
        <f>297.941</f>
        <v>297.94099999999997</v>
      </c>
      <c r="E275" s="92">
        <f>89.177</f>
        <v>89.177000000000007</v>
      </c>
      <c r="F275" s="83">
        <f>240.302-40-60-100</f>
        <v>40.301999999999992</v>
      </c>
      <c r="G275" s="86">
        <v>40</v>
      </c>
      <c r="H275" s="83">
        <f>60+100</f>
        <v>160</v>
      </c>
      <c r="I275" s="83">
        <f t="shared" si="39"/>
        <v>0</v>
      </c>
      <c r="J275" s="86">
        <v>100</v>
      </c>
      <c r="K275" s="86">
        <v>300</v>
      </c>
      <c r="L275" s="83">
        <f t="shared" si="32"/>
        <v>1150</v>
      </c>
      <c r="M275" s="94">
        <v>600</v>
      </c>
      <c r="N275" s="83">
        <f>100</f>
        <v>100</v>
      </c>
      <c r="O275" s="86">
        <v>240</v>
      </c>
      <c r="P275" s="86">
        <v>40</v>
      </c>
      <c r="Q275" s="86">
        <f t="shared" si="33"/>
        <v>315</v>
      </c>
      <c r="R275" s="86">
        <f t="shared" si="34"/>
        <v>100</v>
      </c>
      <c r="S275" s="83">
        <f t="shared" si="35"/>
        <v>695</v>
      </c>
      <c r="T275" s="83">
        <f>50</f>
        <v>50</v>
      </c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</row>
    <row r="276" spans="1:30" ht="15.75" x14ac:dyDescent="0.25">
      <c r="A276" s="16">
        <v>49310</v>
      </c>
      <c r="B276" s="97">
        <v>31</v>
      </c>
      <c r="C276" s="83">
        <f>122.58</f>
        <v>122.58</v>
      </c>
      <c r="D276" s="83">
        <f>297.941</f>
        <v>297.94099999999997</v>
      </c>
      <c r="E276" s="92">
        <f>89.177</f>
        <v>89.177000000000007</v>
      </c>
      <c r="F276" s="83">
        <f>240.302-40-60-100</f>
        <v>40.301999999999992</v>
      </c>
      <c r="G276" s="86">
        <v>40</v>
      </c>
      <c r="H276" s="83">
        <f>60+100</f>
        <v>160</v>
      </c>
      <c r="I276" s="83">
        <f t="shared" si="39"/>
        <v>0</v>
      </c>
      <c r="J276" s="86">
        <v>100</v>
      </c>
      <c r="K276" s="86">
        <v>300</v>
      </c>
      <c r="L276" s="83">
        <f t="shared" si="32"/>
        <v>1150</v>
      </c>
      <c r="M276" s="94">
        <v>600</v>
      </c>
      <c r="N276" s="83">
        <f>100</f>
        <v>100</v>
      </c>
      <c r="O276" s="86">
        <v>240</v>
      </c>
      <c r="P276" s="86">
        <v>40</v>
      </c>
      <c r="Q276" s="86">
        <f t="shared" si="33"/>
        <v>315</v>
      </c>
      <c r="R276" s="86">
        <f t="shared" si="34"/>
        <v>100</v>
      </c>
      <c r="S276" s="83">
        <f t="shared" si="35"/>
        <v>695</v>
      </c>
      <c r="T276" s="83">
        <f>50</f>
        <v>50</v>
      </c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</row>
    <row r="277" spans="1:30" ht="15.75" x14ac:dyDescent="0.25">
      <c r="A277" s="16">
        <v>49341</v>
      </c>
      <c r="B277" s="97">
        <v>28</v>
      </c>
      <c r="C277" s="83">
        <f>122.58</f>
        <v>122.58</v>
      </c>
      <c r="D277" s="83">
        <f>297.941</f>
        <v>297.94099999999997</v>
      </c>
      <c r="E277" s="92">
        <f>89.177</f>
        <v>89.177000000000007</v>
      </c>
      <c r="F277" s="83">
        <f>240.302-40-60-100</f>
        <v>40.301999999999992</v>
      </c>
      <c r="G277" s="86">
        <v>40</v>
      </c>
      <c r="H277" s="83">
        <f>60+100</f>
        <v>160</v>
      </c>
      <c r="I277" s="83">
        <f t="shared" si="39"/>
        <v>0</v>
      </c>
      <c r="J277" s="86">
        <v>100</v>
      </c>
      <c r="K277" s="86">
        <v>300</v>
      </c>
      <c r="L277" s="83">
        <f t="shared" si="32"/>
        <v>1150</v>
      </c>
      <c r="M277" s="94">
        <v>600</v>
      </c>
      <c r="N277" s="83">
        <f>100</f>
        <v>100</v>
      </c>
      <c r="O277" s="86">
        <v>240</v>
      </c>
      <c r="P277" s="86">
        <v>40</v>
      </c>
      <c r="Q277" s="86">
        <f t="shared" si="33"/>
        <v>315</v>
      </c>
      <c r="R277" s="86">
        <f t="shared" si="34"/>
        <v>100</v>
      </c>
      <c r="S277" s="83">
        <f t="shared" si="35"/>
        <v>695</v>
      </c>
      <c r="T277" s="83">
        <f>50</f>
        <v>50</v>
      </c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</row>
    <row r="278" spans="1:30" ht="15.75" x14ac:dyDescent="0.25">
      <c r="A278" s="16">
        <v>49369</v>
      </c>
      <c r="B278" s="97">
        <v>31</v>
      </c>
      <c r="C278" s="83">
        <f>122.58</f>
        <v>122.58</v>
      </c>
      <c r="D278" s="83">
        <f>297.941</f>
        <v>297.94099999999997</v>
      </c>
      <c r="E278" s="92">
        <f>89.177</f>
        <v>89.177000000000007</v>
      </c>
      <c r="F278" s="83">
        <f>240.302-40-60-100</f>
        <v>40.301999999999992</v>
      </c>
      <c r="G278" s="86">
        <v>40</v>
      </c>
      <c r="H278" s="83">
        <f>60+100</f>
        <v>160</v>
      </c>
      <c r="I278" s="83">
        <f t="shared" si="39"/>
        <v>0</v>
      </c>
      <c r="J278" s="86">
        <v>100</v>
      </c>
      <c r="K278" s="86">
        <v>300</v>
      </c>
      <c r="L278" s="83">
        <f t="shared" si="32"/>
        <v>1150</v>
      </c>
      <c r="M278" s="94">
        <v>600</v>
      </c>
      <c r="N278" s="83">
        <f>100</f>
        <v>100</v>
      </c>
      <c r="O278" s="86">
        <v>240</v>
      </c>
      <c r="P278" s="86">
        <v>40</v>
      </c>
      <c r="Q278" s="86">
        <f t="shared" si="33"/>
        <v>315</v>
      </c>
      <c r="R278" s="86">
        <f t="shared" si="34"/>
        <v>100</v>
      </c>
      <c r="S278" s="83">
        <f t="shared" si="35"/>
        <v>695</v>
      </c>
      <c r="T278" s="83">
        <f>50</f>
        <v>50</v>
      </c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</row>
    <row r="279" spans="1:30" ht="15.75" x14ac:dyDescent="0.25">
      <c r="A279" s="16">
        <v>49400</v>
      </c>
      <c r="B279" s="97">
        <v>30</v>
      </c>
      <c r="C279" s="83">
        <f>141.293</f>
        <v>141.29300000000001</v>
      </c>
      <c r="D279" s="83">
        <f>267.993</f>
        <v>267.99299999999999</v>
      </c>
      <c r="E279" s="92">
        <f>115.016</f>
        <v>115.01600000000001</v>
      </c>
      <c r="F279" s="83">
        <f>314.698-40-25-60-100</f>
        <v>89.697999999999979</v>
      </c>
      <c r="G279" s="86">
        <v>40</v>
      </c>
      <c r="H279" s="83">
        <f t="shared" ref="H279:H285" si="42">25+60+100</f>
        <v>185</v>
      </c>
      <c r="I279" s="83">
        <f t="shared" si="39"/>
        <v>0</v>
      </c>
      <c r="J279" s="86">
        <v>100</v>
      </c>
      <c r="K279" s="86">
        <v>300</v>
      </c>
      <c r="L279" s="83">
        <f t="shared" ref="L279:L342" si="43">SUM(C279:K279)</f>
        <v>1239</v>
      </c>
      <c r="M279" s="94">
        <v>600</v>
      </c>
      <c r="N279" s="83">
        <f>100</f>
        <v>100</v>
      </c>
      <c r="O279" s="86">
        <v>240</v>
      </c>
      <c r="P279" s="86">
        <v>160</v>
      </c>
      <c r="Q279" s="86">
        <f t="shared" ref="Q279:Q342" si="44">695-R279-O279-P279</f>
        <v>195</v>
      </c>
      <c r="R279" s="86">
        <f t="shared" ref="R279:R342" si="45">200-J279</f>
        <v>100</v>
      </c>
      <c r="S279" s="83">
        <f t="shared" ref="S279:S342" si="46">SUM(O279:R279)</f>
        <v>695</v>
      </c>
      <c r="T279" s="83">
        <f>50</f>
        <v>50</v>
      </c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</row>
    <row r="280" spans="1:30" ht="15.75" x14ac:dyDescent="0.25">
      <c r="A280" s="16">
        <v>49430</v>
      </c>
      <c r="B280" s="97">
        <v>31</v>
      </c>
      <c r="C280" s="83">
        <f>194.205</f>
        <v>194.20500000000001</v>
      </c>
      <c r="D280" s="83">
        <f>267.466</f>
        <v>267.46600000000001</v>
      </c>
      <c r="E280" s="92">
        <f>133.845</f>
        <v>133.845</v>
      </c>
      <c r="F280" s="83">
        <f>278.484-40-25-60-100</f>
        <v>53.48399999999998</v>
      </c>
      <c r="G280" s="86">
        <v>40</v>
      </c>
      <c r="H280" s="83">
        <f t="shared" si="42"/>
        <v>185</v>
      </c>
      <c r="I280" s="83">
        <f t="shared" si="39"/>
        <v>0</v>
      </c>
      <c r="J280" s="86">
        <v>100</v>
      </c>
      <c r="K280" s="86">
        <v>300</v>
      </c>
      <c r="L280" s="83">
        <f t="shared" si="43"/>
        <v>1274</v>
      </c>
      <c r="M280" s="94">
        <v>600</v>
      </c>
      <c r="N280" s="83">
        <f>75</f>
        <v>75</v>
      </c>
      <c r="O280" s="86">
        <v>240</v>
      </c>
      <c r="P280" s="86">
        <v>160</v>
      </c>
      <c r="Q280" s="86">
        <f t="shared" si="44"/>
        <v>195</v>
      </c>
      <c r="R280" s="86">
        <f t="shared" si="45"/>
        <v>100</v>
      </c>
      <c r="S280" s="83">
        <f t="shared" si="46"/>
        <v>695</v>
      </c>
      <c r="T280" s="83">
        <f>50</f>
        <v>50</v>
      </c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</row>
    <row r="281" spans="1:30" ht="15.75" x14ac:dyDescent="0.25">
      <c r="A281" s="15">
        <v>49461</v>
      </c>
      <c r="B281" s="97">
        <v>30</v>
      </c>
      <c r="C281" s="83">
        <f>194.205</f>
        <v>194.20500000000001</v>
      </c>
      <c r="D281" s="83">
        <f>267.466</f>
        <v>267.46600000000001</v>
      </c>
      <c r="E281" s="92">
        <f>133.845</f>
        <v>133.845</v>
      </c>
      <c r="F281" s="83">
        <f>278.484-40-25-60-100</f>
        <v>53.48399999999998</v>
      </c>
      <c r="G281" s="86">
        <v>40</v>
      </c>
      <c r="H281" s="83">
        <f t="shared" si="42"/>
        <v>185</v>
      </c>
      <c r="I281" s="83">
        <f t="shared" si="39"/>
        <v>0</v>
      </c>
      <c r="J281" s="86">
        <v>100</v>
      </c>
      <c r="K281" s="86">
        <v>300</v>
      </c>
      <c r="L281" s="83">
        <f t="shared" si="43"/>
        <v>1274</v>
      </c>
      <c r="M281" s="94">
        <v>600</v>
      </c>
      <c r="N281" s="83">
        <f>30</f>
        <v>30</v>
      </c>
      <c r="O281" s="86">
        <v>240</v>
      </c>
      <c r="P281" s="86">
        <v>160</v>
      </c>
      <c r="Q281" s="86">
        <f t="shared" si="44"/>
        <v>195</v>
      </c>
      <c r="R281" s="86">
        <f t="shared" si="45"/>
        <v>100</v>
      </c>
      <c r="S281" s="83">
        <f t="shared" si="46"/>
        <v>695</v>
      </c>
      <c r="T281" s="83">
        <f>50</f>
        <v>50</v>
      </c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</row>
    <row r="282" spans="1:30" ht="15.75" x14ac:dyDescent="0.25">
      <c r="A282" s="15">
        <v>49491</v>
      </c>
      <c r="B282" s="97">
        <v>31</v>
      </c>
      <c r="C282" s="83">
        <f>194.205</f>
        <v>194.20500000000001</v>
      </c>
      <c r="D282" s="83">
        <f>267.466</f>
        <v>267.46600000000001</v>
      </c>
      <c r="E282" s="92">
        <f>133.845</f>
        <v>133.845</v>
      </c>
      <c r="F282" s="83">
        <f>278.484-40-25-60-100</f>
        <v>53.48399999999998</v>
      </c>
      <c r="G282" s="86">
        <v>40</v>
      </c>
      <c r="H282" s="83">
        <f t="shared" si="42"/>
        <v>185</v>
      </c>
      <c r="I282" s="83">
        <f t="shared" si="39"/>
        <v>0</v>
      </c>
      <c r="J282" s="86">
        <v>100</v>
      </c>
      <c r="K282" s="86">
        <v>300</v>
      </c>
      <c r="L282" s="83">
        <f t="shared" si="43"/>
        <v>1274</v>
      </c>
      <c r="M282" s="94">
        <v>600</v>
      </c>
      <c r="N282" s="83">
        <f>30</f>
        <v>30</v>
      </c>
      <c r="O282" s="86">
        <v>240</v>
      </c>
      <c r="P282" s="86">
        <v>160</v>
      </c>
      <c r="Q282" s="86">
        <f t="shared" si="44"/>
        <v>195</v>
      </c>
      <c r="R282" s="86">
        <f t="shared" si="45"/>
        <v>100</v>
      </c>
      <c r="S282" s="83">
        <f t="shared" si="46"/>
        <v>695</v>
      </c>
      <c r="T282" s="83">
        <f>0</f>
        <v>0</v>
      </c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</row>
    <row r="283" spans="1:30" ht="15.75" x14ac:dyDescent="0.25">
      <c r="A283" s="15">
        <v>49522</v>
      </c>
      <c r="B283" s="97">
        <v>31</v>
      </c>
      <c r="C283" s="83">
        <f>194.205</f>
        <v>194.20500000000001</v>
      </c>
      <c r="D283" s="83">
        <f>267.466</f>
        <v>267.46600000000001</v>
      </c>
      <c r="E283" s="92">
        <f>133.845</f>
        <v>133.845</v>
      </c>
      <c r="F283" s="83">
        <f>278.484-40-25-60-100</f>
        <v>53.48399999999998</v>
      </c>
      <c r="G283" s="86">
        <v>40</v>
      </c>
      <c r="H283" s="83">
        <f t="shared" si="42"/>
        <v>185</v>
      </c>
      <c r="I283" s="83">
        <f t="shared" si="39"/>
        <v>0</v>
      </c>
      <c r="J283" s="86">
        <v>100</v>
      </c>
      <c r="K283" s="86">
        <v>300</v>
      </c>
      <c r="L283" s="83">
        <f t="shared" si="43"/>
        <v>1274</v>
      </c>
      <c r="M283" s="94">
        <v>600</v>
      </c>
      <c r="N283" s="83">
        <f>30</f>
        <v>30</v>
      </c>
      <c r="O283" s="86">
        <v>240</v>
      </c>
      <c r="P283" s="86">
        <v>160</v>
      </c>
      <c r="Q283" s="86">
        <f t="shared" si="44"/>
        <v>195</v>
      </c>
      <c r="R283" s="86">
        <f t="shared" si="45"/>
        <v>100</v>
      </c>
      <c r="S283" s="83">
        <f t="shared" si="46"/>
        <v>695</v>
      </c>
      <c r="T283" s="83">
        <f>0</f>
        <v>0</v>
      </c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</row>
    <row r="284" spans="1:30" ht="15.75" x14ac:dyDescent="0.25">
      <c r="A284" s="15">
        <v>49553</v>
      </c>
      <c r="B284" s="97">
        <v>30</v>
      </c>
      <c r="C284" s="83">
        <f>194.205</f>
        <v>194.20500000000001</v>
      </c>
      <c r="D284" s="83">
        <f>267.466</f>
        <v>267.46600000000001</v>
      </c>
      <c r="E284" s="92">
        <f>133.845</f>
        <v>133.845</v>
      </c>
      <c r="F284" s="83">
        <f>278.484-40-25-60-100</f>
        <v>53.48399999999998</v>
      </c>
      <c r="G284" s="86">
        <v>40</v>
      </c>
      <c r="H284" s="83">
        <f t="shared" si="42"/>
        <v>185</v>
      </c>
      <c r="I284" s="83">
        <f t="shared" si="39"/>
        <v>0</v>
      </c>
      <c r="J284" s="86">
        <v>100</v>
      </c>
      <c r="K284" s="86">
        <v>300</v>
      </c>
      <c r="L284" s="83">
        <f t="shared" si="43"/>
        <v>1274</v>
      </c>
      <c r="M284" s="94">
        <v>600</v>
      </c>
      <c r="N284" s="83">
        <f>30</f>
        <v>30</v>
      </c>
      <c r="O284" s="86">
        <v>240</v>
      </c>
      <c r="P284" s="86">
        <v>160</v>
      </c>
      <c r="Q284" s="86">
        <f t="shared" si="44"/>
        <v>195</v>
      </c>
      <c r="R284" s="86">
        <f t="shared" si="45"/>
        <v>100</v>
      </c>
      <c r="S284" s="83">
        <f t="shared" si="46"/>
        <v>695</v>
      </c>
      <c r="T284" s="83">
        <f>0</f>
        <v>0</v>
      </c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</row>
    <row r="285" spans="1:30" ht="15.75" x14ac:dyDescent="0.25">
      <c r="A285" s="15">
        <v>49583</v>
      </c>
      <c r="B285" s="97">
        <v>31</v>
      </c>
      <c r="C285" s="83">
        <f>131.881</f>
        <v>131.881</v>
      </c>
      <c r="D285" s="83">
        <f>277.167</f>
        <v>277.16699999999997</v>
      </c>
      <c r="E285" s="92">
        <f>79.08</f>
        <v>79.08</v>
      </c>
      <c r="F285" s="83">
        <f>350.872-40-25-60-100</f>
        <v>125.87200000000001</v>
      </c>
      <c r="G285" s="86">
        <v>40</v>
      </c>
      <c r="H285" s="83">
        <f t="shared" si="42"/>
        <v>185</v>
      </c>
      <c r="I285" s="83">
        <f t="shared" si="39"/>
        <v>0</v>
      </c>
      <c r="J285" s="86">
        <v>100</v>
      </c>
      <c r="K285" s="86">
        <v>300</v>
      </c>
      <c r="L285" s="83">
        <f t="shared" si="43"/>
        <v>1239</v>
      </c>
      <c r="M285" s="94">
        <v>600</v>
      </c>
      <c r="N285" s="83">
        <f>75</f>
        <v>75</v>
      </c>
      <c r="O285" s="86">
        <v>240</v>
      </c>
      <c r="P285" s="86">
        <v>160</v>
      </c>
      <c r="Q285" s="86">
        <f t="shared" si="44"/>
        <v>195</v>
      </c>
      <c r="R285" s="86">
        <f t="shared" si="45"/>
        <v>100</v>
      </c>
      <c r="S285" s="83">
        <f t="shared" si="46"/>
        <v>695</v>
      </c>
      <c r="T285" s="83">
        <f>0</f>
        <v>0</v>
      </c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</row>
    <row r="286" spans="1:30" ht="15.75" x14ac:dyDescent="0.25">
      <c r="A286" s="15">
        <v>49614</v>
      </c>
      <c r="B286" s="97">
        <v>30</v>
      </c>
      <c r="C286" s="83">
        <f>122.58</f>
        <v>122.58</v>
      </c>
      <c r="D286" s="83">
        <f>297.941</f>
        <v>297.94099999999997</v>
      </c>
      <c r="E286" s="92">
        <f>89.177</f>
        <v>89.177000000000007</v>
      </c>
      <c r="F286" s="83">
        <f>240.302-40-60-100</f>
        <v>40.301999999999992</v>
      </c>
      <c r="G286" s="86">
        <v>40</v>
      </c>
      <c r="H286" s="83">
        <f>60+100</f>
        <v>160</v>
      </c>
      <c r="I286" s="83">
        <f t="shared" si="39"/>
        <v>0</v>
      </c>
      <c r="J286" s="86">
        <v>100</v>
      </c>
      <c r="K286" s="86">
        <v>300</v>
      </c>
      <c r="L286" s="83">
        <f t="shared" si="43"/>
        <v>1150</v>
      </c>
      <c r="M286" s="94">
        <v>600</v>
      </c>
      <c r="N286" s="83">
        <f>100</f>
        <v>100</v>
      </c>
      <c r="O286" s="86">
        <v>240</v>
      </c>
      <c r="P286" s="86">
        <v>40</v>
      </c>
      <c r="Q286" s="86">
        <f t="shared" si="44"/>
        <v>315</v>
      </c>
      <c r="R286" s="86">
        <f t="shared" si="45"/>
        <v>100</v>
      </c>
      <c r="S286" s="83">
        <f t="shared" si="46"/>
        <v>695</v>
      </c>
      <c r="T286" s="83">
        <f>50</f>
        <v>50</v>
      </c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</row>
    <row r="287" spans="1:30" ht="15.75" x14ac:dyDescent="0.25">
      <c r="A287" s="15">
        <v>49644</v>
      </c>
      <c r="B287" s="97">
        <v>31</v>
      </c>
      <c r="C287" s="83">
        <f>122.58</f>
        <v>122.58</v>
      </c>
      <c r="D287" s="83">
        <f>297.941</f>
        <v>297.94099999999997</v>
      </c>
      <c r="E287" s="92">
        <f>89.177</f>
        <v>89.177000000000007</v>
      </c>
      <c r="F287" s="83">
        <f>240.302-40-60-100</f>
        <v>40.301999999999992</v>
      </c>
      <c r="G287" s="86">
        <v>40</v>
      </c>
      <c r="H287" s="83">
        <f>60+100</f>
        <v>160</v>
      </c>
      <c r="I287" s="83">
        <f t="shared" si="39"/>
        <v>0</v>
      </c>
      <c r="J287" s="86">
        <v>100</v>
      </c>
      <c r="K287" s="86">
        <v>300</v>
      </c>
      <c r="L287" s="83">
        <f t="shared" si="43"/>
        <v>1150</v>
      </c>
      <c r="M287" s="94">
        <v>600</v>
      </c>
      <c r="N287" s="83">
        <f>100</f>
        <v>100</v>
      </c>
      <c r="O287" s="86">
        <v>240</v>
      </c>
      <c r="P287" s="86">
        <v>40</v>
      </c>
      <c r="Q287" s="86">
        <f t="shared" si="44"/>
        <v>315</v>
      </c>
      <c r="R287" s="86">
        <f t="shared" si="45"/>
        <v>100</v>
      </c>
      <c r="S287" s="83">
        <f t="shared" si="46"/>
        <v>695</v>
      </c>
      <c r="T287" s="83">
        <f>50</f>
        <v>50</v>
      </c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</row>
    <row r="288" spans="1:30" ht="15.75" x14ac:dyDescent="0.25">
      <c r="A288" s="15">
        <v>49675</v>
      </c>
      <c r="B288" s="97">
        <v>31</v>
      </c>
      <c r="C288" s="83">
        <f>122.58</f>
        <v>122.58</v>
      </c>
      <c r="D288" s="83">
        <f>297.941</f>
        <v>297.94099999999997</v>
      </c>
      <c r="E288" s="92">
        <f>89.177</f>
        <v>89.177000000000007</v>
      </c>
      <c r="F288" s="83">
        <f>240.302-40-60-100</f>
        <v>40.301999999999992</v>
      </c>
      <c r="G288" s="86">
        <v>40</v>
      </c>
      <c r="H288" s="83">
        <f>60+100</f>
        <v>160</v>
      </c>
      <c r="I288" s="83">
        <f t="shared" si="39"/>
        <v>0</v>
      </c>
      <c r="J288" s="86">
        <v>100</v>
      </c>
      <c r="K288" s="86">
        <v>300</v>
      </c>
      <c r="L288" s="83">
        <f t="shared" si="43"/>
        <v>1150</v>
      </c>
      <c r="M288" s="94">
        <v>600</v>
      </c>
      <c r="N288" s="83">
        <f>100</f>
        <v>100</v>
      </c>
      <c r="O288" s="86">
        <v>240</v>
      </c>
      <c r="P288" s="86">
        <v>40</v>
      </c>
      <c r="Q288" s="86">
        <f t="shared" si="44"/>
        <v>315</v>
      </c>
      <c r="R288" s="86">
        <f t="shared" si="45"/>
        <v>100</v>
      </c>
      <c r="S288" s="83">
        <f t="shared" si="46"/>
        <v>695</v>
      </c>
      <c r="T288" s="83">
        <f>50</f>
        <v>50</v>
      </c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</row>
    <row r="289" spans="1:30" ht="15.75" x14ac:dyDescent="0.25">
      <c r="A289" s="15">
        <v>49706</v>
      </c>
      <c r="B289" s="97">
        <v>29</v>
      </c>
      <c r="C289" s="83">
        <f>122.58</f>
        <v>122.58</v>
      </c>
      <c r="D289" s="83">
        <f>297.941</f>
        <v>297.94099999999997</v>
      </c>
      <c r="E289" s="92">
        <f>89.177</f>
        <v>89.177000000000007</v>
      </c>
      <c r="F289" s="83">
        <f>240.302-40-60-100</f>
        <v>40.301999999999992</v>
      </c>
      <c r="G289" s="86">
        <v>40</v>
      </c>
      <c r="H289" s="83">
        <f>60+100</f>
        <v>160</v>
      </c>
      <c r="I289" s="83">
        <f t="shared" si="39"/>
        <v>0</v>
      </c>
      <c r="J289" s="86">
        <v>100</v>
      </c>
      <c r="K289" s="86">
        <v>300</v>
      </c>
      <c r="L289" s="83">
        <f t="shared" si="43"/>
        <v>1150</v>
      </c>
      <c r="M289" s="94">
        <v>600</v>
      </c>
      <c r="N289" s="83">
        <f>100</f>
        <v>100</v>
      </c>
      <c r="O289" s="86">
        <v>240</v>
      </c>
      <c r="P289" s="86">
        <v>40</v>
      </c>
      <c r="Q289" s="86">
        <f t="shared" si="44"/>
        <v>315</v>
      </c>
      <c r="R289" s="86">
        <f t="shared" si="45"/>
        <v>100</v>
      </c>
      <c r="S289" s="83">
        <f t="shared" si="46"/>
        <v>695</v>
      </c>
      <c r="T289" s="83">
        <f>50</f>
        <v>50</v>
      </c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</row>
    <row r="290" spans="1:30" ht="15.75" x14ac:dyDescent="0.25">
      <c r="A290" s="15">
        <v>49735</v>
      </c>
      <c r="B290" s="97">
        <v>31</v>
      </c>
      <c r="C290" s="83">
        <f>122.58</f>
        <v>122.58</v>
      </c>
      <c r="D290" s="83">
        <f>297.941</f>
        <v>297.94099999999997</v>
      </c>
      <c r="E290" s="92">
        <f>89.177</f>
        <v>89.177000000000007</v>
      </c>
      <c r="F290" s="83">
        <f>240.302-40-60-100</f>
        <v>40.301999999999992</v>
      </c>
      <c r="G290" s="86">
        <v>40</v>
      </c>
      <c r="H290" s="83">
        <f>60+100</f>
        <v>160</v>
      </c>
      <c r="I290" s="83">
        <f t="shared" si="39"/>
        <v>0</v>
      </c>
      <c r="J290" s="86">
        <v>100</v>
      </c>
      <c r="K290" s="86">
        <v>300</v>
      </c>
      <c r="L290" s="83">
        <f t="shared" si="43"/>
        <v>1150</v>
      </c>
      <c r="M290" s="94">
        <v>600</v>
      </c>
      <c r="N290" s="83">
        <f>100</f>
        <v>100</v>
      </c>
      <c r="O290" s="86">
        <v>240</v>
      </c>
      <c r="P290" s="86">
        <v>40</v>
      </c>
      <c r="Q290" s="86">
        <f t="shared" si="44"/>
        <v>315</v>
      </c>
      <c r="R290" s="86">
        <f t="shared" si="45"/>
        <v>100</v>
      </c>
      <c r="S290" s="83">
        <f t="shared" si="46"/>
        <v>695</v>
      </c>
      <c r="T290" s="83">
        <f>50</f>
        <v>50</v>
      </c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</row>
    <row r="291" spans="1:30" ht="15.75" x14ac:dyDescent="0.25">
      <c r="A291" s="15">
        <v>49766</v>
      </c>
      <c r="B291" s="97">
        <v>30</v>
      </c>
      <c r="C291" s="83">
        <f>141.293</f>
        <v>141.29300000000001</v>
      </c>
      <c r="D291" s="83">
        <f>267.993</f>
        <v>267.99299999999999</v>
      </c>
      <c r="E291" s="92">
        <f>115.016</f>
        <v>115.01600000000001</v>
      </c>
      <c r="F291" s="83">
        <f>314.698-40-25-60-100</f>
        <v>89.697999999999979</v>
      </c>
      <c r="G291" s="86">
        <v>40</v>
      </c>
      <c r="H291" s="83">
        <f t="shared" ref="H291:H297" si="47">25+60+100</f>
        <v>185</v>
      </c>
      <c r="I291" s="83">
        <f t="shared" si="39"/>
        <v>0</v>
      </c>
      <c r="J291" s="86">
        <v>100</v>
      </c>
      <c r="K291" s="86">
        <v>300</v>
      </c>
      <c r="L291" s="83">
        <f t="shared" si="43"/>
        <v>1239</v>
      </c>
      <c r="M291" s="94">
        <v>600</v>
      </c>
      <c r="N291" s="83">
        <f>100</f>
        <v>100</v>
      </c>
      <c r="O291" s="86">
        <v>240</v>
      </c>
      <c r="P291" s="86">
        <v>160</v>
      </c>
      <c r="Q291" s="86">
        <f t="shared" si="44"/>
        <v>195</v>
      </c>
      <c r="R291" s="86">
        <f t="shared" si="45"/>
        <v>100</v>
      </c>
      <c r="S291" s="83">
        <f t="shared" si="46"/>
        <v>695</v>
      </c>
      <c r="T291" s="83">
        <f>50</f>
        <v>50</v>
      </c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</row>
    <row r="292" spans="1:30" ht="15.75" x14ac:dyDescent="0.25">
      <c r="A292" s="15">
        <v>49796</v>
      </c>
      <c r="B292" s="97">
        <v>31</v>
      </c>
      <c r="C292" s="83">
        <f>194.205</f>
        <v>194.20500000000001</v>
      </c>
      <c r="D292" s="83">
        <f>267.466</f>
        <v>267.46600000000001</v>
      </c>
      <c r="E292" s="92">
        <f>133.845</f>
        <v>133.845</v>
      </c>
      <c r="F292" s="83">
        <f>278.484-40-25-60-100</f>
        <v>53.48399999999998</v>
      </c>
      <c r="G292" s="86">
        <v>40</v>
      </c>
      <c r="H292" s="83">
        <f t="shared" si="47"/>
        <v>185</v>
      </c>
      <c r="I292" s="83">
        <f t="shared" si="39"/>
        <v>0</v>
      </c>
      <c r="J292" s="86">
        <v>100</v>
      </c>
      <c r="K292" s="86">
        <v>300</v>
      </c>
      <c r="L292" s="83">
        <f t="shared" si="43"/>
        <v>1274</v>
      </c>
      <c r="M292" s="94">
        <v>600</v>
      </c>
      <c r="N292" s="83">
        <f>75</f>
        <v>75</v>
      </c>
      <c r="O292" s="86">
        <v>240</v>
      </c>
      <c r="P292" s="86">
        <v>160</v>
      </c>
      <c r="Q292" s="86">
        <f t="shared" si="44"/>
        <v>195</v>
      </c>
      <c r="R292" s="86">
        <f t="shared" si="45"/>
        <v>100</v>
      </c>
      <c r="S292" s="83">
        <f t="shared" si="46"/>
        <v>695</v>
      </c>
      <c r="T292" s="83">
        <f>50</f>
        <v>50</v>
      </c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</row>
    <row r="293" spans="1:30" ht="15.75" x14ac:dyDescent="0.25">
      <c r="A293" s="15">
        <v>49827</v>
      </c>
      <c r="B293" s="97">
        <v>30</v>
      </c>
      <c r="C293" s="83">
        <f>194.205</f>
        <v>194.20500000000001</v>
      </c>
      <c r="D293" s="83">
        <f>267.466</f>
        <v>267.46600000000001</v>
      </c>
      <c r="E293" s="92">
        <f>133.845</f>
        <v>133.845</v>
      </c>
      <c r="F293" s="83">
        <f>278.484-40-25-60-100</f>
        <v>53.48399999999998</v>
      </c>
      <c r="G293" s="86">
        <v>40</v>
      </c>
      <c r="H293" s="83">
        <f t="shared" si="47"/>
        <v>185</v>
      </c>
      <c r="I293" s="83">
        <f t="shared" si="39"/>
        <v>0</v>
      </c>
      <c r="J293" s="86">
        <v>100</v>
      </c>
      <c r="K293" s="86">
        <v>300</v>
      </c>
      <c r="L293" s="83">
        <f t="shared" si="43"/>
        <v>1274</v>
      </c>
      <c r="M293" s="94">
        <v>600</v>
      </c>
      <c r="N293" s="83">
        <f>30</f>
        <v>30</v>
      </c>
      <c r="O293" s="86">
        <v>240</v>
      </c>
      <c r="P293" s="86">
        <v>160</v>
      </c>
      <c r="Q293" s="86">
        <f t="shared" si="44"/>
        <v>195</v>
      </c>
      <c r="R293" s="86">
        <f t="shared" si="45"/>
        <v>100</v>
      </c>
      <c r="S293" s="83">
        <f t="shared" si="46"/>
        <v>695</v>
      </c>
      <c r="T293" s="83">
        <f>50</f>
        <v>50</v>
      </c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</row>
    <row r="294" spans="1:30" ht="15.75" x14ac:dyDescent="0.25">
      <c r="A294" s="15">
        <v>49857</v>
      </c>
      <c r="B294" s="97">
        <v>31</v>
      </c>
      <c r="C294" s="83">
        <f>194.205</f>
        <v>194.20500000000001</v>
      </c>
      <c r="D294" s="83">
        <f>267.466</f>
        <v>267.46600000000001</v>
      </c>
      <c r="E294" s="92">
        <f>133.845</f>
        <v>133.845</v>
      </c>
      <c r="F294" s="83">
        <f>278.484-40-25-60-100</f>
        <v>53.48399999999998</v>
      </c>
      <c r="G294" s="86">
        <v>40</v>
      </c>
      <c r="H294" s="83">
        <f t="shared" si="47"/>
        <v>185</v>
      </c>
      <c r="I294" s="83">
        <f t="shared" si="39"/>
        <v>0</v>
      </c>
      <c r="J294" s="86">
        <v>100</v>
      </c>
      <c r="K294" s="86">
        <v>300</v>
      </c>
      <c r="L294" s="83">
        <f t="shared" si="43"/>
        <v>1274</v>
      </c>
      <c r="M294" s="94">
        <v>600</v>
      </c>
      <c r="N294" s="83">
        <f>30</f>
        <v>30</v>
      </c>
      <c r="O294" s="86">
        <v>240</v>
      </c>
      <c r="P294" s="86">
        <v>160</v>
      </c>
      <c r="Q294" s="86">
        <f t="shared" si="44"/>
        <v>195</v>
      </c>
      <c r="R294" s="86">
        <f t="shared" si="45"/>
        <v>100</v>
      </c>
      <c r="S294" s="83">
        <f t="shared" si="46"/>
        <v>695</v>
      </c>
      <c r="T294" s="83">
        <f>0</f>
        <v>0</v>
      </c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</row>
    <row r="295" spans="1:30" ht="15.75" x14ac:dyDescent="0.25">
      <c r="A295" s="15">
        <v>49888</v>
      </c>
      <c r="B295" s="97">
        <v>31</v>
      </c>
      <c r="C295" s="83">
        <f>194.205</f>
        <v>194.20500000000001</v>
      </c>
      <c r="D295" s="83">
        <f>267.466</f>
        <v>267.46600000000001</v>
      </c>
      <c r="E295" s="92">
        <f>133.845</f>
        <v>133.845</v>
      </c>
      <c r="F295" s="83">
        <f>278.484-40-25-60-100</f>
        <v>53.48399999999998</v>
      </c>
      <c r="G295" s="86">
        <v>40</v>
      </c>
      <c r="H295" s="83">
        <f t="shared" si="47"/>
        <v>185</v>
      </c>
      <c r="I295" s="83">
        <f t="shared" si="39"/>
        <v>0</v>
      </c>
      <c r="J295" s="86">
        <v>100</v>
      </c>
      <c r="K295" s="86">
        <v>300</v>
      </c>
      <c r="L295" s="83">
        <f t="shared" si="43"/>
        <v>1274</v>
      </c>
      <c r="M295" s="94">
        <v>600</v>
      </c>
      <c r="N295" s="83">
        <f>30</f>
        <v>30</v>
      </c>
      <c r="O295" s="86">
        <v>240</v>
      </c>
      <c r="P295" s="86">
        <v>160</v>
      </c>
      <c r="Q295" s="86">
        <f t="shared" si="44"/>
        <v>195</v>
      </c>
      <c r="R295" s="86">
        <f t="shared" si="45"/>
        <v>100</v>
      </c>
      <c r="S295" s="83">
        <f t="shared" si="46"/>
        <v>695</v>
      </c>
      <c r="T295" s="83">
        <f>0</f>
        <v>0</v>
      </c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</row>
    <row r="296" spans="1:30" ht="15.75" x14ac:dyDescent="0.25">
      <c r="A296" s="15">
        <v>49919</v>
      </c>
      <c r="B296" s="97">
        <v>30</v>
      </c>
      <c r="C296" s="83">
        <f>194.205</f>
        <v>194.20500000000001</v>
      </c>
      <c r="D296" s="83">
        <f>267.466</f>
        <v>267.46600000000001</v>
      </c>
      <c r="E296" s="92">
        <f>133.845</f>
        <v>133.845</v>
      </c>
      <c r="F296" s="83">
        <f>278.484-40-25-60-100</f>
        <v>53.48399999999998</v>
      </c>
      <c r="G296" s="86">
        <v>40</v>
      </c>
      <c r="H296" s="83">
        <f t="shared" si="47"/>
        <v>185</v>
      </c>
      <c r="I296" s="83">
        <f t="shared" si="39"/>
        <v>0</v>
      </c>
      <c r="J296" s="86">
        <v>100</v>
      </c>
      <c r="K296" s="86">
        <v>300</v>
      </c>
      <c r="L296" s="83">
        <f t="shared" si="43"/>
        <v>1274</v>
      </c>
      <c r="M296" s="94">
        <v>600</v>
      </c>
      <c r="N296" s="83">
        <f>30</f>
        <v>30</v>
      </c>
      <c r="O296" s="86">
        <v>240</v>
      </c>
      <c r="P296" s="86">
        <v>160</v>
      </c>
      <c r="Q296" s="86">
        <f t="shared" si="44"/>
        <v>195</v>
      </c>
      <c r="R296" s="86">
        <f t="shared" si="45"/>
        <v>100</v>
      </c>
      <c r="S296" s="83">
        <f t="shared" si="46"/>
        <v>695</v>
      </c>
      <c r="T296" s="83">
        <f>0</f>
        <v>0</v>
      </c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</row>
    <row r="297" spans="1:30" ht="15.75" x14ac:dyDescent="0.25">
      <c r="A297" s="15">
        <v>49949</v>
      </c>
      <c r="B297" s="97">
        <v>31</v>
      </c>
      <c r="C297" s="83">
        <f>131.881</f>
        <v>131.881</v>
      </c>
      <c r="D297" s="83">
        <f>277.167</f>
        <v>277.16699999999997</v>
      </c>
      <c r="E297" s="92">
        <f>79.08</f>
        <v>79.08</v>
      </c>
      <c r="F297" s="83">
        <f>350.872-40-25-60-100</f>
        <v>125.87200000000001</v>
      </c>
      <c r="G297" s="86">
        <v>40</v>
      </c>
      <c r="H297" s="83">
        <f t="shared" si="47"/>
        <v>185</v>
      </c>
      <c r="I297" s="83">
        <f t="shared" si="39"/>
        <v>0</v>
      </c>
      <c r="J297" s="86">
        <v>100</v>
      </c>
      <c r="K297" s="86">
        <v>300</v>
      </c>
      <c r="L297" s="83">
        <f t="shared" si="43"/>
        <v>1239</v>
      </c>
      <c r="M297" s="94">
        <v>600</v>
      </c>
      <c r="N297" s="83">
        <f>75</f>
        <v>75</v>
      </c>
      <c r="O297" s="86">
        <v>240</v>
      </c>
      <c r="P297" s="86">
        <v>160</v>
      </c>
      <c r="Q297" s="86">
        <f t="shared" si="44"/>
        <v>195</v>
      </c>
      <c r="R297" s="86">
        <f t="shared" si="45"/>
        <v>100</v>
      </c>
      <c r="S297" s="83">
        <f t="shared" si="46"/>
        <v>695</v>
      </c>
      <c r="T297" s="83">
        <f>0</f>
        <v>0</v>
      </c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</row>
    <row r="298" spans="1:30" ht="15.75" x14ac:dyDescent="0.25">
      <c r="A298" s="15">
        <v>49980</v>
      </c>
      <c r="B298" s="97">
        <v>30</v>
      </c>
      <c r="C298" s="83">
        <f>122.58</f>
        <v>122.58</v>
      </c>
      <c r="D298" s="83">
        <f>297.941</f>
        <v>297.94099999999997</v>
      </c>
      <c r="E298" s="92">
        <f>89.177</f>
        <v>89.177000000000007</v>
      </c>
      <c r="F298" s="83">
        <f>240.302-40-60-100</f>
        <v>40.301999999999992</v>
      </c>
      <c r="G298" s="86">
        <v>40</v>
      </c>
      <c r="H298" s="83">
        <f>60+100</f>
        <v>160</v>
      </c>
      <c r="I298" s="83">
        <f t="shared" si="39"/>
        <v>0</v>
      </c>
      <c r="J298" s="86">
        <v>100</v>
      </c>
      <c r="K298" s="86">
        <v>300</v>
      </c>
      <c r="L298" s="83">
        <f t="shared" si="43"/>
        <v>1150</v>
      </c>
      <c r="M298" s="94">
        <v>600</v>
      </c>
      <c r="N298" s="83">
        <f>100</f>
        <v>100</v>
      </c>
      <c r="O298" s="86">
        <v>240</v>
      </c>
      <c r="P298" s="86">
        <v>40</v>
      </c>
      <c r="Q298" s="86">
        <f t="shared" si="44"/>
        <v>315</v>
      </c>
      <c r="R298" s="86">
        <f t="shared" si="45"/>
        <v>100</v>
      </c>
      <c r="S298" s="83">
        <f t="shared" si="46"/>
        <v>695</v>
      </c>
      <c r="T298" s="83">
        <f>50</f>
        <v>50</v>
      </c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</row>
    <row r="299" spans="1:30" ht="15.75" x14ac:dyDescent="0.25">
      <c r="A299" s="15">
        <v>50010</v>
      </c>
      <c r="B299" s="97">
        <v>31</v>
      </c>
      <c r="C299" s="83">
        <f>122.58</f>
        <v>122.58</v>
      </c>
      <c r="D299" s="83">
        <f>297.941</f>
        <v>297.94099999999997</v>
      </c>
      <c r="E299" s="92">
        <f>89.177</f>
        <v>89.177000000000007</v>
      </c>
      <c r="F299" s="83">
        <f>240.302-40-60-100</f>
        <v>40.301999999999992</v>
      </c>
      <c r="G299" s="86">
        <v>40</v>
      </c>
      <c r="H299" s="83">
        <f>60+100</f>
        <v>160</v>
      </c>
      <c r="I299" s="83">
        <f t="shared" si="39"/>
        <v>0</v>
      </c>
      <c r="J299" s="86">
        <v>100</v>
      </c>
      <c r="K299" s="86">
        <v>300</v>
      </c>
      <c r="L299" s="83">
        <f t="shared" si="43"/>
        <v>1150</v>
      </c>
      <c r="M299" s="94">
        <v>600</v>
      </c>
      <c r="N299" s="83">
        <f>100</f>
        <v>100</v>
      </c>
      <c r="O299" s="86">
        <v>240</v>
      </c>
      <c r="P299" s="86">
        <v>40</v>
      </c>
      <c r="Q299" s="86">
        <f t="shared" si="44"/>
        <v>315</v>
      </c>
      <c r="R299" s="86">
        <f t="shared" si="45"/>
        <v>100</v>
      </c>
      <c r="S299" s="83">
        <f t="shared" si="46"/>
        <v>695</v>
      </c>
      <c r="T299" s="83">
        <f>50</f>
        <v>50</v>
      </c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</row>
    <row r="300" spans="1:30" ht="15.75" x14ac:dyDescent="0.25">
      <c r="A300" s="15">
        <v>50041</v>
      </c>
      <c r="B300" s="97">
        <v>31</v>
      </c>
      <c r="C300" s="83">
        <f>122.58</f>
        <v>122.58</v>
      </c>
      <c r="D300" s="83">
        <f>297.941</f>
        <v>297.94099999999997</v>
      </c>
      <c r="E300" s="92">
        <f>89.177</f>
        <v>89.177000000000007</v>
      </c>
      <c r="F300" s="83">
        <f>240.302-40-60-100</f>
        <v>40.301999999999992</v>
      </c>
      <c r="G300" s="86">
        <v>40</v>
      </c>
      <c r="H300" s="83">
        <f>60+100</f>
        <v>160</v>
      </c>
      <c r="I300" s="83">
        <f t="shared" si="39"/>
        <v>0</v>
      </c>
      <c r="J300" s="86">
        <v>100</v>
      </c>
      <c r="K300" s="86">
        <v>300</v>
      </c>
      <c r="L300" s="83">
        <f t="shared" si="43"/>
        <v>1150</v>
      </c>
      <c r="M300" s="94">
        <v>600</v>
      </c>
      <c r="N300" s="83">
        <f>100</f>
        <v>100</v>
      </c>
      <c r="O300" s="86">
        <v>240</v>
      </c>
      <c r="P300" s="86">
        <v>40</v>
      </c>
      <c r="Q300" s="86">
        <f t="shared" si="44"/>
        <v>315</v>
      </c>
      <c r="R300" s="86">
        <f t="shared" si="45"/>
        <v>100</v>
      </c>
      <c r="S300" s="83">
        <f t="shared" si="46"/>
        <v>695</v>
      </c>
      <c r="T300" s="83">
        <f>50</f>
        <v>50</v>
      </c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</row>
    <row r="301" spans="1:30" ht="15.75" x14ac:dyDescent="0.25">
      <c r="A301" s="15">
        <v>50072</v>
      </c>
      <c r="B301" s="97">
        <v>28</v>
      </c>
      <c r="C301" s="83">
        <f>122.58</f>
        <v>122.58</v>
      </c>
      <c r="D301" s="83">
        <f>297.941</f>
        <v>297.94099999999997</v>
      </c>
      <c r="E301" s="92">
        <f>89.177</f>
        <v>89.177000000000007</v>
      </c>
      <c r="F301" s="83">
        <f>240.302-40-60-100</f>
        <v>40.301999999999992</v>
      </c>
      <c r="G301" s="86">
        <v>40</v>
      </c>
      <c r="H301" s="83">
        <f>60+100</f>
        <v>160</v>
      </c>
      <c r="I301" s="83">
        <f t="shared" si="39"/>
        <v>0</v>
      </c>
      <c r="J301" s="86">
        <v>100</v>
      </c>
      <c r="K301" s="86">
        <v>300</v>
      </c>
      <c r="L301" s="83">
        <f t="shared" si="43"/>
        <v>1150</v>
      </c>
      <c r="M301" s="94">
        <v>600</v>
      </c>
      <c r="N301" s="83">
        <f>100</f>
        <v>100</v>
      </c>
      <c r="O301" s="86">
        <v>240</v>
      </c>
      <c r="P301" s="86">
        <v>40</v>
      </c>
      <c r="Q301" s="86">
        <f t="shared" si="44"/>
        <v>315</v>
      </c>
      <c r="R301" s="86">
        <f t="shared" si="45"/>
        <v>100</v>
      </c>
      <c r="S301" s="83">
        <f t="shared" si="46"/>
        <v>695</v>
      </c>
      <c r="T301" s="83">
        <f>50</f>
        <v>50</v>
      </c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</row>
    <row r="302" spans="1:30" ht="15.75" x14ac:dyDescent="0.25">
      <c r="A302" s="15">
        <v>50100</v>
      </c>
      <c r="B302" s="97">
        <v>31</v>
      </c>
      <c r="C302" s="83">
        <f>122.58</f>
        <v>122.58</v>
      </c>
      <c r="D302" s="83">
        <f>297.941</f>
        <v>297.94099999999997</v>
      </c>
      <c r="E302" s="92">
        <f>89.177</f>
        <v>89.177000000000007</v>
      </c>
      <c r="F302" s="83">
        <f>240.302-40-60-100</f>
        <v>40.301999999999992</v>
      </c>
      <c r="G302" s="86">
        <v>40</v>
      </c>
      <c r="H302" s="83">
        <f>60+100</f>
        <v>160</v>
      </c>
      <c r="I302" s="83">
        <f t="shared" si="39"/>
        <v>0</v>
      </c>
      <c r="J302" s="86">
        <v>100</v>
      </c>
      <c r="K302" s="86">
        <v>300</v>
      </c>
      <c r="L302" s="83">
        <f t="shared" si="43"/>
        <v>1150</v>
      </c>
      <c r="M302" s="94">
        <v>600</v>
      </c>
      <c r="N302" s="83">
        <f>100</f>
        <v>100</v>
      </c>
      <c r="O302" s="86">
        <v>240</v>
      </c>
      <c r="P302" s="86">
        <v>40</v>
      </c>
      <c r="Q302" s="86">
        <f t="shared" si="44"/>
        <v>315</v>
      </c>
      <c r="R302" s="86">
        <f t="shared" si="45"/>
        <v>100</v>
      </c>
      <c r="S302" s="83">
        <f t="shared" si="46"/>
        <v>695</v>
      </c>
      <c r="T302" s="83">
        <f>50</f>
        <v>50</v>
      </c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</row>
    <row r="303" spans="1:30" ht="15.75" x14ac:dyDescent="0.25">
      <c r="A303" s="15">
        <v>50131</v>
      </c>
      <c r="B303" s="97">
        <v>30</v>
      </c>
      <c r="C303" s="83">
        <f>141.293</f>
        <v>141.29300000000001</v>
      </c>
      <c r="D303" s="83">
        <f>267.993</f>
        <v>267.99299999999999</v>
      </c>
      <c r="E303" s="92">
        <f>115.016</f>
        <v>115.01600000000001</v>
      </c>
      <c r="F303" s="83">
        <f>314.698-40-25-60-100</f>
        <v>89.697999999999979</v>
      </c>
      <c r="G303" s="86">
        <v>40</v>
      </c>
      <c r="H303" s="83">
        <f t="shared" ref="H303:H309" si="48">25+60+100</f>
        <v>185</v>
      </c>
      <c r="I303" s="83">
        <f t="shared" si="39"/>
        <v>0</v>
      </c>
      <c r="J303" s="86">
        <v>100</v>
      </c>
      <c r="K303" s="86">
        <v>300</v>
      </c>
      <c r="L303" s="83">
        <f t="shared" si="43"/>
        <v>1239</v>
      </c>
      <c r="M303" s="94">
        <v>600</v>
      </c>
      <c r="N303" s="83">
        <f>100</f>
        <v>100</v>
      </c>
      <c r="O303" s="86">
        <v>240</v>
      </c>
      <c r="P303" s="86">
        <v>160</v>
      </c>
      <c r="Q303" s="86">
        <f t="shared" si="44"/>
        <v>195</v>
      </c>
      <c r="R303" s="86">
        <f t="shared" si="45"/>
        <v>100</v>
      </c>
      <c r="S303" s="83">
        <f t="shared" si="46"/>
        <v>695</v>
      </c>
      <c r="T303" s="83">
        <f>50</f>
        <v>50</v>
      </c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</row>
    <row r="304" spans="1:30" ht="15.75" x14ac:dyDescent="0.25">
      <c r="A304" s="15">
        <v>50161</v>
      </c>
      <c r="B304" s="97">
        <v>31</v>
      </c>
      <c r="C304" s="83">
        <f>194.205</f>
        <v>194.20500000000001</v>
      </c>
      <c r="D304" s="83">
        <f>267.466</f>
        <v>267.46600000000001</v>
      </c>
      <c r="E304" s="92">
        <f>133.845</f>
        <v>133.845</v>
      </c>
      <c r="F304" s="83">
        <f>278.484-40-25-60-100</f>
        <v>53.48399999999998</v>
      </c>
      <c r="G304" s="86">
        <v>40</v>
      </c>
      <c r="H304" s="83">
        <f t="shared" si="48"/>
        <v>185</v>
      </c>
      <c r="I304" s="83">
        <f t="shared" si="39"/>
        <v>0</v>
      </c>
      <c r="J304" s="86">
        <v>100</v>
      </c>
      <c r="K304" s="86">
        <v>300</v>
      </c>
      <c r="L304" s="83">
        <f t="shared" si="43"/>
        <v>1274</v>
      </c>
      <c r="M304" s="94">
        <v>600</v>
      </c>
      <c r="N304" s="83">
        <f>75</f>
        <v>75</v>
      </c>
      <c r="O304" s="86">
        <v>240</v>
      </c>
      <c r="P304" s="86">
        <v>160</v>
      </c>
      <c r="Q304" s="86">
        <f t="shared" si="44"/>
        <v>195</v>
      </c>
      <c r="R304" s="86">
        <f t="shared" si="45"/>
        <v>100</v>
      </c>
      <c r="S304" s="83">
        <f t="shared" si="46"/>
        <v>695</v>
      </c>
      <c r="T304" s="83">
        <f>50</f>
        <v>50</v>
      </c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</row>
    <row r="305" spans="1:30" ht="15.75" x14ac:dyDescent="0.25">
      <c r="A305" s="15">
        <v>50192</v>
      </c>
      <c r="B305" s="97">
        <v>30</v>
      </c>
      <c r="C305" s="83">
        <f>194.205</f>
        <v>194.20500000000001</v>
      </c>
      <c r="D305" s="83">
        <f>267.466</f>
        <v>267.46600000000001</v>
      </c>
      <c r="E305" s="92">
        <f>133.845</f>
        <v>133.845</v>
      </c>
      <c r="F305" s="83">
        <f>278.484-40-25-60-100</f>
        <v>53.48399999999998</v>
      </c>
      <c r="G305" s="86">
        <v>40</v>
      </c>
      <c r="H305" s="83">
        <f t="shared" si="48"/>
        <v>185</v>
      </c>
      <c r="I305" s="83">
        <f t="shared" si="39"/>
        <v>0</v>
      </c>
      <c r="J305" s="86">
        <v>100</v>
      </c>
      <c r="K305" s="86">
        <v>300</v>
      </c>
      <c r="L305" s="83">
        <f t="shared" si="43"/>
        <v>1274</v>
      </c>
      <c r="M305" s="94">
        <v>600</v>
      </c>
      <c r="N305" s="83">
        <f>30</f>
        <v>30</v>
      </c>
      <c r="O305" s="86">
        <v>240</v>
      </c>
      <c r="P305" s="86">
        <v>160</v>
      </c>
      <c r="Q305" s="86">
        <f t="shared" si="44"/>
        <v>195</v>
      </c>
      <c r="R305" s="86">
        <f t="shared" si="45"/>
        <v>100</v>
      </c>
      <c r="S305" s="83">
        <f t="shared" si="46"/>
        <v>695</v>
      </c>
      <c r="T305" s="83">
        <f>50</f>
        <v>50</v>
      </c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</row>
    <row r="306" spans="1:30" ht="15.75" x14ac:dyDescent="0.25">
      <c r="A306" s="15">
        <v>50222</v>
      </c>
      <c r="B306" s="97">
        <v>31</v>
      </c>
      <c r="C306" s="83">
        <f>194.205</f>
        <v>194.20500000000001</v>
      </c>
      <c r="D306" s="83">
        <f>267.466</f>
        <v>267.46600000000001</v>
      </c>
      <c r="E306" s="92">
        <f>133.845</f>
        <v>133.845</v>
      </c>
      <c r="F306" s="83">
        <f>278.484-40-25-60-100</f>
        <v>53.48399999999998</v>
      </c>
      <c r="G306" s="86">
        <v>40</v>
      </c>
      <c r="H306" s="83">
        <f t="shared" si="48"/>
        <v>185</v>
      </c>
      <c r="I306" s="83">
        <f t="shared" si="39"/>
        <v>0</v>
      </c>
      <c r="J306" s="86">
        <v>100</v>
      </c>
      <c r="K306" s="86">
        <v>300</v>
      </c>
      <c r="L306" s="83">
        <f t="shared" si="43"/>
        <v>1274</v>
      </c>
      <c r="M306" s="94">
        <v>600</v>
      </c>
      <c r="N306" s="83">
        <f>30</f>
        <v>30</v>
      </c>
      <c r="O306" s="86">
        <v>240</v>
      </c>
      <c r="P306" s="86">
        <v>160</v>
      </c>
      <c r="Q306" s="86">
        <f t="shared" si="44"/>
        <v>195</v>
      </c>
      <c r="R306" s="86">
        <f t="shared" si="45"/>
        <v>100</v>
      </c>
      <c r="S306" s="83">
        <f t="shared" si="46"/>
        <v>695</v>
      </c>
      <c r="T306" s="83">
        <f>0</f>
        <v>0</v>
      </c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</row>
    <row r="307" spans="1:30" ht="15.75" x14ac:dyDescent="0.25">
      <c r="A307" s="15">
        <v>50253</v>
      </c>
      <c r="B307" s="97">
        <v>31</v>
      </c>
      <c r="C307" s="83">
        <f>194.205</f>
        <v>194.20500000000001</v>
      </c>
      <c r="D307" s="83">
        <f>267.466</f>
        <v>267.46600000000001</v>
      </c>
      <c r="E307" s="92">
        <f>133.845</f>
        <v>133.845</v>
      </c>
      <c r="F307" s="83">
        <f>278.484-40-25-60-100</f>
        <v>53.48399999999998</v>
      </c>
      <c r="G307" s="86">
        <v>40</v>
      </c>
      <c r="H307" s="83">
        <f t="shared" si="48"/>
        <v>185</v>
      </c>
      <c r="I307" s="83">
        <f t="shared" si="39"/>
        <v>0</v>
      </c>
      <c r="J307" s="86">
        <v>100</v>
      </c>
      <c r="K307" s="86">
        <v>300</v>
      </c>
      <c r="L307" s="83">
        <f t="shared" si="43"/>
        <v>1274</v>
      </c>
      <c r="M307" s="94">
        <v>600</v>
      </c>
      <c r="N307" s="83">
        <f>30</f>
        <v>30</v>
      </c>
      <c r="O307" s="86">
        <v>240</v>
      </c>
      <c r="P307" s="86">
        <v>160</v>
      </c>
      <c r="Q307" s="86">
        <f t="shared" si="44"/>
        <v>195</v>
      </c>
      <c r="R307" s="86">
        <f t="shared" si="45"/>
        <v>100</v>
      </c>
      <c r="S307" s="83">
        <f t="shared" si="46"/>
        <v>695</v>
      </c>
      <c r="T307" s="83">
        <f>0</f>
        <v>0</v>
      </c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</row>
    <row r="308" spans="1:30" ht="15.75" x14ac:dyDescent="0.25">
      <c r="A308" s="15">
        <v>50284</v>
      </c>
      <c r="B308" s="97">
        <v>30</v>
      </c>
      <c r="C308" s="83">
        <f>194.205</f>
        <v>194.20500000000001</v>
      </c>
      <c r="D308" s="83">
        <f>267.466</f>
        <v>267.46600000000001</v>
      </c>
      <c r="E308" s="92">
        <f>133.845</f>
        <v>133.845</v>
      </c>
      <c r="F308" s="83">
        <f>278.484-40-25-60-100</f>
        <v>53.48399999999998</v>
      </c>
      <c r="G308" s="86">
        <v>40</v>
      </c>
      <c r="H308" s="83">
        <f t="shared" si="48"/>
        <v>185</v>
      </c>
      <c r="I308" s="83">
        <f t="shared" ref="I308:I371" si="49">400-J308-K308</f>
        <v>0</v>
      </c>
      <c r="J308" s="86">
        <v>100</v>
      </c>
      <c r="K308" s="86">
        <v>300</v>
      </c>
      <c r="L308" s="83">
        <f t="shared" si="43"/>
        <v>1274</v>
      </c>
      <c r="M308" s="94">
        <v>600</v>
      </c>
      <c r="N308" s="83">
        <f>30</f>
        <v>30</v>
      </c>
      <c r="O308" s="86">
        <v>240</v>
      </c>
      <c r="P308" s="86">
        <v>160</v>
      </c>
      <c r="Q308" s="86">
        <f t="shared" si="44"/>
        <v>195</v>
      </c>
      <c r="R308" s="86">
        <f t="shared" si="45"/>
        <v>100</v>
      </c>
      <c r="S308" s="83">
        <f t="shared" si="46"/>
        <v>695</v>
      </c>
      <c r="T308" s="83">
        <f>0</f>
        <v>0</v>
      </c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</row>
    <row r="309" spans="1:30" ht="15.75" x14ac:dyDescent="0.25">
      <c r="A309" s="15">
        <v>50314</v>
      </c>
      <c r="B309" s="97">
        <v>31</v>
      </c>
      <c r="C309" s="83">
        <f>131.881</f>
        <v>131.881</v>
      </c>
      <c r="D309" s="83">
        <f>277.167</f>
        <v>277.16699999999997</v>
      </c>
      <c r="E309" s="92">
        <f>79.08</f>
        <v>79.08</v>
      </c>
      <c r="F309" s="83">
        <f>350.872-40-25-60-100</f>
        <v>125.87200000000001</v>
      </c>
      <c r="G309" s="86">
        <v>40</v>
      </c>
      <c r="H309" s="83">
        <f t="shared" si="48"/>
        <v>185</v>
      </c>
      <c r="I309" s="83">
        <f t="shared" si="49"/>
        <v>0</v>
      </c>
      <c r="J309" s="86">
        <v>100</v>
      </c>
      <c r="K309" s="86">
        <v>300</v>
      </c>
      <c r="L309" s="83">
        <f t="shared" si="43"/>
        <v>1239</v>
      </c>
      <c r="M309" s="94">
        <v>600</v>
      </c>
      <c r="N309" s="83">
        <f>75</f>
        <v>75</v>
      </c>
      <c r="O309" s="86">
        <v>240</v>
      </c>
      <c r="P309" s="86">
        <v>160</v>
      </c>
      <c r="Q309" s="86">
        <f t="shared" si="44"/>
        <v>195</v>
      </c>
      <c r="R309" s="86">
        <f t="shared" si="45"/>
        <v>100</v>
      </c>
      <c r="S309" s="83">
        <f t="shared" si="46"/>
        <v>695</v>
      </c>
      <c r="T309" s="83">
        <f>0</f>
        <v>0</v>
      </c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</row>
    <row r="310" spans="1:30" ht="15.75" x14ac:dyDescent="0.25">
      <c r="A310" s="15">
        <v>50345</v>
      </c>
      <c r="B310" s="97">
        <v>30</v>
      </c>
      <c r="C310" s="83">
        <f>122.58</f>
        <v>122.58</v>
      </c>
      <c r="D310" s="83">
        <f>297.941</f>
        <v>297.94099999999997</v>
      </c>
      <c r="E310" s="92">
        <f>89.177</f>
        <v>89.177000000000007</v>
      </c>
      <c r="F310" s="83">
        <f>240.302-40-60-100</f>
        <v>40.301999999999992</v>
      </c>
      <c r="G310" s="86">
        <v>40</v>
      </c>
      <c r="H310" s="83">
        <f>60+100</f>
        <v>160</v>
      </c>
      <c r="I310" s="83">
        <f t="shared" si="49"/>
        <v>0</v>
      </c>
      <c r="J310" s="86">
        <v>100</v>
      </c>
      <c r="K310" s="86">
        <v>300</v>
      </c>
      <c r="L310" s="83">
        <f t="shared" si="43"/>
        <v>1150</v>
      </c>
      <c r="M310" s="94">
        <v>600</v>
      </c>
      <c r="N310" s="83">
        <f>100</f>
        <v>100</v>
      </c>
      <c r="O310" s="86">
        <v>240</v>
      </c>
      <c r="P310" s="86">
        <v>40</v>
      </c>
      <c r="Q310" s="86">
        <f t="shared" si="44"/>
        <v>315</v>
      </c>
      <c r="R310" s="86">
        <f t="shared" si="45"/>
        <v>100</v>
      </c>
      <c r="S310" s="83">
        <f t="shared" si="46"/>
        <v>695</v>
      </c>
      <c r="T310" s="83">
        <f>50</f>
        <v>50</v>
      </c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</row>
    <row r="311" spans="1:30" ht="15.75" x14ac:dyDescent="0.25">
      <c r="A311" s="15">
        <v>50375</v>
      </c>
      <c r="B311" s="97">
        <v>31</v>
      </c>
      <c r="C311" s="83">
        <f>122.58</f>
        <v>122.58</v>
      </c>
      <c r="D311" s="83">
        <f>297.941</f>
        <v>297.94099999999997</v>
      </c>
      <c r="E311" s="92">
        <f>89.177</f>
        <v>89.177000000000007</v>
      </c>
      <c r="F311" s="83">
        <f>240.302-40-60-100</f>
        <v>40.301999999999992</v>
      </c>
      <c r="G311" s="86">
        <v>40</v>
      </c>
      <c r="H311" s="83">
        <f>60+100</f>
        <v>160</v>
      </c>
      <c r="I311" s="83">
        <f t="shared" si="49"/>
        <v>0</v>
      </c>
      <c r="J311" s="86">
        <v>100</v>
      </c>
      <c r="K311" s="86">
        <v>300</v>
      </c>
      <c r="L311" s="83">
        <f t="shared" si="43"/>
        <v>1150</v>
      </c>
      <c r="M311" s="94">
        <v>600</v>
      </c>
      <c r="N311" s="83">
        <f>100</f>
        <v>100</v>
      </c>
      <c r="O311" s="86">
        <v>240</v>
      </c>
      <c r="P311" s="86">
        <v>40</v>
      </c>
      <c r="Q311" s="86">
        <f t="shared" si="44"/>
        <v>315</v>
      </c>
      <c r="R311" s="86">
        <f t="shared" si="45"/>
        <v>100</v>
      </c>
      <c r="S311" s="83">
        <f t="shared" si="46"/>
        <v>695</v>
      </c>
      <c r="T311" s="83">
        <f>50</f>
        <v>50</v>
      </c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</row>
    <row r="312" spans="1:30" ht="15.75" x14ac:dyDescent="0.25">
      <c r="A312" s="14">
        <v>50436</v>
      </c>
      <c r="B312" s="96">
        <v>31</v>
      </c>
      <c r="C312" s="83">
        <f>122.58</f>
        <v>122.58</v>
      </c>
      <c r="D312" s="83">
        <f>297.941</f>
        <v>297.94099999999997</v>
      </c>
      <c r="E312" s="92">
        <f>89.177</f>
        <v>89.177000000000007</v>
      </c>
      <c r="F312" s="83">
        <f>240.302-40-60-100</f>
        <v>40.301999999999992</v>
      </c>
      <c r="G312" s="86">
        <v>40</v>
      </c>
      <c r="H312" s="83">
        <f>60+100</f>
        <v>160</v>
      </c>
      <c r="I312" s="83">
        <f t="shared" si="49"/>
        <v>0</v>
      </c>
      <c r="J312" s="86">
        <v>100</v>
      </c>
      <c r="K312" s="86">
        <v>300</v>
      </c>
      <c r="L312" s="83">
        <f t="shared" si="43"/>
        <v>1150</v>
      </c>
      <c r="M312" s="94">
        <v>600</v>
      </c>
      <c r="N312" s="83">
        <f>100</f>
        <v>100</v>
      </c>
      <c r="O312" s="86">
        <v>240</v>
      </c>
      <c r="P312" s="86">
        <v>40</v>
      </c>
      <c r="Q312" s="86">
        <f t="shared" si="44"/>
        <v>315</v>
      </c>
      <c r="R312" s="86">
        <f t="shared" si="45"/>
        <v>100</v>
      </c>
      <c r="S312" s="83">
        <f t="shared" si="46"/>
        <v>695</v>
      </c>
      <c r="T312" s="83">
        <f>50</f>
        <v>50</v>
      </c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</row>
    <row r="313" spans="1:30" ht="15.75" x14ac:dyDescent="0.25">
      <c r="A313" s="14">
        <v>50464</v>
      </c>
      <c r="B313" s="96">
        <v>28</v>
      </c>
      <c r="C313" s="83">
        <f>122.58</f>
        <v>122.58</v>
      </c>
      <c r="D313" s="83">
        <f>297.941</f>
        <v>297.94099999999997</v>
      </c>
      <c r="E313" s="92">
        <f>89.177</f>
        <v>89.177000000000007</v>
      </c>
      <c r="F313" s="83">
        <f>240.302-40-60-100</f>
        <v>40.301999999999992</v>
      </c>
      <c r="G313" s="86">
        <v>40</v>
      </c>
      <c r="H313" s="83">
        <f>60+100</f>
        <v>160</v>
      </c>
      <c r="I313" s="83">
        <f t="shared" si="49"/>
        <v>0</v>
      </c>
      <c r="J313" s="86">
        <v>100</v>
      </c>
      <c r="K313" s="86">
        <v>300</v>
      </c>
      <c r="L313" s="83">
        <f t="shared" si="43"/>
        <v>1150</v>
      </c>
      <c r="M313" s="94">
        <v>600</v>
      </c>
      <c r="N313" s="83">
        <f>100</f>
        <v>100</v>
      </c>
      <c r="O313" s="86">
        <v>240</v>
      </c>
      <c r="P313" s="86">
        <v>40</v>
      </c>
      <c r="Q313" s="86">
        <f t="shared" si="44"/>
        <v>315</v>
      </c>
      <c r="R313" s="86">
        <f t="shared" si="45"/>
        <v>100</v>
      </c>
      <c r="S313" s="83">
        <f t="shared" si="46"/>
        <v>695</v>
      </c>
      <c r="T313" s="83">
        <f>50</f>
        <v>50</v>
      </c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</row>
    <row r="314" spans="1:30" ht="15.75" x14ac:dyDescent="0.25">
      <c r="A314" s="14">
        <v>50495</v>
      </c>
      <c r="B314" s="96">
        <v>31</v>
      </c>
      <c r="C314" s="83">
        <f>122.58</f>
        <v>122.58</v>
      </c>
      <c r="D314" s="83">
        <f>297.941</f>
        <v>297.94099999999997</v>
      </c>
      <c r="E314" s="92">
        <f>89.177</f>
        <v>89.177000000000007</v>
      </c>
      <c r="F314" s="83">
        <f>240.302-40-60-100</f>
        <v>40.301999999999992</v>
      </c>
      <c r="G314" s="86">
        <v>40</v>
      </c>
      <c r="H314" s="83">
        <f>60+100</f>
        <v>160</v>
      </c>
      <c r="I314" s="83">
        <f t="shared" si="49"/>
        <v>0</v>
      </c>
      <c r="J314" s="86">
        <v>100</v>
      </c>
      <c r="K314" s="86">
        <v>300</v>
      </c>
      <c r="L314" s="83">
        <f t="shared" si="43"/>
        <v>1150</v>
      </c>
      <c r="M314" s="94">
        <v>600</v>
      </c>
      <c r="N314" s="83">
        <f>100</f>
        <v>100</v>
      </c>
      <c r="O314" s="86">
        <v>240</v>
      </c>
      <c r="P314" s="86">
        <v>40</v>
      </c>
      <c r="Q314" s="86">
        <f t="shared" si="44"/>
        <v>315</v>
      </c>
      <c r="R314" s="86">
        <f t="shared" si="45"/>
        <v>100</v>
      </c>
      <c r="S314" s="83">
        <f t="shared" si="46"/>
        <v>695</v>
      </c>
      <c r="T314" s="83">
        <f>50</f>
        <v>50</v>
      </c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</row>
    <row r="315" spans="1:30" ht="15.75" x14ac:dyDescent="0.25">
      <c r="A315" s="14">
        <v>50525</v>
      </c>
      <c r="B315" s="96">
        <v>30</v>
      </c>
      <c r="C315" s="83">
        <f>141.293</f>
        <v>141.29300000000001</v>
      </c>
      <c r="D315" s="83">
        <f>267.993</f>
        <v>267.99299999999999</v>
      </c>
      <c r="E315" s="92">
        <f>115.016</f>
        <v>115.01600000000001</v>
      </c>
      <c r="F315" s="83">
        <f>314.698-40-25-60-100</f>
        <v>89.697999999999979</v>
      </c>
      <c r="G315" s="86">
        <v>40</v>
      </c>
      <c r="H315" s="83">
        <f t="shared" ref="H315:H321" si="50">25+60+100</f>
        <v>185</v>
      </c>
      <c r="I315" s="83">
        <f t="shared" si="49"/>
        <v>0</v>
      </c>
      <c r="J315" s="86">
        <v>100</v>
      </c>
      <c r="K315" s="86">
        <v>300</v>
      </c>
      <c r="L315" s="83">
        <f t="shared" si="43"/>
        <v>1239</v>
      </c>
      <c r="M315" s="94">
        <v>600</v>
      </c>
      <c r="N315" s="83">
        <f>100</f>
        <v>100</v>
      </c>
      <c r="O315" s="86">
        <v>240</v>
      </c>
      <c r="P315" s="86">
        <v>160</v>
      </c>
      <c r="Q315" s="86">
        <f t="shared" si="44"/>
        <v>195</v>
      </c>
      <c r="R315" s="86">
        <f t="shared" si="45"/>
        <v>100</v>
      </c>
      <c r="S315" s="83">
        <f t="shared" si="46"/>
        <v>695</v>
      </c>
      <c r="T315" s="83">
        <f>50</f>
        <v>50</v>
      </c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</row>
    <row r="316" spans="1:30" ht="15.75" x14ac:dyDescent="0.25">
      <c r="A316" s="14">
        <v>50556</v>
      </c>
      <c r="B316" s="96">
        <v>31</v>
      </c>
      <c r="C316" s="83">
        <f>194.205</f>
        <v>194.20500000000001</v>
      </c>
      <c r="D316" s="83">
        <f>267.466</f>
        <v>267.46600000000001</v>
      </c>
      <c r="E316" s="92">
        <f>133.845</f>
        <v>133.845</v>
      </c>
      <c r="F316" s="83">
        <f>278.484-40-25-60-100</f>
        <v>53.48399999999998</v>
      </c>
      <c r="G316" s="86">
        <v>40</v>
      </c>
      <c r="H316" s="83">
        <f t="shared" si="50"/>
        <v>185</v>
      </c>
      <c r="I316" s="83">
        <f t="shared" si="49"/>
        <v>0</v>
      </c>
      <c r="J316" s="86">
        <v>100</v>
      </c>
      <c r="K316" s="86">
        <v>300</v>
      </c>
      <c r="L316" s="83">
        <f t="shared" si="43"/>
        <v>1274</v>
      </c>
      <c r="M316" s="94">
        <v>600</v>
      </c>
      <c r="N316" s="83">
        <f>75</f>
        <v>75</v>
      </c>
      <c r="O316" s="86">
        <v>240</v>
      </c>
      <c r="P316" s="86">
        <v>160</v>
      </c>
      <c r="Q316" s="86">
        <f t="shared" si="44"/>
        <v>195</v>
      </c>
      <c r="R316" s="86">
        <f t="shared" si="45"/>
        <v>100</v>
      </c>
      <c r="S316" s="83">
        <f t="shared" si="46"/>
        <v>695</v>
      </c>
      <c r="T316" s="83">
        <f>50</f>
        <v>50</v>
      </c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</row>
    <row r="317" spans="1:30" ht="15.75" x14ac:dyDescent="0.25">
      <c r="A317" s="14">
        <v>50586</v>
      </c>
      <c r="B317" s="96">
        <v>30</v>
      </c>
      <c r="C317" s="83">
        <f>194.205</f>
        <v>194.20500000000001</v>
      </c>
      <c r="D317" s="83">
        <f>267.466</f>
        <v>267.46600000000001</v>
      </c>
      <c r="E317" s="92">
        <f>133.845</f>
        <v>133.845</v>
      </c>
      <c r="F317" s="83">
        <f>278.484-40-25-60-100</f>
        <v>53.48399999999998</v>
      </c>
      <c r="G317" s="86">
        <v>40</v>
      </c>
      <c r="H317" s="83">
        <f t="shared" si="50"/>
        <v>185</v>
      </c>
      <c r="I317" s="83">
        <f t="shared" si="49"/>
        <v>0</v>
      </c>
      <c r="J317" s="86">
        <v>100</v>
      </c>
      <c r="K317" s="86">
        <v>300</v>
      </c>
      <c r="L317" s="83">
        <f t="shared" si="43"/>
        <v>1274</v>
      </c>
      <c r="M317" s="94">
        <v>600</v>
      </c>
      <c r="N317" s="83">
        <f>30</f>
        <v>30</v>
      </c>
      <c r="O317" s="86">
        <v>240</v>
      </c>
      <c r="P317" s="86">
        <v>160</v>
      </c>
      <c r="Q317" s="86">
        <f t="shared" si="44"/>
        <v>195</v>
      </c>
      <c r="R317" s="86">
        <f t="shared" si="45"/>
        <v>100</v>
      </c>
      <c r="S317" s="83">
        <f t="shared" si="46"/>
        <v>695</v>
      </c>
      <c r="T317" s="83">
        <f>50</f>
        <v>50</v>
      </c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</row>
    <row r="318" spans="1:30" ht="15.75" x14ac:dyDescent="0.25">
      <c r="A318" s="14">
        <v>50617</v>
      </c>
      <c r="B318" s="96">
        <v>31</v>
      </c>
      <c r="C318" s="83">
        <f>194.205</f>
        <v>194.20500000000001</v>
      </c>
      <c r="D318" s="83">
        <f>267.466</f>
        <v>267.46600000000001</v>
      </c>
      <c r="E318" s="92">
        <f>133.845</f>
        <v>133.845</v>
      </c>
      <c r="F318" s="83">
        <f>278.484-40-25-60-100</f>
        <v>53.48399999999998</v>
      </c>
      <c r="G318" s="86">
        <v>40</v>
      </c>
      <c r="H318" s="83">
        <f t="shared" si="50"/>
        <v>185</v>
      </c>
      <c r="I318" s="83">
        <f t="shared" si="49"/>
        <v>0</v>
      </c>
      <c r="J318" s="86">
        <v>100</v>
      </c>
      <c r="K318" s="86">
        <v>300</v>
      </c>
      <c r="L318" s="83">
        <f t="shared" si="43"/>
        <v>1274</v>
      </c>
      <c r="M318" s="94">
        <v>600</v>
      </c>
      <c r="N318" s="83">
        <f>30</f>
        <v>30</v>
      </c>
      <c r="O318" s="86">
        <v>240</v>
      </c>
      <c r="P318" s="86">
        <v>160</v>
      </c>
      <c r="Q318" s="86">
        <f t="shared" si="44"/>
        <v>195</v>
      </c>
      <c r="R318" s="86">
        <f t="shared" si="45"/>
        <v>100</v>
      </c>
      <c r="S318" s="83">
        <f t="shared" si="46"/>
        <v>695</v>
      </c>
      <c r="T318" s="83">
        <f>0</f>
        <v>0</v>
      </c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</row>
    <row r="319" spans="1:30" ht="15.75" x14ac:dyDescent="0.25">
      <c r="A319" s="14">
        <v>50648</v>
      </c>
      <c r="B319" s="96">
        <v>31</v>
      </c>
      <c r="C319" s="83">
        <f>194.205</f>
        <v>194.20500000000001</v>
      </c>
      <c r="D319" s="83">
        <f>267.466</f>
        <v>267.46600000000001</v>
      </c>
      <c r="E319" s="92">
        <f>133.845</f>
        <v>133.845</v>
      </c>
      <c r="F319" s="83">
        <f>278.484-40-25-60-100</f>
        <v>53.48399999999998</v>
      </c>
      <c r="G319" s="86">
        <v>40</v>
      </c>
      <c r="H319" s="83">
        <f t="shared" si="50"/>
        <v>185</v>
      </c>
      <c r="I319" s="83">
        <f t="shared" si="49"/>
        <v>0</v>
      </c>
      <c r="J319" s="86">
        <v>100</v>
      </c>
      <c r="K319" s="86">
        <v>300</v>
      </c>
      <c r="L319" s="83">
        <f t="shared" si="43"/>
        <v>1274</v>
      </c>
      <c r="M319" s="94">
        <v>600</v>
      </c>
      <c r="N319" s="83">
        <f>30</f>
        <v>30</v>
      </c>
      <c r="O319" s="86">
        <v>240</v>
      </c>
      <c r="P319" s="86">
        <v>160</v>
      </c>
      <c r="Q319" s="86">
        <f t="shared" si="44"/>
        <v>195</v>
      </c>
      <c r="R319" s="86">
        <f t="shared" si="45"/>
        <v>100</v>
      </c>
      <c r="S319" s="83">
        <f t="shared" si="46"/>
        <v>695</v>
      </c>
      <c r="T319" s="83">
        <f>0</f>
        <v>0</v>
      </c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</row>
    <row r="320" spans="1:30" ht="15.75" x14ac:dyDescent="0.25">
      <c r="A320" s="14">
        <v>50678</v>
      </c>
      <c r="B320" s="96">
        <v>30</v>
      </c>
      <c r="C320" s="83">
        <f>194.205</f>
        <v>194.20500000000001</v>
      </c>
      <c r="D320" s="83">
        <f>267.466</f>
        <v>267.46600000000001</v>
      </c>
      <c r="E320" s="92">
        <f>133.845</f>
        <v>133.845</v>
      </c>
      <c r="F320" s="83">
        <f>278.484-40-25-60-100</f>
        <v>53.48399999999998</v>
      </c>
      <c r="G320" s="86">
        <v>40</v>
      </c>
      <c r="H320" s="83">
        <f t="shared" si="50"/>
        <v>185</v>
      </c>
      <c r="I320" s="83">
        <f t="shared" si="49"/>
        <v>0</v>
      </c>
      <c r="J320" s="86">
        <v>100</v>
      </c>
      <c r="K320" s="86">
        <v>300</v>
      </c>
      <c r="L320" s="83">
        <f t="shared" si="43"/>
        <v>1274</v>
      </c>
      <c r="M320" s="94">
        <v>600</v>
      </c>
      <c r="N320" s="83">
        <f>30</f>
        <v>30</v>
      </c>
      <c r="O320" s="86">
        <v>240</v>
      </c>
      <c r="P320" s="86">
        <v>160</v>
      </c>
      <c r="Q320" s="86">
        <f t="shared" si="44"/>
        <v>195</v>
      </c>
      <c r="R320" s="86">
        <f t="shared" si="45"/>
        <v>100</v>
      </c>
      <c r="S320" s="83">
        <f t="shared" si="46"/>
        <v>695</v>
      </c>
      <c r="T320" s="83">
        <f>0</f>
        <v>0</v>
      </c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</row>
    <row r="321" spans="1:30" ht="15.75" x14ac:dyDescent="0.25">
      <c r="A321" s="14">
        <v>50709</v>
      </c>
      <c r="B321" s="96">
        <v>31</v>
      </c>
      <c r="C321" s="83">
        <f>131.881</f>
        <v>131.881</v>
      </c>
      <c r="D321" s="83">
        <f>277.167</f>
        <v>277.16699999999997</v>
      </c>
      <c r="E321" s="92">
        <f>79.08</f>
        <v>79.08</v>
      </c>
      <c r="F321" s="83">
        <f>350.872-40-25-60-100</f>
        <v>125.87200000000001</v>
      </c>
      <c r="G321" s="86">
        <v>40</v>
      </c>
      <c r="H321" s="83">
        <f t="shared" si="50"/>
        <v>185</v>
      </c>
      <c r="I321" s="83">
        <f t="shared" si="49"/>
        <v>0</v>
      </c>
      <c r="J321" s="86">
        <v>100</v>
      </c>
      <c r="K321" s="86">
        <v>300</v>
      </c>
      <c r="L321" s="83">
        <f t="shared" si="43"/>
        <v>1239</v>
      </c>
      <c r="M321" s="94">
        <v>600</v>
      </c>
      <c r="N321" s="83">
        <f>75</f>
        <v>75</v>
      </c>
      <c r="O321" s="86">
        <v>240</v>
      </c>
      <c r="P321" s="86">
        <v>160</v>
      </c>
      <c r="Q321" s="86">
        <f t="shared" si="44"/>
        <v>195</v>
      </c>
      <c r="R321" s="86">
        <f t="shared" si="45"/>
        <v>100</v>
      </c>
      <c r="S321" s="83">
        <f t="shared" si="46"/>
        <v>695</v>
      </c>
      <c r="T321" s="83">
        <f>0</f>
        <v>0</v>
      </c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</row>
    <row r="322" spans="1:30" ht="15.75" x14ac:dyDescent="0.25">
      <c r="A322" s="14">
        <v>50739</v>
      </c>
      <c r="B322" s="96">
        <v>30</v>
      </c>
      <c r="C322" s="83">
        <f>122.58</f>
        <v>122.58</v>
      </c>
      <c r="D322" s="83">
        <f>297.941</f>
        <v>297.94099999999997</v>
      </c>
      <c r="E322" s="92">
        <f>89.177</f>
        <v>89.177000000000007</v>
      </c>
      <c r="F322" s="83">
        <f>240.302-40-60-100</f>
        <v>40.301999999999992</v>
      </c>
      <c r="G322" s="86">
        <v>40</v>
      </c>
      <c r="H322" s="83">
        <f>60+100</f>
        <v>160</v>
      </c>
      <c r="I322" s="83">
        <f t="shared" si="49"/>
        <v>0</v>
      </c>
      <c r="J322" s="86">
        <v>100</v>
      </c>
      <c r="K322" s="86">
        <v>300</v>
      </c>
      <c r="L322" s="83">
        <f t="shared" si="43"/>
        <v>1150</v>
      </c>
      <c r="M322" s="94">
        <v>600</v>
      </c>
      <c r="N322" s="83">
        <f>100</f>
        <v>100</v>
      </c>
      <c r="O322" s="86">
        <v>240</v>
      </c>
      <c r="P322" s="86">
        <v>40</v>
      </c>
      <c r="Q322" s="86">
        <f t="shared" si="44"/>
        <v>315</v>
      </c>
      <c r="R322" s="86">
        <f t="shared" si="45"/>
        <v>100</v>
      </c>
      <c r="S322" s="83">
        <f t="shared" si="46"/>
        <v>695</v>
      </c>
      <c r="T322" s="83">
        <f>50</f>
        <v>50</v>
      </c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</row>
    <row r="323" spans="1:30" ht="15.75" x14ac:dyDescent="0.25">
      <c r="A323" s="14">
        <v>50770</v>
      </c>
      <c r="B323" s="96">
        <v>31</v>
      </c>
      <c r="C323" s="83">
        <f>122.58</f>
        <v>122.58</v>
      </c>
      <c r="D323" s="83">
        <f>297.941</f>
        <v>297.94099999999997</v>
      </c>
      <c r="E323" s="92">
        <f>89.177</f>
        <v>89.177000000000007</v>
      </c>
      <c r="F323" s="83">
        <f>240.302-40-60-100</f>
        <v>40.301999999999992</v>
      </c>
      <c r="G323" s="86">
        <v>40</v>
      </c>
      <c r="H323" s="83">
        <f>60+100</f>
        <v>160</v>
      </c>
      <c r="I323" s="83">
        <f t="shared" si="49"/>
        <v>0</v>
      </c>
      <c r="J323" s="86">
        <v>100</v>
      </c>
      <c r="K323" s="86">
        <v>300</v>
      </c>
      <c r="L323" s="83">
        <f t="shared" si="43"/>
        <v>1150</v>
      </c>
      <c r="M323" s="94">
        <v>600</v>
      </c>
      <c r="N323" s="83">
        <f>100</f>
        <v>100</v>
      </c>
      <c r="O323" s="86">
        <v>240</v>
      </c>
      <c r="P323" s="86">
        <v>40</v>
      </c>
      <c r="Q323" s="86">
        <f t="shared" si="44"/>
        <v>315</v>
      </c>
      <c r="R323" s="86">
        <f t="shared" si="45"/>
        <v>100</v>
      </c>
      <c r="S323" s="83">
        <f t="shared" si="46"/>
        <v>695</v>
      </c>
      <c r="T323" s="83">
        <f>50</f>
        <v>50</v>
      </c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</row>
    <row r="324" spans="1:30" ht="15.75" x14ac:dyDescent="0.25">
      <c r="A324" s="14">
        <v>50801</v>
      </c>
      <c r="B324" s="96">
        <v>31</v>
      </c>
      <c r="C324" s="83">
        <f>122.58</f>
        <v>122.58</v>
      </c>
      <c r="D324" s="83">
        <f>297.941</f>
        <v>297.94099999999997</v>
      </c>
      <c r="E324" s="92">
        <f>89.177</f>
        <v>89.177000000000007</v>
      </c>
      <c r="F324" s="83">
        <f>240.302-40-60-100</f>
        <v>40.301999999999992</v>
      </c>
      <c r="G324" s="86">
        <v>40</v>
      </c>
      <c r="H324" s="83">
        <f>60+100</f>
        <v>160</v>
      </c>
      <c r="I324" s="83">
        <f t="shared" si="49"/>
        <v>0</v>
      </c>
      <c r="J324" s="86">
        <v>100</v>
      </c>
      <c r="K324" s="86">
        <v>300</v>
      </c>
      <c r="L324" s="83">
        <f t="shared" si="43"/>
        <v>1150</v>
      </c>
      <c r="M324" s="94">
        <v>600</v>
      </c>
      <c r="N324" s="83">
        <f>100</f>
        <v>100</v>
      </c>
      <c r="O324" s="86">
        <v>240</v>
      </c>
      <c r="P324" s="86">
        <v>40</v>
      </c>
      <c r="Q324" s="86">
        <f t="shared" si="44"/>
        <v>315</v>
      </c>
      <c r="R324" s="86">
        <f t="shared" si="45"/>
        <v>100</v>
      </c>
      <c r="S324" s="83">
        <f t="shared" si="46"/>
        <v>695</v>
      </c>
      <c r="T324" s="83">
        <f>50</f>
        <v>50</v>
      </c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</row>
    <row r="325" spans="1:30" ht="15.75" x14ac:dyDescent="0.25">
      <c r="A325" s="14">
        <v>50829</v>
      </c>
      <c r="B325" s="96">
        <v>28</v>
      </c>
      <c r="C325" s="83">
        <f>122.58</f>
        <v>122.58</v>
      </c>
      <c r="D325" s="83">
        <f>297.941</f>
        <v>297.94099999999997</v>
      </c>
      <c r="E325" s="92">
        <f>89.177</f>
        <v>89.177000000000007</v>
      </c>
      <c r="F325" s="83">
        <f>240.302-40-60-100</f>
        <v>40.301999999999992</v>
      </c>
      <c r="G325" s="86">
        <v>40</v>
      </c>
      <c r="H325" s="83">
        <f>60+100</f>
        <v>160</v>
      </c>
      <c r="I325" s="83">
        <f t="shared" si="49"/>
        <v>0</v>
      </c>
      <c r="J325" s="86">
        <v>100</v>
      </c>
      <c r="K325" s="86">
        <v>300</v>
      </c>
      <c r="L325" s="83">
        <f t="shared" si="43"/>
        <v>1150</v>
      </c>
      <c r="M325" s="94">
        <v>600</v>
      </c>
      <c r="N325" s="83">
        <f>100</f>
        <v>100</v>
      </c>
      <c r="O325" s="86">
        <v>240</v>
      </c>
      <c r="P325" s="86">
        <v>40</v>
      </c>
      <c r="Q325" s="86">
        <f t="shared" si="44"/>
        <v>315</v>
      </c>
      <c r="R325" s="86">
        <f t="shared" si="45"/>
        <v>100</v>
      </c>
      <c r="S325" s="83">
        <f t="shared" si="46"/>
        <v>695</v>
      </c>
      <c r="T325" s="83">
        <f>50</f>
        <v>50</v>
      </c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</row>
    <row r="326" spans="1:30" ht="15.75" x14ac:dyDescent="0.25">
      <c r="A326" s="14">
        <v>50860</v>
      </c>
      <c r="B326" s="96">
        <v>31</v>
      </c>
      <c r="C326" s="83">
        <f>122.58</f>
        <v>122.58</v>
      </c>
      <c r="D326" s="83">
        <f>297.941</f>
        <v>297.94099999999997</v>
      </c>
      <c r="E326" s="92">
        <f>89.177</f>
        <v>89.177000000000007</v>
      </c>
      <c r="F326" s="83">
        <f>240.302-40-60-100</f>
        <v>40.301999999999992</v>
      </c>
      <c r="G326" s="86">
        <v>40</v>
      </c>
      <c r="H326" s="83">
        <f>60+100</f>
        <v>160</v>
      </c>
      <c r="I326" s="83">
        <f t="shared" si="49"/>
        <v>0</v>
      </c>
      <c r="J326" s="86">
        <v>100</v>
      </c>
      <c r="K326" s="86">
        <v>300</v>
      </c>
      <c r="L326" s="83">
        <f t="shared" si="43"/>
        <v>1150</v>
      </c>
      <c r="M326" s="94">
        <v>600</v>
      </c>
      <c r="N326" s="83">
        <f>100</f>
        <v>100</v>
      </c>
      <c r="O326" s="86">
        <v>240</v>
      </c>
      <c r="P326" s="86">
        <v>40</v>
      </c>
      <c r="Q326" s="86">
        <f t="shared" si="44"/>
        <v>315</v>
      </c>
      <c r="R326" s="86">
        <f t="shared" si="45"/>
        <v>100</v>
      </c>
      <c r="S326" s="83">
        <f t="shared" si="46"/>
        <v>695</v>
      </c>
      <c r="T326" s="83">
        <f>50</f>
        <v>50</v>
      </c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</row>
    <row r="327" spans="1:30" ht="15.75" x14ac:dyDescent="0.25">
      <c r="A327" s="14">
        <v>50890</v>
      </c>
      <c r="B327" s="96">
        <v>30</v>
      </c>
      <c r="C327" s="83">
        <f>141.293</f>
        <v>141.29300000000001</v>
      </c>
      <c r="D327" s="83">
        <f>267.993</f>
        <v>267.99299999999999</v>
      </c>
      <c r="E327" s="92">
        <f>115.016</f>
        <v>115.01600000000001</v>
      </c>
      <c r="F327" s="83">
        <f>314.698-40-25-60-100</f>
        <v>89.697999999999979</v>
      </c>
      <c r="G327" s="86">
        <v>40</v>
      </c>
      <c r="H327" s="83">
        <f t="shared" ref="H327:H333" si="51">25+60+100</f>
        <v>185</v>
      </c>
      <c r="I327" s="83">
        <f t="shared" si="49"/>
        <v>0</v>
      </c>
      <c r="J327" s="86">
        <v>100</v>
      </c>
      <c r="K327" s="86">
        <v>300</v>
      </c>
      <c r="L327" s="83">
        <f t="shared" si="43"/>
        <v>1239</v>
      </c>
      <c r="M327" s="94">
        <v>600</v>
      </c>
      <c r="N327" s="83">
        <f>100</f>
        <v>100</v>
      </c>
      <c r="O327" s="86">
        <v>240</v>
      </c>
      <c r="P327" s="86">
        <v>160</v>
      </c>
      <c r="Q327" s="86">
        <f t="shared" si="44"/>
        <v>195</v>
      </c>
      <c r="R327" s="86">
        <f t="shared" si="45"/>
        <v>100</v>
      </c>
      <c r="S327" s="83">
        <f t="shared" si="46"/>
        <v>695</v>
      </c>
      <c r="T327" s="83">
        <f>50</f>
        <v>50</v>
      </c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</row>
    <row r="328" spans="1:30" ht="15.75" x14ac:dyDescent="0.25">
      <c r="A328" s="14">
        <v>50921</v>
      </c>
      <c r="B328" s="96">
        <v>31</v>
      </c>
      <c r="C328" s="83">
        <f>194.205</f>
        <v>194.20500000000001</v>
      </c>
      <c r="D328" s="83">
        <f>267.466</f>
        <v>267.46600000000001</v>
      </c>
      <c r="E328" s="92">
        <f>133.845</f>
        <v>133.845</v>
      </c>
      <c r="F328" s="83">
        <f>278.484-40-25-60-100</f>
        <v>53.48399999999998</v>
      </c>
      <c r="G328" s="86">
        <v>40</v>
      </c>
      <c r="H328" s="83">
        <f t="shared" si="51"/>
        <v>185</v>
      </c>
      <c r="I328" s="83">
        <f t="shared" si="49"/>
        <v>0</v>
      </c>
      <c r="J328" s="86">
        <v>100</v>
      </c>
      <c r="K328" s="86">
        <v>300</v>
      </c>
      <c r="L328" s="83">
        <f t="shared" si="43"/>
        <v>1274</v>
      </c>
      <c r="M328" s="94">
        <v>600</v>
      </c>
      <c r="N328" s="83">
        <f>75</f>
        <v>75</v>
      </c>
      <c r="O328" s="86">
        <v>240</v>
      </c>
      <c r="P328" s="86">
        <v>160</v>
      </c>
      <c r="Q328" s="86">
        <f t="shared" si="44"/>
        <v>195</v>
      </c>
      <c r="R328" s="86">
        <f t="shared" si="45"/>
        <v>100</v>
      </c>
      <c r="S328" s="83">
        <f t="shared" si="46"/>
        <v>695</v>
      </c>
      <c r="T328" s="83">
        <f>50</f>
        <v>50</v>
      </c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</row>
    <row r="329" spans="1:30" ht="15.75" x14ac:dyDescent="0.25">
      <c r="A329" s="14">
        <v>50951</v>
      </c>
      <c r="B329" s="96">
        <v>30</v>
      </c>
      <c r="C329" s="83">
        <f>194.205</f>
        <v>194.20500000000001</v>
      </c>
      <c r="D329" s="83">
        <f>267.466</f>
        <v>267.46600000000001</v>
      </c>
      <c r="E329" s="92">
        <f>133.845</f>
        <v>133.845</v>
      </c>
      <c r="F329" s="83">
        <f>278.484-40-25-60-100</f>
        <v>53.48399999999998</v>
      </c>
      <c r="G329" s="86">
        <v>40</v>
      </c>
      <c r="H329" s="83">
        <f t="shared" si="51"/>
        <v>185</v>
      </c>
      <c r="I329" s="83">
        <f t="shared" si="49"/>
        <v>0</v>
      </c>
      <c r="J329" s="86">
        <v>100</v>
      </c>
      <c r="K329" s="86">
        <v>300</v>
      </c>
      <c r="L329" s="83">
        <f t="shared" si="43"/>
        <v>1274</v>
      </c>
      <c r="M329" s="94">
        <v>600</v>
      </c>
      <c r="N329" s="83">
        <f>30</f>
        <v>30</v>
      </c>
      <c r="O329" s="86">
        <v>240</v>
      </c>
      <c r="P329" s="86">
        <v>160</v>
      </c>
      <c r="Q329" s="86">
        <f t="shared" si="44"/>
        <v>195</v>
      </c>
      <c r="R329" s="86">
        <f t="shared" si="45"/>
        <v>100</v>
      </c>
      <c r="S329" s="83">
        <f t="shared" si="46"/>
        <v>695</v>
      </c>
      <c r="T329" s="83">
        <f>50</f>
        <v>50</v>
      </c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</row>
    <row r="330" spans="1:30" ht="15.75" x14ac:dyDescent="0.25">
      <c r="A330" s="14">
        <v>50982</v>
      </c>
      <c r="B330" s="96">
        <v>31</v>
      </c>
      <c r="C330" s="83">
        <f>194.205</f>
        <v>194.20500000000001</v>
      </c>
      <c r="D330" s="83">
        <f>267.466</f>
        <v>267.46600000000001</v>
      </c>
      <c r="E330" s="92">
        <f>133.845</f>
        <v>133.845</v>
      </c>
      <c r="F330" s="83">
        <f>278.484-40-25-60-100</f>
        <v>53.48399999999998</v>
      </c>
      <c r="G330" s="86">
        <v>40</v>
      </c>
      <c r="H330" s="83">
        <f t="shared" si="51"/>
        <v>185</v>
      </c>
      <c r="I330" s="83">
        <f t="shared" si="49"/>
        <v>0</v>
      </c>
      <c r="J330" s="86">
        <v>100</v>
      </c>
      <c r="K330" s="86">
        <v>300</v>
      </c>
      <c r="L330" s="83">
        <f t="shared" si="43"/>
        <v>1274</v>
      </c>
      <c r="M330" s="94">
        <v>600</v>
      </c>
      <c r="N330" s="83">
        <f>30</f>
        <v>30</v>
      </c>
      <c r="O330" s="86">
        <v>240</v>
      </c>
      <c r="P330" s="86">
        <v>160</v>
      </c>
      <c r="Q330" s="86">
        <f t="shared" si="44"/>
        <v>195</v>
      </c>
      <c r="R330" s="86">
        <f t="shared" si="45"/>
        <v>100</v>
      </c>
      <c r="S330" s="83">
        <f t="shared" si="46"/>
        <v>695</v>
      </c>
      <c r="T330" s="83">
        <f>0</f>
        <v>0</v>
      </c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</row>
    <row r="331" spans="1:30" ht="15.75" x14ac:dyDescent="0.25">
      <c r="A331" s="14">
        <v>51013</v>
      </c>
      <c r="B331" s="96">
        <v>31</v>
      </c>
      <c r="C331" s="83">
        <f>194.205</f>
        <v>194.20500000000001</v>
      </c>
      <c r="D331" s="83">
        <f>267.466</f>
        <v>267.46600000000001</v>
      </c>
      <c r="E331" s="92">
        <f>133.845</f>
        <v>133.845</v>
      </c>
      <c r="F331" s="83">
        <f>278.484-40-25-60-100</f>
        <v>53.48399999999998</v>
      </c>
      <c r="G331" s="86">
        <v>40</v>
      </c>
      <c r="H331" s="83">
        <f t="shared" si="51"/>
        <v>185</v>
      </c>
      <c r="I331" s="83">
        <f t="shared" si="49"/>
        <v>0</v>
      </c>
      <c r="J331" s="86">
        <v>100</v>
      </c>
      <c r="K331" s="86">
        <v>300</v>
      </c>
      <c r="L331" s="83">
        <f t="shared" si="43"/>
        <v>1274</v>
      </c>
      <c r="M331" s="94">
        <v>600</v>
      </c>
      <c r="N331" s="83">
        <f>30</f>
        <v>30</v>
      </c>
      <c r="O331" s="86">
        <v>240</v>
      </c>
      <c r="P331" s="86">
        <v>160</v>
      </c>
      <c r="Q331" s="86">
        <f t="shared" si="44"/>
        <v>195</v>
      </c>
      <c r="R331" s="86">
        <f t="shared" si="45"/>
        <v>100</v>
      </c>
      <c r="S331" s="83">
        <f t="shared" si="46"/>
        <v>695</v>
      </c>
      <c r="T331" s="83">
        <f>0</f>
        <v>0</v>
      </c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</row>
    <row r="332" spans="1:30" ht="15.75" x14ac:dyDescent="0.25">
      <c r="A332" s="14">
        <v>51043</v>
      </c>
      <c r="B332" s="96">
        <v>30</v>
      </c>
      <c r="C332" s="83">
        <f>194.205</f>
        <v>194.20500000000001</v>
      </c>
      <c r="D332" s="83">
        <f>267.466</f>
        <v>267.46600000000001</v>
      </c>
      <c r="E332" s="92">
        <f>133.845</f>
        <v>133.845</v>
      </c>
      <c r="F332" s="83">
        <f>278.484-40-25-60-100</f>
        <v>53.48399999999998</v>
      </c>
      <c r="G332" s="86">
        <v>40</v>
      </c>
      <c r="H332" s="83">
        <f t="shared" si="51"/>
        <v>185</v>
      </c>
      <c r="I332" s="83">
        <f t="shared" si="49"/>
        <v>0</v>
      </c>
      <c r="J332" s="86">
        <v>100</v>
      </c>
      <c r="K332" s="86">
        <v>300</v>
      </c>
      <c r="L332" s="83">
        <f t="shared" si="43"/>
        <v>1274</v>
      </c>
      <c r="M332" s="94">
        <v>600</v>
      </c>
      <c r="N332" s="83">
        <f>30</f>
        <v>30</v>
      </c>
      <c r="O332" s="86">
        <v>240</v>
      </c>
      <c r="P332" s="86">
        <v>160</v>
      </c>
      <c r="Q332" s="86">
        <f t="shared" si="44"/>
        <v>195</v>
      </c>
      <c r="R332" s="86">
        <f t="shared" si="45"/>
        <v>100</v>
      </c>
      <c r="S332" s="83">
        <f t="shared" si="46"/>
        <v>695</v>
      </c>
      <c r="T332" s="83">
        <f>0</f>
        <v>0</v>
      </c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</row>
    <row r="333" spans="1:30" ht="15.75" x14ac:dyDescent="0.25">
      <c r="A333" s="14">
        <v>51074</v>
      </c>
      <c r="B333" s="96">
        <v>31</v>
      </c>
      <c r="C333" s="83">
        <f>131.881</f>
        <v>131.881</v>
      </c>
      <c r="D333" s="83">
        <f>277.167</f>
        <v>277.16699999999997</v>
      </c>
      <c r="E333" s="92">
        <f>79.08</f>
        <v>79.08</v>
      </c>
      <c r="F333" s="83">
        <f>350.872-40-25-60-100</f>
        <v>125.87200000000001</v>
      </c>
      <c r="G333" s="86">
        <v>40</v>
      </c>
      <c r="H333" s="83">
        <f t="shared" si="51"/>
        <v>185</v>
      </c>
      <c r="I333" s="83">
        <f t="shared" si="49"/>
        <v>0</v>
      </c>
      <c r="J333" s="86">
        <v>100</v>
      </c>
      <c r="K333" s="86">
        <v>300</v>
      </c>
      <c r="L333" s="83">
        <f t="shared" si="43"/>
        <v>1239</v>
      </c>
      <c r="M333" s="94">
        <v>600</v>
      </c>
      <c r="N333" s="83">
        <f>75</f>
        <v>75</v>
      </c>
      <c r="O333" s="86">
        <v>240</v>
      </c>
      <c r="P333" s="86">
        <v>160</v>
      </c>
      <c r="Q333" s="86">
        <f t="shared" si="44"/>
        <v>195</v>
      </c>
      <c r="R333" s="86">
        <f t="shared" si="45"/>
        <v>100</v>
      </c>
      <c r="S333" s="83">
        <f t="shared" si="46"/>
        <v>695</v>
      </c>
      <c r="T333" s="83">
        <f>0</f>
        <v>0</v>
      </c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</row>
    <row r="334" spans="1:30" ht="15.75" x14ac:dyDescent="0.25">
      <c r="A334" s="14">
        <v>51104</v>
      </c>
      <c r="B334" s="96">
        <v>30</v>
      </c>
      <c r="C334" s="83">
        <f>122.58</f>
        <v>122.58</v>
      </c>
      <c r="D334" s="83">
        <f>297.941</f>
        <v>297.94099999999997</v>
      </c>
      <c r="E334" s="92">
        <f>89.177</f>
        <v>89.177000000000007</v>
      </c>
      <c r="F334" s="83">
        <f>240.302-40-60-100</f>
        <v>40.301999999999992</v>
      </c>
      <c r="G334" s="86">
        <v>40</v>
      </c>
      <c r="H334" s="83">
        <f>60+100</f>
        <v>160</v>
      </c>
      <c r="I334" s="83">
        <f t="shared" si="49"/>
        <v>0</v>
      </c>
      <c r="J334" s="86">
        <v>100</v>
      </c>
      <c r="K334" s="86">
        <v>300</v>
      </c>
      <c r="L334" s="83">
        <f t="shared" si="43"/>
        <v>1150</v>
      </c>
      <c r="M334" s="94">
        <v>600</v>
      </c>
      <c r="N334" s="83">
        <f>100</f>
        <v>100</v>
      </c>
      <c r="O334" s="86">
        <v>240</v>
      </c>
      <c r="P334" s="86">
        <v>40</v>
      </c>
      <c r="Q334" s="86">
        <f t="shared" si="44"/>
        <v>315</v>
      </c>
      <c r="R334" s="86">
        <f t="shared" si="45"/>
        <v>100</v>
      </c>
      <c r="S334" s="83">
        <f t="shared" si="46"/>
        <v>695</v>
      </c>
      <c r="T334" s="83">
        <f>50</f>
        <v>50</v>
      </c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</row>
    <row r="335" spans="1:30" ht="15.75" x14ac:dyDescent="0.25">
      <c r="A335" s="14">
        <v>51135</v>
      </c>
      <c r="B335" s="96">
        <v>31</v>
      </c>
      <c r="C335" s="83">
        <f>122.58</f>
        <v>122.58</v>
      </c>
      <c r="D335" s="83">
        <f>297.941</f>
        <v>297.94099999999997</v>
      </c>
      <c r="E335" s="92">
        <f>89.177</f>
        <v>89.177000000000007</v>
      </c>
      <c r="F335" s="83">
        <f>240.302-40-60-100</f>
        <v>40.301999999999992</v>
      </c>
      <c r="G335" s="86">
        <v>40</v>
      </c>
      <c r="H335" s="83">
        <f>60+100</f>
        <v>160</v>
      </c>
      <c r="I335" s="83">
        <f t="shared" si="49"/>
        <v>0</v>
      </c>
      <c r="J335" s="86">
        <v>100</v>
      </c>
      <c r="K335" s="86">
        <v>300</v>
      </c>
      <c r="L335" s="83">
        <f t="shared" si="43"/>
        <v>1150</v>
      </c>
      <c r="M335" s="94">
        <v>600</v>
      </c>
      <c r="N335" s="83">
        <f>100</f>
        <v>100</v>
      </c>
      <c r="O335" s="86">
        <v>240</v>
      </c>
      <c r="P335" s="86">
        <v>40</v>
      </c>
      <c r="Q335" s="86">
        <f t="shared" si="44"/>
        <v>315</v>
      </c>
      <c r="R335" s="86">
        <f t="shared" si="45"/>
        <v>100</v>
      </c>
      <c r="S335" s="83">
        <f t="shared" si="46"/>
        <v>695</v>
      </c>
      <c r="T335" s="83">
        <f>50</f>
        <v>50</v>
      </c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</row>
    <row r="336" spans="1:30" ht="15.75" x14ac:dyDescent="0.25">
      <c r="A336" s="14">
        <v>51166</v>
      </c>
      <c r="B336" s="96">
        <v>31</v>
      </c>
      <c r="C336" s="83">
        <f>122.58</f>
        <v>122.58</v>
      </c>
      <c r="D336" s="83">
        <f>297.941</f>
        <v>297.94099999999997</v>
      </c>
      <c r="E336" s="92">
        <f>89.177</f>
        <v>89.177000000000007</v>
      </c>
      <c r="F336" s="83">
        <f>240.302-40-60-100</f>
        <v>40.301999999999992</v>
      </c>
      <c r="G336" s="86">
        <v>40</v>
      </c>
      <c r="H336" s="83">
        <f>60+100</f>
        <v>160</v>
      </c>
      <c r="I336" s="83">
        <f t="shared" si="49"/>
        <v>0</v>
      </c>
      <c r="J336" s="86">
        <v>100</v>
      </c>
      <c r="K336" s="86">
        <v>300</v>
      </c>
      <c r="L336" s="83">
        <f t="shared" si="43"/>
        <v>1150</v>
      </c>
      <c r="M336" s="94">
        <v>600</v>
      </c>
      <c r="N336" s="83">
        <f>100</f>
        <v>100</v>
      </c>
      <c r="O336" s="86">
        <v>240</v>
      </c>
      <c r="P336" s="86">
        <v>40</v>
      </c>
      <c r="Q336" s="86">
        <f t="shared" si="44"/>
        <v>315</v>
      </c>
      <c r="R336" s="86">
        <f t="shared" si="45"/>
        <v>100</v>
      </c>
      <c r="S336" s="83">
        <f t="shared" si="46"/>
        <v>695</v>
      </c>
      <c r="T336" s="83">
        <f>50</f>
        <v>50</v>
      </c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</row>
    <row r="337" spans="1:30" ht="15.75" x14ac:dyDescent="0.25">
      <c r="A337" s="14">
        <v>51194</v>
      </c>
      <c r="B337" s="96">
        <v>29</v>
      </c>
      <c r="C337" s="83">
        <f>122.58</f>
        <v>122.58</v>
      </c>
      <c r="D337" s="83">
        <f>297.941</f>
        <v>297.94099999999997</v>
      </c>
      <c r="E337" s="92">
        <f>89.177</f>
        <v>89.177000000000007</v>
      </c>
      <c r="F337" s="83">
        <f>240.302-40-60-100</f>
        <v>40.301999999999992</v>
      </c>
      <c r="G337" s="86">
        <v>40</v>
      </c>
      <c r="H337" s="83">
        <f>60+100</f>
        <v>160</v>
      </c>
      <c r="I337" s="83">
        <f t="shared" si="49"/>
        <v>0</v>
      </c>
      <c r="J337" s="86">
        <v>100</v>
      </c>
      <c r="K337" s="86">
        <v>300</v>
      </c>
      <c r="L337" s="83">
        <f t="shared" si="43"/>
        <v>1150</v>
      </c>
      <c r="M337" s="94">
        <v>600</v>
      </c>
      <c r="N337" s="83">
        <f>100</f>
        <v>100</v>
      </c>
      <c r="O337" s="86">
        <v>240</v>
      </c>
      <c r="P337" s="86">
        <v>40</v>
      </c>
      <c r="Q337" s="86">
        <f t="shared" si="44"/>
        <v>315</v>
      </c>
      <c r="R337" s="86">
        <f t="shared" si="45"/>
        <v>100</v>
      </c>
      <c r="S337" s="83">
        <f t="shared" si="46"/>
        <v>695</v>
      </c>
      <c r="T337" s="83">
        <f>50</f>
        <v>50</v>
      </c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</row>
    <row r="338" spans="1:30" ht="15.75" x14ac:dyDescent="0.25">
      <c r="A338" s="14">
        <v>51226</v>
      </c>
      <c r="B338" s="96">
        <v>31</v>
      </c>
      <c r="C338" s="83">
        <f>122.58</f>
        <v>122.58</v>
      </c>
      <c r="D338" s="83">
        <f>297.941</f>
        <v>297.94099999999997</v>
      </c>
      <c r="E338" s="92">
        <f>89.177</f>
        <v>89.177000000000007</v>
      </c>
      <c r="F338" s="83">
        <f>240.302-40-60-100</f>
        <v>40.301999999999992</v>
      </c>
      <c r="G338" s="86">
        <v>40</v>
      </c>
      <c r="H338" s="83">
        <f>60+100</f>
        <v>160</v>
      </c>
      <c r="I338" s="83">
        <f t="shared" si="49"/>
        <v>0</v>
      </c>
      <c r="J338" s="86">
        <v>100</v>
      </c>
      <c r="K338" s="86">
        <v>300</v>
      </c>
      <c r="L338" s="83">
        <f t="shared" si="43"/>
        <v>1150</v>
      </c>
      <c r="M338" s="94">
        <v>600</v>
      </c>
      <c r="N338" s="83">
        <f>100</f>
        <v>100</v>
      </c>
      <c r="O338" s="86">
        <v>240</v>
      </c>
      <c r="P338" s="86">
        <v>40</v>
      </c>
      <c r="Q338" s="86">
        <f t="shared" si="44"/>
        <v>315</v>
      </c>
      <c r="R338" s="86">
        <f t="shared" si="45"/>
        <v>100</v>
      </c>
      <c r="S338" s="83">
        <f t="shared" si="46"/>
        <v>695</v>
      </c>
      <c r="T338" s="83">
        <f>50</f>
        <v>50</v>
      </c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</row>
    <row r="339" spans="1:30" ht="15.75" x14ac:dyDescent="0.25">
      <c r="A339" s="14">
        <v>51256</v>
      </c>
      <c r="B339" s="96">
        <v>30</v>
      </c>
      <c r="C339" s="83">
        <f>141.293</f>
        <v>141.29300000000001</v>
      </c>
      <c r="D339" s="83">
        <f>267.993</f>
        <v>267.99299999999999</v>
      </c>
      <c r="E339" s="92">
        <f>115.016</f>
        <v>115.01600000000001</v>
      </c>
      <c r="F339" s="83">
        <f>314.698-40-25-60-100</f>
        <v>89.697999999999979</v>
      </c>
      <c r="G339" s="86">
        <v>40</v>
      </c>
      <c r="H339" s="83">
        <f t="shared" ref="H339:H345" si="52">25+60+100</f>
        <v>185</v>
      </c>
      <c r="I339" s="83">
        <f t="shared" si="49"/>
        <v>0</v>
      </c>
      <c r="J339" s="86">
        <v>100</v>
      </c>
      <c r="K339" s="86">
        <v>300</v>
      </c>
      <c r="L339" s="83">
        <f t="shared" si="43"/>
        <v>1239</v>
      </c>
      <c r="M339" s="94">
        <v>600</v>
      </c>
      <c r="N339" s="83">
        <f>100</f>
        <v>100</v>
      </c>
      <c r="O339" s="86">
        <v>240</v>
      </c>
      <c r="P339" s="86">
        <v>160</v>
      </c>
      <c r="Q339" s="86">
        <f t="shared" si="44"/>
        <v>195</v>
      </c>
      <c r="R339" s="86">
        <f t="shared" si="45"/>
        <v>100</v>
      </c>
      <c r="S339" s="83">
        <f t="shared" si="46"/>
        <v>695</v>
      </c>
      <c r="T339" s="83">
        <f>50</f>
        <v>50</v>
      </c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</row>
    <row r="340" spans="1:30" ht="15.75" x14ac:dyDescent="0.25">
      <c r="A340" s="14">
        <v>51287</v>
      </c>
      <c r="B340" s="96">
        <v>31</v>
      </c>
      <c r="C340" s="83">
        <f>194.205</f>
        <v>194.20500000000001</v>
      </c>
      <c r="D340" s="83">
        <f>267.466</f>
        <v>267.46600000000001</v>
      </c>
      <c r="E340" s="92">
        <f>133.845</f>
        <v>133.845</v>
      </c>
      <c r="F340" s="83">
        <f>278.484-40-25-60-100</f>
        <v>53.48399999999998</v>
      </c>
      <c r="G340" s="86">
        <v>40</v>
      </c>
      <c r="H340" s="83">
        <f t="shared" si="52"/>
        <v>185</v>
      </c>
      <c r="I340" s="83">
        <f t="shared" si="49"/>
        <v>0</v>
      </c>
      <c r="J340" s="86">
        <v>100</v>
      </c>
      <c r="K340" s="86">
        <v>300</v>
      </c>
      <c r="L340" s="83">
        <f t="shared" si="43"/>
        <v>1274</v>
      </c>
      <c r="M340" s="94">
        <v>600</v>
      </c>
      <c r="N340" s="83">
        <f>75</f>
        <v>75</v>
      </c>
      <c r="O340" s="86">
        <v>240</v>
      </c>
      <c r="P340" s="86">
        <v>160</v>
      </c>
      <c r="Q340" s="86">
        <f t="shared" si="44"/>
        <v>195</v>
      </c>
      <c r="R340" s="86">
        <f t="shared" si="45"/>
        <v>100</v>
      </c>
      <c r="S340" s="83">
        <f t="shared" si="46"/>
        <v>695</v>
      </c>
      <c r="T340" s="83">
        <f>50</f>
        <v>50</v>
      </c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</row>
    <row r="341" spans="1:30" ht="15.75" x14ac:dyDescent="0.25">
      <c r="A341" s="14">
        <v>51317</v>
      </c>
      <c r="B341" s="96">
        <v>30</v>
      </c>
      <c r="C341" s="83">
        <f>194.205</f>
        <v>194.20500000000001</v>
      </c>
      <c r="D341" s="83">
        <f>267.466</f>
        <v>267.46600000000001</v>
      </c>
      <c r="E341" s="92">
        <f>133.845</f>
        <v>133.845</v>
      </c>
      <c r="F341" s="83">
        <f>278.484-40-25-60-100</f>
        <v>53.48399999999998</v>
      </c>
      <c r="G341" s="86">
        <v>40</v>
      </c>
      <c r="H341" s="83">
        <f t="shared" si="52"/>
        <v>185</v>
      </c>
      <c r="I341" s="83">
        <f t="shared" si="49"/>
        <v>0</v>
      </c>
      <c r="J341" s="86">
        <v>100</v>
      </c>
      <c r="K341" s="86">
        <v>300</v>
      </c>
      <c r="L341" s="83">
        <f t="shared" si="43"/>
        <v>1274</v>
      </c>
      <c r="M341" s="94">
        <v>600</v>
      </c>
      <c r="N341" s="83">
        <f>30</f>
        <v>30</v>
      </c>
      <c r="O341" s="86">
        <v>240</v>
      </c>
      <c r="P341" s="86">
        <v>160</v>
      </c>
      <c r="Q341" s="86">
        <f t="shared" si="44"/>
        <v>195</v>
      </c>
      <c r="R341" s="86">
        <f t="shared" si="45"/>
        <v>100</v>
      </c>
      <c r="S341" s="83">
        <f t="shared" si="46"/>
        <v>695</v>
      </c>
      <c r="T341" s="83">
        <f>50</f>
        <v>50</v>
      </c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</row>
    <row r="342" spans="1:30" ht="15.75" x14ac:dyDescent="0.25">
      <c r="A342" s="14">
        <v>51348</v>
      </c>
      <c r="B342" s="96">
        <v>31</v>
      </c>
      <c r="C342" s="83">
        <f>194.205</f>
        <v>194.20500000000001</v>
      </c>
      <c r="D342" s="83">
        <f>267.466</f>
        <v>267.46600000000001</v>
      </c>
      <c r="E342" s="92">
        <f>133.845</f>
        <v>133.845</v>
      </c>
      <c r="F342" s="83">
        <f>278.484-40-25-60-100</f>
        <v>53.48399999999998</v>
      </c>
      <c r="G342" s="86">
        <v>40</v>
      </c>
      <c r="H342" s="83">
        <f t="shared" si="52"/>
        <v>185</v>
      </c>
      <c r="I342" s="83">
        <f t="shared" si="49"/>
        <v>0</v>
      </c>
      <c r="J342" s="86">
        <v>100</v>
      </c>
      <c r="K342" s="86">
        <v>300</v>
      </c>
      <c r="L342" s="83">
        <f t="shared" si="43"/>
        <v>1274</v>
      </c>
      <c r="M342" s="94">
        <v>600</v>
      </c>
      <c r="N342" s="83">
        <f>30</f>
        <v>30</v>
      </c>
      <c r="O342" s="86">
        <v>240</v>
      </c>
      <c r="P342" s="86">
        <v>160</v>
      </c>
      <c r="Q342" s="86">
        <f t="shared" si="44"/>
        <v>195</v>
      </c>
      <c r="R342" s="86">
        <f t="shared" si="45"/>
        <v>100</v>
      </c>
      <c r="S342" s="83">
        <f t="shared" si="46"/>
        <v>695</v>
      </c>
      <c r="T342" s="83">
        <f>0</f>
        <v>0</v>
      </c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</row>
    <row r="343" spans="1:30" ht="15.75" x14ac:dyDescent="0.25">
      <c r="A343" s="14">
        <v>51379</v>
      </c>
      <c r="B343" s="96">
        <v>31</v>
      </c>
      <c r="C343" s="83">
        <f>194.205</f>
        <v>194.20500000000001</v>
      </c>
      <c r="D343" s="83">
        <f>267.466</f>
        <v>267.46600000000001</v>
      </c>
      <c r="E343" s="92">
        <f>133.845</f>
        <v>133.845</v>
      </c>
      <c r="F343" s="83">
        <f>278.484-40-25-60-100</f>
        <v>53.48399999999998</v>
      </c>
      <c r="G343" s="86">
        <v>40</v>
      </c>
      <c r="H343" s="83">
        <f t="shared" si="52"/>
        <v>185</v>
      </c>
      <c r="I343" s="83">
        <f t="shared" si="49"/>
        <v>0</v>
      </c>
      <c r="J343" s="86">
        <v>100</v>
      </c>
      <c r="K343" s="86">
        <v>300</v>
      </c>
      <c r="L343" s="83">
        <f t="shared" ref="L343:L406" si="53">SUM(C343:K343)</f>
        <v>1274</v>
      </c>
      <c r="M343" s="94">
        <v>600</v>
      </c>
      <c r="N343" s="83">
        <f>30</f>
        <v>30</v>
      </c>
      <c r="O343" s="86">
        <v>240</v>
      </c>
      <c r="P343" s="86">
        <v>160</v>
      </c>
      <c r="Q343" s="86">
        <f t="shared" ref="Q343:Q406" si="54">695-R343-O343-P343</f>
        <v>195</v>
      </c>
      <c r="R343" s="86">
        <f t="shared" ref="R343:R406" si="55">200-J343</f>
        <v>100</v>
      </c>
      <c r="S343" s="83">
        <f t="shared" ref="S343:S406" si="56">SUM(O343:R343)</f>
        <v>695</v>
      </c>
      <c r="T343" s="83">
        <f>0</f>
        <v>0</v>
      </c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</row>
    <row r="344" spans="1:30" ht="15.75" x14ac:dyDescent="0.25">
      <c r="A344" s="14">
        <v>51409</v>
      </c>
      <c r="B344" s="96">
        <v>30</v>
      </c>
      <c r="C344" s="83">
        <f>194.205</f>
        <v>194.20500000000001</v>
      </c>
      <c r="D344" s="83">
        <f>267.466</f>
        <v>267.46600000000001</v>
      </c>
      <c r="E344" s="92">
        <f>133.845</f>
        <v>133.845</v>
      </c>
      <c r="F344" s="83">
        <f>278.484-40-25-60-100</f>
        <v>53.48399999999998</v>
      </c>
      <c r="G344" s="86">
        <v>40</v>
      </c>
      <c r="H344" s="83">
        <f t="shared" si="52"/>
        <v>185</v>
      </c>
      <c r="I344" s="83">
        <f t="shared" si="49"/>
        <v>0</v>
      </c>
      <c r="J344" s="86">
        <v>100</v>
      </c>
      <c r="K344" s="86">
        <v>300</v>
      </c>
      <c r="L344" s="83">
        <f t="shared" si="53"/>
        <v>1274</v>
      </c>
      <c r="M344" s="94">
        <v>600</v>
      </c>
      <c r="N344" s="83">
        <f>30</f>
        <v>30</v>
      </c>
      <c r="O344" s="86">
        <v>240</v>
      </c>
      <c r="P344" s="86">
        <v>160</v>
      </c>
      <c r="Q344" s="86">
        <f t="shared" si="54"/>
        <v>195</v>
      </c>
      <c r="R344" s="86">
        <f t="shared" si="55"/>
        <v>100</v>
      </c>
      <c r="S344" s="83">
        <f t="shared" si="56"/>
        <v>695</v>
      </c>
      <c r="T344" s="83">
        <f>0</f>
        <v>0</v>
      </c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</row>
    <row r="345" spans="1:30" ht="15.75" x14ac:dyDescent="0.25">
      <c r="A345" s="14">
        <v>51440</v>
      </c>
      <c r="B345" s="96">
        <v>31</v>
      </c>
      <c r="C345" s="83">
        <f>131.881</f>
        <v>131.881</v>
      </c>
      <c r="D345" s="83">
        <f>277.167</f>
        <v>277.16699999999997</v>
      </c>
      <c r="E345" s="92">
        <f>79.08</f>
        <v>79.08</v>
      </c>
      <c r="F345" s="83">
        <f>350.872-40-25-60-100</f>
        <v>125.87200000000001</v>
      </c>
      <c r="G345" s="86">
        <v>40</v>
      </c>
      <c r="H345" s="83">
        <f t="shared" si="52"/>
        <v>185</v>
      </c>
      <c r="I345" s="83">
        <f t="shared" si="49"/>
        <v>0</v>
      </c>
      <c r="J345" s="86">
        <v>100</v>
      </c>
      <c r="K345" s="86">
        <v>300</v>
      </c>
      <c r="L345" s="83">
        <f t="shared" si="53"/>
        <v>1239</v>
      </c>
      <c r="M345" s="94">
        <v>600</v>
      </c>
      <c r="N345" s="83">
        <f>75</f>
        <v>75</v>
      </c>
      <c r="O345" s="86">
        <v>240</v>
      </c>
      <c r="P345" s="86">
        <v>160</v>
      </c>
      <c r="Q345" s="86">
        <f t="shared" si="54"/>
        <v>195</v>
      </c>
      <c r="R345" s="86">
        <f t="shared" si="55"/>
        <v>100</v>
      </c>
      <c r="S345" s="83">
        <f t="shared" si="56"/>
        <v>695</v>
      </c>
      <c r="T345" s="83">
        <f>0</f>
        <v>0</v>
      </c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</row>
    <row r="346" spans="1:30" ht="15.75" x14ac:dyDescent="0.25">
      <c r="A346" s="14">
        <v>51470</v>
      </c>
      <c r="B346" s="96">
        <v>30</v>
      </c>
      <c r="C346" s="83">
        <f>122.58</f>
        <v>122.58</v>
      </c>
      <c r="D346" s="83">
        <f>297.941</f>
        <v>297.94099999999997</v>
      </c>
      <c r="E346" s="92">
        <f>89.177</f>
        <v>89.177000000000007</v>
      </c>
      <c r="F346" s="83">
        <f>240.302-40-60-100</f>
        <v>40.301999999999992</v>
      </c>
      <c r="G346" s="86">
        <v>40</v>
      </c>
      <c r="H346" s="83">
        <f>60+100</f>
        <v>160</v>
      </c>
      <c r="I346" s="83">
        <f t="shared" si="49"/>
        <v>0</v>
      </c>
      <c r="J346" s="86">
        <v>100</v>
      </c>
      <c r="K346" s="86">
        <v>300</v>
      </c>
      <c r="L346" s="83">
        <f t="shared" si="53"/>
        <v>1150</v>
      </c>
      <c r="M346" s="94">
        <v>600</v>
      </c>
      <c r="N346" s="83">
        <f>100</f>
        <v>100</v>
      </c>
      <c r="O346" s="86">
        <v>240</v>
      </c>
      <c r="P346" s="86">
        <v>40</v>
      </c>
      <c r="Q346" s="86">
        <f t="shared" si="54"/>
        <v>315</v>
      </c>
      <c r="R346" s="86">
        <f t="shared" si="55"/>
        <v>100</v>
      </c>
      <c r="S346" s="83">
        <f t="shared" si="56"/>
        <v>695</v>
      </c>
      <c r="T346" s="83">
        <f>50</f>
        <v>50</v>
      </c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</row>
    <row r="347" spans="1:30" ht="15.75" x14ac:dyDescent="0.25">
      <c r="A347" s="14">
        <v>51501</v>
      </c>
      <c r="B347" s="96">
        <v>31</v>
      </c>
      <c r="C347" s="83">
        <f>122.58</f>
        <v>122.58</v>
      </c>
      <c r="D347" s="83">
        <f>297.941</f>
        <v>297.94099999999997</v>
      </c>
      <c r="E347" s="92">
        <f>89.177</f>
        <v>89.177000000000007</v>
      </c>
      <c r="F347" s="83">
        <f>240.302-40-60-100</f>
        <v>40.301999999999992</v>
      </c>
      <c r="G347" s="86">
        <v>40</v>
      </c>
      <c r="H347" s="83">
        <f>60+100</f>
        <v>160</v>
      </c>
      <c r="I347" s="83">
        <f t="shared" si="49"/>
        <v>0</v>
      </c>
      <c r="J347" s="86">
        <v>100</v>
      </c>
      <c r="K347" s="86">
        <v>300</v>
      </c>
      <c r="L347" s="83">
        <f t="shared" si="53"/>
        <v>1150</v>
      </c>
      <c r="M347" s="94">
        <v>600</v>
      </c>
      <c r="N347" s="83">
        <f>100</f>
        <v>100</v>
      </c>
      <c r="O347" s="86">
        <v>240</v>
      </c>
      <c r="P347" s="86">
        <v>40</v>
      </c>
      <c r="Q347" s="86">
        <f t="shared" si="54"/>
        <v>315</v>
      </c>
      <c r="R347" s="86">
        <f t="shared" si="55"/>
        <v>100</v>
      </c>
      <c r="S347" s="83">
        <f t="shared" si="56"/>
        <v>695</v>
      </c>
      <c r="T347" s="83">
        <f>50</f>
        <v>50</v>
      </c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</row>
    <row r="348" spans="1:30" ht="15.75" x14ac:dyDescent="0.25">
      <c r="A348" s="14">
        <v>51532</v>
      </c>
      <c r="B348" s="96">
        <v>31</v>
      </c>
      <c r="C348" s="83">
        <f>122.58</f>
        <v>122.58</v>
      </c>
      <c r="D348" s="83">
        <f>297.941</f>
        <v>297.94099999999997</v>
      </c>
      <c r="E348" s="92">
        <f>89.177</f>
        <v>89.177000000000007</v>
      </c>
      <c r="F348" s="83">
        <f>240.302-40-60-100</f>
        <v>40.301999999999992</v>
      </c>
      <c r="G348" s="86">
        <v>40</v>
      </c>
      <c r="H348" s="83">
        <f>60+100</f>
        <v>160</v>
      </c>
      <c r="I348" s="83">
        <f t="shared" si="49"/>
        <v>0</v>
      </c>
      <c r="J348" s="86">
        <v>100</v>
      </c>
      <c r="K348" s="86">
        <v>300</v>
      </c>
      <c r="L348" s="83">
        <f t="shared" si="53"/>
        <v>1150</v>
      </c>
      <c r="M348" s="94">
        <v>600</v>
      </c>
      <c r="N348" s="83">
        <f>100</f>
        <v>100</v>
      </c>
      <c r="O348" s="86">
        <v>240</v>
      </c>
      <c r="P348" s="86">
        <v>40</v>
      </c>
      <c r="Q348" s="86">
        <f t="shared" si="54"/>
        <v>315</v>
      </c>
      <c r="R348" s="86">
        <f t="shared" si="55"/>
        <v>100</v>
      </c>
      <c r="S348" s="83">
        <f t="shared" si="56"/>
        <v>695</v>
      </c>
      <c r="T348" s="83">
        <f>50</f>
        <v>50</v>
      </c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</row>
    <row r="349" spans="1:30" ht="15.75" x14ac:dyDescent="0.25">
      <c r="A349" s="14">
        <v>51560</v>
      </c>
      <c r="B349" s="96">
        <v>28</v>
      </c>
      <c r="C349" s="83">
        <f>122.58</f>
        <v>122.58</v>
      </c>
      <c r="D349" s="83">
        <f>297.941</f>
        <v>297.94099999999997</v>
      </c>
      <c r="E349" s="92">
        <f>89.177</f>
        <v>89.177000000000007</v>
      </c>
      <c r="F349" s="83">
        <f>240.302-40-60-100</f>
        <v>40.301999999999992</v>
      </c>
      <c r="G349" s="86">
        <v>40</v>
      </c>
      <c r="H349" s="83">
        <f>60+100</f>
        <v>160</v>
      </c>
      <c r="I349" s="83">
        <f t="shared" si="49"/>
        <v>0</v>
      </c>
      <c r="J349" s="86">
        <v>100</v>
      </c>
      <c r="K349" s="86">
        <v>300</v>
      </c>
      <c r="L349" s="83">
        <f t="shared" si="53"/>
        <v>1150</v>
      </c>
      <c r="M349" s="94">
        <v>600</v>
      </c>
      <c r="N349" s="83">
        <f>100</f>
        <v>100</v>
      </c>
      <c r="O349" s="86">
        <v>240</v>
      </c>
      <c r="P349" s="86">
        <v>40</v>
      </c>
      <c r="Q349" s="86">
        <f t="shared" si="54"/>
        <v>315</v>
      </c>
      <c r="R349" s="86">
        <f t="shared" si="55"/>
        <v>100</v>
      </c>
      <c r="S349" s="83">
        <f t="shared" si="56"/>
        <v>695</v>
      </c>
      <c r="T349" s="83">
        <f>50</f>
        <v>50</v>
      </c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</row>
    <row r="350" spans="1:30" ht="15.75" x14ac:dyDescent="0.25">
      <c r="A350" s="14">
        <v>51591</v>
      </c>
      <c r="B350" s="96">
        <v>31</v>
      </c>
      <c r="C350" s="83">
        <f>122.58</f>
        <v>122.58</v>
      </c>
      <c r="D350" s="83">
        <f>297.941</f>
        <v>297.94099999999997</v>
      </c>
      <c r="E350" s="92">
        <f>89.177</f>
        <v>89.177000000000007</v>
      </c>
      <c r="F350" s="83">
        <f>240.302-40-60-100</f>
        <v>40.301999999999992</v>
      </c>
      <c r="G350" s="86">
        <v>40</v>
      </c>
      <c r="H350" s="83">
        <f>60+100</f>
        <v>160</v>
      </c>
      <c r="I350" s="83">
        <f t="shared" si="49"/>
        <v>0</v>
      </c>
      <c r="J350" s="86">
        <v>100</v>
      </c>
      <c r="K350" s="86">
        <v>300</v>
      </c>
      <c r="L350" s="83">
        <f t="shared" si="53"/>
        <v>1150</v>
      </c>
      <c r="M350" s="94">
        <v>600</v>
      </c>
      <c r="N350" s="83">
        <f>100</f>
        <v>100</v>
      </c>
      <c r="O350" s="86">
        <v>240</v>
      </c>
      <c r="P350" s="86">
        <v>40</v>
      </c>
      <c r="Q350" s="86">
        <f t="shared" si="54"/>
        <v>315</v>
      </c>
      <c r="R350" s="86">
        <f t="shared" si="55"/>
        <v>100</v>
      </c>
      <c r="S350" s="83">
        <f t="shared" si="56"/>
        <v>695</v>
      </c>
      <c r="T350" s="83">
        <f>50</f>
        <v>50</v>
      </c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</row>
    <row r="351" spans="1:30" ht="15.75" x14ac:dyDescent="0.25">
      <c r="A351" s="14">
        <v>51621</v>
      </c>
      <c r="B351" s="96">
        <v>30</v>
      </c>
      <c r="C351" s="83">
        <f>141.293</f>
        <v>141.29300000000001</v>
      </c>
      <c r="D351" s="83">
        <f>267.993</f>
        <v>267.99299999999999</v>
      </c>
      <c r="E351" s="92">
        <f>115.016</f>
        <v>115.01600000000001</v>
      </c>
      <c r="F351" s="83">
        <f>314.698-40-25-60-100</f>
        <v>89.697999999999979</v>
      </c>
      <c r="G351" s="86">
        <v>40</v>
      </c>
      <c r="H351" s="83">
        <f t="shared" ref="H351:H357" si="57">25+60+100</f>
        <v>185</v>
      </c>
      <c r="I351" s="83">
        <f t="shared" si="49"/>
        <v>0</v>
      </c>
      <c r="J351" s="86">
        <v>100</v>
      </c>
      <c r="K351" s="86">
        <v>300</v>
      </c>
      <c r="L351" s="83">
        <f t="shared" si="53"/>
        <v>1239</v>
      </c>
      <c r="M351" s="94">
        <v>600</v>
      </c>
      <c r="N351" s="83">
        <f>100</f>
        <v>100</v>
      </c>
      <c r="O351" s="86">
        <v>240</v>
      </c>
      <c r="P351" s="86">
        <v>160</v>
      </c>
      <c r="Q351" s="86">
        <f t="shared" si="54"/>
        <v>195</v>
      </c>
      <c r="R351" s="86">
        <f t="shared" si="55"/>
        <v>100</v>
      </c>
      <c r="S351" s="83">
        <f t="shared" si="56"/>
        <v>695</v>
      </c>
      <c r="T351" s="83">
        <f>50</f>
        <v>50</v>
      </c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</row>
    <row r="352" spans="1:30" ht="15.75" x14ac:dyDescent="0.25">
      <c r="A352" s="14">
        <v>51652</v>
      </c>
      <c r="B352" s="96">
        <v>31</v>
      </c>
      <c r="C352" s="83">
        <f>194.205</f>
        <v>194.20500000000001</v>
      </c>
      <c r="D352" s="83">
        <f>267.466</f>
        <v>267.46600000000001</v>
      </c>
      <c r="E352" s="92">
        <f>133.845</f>
        <v>133.845</v>
      </c>
      <c r="F352" s="83">
        <f>278.484-40-25-60-100</f>
        <v>53.48399999999998</v>
      </c>
      <c r="G352" s="86">
        <v>40</v>
      </c>
      <c r="H352" s="83">
        <f t="shared" si="57"/>
        <v>185</v>
      </c>
      <c r="I352" s="83">
        <f t="shared" si="49"/>
        <v>0</v>
      </c>
      <c r="J352" s="86">
        <v>100</v>
      </c>
      <c r="K352" s="86">
        <v>300</v>
      </c>
      <c r="L352" s="83">
        <f t="shared" si="53"/>
        <v>1274</v>
      </c>
      <c r="M352" s="94">
        <v>600</v>
      </c>
      <c r="N352" s="83">
        <f>75</f>
        <v>75</v>
      </c>
      <c r="O352" s="86">
        <v>240</v>
      </c>
      <c r="P352" s="86">
        <v>160</v>
      </c>
      <c r="Q352" s="86">
        <f t="shared" si="54"/>
        <v>195</v>
      </c>
      <c r="R352" s="86">
        <f t="shared" si="55"/>
        <v>100</v>
      </c>
      <c r="S352" s="83">
        <f t="shared" si="56"/>
        <v>695</v>
      </c>
      <c r="T352" s="83">
        <f>50</f>
        <v>50</v>
      </c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</row>
    <row r="353" spans="1:30" ht="15.75" x14ac:dyDescent="0.25">
      <c r="A353" s="14">
        <v>51682</v>
      </c>
      <c r="B353" s="96">
        <v>30</v>
      </c>
      <c r="C353" s="83">
        <f>194.205</f>
        <v>194.20500000000001</v>
      </c>
      <c r="D353" s="83">
        <f>267.466</f>
        <v>267.46600000000001</v>
      </c>
      <c r="E353" s="92">
        <f>133.845</f>
        <v>133.845</v>
      </c>
      <c r="F353" s="83">
        <f>278.484-40-25-60-100</f>
        <v>53.48399999999998</v>
      </c>
      <c r="G353" s="86">
        <v>40</v>
      </c>
      <c r="H353" s="83">
        <f t="shared" si="57"/>
        <v>185</v>
      </c>
      <c r="I353" s="83">
        <f t="shared" si="49"/>
        <v>0</v>
      </c>
      <c r="J353" s="86">
        <v>100</v>
      </c>
      <c r="K353" s="86">
        <v>300</v>
      </c>
      <c r="L353" s="83">
        <f t="shared" si="53"/>
        <v>1274</v>
      </c>
      <c r="M353" s="94">
        <v>600</v>
      </c>
      <c r="N353" s="83">
        <f>30</f>
        <v>30</v>
      </c>
      <c r="O353" s="86">
        <v>240</v>
      </c>
      <c r="P353" s="86">
        <v>160</v>
      </c>
      <c r="Q353" s="86">
        <f t="shared" si="54"/>
        <v>195</v>
      </c>
      <c r="R353" s="86">
        <f t="shared" si="55"/>
        <v>100</v>
      </c>
      <c r="S353" s="83">
        <f t="shared" si="56"/>
        <v>695</v>
      </c>
      <c r="T353" s="83">
        <f>50</f>
        <v>50</v>
      </c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</row>
    <row r="354" spans="1:30" ht="15.75" x14ac:dyDescent="0.25">
      <c r="A354" s="14">
        <v>51713</v>
      </c>
      <c r="B354" s="96">
        <v>31</v>
      </c>
      <c r="C354" s="83">
        <f>194.205</f>
        <v>194.20500000000001</v>
      </c>
      <c r="D354" s="83">
        <f>267.466</f>
        <v>267.46600000000001</v>
      </c>
      <c r="E354" s="92">
        <f>133.845</f>
        <v>133.845</v>
      </c>
      <c r="F354" s="83">
        <f>278.484-40-25-60-100</f>
        <v>53.48399999999998</v>
      </c>
      <c r="G354" s="86">
        <v>40</v>
      </c>
      <c r="H354" s="83">
        <f t="shared" si="57"/>
        <v>185</v>
      </c>
      <c r="I354" s="83">
        <f t="shared" si="49"/>
        <v>0</v>
      </c>
      <c r="J354" s="86">
        <v>100</v>
      </c>
      <c r="K354" s="86">
        <v>300</v>
      </c>
      <c r="L354" s="83">
        <f t="shared" si="53"/>
        <v>1274</v>
      </c>
      <c r="M354" s="94">
        <v>600</v>
      </c>
      <c r="N354" s="83">
        <f>30</f>
        <v>30</v>
      </c>
      <c r="O354" s="86">
        <v>240</v>
      </c>
      <c r="P354" s="86">
        <v>160</v>
      </c>
      <c r="Q354" s="86">
        <f t="shared" si="54"/>
        <v>195</v>
      </c>
      <c r="R354" s="86">
        <f t="shared" si="55"/>
        <v>100</v>
      </c>
      <c r="S354" s="83">
        <f t="shared" si="56"/>
        <v>695</v>
      </c>
      <c r="T354" s="83">
        <f>0</f>
        <v>0</v>
      </c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</row>
    <row r="355" spans="1:30" ht="15.75" x14ac:dyDescent="0.25">
      <c r="A355" s="14">
        <v>51744</v>
      </c>
      <c r="B355" s="96">
        <v>31</v>
      </c>
      <c r="C355" s="83">
        <f>194.205</f>
        <v>194.20500000000001</v>
      </c>
      <c r="D355" s="83">
        <f>267.466</f>
        <v>267.46600000000001</v>
      </c>
      <c r="E355" s="92">
        <f>133.845</f>
        <v>133.845</v>
      </c>
      <c r="F355" s="83">
        <f>278.484-40-25-60-100</f>
        <v>53.48399999999998</v>
      </c>
      <c r="G355" s="86">
        <v>40</v>
      </c>
      <c r="H355" s="83">
        <f t="shared" si="57"/>
        <v>185</v>
      </c>
      <c r="I355" s="83">
        <f t="shared" si="49"/>
        <v>0</v>
      </c>
      <c r="J355" s="86">
        <v>100</v>
      </c>
      <c r="K355" s="86">
        <v>300</v>
      </c>
      <c r="L355" s="83">
        <f t="shared" si="53"/>
        <v>1274</v>
      </c>
      <c r="M355" s="94">
        <v>600</v>
      </c>
      <c r="N355" s="83">
        <f>30</f>
        <v>30</v>
      </c>
      <c r="O355" s="86">
        <v>240</v>
      </c>
      <c r="P355" s="86">
        <v>160</v>
      </c>
      <c r="Q355" s="86">
        <f t="shared" si="54"/>
        <v>195</v>
      </c>
      <c r="R355" s="86">
        <f t="shared" si="55"/>
        <v>100</v>
      </c>
      <c r="S355" s="83">
        <f t="shared" si="56"/>
        <v>695</v>
      </c>
      <c r="T355" s="83">
        <f>0</f>
        <v>0</v>
      </c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</row>
    <row r="356" spans="1:30" ht="15.75" x14ac:dyDescent="0.25">
      <c r="A356" s="14">
        <v>51774</v>
      </c>
      <c r="B356" s="96">
        <v>30</v>
      </c>
      <c r="C356" s="83">
        <f>194.205</f>
        <v>194.20500000000001</v>
      </c>
      <c r="D356" s="83">
        <f>267.466</f>
        <v>267.46600000000001</v>
      </c>
      <c r="E356" s="92">
        <f>133.845</f>
        <v>133.845</v>
      </c>
      <c r="F356" s="83">
        <f>278.484-40-25-60-100</f>
        <v>53.48399999999998</v>
      </c>
      <c r="G356" s="86">
        <v>40</v>
      </c>
      <c r="H356" s="83">
        <f t="shared" si="57"/>
        <v>185</v>
      </c>
      <c r="I356" s="83">
        <f t="shared" si="49"/>
        <v>0</v>
      </c>
      <c r="J356" s="86">
        <v>100</v>
      </c>
      <c r="K356" s="86">
        <v>300</v>
      </c>
      <c r="L356" s="83">
        <f t="shared" si="53"/>
        <v>1274</v>
      </c>
      <c r="M356" s="94">
        <v>600</v>
      </c>
      <c r="N356" s="83">
        <f>30</f>
        <v>30</v>
      </c>
      <c r="O356" s="86">
        <v>240</v>
      </c>
      <c r="P356" s="86">
        <v>160</v>
      </c>
      <c r="Q356" s="86">
        <f t="shared" si="54"/>
        <v>195</v>
      </c>
      <c r="R356" s="86">
        <f t="shared" si="55"/>
        <v>100</v>
      </c>
      <c r="S356" s="83">
        <f t="shared" si="56"/>
        <v>695</v>
      </c>
      <c r="T356" s="83">
        <f>0</f>
        <v>0</v>
      </c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</row>
    <row r="357" spans="1:30" ht="15.75" x14ac:dyDescent="0.25">
      <c r="A357" s="14">
        <v>51805</v>
      </c>
      <c r="B357" s="96">
        <v>31</v>
      </c>
      <c r="C357" s="83">
        <f>131.881</f>
        <v>131.881</v>
      </c>
      <c r="D357" s="83">
        <f>277.167</f>
        <v>277.16699999999997</v>
      </c>
      <c r="E357" s="92">
        <f>79.08</f>
        <v>79.08</v>
      </c>
      <c r="F357" s="83">
        <f>350.872-40-25-60-100</f>
        <v>125.87200000000001</v>
      </c>
      <c r="G357" s="86">
        <v>40</v>
      </c>
      <c r="H357" s="83">
        <f t="shared" si="57"/>
        <v>185</v>
      </c>
      <c r="I357" s="83">
        <f t="shared" si="49"/>
        <v>0</v>
      </c>
      <c r="J357" s="86">
        <v>100</v>
      </c>
      <c r="K357" s="86">
        <v>300</v>
      </c>
      <c r="L357" s="83">
        <f t="shared" si="53"/>
        <v>1239</v>
      </c>
      <c r="M357" s="94">
        <v>600</v>
      </c>
      <c r="N357" s="83">
        <f>75</f>
        <v>75</v>
      </c>
      <c r="O357" s="86">
        <v>240</v>
      </c>
      <c r="P357" s="86">
        <v>160</v>
      </c>
      <c r="Q357" s="86">
        <f t="shared" si="54"/>
        <v>195</v>
      </c>
      <c r="R357" s="86">
        <f t="shared" si="55"/>
        <v>100</v>
      </c>
      <c r="S357" s="83">
        <f t="shared" si="56"/>
        <v>695</v>
      </c>
      <c r="T357" s="83">
        <f>0</f>
        <v>0</v>
      </c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</row>
    <row r="358" spans="1:30" ht="15.75" x14ac:dyDescent="0.25">
      <c r="A358" s="14">
        <v>51835</v>
      </c>
      <c r="B358" s="96">
        <v>30</v>
      </c>
      <c r="C358" s="83">
        <f>122.58</f>
        <v>122.58</v>
      </c>
      <c r="D358" s="83">
        <f>297.941</f>
        <v>297.94099999999997</v>
      </c>
      <c r="E358" s="92">
        <f>89.177</f>
        <v>89.177000000000007</v>
      </c>
      <c r="F358" s="83">
        <f>240.302-40-60-100</f>
        <v>40.301999999999992</v>
      </c>
      <c r="G358" s="86">
        <v>40</v>
      </c>
      <c r="H358" s="83">
        <f>60+100</f>
        <v>160</v>
      </c>
      <c r="I358" s="83">
        <f t="shared" si="49"/>
        <v>0</v>
      </c>
      <c r="J358" s="86">
        <v>100</v>
      </c>
      <c r="K358" s="86">
        <v>300</v>
      </c>
      <c r="L358" s="83">
        <f t="shared" si="53"/>
        <v>1150</v>
      </c>
      <c r="M358" s="94">
        <v>600</v>
      </c>
      <c r="N358" s="83">
        <f>100</f>
        <v>100</v>
      </c>
      <c r="O358" s="86">
        <v>240</v>
      </c>
      <c r="P358" s="86">
        <v>40</v>
      </c>
      <c r="Q358" s="86">
        <f t="shared" si="54"/>
        <v>315</v>
      </c>
      <c r="R358" s="86">
        <f t="shared" si="55"/>
        <v>100</v>
      </c>
      <c r="S358" s="83">
        <f t="shared" si="56"/>
        <v>695</v>
      </c>
      <c r="T358" s="83">
        <f>50</f>
        <v>50</v>
      </c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</row>
    <row r="359" spans="1:30" ht="15.75" x14ac:dyDescent="0.25">
      <c r="A359" s="14">
        <v>51866</v>
      </c>
      <c r="B359" s="96">
        <v>31</v>
      </c>
      <c r="C359" s="83">
        <f>122.58</f>
        <v>122.58</v>
      </c>
      <c r="D359" s="83">
        <f>297.941</f>
        <v>297.94099999999997</v>
      </c>
      <c r="E359" s="92">
        <f>89.177</f>
        <v>89.177000000000007</v>
      </c>
      <c r="F359" s="83">
        <f>240.302-40-60-100</f>
        <v>40.301999999999992</v>
      </c>
      <c r="G359" s="86">
        <v>40</v>
      </c>
      <c r="H359" s="83">
        <f>60+100</f>
        <v>160</v>
      </c>
      <c r="I359" s="83">
        <f t="shared" si="49"/>
        <v>0</v>
      </c>
      <c r="J359" s="86">
        <v>100</v>
      </c>
      <c r="K359" s="86">
        <v>300</v>
      </c>
      <c r="L359" s="83">
        <f t="shared" si="53"/>
        <v>1150</v>
      </c>
      <c r="M359" s="94">
        <v>600</v>
      </c>
      <c r="N359" s="83">
        <f>100</f>
        <v>100</v>
      </c>
      <c r="O359" s="86">
        <v>240</v>
      </c>
      <c r="P359" s="86">
        <v>40</v>
      </c>
      <c r="Q359" s="86">
        <f t="shared" si="54"/>
        <v>315</v>
      </c>
      <c r="R359" s="86">
        <f t="shared" si="55"/>
        <v>100</v>
      </c>
      <c r="S359" s="83">
        <f t="shared" si="56"/>
        <v>695</v>
      </c>
      <c r="T359" s="83">
        <f>50</f>
        <v>50</v>
      </c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</row>
    <row r="360" spans="1:30" ht="15.75" x14ac:dyDescent="0.25">
      <c r="A360" s="14">
        <v>51897</v>
      </c>
      <c r="B360" s="96">
        <v>31</v>
      </c>
      <c r="C360" s="83">
        <f>122.58</f>
        <v>122.58</v>
      </c>
      <c r="D360" s="83">
        <f>297.941</f>
        <v>297.94099999999997</v>
      </c>
      <c r="E360" s="92">
        <f>89.177</f>
        <v>89.177000000000007</v>
      </c>
      <c r="F360" s="83">
        <f>240.302-40-60-100</f>
        <v>40.301999999999992</v>
      </c>
      <c r="G360" s="86">
        <v>40</v>
      </c>
      <c r="H360" s="83">
        <f>60+100</f>
        <v>160</v>
      </c>
      <c r="I360" s="83">
        <f t="shared" si="49"/>
        <v>0</v>
      </c>
      <c r="J360" s="86">
        <v>100</v>
      </c>
      <c r="K360" s="86">
        <v>300</v>
      </c>
      <c r="L360" s="83">
        <f t="shared" si="53"/>
        <v>1150</v>
      </c>
      <c r="M360" s="94">
        <v>600</v>
      </c>
      <c r="N360" s="83">
        <f>100</f>
        <v>100</v>
      </c>
      <c r="O360" s="86">
        <v>240</v>
      </c>
      <c r="P360" s="86">
        <v>40</v>
      </c>
      <c r="Q360" s="86">
        <f t="shared" si="54"/>
        <v>315</v>
      </c>
      <c r="R360" s="86">
        <f t="shared" si="55"/>
        <v>100</v>
      </c>
      <c r="S360" s="83">
        <f t="shared" si="56"/>
        <v>695</v>
      </c>
      <c r="T360" s="83">
        <f>50</f>
        <v>50</v>
      </c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</row>
    <row r="361" spans="1:30" ht="15.75" x14ac:dyDescent="0.25">
      <c r="A361" s="14">
        <v>51925</v>
      </c>
      <c r="B361" s="96">
        <v>28</v>
      </c>
      <c r="C361" s="83">
        <f>122.58</f>
        <v>122.58</v>
      </c>
      <c r="D361" s="83">
        <f>297.941</f>
        <v>297.94099999999997</v>
      </c>
      <c r="E361" s="92">
        <f>89.177</f>
        <v>89.177000000000007</v>
      </c>
      <c r="F361" s="83">
        <f>240.302-40-60-100</f>
        <v>40.301999999999992</v>
      </c>
      <c r="G361" s="86">
        <v>40</v>
      </c>
      <c r="H361" s="83">
        <f>60+100</f>
        <v>160</v>
      </c>
      <c r="I361" s="83">
        <f t="shared" si="49"/>
        <v>0</v>
      </c>
      <c r="J361" s="86">
        <v>100</v>
      </c>
      <c r="K361" s="86">
        <v>300</v>
      </c>
      <c r="L361" s="83">
        <f t="shared" si="53"/>
        <v>1150</v>
      </c>
      <c r="M361" s="94">
        <v>600</v>
      </c>
      <c r="N361" s="83">
        <f>100</f>
        <v>100</v>
      </c>
      <c r="O361" s="86">
        <v>240</v>
      </c>
      <c r="P361" s="86">
        <v>40</v>
      </c>
      <c r="Q361" s="86">
        <f t="shared" si="54"/>
        <v>315</v>
      </c>
      <c r="R361" s="86">
        <f t="shared" si="55"/>
        <v>100</v>
      </c>
      <c r="S361" s="83">
        <f t="shared" si="56"/>
        <v>695</v>
      </c>
      <c r="T361" s="83">
        <f>50</f>
        <v>50</v>
      </c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</row>
    <row r="362" spans="1:30" ht="15.75" x14ac:dyDescent="0.25">
      <c r="A362" s="14">
        <v>51956</v>
      </c>
      <c r="B362" s="96">
        <v>31</v>
      </c>
      <c r="C362" s="83">
        <f>122.58</f>
        <v>122.58</v>
      </c>
      <c r="D362" s="83">
        <f>297.941</f>
        <v>297.94099999999997</v>
      </c>
      <c r="E362" s="92">
        <f>89.177</f>
        <v>89.177000000000007</v>
      </c>
      <c r="F362" s="83">
        <f>240.302-40-60-100</f>
        <v>40.301999999999992</v>
      </c>
      <c r="G362" s="86">
        <v>40</v>
      </c>
      <c r="H362" s="83">
        <f>60+100</f>
        <v>160</v>
      </c>
      <c r="I362" s="83">
        <f t="shared" si="49"/>
        <v>0</v>
      </c>
      <c r="J362" s="86">
        <v>100</v>
      </c>
      <c r="K362" s="86">
        <v>300</v>
      </c>
      <c r="L362" s="83">
        <f t="shared" si="53"/>
        <v>1150</v>
      </c>
      <c r="M362" s="94">
        <v>600</v>
      </c>
      <c r="N362" s="83">
        <f>100</f>
        <v>100</v>
      </c>
      <c r="O362" s="86">
        <v>240</v>
      </c>
      <c r="P362" s="86">
        <v>40</v>
      </c>
      <c r="Q362" s="86">
        <f t="shared" si="54"/>
        <v>315</v>
      </c>
      <c r="R362" s="86">
        <f t="shared" si="55"/>
        <v>100</v>
      </c>
      <c r="S362" s="83">
        <f t="shared" si="56"/>
        <v>695</v>
      </c>
      <c r="T362" s="83">
        <f>50</f>
        <v>50</v>
      </c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</row>
    <row r="363" spans="1:30" ht="15.75" x14ac:dyDescent="0.25">
      <c r="A363" s="14">
        <v>51986</v>
      </c>
      <c r="B363" s="96">
        <v>30</v>
      </c>
      <c r="C363" s="83">
        <f>141.293</f>
        <v>141.29300000000001</v>
      </c>
      <c r="D363" s="83">
        <f>267.993</f>
        <v>267.99299999999999</v>
      </c>
      <c r="E363" s="92">
        <f>115.016</f>
        <v>115.01600000000001</v>
      </c>
      <c r="F363" s="83">
        <f>314.698-40-25-60-100</f>
        <v>89.697999999999979</v>
      </c>
      <c r="G363" s="86">
        <v>40</v>
      </c>
      <c r="H363" s="83">
        <f t="shared" ref="H363:H369" si="58">25+60+100</f>
        <v>185</v>
      </c>
      <c r="I363" s="83">
        <f t="shared" si="49"/>
        <v>0</v>
      </c>
      <c r="J363" s="86">
        <v>100</v>
      </c>
      <c r="K363" s="86">
        <v>300</v>
      </c>
      <c r="L363" s="83">
        <f t="shared" si="53"/>
        <v>1239</v>
      </c>
      <c r="M363" s="94">
        <v>600</v>
      </c>
      <c r="N363" s="83">
        <f>100</f>
        <v>100</v>
      </c>
      <c r="O363" s="86">
        <v>240</v>
      </c>
      <c r="P363" s="86">
        <v>160</v>
      </c>
      <c r="Q363" s="86">
        <f t="shared" si="54"/>
        <v>195</v>
      </c>
      <c r="R363" s="86">
        <f t="shared" si="55"/>
        <v>100</v>
      </c>
      <c r="S363" s="83">
        <f t="shared" si="56"/>
        <v>695</v>
      </c>
      <c r="T363" s="83">
        <f>50</f>
        <v>50</v>
      </c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</row>
    <row r="364" spans="1:30" ht="15.75" x14ac:dyDescent="0.25">
      <c r="A364" s="14">
        <v>52017</v>
      </c>
      <c r="B364" s="96">
        <v>31</v>
      </c>
      <c r="C364" s="83">
        <f>194.205</f>
        <v>194.20500000000001</v>
      </c>
      <c r="D364" s="83">
        <f>267.466</f>
        <v>267.46600000000001</v>
      </c>
      <c r="E364" s="92">
        <f>133.845</f>
        <v>133.845</v>
      </c>
      <c r="F364" s="83">
        <f>278.484-40-25-60-100</f>
        <v>53.48399999999998</v>
      </c>
      <c r="G364" s="86">
        <v>40</v>
      </c>
      <c r="H364" s="83">
        <f t="shared" si="58"/>
        <v>185</v>
      </c>
      <c r="I364" s="83">
        <f t="shared" si="49"/>
        <v>0</v>
      </c>
      <c r="J364" s="86">
        <v>100</v>
      </c>
      <c r="K364" s="86">
        <v>300</v>
      </c>
      <c r="L364" s="83">
        <f t="shared" si="53"/>
        <v>1274</v>
      </c>
      <c r="M364" s="94">
        <v>600</v>
      </c>
      <c r="N364" s="83">
        <f>75</f>
        <v>75</v>
      </c>
      <c r="O364" s="86">
        <v>240</v>
      </c>
      <c r="P364" s="86">
        <v>160</v>
      </c>
      <c r="Q364" s="86">
        <f t="shared" si="54"/>
        <v>195</v>
      </c>
      <c r="R364" s="86">
        <f t="shared" si="55"/>
        <v>100</v>
      </c>
      <c r="S364" s="83">
        <f t="shared" si="56"/>
        <v>695</v>
      </c>
      <c r="T364" s="83">
        <f>50</f>
        <v>50</v>
      </c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</row>
    <row r="365" spans="1:30" ht="15.75" x14ac:dyDescent="0.25">
      <c r="A365" s="14">
        <v>52047</v>
      </c>
      <c r="B365" s="96">
        <v>30</v>
      </c>
      <c r="C365" s="83">
        <f>194.205</f>
        <v>194.20500000000001</v>
      </c>
      <c r="D365" s="83">
        <f>267.466</f>
        <v>267.46600000000001</v>
      </c>
      <c r="E365" s="92">
        <f>133.845</f>
        <v>133.845</v>
      </c>
      <c r="F365" s="83">
        <f>278.484-40-25-60-100</f>
        <v>53.48399999999998</v>
      </c>
      <c r="G365" s="86">
        <v>40</v>
      </c>
      <c r="H365" s="83">
        <f t="shared" si="58"/>
        <v>185</v>
      </c>
      <c r="I365" s="83">
        <f t="shared" si="49"/>
        <v>0</v>
      </c>
      <c r="J365" s="86">
        <v>100</v>
      </c>
      <c r="K365" s="86">
        <v>300</v>
      </c>
      <c r="L365" s="83">
        <f t="shared" si="53"/>
        <v>1274</v>
      </c>
      <c r="M365" s="94">
        <v>600</v>
      </c>
      <c r="N365" s="83">
        <f>30</f>
        <v>30</v>
      </c>
      <c r="O365" s="86">
        <v>240</v>
      </c>
      <c r="P365" s="86">
        <v>160</v>
      </c>
      <c r="Q365" s="86">
        <f t="shared" si="54"/>
        <v>195</v>
      </c>
      <c r="R365" s="86">
        <f t="shared" si="55"/>
        <v>100</v>
      </c>
      <c r="S365" s="83">
        <f t="shared" si="56"/>
        <v>695</v>
      </c>
      <c r="T365" s="83">
        <f>50</f>
        <v>50</v>
      </c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</row>
    <row r="366" spans="1:30" ht="15.75" x14ac:dyDescent="0.25">
      <c r="A366" s="14">
        <v>52078</v>
      </c>
      <c r="B366" s="96">
        <v>31</v>
      </c>
      <c r="C366" s="83">
        <f>194.205</f>
        <v>194.20500000000001</v>
      </c>
      <c r="D366" s="83">
        <f>267.466</f>
        <v>267.46600000000001</v>
      </c>
      <c r="E366" s="92">
        <f>133.845</f>
        <v>133.845</v>
      </c>
      <c r="F366" s="83">
        <f>278.484-40-25-60-100</f>
        <v>53.48399999999998</v>
      </c>
      <c r="G366" s="86">
        <v>40</v>
      </c>
      <c r="H366" s="83">
        <f t="shared" si="58"/>
        <v>185</v>
      </c>
      <c r="I366" s="83">
        <f t="shared" si="49"/>
        <v>0</v>
      </c>
      <c r="J366" s="86">
        <v>100</v>
      </c>
      <c r="K366" s="86">
        <v>300</v>
      </c>
      <c r="L366" s="83">
        <f t="shared" si="53"/>
        <v>1274</v>
      </c>
      <c r="M366" s="94">
        <v>600</v>
      </c>
      <c r="N366" s="83">
        <f>30</f>
        <v>30</v>
      </c>
      <c r="O366" s="86">
        <v>240</v>
      </c>
      <c r="P366" s="86">
        <v>160</v>
      </c>
      <c r="Q366" s="86">
        <f t="shared" si="54"/>
        <v>195</v>
      </c>
      <c r="R366" s="86">
        <f t="shared" si="55"/>
        <v>100</v>
      </c>
      <c r="S366" s="83">
        <f t="shared" si="56"/>
        <v>695</v>
      </c>
      <c r="T366" s="83">
        <f>0</f>
        <v>0</v>
      </c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</row>
    <row r="367" spans="1:30" ht="15.75" x14ac:dyDescent="0.25">
      <c r="A367" s="14">
        <v>52109</v>
      </c>
      <c r="B367" s="96">
        <v>31</v>
      </c>
      <c r="C367" s="83">
        <f>194.205</f>
        <v>194.20500000000001</v>
      </c>
      <c r="D367" s="83">
        <f>267.466</f>
        <v>267.46600000000001</v>
      </c>
      <c r="E367" s="92">
        <f>133.845</f>
        <v>133.845</v>
      </c>
      <c r="F367" s="83">
        <f>278.484-40-25-60-100</f>
        <v>53.48399999999998</v>
      </c>
      <c r="G367" s="86">
        <v>40</v>
      </c>
      <c r="H367" s="83">
        <f t="shared" si="58"/>
        <v>185</v>
      </c>
      <c r="I367" s="83">
        <f t="shared" si="49"/>
        <v>0</v>
      </c>
      <c r="J367" s="86">
        <v>100</v>
      </c>
      <c r="K367" s="86">
        <v>300</v>
      </c>
      <c r="L367" s="83">
        <f t="shared" si="53"/>
        <v>1274</v>
      </c>
      <c r="M367" s="94">
        <v>600</v>
      </c>
      <c r="N367" s="83">
        <f>30</f>
        <v>30</v>
      </c>
      <c r="O367" s="86">
        <v>240</v>
      </c>
      <c r="P367" s="86">
        <v>160</v>
      </c>
      <c r="Q367" s="86">
        <f t="shared" si="54"/>
        <v>195</v>
      </c>
      <c r="R367" s="86">
        <f t="shared" si="55"/>
        <v>100</v>
      </c>
      <c r="S367" s="83">
        <f t="shared" si="56"/>
        <v>695</v>
      </c>
      <c r="T367" s="83">
        <f>0</f>
        <v>0</v>
      </c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</row>
    <row r="368" spans="1:30" ht="15.75" x14ac:dyDescent="0.25">
      <c r="A368" s="14">
        <v>52139</v>
      </c>
      <c r="B368" s="96">
        <v>30</v>
      </c>
      <c r="C368" s="83">
        <f>194.205</f>
        <v>194.20500000000001</v>
      </c>
      <c r="D368" s="83">
        <f>267.466</f>
        <v>267.46600000000001</v>
      </c>
      <c r="E368" s="92">
        <f>133.845</f>
        <v>133.845</v>
      </c>
      <c r="F368" s="83">
        <f>278.484-40-25-60-100</f>
        <v>53.48399999999998</v>
      </c>
      <c r="G368" s="86">
        <v>40</v>
      </c>
      <c r="H368" s="83">
        <f t="shared" si="58"/>
        <v>185</v>
      </c>
      <c r="I368" s="83">
        <f t="shared" si="49"/>
        <v>0</v>
      </c>
      <c r="J368" s="86">
        <v>100</v>
      </c>
      <c r="K368" s="86">
        <v>300</v>
      </c>
      <c r="L368" s="83">
        <f t="shared" si="53"/>
        <v>1274</v>
      </c>
      <c r="M368" s="94">
        <v>600</v>
      </c>
      <c r="N368" s="83">
        <f>30</f>
        <v>30</v>
      </c>
      <c r="O368" s="86">
        <v>240</v>
      </c>
      <c r="P368" s="86">
        <v>160</v>
      </c>
      <c r="Q368" s="86">
        <f t="shared" si="54"/>
        <v>195</v>
      </c>
      <c r="R368" s="86">
        <f t="shared" si="55"/>
        <v>100</v>
      </c>
      <c r="S368" s="83">
        <f t="shared" si="56"/>
        <v>695</v>
      </c>
      <c r="T368" s="83">
        <f>0</f>
        <v>0</v>
      </c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</row>
    <row r="369" spans="1:30" ht="15.75" x14ac:dyDescent="0.25">
      <c r="A369" s="14">
        <v>52170</v>
      </c>
      <c r="B369" s="96">
        <v>31</v>
      </c>
      <c r="C369" s="83">
        <f>131.881</f>
        <v>131.881</v>
      </c>
      <c r="D369" s="83">
        <f>277.167</f>
        <v>277.16699999999997</v>
      </c>
      <c r="E369" s="92">
        <f>79.08</f>
        <v>79.08</v>
      </c>
      <c r="F369" s="83">
        <f>350.872-40-25-60-100</f>
        <v>125.87200000000001</v>
      </c>
      <c r="G369" s="86">
        <v>40</v>
      </c>
      <c r="H369" s="83">
        <f t="shared" si="58"/>
        <v>185</v>
      </c>
      <c r="I369" s="83">
        <f t="shared" si="49"/>
        <v>0</v>
      </c>
      <c r="J369" s="86">
        <v>100</v>
      </c>
      <c r="K369" s="86">
        <v>300</v>
      </c>
      <c r="L369" s="83">
        <f t="shared" si="53"/>
        <v>1239</v>
      </c>
      <c r="M369" s="94">
        <v>600</v>
      </c>
      <c r="N369" s="83">
        <f>75</f>
        <v>75</v>
      </c>
      <c r="O369" s="86">
        <v>240</v>
      </c>
      <c r="P369" s="86">
        <v>160</v>
      </c>
      <c r="Q369" s="86">
        <f t="shared" si="54"/>
        <v>195</v>
      </c>
      <c r="R369" s="86">
        <f t="shared" si="55"/>
        <v>100</v>
      </c>
      <c r="S369" s="83">
        <f t="shared" si="56"/>
        <v>695</v>
      </c>
      <c r="T369" s="83">
        <f>0</f>
        <v>0</v>
      </c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</row>
    <row r="370" spans="1:30" ht="15.75" x14ac:dyDescent="0.25">
      <c r="A370" s="14">
        <v>52200</v>
      </c>
      <c r="B370" s="96">
        <v>30</v>
      </c>
      <c r="C370" s="83">
        <f>122.58</f>
        <v>122.58</v>
      </c>
      <c r="D370" s="83">
        <f>297.941</f>
        <v>297.94099999999997</v>
      </c>
      <c r="E370" s="92">
        <f>89.177</f>
        <v>89.177000000000007</v>
      </c>
      <c r="F370" s="83">
        <f>240.302-40-60-100</f>
        <v>40.301999999999992</v>
      </c>
      <c r="G370" s="86">
        <v>40</v>
      </c>
      <c r="H370" s="83">
        <f>60+100</f>
        <v>160</v>
      </c>
      <c r="I370" s="83">
        <f t="shared" si="49"/>
        <v>0</v>
      </c>
      <c r="J370" s="86">
        <v>100</v>
      </c>
      <c r="K370" s="86">
        <v>300</v>
      </c>
      <c r="L370" s="83">
        <f t="shared" si="53"/>
        <v>1150</v>
      </c>
      <c r="M370" s="94">
        <v>600</v>
      </c>
      <c r="N370" s="83">
        <f>100</f>
        <v>100</v>
      </c>
      <c r="O370" s="86">
        <v>240</v>
      </c>
      <c r="P370" s="86">
        <v>40</v>
      </c>
      <c r="Q370" s="86">
        <f t="shared" si="54"/>
        <v>315</v>
      </c>
      <c r="R370" s="86">
        <f t="shared" si="55"/>
        <v>100</v>
      </c>
      <c r="S370" s="83">
        <f t="shared" si="56"/>
        <v>695</v>
      </c>
      <c r="T370" s="83">
        <f>50</f>
        <v>50</v>
      </c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</row>
    <row r="371" spans="1:30" ht="15.75" x14ac:dyDescent="0.25">
      <c r="A371" s="14">
        <v>52231</v>
      </c>
      <c r="B371" s="96">
        <v>31</v>
      </c>
      <c r="C371" s="83">
        <f>122.58</f>
        <v>122.58</v>
      </c>
      <c r="D371" s="83">
        <f>297.941</f>
        <v>297.94099999999997</v>
      </c>
      <c r="E371" s="92">
        <f>89.177</f>
        <v>89.177000000000007</v>
      </c>
      <c r="F371" s="83">
        <f>240.302-40-60-100</f>
        <v>40.301999999999992</v>
      </c>
      <c r="G371" s="86">
        <v>40</v>
      </c>
      <c r="H371" s="83">
        <f>60+100</f>
        <v>160</v>
      </c>
      <c r="I371" s="83">
        <f t="shared" si="49"/>
        <v>0</v>
      </c>
      <c r="J371" s="86">
        <v>100</v>
      </c>
      <c r="K371" s="86">
        <v>300</v>
      </c>
      <c r="L371" s="83">
        <f t="shared" si="53"/>
        <v>1150</v>
      </c>
      <c r="M371" s="94">
        <v>600</v>
      </c>
      <c r="N371" s="83">
        <f>100</f>
        <v>100</v>
      </c>
      <c r="O371" s="86">
        <v>240</v>
      </c>
      <c r="P371" s="86">
        <v>40</v>
      </c>
      <c r="Q371" s="86">
        <f t="shared" si="54"/>
        <v>315</v>
      </c>
      <c r="R371" s="86">
        <f t="shared" si="55"/>
        <v>100</v>
      </c>
      <c r="S371" s="83">
        <f t="shared" si="56"/>
        <v>695</v>
      </c>
      <c r="T371" s="83">
        <f>50</f>
        <v>50</v>
      </c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</row>
    <row r="372" spans="1:30" ht="15.75" x14ac:dyDescent="0.25">
      <c r="A372" s="14">
        <v>52262</v>
      </c>
      <c r="B372" s="96">
        <v>31</v>
      </c>
      <c r="C372" s="83">
        <f>122.58</f>
        <v>122.58</v>
      </c>
      <c r="D372" s="83">
        <f>297.941</f>
        <v>297.94099999999997</v>
      </c>
      <c r="E372" s="92">
        <f>89.177</f>
        <v>89.177000000000007</v>
      </c>
      <c r="F372" s="83">
        <f>240.302-40-60-100</f>
        <v>40.301999999999992</v>
      </c>
      <c r="G372" s="86">
        <v>40</v>
      </c>
      <c r="H372" s="83">
        <f>60+100</f>
        <v>160</v>
      </c>
      <c r="I372" s="83">
        <f t="shared" ref="I372:I435" si="59">400-J372-K372</f>
        <v>0</v>
      </c>
      <c r="J372" s="86">
        <v>100</v>
      </c>
      <c r="K372" s="86">
        <v>300</v>
      </c>
      <c r="L372" s="83">
        <f t="shared" si="53"/>
        <v>1150</v>
      </c>
      <c r="M372" s="94">
        <v>600</v>
      </c>
      <c r="N372" s="83">
        <f>100</f>
        <v>100</v>
      </c>
      <c r="O372" s="86">
        <v>240</v>
      </c>
      <c r="P372" s="86">
        <v>40</v>
      </c>
      <c r="Q372" s="86">
        <f t="shared" si="54"/>
        <v>315</v>
      </c>
      <c r="R372" s="86">
        <f t="shared" si="55"/>
        <v>100</v>
      </c>
      <c r="S372" s="83">
        <f t="shared" si="56"/>
        <v>695</v>
      </c>
      <c r="T372" s="83">
        <f>50</f>
        <v>50</v>
      </c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</row>
    <row r="373" spans="1:30" ht="15.75" x14ac:dyDescent="0.25">
      <c r="A373" s="14">
        <v>52290</v>
      </c>
      <c r="B373" s="96">
        <v>28</v>
      </c>
      <c r="C373" s="83">
        <f>122.58</f>
        <v>122.58</v>
      </c>
      <c r="D373" s="83">
        <f>297.941</f>
        <v>297.94099999999997</v>
      </c>
      <c r="E373" s="92">
        <f>89.177</f>
        <v>89.177000000000007</v>
      </c>
      <c r="F373" s="83">
        <f>240.302-40-60-100</f>
        <v>40.301999999999992</v>
      </c>
      <c r="G373" s="86">
        <v>40</v>
      </c>
      <c r="H373" s="83">
        <f>60+100</f>
        <v>160</v>
      </c>
      <c r="I373" s="83">
        <f t="shared" si="59"/>
        <v>0</v>
      </c>
      <c r="J373" s="86">
        <v>100</v>
      </c>
      <c r="K373" s="86">
        <v>300</v>
      </c>
      <c r="L373" s="83">
        <f t="shared" si="53"/>
        <v>1150</v>
      </c>
      <c r="M373" s="94">
        <v>600</v>
      </c>
      <c r="N373" s="83">
        <f>100</f>
        <v>100</v>
      </c>
      <c r="O373" s="86">
        <v>240</v>
      </c>
      <c r="P373" s="86">
        <v>40</v>
      </c>
      <c r="Q373" s="86">
        <f t="shared" si="54"/>
        <v>315</v>
      </c>
      <c r="R373" s="86">
        <f t="shared" si="55"/>
        <v>100</v>
      </c>
      <c r="S373" s="83">
        <f t="shared" si="56"/>
        <v>695</v>
      </c>
      <c r="T373" s="83">
        <f>50</f>
        <v>50</v>
      </c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</row>
    <row r="374" spans="1:30" ht="15.75" x14ac:dyDescent="0.25">
      <c r="A374" s="14">
        <v>52321</v>
      </c>
      <c r="B374" s="96">
        <v>31</v>
      </c>
      <c r="C374" s="83">
        <f>122.58</f>
        <v>122.58</v>
      </c>
      <c r="D374" s="83">
        <f>297.941</f>
        <v>297.94099999999997</v>
      </c>
      <c r="E374" s="92">
        <f>89.177</f>
        <v>89.177000000000007</v>
      </c>
      <c r="F374" s="83">
        <f>240.302-40-60-100</f>
        <v>40.301999999999992</v>
      </c>
      <c r="G374" s="86">
        <v>40</v>
      </c>
      <c r="H374" s="83">
        <f>60+100</f>
        <v>160</v>
      </c>
      <c r="I374" s="83">
        <f t="shared" si="59"/>
        <v>0</v>
      </c>
      <c r="J374" s="86">
        <v>100</v>
      </c>
      <c r="K374" s="86">
        <v>300</v>
      </c>
      <c r="L374" s="83">
        <f t="shared" si="53"/>
        <v>1150</v>
      </c>
      <c r="M374" s="94">
        <v>600</v>
      </c>
      <c r="N374" s="83">
        <f>100</f>
        <v>100</v>
      </c>
      <c r="O374" s="86">
        <v>240</v>
      </c>
      <c r="P374" s="86">
        <v>40</v>
      </c>
      <c r="Q374" s="86">
        <f t="shared" si="54"/>
        <v>315</v>
      </c>
      <c r="R374" s="86">
        <f t="shared" si="55"/>
        <v>100</v>
      </c>
      <c r="S374" s="83">
        <f t="shared" si="56"/>
        <v>695</v>
      </c>
      <c r="T374" s="83">
        <f>50</f>
        <v>50</v>
      </c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</row>
    <row r="375" spans="1:30" ht="15.75" x14ac:dyDescent="0.25">
      <c r="A375" s="14">
        <v>52351</v>
      </c>
      <c r="B375" s="96">
        <v>30</v>
      </c>
      <c r="C375" s="83">
        <f>141.293</f>
        <v>141.29300000000001</v>
      </c>
      <c r="D375" s="83">
        <f>267.993</f>
        <v>267.99299999999999</v>
      </c>
      <c r="E375" s="92">
        <f>115.016</f>
        <v>115.01600000000001</v>
      </c>
      <c r="F375" s="83">
        <f>314.698-40-25-60-100</f>
        <v>89.697999999999979</v>
      </c>
      <c r="G375" s="86">
        <v>40</v>
      </c>
      <c r="H375" s="83">
        <f t="shared" ref="H375:H381" si="60">25+60+100</f>
        <v>185</v>
      </c>
      <c r="I375" s="83">
        <f t="shared" si="59"/>
        <v>0</v>
      </c>
      <c r="J375" s="86">
        <v>100</v>
      </c>
      <c r="K375" s="86">
        <v>300</v>
      </c>
      <c r="L375" s="83">
        <f t="shared" si="53"/>
        <v>1239</v>
      </c>
      <c r="M375" s="94">
        <v>600</v>
      </c>
      <c r="N375" s="83">
        <f>100</f>
        <v>100</v>
      </c>
      <c r="O375" s="86">
        <v>240</v>
      </c>
      <c r="P375" s="86">
        <v>160</v>
      </c>
      <c r="Q375" s="86">
        <f t="shared" si="54"/>
        <v>195</v>
      </c>
      <c r="R375" s="86">
        <f t="shared" si="55"/>
        <v>100</v>
      </c>
      <c r="S375" s="83">
        <f t="shared" si="56"/>
        <v>695</v>
      </c>
      <c r="T375" s="83">
        <f>50</f>
        <v>50</v>
      </c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</row>
    <row r="376" spans="1:30" ht="15.75" x14ac:dyDescent="0.25">
      <c r="A376" s="14">
        <v>52382</v>
      </c>
      <c r="B376" s="96">
        <v>31</v>
      </c>
      <c r="C376" s="83">
        <f>194.205</f>
        <v>194.20500000000001</v>
      </c>
      <c r="D376" s="83">
        <f>267.466</f>
        <v>267.46600000000001</v>
      </c>
      <c r="E376" s="92">
        <f>133.845</f>
        <v>133.845</v>
      </c>
      <c r="F376" s="83">
        <f>278.484-40-25-60-100</f>
        <v>53.48399999999998</v>
      </c>
      <c r="G376" s="86">
        <v>40</v>
      </c>
      <c r="H376" s="83">
        <f t="shared" si="60"/>
        <v>185</v>
      </c>
      <c r="I376" s="83">
        <f t="shared" si="59"/>
        <v>0</v>
      </c>
      <c r="J376" s="86">
        <v>100</v>
      </c>
      <c r="K376" s="86">
        <v>300</v>
      </c>
      <c r="L376" s="83">
        <f t="shared" si="53"/>
        <v>1274</v>
      </c>
      <c r="M376" s="94">
        <v>600</v>
      </c>
      <c r="N376" s="83">
        <f>75</f>
        <v>75</v>
      </c>
      <c r="O376" s="86">
        <v>240</v>
      </c>
      <c r="P376" s="86">
        <v>160</v>
      </c>
      <c r="Q376" s="86">
        <f t="shared" si="54"/>
        <v>195</v>
      </c>
      <c r="R376" s="86">
        <f t="shared" si="55"/>
        <v>100</v>
      </c>
      <c r="S376" s="83">
        <f t="shared" si="56"/>
        <v>695</v>
      </c>
      <c r="T376" s="83">
        <f>50</f>
        <v>50</v>
      </c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</row>
    <row r="377" spans="1:30" ht="15.75" x14ac:dyDescent="0.25">
      <c r="A377" s="14">
        <v>52412</v>
      </c>
      <c r="B377" s="96">
        <v>30</v>
      </c>
      <c r="C377" s="83">
        <f>194.205</f>
        <v>194.20500000000001</v>
      </c>
      <c r="D377" s="83">
        <f>267.466</f>
        <v>267.46600000000001</v>
      </c>
      <c r="E377" s="92">
        <f>133.845</f>
        <v>133.845</v>
      </c>
      <c r="F377" s="83">
        <f>278.484-40-25-60-100</f>
        <v>53.48399999999998</v>
      </c>
      <c r="G377" s="86">
        <v>40</v>
      </c>
      <c r="H377" s="83">
        <f t="shared" si="60"/>
        <v>185</v>
      </c>
      <c r="I377" s="83">
        <f t="shared" si="59"/>
        <v>0</v>
      </c>
      <c r="J377" s="86">
        <v>100</v>
      </c>
      <c r="K377" s="86">
        <v>300</v>
      </c>
      <c r="L377" s="83">
        <f t="shared" si="53"/>
        <v>1274</v>
      </c>
      <c r="M377" s="94">
        <v>600</v>
      </c>
      <c r="N377" s="83">
        <f>30</f>
        <v>30</v>
      </c>
      <c r="O377" s="86">
        <v>240</v>
      </c>
      <c r="P377" s="86">
        <v>160</v>
      </c>
      <c r="Q377" s="86">
        <f t="shared" si="54"/>
        <v>195</v>
      </c>
      <c r="R377" s="86">
        <f t="shared" si="55"/>
        <v>100</v>
      </c>
      <c r="S377" s="83">
        <f t="shared" si="56"/>
        <v>695</v>
      </c>
      <c r="T377" s="83">
        <f>50</f>
        <v>50</v>
      </c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</row>
    <row r="378" spans="1:30" ht="15.75" x14ac:dyDescent="0.25">
      <c r="A378" s="14">
        <v>52443</v>
      </c>
      <c r="B378" s="96">
        <v>31</v>
      </c>
      <c r="C378" s="83">
        <f>194.205</f>
        <v>194.20500000000001</v>
      </c>
      <c r="D378" s="83">
        <f>267.466</f>
        <v>267.46600000000001</v>
      </c>
      <c r="E378" s="92">
        <f>133.845</f>
        <v>133.845</v>
      </c>
      <c r="F378" s="83">
        <f>278.484-40-25-60-100</f>
        <v>53.48399999999998</v>
      </c>
      <c r="G378" s="86">
        <v>40</v>
      </c>
      <c r="H378" s="83">
        <f t="shared" si="60"/>
        <v>185</v>
      </c>
      <c r="I378" s="83">
        <f t="shared" si="59"/>
        <v>0</v>
      </c>
      <c r="J378" s="86">
        <v>100</v>
      </c>
      <c r="K378" s="86">
        <v>300</v>
      </c>
      <c r="L378" s="83">
        <f t="shared" si="53"/>
        <v>1274</v>
      </c>
      <c r="M378" s="94">
        <v>600</v>
      </c>
      <c r="N378" s="83">
        <f>30</f>
        <v>30</v>
      </c>
      <c r="O378" s="86">
        <v>240</v>
      </c>
      <c r="P378" s="86">
        <v>160</v>
      </c>
      <c r="Q378" s="86">
        <f t="shared" si="54"/>
        <v>195</v>
      </c>
      <c r="R378" s="86">
        <f t="shared" si="55"/>
        <v>100</v>
      </c>
      <c r="S378" s="83">
        <f t="shared" si="56"/>
        <v>695</v>
      </c>
      <c r="T378" s="83">
        <f>0</f>
        <v>0</v>
      </c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</row>
    <row r="379" spans="1:30" ht="15.75" x14ac:dyDescent="0.25">
      <c r="A379" s="14">
        <v>52474</v>
      </c>
      <c r="B379" s="96">
        <v>31</v>
      </c>
      <c r="C379" s="83">
        <f>194.205</f>
        <v>194.20500000000001</v>
      </c>
      <c r="D379" s="83">
        <f>267.466</f>
        <v>267.46600000000001</v>
      </c>
      <c r="E379" s="92">
        <f>133.845</f>
        <v>133.845</v>
      </c>
      <c r="F379" s="83">
        <f>278.484-40-25-60-100</f>
        <v>53.48399999999998</v>
      </c>
      <c r="G379" s="86">
        <v>40</v>
      </c>
      <c r="H379" s="83">
        <f t="shared" si="60"/>
        <v>185</v>
      </c>
      <c r="I379" s="83">
        <f t="shared" si="59"/>
        <v>0</v>
      </c>
      <c r="J379" s="86">
        <v>100</v>
      </c>
      <c r="K379" s="86">
        <v>300</v>
      </c>
      <c r="L379" s="83">
        <f t="shared" si="53"/>
        <v>1274</v>
      </c>
      <c r="M379" s="94">
        <v>600</v>
      </c>
      <c r="N379" s="83">
        <f>30</f>
        <v>30</v>
      </c>
      <c r="O379" s="86">
        <v>240</v>
      </c>
      <c r="P379" s="86">
        <v>160</v>
      </c>
      <c r="Q379" s="86">
        <f t="shared" si="54"/>
        <v>195</v>
      </c>
      <c r="R379" s="86">
        <f t="shared" si="55"/>
        <v>100</v>
      </c>
      <c r="S379" s="83">
        <f t="shared" si="56"/>
        <v>695</v>
      </c>
      <c r="T379" s="83">
        <f>0</f>
        <v>0</v>
      </c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</row>
    <row r="380" spans="1:30" ht="15.75" x14ac:dyDescent="0.25">
      <c r="A380" s="14">
        <v>52504</v>
      </c>
      <c r="B380" s="96">
        <v>30</v>
      </c>
      <c r="C380" s="83">
        <f>194.205</f>
        <v>194.20500000000001</v>
      </c>
      <c r="D380" s="83">
        <f>267.466</f>
        <v>267.46600000000001</v>
      </c>
      <c r="E380" s="92">
        <f>133.845</f>
        <v>133.845</v>
      </c>
      <c r="F380" s="83">
        <f>278.484-40-25-60-100</f>
        <v>53.48399999999998</v>
      </c>
      <c r="G380" s="86">
        <v>40</v>
      </c>
      <c r="H380" s="83">
        <f t="shared" si="60"/>
        <v>185</v>
      </c>
      <c r="I380" s="83">
        <f t="shared" si="59"/>
        <v>0</v>
      </c>
      <c r="J380" s="86">
        <v>100</v>
      </c>
      <c r="K380" s="86">
        <v>300</v>
      </c>
      <c r="L380" s="83">
        <f t="shared" si="53"/>
        <v>1274</v>
      </c>
      <c r="M380" s="94">
        <v>600</v>
      </c>
      <c r="N380" s="83">
        <f>30</f>
        <v>30</v>
      </c>
      <c r="O380" s="86">
        <v>240</v>
      </c>
      <c r="P380" s="86">
        <v>160</v>
      </c>
      <c r="Q380" s="86">
        <f t="shared" si="54"/>
        <v>195</v>
      </c>
      <c r="R380" s="86">
        <f t="shared" si="55"/>
        <v>100</v>
      </c>
      <c r="S380" s="83">
        <f t="shared" si="56"/>
        <v>695</v>
      </c>
      <c r="T380" s="83">
        <f>0</f>
        <v>0</v>
      </c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</row>
    <row r="381" spans="1:30" ht="15.75" x14ac:dyDescent="0.25">
      <c r="A381" s="14">
        <v>52535</v>
      </c>
      <c r="B381" s="96">
        <v>31</v>
      </c>
      <c r="C381" s="83">
        <f>131.881</f>
        <v>131.881</v>
      </c>
      <c r="D381" s="83">
        <f>277.167</f>
        <v>277.16699999999997</v>
      </c>
      <c r="E381" s="92">
        <f>79.08</f>
        <v>79.08</v>
      </c>
      <c r="F381" s="83">
        <f>350.872-40-25-60-100</f>
        <v>125.87200000000001</v>
      </c>
      <c r="G381" s="86">
        <v>40</v>
      </c>
      <c r="H381" s="83">
        <f t="shared" si="60"/>
        <v>185</v>
      </c>
      <c r="I381" s="83">
        <f t="shared" si="59"/>
        <v>0</v>
      </c>
      <c r="J381" s="86">
        <v>100</v>
      </c>
      <c r="K381" s="86">
        <v>300</v>
      </c>
      <c r="L381" s="83">
        <f t="shared" si="53"/>
        <v>1239</v>
      </c>
      <c r="M381" s="94">
        <v>600</v>
      </c>
      <c r="N381" s="83">
        <f>75</f>
        <v>75</v>
      </c>
      <c r="O381" s="86">
        <v>240</v>
      </c>
      <c r="P381" s="86">
        <v>160</v>
      </c>
      <c r="Q381" s="86">
        <f t="shared" si="54"/>
        <v>195</v>
      </c>
      <c r="R381" s="86">
        <f t="shared" si="55"/>
        <v>100</v>
      </c>
      <c r="S381" s="83">
        <f t="shared" si="56"/>
        <v>695</v>
      </c>
      <c r="T381" s="83">
        <f>0</f>
        <v>0</v>
      </c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</row>
    <row r="382" spans="1:30" ht="15.75" x14ac:dyDescent="0.25">
      <c r="A382" s="14">
        <v>52565</v>
      </c>
      <c r="B382" s="96">
        <v>30</v>
      </c>
      <c r="C382" s="83">
        <f>122.58</f>
        <v>122.58</v>
      </c>
      <c r="D382" s="83">
        <f>297.941</f>
        <v>297.94099999999997</v>
      </c>
      <c r="E382" s="92">
        <f>89.177</f>
        <v>89.177000000000007</v>
      </c>
      <c r="F382" s="83">
        <f>240.302-40-60-100</f>
        <v>40.301999999999992</v>
      </c>
      <c r="G382" s="86">
        <v>40</v>
      </c>
      <c r="H382" s="83">
        <f>60+100</f>
        <v>160</v>
      </c>
      <c r="I382" s="83">
        <f t="shared" si="59"/>
        <v>0</v>
      </c>
      <c r="J382" s="86">
        <v>100</v>
      </c>
      <c r="K382" s="86">
        <v>300</v>
      </c>
      <c r="L382" s="83">
        <f t="shared" si="53"/>
        <v>1150</v>
      </c>
      <c r="M382" s="94">
        <v>600</v>
      </c>
      <c r="N382" s="83">
        <f>100</f>
        <v>100</v>
      </c>
      <c r="O382" s="86">
        <v>240</v>
      </c>
      <c r="P382" s="86">
        <v>40</v>
      </c>
      <c r="Q382" s="86">
        <f t="shared" si="54"/>
        <v>315</v>
      </c>
      <c r="R382" s="86">
        <f t="shared" si="55"/>
        <v>100</v>
      </c>
      <c r="S382" s="83">
        <f t="shared" si="56"/>
        <v>695</v>
      </c>
      <c r="T382" s="83">
        <f>50</f>
        <v>50</v>
      </c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</row>
    <row r="383" spans="1:30" ht="15.75" x14ac:dyDescent="0.25">
      <c r="A383" s="14">
        <v>52596</v>
      </c>
      <c r="B383" s="96">
        <v>31</v>
      </c>
      <c r="C383" s="83">
        <f>122.58</f>
        <v>122.58</v>
      </c>
      <c r="D383" s="83">
        <f>297.941</f>
        <v>297.94099999999997</v>
      </c>
      <c r="E383" s="92">
        <f>89.177</f>
        <v>89.177000000000007</v>
      </c>
      <c r="F383" s="83">
        <f>240.302-40-60-100</f>
        <v>40.301999999999992</v>
      </c>
      <c r="G383" s="86">
        <v>40</v>
      </c>
      <c r="H383" s="83">
        <f>60+100</f>
        <v>160</v>
      </c>
      <c r="I383" s="83">
        <f t="shared" si="59"/>
        <v>0</v>
      </c>
      <c r="J383" s="86">
        <v>100</v>
      </c>
      <c r="K383" s="86">
        <v>300</v>
      </c>
      <c r="L383" s="83">
        <f t="shared" si="53"/>
        <v>1150</v>
      </c>
      <c r="M383" s="94">
        <v>600</v>
      </c>
      <c r="N383" s="83">
        <f>100</f>
        <v>100</v>
      </c>
      <c r="O383" s="86">
        <v>240</v>
      </c>
      <c r="P383" s="86">
        <v>40</v>
      </c>
      <c r="Q383" s="86">
        <f t="shared" si="54"/>
        <v>315</v>
      </c>
      <c r="R383" s="86">
        <f t="shared" si="55"/>
        <v>100</v>
      </c>
      <c r="S383" s="83">
        <f t="shared" si="56"/>
        <v>695</v>
      </c>
      <c r="T383" s="83">
        <f>50</f>
        <v>50</v>
      </c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</row>
    <row r="384" spans="1:30" ht="15.75" x14ac:dyDescent="0.25">
      <c r="A384" s="14">
        <v>52627</v>
      </c>
      <c r="B384" s="96">
        <v>31</v>
      </c>
      <c r="C384" s="83">
        <f>122.58</f>
        <v>122.58</v>
      </c>
      <c r="D384" s="83">
        <f>297.941</f>
        <v>297.94099999999997</v>
      </c>
      <c r="E384" s="92">
        <f>89.177</f>
        <v>89.177000000000007</v>
      </c>
      <c r="F384" s="83">
        <f>240.302-40-60-100</f>
        <v>40.301999999999992</v>
      </c>
      <c r="G384" s="86">
        <v>40</v>
      </c>
      <c r="H384" s="83">
        <f>60+100</f>
        <v>160</v>
      </c>
      <c r="I384" s="83">
        <f t="shared" si="59"/>
        <v>0</v>
      </c>
      <c r="J384" s="86">
        <v>100</v>
      </c>
      <c r="K384" s="86">
        <v>300</v>
      </c>
      <c r="L384" s="83">
        <f t="shared" si="53"/>
        <v>1150</v>
      </c>
      <c r="M384" s="94">
        <v>600</v>
      </c>
      <c r="N384" s="83">
        <f>100</f>
        <v>100</v>
      </c>
      <c r="O384" s="86">
        <v>240</v>
      </c>
      <c r="P384" s="86">
        <v>40</v>
      </c>
      <c r="Q384" s="86">
        <f t="shared" si="54"/>
        <v>315</v>
      </c>
      <c r="R384" s="86">
        <f t="shared" si="55"/>
        <v>100</v>
      </c>
      <c r="S384" s="83">
        <f t="shared" si="56"/>
        <v>695</v>
      </c>
      <c r="T384" s="83">
        <f>50</f>
        <v>50</v>
      </c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</row>
    <row r="385" spans="1:30" ht="15.75" x14ac:dyDescent="0.25">
      <c r="A385" s="14">
        <v>52655</v>
      </c>
      <c r="B385" s="96">
        <v>29</v>
      </c>
      <c r="C385" s="83">
        <f>122.58</f>
        <v>122.58</v>
      </c>
      <c r="D385" s="83">
        <f>297.941</f>
        <v>297.94099999999997</v>
      </c>
      <c r="E385" s="92">
        <f>89.177</f>
        <v>89.177000000000007</v>
      </c>
      <c r="F385" s="83">
        <f>240.302-40-60-100</f>
        <v>40.301999999999992</v>
      </c>
      <c r="G385" s="86">
        <v>40</v>
      </c>
      <c r="H385" s="83">
        <f>60+100</f>
        <v>160</v>
      </c>
      <c r="I385" s="83">
        <f t="shared" si="59"/>
        <v>0</v>
      </c>
      <c r="J385" s="86">
        <v>100</v>
      </c>
      <c r="K385" s="86">
        <v>300</v>
      </c>
      <c r="L385" s="83">
        <f t="shared" si="53"/>
        <v>1150</v>
      </c>
      <c r="M385" s="94">
        <v>600</v>
      </c>
      <c r="N385" s="83">
        <f>100</f>
        <v>100</v>
      </c>
      <c r="O385" s="86">
        <v>240</v>
      </c>
      <c r="P385" s="86">
        <v>40</v>
      </c>
      <c r="Q385" s="86">
        <f t="shared" si="54"/>
        <v>315</v>
      </c>
      <c r="R385" s="86">
        <f t="shared" si="55"/>
        <v>100</v>
      </c>
      <c r="S385" s="83">
        <f t="shared" si="56"/>
        <v>695</v>
      </c>
      <c r="T385" s="83">
        <f>50</f>
        <v>50</v>
      </c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</row>
    <row r="386" spans="1:30" ht="15.75" x14ac:dyDescent="0.25">
      <c r="A386" s="14">
        <v>52687</v>
      </c>
      <c r="B386" s="96">
        <v>31</v>
      </c>
      <c r="C386" s="83">
        <f>122.58</f>
        <v>122.58</v>
      </c>
      <c r="D386" s="83">
        <f>297.941</f>
        <v>297.94099999999997</v>
      </c>
      <c r="E386" s="92">
        <f>89.177</f>
        <v>89.177000000000007</v>
      </c>
      <c r="F386" s="83">
        <f>240.302-40-60-100</f>
        <v>40.301999999999992</v>
      </c>
      <c r="G386" s="86">
        <v>40</v>
      </c>
      <c r="H386" s="83">
        <f>60+100</f>
        <v>160</v>
      </c>
      <c r="I386" s="83">
        <f t="shared" si="59"/>
        <v>0</v>
      </c>
      <c r="J386" s="86">
        <v>100</v>
      </c>
      <c r="K386" s="86">
        <v>300</v>
      </c>
      <c r="L386" s="83">
        <f t="shared" si="53"/>
        <v>1150</v>
      </c>
      <c r="M386" s="94">
        <v>600</v>
      </c>
      <c r="N386" s="83">
        <f>100</f>
        <v>100</v>
      </c>
      <c r="O386" s="86">
        <v>240</v>
      </c>
      <c r="P386" s="86">
        <v>40</v>
      </c>
      <c r="Q386" s="86">
        <f t="shared" si="54"/>
        <v>315</v>
      </c>
      <c r="R386" s="86">
        <f t="shared" si="55"/>
        <v>100</v>
      </c>
      <c r="S386" s="83">
        <f t="shared" si="56"/>
        <v>695</v>
      </c>
      <c r="T386" s="83">
        <f>50</f>
        <v>50</v>
      </c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</row>
    <row r="387" spans="1:30" ht="15.75" x14ac:dyDescent="0.25">
      <c r="A387" s="14">
        <v>52717</v>
      </c>
      <c r="B387" s="96">
        <v>30</v>
      </c>
      <c r="C387" s="83">
        <f>141.293</f>
        <v>141.29300000000001</v>
      </c>
      <c r="D387" s="83">
        <f>267.993</f>
        <v>267.99299999999999</v>
      </c>
      <c r="E387" s="92">
        <f>115.016</f>
        <v>115.01600000000001</v>
      </c>
      <c r="F387" s="83">
        <f>314.698-40-25-60-100</f>
        <v>89.697999999999979</v>
      </c>
      <c r="G387" s="86">
        <v>40</v>
      </c>
      <c r="H387" s="83">
        <f t="shared" ref="H387:H393" si="61">25+60+100</f>
        <v>185</v>
      </c>
      <c r="I387" s="83">
        <f t="shared" si="59"/>
        <v>0</v>
      </c>
      <c r="J387" s="86">
        <v>100</v>
      </c>
      <c r="K387" s="86">
        <v>300</v>
      </c>
      <c r="L387" s="83">
        <f t="shared" si="53"/>
        <v>1239</v>
      </c>
      <c r="M387" s="94">
        <v>600</v>
      </c>
      <c r="N387" s="83">
        <f>100</f>
        <v>100</v>
      </c>
      <c r="O387" s="86">
        <v>240</v>
      </c>
      <c r="P387" s="86">
        <v>160</v>
      </c>
      <c r="Q387" s="86">
        <f t="shared" si="54"/>
        <v>195</v>
      </c>
      <c r="R387" s="86">
        <f t="shared" si="55"/>
        <v>100</v>
      </c>
      <c r="S387" s="83">
        <f t="shared" si="56"/>
        <v>695</v>
      </c>
      <c r="T387" s="83">
        <f>50</f>
        <v>50</v>
      </c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</row>
    <row r="388" spans="1:30" ht="15.75" x14ac:dyDescent="0.25">
      <c r="A388" s="14">
        <v>52748</v>
      </c>
      <c r="B388" s="96">
        <v>31</v>
      </c>
      <c r="C388" s="83">
        <f>194.205</f>
        <v>194.20500000000001</v>
      </c>
      <c r="D388" s="83">
        <f>267.466</f>
        <v>267.46600000000001</v>
      </c>
      <c r="E388" s="92">
        <f>133.845</f>
        <v>133.845</v>
      </c>
      <c r="F388" s="83">
        <f>278.484-40-25-60-100</f>
        <v>53.48399999999998</v>
      </c>
      <c r="G388" s="86">
        <v>40</v>
      </c>
      <c r="H388" s="83">
        <f t="shared" si="61"/>
        <v>185</v>
      </c>
      <c r="I388" s="83">
        <f t="shared" si="59"/>
        <v>0</v>
      </c>
      <c r="J388" s="86">
        <v>100</v>
      </c>
      <c r="K388" s="86">
        <v>300</v>
      </c>
      <c r="L388" s="83">
        <f t="shared" si="53"/>
        <v>1274</v>
      </c>
      <c r="M388" s="94">
        <v>600</v>
      </c>
      <c r="N388" s="83">
        <f>75</f>
        <v>75</v>
      </c>
      <c r="O388" s="86">
        <v>240</v>
      </c>
      <c r="P388" s="86">
        <v>160</v>
      </c>
      <c r="Q388" s="86">
        <f t="shared" si="54"/>
        <v>195</v>
      </c>
      <c r="R388" s="86">
        <f t="shared" si="55"/>
        <v>100</v>
      </c>
      <c r="S388" s="83">
        <f t="shared" si="56"/>
        <v>695</v>
      </c>
      <c r="T388" s="83">
        <f>50</f>
        <v>50</v>
      </c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</row>
    <row r="389" spans="1:30" ht="15.75" x14ac:dyDescent="0.25">
      <c r="A389" s="14">
        <v>52778</v>
      </c>
      <c r="B389" s="96">
        <v>30</v>
      </c>
      <c r="C389" s="83">
        <f>194.205</f>
        <v>194.20500000000001</v>
      </c>
      <c r="D389" s="83">
        <f>267.466</f>
        <v>267.46600000000001</v>
      </c>
      <c r="E389" s="92">
        <f>133.845</f>
        <v>133.845</v>
      </c>
      <c r="F389" s="83">
        <f>278.484-40-25-60-100</f>
        <v>53.48399999999998</v>
      </c>
      <c r="G389" s="86">
        <v>40</v>
      </c>
      <c r="H389" s="83">
        <f t="shared" si="61"/>
        <v>185</v>
      </c>
      <c r="I389" s="83">
        <f t="shared" si="59"/>
        <v>0</v>
      </c>
      <c r="J389" s="86">
        <v>100</v>
      </c>
      <c r="K389" s="86">
        <v>300</v>
      </c>
      <c r="L389" s="83">
        <f t="shared" si="53"/>
        <v>1274</v>
      </c>
      <c r="M389" s="94">
        <v>600</v>
      </c>
      <c r="N389" s="83">
        <f>30</f>
        <v>30</v>
      </c>
      <c r="O389" s="86">
        <v>240</v>
      </c>
      <c r="P389" s="86">
        <v>160</v>
      </c>
      <c r="Q389" s="86">
        <f t="shared" si="54"/>
        <v>195</v>
      </c>
      <c r="R389" s="86">
        <f t="shared" si="55"/>
        <v>100</v>
      </c>
      <c r="S389" s="83">
        <f t="shared" si="56"/>
        <v>695</v>
      </c>
      <c r="T389" s="83">
        <f>50</f>
        <v>50</v>
      </c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</row>
    <row r="390" spans="1:30" ht="15.75" x14ac:dyDescent="0.25">
      <c r="A390" s="14">
        <v>52809</v>
      </c>
      <c r="B390" s="96">
        <v>31</v>
      </c>
      <c r="C390" s="83">
        <f>194.205</f>
        <v>194.20500000000001</v>
      </c>
      <c r="D390" s="83">
        <f>267.466</f>
        <v>267.46600000000001</v>
      </c>
      <c r="E390" s="92">
        <f>133.845</f>
        <v>133.845</v>
      </c>
      <c r="F390" s="83">
        <f>278.484-40-25-60-100</f>
        <v>53.48399999999998</v>
      </c>
      <c r="G390" s="86">
        <v>40</v>
      </c>
      <c r="H390" s="83">
        <f t="shared" si="61"/>
        <v>185</v>
      </c>
      <c r="I390" s="83">
        <f t="shared" si="59"/>
        <v>0</v>
      </c>
      <c r="J390" s="86">
        <v>100</v>
      </c>
      <c r="K390" s="86">
        <v>300</v>
      </c>
      <c r="L390" s="83">
        <f t="shared" si="53"/>
        <v>1274</v>
      </c>
      <c r="M390" s="94">
        <v>600</v>
      </c>
      <c r="N390" s="83">
        <f>30</f>
        <v>30</v>
      </c>
      <c r="O390" s="86">
        <v>240</v>
      </c>
      <c r="P390" s="86">
        <v>160</v>
      </c>
      <c r="Q390" s="86">
        <f t="shared" si="54"/>
        <v>195</v>
      </c>
      <c r="R390" s="86">
        <f t="shared" si="55"/>
        <v>100</v>
      </c>
      <c r="S390" s="83">
        <f t="shared" si="56"/>
        <v>695</v>
      </c>
      <c r="T390" s="83">
        <f>0</f>
        <v>0</v>
      </c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</row>
    <row r="391" spans="1:30" ht="15.75" x14ac:dyDescent="0.25">
      <c r="A391" s="14">
        <v>52840</v>
      </c>
      <c r="B391" s="96">
        <v>31</v>
      </c>
      <c r="C391" s="83">
        <f>194.205</f>
        <v>194.20500000000001</v>
      </c>
      <c r="D391" s="83">
        <f>267.466</f>
        <v>267.46600000000001</v>
      </c>
      <c r="E391" s="92">
        <f>133.845</f>
        <v>133.845</v>
      </c>
      <c r="F391" s="83">
        <f>278.484-40-25-60-100</f>
        <v>53.48399999999998</v>
      </c>
      <c r="G391" s="86">
        <v>40</v>
      </c>
      <c r="H391" s="83">
        <f t="shared" si="61"/>
        <v>185</v>
      </c>
      <c r="I391" s="83">
        <f t="shared" si="59"/>
        <v>0</v>
      </c>
      <c r="J391" s="86">
        <v>100</v>
      </c>
      <c r="K391" s="86">
        <v>300</v>
      </c>
      <c r="L391" s="83">
        <f t="shared" si="53"/>
        <v>1274</v>
      </c>
      <c r="M391" s="94">
        <v>600</v>
      </c>
      <c r="N391" s="83">
        <f>30</f>
        <v>30</v>
      </c>
      <c r="O391" s="86">
        <v>240</v>
      </c>
      <c r="P391" s="86">
        <v>160</v>
      </c>
      <c r="Q391" s="86">
        <f t="shared" si="54"/>
        <v>195</v>
      </c>
      <c r="R391" s="86">
        <f t="shared" si="55"/>
        <v>100</v>
      </c>
      <c r="S391" s="83">
        <f t="shared" si="56"/>
        <v>695</v>
      </c>
      <c r="T391" s="83">
        <f>0</f>
        <v>0</v>
      </c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</row>
    <row r="392" spans="1:30" ht="15.75" x14ac:dyDescent="0.25">
      <c r="A392" s="14">
        <v>52870</v>
      </c>
      <c r="B392" s="96">
        <v>30</v>
      </c>
      <c r="C392" s="83">
        <f>194.205</f>
        <v>194.20500000000001</v>
      </c>
      <c r="D392" s="83">
        <f>267.466</f>
        <v>267.46600000000001</v>
      </c>
      <c r="E392" s="92">
        <f>133.845</f>
        <v>133.845</v>
      </c>
      <c r="F392" s="83">
        <f>278.484-40-25-60-100</f>
        <v>53.48399999999998</v>
      </c>
      <c r="G392" s="86">
        <v>40</v>
      </c>
      <c r="H392" s="83">
        <f t="shared" si="61"/>
        <v>185</v>
      </c>
      <c r="I392" s="83">
        <f t="shared" si="59"/>
        <v>0</v>
      </c>
      <c r="J392" s="86">
        <v>100</v>
      </c>
      <c r="K392" s="86">
        <v>300</v>
      </c>
      <c r="L392" s="83">
        <f t="shared" si="53"/>
        <v>1274</v>
      </c>
      <c r="M392" s="94">
        <v>600</v>
      </c>
      <c r="N392" s="83">
        <f>30</f>
        <v>30</v>
      </c>
      <c r="O392" s="86">
        <v>240</v>
      </c>
      <c r="P392" s="86">
        <v>160</v>
      </c>
      <c r="Q392" s="86">
        <f t="shared" si="54"/>
        <v>195</v>
      </c>
      <c r="R392" s="86">
        <f t="shared" si="55"/>
        <v>100</v>
      </c>
      <c r="S392" s="83">
        <f t="shared" si="56"/>
        <v>695</v>
      </c>
      <c r="T392" s="83">
        <f>0</f>
        <v>0</v>
      </c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</row>
    <row r="393" spans="1:30" ht="15.75" x14ac:dyDescent="0.25">
      <c r="A393" s="14">
        <v>52901</v>
      </c>
      <c r="B393" s="96">
        <v>31</v>
      </c>
      <c r="C393" s="83">
        <f>131.881</f>
        <v>131.881</v>
      </c>
      <c r="D393" s="83">
        <f>277.167</f>
        <v>277.16699999999997</v>
      </c>
      <c r="E393" s="92">
        <f>79.08</f>
        <v>79.08</v>
      </c>
      <c r="F393" s="83">
        <f>350.872-40-25-60-100</f>
        <v>125.87200000000001</v>
      </c>
      <c r="G393" s="86">
        <v>40</v>
      </c>
      <c r="H393" s="83">
        <f t="shared" si="61"/>
        <v>185</v>
      </c>
      <c r="I393" s="83">
        <f t="shared" si="59"/>
        <v>0</v>
      </c>
      <c r="J393" s="86">
        <v>100</v>
      </c>
      <c r="K393" s="86">
        <v>300</v>
      </c>
      <c r="L393" s="83">
        <f t="shared" si="53"/>
        <v>1239</v>
      </c>
      <c r="M393" s="94">
        <v>600</v>
      </c>
      <c r="N393" s="83">
        <f>75</f>
        <v>75</v>
      </c>
      <c r="O393" s="86">
        <v>240</v>
      </c>
      <c r="P393" s="86">
        <v>160</v>
      </c>
      <c r="Q393" s="86">
        <f t="shared" si="54"/>
        <v>195</v>
      </c>
      <c r="R393" s="86">
        <f t="shared" si="55"/>
        <v>100</v>
      </c>
      <c r="S393" s="83">
        <f t="shared" si="56"/>
        <v>695</v>
      </c>
      <c r="T393" s="83">
        <f>0</f>
        <v>0</v>
      </c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</row>
    <row r="394" spans="1:30" ht="15.75" x14ac:dyDescent="0.25">
      <c r="A394" s="14">
        <v>52931</v>
      </c>
      <c r="B394" s="96">
        <v>30</v>
      </c>
      <c r="C394" s="83">
        <f>122.58</f>
        <v>122.58</v>
      </c>
      <c r="D394" s="83">
        <f>297.941</f>
        <v>297.94099999999997</v>
      </c>
      <c r="E394" s="92">
        <f>89.177</f>
        <v>89.177000000000007</v>
      </c>
      <c r="F394" s="83">
        <f>240.302-40-60-100</f>
        <v>40.301999999999992</v>
      </c>
      <c r="G394" s="86">
        <v>40</v>
      </c>
      <c r="H394" s="83">
        <f>60+100</f>
        <v>160</v>
      </c>
      <c r="I394" s="83">
        <f t="shared" si="59"/>
        <v>0</v>
      </c>
      <c r="J394" s="86">
        <v>100</v>
      </c>
      <c r="K394" s="86">
        <v>300</v>
      </c>
      <c r="L394" s="83">
        <f t="shared" si="53"/>
        <v>1150</v>
      </c>
      <c r="M394" s="94">
        <v>600</v>
      </c>
      <c r="N394" s="83">
        <f>100</f>
        <v>100</v>
      </c>
      <c r="O394" s="86">
        <v>240</v>
      </c>
      <c r="P394" s="86">
        <v>40</v>
      </c>
      <c r="Q394" s="86">
        <f t="shared" si="54"/>
        <v>315</v>
      </c>
      <c r="R394" s="86">
        <f t="shared" si="55"/>
        <v>100</v>
      </c>
      <c r="S394" s="83">
        <f t="shared" si="56"/>
        <v>695</v>
      </c>
      <c r="T394" s="83">
        <f>50</f>
        <v>50</v>
      </c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</row>
    <row r="395" spans="1:30" ht="15.75" x14ac:dyDescent="0.25">
      <c r="A395" s="14">
        <v>52962</v>
      </c>
      <c r="B395" s="96">
        <v>31</v>
      </c>
      <c r="C395" s="83">
        <f>122.58</f>
        <v>122.58</v>
      </c>
      <c r="D395" s="83">
        <f>297.941</f>
        <v>297.94099999999997</v>
      </c>
      <c r="E395" s="92">
        <f>89.177</f>
        <v>89.177000000000007</v>
      </c>
      <c r="F395" s="83">
        <f>240.302-40-60-100</f>
        <v>40.301999999999992</v>
      </c>
      <c r="G395" s="86">
        <v>40</v>
      </c>
      <c r="H395" s="83">
        <f>60+100</f>
        <v>160</v>
      </c>
      <c r="I395" s="83">
        <f t="shared" si="59"/>
        <v>0</v>
      </c>
      <c r="J395" s="86">
        <v>100</v>
      </c>
      <c r="K395" s="86">
        <v>300</v>
      </c>
      <c r="L395" s="83">
        <f t="shared" si="53"/>
        <v>1150</v>
      </c>
      <c r="M395" s="94">
        <v>600</v>
      </c>
      <c r="N395" s="83">
        <f>100</f>
        <v>100</v>
      </c>
      <c r="O395" s="86">
        <v>240</v>
      </c>
      <c r="P395" s="86">
        <v>40</v>
      </c>
      <c r="Q395" s="86">
        <f t="shared" si="54"/>
        <v>315</v>
      </c>
      <c r="R395" s="86">
        <f t="shared" si="55"/>
        <v>100</v>
      </c>
      <c r="S395" s="83">
        <f t="shared" si="56"/>
        <v>695</v>
      </c>
      <c r="T395" s="83">
        <f>50</f>
        <v>50</v>
      </c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</row>
    <row r="396" spans="1:30" ht="15.75" x14ac:dyDescent="0.25">
      <c r="A396" s="14">
        <v>52993</v>
      </c>
      <c r="B396" s="96">
        <v>31</v>
      </c>
      <c r="C396" s="83">
        <f>122.58</f>
        <v>122.58</v>
      </c>
      <c r="D396" s="83">
        <f>297.941</f>
        <v>297.94099999999997</v>
      </c>
      <c r="E396" s="92">
        <f>89.177</f>
        <v>89.177000000000007</v>
      </c>
      <c r="F396" s="83">
        <f>240.302-40-60-100</f>
        <v>40.301999999999992</v>
      </c>
      <c r="G396" s="86">
        <v>40</v>
      </c>
      <c r="H396" s="83">
        <f>60+100</f>
        <v>160</v>
      </c>
      <c r="I396" s="83">
        <f t="shared" si="59"/>
        <v>0</v>
      </c>
      <c r="J396" s="86">
        <v>100</v>
      </c>
      <c r="K396" s="86">
        <v>300</v>
      </c>
      <c r="L396" s="83">
        <f t="shared" si="53"/>
        <v>1150</v>
      </c>
      <c r="M396" s="94">
        <v>600</v>
      </c>
      <c r="N396" s="83">
        <f>100</f>
        <v>100</v>
      </c>
      <c r="O396" s="86">
        <v>240</v>
      </c>
      <c r="P396" s="86">
        <v>40</v>
      </c>
      <c r="Q396" s="86">
        <f t="shared" si="54"/>
        <v>315</v>
      </c>
      <c r="R396" s="86">
        <f t="shared" si="55"/>
        <v>100</v>
      </c>
      <c r="S396" s="83">
        <f t="shared" si="56"/>
        <v>695</v>
      </c>
      <c r="T396" s="83">
        <f>50</f>
        <v>50</v>
      </c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</row>
    <row r="397" spans="1:30" ht="15.75" x14ac:dyDescent="0.25">
      <c r="A397" s="14">
        <v>53021</v>
      </c>
      <c r="B397" s="96">
        <v>28</v>
      </c>
      <c r="C397" s="83">
        <f>122.58</f>
        <v>122.58</v>
      </c>
      <c r="D397" s="83">
        <f>297.941</f>
        <v>297.94099999999997</v>
      </c>
      <c r="E397" s="92">
        <f>89.177</f>
        <v>89.177000000000007</v>
      </c>
      <c r="F397" s="83">
        <f>240.302-40-60-100</f>
        <v>40.301999999999992</v>
      </c>
      <c r="G397" s="86">
        <v>40</v>
      </c>
      <c r="H397" s="83">
        <f>60+100</f>
        <v>160</v>
      </c>
      <c r="I397" s="83">
        <f t="shared" si="59"/>
        <v>0</v>
      </c>
      <c r="J397" s="86">
        <v>100</v>
      </c>
      <c r="K397" s="86">
        <v>300</v>
      </c>
      <c r="L397" s="83">
        <f t="shared" si="53"/>
        <v>1150</v>
      </c>
      <c r="M397" s="94">
        <v>600</v>
      </c>
      <c r="N397" s="83">
        <f>100</f>
        <v>100</v>
      </c>
      <c r="O397" s="86">
        <v>240</v>
      </c>
      <c r="P397" s="86">
        <v>40</v>
      </c>
      <c r="Q397" s="86">
        <f t="shared" si="54"/>
        <v>315</v>
      </c>
      <c r="R397" s="86">
        <f t="shared" si="55"/>
        <v>100</v>
      </c>
      <c r="S397" s="83">
        <f t="shared" si="56"/>
        <v>695</v>
      </c>
      <c r="T397" s="83">
        <f>50</f>
        <v>50</v>
      </c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</row>
    <row r="398" spans="1:30" ht="15.75" x14ac:dyDescent="0.25">
      <c r="A398" s="14">
        <v>53052</v>
      </c>
      <c r="B398" s="96">
        <v>31</v>
      </c>
      <c r="C398" s="83">
        <f>122.58</f>
        <v>122.58</v>
      </c>
      <c r="D398" s="83">
        <f>297.941</f>
        <v>297.94099999999997</v>
      </c>
      <c r="E398" s="92">
        <f>89.177</f>
        <v>89.177000000000007</v>
      </c>
      <c r="F398" s="83">
        <f>240.302-40-60-100</f>
        <v>40.301999999999992</v>
      </c>
      <c r="G398" s="86">
        <v>40</v>
      </c>
      <c r="H398" s="83">
        <f>60+100</f>
        <v>160</v>
      </c>
      <c r="I398" s="83">
        <f t="shared" si="59"/>
        <v>0</v>
      </c>
      <c r="J398" s="86">
        <v>100</v>
      </c>
      <c r="K398" s="86">
        <v>300</v>
      </c>
      <c r="L398" s="83">
        <f t="shared" si="53"/>
        <v>1150</v>
      </c>
      <c r="M398" s="94">
        <v>600</v>
      </c>
      <c r="N398" s="83">
        <f>100</f>
        <v>100</v>
      </c>
      <c r="O398" s="86">
        <v>240</v>
      </c>
      <c r="P398" s="86">
        <v>40</v>
      </c>
      <c r="Q398" s="86">
        <f t="shared" si="54"/>
        <v>315</v>
      </c>
      <c r="R398" s="86">
        <f t="shared" si="55"/>
        <v>100</v>
      </c>
      <c r="S398" s="83">
        <f t="shared" si="56"/>
        <v>695</v>
      </c>
      <c r="T398" s="83">
        <f>50</f>
        <v>50</v>
      </c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</row>
    <row r="399" spans="1:30" ht="15.75" x14ac:dyDescent="0.25">
      <c r="A399" s="14">
        <v>53082</v>
      </c>
      <c r="B399" s="96">
        <v>30</v>
      </c>
      <c r="C399" s="83">
        <f>141.293</f>
        <v>141.29300000000001</v>
      </c>
      <c r="D399" s="83">
        <f>267.993</f>
        <v>267.99299999999999</v>
      </c>
      <c r="E399" s="92">
        <f>115.016</f>
        <v>115.01600000000001</v>
      </c>
      <c r="F399" s="83">
        <f>314.698-40-25-60-100</f>
        <v>89.697999999999979</v>
      </c>
      <c r="G399" s="86">
        <v>40</v>
      </c>
      <c r="H399" s="83">
        <f t="shared" ref="H399:H405" si="62">25+60+100</f>
        <v>185</v>
      </c>
      <c r="I399" s="83">
        <f t="shared" si="59"/>
        <v>0</v>
      </c>
      <c r="J399" s="86">
        <v>100</v>
      </c>
      <c r="K399" s="86">
        <v>300</v>
      </c>
      <c r="L399" s="83">
        <f t="shared" si="53"/>
        <v>1239</v>
      </c>
      <c r="M399" s="94">
        <v>600</v>
      </c>
      <c r="N399" s="83">
        <f>100</f>
        <v>100</v>
      </c>
      <c r="O399" s="86">
        <v>240</v>
      </c>
      <c r="P399" s="86">
        <v>160</v>
      </c>
      <c r="Q399" s="86">
        <f t="shared" si="54"/>
        <v>195</v>
      </c>
      <c r="R399" s="86">
        <f t="shared" si="55"/>
        <v>100</v>
      </c>
      <c r="S399" s="83">
        <f t="shared" si="56"/>
        <v>695</v>
      </c>
      <c r="T399" s="83">
        <f>50</f>
        <v>50</v>
      </c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</row>
    <row r="400" spans="1:30" ht="15.75" x14ac:dyDescent="0.25">
      <c r="A400" s="14">
        <v>53113</v>
      </c>
      <c r="B400" s="96">
        <v>31</v>
      </c>
      <c r="C400" s="83">
        <f>194.205</f>
        <v>194.20500000000001</v>
      </c>
      <c r="D400" s="83">
        <f>267.466</f>
        <v>267.46600000000001</v>
      </c>
      <c r="E400" s="92">
        <f>133.845</f>
        <v>133.845</v>
      </c>
      <c r="F400" s="83">
        <f>278.484-40-25-60-100</f>
        <v>53.48399999999998</v>
      </c>
      <c r="G400" s="86">
        <v>40</v>
      </c>
      <c r="H400" s="83">
        <f t="shared" si="62"/>
        <v>185</v>
      </c>
      <c r="I400" s="83">
        <f t="shared" si="59"/>
        <v>0</v>
      </c>
      <c r="J400" s="86">
        <v>100</v>
      </c>
      <c r="K400" s="86">
        <v>300</v>
      </c>
      <c r="L400" s="83">
        <f t="shared" si="53"/>
        <v>1274</v>
      </c>
      <c r="M400" s="94">
        <v>600</v>
      </c>
      <c r="N400" s="83">
        <f>75</f>
        <v>75</v>
      </c>
      <c r="O400" s="86">
        <v>240</v>
      </c>
      <c r="P400" s="86">
        <v>160</v>
      </c>
      <c r="Q400" s="86">
        <f t="shared" si="54"/>
        <v>195</v>
      </c>
      <c r="R400" s="86">
        <f t="shared" si="55"/>
        <v>100</v>
      </c>
      <c r="S400" s="83">
        <f t="shared" si="56"/>
        <v>695</v>
      </c>
      <c r="T400" s="83">
        <f>50</f>
        <v>50</v>
      </c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</row>
    <row r="401" spans="1:30" ht="15.75" x14ac:dyDescent="0.25">
      <c r="A401" s="14">
        <v>53143</v>
      </c>
      <c r="B401" s="96">
        <v>30</v>
      </c>
      <c r="C401" s="83">
        <f>194.205</f>
        <v>194.20500000000001</v>
      </c>
      <c r="D401" s="83">
        <f>267.466</f>
        <v>267.46600000000001</v>
      </c>
      <c r="E401" s="92">
        <f>133.845</f>
        <v>133.845</v>
      </c>
      <c r="F401" s="83">
        <f>278.484-40-25-60-100</f>
        <v>53.48399999999998</v>
      </c>
      <c r="G401" s="86">
        <v>40</v>
      </c>
      <c r="H401" s="83">
        <f t="shared" si="62"/>
        <v>185</v>
      </c>
      <c r="I401" s="83">
        <f t="shared" si="59"/>
        <v>0</v>
      </c>
      <c r="J401" s="86">
        <v>100</v>
      </c>
      <c r="K401" s="86">
        <v>300</v>
      </c>
      <c r="L401" s="83">
        <f t="shared" si="53"/>
        <v>1274</v>
      </c>
      <c r="M401" s="94">
        <v>600</v>
      </c>
      <c r="N401" s="83">
        <f>30</f>
        <v>30</v>
      </c>
      <c r="O401" s="86">
        <v>240</v>
      </c>
      <c r="P401" s="86">
        <v>160</v>
      </c>
      <c r="Q401" s="86">
        <f t="shared" si="54"/>
        <v>195</v>
      </c>
      <c r="R401" s="86">
        <f t="shared" si="55"/>
        <v>100</v>
      </c>
      <c r="S401" s="83">
        <f t="shared" si="56"/>
        <v>695</v>
      </c>
      <c r="T401" s="83">
        <f>50</f>
        <v>50</v>
      </c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</row>
    <row r="402" spans="1:30" ht="15.75" x14ac:dyDescent="0.25">
      <c r="A402" s="14">
        <v>53174</v>
      </c>
      <c r="B402" s="96">
        <v>31</v>
      </c>
      <c r="C402" s="83">
        <f>194.205</f>
        <v>194.20500000000001</v>
      </c>
      <c r="D402" s="83">
        <f>267.466</f>
        <v>267.46600000000001</v>
      </c>
      <c r="E402" s="92">
        <f>133.845</f>
        <v>133.845</v>
      </c>
      <c r="F402" s="83">
        <f>278.484-40-25-60-100</f>
        <v>53.48399999999998</v>
      </c>
      <c r="G402" s="86">
        <v>40</v>
      </c>
      <c r="H402" s="83">
        <f t="shared" si="62"/>
        <v>185</v>
      </c>
      <c r="I402" s="83">
        <f t="shared" si="59"/>
        <v>0</v>
      </c>
      <c r="J402" s="86">
        <v>100</v>
      </c>
      <c r="K402" s="86">
        <v>300</v>
      </c>
      <c r="L402" s="83">
        <f t="shared" si="53"/>
        <v>1274</v>
      </c>
      <c r="M402" s="94">
        <v>600</v>
      </c>
      <c r="N402" s="83">
        <f>30</f>
        <v>30</v>
      </c>
      <c r="O402" s="86">
        <v>240</v>
      </c>
      <c r="P402" s="86">
        <v>160</v>
      </c>
      <c r="Q402" s="86">
        <f t="shared" si="54"/>
        <v>195</v>
      </c>
      <c r="R402" s="86">
        <f t="shared" si="55"/>
        <v>100</v>
      </c>
      <c r="S402" s="83">
        <f t="shared" si="56"/>
        <v>695</v>
      </c>
      <c r="T402" s="83">
        <f>0</f>
        <v>0</v>
      </c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</row>
    <row r="403" spans="1:30" ht="15.75" x14ac:dyDescent="0.25">
      <c r="A403" s="14">
        <v>53205</v>
      </c>
      <c r="B403" s="96">
        <v>31</v>
      </c>
      <c r="C403" s="83">
        <f>194.205</f>
        <v>194.20500000000001</v>
      </c>
      <c r="D403" s="83">
        <f>267.466</f>
        <v>267.46600000000001</v>
      </c>
      <c r="E403" s="92">
        <f>133.845</f>
        <v>133.845</v>
      </c>
      <c r="F403" s="83">
        <f>278.484-40-25-60-100</f>
        <v>53.48399999999998</v>
      </c>
      <c r="G403" s="86">
        <v>40</v>
      </c>
      <c r="H403" s="83">
        <f t="shared" si="62"/>
        <v>185</v>
      </c>
      <c r="I403" s="83">
        <f t="shared" si="59"/>
        <v>0</v>
      </c>
      <c r="J403" s="86">
        <v>100</v>
      </c>
      <c r="K403" s="86">
        <v>300</v>
      </c>
      <c r="L403" s="83">
        <f t="shared" si="53"/>
        <v>1274</v>
      </c>
      <c r="M403" s="94">
        <v>600</v>
      </c>
      <c r="N403" s="83">
        <f>30</f>
        <v>30</v>
      </c>
      <c r="O403" s="86">
        <v>240</v>
      </c>
      <c r="P403" s="86">
        <v>160</v>
      </c>
      <c r="Q403" s="86">
        <f t="shared" si="54"/>
        <v>195</v>
      </c>
      <c r="R403" s="86">
        <f t="shared" si="55"/>
        <v>100</v>
      </c>
      <c r="S403" s="83">
        <f t="shared" si="56"/>
        <v>695</v>
      </c>
      <c r="T403" s="83">
        <f>0</f>
        <v>0</v>
      </c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</row>
    <row r="404" spans="1:30" ht="15.75" x14ac:dyDescent="0.25">
      <c r="A404" s="14">
        <v>53235</v>
      </c>
      <c r="B404" s="96">
        <v>30</v>
      </c>
      <c r="C404" s="83">
        <f>194.205</f>
        <v>194.20500000000001</v>
      </c>
      <c r="D404" s="83">
        <f>267.466</f>
        <v>267.46600000000001</v>
      </c>
      <c r="E404" s="92">
        <f>133.845</f>
        <v>133.845</v>
      </c>
      <c r="F404" s="83">
        <f>278.484-40-25-60-100</f>
        <v>53.48399999999998</v>
      </c>
      <c r="G404" s="86">
        <v>40</v>
      </c>
      <c r="H404" s="83">
        <f t="shared" si="62"/>
        <v>185</v>
      </c>
      <c r="I404" s="83">
        <f t="shared" si="59"/>
        <v>0</v>
      </c>
      <c r="J404" s="86">
        <v>100</v>
      </c>
      <c r="K404" s="86">
        <v>300</v>
      </c>
      <c r="L404" s="83">
        <f t="shared" si="53"/>
        <v>1274</v>
      </c>
      <c r="M404" s="94">
        <v>600</v>
      </c>
      <c r="N404" s="83">
        <f>30</f>
        <v>30</v>
      </c>
      <c r="O404" s="86">
        <v>240</v>
      </c>
      <c r="P404" s="86">
        <v>160</v>
      </c>
      <c r="Q404" s="86">
        <f t="shared" si="54"/>
        <v>195</v>
      </c>
      <c r="R404" s="86">
        <f t="shared" si="55"/>
        <v>100</v>
      </c>
      <c r="S404" s="83">
        <f t="shared" si="56"/>
        <v>695</v>
      </c>
      <c r="T404" s="83">
        <f>0</f>
        <v>0</v>
      </c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</row>
    <row r="405" spans="1:30" ht="15.75" x14ac:dyDescent="0.25">
      <c r="A405" s="14">
        <v>53266</v>
      </c>
      <c r="B405" s="96">
        <v>31</v>
      </c>
      <c r="C405" s="83">
        <f>131.881</f>
        <v>131.881</v>
      </c>
      <c r="D405" s="83">
        <f>277.167</f>
        <v>277.16699999999997</v>
      </c>
      <c r="E405" s="92">
        <f>79.08</f>
        <v>79.08</v>
      </c>
      <c r="F405" s="83">
        <f>350.872-40-25-60-100</f>
        <v>125.87200000000001</v>
      </c>
      <c r="G405" s="86">
        <v>40</v>
      </c>
      <c r="H405" s="83">
        <f t="shared" si="62"/>
        <v>185</v>
      </c>
      <c r="I405" s="83">
        <f t="shared" si="59"/>
        <v>0</v>
      </c>
      <c r="J405" s="86">
        <v>100</v>
      </c>
      <c r="K405" s="86">
        <v>300</v>
      </c>
      <c r="L405" s="83">
        <f t="shared" si="53"/>
        <v>1239</v>
      </c>
      <c r="M405" s="94">
        <v>600</v>
      </c>
      <c r="N405" s="83">
        <f>75</f>
        <v>75</v>
      </c>
      <c r="O405" s="86">
        <v>240</v>
      </c>
      <c r="P405" s="86">
        <v>160</v>
      </c>
      <c r="Q405" s="86">
        <f t="shared" si="54"/>
        <v>195</v>
      </c>
      <c r="R405" s="86">
        <f t="shared" si="55"/>
        <v>100</v>
      </c>
      <c r="S405" s="83">
        <f t="shared" si="56"/>
        <v>695</v>
      </c>
      <c r="T405" s="83">
        <f>0</f>
        <v>0</v>
      </c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</row>
    <row r="406" spans="1:30" ht="15.75" x14ac:dyDescent="0.25">
      <c r="A406" s="14">
        <v>53296</v>
      </c>
      <c r="B406" s="96">
        <v>30</v>
      </c>
      <c r="C406" s="83">
        <f>122.58</f>
        <v>122.58</v>
      </c>
      <c r="D406" s="83">
        <f>297.941</f>
        <v>297.94099999999997</v>
      </c>
      <c r="E406" s="92">
        <f>89.177</f>
        <v>89.177000000000007</v>
      </c>
      <c r="F406" s="83">
        <f>240.302-40-60-100</f>
        <v>40.301999999999992</v>
      </c>
      <c r="G406" s="86">
        <v>40</v>
      </c>
      <c r="H406" s="83">
        <f>60+100</f>
        <v>160</v>
      </c>
      <c r="I406" s="83">
        <f t="shared" si="59"/>
        <v>0</v>
      </c>
      <c r="J406" s="86">
        <v>100</v>
      </c>
      <c r="K406" s="86">
        <v>300</v>
      </c>
      <c r="L406" s="83">
        <f t="shared" si="53"/>
        <v>1150</v>
      </c>
      <c r="M406" s="94">
        <v>600</v>
      </c>
      <c r="N406" s="83">
        <f>100</f>
        <v>100</v>
      </c>
      <c r="O406" s="86">
        <v>240</v>
      </c>
      <c r="P406" s="86">
        <v>40</v>
      </c>
      <c r="Q406" s="86">
        <f t="shared" si="54"/>
        <v>315</v>
      </c>
      <c r="R406" s="86">
        <f t="shared" si="55"/>
        <v>100</v>
      </c>
      <c r="S406" s="83">
        <f t="shared" si="56"/>
        <v>695</v>
      </c>
      <c r="T406" s="83">
        <f>50</f>
        <v>50</v>
      </c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</row>
    <row r="407" spans="1:30" ht="15.75" x14ac:dyDescent="0.25">
      <c r="A407" s="14">
        <v>53327</v>
      </c>
      <c r="B407" s="96">
        <v>31</v>
      </c>
      <c r="C407" s="83">
        <f>122.58</f>
        <v>122.58</v>
      </c>
      <c r="D407" s="83">
        <f>297.941</f>
        <v>297.94099999999997</v>
      </c>
      <c r="E407" s="92">
        <f>89.177</f>
        <v>89.177000000000007</v>
      </c>
      <c r="F407" s="83">
        <f>240.302-40-60-100</f>
        <v>40.301999999999992</v>
      </c>
      <c r="G407" s="86">
        <v>40</v>
      </c>
      <c r="H407" s="83">
        <f>60+100</f>
        <v>160</v>
      </c>
      <c r="I407" s="83">
        <f t="shared" si="59"/>
        <v>0</v>
      </c>
      <c r="J407" s="86">
        <v>100</v>
      </c>
      <c r="K407" s="86">
        <v>300</v>
      </c>
      <c r="L407" s="83">
        <f t="shared" ref="L407:L470" si="63">SUM(C407:K407)</f>
        <v>1150</v>
      </c>
      <c r="M407" s="94">
        <v>600</v>
      </c>
      <c r="N407" s="83">
        <f>100</f>
        <v>100</v>
      </c>
      <c r="O407" s="86">
        <v>240</v>
      </c>
      <c r="P407" s="86">
        <v>40</v>
      </c>
      <c r="Q407" s="86">
        <f t="shared" ref="Q407:Q470" si="64">695-R407-O407-P407</f>
        <v>315</v>
      </c>
      <c r="R407" s="86">
        <f t="shared" ref="R407:R470" si="65">200-J407</f>
        <v>100</v>
      </c>
      <c r="S407" s="83">
        <f t="shared" ref="S407:S470" si="66">SUM(O407:R407)</f>
        <v>695</v>
      </c>
      <c r="T407" s="83">
        <f>50</f>
        <v>50</v>
      </c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</row>
    <row r="408" spans="1:30" ht="15.75" x14ac:dyDescent="0.25">
      <c r="A408" s="14">
        <v>53358</v>
      </c>
      <c r="B408" s="96">
        <v>31</v>
      </c>
      <c r="C408" s="83">
        <f>122.58</f>
        <v>122.58</v>
      </c>
      <c r="D408" s="83">
        <f>297.941</f>
        <v>297.94099999999997</v>
      </c>
      <c r="E408" s="92">
        <f>89.177</f>
        <v>89.177000000000007</v>
      </c>
      <c r="F408" s="83">
        <f>240.302-40-60-100</f>
        <v>40.301999999999992</v>
      </c>
      <c r="G408" s="86">
        <v>40</v>
      </c>
      <c r="H408" s="83">
        <f>60+100</f>
        <v>160</v>
      </c>
      <c r="I408" s="83">
        <f t="shared" si="59"/>
        <v>0</v>
      </c>
      <c r="J408" s="86">
        <v>100</v>
      </c>
      <c r="K408" s="86">
        <v>300</v>
      </c>
      <c r="L408" s="83">
        <f t="shared" si="63"/>
        <v>1150</v>
      </c>
      <c r="M408" s="94">
        <v>600</v>
      </c>
      <c r="N408" s="83">
        <f>100</f>
        <v>100</v>
      </c>
      <c r="O408" s="86">
        <v>240</v>
      </c>
      <c r="P408" s="86">
        <v>40</v>
      </c>
      <c r="Q408" s="86">
        <f t="shared" si="64"/>
        <v>315</v>
      </c>
      <c r="R408" s="86">
        <f t="shared" si="65"/>
        <v>100</v>
      </c>
      <c r="S408" s="83">
        <f t="shared" si="66"/>
        <v>695</v>
      </c>
      <c r="T408" s="83">
        <f>50</f>
        <v>50</v>
      </c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</row>
    <row r="409" spans="1:30" ht="15.75" x14ac:dyDescent="0.25">
      <c r="A409" s="14">
        <v>53386</v>
      </c>
      <c r="B409" s="96">
        <v>28</v>
      </c>
      <c r="C409" s="83">
        <f>122.58</f>
        <v>122.58</v>
      </c>
      <c r="D409" s="83">
        <f>297.941</f>
        <v>297.94099999999997</v>
      </c>
      <c r="E409" s="92">
        <f>89.177</f>
        <v>89.177000000000007</v>
      </c>
      <c r="F409" s="83">
        <f>240.302-40-60-100</f>
        <v>40.301999999999992</v>
      </c>
      <c r="G409" s="86">
        <v>40</v>
      </c>
      <c r="H409" s="83">
        <f>60+100</f>
        <v>160</v>
      </c>
      <c r="I409" s="83">
        <f t="shared" si="59"/>
        <v>0</v>
      </c>
      <c r="J409" s="86">
        <v>100</v>
      </c>
      <c r="K409" s="86">
        <v>300</v>
      </c>
      <c r="L409" s="83">
        <f t="shared" si="63"/>
        <v>1150</v>
      </c>
      <c r="M409" s="94">
        <v>600</v>
      </c>
      <c r="N409" s="83">
        <f>100</f>
        <v>100</v>
      </c>
      <c r="O409" s="86">
        <v>240</v>
      </c>
      <c r="P409" s="86">
        <v>40</v>
      </c>
      <c r="Q409" s="86">
        <f t="shared" si="64"/>
        <v>315</v>
      </c>
      <c r="R409" s="86">
        <f t="shared" si="65"/>
        <v>100</v>
      </c>
      <c r="S409" s="83">
        <f t="shared" si="66"/>
        <v>695</v>
      </c>
      <c r="T409" s="83">
        <f>50</f>
        <v>50</v>
      </c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</row>
    <row r="410" spans="1:30" ht="15.75" x14ac:dyDescent="0.25">
      <c r="A410" s="14">
        <v>53417</v>
      </c>
      <c r="B410" s="96">
        <v>31</v>
      </c>
      <c r="C410" s="83">
        <f>122.58</f>
        <v>122.58</v>
      </c>
      <c r="D410" s="83">
        <f>297.941</f>
        <v>297.94099999999997</v>
      </c>
      <c r="E410" s="92">
        <f>89.177</f>
        <v>89.177000000000007</v>
      </c>
      <c r="F410" s="83">
        <f>240.302-40-60-100</f>
        <v>40.301999999999992</v>
      </c>
      <c r="G410" s="86">
        <v>40</v>
      </c>
      <c r="H410" s="83">
        <f>60+100</f>
        <v>160</v>
      </c>
      <c r="I410" s="83">
        <f t="shared" si="59"/>
        <v>0</v>
      </c>
      <c r="J410" s="86">
        <v>100</v>
      </c>
      <c r="K410" s="86">
        <v>300</v>
      </c>
      <c r="L410" s="83">
        <f t="shared" si="63"/>
        <v>1150</v>
      </c>
      <c r="M410" s="94">
        <v>600</v>
      </c>
      <c r="N410" s="83">
        <f>100</f>
        <v>100</v>
      </c>
      <c r="O410" s="86">
        <v>240</v>
      </c>
      <c r="P410" s="86">
        <v>40</v>
      </c>
      <c r="Q410" s="86">
        <f t="shared" si="64"/>
        <v>315</v>
      </c>
      <c r="R410" s="86">
        <f t="shared" si="65"/>
        <v>100</v>
      </c>
      <c r="S410" s="83">
        <f t="shared" si="66"/>
        <v>695</v>
      </c>
      <c r="T410" s="83">
        <f>50</f>
        <v>50</v>
      </c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</row>
    <row r="411" spans="1:30" ht="15.75" x14ac:dyDescent="0.25">
      <c r="A411" s="14">
        <v>53447</v>
      </c>
      <c r="B411" s="96">
        <v>30</v>
      </c>
      <c r="C411" s="83">
        <f>141.293</f>
        <v>141.29300000000001</v>
      </c>
      <c r="D411" s="83">
        <f>267.993</f>
        <v>267.99299999999999</v>
      </c>
      <c r="E411" s="92">
        <f>115.016</f>
        <v>115.01600000000001</v>
      </c>
      <c r="F411" s="83">
        <f>314.698-40-25-60-100</f>
        <v>89.697999999999979</v>
      </c>
      <c r="G411" s="86">
        <v>40</v>
      </c>
      <c r="H411" s="83">
        <f t="shared" ref="H411:H417" si="67">25+60+100</f>
        <v>185</v>
      </c>
      <c r="I411" s="83">
        <f t="shared" si="59"/>
        <v>0</v>
      </c>
      <c r="J411" s="86">
        <v>100</v>
      </c>
      <c r="K411" s="86">
        <v>300</v>
      </c>
      <c r="L411" s="83">
        <f t="shared" si="63"/>
        <v>1239</v>
      </c>
      <c r="M411" s="94">
        <v>600</v>
      </c>
      <c r="N411" s="83">
        <f>100</f>
        <v>100</v>
      </c>
      <c r="O411" s="86">
        <v>240</v>
      </c>
      <c r="P411" s="86">
        <v>160</v>
      </c>
      <c r="Q411" s="86">
        <f t="shared" si="64"/>
        <v>195</v>
      </c>
      <c r="R411" s="86">
        <f t="shared" si="65"/>
        <v>100</v>
      </c>
      <c r="S411" s="83">
        <f t="shared" si="66"/>
        <v>695</v>
      </c>
      <c r="T411" s="83">
        <f>50</f>
        <v>50</v>
      </c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</row>
    <row r="412" spans="1:30" ht="15.75" x14ac:dyDescent="0.25">
      <c r="A412" s="14">
        <v>53478</v>
      </c>
      <c r="B412" s="96">
        <v>31</v>
      </c>
      <c r="C412" s="83">
        <f>194.205</f>
        <v>194.20500000000001</v>
      </c>
      <c r="D412" s="83">
        <f>267.466</f>
        <v>267.46600000000001</v>
      </c>
      <c r="E412" s="92">
        <f>133.845</f>
        <v>133.845</v>
      </c>
      <c r="F412" s="83">
        <f>278.484-40-25-60-100</f>
        <v>53.48399999999998</v>
      </c>
      <c r="G412" s="86">
        <v>40</v>
      </c>
      <c r="H412" s="83">
        <f t="shared" si="67"/>
        <v>185</v>
      </c>
      <c r="I412" s="83">
        <f t="shared" si="59"/>
        <v>0</v>
      </c>
      <c r="J412" s="86">
        <v>100</v>
      </c>
      <c r="K412" s="86">
        <v>300</v>
      </c>
      <c r="L412" s="83">
        <f t="shared" si="63"/>
        <v>1274</v>
      </c>
      <c r="M412" s="94">
        <v>600</v>
      </c>
      <c r="N412" s="83">
        <f>75</f>
        <v>75</v>
      </c>
      <c r="O412" s="86">
        <v>240</v>
      </c>
      <c r="P412" s="86">
        <v>160</v>
      </c>
      <c r="Q412" s="86">
        <f t="shared" si="64"/>
        <v>195</v>
      </c>
      <c r="R412" s="86">
        <f t="shared" si="65"/>
        <v>100</v>
      </c>
      <c r="S412" s="83">
        <f t="shared" si="66"/>
        <v>695</v>
      </c>
      <c r="T412" s="83">
        <f>50</f>
        <v>50</v>
      </c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</row>
    <row r="413" spans="1:30" ht="15.75" x14ac:dyDescent="0.25">
      <c r="A413" s="14">
        <v>53508</v>
      </c>
      <c r="B413" s="96">
        <v>30</v>
      </c>
      <c r="C413" s="83">
        <f>194.205</f>
        <v>194.20500000000001</v>
      </c>
      <c r="D413" s="83">
        <f>267.466</f>
        <v>267.46600000000001</v>
      </c>
      <c r="E413" s="92">
        <f>133.845</f>
        <v>133.845</v>
      </c>
      <c r="F413" s="83">
        <f>278.484-40-25-60-100</f>
        <v>53.48399999999998</v>
      </c>
      <c r="G413" s="86">
        <v>40</v>
      </c>
      <c r="H413" s="83">
        <f t="shared" si="67"/>
        <v>185</v>
      </c>
      <c r="I413" s="83">
        <f t="shared" si="59"/>
        <v>0</v>
      </c>
      <c r="J413" s="86">
        <v>100</v>
      </c>
      <c r="K413" s="86">
        <v>300</v>
      </c>
      <c r="L413" s="83">
        <f t="shared" si="63"/>
        <v>1274</v>
      </c>
      <c r="M413" s="94">
        <v>600</v>
      </c>
      <c r="N413" s="83">
        <f>30</f>
        <v>30</v>
      </c>
      <c r="O413" s="86">
        <v>240</v>
      </c>
      <c r="P413" s="86">
        <v>160</v>
      </c>
      <c r="Q413" s="86">
        <f t="shared" si="64"/>
        <v>195</v>
      </c>
      <c r="R413" s="86">
        <f t="shared" si="65"/>
        <v>100</v>
      </c>
      <c r="S413" s="83">
        <f t="shared" si="66"/>
        <v>695</v>
      </c>
      <c r="T413" s="83">
        <f>50</f>
        <v>50</v>
      </c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</row>
    <row r="414" spans="1:30" ht="15.75" x14ac:dyDescent="0.25">
      <c r="A414" s="14">
        <v>53539</v>
      </c>
      <c r="B414" s="96">
        <v>31</v>
      </c>
      <c r="C414" s="83">
        <f>194.205</f>
        <v>194.20500000000001</v>
      </c>
      <c r="D414" s="83">
        <f>267.466</f>
        <v>267.46600000000001</v>
      </c>
      <c r="E414" s="92">
        <f>133.845</f>
        <v>133.845</v>
      </c>
      <c r="F414" s="83">
        <f>278.484-40-25-60-100</f>
        <v>53.48399999999998</v>
      </c>
      <c r="G414" s="86">
        <v>40</v>
      </c>
      <c r="H414" s="83">
        <f t="shared" si="67"/>
        <v>185</v>
      </c>
      <c r="I414" s="83">
        <f t="shared" si="59"/>
        <v>0</v>
      </c>
      <c r="J414" s="86">
        <v>100</v>
      </c>
      <c r="K414" s="86">
        <v>300</v>
      </c>
      <c r="L414" s="83">
        <f t="shared" si="63"/>
        <v>1274</v>
      </c>
      <c r="M414" s="94">
        <v>600</v>
      </c>
      <c r="N414" s="83">
        <f>30</f>
        <v>30</v>
      </c>
      <c r="O414" s="86">
        <v>240</v>
      </c>
      <c r="P414" s="86">
        <v>160</v>
      </c>
      <c r="Q414" s="86">
        <f t="shared" si="64"/>
        <v>195</v>
      </c>
      <c r="R414" s="86">
        <f t="shared" si="65"/>
        <v>100</v>
      </c>
      <c r="S414" s="83">
        <f t="shared" si="66"/>
        <v>695</v>
      </c>
      <c r="T414" s="83">
        <f>0</f>
        <v>0</v>
      </c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</row>
    <row r="415" spans="1:30" ht="15.75" x14ac:dyDescent="0.25">
      <c r="A415" s="14">
        <v>53570</v>
      </c>
      <c r="B415" s="96">
        <v>31</v>
      </c>
      <c r="C415" s="83">
        <f>194.205</f>
        <v>194.20500000000001</v>
      </c>
      <c r="D415" s="83">
        <f>267.466</f>
        <v>267.46600000000001</v>
      </c>
      <c r="E415" s="92">
        <f>133.845</f>
        <v>133.845</v>
      </c>
      <c r="F415" s="83">
        <f>278.484-40-25-60-100</f>
        <v>53.48399999999998</v>
      </c>
      <c r="G415" s="86">
        <v>40</v>
      </c>
      <c r="H415" s="83">
        <f t="shared" si="67"/>
        <v>185</v>
      </c>
      <c r="I415" s="83">
        <f t="shared" si="59"/>
        <v>0</v>
      </c>
      <c r="J415" s="86">
        <v>100</v>
      </c>
      <c r="K415" s="86">
        <v>300</v>
      </c>
      <c r="L415" s="83">
        <f t="shared" si="63"/>
        <v>1274</v>
      </c>
      <c r="M415" s="94">
        <v>600</v>
      </c>
      <c r="N415" s="83">
        <f>30</f>
        <v>30</v>
      </c>
      <c r="O415" s="86">
        <v>240</v>
      </c>
      <c r="P415" s="86">
        <v>160</v>
      </c>
      <c r="Q415" s="86">
        <f t="shared" si="64"/>
        <v>195</v>
      </c>
      <c r="R415" s="86">
        <f t="shared" si="65"/>
        <v>100</v>
      </c>
      <c r="S415" s="83">
        <f t="shared" si="66"/>
        <v>695</v>
      </c>
      <c r="T415" s="83">
        <f>0</f>
        <v>0</v>
      </c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</row>
    <row r="416" spans="1:30" ht="15.75" x14ac:dyDescent="0.25">
      <c r="A416" s="14">
        <v>53600</v>
      </c>
      <c r="B416" s="96">
        <v>30</v>
      </c>
      <c r="C416" s="83">
        <f>194.205</f>
        <v>194.20500000000001</v>
      </c>
      <c r="D416" s="83">
        <f>267.466</f>
        <v>267.46600000000001</v>
      </c>
      <c r="E416" s="92">
        <f>133.845</f>
        <v>133.845</v>
      </c>
      <c r="F416" s="83">
        <f>278.484-40-25-60-100</f>
        <v>53.48399999999998</v>
      </c>
      <c r="G416" s="86">
        <v>40</v>
      </c>
      <c r="H416" s="83">
        <f t="shared" si="67"/>
        <v>185</v>
      </c>
      <c r="I416" s="83">
        <f t="shared" si="59"/>
        <v>0</v>
      </c>
      <c r="J416" s="86">
        <v>100</v>
      </c>
      <c r="K416" s="86">
        <v>300</v>
      </c>
      <c r="L416" s="83">
        <f t="shared" si="63"/>
        <v>1274</v>
      </c>
      <c r="M416" s="94">
        <v>600</v>
      </c>
      <c r="N416" s="83">
        <f>30</f>
        <v>30</v>
      </c>
      <c r="O416" s="86">
        <v>240</v>
      </c>
      <c r="P416" s="86">
        <v>160</v>
      </c>
      <c r="Q416" s="86">
        <f t="shared" si="64"/>
        <v>195</v>
      </c>
      <c r="R416" s="86">
        <f t="shared" si="65"/>
        <v>100</v>
      </c>
      <c r="S416" s="83">
        <f t="shared" si="66"/>
        <v>695</v>
      </c>
      <c r="T416" s="83">
        <f>0</f>
        <v>0</v>
      </c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</row>
    <row r="417" spans="1:30" ht="15.75" x14ac:dyDescent="0.25">
      <c r="A417" s="14">
        <v>53631</v>
      </c>
      <c r="B417" s="96">
        <v>31</v>
      </c>
      <c r="C417" s="83">
        <f>131.881</f>
        <v>131.881</v>
      </c>
      <c r="D417" s="83">
        <f>277.167</f>
        <v>277.16699999999997</v>
      </c>
      <c r="E417" s="92">
        <f>79.08</f>
        <v>79.08</v>
      </c>
      <c r="F417" s="83">
        <f>350.872-40-25-60-100</f>
        <v>125.87200000000001</v>
      </c>
      <c r="G417" s="86">
        <v>40</v>
      </c>
      <c r="H417" s="83">
        <f t="shared" si="67"/>
        <v>185</v>
      </c>
      <c r="I417" s="83">
        <f t="shared" si="59"/>
        <v>0</v>
      </c>
      <c r="J417" s="86">
        <v>100</v>
      </c>
      <c r="K417" s="86">
        <v>300</v>
      </c>
      <c r="L417" s="83">
        <f t="shared" si="63"/>
        <v>1239</v>
      </c>
      <c r="M417" s="94">
        <v>600</v>
      </c>
      <c r="N417" s="83">
        <f>75</f>
        <v>75</v>
      </c>
      <c r="O417" s="86">
        <v>240</v>
      </c>
      <c r="P417" s="86">
        <v>160</v>
      </c>
      <c r="Q417" s="86">
        <f t="shared" si="64"/>
        <v>195</v>
      </c>
      <c r="R417" s="86">
        <f t="shared" si="65"/>
        <v>100</v>
      </c>
      <c r="S417" s="83">
        <f t="shared" si="66"/>
        <v>695</v>
      </c>
      <c r="T417" s="83">
        <f>0</f>
        <v>0</v>
      </c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</row>
    <row r="418" spans="1:30" ht="15.75" x14ac:dyDescent="0.25">
      <c r="A418" s="14">
        <v>53661</v>
      </c>
      <c r="B418" s="96">
        <v>30</v>
      </c>
      <c r="C418" s="83">
        <f>122.58</f>
        <v>122.58</v>
      </c>
      <c r="D418" s="83">
        <f>297.941</f>
        <v>297.94099999999997</v>
      </c>
      <c r="E418" s="92">
        <f>89.177</f>
        <v>89.177000000000007</v>
      </c>
      <c r="F418" s="83">
        <f>240.302-40-60-100</f>
        <v>40.301999999999992</v>
      </c>
      <c r="G418" s="86">
        <v>40</v>
      </c>
      <c r="H418" s="83">
        <f>60+100</f>
        <v>160</v>
      </c>
      <c r="I418" s="83">
        <f t="shared" si="59"/>
        <v>0</v>
      </c>
      <c r="J418" s="86">
        <v>100</v>
      </c>
      <c r="K418" s="86">
        <v>300</v>
      </c>
      <c r="L418" s="83">
        <f t="shared" si="63"/>
        <v>1150</v>
      </c>
      <c r="M418" s="94">
        <v>600</v>
      </c>
      <c r="N418" s="83">
        <f>100</f>
        <v>100</v>
      </c>
      <c r="O418" s="86">
        <v>240</v>
      </c>
      <c r="P418" s="86">
        <v>40</v>
      </c>
      <c r="Q418" s="86">
        <f t="shared" si="64"/>
        <v>315</v>
      </c>
      <c r="R418" s="86">
        <f t="shared" si="65"/>
        <v>100</v>
      </c>
      <c r="S418" s="83">
        <f t="shared" si="66"/>
        <v>695</v>
      </c>
      <c r="T418" s="83">
        <f>50</f>
        <v>50</v>
      </c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</row>
    <row r="419" spans="1:30" ht="15.75" x14ac:dyDescent="0.25">
      <c r="A419" s="14">
        <v>53692</v>
      </c>
      <c r="B419" s="96">
        <v>31</v>
      </c>
      <c r="C419" s="83">
        <f>122.58</f>
        <v>122.58</v>
      </c>
      <c r="D419" s="83">
        <f>297.941</f>
        <v>297.94099999999997</v>
      </c>
      <c r="E419" s="92">
        <f>89.177</f>
        <v>89.177000000000007</v>
      </c>
      <c r="F419" s="83">
        <f>240.302-40-60-100</f>
        <v>40.301999999999992</v>
      </c>
      <c r="G419" s="86">
        <v>40</v>
      </c>
      <c r="H419" s="83">
        <f>60+100</f>
        <v>160</v>
      </c>
      <c r="I419" s="83">
        <f t="shared" si="59"/>
        <v>0</v>
      </c>
      <c r="J419" s="86">
        <v>100</v>
      </c>
      <c r="K419" s="86">
        <v>300</v>
      </c>
      <c r="L419" s="83">
        <f t="shared" si="63"/>
        <v>1150</v>
      </c>
      <c r="M419" s="94">
        <v>600</v>
      </c>
      <c r="N419" s="83">
        <f>100</f>
        <v>100</v>
      </c>
      <c r="O419" s="86">
        <v>240</v>
      </c>
      <c r="P419" s="86">
        <v>40</v>
      </c>
      <c r="Q419" s="86">
        <f t="shared" si="64"/>
        <v>315</v>
      </c>
      <c r="R419" s="86">
        <f t="shared" si="65"/>
        <v>100</v>
      </c>
      <c r="S419" s="83">
        <f t="shared" si="66"/>
        <v>695</v>
      </c>
      <c r="T419" s="83">
        <f>50</f>
        <v>50</v>
      </c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</row>
    <row r="420" spans="1:30" ht="15.75" x14ac:dyDescent="0.25">
      <c r="A420" s="14">
        <v>53723</v>
      </c>
      <c r="B420" s="96">
        <v>31</v>
      </c>
      <c r="C420" s="83">
        <f>122.58</f>
        <v>122.58</v>
      </c>
      <c r="D420" s="83">
        <f>297.941</f>
        <v>297.94099999999997</v>
      </c>
      <c r="E420" s="92">
        <f>89.177</f>
        <v>89.177000000000007</v>
      </c>
      <c r="F420" s="83">
        <f>240.302-40-60-100</f>
        <v>40.301999999999992</v>
      </c>
      <c r="G420" s="86">
        <v>40</v>
      </c>
      <c r="H420" s="83">
        <f>60+100</f>
        <v>160</v>
      </c>
      <c r="I420" s="83">
        <f t="shared" si="59"/>
        <v>0</v>
      </c>
      <c r="J420" s="86">
        <v>100</v>
      </c>
      <c r="K420" s="86">
        <v>300</v>
      </c>
      <c r="L420" s="83">
        <f t="shared" si="63"/>
        <v>1150</v>
      </c>
      <c r="M420" s="94">
        <v>600</v>
      </c>
      <c r="N420" s="83">
        <f>100</f>
        <v>100</v>
      </c>
      <c r="O420" s="86">
        <v>240</v>
      </c>
      <c r="P420" s="86">
        <v>40</v>
      </c>
      <c r="Q420" s="86">
        <f t="shared" si="64"/>
        <v>315</v>
      </c>
      <c r="R420" s="86">
        <f t="shared" si="65"/>
        <v>100</v>
      </c>
      <c r="S420" s="83">
        <f t="shared" si="66"/>
        <v>695</v>
      </c>
      <c r="T420" s="83">
        <f>50</f>
        <v>50</v>
      </c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</row>
    <row r="421" spans="1:30" ht="15.75" x14ac:dyDescent="0.25">
      <c r="A421" s="14">
        <v>53751</v>
      </c>
      <c r="B421" s="96">
        <v>28</v>
      </c>
      <c r="C421" s="83">
        <f>122.58</f>
        <v>122.58</v>
      </c>
      <c r="D421" s="83">
        <f>297.941</f>
        <v>297.94099999999997</v>
      </c>
      <c r="E421" s="92">
        <f>89.177</f>
        <v>89.177000000000007</v>
      </c>
      <c r="F421" s="83">
        <f>240.302-40-60-100</f>
        <v>40.301999999999992</v>
      </c>
      <c r="G421" s="86">
        <v>40</v>
      </c>
      <c r="H421" s="83">
        <f>60+100</f>
        <v>160</v>
      </c>
      <c r="I421" s="83">
        <f t="shared" si="59"/>
        <v>0</v>
      </c>
      <c r="J421" s="86">
        <v>100</v>
      </c>
      <c r="K421" s="86">
        <v>300</v>
      </c>
      <c r="L421" s="83">
        <f t="shared" si="63"/>
        <v>1150</v>
      </c>
      <c r="M421" s="94">
        <v>600</v>
      </c>
      <c r="N421" s="83">
        <f>100</f>
        <v>100</v>
      </c>
      <c r="O421" s="86">
        <v>240</v>
      </c>
      <c r="P421" s="86">
        <v>40</v>
      </c>
      <c r="Q421" s="86">
        <f t="shared" si="64"/>
        <v>315</v>
      </c>
      <c r="R421" s="86">
        <f t="shared" si="65"/>
        <v>100</v>
      </c>
      <c r="S421" s="83">
        <f t="shared" si="66"/>
        <v>695</v>
      </c>
      <c r="T421" s="83">
        <f>50</f>
        <v>50</v>
      </c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</row>
    <row r="422" spans="1:30" ht="15.75" x14ac:dyDescent="0.25">
      <c r="A422" s="14">
        <v>53782</v>
      </c>
      <c r="B422" s="96">
        <v>31</v>
      </c>
      <c r="C422" s="83">
        <f>122.58</f>
        <v>122.58</v>
      </c>
      <c r="D422" s="83">
        <f>297.941</f>
        <v>297.94099999999997</v>
      </c>
      <c r="E422" s="92">
        <f>89.177</f>
        <v>89.177000000000007</v>
      </c>
      <c r="F422" s="83">
        <f>240.302-40-60-100</f>
        <v>40.301999999999992</v>
      </c>
      <c r="G422" s="86">
        <v>40</v>
      </c>
      <c r="H422" s="83">
        <f>60+100</f>
        <v>160</v>
      </c>
      <c r="I422" s="83">
        <f t="shared" si="59"/>
        <v>0</v>
      </c>
      <c r="J422" s="86">
        <v>100</v>
      </c>
      <c r="K422" s="86">
        <v>300</v>
      </c>
      <c r="L422" s="83">
        <f t="shared" si="63"/>
        <v>1150</v>
      </c>
      <c r="M422" s="94">
        <v>600</v>
      </c>
      <c r="N422" s="83">
        <f>100</f>
        <v>100</v>
      </c>
      <c r="O422" s="86">
        <v>240</v>
      </c>
      <c r="P422" s="86">
        <v>40</v>
      </c>
      <c r="Q422" s="86">
        <f t="shared" si="64"/>
        <v>315</v>
      </c>
      <c r="R422" s="86">
        <f t="shared" si="65"/>
        <v>100</v>
      </c>
      <c r="S422" s="83">
        <f t="shared" si="66"/>
        <v>695</v>
      </c>
      <c r="T422" s="83">
        <f>50</f>
        <v>50</v>
      </c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</row>
    <row r="423" spans="1:30" ht="15.75" x14ac:dyDescent="0.25">
      <c r="A423" s="14">
        <v>53812</v>
      </c>
      <c r="B423" s="96">
        <v>30</v>
      </c>
      <c r="C423" s="83">
        <f>141.293</f>
        <v>141.29300000000001</v>
      </c>
      <c r="D423" s="83">
        <f>267.993</f>
        <v>267.99299999999999</v>
      </c>
      <c r="E423" s="92">
        <f>115.016</f>
        <v>115.01600000000001</v>
      </c>
      <c r="F423" s="83">
        <f>314.698-40-25-60-100</f>
        <v>89.697999999999979</v>
      </c>
      <c r="G423" s="86">
        <v>40</v>
      </c>
      <c r="H423" s="83">
        <f t="shared" ref="H423:H429" si="68">25+60+100</f>
        <v>185</v>
      </c>
      <c r="I423" s="83">
        <f t="shared" si="59"/>
        <v>0</v>
      </c>
      <c r="J423" s="86">
        <v>100</v>
      </c>
      <c r="K423" s="86">
        <v>300</v>
      </c>
      <c r="L423" s="83">
        <f t="shared" si="63"/>
        <v>1239</v>
      </c>
      <c r="M423" s="94">
        <v>600</v>
      </c>
      <c r="N423" s="83">
        <f>100</f>
        <v>100</v>
      </c>
      <c r="O423" s="86">
        <v>240</v>
      </c>
      <c r="P423" s="86">
        <v>160</v>
      </c>
      <c r="Q423" s="86">
        <f t="shared" si="64"/>
        <v>195</v>
      </c>
      <c r="R423" s="86">
        <f t="shared" si="65"/>
        <v>100</v>
      </c>
      <c r="S423" s="83">
        <f t="shared" si="66"/>
        <v>695</v>
      </c>
      <c r="T423" s="83">
        <f>50</f>
        <v>50</v>
      </c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</row>
    <row r="424" spans="1:30" ht="15.75" x14ac:dyDescent="0.25">
      <c r="A424" s="14">
        <v>53843</v>
      </c>
      <c r="B424" s="96">
        <v>31</v>
      </c>
      <c r="C424" s="83">
        <f>194.205</f>
        <v>194.20500000000001</v>
      </c>
      <c r="D424" s="83">
        <f>267.466</f>
        <v>267.46600000000001</v>
      </c>
      <c r="E424" s="92">
        <f>133.845</f>
        <v>133.845</v>
      </c>
      <c r="F424" s="83">
        <f>278.484-40-25-60-100</f>
        <v>53.48399999999998</v>
      </c>
      <c r="G424" s="86">
        <v>40</v>
      </c>
      <c r="H424" s="83">
        <f t="shared" si="68"/>
        <v>185</v>
      </c>
      <c r="I424" s="83">
        <f t="shared" si="59"/>
        <v>0</v>
      </c>
      <c r="J424" s="86">
        <v>100</v>
      </c>
      <c r="K424" s="86">
        <v>300</v>
      </c>
      <c r="L424" s="83">
        <f t="shared" si="63"/>
        <v>1274</v>
      </c>
      <c r="M424" s="94">
        <v>600</v>
      </c>
      <c r="N424" s="83">
        <f>75</f>
        <v>75</v>
      </c>
      <c r="O424" s="86">
        <v>240</v>
      </c>
      <c r="P424" s="86">
        <v>160</v>
      </c>
      <c r="Q424" s="86">
        <f t="shared" si="64"/>
        <v>195</v>
      </c>
      <c r="R424" s="86">
        <f t="shared" si="65"/>
        <v>100</v>
      </c>
      <c r="S424" s="83">
        <f t="shared" si="66"/>
        <v>695</v>
      </c>
      <c r="T424" s="83">
        <f>50</f>
        <v>50</v>
      </c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</row>
    <row r="425" spans="1:30" ht="15.75" x14ac:dyDescent="0.25">
      <c r="A425" s="14">
        <v>53873</v>
      </c>
      <c r="B425" s="96">
        <v>30</v>
      </c>
      <c r="C425" s="83">
        <f>194.205</f>
        <v>194.20500000000001</v>
      </c>
      <c r="D425" s="83">
        <f>267.466</f>
        <v>267.46600000000001</v>
      </c>
      <c r="E425" s="92">
        <f>133.845</f>
        <v>133.845</v>
      </c>
      <c r="F425" s="83">
        <f>278.484-40-25-60-100</f>
        <v>53.48399999999998</v>
      </c>
      <c r="G425" s="86">
        <v>40</v>
      </c>
      <c r="H425" s="83">
        <f t="shared" si="68"/>
        <v>185</v>
      </c>
      <c r="I425" s="83">
        <f t="shared" si="59"/>
        <v>0</v>
      </c>
      <c r="J425" s="86">
        <v>100</v>
      </c>
      <c r="K425" s="86">
        <v>300</v>
      </c>
      <c r="L425" s="83">
        <f t="shared" si="63"/>
        <v>1274</v>
      </c>
      <c r="M425" s="94">
        <v>600</v>
      </c>
      <c r="N425" s="83">
        <f>30</f>
        <v>30</v>
      </c>
      <c r="O425" s="86">
        <v>240</v>
      </c>
      <c r="P425" s="86">
        <v>160</v>
      </c>
      <c r="Q425" s="86">
        <f t="shared" si="64"/>
        <v>195</v>
      </c>
      <c r="R425" s="86">
        <f t="shared" si="65"/>
        <v>100</v>
      </c>
      <c r="S425" s="83">
        <f t="shared" si="66"/>
        <v>695</v>
      </c>
      <c r="T425" s="83">
        <f>50</f>
        <v>50</v>
      </c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</row>
    <row r="426" spans="1:30" ht="15.75" x14ac:dyDescent="0.25">
      <c r="A426" s="14">
        <v>53904</v>
      </c>
      <c r="B426" s="96">
        <v>31</v>
      </c>
      <c r="C426" s="83">
        <f>194.205</f>
        <v>194.20500000000001</v>
      </c>
      <c r="D426" s="83">
        <f>267.466</f>
        <v>267.46600000000001</v>
      </c>
      <c r="E426" s="92">
        <f>133.845</f>
        <v>133.845</v>
      </c>
      <c r="F426" s="83">
        <f>278.484-40-25-60-100</f>
        <v>53.48399999999998</v>
      </c>
      <c r="G426" s="86">
        <v>40</v>
      </c>
      <c r="H426" s="83">
        <f t="shared" si="68"/>
        <v>185</v>
      </c>
      <c r="I426" s="83">
        <f t="shared" si="59"/>
        <v>0</v>
      </c>
      <c r="J426" s="86">
        <v>100</v>
      </c>
      <c r="K426" s="86">
        <v>300</v>
      </c>
      <c r="L426" s="83">
        <f t="shared" si="63"/>
        <v>1274</v>
      </c>
      <c r="M426" s="94">
        <v>600</v>
      </c>
      <c r="N426" s="83">
        <f>30</f>
        <v>30</v>
      </c>
      <c r="O426" s="86">
        <v>240</v>
      </c>
      <c r="P426" s="86">
        <v>160</v>
      </c>
      <c r="Q426" s="86">
        <f t="shared" si="64"/>
        <v>195</v>
      </c>
      <c r="R426" s="86">
        <f t="shared" si="65"/>
        <v>100</v>
      </c>
      <c r="S426" s="83">
        <f t="shared" si="66"/>
        <v>695</v>
      </c>
      <c r="T426" s="83">
        <f>0</f>
        <v>0</v>
      </c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</row>
    <row r="427" spans="1:30" ht="15.75" x14ac:dyDescent="0.25">
      <c r="A427" s="14">
        <v>53935</v>
      </c>
      <c r="B427" s="96">
        <v>31</v>
      </c>
      <c r="C427" s="83">
        <f>194.205</f>
        <v>194.20500000000001</v>
      </c>
      <c r="D427" s="83">
        <f>267.466</f>
        <v>267.46600000000001</v>
      </c>
      <c r="E427" s="92">
        <f>133.845</f>
        <v>133.845</v>
      </c>
      <c r="F427" s="83">
        <f>278.484-40-25-60-100</f>
        <v>53.48399999999998</v>
      </c>
      <c r="G427" s="86">
        <v>40</v>
      </c>
      <c r="H427" s="83">
        <f t="shared" si="68"/>
        <v>185</v>
      </c>
      <c r="I427" s="83">
        <f t="shared" si="59"/>
        <v>0</v>
      </c>
      <c r="J427" s="86">
        <v>100</v>
      </c>
      <c r="K427" s="86">
        <v>300</v>
      </c>
      <c r="L427" s="83">
        <f t="shared" si="63"/>
        <v>1274</v>
      </c>
      <c r="M427" s="94">
        <v>600</v>
      </c>
      <c r="N427" s="83">
        <f>30</f>
        <v>30</v>
      </c>
      <c r="O427" s="86">
        <v>240</v>
      </c>
      <c r="P427" s="86">
        <v>160</v>
      </c>
      <c r="Q427" s="86">
        <f t="shared" si="64"/>
        <v>195</v>
      </c>
      <c r="R427" s="86">
        <f t="shared" si="65"/>
        <v>100</v>
      </c>
      <c r="S427" s="83">
        <f t="shared" si="66"/>
        <v>695</v>
      </c>
      <c r="T427" s="83">
        <f>0</f>
        <v>0</v>
      </c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</row>
    <row r="428" spans="1:30" ht="15.75" x14ac:dyDescent="0.25">
      <c r="A428" s="14">
        <v>53965</v>
      </c>
      <c r="B428" s="96">
        <v>30</v>
      </c>
      <c r="C428" s="83">
        <f>194.205</f>
        <v>194.20500000000001</v>
      </c>
      <c r="D428" s="83">
        <f>267.466</f>
        <v>267.46600000000001</v>
      </c>
      <c r="E428" s="92">
        <f>133.845</f>
        <v>133.845</v>
      </c>
      <c r="F428" s="83">
        <f>278.484-40-25-60-100</f>
        <v>53.48399999999998</v>
      </c>
      <c r="G428" s="86">
        <v>40</v>
      </c>
      <c r="H428" s="83">
        <f t="shared" si="68"/>
        <v>185</v>
      </c>
      <c r="I428" s="83">
        <f t="shared" si="59"/>
        <v>0</v>
      </c>
      <c r="J428" s="86">
        <v>100</v>
      </c>
      <c r="K428" s="86">
        <v>300</v>
      </c>
      <c r="L428" s="83">
        <f t="shared" si="63"/>
        <v>1274</v>
      </c>
      <c r="M428" s="94">
        <v>600</v>
      </c>
      <c r="N428" s="83">
        <f>30</f>
        <v>30</v>
      </c>
      <c r="O428" s="86">
        <v>240</v>
      </c>
      <c r="P428" s="86">
        <v>160</v>
      </c>
      <c r="Q428" s="86">
        <f t="shared" si="64"/>
        <v>195</v>
      </c>
      <c r="R428" s="86">
        <f t="shared" si="65"/>
        <v>100</v>
      </c>
      <c r="S428" s="83">
        <f t="shared" si="66"/>
        <v>695</v>
      </c>
      <c r="T428" s="83">
        <f>0</f>
        <v>0</v>
      </c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</row>
    <row r="429" spans="1:30" ht="15.75" x14ac:dyDescent="0.25">
      <c r="A429" s="14">
        <v>53996</v>
      </c>
      <c r="B429" s="96">
        <v>31</v>
      </c>
      <c r="C429" s="83">
        <f>131.881</f>
        <v>131.881</v>
      </c>
      <c r="D429" s="83">
        <f>277.167</f>
        <v>277.16699999999997</v>
      </c>
      <c r="E429" s="92">
        <f>79.08</f>
        <v>79.08</v>
      </c>
      <c r="F429" s="83">
        <f>350.872-40-25-60-100</f>
        <v>125.87200000000001</v>
      </c>
      <c r="G429" s="86">
        <v>40</v>
      </c>
      <c r="H429" s="83">
        <f t="shared" si="68"/>
        <v>185</v>
      </c>
      <c r="I429" s="83">
        <f t="shared" si="59"/>
        <v>0</v>
      </c>
      <c r="J429" s="86">
        <v>100</v>
      </c>
      <c r="K429" s="86">
        <v>300</v>
      </c>
      <c r="L429" s="83">
        <f t="shared" si="63"/>
        <v>1239</v>
      </c>
      <c r="M429" s="94">
        <v>600</v>
      </c>
      <c r="N429" s="83">
        <f>75</f>
        <v>75</v>
      </c>
      <c r="O429" s="86">
        <v>240</v>
      </c>
      <c r="P429" s="86">
        <v>160</v>
      </c>
      <c r="Q429" s="86">
        <f t="shared" si="64"/>
        <v>195</v>
      </c>
      <c r="R429" s="86">
        <f t="shared" si="65"/>
        <v>100</v>
      </c>
      <c r="S429" s="83">
        <f t="shared" si="66"/>
        <v>695</v>
      </c>
      <c r="T429" s="83">
        <f>0</f>
        <v>0</v>
      </c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</row>
    <row r="430" spans="1:30" ht="15.75" x14ac:dyDescent="0.25">
      <c r="A430" s="14">
        <v>54026</v>
      </c>
      <c r="B430" s="96">
        <v>30</v>
      </c>
      <c r="C430" s="83">
        <f>122.58</f>
        <v>122.58</v>
      </c>
      <c r="D430" s="83">
        <f>297.941</f>
        <v>297.94099999999997</v>
      </c>
      <c r="E430" s="92">
        <f>89.177</f>
        <v>89.177000000000007</v>
      </c>
      <c r="F430" s="83">
        <f>240.302-40-60-100</f>
        <v>40.301999999999992</v>
      </c>
      <c r="G430" s="86">
        <v>40</v>
      </c>
      <c r="H430" s="83">
        <f>60+100</f>
        <v>160</v>
      </c>
      <c r="I430" s="83">
        <f t="shared" si="59"/>
        <v>0</v>
      </c>
      <c r="J430" s="86">
        <v>100</v>
      </c>
      <c r="K430" s="86">
        <v>300</v>
      </c>
      <c r="L430" s="83">
        <f t="shared" si="63"/>
        <v>1150</v>
      </c>
      <c r="M430" s="94">
        <v>600</v>
      </c>
      <c r="N430" s="83">
        <f>100</f>
        <v>100</v>
      </c>
      <c r="O430" s="86">
        <v>240</v>
      </c>
      <c r="P430" s="86">
        <v>40</v>
      </c>
      <c r="Q430" s="86">
        <f t="shared" si="64"/>
        <v>315</v>
      </c>
      <c r="R430" s="86">
        <f t="shared" si="65"/>
        <v>100</v>
      </c>
      <c r="S430" s="83">
        <f t="shared" si="66"/>
        <v>695</v>
      </c>
      <c r="T430" s="83">
        <f>50</f>
        <v>50</v>
      </c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</row>
    <row r="431" spans="1:30" ht="15.75" x14ac:dyDescent="0.25">
      <c r="A431" s="14">
        <v>54057</v>
      </c>
      <c r="B431" s="96">
        <v>31</v>
      </c>
      <c r="C431" s="83">
        <f>122.58</f>
        <v>122.58</v>
      </c>
      <c r="D431" s="83">
        <f>297.941</f>
        <v>297.94099999999997</v>
      </c>
      <c r="E431" s="92">
        <f>89.177</f>
        <v>89.177000000000007</v>
      </c>
      <c r="F431" s="83">
        <f>240.302-40-60-100</f>
        <v>40.301999999999992</v>
      </c>
      <c r="G431" s="86">
        <v>40</v>
      </c>
      <c r="H431" s="83">
        <f>60+100</f>
        <v>160</v>
      </c>
      <c r="I431" s="83">
        <f t="shared" si="59"/>
        <v>0</v>
      </c>
      <c r="J431" s="86">
        <v>100</v>
      </c>
      <c r="K431" s="86">
        <v>300</v>
      </c>
      <c r="L431" s="83">
        <f t="shared" si="63"/>
        <v>1150</v>
      </c>
      <c r="M431" s="94">
        <v>600</v>
      </c>
      <c r="N431" s="83">
        <f>100</f>
        <v>100</v>
      </c>
      <c r="O431" s="86">
        <v>240</v>
      </c>
      <c r="P431" s="86">
        <v>40</v>
      </c>
      <c r="Q431" s="86">
        <f t="shared" si="64"/>
        <v>315</v>
      </c>
      <c r="R431" s="86">
        <f t="shared" si="65"/>
        <v>100</v>
      </c>
      <c r="S431" s="83">
        <f t="shared" si="66"/>
        <v>695</v>
      </c>
      <c r="T431" s="83">
        <f>50</f>
        <v>50</v>
      </c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</row>
    <row r="432" spans="1:30" ht="15.75" x14ac:dyDescent="0.25">
      <c r="A432" s="14">
        <v>54088</v>
      </c>
      <c r="B432" s="96">
        <v>31</v>
      </c>
      <c r="C432" s="83">
        <f>122.58</f>
        <v>122.58</v>
      </c>
      <c r="D432" s="83">
        <f>297.941</f>
        <v>297.94099999999997</v>
      </c>
      <c r="E432" s="92">
        <f>89.177</f>
        <v>89.177000000000007</v>
      </c>
      <c r="F432" s="83">
        <f>240.302-40-60-100</f>
        <v>40.301999999999992</v>
      </c>
      <c r="G432" s="86">
        <v>40</v>
      </c>
      <c r="H432" s="83">
        <f>60+100</f>
        <v>160</v>
      </c>
      <c r="I432" s="83">
        <f t="shared" si="59"/>
        <v>0</v>
      </c>
      <c r="J432" s="86">
        <v>100</v>
      </c>
      <c r="K432" s="86">
        <v>300</v>
      </c>
      <c r="L432" s="83">
        <f t="shared" si="63"/>
        <v>1150</v>
      </c>
      <c r="M432" s="94">
        <v>600</v>
      </c>
      <c r="N432" s="83">
        <f>100</f>
        <v>100</v>
      </c>
      <c r="O432" s="86">
        <v>240</v>
      </c>
      <c r="P432" s="86">
        <v>40</v>
      </c>
      <c r="Q432" s="86">
        <f t="shared" si="64"/>
        <v>315</v>
      </c>
      <c r="R432" s="86">
        <f t="shared" si="65"/>
        <v>100</v>
      </c>
      <c r="S432" s="83">
        <f t="shared" si="66"/>
        <v>695</v>
      </c>
      <c r="T432" s="83">
        <f>50</f>
        <v>50</v>
      </c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</row>
    <row r="433" spans="1:30" ht="15.75" x14ac:dyDescent="0.25">
      <c r="A433" s="14">
        <v>54116</v>
      </c>
      <c r="B433" s="96">
        <v>29</v>
      </c>
      <c r="C433" s="83">
        <f>122.58</f>
        <v>122.58</v>
      </c>
      <c r="D433" s="83">
        <f>297.941</f>
        <v>297.94099999999997</v>
      </c>
      <c r="E433" s="92">
        <f>89.177</f>
        <v>89.177000000000007</v>
      </c>
      <c r="F433" s="83">
        <f>240.302-40-60-100</f>
        <v>40.301999999999992</v>
      </c>
      <c r="G433" s="86">
        <v>40</v>
      </c>
      <c r="H433" s="83">
        <f>60+100</f>
        <v>160</v>
      </c>
      <c r="I433" s="83">
        <f t="shared" si="59"/>
        <v>0</v>
      </c>
      <c r="J433" s="86">
        <v>100</v>
      </c>
      <c r="K433" s="86">
        <v>300</v>
      </c>
      <c r="L433" s="83">
        <f t="shared" si="63"/>
        <v>1150</v>
      </c>
      <c r="M433" s="94">
        <v>600</v>
      </c>
      <c r="N433" s="83">
        <f>100</f>
        <v>100</v>
      </c>
      <c r="O433" s="86">
        <v>240</v>
      </c>
      <c r="P433" s="86">
        <v>40</v>
      </c>
      <c r="Q433" s="86">
        <f t="shared" si="64"/>
        <v>315</v>
      </c>
      <c r="R433" s="86">
        <f t="shared" si="65"/>
        <v>100</v>
      </c>
      <c r="S433" s="83">
        <f t="shared" si="66"/>
        <v>695</v>
      </c>
      <c r="T433" s="83">
        <f>50</f>
        <v>50</v>
      </c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</row>
    <row r="434" spans="1:30" ht="15.75" x14ac:dyDescent="0.25">
      <c r="A434" s="14">
        <v>54148</v>
      </c>
      <c r="B434" s="96">
        <v>31</v>
      </c>
      <c r="C434" s="83">
        <f>122.58</f>
        <v>122.58</v>
      </c>
      <c r="D434" s="83">
        <f>297.941</f>
        <v>297.94099999999997</v>
      </c>
      <c r="E434" s="92">
        <f>89.177</f>
        <v>89.177000000000007</v>
      </c>
      <c r="F434" s="83">
        <f>240.302-40-60-100</f>
        <v>40.301999999999992</v>
      </c>
      <c r="G434" s="86">
        <v>40</v>
      </c>
      <c r="H434" s="83">
        <f>60+100</f>
        <v>160</v>
      </c>
      <c r="I434" s="83">
        <f t="shared" si="59"/>
        <v>0</v>
      </c>
      <c r="J434" s="86">
        <v>100</v>
      </c>
      <c r="K434" s="86">
        <v>300</v>
      </c>
      <c r="L434" s="83">
        <f t="shared" si="63"/>
        <v>1150</v>
      </c>
      <c r="M434" s="94">
        <v>600</v>
      </c>
      <c r="N434" s="83">
        <f>100</f>
        <v>100</v>
      </c>
      <c r="O434" s="86">
        <v>240</v>
      </c>
      <c r="P434" s="86">
        <v>40</v>
      </c>
      <c r="Q434" s="86">
        <f t="shared" si="64"/>
        <v>315</v>
      </c>
      <c r="R434" s="86">
        <f t="shared" si="65"/>
        <v>100</v>
      </c>
      <c r="S434" s="83">
        <f t="shared" si="66"/>
        <v>695</v>
      </c>
      <c r="T434" s="83">
        <f>50</f>
        <v>50</v>
      </c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</row>
    <row r="435" spans="1:30" ht="15.75" x14ac:dyDescent="0.25">
      <c r="A435" s="14">
        <v>54178</v>
      </c>
      <c r="B435" s="96">
        <v>30</v>
      </c>
      <c r="C435" s="83">
        <f>141.293</f>
        <v>141.29300000000001</v>
      </c>
      <c r="D435" s="83">
        <f>267.993</f>
        <v>267.99299999999999</v>
      </c>
      <c r="E435" s="92">
        <f>115.016</f>
        <v>115.01600000000001</v>
      </c>
      <c r="F435" s="83">
        <f>314.698-40-25-60-100</f>
        <v>89.697999999999979</v>
      </c>
      <c r="G435" s="86">
        <v>40</v>
      </c>
      <c r="H435" s="83">
        <f t="shared" ref="H435:H441" si="69">25+60+100</f>
        <v>185</v>
      </c>
      <c r="I435" s="83">
        <f t="shared" si="59"/>
        <v>0</v>
      </c>
      <c r="J435" s="86">
        <v>100</v>
      </c>
      <c r="K435" s="86">
        <v>300</v>
      </c>
      <c r="L435" s="83">
        <f t="shared" si="63"/>
        <v>1239</v>
      </c>
      <c r="M435" s="94">
        <v>600</v>
      </c>
      <c r="N435" s="83">
        <f>100</f>
        <v>100</v>
      </c>
      <c r="O435" s="86">
        <v>240</v>
      </c>
      <c r="P435" s="86">
        <v>160</v>
      </c>
      <c r="Q435" s="86">
        <f t="shared" si="64"/>
        <v>195</v>
      </c>
      <c r="R435" s="86">
        <f t="shared" si="65"/>
        <v>100</v>
      </c>
      <c r="S435" s="83">
        <f t="shared" si="66"/>
        <v>695</v>
      </c>
      <c r="T435" s="83">
        <f>50</f>
        <v>50</v>
      </c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</row>
    <row r="436" spans="1:30" ht="15.75" x14ac:dyDescent="0.25">
      <c r="A436" s="14">
        <v>54209</v>
      </c>
      <c r="B436" s="96">
        <v>31</v>
      </c>
      <c r="C436" s="83">
        <f>194.205</f>
        <v>194.20500000000001</v>
      </c>
      <c r="D436" s="83">
        <f>267.466</f>
        <v>267.46600000000001</v>
      </c>
      <c r="E436" s="92">
        <f>133.845</f>
        <v>133.845</v>
      </c>
      <c r="F436" s="83">
        <f>278.484-40-25-60-100</f>
        <v>53.48399999999998</v>
      </c>
      <c r="G436" s="86">
        <v>40</v>
      </c>
      <c r="H436" s="83">
        <f t="shared" si="69"/>
        <v>185</v>
      </c>
      <c r="I436" s="83">
        <f t="shared" ref="I436:I499" si="70">400-J436-K436</f>
        <v>0</v>
      </c>
      <c r="J436" s="86">
        <v>100</v>
      </c>
      <c r="K436" s="86">
        <v>300</v>
      </c>
      <c r="L436" s="83">
        <f t="shared" si="63"/>
        <v>1274</v>
      </c>
      <c r="M436" s="94">
        <v>600</v>
      </c>
      <c r="N436" s="83">
        <f>75</f>
        <v>75</v>
      </c>
      <c r="O436" s="86">
        <v>240</v>
      </c>
      <c r="P436" s="86">
        <v>160</v>
      </c>
      <c r="Q436" s="86">
        <f t="shared" si="64"/>
        <v>195</v>
      </c>
      <c r="R436" s="86">
        <f t="shared" si="65"/>
        <v>100</v>
      </c>
      <c r="S436" s="83">
        <f t="shared" si="66"/>
        <v>695</v>
      </c>
      <c r="T436" s="83">
        <f>50</f>
        <v>50</v>
      </c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</row>
    <row r="437" spans="1:30" ht="15.75" x14ac:dyDescent="0.25">
      <c r="A437" s="14">
        <v>54239</v>
      </c>
      <c r="B437" s="96">
        <v>30</v>
      </c>
      <c r="C437" s="83">
        <f>194.205</f>
        <v>194.20500000000001</v>
      </c>
      <c r="D437" s="83">
        <f>267.466</f>
        <v>267.46600000000001</v>
      </c>
      <c r="E437" s="92">
        <f>133.845</f>
        <v>133.845</v>
      </c>
      <c r="F437" s="83">
        <f>278.484-40-25-60-100</f>
        <v>53.48399999999998</v>
      </c>
      <c r="G437" s="86">
        <v>40</v>
      </c>
      <c r="H437" s="83">
        <f t="shared" si="69"/>
        <v>185</v>
      </c>
      <c r="I437" s="83">
        <f t="shared" si="70"/>
        <v>0</v>
      </c>
      <c r="J437" s="86">
        <v>100</v>
      </c>
      <c r="K437" s="86">
        <v>300</v>
      </c>
      <c r="L437" s="83">
        <f t="shared" si="63"/>
        <v>1274</v>
      </c>
      <c r="M437" s="94">
        <v>600</v>
      </c>
      <c r="N437" s="83">
        <f>30</f>
        <v>30</v>
      </c>
      <c r="O437" s="86">
        <v>240</v>
      </c>
      <c r="P437" s="86">
        <v>160</v>
      </c>
      <c r="Q437" s="86">
        <f t="shared" si="64"/>
        <v>195</v>
      </c>
      <c r="R437" s="86">
        <f t="shared" si="65"/>
        <v>100</v>
      </c>
      <c r="S437" s="83">
        <f t="shared" si="66"/>
        <v>695</v>
      </c>
      <c r="T437" s="83">
        <f>50</f>
        <v>50</v>
      </c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</row>
    <row r="438" spans="1:30" ht="15.75" x14ac:dyDescent="0.25">
      <c r="A438" s="14">
        <v>54270</v>
      </c>
      <c r="B438" s="96">
        <v>31</v>
      </c>
      <c r="C438" s="83">
        <f>194.205</f>
        <v>194.20500000000001</v>
      </c>
      <c r="D438" s="83">
        <f>267.466</f>
        <v>267.46600000000001</v>
      </c>
      <c r="E438" s="92">
        <f>133.845</f>
        <v>133.845</v>
      </c>
      <c r="F438" s="83">
        <f>278.484-40-25-60-100</f>
        <v>53.48399999999998</v>
      </c>
      <c r="G438" s="86">
        <v>40</v>
      </c>
      <c r="H438" s="83">
        <f t="shared" si="69"/>
        <v>185</v>
      </c>
      <c r="I438" s="83">
        <f t="shared" si="70"/>
        <v>0</v>
      </c>
      <c r="J438" s="86">
        <v>100</v>
      </c>
      <c r="K438" s="86">
        <v>300</v>
      </c>
      <c r="L438" s="83">
        <f t="shared" si="63"/>
        <v>1274</v>
      </c>
      <c r="M438" s="94">
        <v>600</v>
      </c>
      <c r="N438" s="83">
        <f>30</f>
        <v>30</v>
      </c>
      <c r="O438" s="86">
        <v>240</v>
      </c>
      <c r="P438" s="86">
        <v>160</v>
      </c>
      <c r="Q438" s="86">
        <f t="shared" si="64"/>
        <v>195</v>
      </c>
      <c r="R438" s="86">
        <f t="shared" si="65"/>
        <v>100</v>
      </c>
      <c r="S438" s="83">
        <f t="shared" si="66"/>
        <v>695</v>
      </c>
      <c r="T438" s="83">
        <f>0</f>
        <v>0</v>
      </c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</row>
    <row r="439" spans="1:30" ht="15.75" x14ac:dyDescent="0.25">
      <c r="A439" s="14">
        <v>54301</v>
      </c>
      <c r="B439" s="96">
        <v>31</v>
      </c>
      <c r="C439" s="83">
        <f>194.205</f>
        <v>194.20500000000001</v>
      </c>
      <c r="D439" s="83">
        <f>267.466</f>
        <v>267.46600000000001</v>
      </c>
      <c r="E439" s="92">
        <f>133.845</f>
        <v>133.845</v>
      </c>
      <c r="F439" s="83">
        <f>278.484-40-25-60-100</f>
        <v>53.48399999999998</v>
      </c>
      <c r="G439" s="86">
        <v>40</v>
      </c>
      <c r="H439" s="83">
        <f t="shared" si="69"/>
        <v>185</v>
      </c>
      <c r="I439" s="83">
        <f t="shared" si="70"/>
        <v>0</v>
      </c>
      <c r="J439" s="86">
        <v>100</v>
      </c>
      <c r="K439" s="86">
        <v>300</v>
      </c>
      <c r="L439" s="83">
        <f t="shared" si="63"/>
        <v>1274</v>
      </c>
      <c r="M439" s="94">
        <v>600</v>
      </c>
      <c r="N439" s="83">
        <f>30</f>
        <v>30</v>
      </c>
      <c r="O439" s="86">
        <v>240</v>
      </c>
      <c r="P439" s="86">
        <v>160</v>
      </c>
      <c r="Q439" s="86">
        <f t="shared" si="64"/>
        <v>195</v>
      </c>
      <c r="R439" s="86">
        <f t="shared" si="65"/>
        <v>100</v>
      </c>
      <c r="S439" s="83">
        <f t="shared" si="66"/>
        <v>695</v>
      </c>
      <c r="T439" s="83">
        <f>0</f>
        <v>0</v>
      </c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</row>
    <row r="440" spans="1:30" ht="15.75" x14ac:dyDescent="0.25">
      <c r="A440" s="14">
        <v>54331</v>
      </c>
      <c r="B440" s="96">
        <v>30</v>
      </c>
      <c r="C440" s="83">
        <f>194.205</f>
        <v>194.20500000000001</v>
      </c>
      <c r="D440" s="83">
        <f>267.466</f>
        <v>267.46600000000001</v>
      </c>
      <c r="E440" s="92">
        <f>133.845</f>
        <v>133.845</v>
      </c>
      <c r="F440" s="83">
        <f>278.484-40-25-60-100</f>
        <v>53.48399999999998</v>
      </c>
      <c r="G440" s="86">
        <v>40</v>
      </c>
      <c r="H440" s="83">
        <f t="shared" si="69"/>
        <v>185</v>
      </c>
      <c r="I440" s="83">
        <f t="shared" si="70"/>
        <v>0</v>
      </c>
      <c r="J440" s="86">
        <v>100</v>
      </c>
      <c r="K440" s="86">
        <v>300</v>
      </c>
      <c r="L440" s="83">
        <f t="shared" si="63"/>
        <v>1274</v>
      </c>
      <c r="M440" s="94">
        <v>600</v>
      </c>
      <c r="N440" s="83">
        <f>30</f>
        <v>30</v>
      </c>
      <c r="O440" s="86">
        <v>240</v>
      </c>
      <c r="P440" s="86">
        <v>160</v>
      </c>
      <c r="Q440" s="86">
        <f t="shared" si="64"/>
        <v>195</v>
      </c>
      <c r="R440" s="86">
        <f t="shared" si="65"/>
        <v>100</v>
      </c>
      <c r="S440" s="83">
        <f t="shared" si="66"/>
        <v>695</v>
      </c>
      <c r="T440" s="83">
        <f>0</f>
        <v>0</v>
      </c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</row>
    <row r="441" spans="1:30" ht="15.75" x14ac:dyDescent="0.25">
      <c r="A441" s="14">
        <v>54362</v>
      </c>
      <c r="B441" s="96">
        <v>31</v>
      </c>
      <c r="C441" s="83">
        <f>131.881</f>
        <v>131.881</v>
      </c>
      <c r="D441" s="83">
        <f>277.167</f>
        <v>277.16699999999997</v>
      </c>
      <c r="E441" s="92">
        <f>79.08</f>
        <v>79.08</v>
      </c>
      <c r="F441" s="83">
        <f>350.872-40-25-60-100</f>
        <v>125.87200000000001</v>
      </c>
      <c r="G441" s="86">
        <v>40</v>
      </c>
      <c r="H441" s="83">
        <f t="shared" si="69"/>
        <v>185</v>
      </c>
      <c r="I441" s="83">
        <f t="shared" si="70"/>
        <v>0</v>
      </c>
      <c r="J441" s="86">
        <v>100</v>
      </c>
      <c r="K441" s="86">
        <v>300</v>
      </c>
      <c r="L441" s="83">
        <f t="shared" si="63"/>
        <v>1239</v>
      </c>
      <c r="M441" s="94">
        <v>600</v>
      </c>
      <c r="N441" s="83">
        <f>75</f>
        <v>75</v>
      </c>
      <c r="O441" s="86">
        <v>240</v>
      </c>
      <c r="P441" s="86">
        <v>160</v>
      </c>
      <c r="Q441" s="86">
        <f t="shared" si="64"/>
        <v>195</v>
      </c>
      <c r="R441" s="86">
        <f t="shared" si="65"/>
        <v>100</v>
      </c>
      <c r="S441" s="83">
        <f t="shared" si="66"/>
        <v>695</v>
      </c>
      <c r="T441" s="83">
        <f>0</f>
        <v>0</v>
      </c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</row>
    <row r="442" spans="1:30" ht="15.75" x14ac:dyDescent="0.25">
      <c r="A442" s="14">
        <v>54392</v>
      </c>
      <c r="B442" s="96">
        <v>30</v>
      </c>
      <c r="C442" s="83">
        <f>122.58</f>
        <v>122.58</v>
      </c>
      <c r="D442" s="83">
        <f>297.941</f>
        <v>297.94099999999997</v>
      </c>
      <c r="E442" s="92">
        <f>89.177</f>
        <v>89.177000000000007</v>
      </c>
      <c r="F442" s="83">
        <f>240.302-40-60-100</f>
        <v>40.301999999999992</v>
      </c>
      <c r="G442" s="86">
        <v>40</v>
      </c>
      <c r="H442" s="83">
        <f>60+100</f>
        <v>160</v>
      </c>
      <c r="I442" s="83">
        <f t="shared" si="70"/>
        <v>0</v>
      </c>
      <c r="J442" s="86">
        <v>100</v>
      </c>
      <c r="K442" s="86">
        <v>300</v>
      </c>
      <c r="L442" s="83">
        <f t="shared" si="63"/>
        <v>1150</v>
      </c>
      <c r="M442" s="94">
        <v>600</v>
      </c>
      <c r="N442" s="83">
        <f>100</f>
        <v>100</v>
      </c>
      <c r="O442" s="86">
        <v>240</v>
      </c>
      <c r="P442" s="86">
        <v>40</v>
      </c>
      <c r="Q442" s="86">
        <f t="shared" si="64"/>
        <v>315</v>
      </c>
      <c r="R442" s="86">
        <f t="shared" si="65"/>
        <v>100</v>
      </c>
      <c r="S442" s="83">
        <f t="shared" si="66"/>
        <v>695</v>
      </c>
      <c r="T442" s="83">
        <f>50</f>
        <v>50</v>
      </c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</row>
    <row r="443" spans="1:30" ht="15.75" x14ac:dyDescent="0.25">
      <c r="A443" s="14">
        <v>54423</v>
      </c>
      <c r="B443" s="96">
        <v>31</v>
      </c>
      <c r="C443" s="83">
        <f>122.58</f>
        <v>122.58</v>
      </c>
      <c r="D443" s="83">
        <f>297.941</f>
        <v>297.94099999999997</v>
      </c>
      <c r="E443" s="92">
        <f>89.177</f>
        <v>89.177000000000007</v>
      </c>
      <c r="F443" s="83">
        <f>240.302-40-60-100</f>
        <v>40.301999999999992</v>
      </c>
      <c r="G443" s="86">
        <v>40</v>
      </c>
      <c r="H443" s="83">
        <f>60+100</f>
        <v>160</v>
      </c>
      <c r="I443" s="83">
        <f t="shared" si="70"/>
        <v>0</v>
      </c>
      <c r="J443" s="86">
        <v>100</v>
      </c>
      <c r="K443" s="86">
        <v>300</v>
      </c>
      <c r="L443" s="83">
        <f t="shared" si="63"/>
        <v>1150</v>
      </c>
      <c r="M443" s="94">
        <v>600</v>
      </c>
      <c r="N443" s="83">
        <f>100</f>
        <v>100</v>
      </c>
      <c r="O443" s="86">
        <v>240</v>
      </c>
      <c r="P443" s="86">
        <v>40</v>
      </c>
      <c r="Q443" s="86">
        <f t="shared" si="64"/>
        <v>315</v>
      </c>
      <c r="R443" s="86">
        <f t="shared" si="65"/>
        <v>100</v>
      </c>
      <c r="S443" s="83">
        <f t="shared" si="66"/>
        <v>695</v>
      </c>
      <c r="T443" s="83">
        <f>50</f>
        <v>50</v>
      </c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</row>
    <row r="444" spans="1:30" ht="15.75" x14ac:dyDescent="0.25">
      <c r="A444" s="14">
        <v>54454</v>
      </c>
      <c r="B444" s="96">
        <v>31</v>
      </c>
      <c r="C444" s="83">
        <f>122.58</f>
        <v>122.58</v>
      </c>
      <c r="D444" s="83">
        <f>297.941</f>
        <v>297.94099999999997</v>
      </c>
      <c r="E444" s="92">
        <f>89.177</f>
        <v>89.177000000000007</v>
      </c>
      <c r="F444" s="83">
        <f>240.302-40-60-100</f>
        <v>40.301999999999992</v>
      </c>
      <c r="G444" s="86">
        <v>40</v>
      </c>
      <c r="H444" s="83">
        <f>60+100</f>
        <v>160</v>
      </c>
      <c r="I444" s="83">
        <f t="shared" si="70"/>
        <v>0</v>
      </c>
      <c r="J444" s="86">
        <v>100</v>
      </c>
      <c r="K444" s="86">
        <v>300</v>
      </c>
      <c r="L444" s="83">
        <f t="shared" si="63"/>
        <v>1150</v>
      </c>
      <c r="M444" s="94">
        <v>600</v>
      </c>
      <c r="N444" s="83">
        <f>100</f>
        <v>100</v>
      </c>
      <c r="O444" s="86">
        <v>240</v>
      </c>
      <c r="P444" s="86">
        <v>40</v>
      </c>
      <c r="Q444" s="86">
        <f t="shared" si="64"/>
        <v>315</v>
      </c>
      <c r="R444" s="86">
        <f t="shared" si="65"/>
        <v>100</v>
      </c>
      <c r="S444" s="83">
        <f t="shared" si="66"/>
        <v>695</v>
      </c>
      <c r="T444" s="83">
        <f>50</f>
        <v>50</v>
      </c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</row>
    <row r="445" spans="1:30" ht="15.75" x14ac:dyDescent="0.25">
      <c r="A445" s="14">
        <v>54482</v>
      </c>
      <c r="B445" s="96">
        <v>28</v>
      </c>
      <c r="C445" s="83">
        <f>122.58</f>
        <v>122.58</v>
      </c>
      <c r="D445" s="83">
        <f>297.941</f>
        <v>297.94099999999997</v>
      </c>
      <c r="E445" s="92">
        <f>89.177</f>
        <v>89.177000000000007</v>
      </c>
      <c r="F445" s="83">
        <f>240.302-40-60-100</f>
        <v>40.301999999999992</v>
      </c>
      <c r="G445" s="86">
        <v>40</v>
      </c>
      <c r="H445" s="83">
        <f>60+100</f>
        <v>160</v>
      </c>
      <c r="I445" s="83">
        <f t="shared" si="70"/>
        <v>0</v>
      </c>
      <c r="J445" s="86">
        <v>100</v>
      </c>
      <c r="K445" s="86">
        <v>300</v>
      </c>
      <c r="L445" s="83">
        <f t="shared" si="63"/>
        <v>1150</v>
      </c>
      <c r="M445" s="94">
        <v>600</v>
      </c>
      <c r="N445" s="83">
        <f>100</f>
        <v>100</v>
      </c>
      <c r="O445" s="86">
        <v>240</v>
      </c>
      <c r="P445" s="86">
        <v>40</v>
      </c>
      <c r="Q445" s="86">
        <f t="shared" si="64"/>
        <v>315</v>
      </c>
      <c r="R445" s="86">
        <f t="shared" si="65"/>
        <v>100</v>
      </c>
      <c r="S445" s="83">
        <f t="shared" si="66"/>
        <v>695</v>
      </c>
      <c r="T445" s="83">
        <f>50</f>
        <v>50</v>
      </c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</row>
    <row r="446" spans="1:30" ht="15.75" x14ac:dyDescent="0.25">
      <c r="A446" s="14">
        <v>54513</v>
      </c>
      <c r="B446" s="96">
        <v>31</v>
      </c>
      <c r="C446" s="83">
        <f>122.58</f>
        <v>122.58</v>
      </c>
      <c r="D446" s="83">
        <f>297.941</f>
        <v>297.94099999999997</v>
      </c>
      <c r="E446" s="92">
        <f>89.177</f>
        <v>89.177000000000007</v>
      </c>
      <c r="F446" s="83">
        <f>240.302-40-60-100</f>
        <v>40.301999999999992</v>
      </c>
      <c r="G446" s="86">
        <v>40</v>
      </c>
      <c r="H446" s="83">
        <f>60+100</f>
        <v>160</v>
      </c>
      <c r="I446" s="83">
        <f t="shared" si="70"/>
        <v>0</v>
      </c>
      <c r="J446" s="86">
        <v>100</v>
      </c>
      <c r="K446" s="86">
        <v>300</v>
      </c>
      <c r="L446" s="83">
        <f t="shared" si="63"/>
        <v>1150</v>
      </c>
      <c r="M446" s="94">
        <v>600</v>
      </c>
      <c r="N446" s="83">
        <f>100</f>
        <v>100</v>
      </c>
      <c r="O446" s="86">
        <v>240</v>
      </c>
      <c r="P446" s="86">
        <v>40</v>
      </c>
      <c r="Q446" s="86">
        <f t="shared" si="64"/>
        <v>315</v>
      </c>
      <c r="R446" s="86">
        <f t="shared" si="65"/>
        <v>100</v>
      </c>
      <c r="S446" s="83">
        <f t="shared" si="66"/>
        <v>695</v>
      </c>
      <c r="T446" s="83">
        <f>50</f>
        <v>50</v>
      </c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</row>
    <row r="447" spans="1:30" ht="15.75" x14ac:dyDescent="0.25">
      <c r="A447" s="14">
        <v>54543</v>
      </c>
      <c r="B447" s="96">
        <v>30</v>
      </c>
      <c r="C447" s="83">
        <f>141.293</f>
        <v>141.29300000000001</v>
      </c>
      <c r="D447" s="83">
        <f>267.993</f>
        <v>267.99299999999999</v>
      </c>
      <c r="E447" s="92">
        <f>115.016</f>
        <v>115.01600000000001</v>
      </c>
      <c r="F447" s="83">
        <f>314.698-40-25-60-100</f>
        <v>89.697999999999979</v>
      </c>
      <c r="G447" s="86">
        <v>40</v>
      </c>
      <c r="H447" s="83">
        <f t="shared" ref="H447:H453" si="71">25+60+100</f>
        <v>185</v>
      </c>
      <c r="I447" s="83">
        <f t="shared" si="70"/>
        <v>0</v>
      </c>
      <c r="J447" s="86">
        <v>100</v>
      </c>
      <c r="K447" s="86">
        <v>300</v>
      </c>
      <c r="L447" s="83">
        <f t="shared" si="63"/>
        <v>1239</v>
      </c>
      <c r="M447" s="94">
        <v>600</v>
      </c>
      <c r="N447" s="83">
        <f>100</f>
        <v>100</v>
      </c>
      <c r="O447" s="86">
        <v>240</v>
      </c>
      <c r="P447" s="86">
        <v>160</v>
      </c>
      <c r="Q447" s="86">
        <f t="shared" si="64"/>
        <v>195</v>
      </c>
      <c r="R447" s="86">
        <f t="shared" si="65"/>
        <v>100</v>
      </c>
      <c r="S447" s="83">
        <f t="shared" si="66"/>
        <v>695</v>
      </c>
      <c r="T447" s="83">
        <f>50</f>
        <v>50</v>
      </c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</row>
    <row r="448" spans="1:30" ht="15.75" x14ac:dyDescent="0.25">
      <c r="A448" s="14">
        <v>54574</v>
      </c>
      <c r="B448" s="96">
        <v>31</v>
      </c>
      <c r="C448" s="83">
        <f>194.205</f>
        <v>194.20500000000001</v>
      </c>
      <c r="D448" s="83">
        <f>267.466</f>
        <v>267.46600000000001</v>
      </c>
      <c r="E448" s="92">
        <f>133.845</f>
        <v>133.845</v>
      </c>
      <c r="F448" s="83">
        <f>278.484-40-25-60-100</f>
        <v>53.48399999999998</v>
      </c>
      <c r="G448" s="86">
        <v>40</v>
      </c>
      <c r="H448" s="83">
        <f t="shared" si="71"/>
        <v>185</v>
      </c>
      <c r="I448" s="83">
        <f t="shared" si="70"/>
        <v>0</v>
      </c>
      <c r="J448" s="86">
        <v>100</v>
      </c>
      <c r="K448" s="86">
        <v>300</v>
      </c>
      <c r="L448" s="83">
        <f t="shared" si="63"/>
        <v>1274</v>
      </c>
      <c r="M448" s="94">
        <v>600</v>
      </c>
      <c r="N448" s="83">
        <f>75</f>
        <v>75</v>
      </c>
      <c r="O448" s="86">
        <v>240</v>
      </c>
      <c r="P448" s="86">
        <v>160</v>
      </c>
      <c r="Q448" s="86">
        <f t="shared" si="64"/>
        <v>195</v>
      </c>
      <c r="R448" s="86">
        <f t="shared" si="65"/>
        <v>100</v>
      </c>
      <c r="S448" s="83">
        <f t="shared" si="66"/>
        <v>695</v>
      </c>
      <c r="T448" s="83">
        <f>50</f>
        <v>50</v>
      </c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</row>
    <row r="449" spans="1:30" ht="15.75" x14ac:dyDescent="0.25">
      <c r="A449" s="14">
        <v>54604</v>
      </c>
      <c r="B449" s="96">
        <v>30</v>
      </c>
      <c r="C449" s="83">
        <f>194.205</f>
        <v>194.20500000000001</v>
      </c>
      <c r="D449" s="83">
        <f>267.466</f>
        <v>267.46600000000001</v>
      </c>
      <c r="E449" s="92">
        <f>133.845</f>
        <v>133.845</v>
      </c>
      <c r="F449" s="83">
        <f>278.484-40-25-60-100</f>
        <v>53.48399999999998</v>
      </c>
      <c r="G449" s="86">
        <v>40</v>
      </c>
      <c r="H449" s="83">
        <f t="shared" si="71"/>
        <v>185</v>
      </c>
      <c r="I449" s="83">
        <f t="shared" si="70"/>
        <v>0</v>
      </c>
      <c r="J449" s="86">
        <v>100</v>
      </c>
      <c r="K449" s="86">
        <v>300</v>
      </c>
      <c r="L449" s="83">
        <f t="shared" si="63"/>
        <v>1274</v>
      </c>
      <c r="M449" s="94">
        <v>600</v>
      </c>
      <c r="N449" s="83">
        <f>30</f>
        <v>30</v>
      </c>
      <c r="O449" s="86">
        <v>240</v>
      </c>
      <c r="P449" s="86">
        <v>160</v>
      </c>
      <c r="Q449" s="86">
        <f t="shared" si="64"/>
        <v>195</v>
      </c>
      <c r="R449" s="86">
        <f t="shared" si="65"/>
        <v>100</v>
      </c>
      <c r="S449" s="83">
        <f t="shared" si="66"/>
        <v>695</v>
      </c>
      <c r="T449" s="83">
        <f>50</f>
        <v>50</v>
      </c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</row>
    <row r="450" spans="1:30" ht="15.75" x14ac:dyDescent="0.25">
      <c r="A450" s="14">
        <v>54635</v>
      </c>
      <c r="B450" s="96">
        <v>31</v>
      </c>
      <c r="C450" s="83">
        <f>194.205</f>
        <v>194.20500000000001</v>
      </c>
      <c r="D450" s="83">
        <f>267.466</f>
        <v>267.46600000000001</v>
      </c>
      <c r="E450" s="92">
        <f>133.845</f>
        <v>133.845</v>
      </c>
      <c r="F450" s="83">
        <f>278.484-40-25-60-100</f>
        <v>53.48399999999998</v>
      </c>
      <c r="G450" s="86">
        <v>40</v>
      </c>
      <c r="H450" s="83">
        <f t="shared" si="71"/>
        <v>185</v>
      </c>
      <c r="I450" s="83">
        <f t="shared" si="70"/>
        <v>0</v>
      </c>
      <c r="J450" s="86">
        <v>100</v>
      </c>
      <c r="K450" s="86">
        <v>300</v>
      </c>
      <c r="L450" s="83">
        <f t="shared" si="63"/>
        <v>1274</v>
      </c>
      <c r="M450" s="94">
        <v>600</v>
      </c>
      <c r="N450" s="83">
        <f>30</f>
        <v>30</v>
      </c>
      <c r="O450" s="86">
        <v>240</v>
      </c>
      <c r="P450" s="86">
        <v>160</v>
      </c>
      <c r="Q450" s="86">
        <f t="shared" si="64"/>
        <v>195</v>
      </c>
      <c r="R450" s="86">
        <f t="shared" si="65"/>
        <v>100</v>
      </c>
      <c r="S450" s="83">
        <f t="shared" si="66"/>
        <v>695</v>
      </c>
      <c r="T450" s="83">
        <f>0</f>
        <v>0</v>
      </c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</row>
    <row r="451" spans="1:30" ht="15.75" x14ac:dyDescent="0.25">
      <c r="A451" s="14">
        <v>54666</v>
      </c>
      <c r="B451" s="96">
        <v>31</v>
      </c>
      <c r="C451" s="83">
        <f>194.205</f>
        <v>194.20500000000001</v>
      </c>
      <c r="D451" s="83">
        <f>267.466</f>
        <v>267.46600000000001</v>
      </c>
      <c r="E451" s="92">
        <f>133.845</f>
        <v>133.845</v>
      </c>
      <c r="F451" s="83">
        <f>278.484-40-25-60-100</f>
        <v>53.48399999999998</v>
      </c>
      <c r="G451" s="86">
        <v>40</v>
      </c>
      <c r="H451" s="83">
        <f t="shared" si="71"/>
        <v>185</v>
      </c>
      <c r="I451" s="83">
        <f t="shared" si="70"/>
        <v>0</v>
      </c>
      <c r="J451" s="86">
        <v>100</v>
      </c>
      <c r="K451" s="86">
        <v>300</v>
      </c>
      <c r="L451" s="83">
        <f t="shared" si="63"/>
        <v>1274</v>
      </c>
      <c r="M451" s="94">
        <v>600</v>
      </c>
      <c r="N451" s="83">
        <f>30</f>
        <v>30</v>
      </c>
      <c r="O451" s="86">
        <v>240</v>
      </c>
      <c r="P451" s="86">
        <v>160</v>
      </c>
      <c r="Q451" s="86">
        <f t="shared" si="64"/>
        <v>195</v>
      </c>
      <c r="R451" s="86">
        <f t="shared" si="65"/>
        <v>100</v>
      </c>
      <c r="S451" s="83">
        <f t="shared" si="66"/>
        <v>695</v>
      </c>
      <c r="T451" s="83">
        <f>0</f>
        <v>0</v>
      </c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</row>
    <row r="452" spans="1:30" ht="15.75" x14ac:dyDescent="0.25">
      <c r="A452" s="14">
        <v>54696</v>
      </c>
      <c r="B452" s="96">
        <v>30</v>
      </c>
      <c r="C452" s="83">
        <f>194.205</f>
        <v>194.20500000000001</v>
      </c>
      <c r="D452" s="83">
        <f>267.466</f>
        <v>267.46600000000001</v>
      </c>
      <c r="E452" s="92">
        <f>133.845</f>
        <v>133.845</v>
      </c>
      <c r="F452" s="83">
        <f>278.484-40-25-60-100</f>
        <v>53.48399999999998</v>
      </c>
      <c r="G452" s="86">
        <v>40</v>
      </c>
      <c r="H452" s="83">
        <f t="shared" si="71"/>
        <v>185</v>
      </c>
      <c r="I452" s="83">
        <f t="shared" si="70"/>
        <v>0</v>
      </c>
      <c r="J452" s="86">
        <v>100</v>
      </c>
      <c r="K452" s="86">
        <v>300</v>
      </c>
      <c r="L452" s="83">
        <f t="shared" si="63"/>
        <v>1274</v>
      </c>
      <c r="M452" s="94">
        <v>600</v>
      </c>
      <c r="N452" s="83">
        <f>30</f>
        <v>30</v>
      </c>
      <c r="O452" s="86">
        <v>240</v>
      </c>
      <c r="P452" s="86">
        <v>160</v>
      </c>
      <c r="Q452" s="86">
        <f t="shared" si="64"/>
        <v>195</v>
      </c>
      <c r="R452" s="86">
        <f t="shared" si="65"/>
        <v>100</v>
      </c>
      <c r="S452" s="83">
        <f t="shared" si="66"/>
        <v>695</v>
      </c>
      <c r="T452" s="83">
        <f>0</f>
        <v>0</v>
      </c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</row>
    <row r="453" spans="1:30" ht="15.75" x14ac:dyDescent="0.25">
      <c r="A453" s="14">
        <v>54727</v>
      </c>
      <c r="B453" s="96">
        <v>31</v>
      </c>
      <c r="C453" s="83">
        <f>131.881</f>
        <v>131.881</v>
      </c>
      <c r="D453" s="83">
        <f>277.167</f>
        <v>277.16699999999997</v>
      </c>
      <c r="E453" s="92">
        <f>79.08</f>
        <v>79.08</v>
      </c>
      <c r="F453" s="83">
        <f>350.872-40-25-60-100</f>
        <v>125.87200000000001</v>
      </c>
      <c r="G453" s="86">
        <v>40</v>
      </c>
      <c r="H453" s="83">
        <f t="shared" si="71"/>
        <v>185</v>
      </c>
      <c r="I453" s="83">
        <f t="shared" si="70"/>
        <v>0</v>
      </c>
      <c r="J453" s="86">
        <v>100</v>
      </c>
      <c r="K453" s="86">
        <v>300</v>
      </c>
      <c r="L453" s="83">
        <f t="shared" si="63"/>
        <v>1239</v>
      </c>
      <c r="M453" s="94">
        <v>600</v>
      </c>
      <c r="N453" s="83">
        <f>75</f>
        <v>75</v>
      </c>
      <c r="O453" s="86">
        <v>240</v>
      </c>
      <c r="P453" s="86">
        <v>160</v>
      </c>
      <c r="Q453" s="86">
        <f t="shared" si="64"/>
        <v>195</v>
      </c>
      <c r="R453" s="86">
        <f t="shared" si="65"/>
        <v>100</v>
      </c>
      <c r="S453" s="83">
        <f t="shared" si="66"/>
        <v>695</v>
      </c>
      <c r="T453" s="83">
        <f>0</f>
        <v>0</v>
      </c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</row>
    <row r="454" spans="1:30" ht="15.75" x14ac:dyDescent="0.25">
      <c r="A454" s="14">
        <v>54757</v>
      </c>
      <c r="B454" s="96">
        <v>30</v>
      </c>
      <c r="C454" s="83">
        <f>122.58</f>
        <v>122.58</v>
      </c>
      <c r="D454" s="83">
        <f>297.941</f>
        <v>297.94099999999997</v>
      </c>
      <c r="E454" s="92">
        <f>89.177</f>
        <v>89.177000000000007</v>
      </c>
      <c r="F454" s="83">
        <f>240.302-40-60-100</f>
        <v>40.301999999999992</v>
      </c>
      <c r="G454" s="86">
        <v>40</v>
      </c>
      <c r="H454" s="83">
        <f>60+100</f>
        <v>160</v>
      </c>
      <c r="I454" s="83">
        <f t="shared" si="70"/>
        <v>0</v>
      </c>
      <c r="J454" s="86">
        <v>100</v>
      </c>
      <c r="K454" s="86">
        <v>300</v>
      </c>
      <c r="L454" s="83">
        <f t="shared" si="63"/>
        <v>1150</v>
      </c>
      <c r="M454" s="94">
        <v>600</v>
      </c>
      <c r="N454" s="83">
        <f>100</f>
        <v>100</v>
      </c>
      <c r="O454" s="86">
        <v>240</v>
      </c>
      <c r="P454" s="86">
        <v>40</v>
      </c>
      <c r="Q454" s="86">
        <f t="shared" si="64"/>
        <v>315</v>
      </c>
      <c r="R454" s="86">
        <f t="shared" si="65"/>
        <v>100</v>
      </c>
      <c r="S454" s="83">
        <f t="shared" si="66"/>
        <v>695</v>
      </c>
      <c r="T454" s="83">
        <f>50</f>
        <v>50</v>
      </c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</row>
    <row r="455" spans="1:30" ht="15.75" x14ac:dyDescent="0.25">
      <c r="A455" s="14">
        <v>54788</v>
      </c>
      <c r="B455" s="96">
        <v>31</v>
      </c>
      <c r="C455" s="83">
        <f>122.58</f>
        <v>122.58</v>
      </c>
      <c r="D455" s="83">
        <f>297.941</f>
        <v>297.94099999999997</v>
      </c>
      <c r="E455" s="92">
        <f>89.177</f>
        <v>89.177000000000007</v>
      </c>
      <c r="F455" s="83">
        <f>240.302-40-60-100</f>
        <v>40.301999999999992</v>
      </c>
      <c r="G455" s="86">
        <v>40</v>
      </c>
      <c r="H455" s="83">
        <f>60+100</f>
        <v>160</v>
      </c>
      <c r="I455" s="83">
        <f t="shared" si="70"/>
        <v>0</v>
      </c>
      <c r="J455" s="86">
        <v>100</v>
      </c>
      <c r="K455" s="86">
        <v>300</v>
      </c>
      <c r="L455" s="83">
        <f t="shared" si="63"/>
        <v>1150</v>
      </c>
      <c r="M455" s="94">
        <v>600</v>
      </c>
      <c r="N455" s="83">
        <f>100</f>
        <v>100</v>
      </c>
      <c r="O455" s="86">
        <v>240</v>
      </c>
      <c r="P455" s="86">
        <v>40</v>
      </c>
      <c r="Q455" s="86">
        <f t="shared" si="64"/>
        <v>315</v>
      </c>
      <c r="R455" s="86">
        <f t="shared" si="65"/>
        <v>100</v>
      </c>
      <c r="S455" s="83">
        <f t="shared" si="66"/>
        <v>695</v>
      </c>
      <c r="T455" s="83">
        <f>50</f>
        <v>50</v>
      </c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</row>
    <row r="456" spans="1:30" ht="15.75" x14ac:dyDescent="0.25">
      <c r="A456" s="14">
        <v>54819</v>
      </c>
      <c r="B456" s="96">
        <v>31</v>
      </c>
      <c r="C456" s="83">
        <f>122.58</f>
        <v>122.58</v>
      </c>
      <c r="D456" s="83">
        <f>297.941</f>
        <v>297.94099999999997</v>
      </c>
      <c r="E456" s="92">
        <f>89.177</f>
        <v>89.177000000000007</v>
      </c>
      <c r="F456" s="83">
        <f>240.302-40-60-100</f>
        <v>40.301999999999992</v>
      </c>
      <c r="G456" s="86">
        <v>40</v>
      </c>
      <c r="H456" s="83">
        <f>60+100</f>
        <v>160</v>
      </c>
      <c r="I456" s="83">
        <f t="shared" si="70"/>
        <v>0</v>
      </c>
      <c r="J456" s="86">
        <v>100</v>
      </c>
      <c r="K456" s="86">
        <v>300</v>
      </c>
      <c r="L456" s="83">
        <f t="shared" si="63"/>
        <v>1150</v>
      </c>
      <c r="M456" s="94">
        <v>600</v>
      </c>
      <c r="N456" s="83">
        <f>100</f>
        <v>100</v>
      </c>
      <c r="O456" s="86">
        <v>240</v>
      </c>
      <c r="P456" s="86">
        <v>40</v>
      </c>
      <c r="Q456" s="86">
        <f t="shared" si="64"/>
        <v>315</v>
      </c>
      <c r="R456" s="86">
        <f t="shared" si="65"/>
        <v>100</v>
      </c>
      <c r="S456" s="83">
        <f t="shared" si="66"/>
        <v>695</v>
      </c>
      <c r="T456" s="83">
        <f>50</f>
        <v>50</v>
      </c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</row>
    <row r="457" spans="1:30" ht="15.75" x14ac:dyDescent="0.25">
      <c r="A457" s="14">
        <v>54847</v>
      </c>
      <c r="B457" s="96">
        <v>28</v>
      </c>
      <c r="C457" s="83">
        <f>122.58</f>
        <v>122.58</v>
      </c>
      <c r="D457" s="83">
        <f>297.941</f>
        <v>297.94099999999997</v>
      </c>
      <c r="E457" s="92">
        <f>89.177</f>
        <v>89.177000000000007</v>
      </c>
      <c r="F457" s="83">
        <f>240.302-40-60-100</f>
        <v>40.301999999999992</v>
      </c>
      <c r="G457" s="86">
        <v>40</v>
      </c>
      <c r="H457" s="83">
        <f>60+100</f>
        <v>160</v>
      </c>
      <c r="I457" s="83">
        <f t="shared" si="70"/>
        <v>0</v>
      </c>
      <c r="J457" s="86">
        <v>100</v>
      </c>
      <c r="K457" s="86">
        <v>300</v>
      </c>
      <c r="L457" s="83">
        <f t="shared" si="63"/>
        <v>1150</v>
      </c>
      <c r="M457" s="94">
        <v>600</v>
      </c>
      <c r="N457" s="83">
        <f>100</f>
        <v>100</v>
      </c>
      <c r="O457" s="86">
        <v>240</v>
      </c>
      <c r="P457" s="86">
        <v>40</v>
      </c>
      <c r="Q457" s="86">
        <f t="shared" si="64"/>
        <v>315</v>
      </c>
      <c r="R457" s="86">
        <f t="shared" si="65"/>
        <v>100</v>
      </c>
      <c r="S457" s="83">
        <f t="shared" si="66"/>
        <v>695</v>
      </c>
      <c r="T457" s="83">
        <f>50</f>
        <v>50</v>
      </c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</row>
    <row r="458" spans="1:30" ht="15.75" x14ac:dyDescent="0.25">
      <c r="A458" s="14">
        <v>54878</v>
      </c>
      <c r="B458" s="96">
        <v>31</v>
      </c>
      <c r="C458" s="83">
        <f>122.58</f>
        <v>122.58</v>
      </c>
      <c r="D458" s="83">
        <f>297.941</f>
        <v>297.94099999999997</v>
      </c>
      <c r="E458" s="92">
        <f>89.177</f>
        <v>89.177000000000007</v>
      </c>
      <c r="F458" s="83">
        <f>240.302-40-60-100</f>
        <v>40.301999999999992</v>
      </c>
      <c r="G458" s="86">
        <v>40</v>
      </c>
      <c r="H458" s="83">
        <f>60+100</f>
        <v>160</v>
      </c>
      <c r="I458" s="83">
        <f t="shared" si="70"/>
        <v>0</v>
      </c>
      <c r="J458" s="86">
        <v>100</v>
      </c>
      <c r="K458" s="86">
        <v>300</v>
      </c>
      <c r="L458" s="83">
        <f t="shared" si="63"/>
        <v>1150</v>
      </c>
      <c r="M458" s="94">
        <v>600</v>
      </c>
      <c r="N458" s="83">
        <f>100</f>
        <v>100</v>
      </c>
      <c r="O458" s="86">
        <v>240</v>
      </c>
      <c r="P458" s="86">
        <v>40</v>
      </c>
      <c r="Q458" s="86">
        <f t="shared" si="64"/>
        <v>315</v>
      </c>
      <c r="R458" s="86">
        <f t="shared" si="65"/>
        <v>100</v>
      </c>
      <c r="S458" s="83">
        <f t="shared" si="66"/>
        <v>695</v>
      </c>
      <c r="T458" s="83">
        <f>50</f>
        <v>50</v>
      </c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</row>
    <row r="459" spans="1:30" ht="15.75" x14ac:dyDescent="0.25">
      <c r="A459" s="14">
        <v>54908</v>
      </c>
      <c r="B459" s="96">
        <v>30</v>
      </c>
      <c r="C459" s="83">
        <f>141.293</f>
        <v>141.29300000000001</v>
      </c>
      <c r="D459" s="83">
        <f>267.993</f>
        <v>267.99299999999999</v>
      </c>
      <c r="E459" s="92">
        <f>115.016</f>
        <v>115.01600000000001</v>
      </c>
      <c r="F459" s="83">
        <f>314.698-40-25-60-100</f>
        <v>89.697999999999979</v>
      </c>
      <c r="G459" s="86">
        <v>40</v>
      </c>
      <c r="H459" s="83">
        <f t="shared" ref="H459:H465" si="72">25+60+100</f>
        <v>185</v>
      </c>
      <c r="I459" s="83">
        <f t="shared" si="70"/>
        <v>0</v>
      </c>
      <c r="J459" s="86">
        <v>100</v>
      </c>
      <c r="K459" s="86">
        <v>300</v>
      </c>
      <c r="L459" s="83">
        <f t="shared" si="63"/>
        <v>1239</v>
      </c>
      <c r="M459" s="94">
        <v>600</v>
      </c>
      <c r="N459" s="83">
        <f>100</f>
        <v>100</v>
      </c>
      <c r="O459" s="86">
        <v>240</v>
      </c>
      <c r="P459" s="86">
        <v>160</v>
      </c>
      <c r="Q459" s="86">
        <f t="shared" si="64"/>
        <v>195</v>
      </c>
      <c r="R459" s="86">
        <f t="shared" si="65"/>
        <v>100</v>
      </c>
      <c r="S459" s="83">
        <f t="shared" si="66"/>
        <v>695</v>
      </c>
      <c r="T459" s="83">
        <f>50</f>
        <v>50</v>
      </c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</row>
    <row r="460" spans="1:30" ht="15.75" x14ac:dyDescent="0.25">
      <c r="A460" s="14">
        <v>54939</v>
      </c>
      <c r="B460" s="96">
        <v>31</v>
      </c>
      <c r="C460" s="83">
        <f>194.205</f>
        <v>194.20500000000001</v>
      </c>
      <c r="D460" s="83">
        <f>267.466</f>
        <v>267.46600000000001</v>
      </c>
      <c r="E460" s="92">
        <f>133.845</f>
        <v>133.845</v>
      </c>
      <c r="F460" s="83">
        <f>278.484-40-25-60-100</f>
        <v>53.48399999999998</v>
      </c>
      <c r="G460" s="86">
        <v>40</v>
      </c>
      <c r="H460" s="83">
        <f t="shared" si="72"/>
        <v>185</v>
      </c>
      <c r="I460" s="83">
        <f t="shared" si="70"/>
        <v>0</v>
      </c>
      <c r="J460" s="86">
        <v>100</v>
      </c>
      <c r="K460" s="86">
        <v>300</v>
      </c>
      <c r="L460" s="83">
        <f t="shared" si="63"/>
        <v>1274</v>
      </c>
      <c r="M460" s="94">
        <v>600</v>
      </c>
      <c r="N460" s="83">
        <f>75</f>
        <v>75</v>
      </c>
      <c r="O460" s="86">
        <v>240</v>
      </c>
      <c r="P460" s="86">
        <v>160</v>
      </c>
      <c r="Q460" s="86">
        <f t="shared" si="64"/>
        <v>195</v>
      </c>
      <c r="R460" s="86">
        <f t="shared" si="65"/>
        <v>100</v>
      </c>
      <c r="S460" s="83">
        <f t="shared" si="66"/>
        <v>695</v>
      </c>
      <c r="T460" s="83">
        <f>50</f>
        <v>50</v>
      </c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</row>
    <row r="461" spans="1:30" ht="15.75" x14ac:dyDescent="0.25">
      <c r="A461" s="14">
        <v>54969</v>
      </c>
      <c r="B461" s="96">
        <v>30</v>
      </c>
      <c r="C461" s="83">
        <f>194.205</f>
        <v>194.20500000000001</v>
      </c>
      <c r="D461" s="83">
        <f>267.466</f>
        <v>267.46600000000001</v>
      </c>
      <c r="E461" s="92">
        <f>133.845</f>
        <v>133.845</v>
      </c>
      <c r="F461" s="83">
        <f>278.484-40-25-60-100</f>
        <v>53.48399999999998</v>
      </c>
      <c r="G461" s="86">
        <v>40</v>
      </c>
      <c r="H461" s="83">
        <f t="shared" si="72"/>
        <v>185</v>
      </c>
      <c r="I461" s="83">
        <f t="shared" si="70"/>
        <v>0</v>
      </c>
      <c r="J461" s="86">
        <v>100</v>
      </c>
      <c r="K461" s="86">
        <v>300</v>
      </c>
      <c r="L461" s="83">
        <f t="shared" si="63"/>
        <v>1274</v>
      </c>
      <c r="M461" s="94">
        <v>600</v>
      </c>
      <c r="N461" s="83">
        <f>30</f>
        <v>30</v>
      </c>
      <c r="O461" s="86">
        <v>240</v>
      </c>
      <c r="P461" s="86">
        <v>160</v>
      </c>
      <c r="Q461" s="86">
        <f t="shared" si="64"/>
        <v>195</v>
      </c>
      <c r="R461" s="86">
        <f t="shared" si="65"/>
        <v>100</v>
      </c>
      <c r="S461" s="83">
        <f t="shared" si="66"/>
        <v>695</v>
      </c>
      <c r="T461" s="83">
        <f>50</f>
        <v>50</v>
      </c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</row>
    <row r="462" spans="1:30" ht="15.75" x14ac:dyDescent="0.25">
      <c r="A462" s="14">
        <v>55000</v>
      </c>
      <c r="B462" s="96">
        <v>31</v>
      </c>
      <c r="C462" s="83">
        <f>194.205</f>
        <v>194.20500000000001</v>
      </c>
      <c r="D462" s="83">
        <f>267.466</f>
        <v>267.46600000000001</v>
      </c>
      <c r="E462" s="92">
        <f>133.845</f>
        <v>133.845</v>
      </c>
      <c r="F462" s="83">
        <f>278.484-40-25-60-100</f>
        <v>53.48399999999998</v>
      </c>
      <c r="G462" s="86">
        <v>40</v>
      </c>
      <c r="H462" s="83">
        <f t="shared" si="72"/>
        <v>185</v>
      </c>
      <c r="I462" s="83">
        <f t="shared" si="70"/>
        <v>0</v>
      </c>
      <c r="J462" s="86">
        <v>100</v>
      </c>
      <c r="K462" s="86">
        <v>300</v>
      </c>
      <c r="L462" s="83">
        <f t="shared" si="63"/>
        <v>1274</v>
      </c>
      <c r="M462" s="94">
        <v>600</v>
      </c>
      <c r="N462" s="83">
        <f>30</f>
        <v>30</v>
      </c>
      <c r="O462" s="86">
        <v>240</v>
      </c>
      <c r="P462" s="86">
        <v>160</v>
      </c>
      <c r="Q462" s="86">
        <f t="shared" si="64"/>
        <v>195</v>
      </c>
      <c r="R462" s="86">
        <f t="shared" si="65"/>
        <v>100</v>
      </c>
      <c r="S462" s="83">
        <f t="shared" si="66"/>
        <v>695</v>
      </c>
      <c r="T462" s="83">
        <f>0</f>
        <v>0</v>
      </c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</row>
    <row r="463" spans="1:30" ht="15.75" x14ac:dyDescent="0.25">
      <c r="A463" s="14">
        <v>55031</v>
      </c>
      <c r="B463" s="96">
        <v>31</v>
      </c>
      <c r="C463" s="83">
        <f>194.205</f>
        <v>194.20500000000001</v>
      </c>
      <c r="D463" s="83">
        <f>267.466</f>
        <v>267.46600000000001</v>
      </c>
      <c r="E463" s="92">
        <f>133.845</f>
        <v>133.845</v>
      </c>
      <c r="F463" s="83">
        <f>278.484-40-25-60-100</f>
        <v>53.48399999999998</v>
      </c>
      <c r="G463" s="86">
        <v>40</v>
      </c>
      <c r="H463" s="83">
        <f t="shared" si="72"/>
        <v>185</v>
      </c>
      <c r="I463" s="83">
        <f t="shared" si="70"/>
        <v>0</v>
      </c>
      <c r="J463" s="86">
        <v>100</v>
      </c>
      <c r="K463" s="86">
        <v>300</v>
      </c>
      <c r="L463" s="83">
        <f t="shared" si="63"/>
        <v>1274</v>
      </c>
      <c r="M463" s="94">
        <v>600</v>
      </c>
      <c r="N463" s="83">
        <f>30</f>
        <v>30</v>
      </c>
      <c r="O463" s="86">
        <v>240</v>
      </c>
      <c r="P463" s="86">
        <v>160</v>
      </c>
      <c r="Q463" s="86">
        <f t="shared" si="64"/>
        <v>195</v>
      </c>
      <c r="R463" s="86">
        <f t="shared" si="65"/>
        <v>100</v>
      </c>
      <c r="S463" s="83">
        <f t="shared" si="66"/>
        <v>695</v>
      </c>
      <c r="T463" s="83">
        <f>0</f>
        <v>0</v>
      </c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</row>
    <row r="464" spans="1:30" ht="15.75" x14ac:dyDescent="0.25">
      <c r="A464" s="14">
        <v>55061</v>
      </c>
      <c r="B464" s="96">
        <v>30</v>
      </c>
      <c r="C464" s="83">
        <f>194.205</f>
        <v>194.20500000000001</v>
      </c>
      <c r="D464" s="83">
        <f>267.466</f>
        <v>267.46600000000001</v>
      </c>
      <c r="E464" s="92">
        <f>133.845</f>
        <v>133.845</v>
      </c>
      <c r="F464" s="83">
        <f>278.484-40-25-60-100</f>
        <v>53.48399999999998</v>
      </c>
      <c r="G464" s="86">
        <v>40</v>
      </c>
      <c r="H464" s="83">
        <f t="shared" si="72"/>
        <v>185</v>
      </c>
      <c r="I464" s="83">
        <f t="shared" si="70"/>
        <v>0</v>
      </c>
      <c r="J464" s="86">
        <v>100</v>
      </c>
      <c r="K464" s="86">
        <v>300</v>
      </c>
      <c r="L464" s="83">
        <f t="shared" si="63"/>
        <v>1274</v>
      </c>
      <c r="M464" s="94">
        <v>600</v>
      </c>
      <c r="N464" s="83">
        <f>30</f>
        <v>30</v>
      </c>
      <c r="O464" s="86">
        <v>240</v>
      </c>
      <c r="P464" s="86">
        <v>160</v>
      </c>
      <c r="Q464" s="86">
        <f t="shared" si="64"/>
        <v>195</v>
      </c>
      <c r="R464" s="86">
        <f t="shared" si="65"/>
        <v>100</v>
      </c>
      <c r="S464" s="83">
        <f t="shared" si="66"/>
        <v>695</v>
      </c>
      <c r="T464" s="83">
        <f>0</f>
        <v>0</v>
      </c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</row>
    <row r="465" spans="1:30" ht="15.75" x14ac:dyDescent="0.25">
      <c r="A465" s="14">
        <v>55092</v>
      </c>
      <c r="B465" s="96">
        <v>31</v>
      </c>
      <c r="C465" s="83">
        <f>131.881</f>
        <v>131.881</v>
      </c>
      <c r="D465" s="83">
        <f>277.167</f>
        <v>277.16699999999997</v>
      </c>
      <c r="E465" s="92">
        <f>79.08</f>
        <v>79.08</v>
      </c>
      <c r="F465" s="83">
        <f>350.872-40-25-60-100</f>
        <v>125.87200000000001</v>
      </c>
      <c r="G465" s="86">
        <v>40</v>
      </c>
      <c r="H465" s="83">
        <f t="shared" si="72"/>
        <v>185</v>
      </c>
      <c r="I465" s="83">
        <f t="shared" si="70"/>
        <v>0</v>
      </c>
      <c r="J465" s="86">
        <v>100</v>
      </c>
      <c r="K465" s="86">
        <v>300</v>
      </c>
      <c r="L465" s="83">
        <f t="shared" si="63"/>
        <v>1239</v>
      </c>
      <c r="M465" s="94">
        <v>600</v>
      </c>
      <c r="N465" s="83">
        <f>75</f>
        <v>75</v>
      </c>
      <c r="O465" s="86">
        <v>240</v>
      </c>
      <c r="P465" s="86">
        <v>160</v>
      </c>
      <c r="Q465" s="86">
        <f t="shared" si="64"/>
        <v>195</v>
      </c>
      <c r="R465" s="86">
        <f t="shared" si="65"/>
        <v>100</v>
      </c>
      <c r="S465" s="83">
        <f t="shared" si="66"/>
        <v>695</v>
      </c>
      <c r="T465" s="83">
        <f>0</f>
        <v>0</v>
      </c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</row>
    <row r="466" spans="1:30" ht="15.75" x14ac:dyDescent="0.25">
      <c r="A466" s="14">
        <v>55122</v>
      </c>
      <c r="B466" s="96">
        <v>30</v>
      </c>
      <c r="C466" s="83">
        <f>122.58</f>
        <v>122.58</v>
      </c>
      <c r="D466" s="83">
        <f>297.941</f>
        <v>297.94099999999997</v>
      </c>
      <c r="E466" s="92">
        <f>89.177</f>
        <v>89.177000000000007</v>
      </c>
      <c r="F466" s="83">
        <f>240.302-40-60-100</f>
        <v>40.301999999999992</v>
      </c>
      <c r="G466" s="86">
        <v>40</v>
      </c>
      <c r="H466" s="83">
        <f>60+100</f>
        <v>160</v>
      </c>
      <c r="I466" s="83">
        <f t="shared" si="70"/>
        <v>0</v>
      </c>
      <c r="J466" s="86">
        <v>100</v>
      </c>
      <c r="K466" s="86">
        <v>300</v>
      </c>
      <c r="L466" s="83">
        <f t="shared" si="63"/>
        <v>1150</v>
      </c>
      <c r="M466" s="94">
        <v>600</v>
      </c>
      <c r="N466" s="83">
        <f>100</f>
        <v>100</v>
      </c>
      <c r="O466" s="86">
        <v>240</v>
      </c>
      <c r="P466" s="86">
        <v>40</v>
      </c>
      <c r="Q466" s="86">
        <f t="shared" si="64"/>
        <v>315</v>
      </c>
      <c r="R466" s="86">
        <f t="shared" si="65"/>
        <v>100</v>
      </c>
      <c r="S466" s="83">
        <f t="shared" si="66"/>
        <v>695</v>
      </c>
      <c r="T466" s="83">
        <f>50</f>
        <v>50</v>
      </c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</row>
    <row r="467" spans="1:30" ht="15.75" x14ac:dyDescent="0.25">
      <c r="A467" s="14">
        <v>55153</v>
      </c>
      <c r="B467" s="96">
        <v>31</v>
      </c>
      <c r="C467" s="83">
        <f>122.58</f>
        <v>122.58</v>
      </c>
      <c r="D467" s="83">
        <f>297.941</f>
        <v>297.94099999999997</v>
      </c>
      <c r="E467" s="92">
        <f>89.177</f>
        <v>89.177000000000007</v>
      </c>
      <c r="F467" s="83">
        <f>240.302-40-60-100</f>
        <v>40.301999999999992</v>
      </c>
      <c r="G467" s="86">
        <v>40</v>
      </c>
      <c r="H467" s="83">
        <f>60+100</f>
        <v>160</v>
      </c>
      <c r="I467" s="83">
        <f t="shared" si="70"/>
        <v>0</v>
      </c>
      <c r="J467" s="86">
        <v>100</v>
      </c>
      <c r="K467" s="86">
        <v>300</v>
      </c>
      <c r="L467" s="83">
        <f t="shared" si="63"/>
        <v>1150</v>
      </c>
      <c r="M467" s="94">
        <v>600</v>
      </c>
      <c r="N467" s="83">
        <f>100</f>
        <v>100</v>
      </c>
      <c r="O467" s="86">
        <v>240</v>
      </c>
      <c r="P467" s="86">
        <v>40</v>
      </c>
      <c r="Q467" s="86">
        <f t="shared" si="64"/>
        <v>315</v>
      </c>
      <c r="R467" s="86">
        <f t="shared" si="65"/>
        <v>100</v>
      </c>
      <c r="S467" s="83">
        <f t="shared" si="66"/>
        <v>695</v>
      </c>
      <c r="T467" s="83">
        <f>50</f>
        <v>50</v>
      </c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</row>
    <row r="468" spans="1:30" ht="15.75" x14ac:dyDescent="0.25">
      <c r="A468" s="14">
        <v>55184</v>
      </c>
      <c r="B468" s="96">
        <v>31</v>
      </c>
      <c r="C468" s="83">
        <f>122.58</f>
        <v>122.58</v>
      </c>
      <c r="D468" s="83">
        <f>297.941</f>
        <v>297.94099999999997</v>
      </c>
      <c r="E468" s="92">
        <f>89.177</f>
        <v>89.177000000000007</v>
      </c>
      <c r="F468" s="83">
        <f>240.302-40-60-100</f>
        <v>40.301999999999992</v>
      </c>
      <c r="G468" s="86">
        <v>40</v>
      </c>
      <c r="H468" s="83">
        <f>60+100</f>
        <v>160</v>
      </c>
      <c r="I468" s="83">
        <f t="shared" si="70"/>
        <v>0</v>
      </c>
      <c r="J468" s="86">
        <v>100</v>
      </c>
      <c r="K468" s="86">
        <v>300</v>
      </c>
      <c r="L468" s="83">
        <f t="shared" si="63"/>
        <v>1150</v>
      </c>
      <c r="M468" s="94">
        <v>600</v>
      </c>
      <c r="N468" s="83">
        <f>100</f>
        <v>100</v>
      </c>
      <c r="O468" s="86">
        <v>240</v>
      </c>
      <c r="P468" s="86">
        <v>40</v>
      </c>
      <c r="Q468" s="86">
        <f t="shared" si="64"/>
        <v>315</v>
      </c>
      <c r="R468" s="86">
        <f t="shared" si="65"/>
        <v>100</v>
      </c>
      <c r="S468" s="83">
        <f t="shared" si="66"/>
        <v>695</v>
      </c>
      <c r="T468" s="83">
        <f>50</f>
        <v>50</v>
      </c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</row>
    <row r="469" spans="1:30" ht="15.75" x14ac:dyDescent="0.25">
      <c r="A469" s="14">
        <v>55212</v>
      </c>
      <c r="B469" s="96">
        <v>28</v>
      </c>
      <c r="C469" s="83">
        <f>122.58</f>
        <v>122.58</v>
      </c>
      <c r="D469" s="83">
        <f>297.941</f>
        <v>297.94099999999997</v>
      </c>
      <c r="E469" s="92">
        <f>89.177</f>
        <v>89.177000000000007</v>
      </c>
      <c r="F469" s="83">
        <f>240.302-40-60-100</f>
        <v>40.301999999999992</v>
      </c>
      <c r="G469" s="86">
        <v>40</v>
      </c>
      <c r="H469" s="83">
        <f>60+100</f>
        <v>160</v>
      </c>
      <c r="I469" s="83">
        <f t="shared" si="70"/>
        <v>0</v>
      </c>
      <c r="J469" s="86">
        <v>100</v>
      </c>
      <c r="K469" s="86">
        <v>300</v>
      </c>
      <c r="L469" s="83">
        <f t="shared" si="63"/>
        <v>1150</v>
      </c>
      <c r="M469" s="94">
        <v>600</v>
      </c>
      <c r="N469" s="83">
        <f>100</f>
        <v>100</v>
      </c>
      <c r="O469" s="86">
        <v>240</v>
      </c>
      <c r="P469" s="86">
        <v>40</v>
      </c>
      <c r="Q469" s="86">
        <f t="shared" si="64"/>
        <v>315</v>
      </c>
      <c r="R469" s="86">
        <f t="shared" si="65"/>
        <v>100</v>
      </c>
      <c r="S469" s="83">
        <f t="shared" si="66"/>
        <v>695</v>
      </c>
      <c r="T469" s="83">
        <f>50</f>
        <v>50</v>
      </c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</row>
    <row r="470" spans="1:30" ht="15.75" x14ac:dyDescent="0.25">
      <c r="A470" s="14">
        <v>55243</v>
      </c>
      <c r="B470" s="96">
        <v>31</v>
      </c>
      <c r="C470" s="83">
        <f>122.58</f>
        <v>122.58</v>
      </c>
      <c r="D470" s="83">
        <f>297.941</f>
        <v>297.94099999999997</v>
      </c>
      <c r="E470" s="92">
        <f>89.177</f>
        <v>89.177000000000007</v>
      </c>
      <c r="F470" s="83">
        <f>240.302-40-60-100</f>
        <v>40.301999999999992</v>
      </c>
      <c r="G470" s="86">
        <v>40</v>
      </c>
      <c r="H470" s="83">
        <f>60+100</f>
        <v>160</v>
      </c>
      <c r="I470" s="83">
        <f t="shared" si="70"/>
        <v>0</v>
      </c>
      <c r="J470" s="86">
        <v>100</v>
      </c>
      <c r="K470" s="86">
        <v>300</v>
      </c>
      <c r="L470" s="83">
        <f t="shared" si="63"/>
        <v>1150</v>
      </c>
      <c r="M470" s="94">
        <v>600</v>
      </c>
      <c r="N470" s="83">
        <f>100</f>
        <v>100</v>
      </c>
      <c r="O470" s="86">
        <v>240</v>
      </c>
      <c r="P470" s="86">
        <v>40</v>
      </c>
      <c r="Q470" s="86">
        <f t="shared" si="64"/>
        <v>315</v>
      </c>
      <c r="R470" s="86">
        <f t="shared" si="65"/>
        <v>100</v>
      </c>
      <c r="S470" s="83">
        <f t="shared" si="66"/>
        <v>695</v>
      </c>
      <c r="T470" s="83">
        <f>50</f>
        <v>50</v>
      </c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</row>
    <row r="471" spans="1:30" ht="15.75" x14ac:dyDescent="0.25">
      <c r="A471" s="14">
        <v>55273</v>
      </c>
      <c r="B471" s="96">
        <v>30</v>
      </c>
      <c r="C471" s="83">
        <f>141.293</f>
        <v>141.29300000000001</v>
      </c>
      <c r="D471" s="83">
        <f>267.993</f>
        <v>267.99299999999999</v>
      </c>
      <c r="E471" s="92">
        <f>115.016</f>
        <v>115.01600000000001</v>
      </c>
      <c r="F471" s="83">
        <f>314.698-40-25-60-100</f>
        <v>89.697999999999979</v>
      </c>
      <c r="G471" s="86">
        <v>40</v>
      </c>
      <c r="H471" s="83">
        <f t="shared" ref="H471:H477" si="73">25+60+100</f>
        <v>185</v>
      </c>
      <c r="I471" s="83">
        <f t="shared" si="70"/>
        <v>0</v>
      </c>
      <c r="J471" s="86">
        <v>100</v>
      </c>
      <c r="K471" s="86">
        <v>300</v>
      </c>
      <c r="L471" s="83">
        <f t="shared" ref="L471:L534" si="74">SUM(C471:K471)</f>
        <v>1239</v>
      </c>
      <c r="M471" s="94">
        <v>600</v>
      </c>
      <c r="N471" s="83">
        <f>100</f>
        <v>100</v>
      </c>
      <c r="O471" s="86">
        <v>240</v>
      </c>
      <c r="P471" s="86">
        <v>160</v>
      </c>
      <c r="Q471" s="86">
        <f t="shared" ref="Q471:Q534" si="75">695-R471-O471-P471</f>
        <v>195</v>
      </c>
      <c r="R471" s="86">
        <f t="shared" ref="R471:R534" si="76">200-J471</f>
        <v>100</v>
      </c>
      <c r="S471" s="83">
        <f t="shared" ref="S471:S534" si="77">SUM(O471:R471)</f>
        <v>695</v>
      </c>
      <c r="T471" s="83">
        <f>50</f>
        <v>50</v>
      </c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</row>
    <row r="472" spans="1:30" ht="15.75" x14ac:dyDescent="0.25">
      <c r="A472" s="14">
        <v>55304</v>
      </c>
      <c r="B472" s="96">
        <v>31</v>
      </c>
      <c r="C472" s="83">
        <f>194.205</f>
        <v>194.20500000000001</v>
      </c>
      <c r="D472" s="83">
        <f>267.466</f>
        <v>267.46600000000001</v>
      </c>
      <c r="E472" s="92">
        <f>133.845</f>
        <v>133.845</v>
      </c>
      <c r="F472" s="83">
        <f>278.484-40-25-60-100</f>
        <v>53.48399999999998</v>
      </c>
      <c r="G472" s="86">
        <v>40</v>
      </c>
      <c r="H472" s="83">
        <f t="shared" si="73"/>
        <v>185</v>
      </c>
      <c r="I472" s="83">
        <f t="shared" si="70"/>
        <v>0</v>
      </c>
      <c r="J472" s="86">
        <v>100</v>
      </c>
      <c r="K472" s="86">
        <v>300</v>
      </c>
      <c r="L472" s="83">
        <f t="shared" si="74"/>
        <v>1274</v>
      </c>
      <c r="M472" s="94">
        <v>600</v>
      </c>
      <c r="N472" s="83">
        <f>75</f>
        <v>75</v>
      </c>
      <c r="O472" s="86">
        <v>240</v>
      </c>
      <c r="P472" s="86">
        <v>160</v>
      </c>
      <c r="Q472" s="86">
        <f t="shared" si="75"/>
        <v>195</v>
      </c>
      <c r="R472" s="86">
        <f t="shared" si="76"/>
        <v>100</v>
      </c>
      <c r="S472" s="83">
        <f t="shared" si="77"/>
        <v>695</v>
      </c>
      <c r="T472" s="83">
        <f>50</f>
        <v>50</v>
      </c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</row>
    <row r="473" spans="1:30" ht="15.75" x14ac:dyDescent="0.25">
      <c r="A473" s="14">
        <v>55334</v>
      </c>
      <c r="B473" s="96">
        <v>30</v>
      </c>
      <c r="C473" s="83">
        <f>194.205</f>
        <v>194.20500000000001</v>
      </c>
      <c r="D473" s="83">
        <f>267.466</f>
        <v>267.46600000000001</v>
      </c>
      <c r="E473" s="92">
        <f>133.845</f>
        <v>133.845</v>
      </c>
      <c r="F473" s="83">
        <f>278.484-40-25-60-100</f>
        <v>53.48399999999998</v>
      </c>
      <c r="G473" s="86">
        <v>40</v>
      </c>
      <c r="H473" s="83">
        <f t="shared" si="73"/>
        <v>185</v>
      </c>
      <c r="I473" s="83">
        <f t="shared" si="70"/>
        <v>0</v>
      </c>
      <c r="J473" s="86">
        <v>100</v>
      </c>
      <c r="K473" s="86">
        <v>300</v>
      </c>
      <c r="L473" s="83">
        <f t="shared" si="74"/>
        <v>1274</v>
      </c>
      <c r="M473" s="94">
        <v>600</v>
      </c>
      <c r="N473" s="83">
        <f>30</f>
        <v>30</v>
      </c>
      <c r="O473" s="86">
        <v>240</v>
      </c>
      <c r="P473" s="86">
        <v>160</v>
      </c>
      <c r="Q473" s="86">
        <f t="shared" si="75"/>
        <v>195</v>
      </c>
      <c r="R473" s="86">
        <f t="shared" si="76"/>
        <v>100</v>
      </c>
      <c r="S473" s="83">
        <f t="shared" si="77"/>
        <v>695</v>
      </c>
      <c r="T473" s="83">
        <f>50</f>
        <v>50</v>
      </c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</row>
    <row r="474" spans="1:30" ht="15.75" x14ac:dyDescent="0.25">
      <c r="A474" s="14">
        <v>55365</v>
      </c>
      <c r="B474" s="96">
        <v>31</v>
      </c>
      <c r="C474" s="83">
        <f>194.205</f>
        <v>194.20500000000001</v>
      </c>
      <c r="D474" s="83">
        <f>267.466</f>
        <v>267.46600000000001</v>
      </c>
      <c r="E474" s="92">
        <f>133.845</f>
        <v>133.845</v>
      </c>
      <c r="F474" s="83">
        <f>278.484-40-25-60-100</f>
        <v>53.48399999999998</v>
      </c>
      <c r="G474" s="86">
        <v>40</v>
      </c>
      <c r="H474" s="83">
        <f t="shared" si="73"/>
        <v>185</v>
      </c>
      <c r="I474" s="83">
        <f t="shared" si="70"/>
        <v>0</v>
      </c>
      <c r="J474" s="86">
        <v>100</v>
      </c>
      <c r="K474" s="86">
        <v>300</v>
      </c>
      <c r="L474" s="83">
        <f t="shared" si="74"/>
        <v>1274</v>
      </c>
      <c r="M474" s="94">
        <v>600</v>
      </c>
      <c r="N474" s="83">
        <f>30</f>
        <v>30</v>
      </c>
      <c r="O474" s="86">
        <v>240</v>
      </c>
      <c r="P474" s="86">
        <v>160</v>
      </c>
      <c r="Q474" s="86">
        <f t="shared" si="75"/>
        <v>195</v>
      </c>
      <c r="R474" s="86">
        <f t="shared" si="76"/>
        <v>100</v>
      </c>
      <c r="S474" s="83">
        <f t="shared" si="77"/>
        <v>695</v>
      </c>
      <c r="T474" s="83">
        <f>0</f>
        <v>0</v>
      </c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</row>
    <row r="475" spans="1:30" ht="15.75" x14ac:dyDescent="0.25">
      <c r="A475" s="14">
        <v>55396</v>
      </c>
      <c r="B475" s="96">
        <v>31</v>
      </c>
      <c r="C475" s="83">
        <f>194.205</f>
        <v>194.20500000000001</v>
      </c>
      <c r="D475" s="83">
        <f>267.466</f>
        <v>267.46600000000001</v>
      </c>
      <c r="E475" s="92">
        <f>133.845</f>
        <v>133.845</v>
      </c>
      <c r="F475" s="83">
        <f>278.484-40-25-60-100</f>
        <v>53.48399999999998</v>
      </c>
      <c r="G475" s="86">
        <v>40</v>
      </c>
      <c r="H475" s="83">
        <f t="shared" si="73"/>
        <v>185</v>
      </c>
      <c r="I475" s="83">
        <f t="shared" si="70"/>
        <v>0</v>
      </c>
      <c r="J475" s="86">
        <v>100</v>
      </c>
      <c r="K475" s="86">
        <v>300</v>
      </c>
      <c r="L475" s="83">
        <f t="shared" si="74"/>
        <v>1274</v>
      </c>
      <c r="M475" s="94">
        <v>600</v>
      </c>
      <c r="N475" s="83">
        <f>30</f>
        <v>30</v>
      </c>
      <c r="O475" s="86">
        <v>240</v>
      </c>
      <c r="P475" s="86">
        <v>160</v>
      </c>
      <c r="Q475" s="86">
        <f t="shared" si="75"/>
        <v>195</v>
      </c>
      <c r="R475" s="86">
        <f t="shared" si="76"/>
        <v>100</v>
      </c>
      <c r="S475" s="83">
        <f t="shared" si="77"/>
        <v>695</v>
      </c>
      <c r="T475" s="83">
        <f>0</f>
        <v>0</v>
      </c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</row>
    <row r="476" spans="1:30" ht="15.75" x14ac:dyDescent="0.25">
      <c r="A476" s="14">
        <v>55426</v>
      </c>
      <c r="B476" s="96">
        <v>30</v>
      </c>
      <c r="C476" s="83">
        <f>194.205</f>
        <v>194.20500000000001</v>
      </c>
      <c r="D476" s="83">
        <f>267.466</f>
        <v>267.46600000000001</v>
      </c>
      <c r="E476" s="92">
        <f>133.845</f>
        <v>133.845</v>
      </c>
      <c r="F476" s="83">
        <f>278.484-40-25-60-100</f>
        <v>53.48399999999998</v>
      </c>
      <c r="G476" s="86">
        <v>40</v>
      </c>
      <c r="H476" s="83">
        <f t="shared" si="73"/>
        <v>185</v>
      </c>
      <c r="I476" s="83">
        <f t="shared" si="70"/>
        <v>0</v>
      </c>
      <c r="J476" s="86">
        <v>100</v>
      </c>
      <c r="K476" s="86">
        <v>300</v>
      </c>
      <c r="L476" s="83">
        <f t="shared" si="74"/>
        <v>1274</v>
      </c>
      <c r="M476" s="94">
        <v>600</v>
      </c>
      <c r="N476" s="83">
        <f>30</f>
        <v>30</v>
      </c>
      <c r="O476" s="86">
        <v>240</v>
      </c>
      <c r="P476" s="86">
        <v>160</v>
      </c>
      <c r="Q476" s="86">
        <f t="shared" si="75"/>
        <v>195</v>
      </c>
      <c r="R476" s="86">
        <f t="shared" si="76"/>
        <v>100</v>
      </c>
      <c r="S476" s="83">
        <f t="shared" si="77"/>
        <v>695</v>
      </c>
      <c r="T476" s="83">
        <f>0</f>
        <v>0</v>
      </c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</row>
    <row r="477" spans="1:30" ht="15.75" x14ac:dyDescent="0.25">
      <c r="A477" s="14">
        <v>55457</v>
      </c>
      <c r="B477" s="96">
        <v>31</v>
      </c>
      <c r="C477" s="83">
        <f>131.881</f>
        <v>131.881</v>
      </c>
      <c r="D477" s="83">
        <f>277.167</f>
        <v>277.16699999999997</v>
      </c>
      <c r="E477" s="92">
        <f>79.08</f>
        <v>79.08</v>
      </c>
      <c r="F477" s="83">
        <f>350.872-40-25-60-100</f>
        <v>125.87200000000001</v>
      </c>
      <c r="G477" s="86">
        <v>40</v>
      </c>
      <c r="H477" s="83">
        <f t="shared" si="73"/>
        <v>185</v>
      </c>
      <c r="I477" s="83">
        <f t="shared" si="70"/>
        <v>0</v>
      </c>
      <c r="J477" s="86">
        <v>100</v>
      </c>
      <c r="K477" s="86">
        <v>300</v>
      </c>
      <c r="L477" s="83">
        <f t="shared" si="74"/>
        <v>1239</v>
      </c>
      <c r="M477" s="94">
        <v>600</v>
      </c>
      <c r="N477" s="83">
        <f>75</f>
        <v>75</v>
      </c>
      <c r="O477" s="86">
        <v>240</v>
      </c>
      <c r="P477" s="86">
        <v>160</v>
      </c>
      <c r="Q477" s="86">
        <f t="shared" si="75"/>
        <v>195</v>
      </c>
      <c r="R477" s="86">
        <f t="shared" si="76"/>
        <v>100</v>
      </c>
      <c r="S477" s="83">
        <f t="shared" si="77"/>
        <v>695</v>
      </c>
      <c r="T477" s="83">
        <f>0</f>
        <v>0</v>
      </c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</row>
    <row r="478" spans="1:30" ht="15.75" x14ac:dyDescent="0.25">
      <c r="A478" s="14">
        <v>55487</v>
      </c>
      <c r="B478" s="96">
        <v>30</v>
      </c>
      <c r="C478" s="83">
        <f>122.58</f>
        <v>122.58</v>
      </c>
      <c r="D478" s="83">
        <f>297.941</f>
        <v>297.94099999999997</v>
      </c>
      <c r="E478" s="92">
        <f>89.177</f>
        <v>89.177000000000007</v>
      </c>
      <c r="F478" s="83">
        <f>240.302-40-60-100</f>
        <v>40.301999999999992</v>
      </c>
      <c r="G478" s="86">
        <v>40</v>
      </c>
      <c r="H478" s="83">
        <f>60+100</f>
        <v>160</v>
      </c>
      <c r="I478" s="83">
        <f t="shared" si="70"/>
        <v>0</v>
      </c>
      <c r="J478" s="86">
        <v>100</v>
      </c>
      <c r="K478" s="86">
        <v>300</v>
      </c>
      <c r="L478" s="83">
        <f t="shared" si="74"/>
        <v>1150</v>
      </c>
      <c r="M478" s="94">
        <v>600</v>
      </c>
      <c r="N478" s="83">
        <f>100</f>
        <v>100</v>
      </c>
      <c r="O478" s="86">
        <v>240</v>
      </c>
      <c r="P478" s="86">
        <v>40</v>
      </c>
      <c r="Q478" s="86">
        <f t="shared" si="75"/>
        <v>315</v>
      </c>
      <c r="R478" s="86">
        <f t="shared" si="76"/>
        <v>100</v>
      </c>
      <c r="S478" s="83">
        <f t="shared" si="77"/>
        <v>695</v>
      </c>
      <c r="T478" s="83">
        <f>50</f>
        <v>50</v>
      </c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</row>
    <row r="479" spans="1:30" ht="15.75" x14ac:dyDescent="0.25">
      <c r="A479" s="14">
        <v>55518</v>
      </c>
      <c r="B479" s="96">
        <v>31</v>
      </c>
      <c r="C479" s="83">
        <f>122.58</f>
        <v>122.58</v>
      </c>
      <c r="D479" s="83">
        <f>297.941</f>
        <v>297.94099999999997</v>
      </c>
      <c r="E479" s="92">
        <f>89.177</f>
        <v>89.177000000000007</v>
      </c>
      <c r="F479" s="83">
        <f>240.302-40-60-100</f>
        <v>40.301999999999992</v>
      </c>
      <c r="G479" s="86">
        <v>40</v>
      </c>
      <c r="H479" s="83">
        <f>60+100</f>
        <v>160</v>
      </c>
      <c r="I479" s="83">
        <f t="shared" si="70"/>
        <v>0</v>
      </c>
      <c r="J479" s="86">
        <v>100</v>
      </c>
      <c r="K479" s="86">
        <v>300</v>
      </c>
      <c r="L479" s="83">
        <f t="shared" si="74"/>
        <v>1150</v>
      </c>
      <c r="M479" s="94">
        <v>600</v>
      </c>
      <c r="N479" s="83">
        <f>100</f>
        <v>100</v>
      </c>
      <c r="O479" s="86">
        <v>240</v>
      </c>
      <c r="P479" s="86">
        <v>40</v>
      </c>
      <c r="Q479" s="86">
        <f t="shared" si="75"/>
        <v>315</v>
      </c>
      <c r="R479" s="86">
        <f t="shared" si="76"/>
        <v>100</v>
      </c>
      <c r="S479" s="83">
        <f t="shared" si="77"/>
        <v>695</v>
      </c>
      <c r="T479" s="83">
        <f>50</f>
        <v>50</v>
      </c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</row>
    <row r="480" spans="1:30" ht="15.75" x14ac:dyDescent="0.25">
      <c r="A480" s="14">
        <v>55549</v>
      </c>
      <c r="B480" s="96">
        <v>31</v>
      </c>
      <c r="C480" s="83">
        <f>122.58</f>
        <v>122.58</v>
      </c>
      <c r="D480" s="83">
        <f>297.941</f>
        <v>297.94099999999997</v>
      </c>
      <c r="E480" s="92">
        <f>89.177</f>
        <v>89.177000000000007</v>
      </c>
      <c r="F480" s="83">
        <f>240.302-40-60-100</f>
        <v>40.301999999999992</v>
      </c>
      <c r="G480" s="86">
        <v>40</v>
      </c>
      <c r="H480" s="83">
        <f>60+100</f>
        <v>160</v>
      </c>
      <c r="I480" s="83">
        <f t="shared" si="70"/>
        <v>0</v>
      </c>
      <c r="J480" s="86">
        <v>100</v>
      </c>
      <c r="K480" s="86">
        <v>300</v>
      </c>
      <c r="L480" s="83">
        <f t="shared" si="74"/>
        <v>1150</v>
      </c>
      <c r="M480" s="94">
        <v>600</v>
      </c>
      <c r="N480" s="83">
        <f>100</f>
        <v>100</v>
      </c>
      <c r="O480" s="86">
        <v>240</v>
      </c>
      <c r="P480" s="86">
        <v>40</v>
      </c>
      <c r="Q480" s="86">
        <f t="shared" si="75"/>
        <v>315</v>
      </c>
      <c r="R480" s="86">
        <f t="shared" si="76"/>
        <v>100</v>
      </c>
      <c r="S480" s="83">
        <f t="shared" si="77"/>
        <v>695</v>
      </c>
      <c r="T480" s="83">
        <f>50</f>
        <v>50</v>
      </c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</row>
    <row r="481" spans="1:30" ht="15.75" x14ac:dyDescent="0.25">
      <c r="A481" s="14">
        <v>55577</v>
      </c>
      <c r="B481" s="96">
        <v>29</v>
      </c>
      <c r="C481" s="83">
        <f>122.58</f>
        <v>122.58</v>
      </c>
      <c r="D481" s="83">
        <f>297.941</f>
        <v>297.94099999999997</v>
      </c>
      <c r="E481" s="92">
        <f>89.177</f>
        <v>89.177000000000007</v>
      </c>
      <c r="F481" s="83">
        <f>240.302-40-60-100</f>
        <v>40.301999999999992</v>
      </c>
      <c r="G481" s="86">
        <v>40</v>
      </c>
      <c r="H481" s="83">
        <f>60+100</f>
        <v>160</v>
      </c>
      <c r="I481" s="83">
        <f t="shared" si="70"/>
        <v>0</v>
      </c>
      <c r="J481" s="86">
        <v>100</v>
      </c>
      <c r="K481" s="86">
        <v>300</v>
      </c>
      <c r="L481" s="83">
        <f t="shared" si="74"/>
        <v>1150</v>
      </c>
      <c r="M481" s="94">
        <v>600</v>
      </c>
      <c r="N481" s="83">
        <f>100</f>
        <v>100</v>
      </c>
      <c r="O481" s="86">
        <v>240</v>
      </c>
      <c r="P481" s="86">
        <v>40</v>
      </c>
      <c r="Q481" s="86">
        <f t="shared" si="75"/>
        <v>315</v>
      </c>
      <c r="R481" s="86">
        <f t="shared" si="76"/>
        <v>100</v>
      </c>
      <c r="S481" s="83">
        <f t="shared" si="77"/>
        <v>695</v>
      </c>
      <c r="T481" s="83">
        <f>50</f>
        <v>50</v>
      </c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</row>
    <row r="482" spans="1:30" ht="15.75" x14ac:dyDescent="0.25">
      <c r="A482" s="14">
        <v>55609</v>
      </c>
      <c r="B482" s="96">
        <v>31</v>
      </c>
      <c r="C482" s="83">
        <f>122.58</f>
        <v>122.58</v>
      </c>
      <c r="D482" s="83">
        <f>297.941</f>
        <v>297.94099999999997</v>
      </c>
      <c r="E482" s="92">
        <f>89.177</f>
        <v>89.177000000000007</v>
      </c>
      <c r="F482" s="83">
        <f>240.302-40-60-100</f>
        <v>40.301999999999992</v>
      </c>
      <c r="G482" s="86">
        <v>40</v>
      </c>
      <c r="H482" s="83">
        <f>60+100</f>
        <v>160</v>
      </c>
      <c r="I482" s="83">
        <f t="shared" si="70"/>
        <v>0</v>
      </c>
      <c r="J482" s="86">
        <v>100</v>
      </c>
      <c r="K482" s="86">
        <v>300</v>
      </c>
      <c r="L482" s="83">
        <f t="shared" si="74"/>
        <v>1150</v>
      </c>
      <c r="M482" s="94">
        <v>600</v>
      </c>
      <c r="N482" s="83">
        <f>100</f>
        <v>100</v>
      </c>
      <c r="O482" s="86">
        <v>240</v>
      </c>
      <c r="P482" s="86">
        <v>40</v>
      </c>
      <c r="Q482" s="86">
        <f t="shared" si="75"/>
        <v>315</v>
      </c>
      <c r="R482" s="86">
        <f t="shared" si="76"/>
        <v>100</v>
      </c>
      <c r="S482" s="83">
        <f t="shared" si="77"/>
        <v>695</v>
      </c>
      <c r="T482" s="83">
        <f>50</f>
        <v>50</v>
      </c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</row>
    <row r="483" spans="1:30" ht="15.75" x14ac:dyDescent="0.25">
      <c r="A483" s="14">
        <v>55639</v>
      </c>
      <c r="B483" s="96">
        <v>30</v>
      </c>
      <c r="C483" s="83">
        <f>141.293</f>
        <v>141.29300000000001</v>
      </c>
      <c r="D483" s="83">
        <f>267.993</f>
        <v>267.99299999999999</v>
      </c>
      <c r="E483" s="92">
        <f>115.016</f>
        <v>115.01600000000001</v>
      </c>
      <c r="F483" s="83">
        <f>314.698-40-25-60-100</f>
        <v>89.697999999999979</v>
      </c>
      <c r="G483" s="86">
        <v>40</v>
      </c>
      <c r="H483" s="83">
        <f t="shared" ref="H483:H489" si="78">25+60+100</f>
        <v>185</v>
      </c>
      <c r="I483" s="83">
        <f t="shared" si="70"/>
        <v>0</v>
      </c>
      <c r="J483" s="86">
        <v>100</v>
      </c>
      <c r="K483" s="86">
        <v>300</v>
      </c>
      <c r="L483" s="83">
        <f t="shared" si="74"/>
        <v>1239</v>
      </c>
      <c r="M483" s="94">
        <v>600</v>
      </c>
      <c r="N483" s="83">
        <f>100</f>
        <v>100</v>
      </c>
      <c r="O483" s="86">
        <v>240</v>
      </c>
      <c r="P483" s="86">
        <v>160</v>
      </c>
      <c r="Q483" s="86">
        <f t="shared" si="75"/>
        <v>195</v>
      </c>
      <c r="R483" s="86">
        <f t="shared" si="76"/>
        <v>100</v>
      </c>
      <c r="S483" s="83">
        <f t="shared" si="77"/>
        <v>695</v>
      </c>
      <c r="T483" s="83">
        <f>50</f>
        <v>50</v>
      </c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</row>
    <row r="484" spans="1:30" ht="15.75" x14ac:dyDescent="0.25">
      <c r="A484" s="14">
        <v>55670</v>
      </c>
      <c r="B484" s="96">
        <v>31</v>
      </c>
      <c r="C484" s="83">
        <f>194.205</f>
        <v>194.20500000000001</v>
      </c>
      <c r="D484" s="83">
        <f>267.466</f>
        <v>267.46600000000001</v>
      </c>
      <c r="E484" s="92">
        <f>133.845</f>
        <v>133.845</v>
      </c>
      <c r="F484" s="83">
        <f>278.484-40-25-60-100</f>
        <v>53.48399999999998</v>
      </c>
      <c r="G484" s="86">
        <v>40</v>
      </c>
      <c r="H484" s="83">
        <f t="shared" si="78"/>
        <v>185</v>
      </c>
      <c r="I484" s="83">
        <f t="shared" si="70"/>
        <v>0</v>
      </c>
      <c r="J484" s="86">
        <v>100</v>
      </c>
      <c r="K484" s="86">
        <v>300</v>
      </c>
      <c r="L484" s="83">
        <f t="shared" si="74"/>
        <v>1274</v>
      </c>
      <c r="M484" s="94">
        <v>600</v>
      </c>
      <c r="N484" s="83">
        <f>75</f>
        <v>75</v>
      </c>
      <c r="O484" s="86">
        <v>240</v>
      </c>
      <c r="P484" s="86">
        <v>160</v>
      </c>
      <c r="Q484" s="86">
        <f t="shared" si="75"/>
        <v>195</v>
      </c>
      <c r="R484" s="86">
        <f t="shared" si="76"/>
        <v>100</v>
      </c>
      <c r="S484" s="83">
        <f t="shared" si="77"/>
        <v>695</v>
      </c>
      <c r="T484" s="83">
        <f>50</f>
        <v>50</v>
      </c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</row>
    <row r="485" spans="1:30" ht="15.75" x14ac:dyDescent="0.25">
      <c r="A485" s="14">
        <v>55700</v>
      </c>
      <c r="B485" s="96">
        <v>30</v>
      </c>
      <c r="C485" s="83">
        <f>194.205</f>
        <v>194.20500000000001</v>
      </c>
      <c r="D485" s="83">
        <f>267.466</f>
        <v>267.46600000000001</v>
      </c>
      <c r="E485" s="92">
        <f>133.845</f>
        <v>133.845</v>
      </c>
      <c r="F485" s="83">
        <f>278.484-40-25-60-100</f>
        <v>53.48399999999998</v>
      </c>
      <c r="G485" s="86">
        <v>40</v>
      </c>
      <c r="H485" s="83">
        <f t="shared" si="78"/>
        <v>185</v>
      </c>
      <c r="I485" s="83">
        <f t="shared" si="70"/>
        <v>0</v>
      </c>
      <c r="J485" s="86">
        <v>100</v>
      </c>
      <c r="K485" s="86">
        <v>300</v>
      </c>
      <c r="L485" s="83">
        <f t="shared" si="74"/>
        <v>1274</v>
      </c>
      <c r="M485" s="94">
        <v>600</v>
      </c>
      <c r="N485" s="83">
        <f>30</f>
        <v>30</v>
      </c>
      <c r="O485" s="86">
        <v>240</v>
      </c>
      <c r="P485" s="86">
        <v>160</v>
      </c>
      <c r="Q485" s="86">
        <f t="shared" si="75"/>
        <v>195</v>
      </c>
      <c r="R485" s="86">
        <f t="shared" si="76"/>
        <v>100</v>
      </c>
      <c r="S485" s="83">
        <f t="shared" si="77"/>
        <v>695</v>
      </c>
      <c r="T485" s="83">
        <f>50</f>
        <v>50</v>
      </c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</row>
    <row r="486" spans="1:30" ht="15.75" x14ac:dyDescent="0.25">
      <c r="A486" s="14">
        <v>55731</v>
      </c>
      <c r="B486" s="96">
        <v>31</v>
      </c>
      <c r="C486" s="83">
        <f>194.205</f>
        <v>194.20500000000001</v>
      </c>
      <c r="D486" s="83">
        <f>267.466</f>
        <v>267.46600000000001</v>
      </c>
      <c r="E486" s="92">
        <f>133.845</f>
        <v>133.845</v>
      </c>
      <c r="F486" s="83">
        <f>278.484-40-25-60-100</f>
        <v>53.48399999999998</v>
      </c>
      <c r="G486" s="86">
        <v>40</v>
      </c>
      <c r="H486" s="83">
        <f t="shared" si="78"/>
        <v>185</v>
      </c>
      <c r="I486" s="83">
        <f t="shared" si="70"/>
        <v>0</v>
      </c>
      <c r="J486" s="86">
        <v>100</v>
      </c>
      <c r="K486" s="86">
        <v>300</v>
      </c>
      <c r="L486" s="83">
        <f t="shared" si="74"/>
        <v>1274</v>
      </c>
      <c r="M486" s="94">
        <v>600</v>
      </c>
      <c r="N486" s="83">
        <f>30</f>
        <v>30</v>
      </c>
      <c r="O486" s="86">
        <v>240</v>
      </c>
      <c r="P486" s="86">
        <v>160</v>
      </c>
      <c r="Q486" s="86">
        <f t="shared" si="75"/>
        <v>195</v>
      </c>
      <c r="R486" s="86">
        <f t="shared" si="76"/>
        <v>100</v>
      </c>
      <c r="S486" s="83">
        <f t="shared" si="77"/>
        <v>695</v>
      </c>
      <c r="T486" s="83">
        <f>0</f>
        <v>0</v>
      </c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</row>
    <row r="487" spans="1:30" ht="15.75" x14ac:dyDescent="0.25">
      <c r="A487" s="14">
        <v>55762</v>
      </c>
      <c r="B487" s="96">
        <v>31</v>
      </c>
      <c r="C487" s="83">
        <f>194.205</f>
        <v>194.20500000000001</v>
      </c>
      <c r="D487" s="83">
        <f>267.466</f>
        <v>267.46600000000001</v>
      </c>
      <c r="E487" s="92">
        <f>133.845</f>
        <v>133.845</v>
      </c>
      <c r="F487" s="83">
        <f>278.484-40-25-60-100</f>
        <v>53.48399999999998</v>
      </c>
      <c r="G487" s="86">
        <v>40</v>
      </c>
      <c r="H487" s="83">
        <f t="shared" si="78"/>
        <v>185</v>
      </c>
      <c r="I487" s="83">
        <f t="shared" si="70"/>
        <v>0</v>
      </c>
      <c r="J487" s="86">
        <v>100</v>
      </c>
      <c r="K487" s="86">
        <v>300</v>
      </c>
      <c r="L487" s="83">
        <f t="shared" si="74"/>
        <v>1274</v>
      </c>
      <c r="M487" s="94">
        <v>600</v>
      </c>
      <c r="N487" s="83">
        <f>30</f>
        <v>30</v>
      </c>
      <c r="O487" s="86">
        <v>240</v>
      </c>
      <c r="P487" s="86">
        <v>160</v>
      </c>
      <c r="Q487" s="86">
        <f t="shared" si="75"/>
        <v>195</v>
      </c>
      <c r="R487" s="86">
        <f t="shared" si="76"/>
        <v>100</v>
      </c>
      <c r="S487" s="83">
        <f t="shared" si="77"/>
        <v>695</v>
      </c>
      <c r="T487" s="83">
        <f>0</f>
        <v>0</v>
      </c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</row>
    <row r="488" spans="1:30" ht="15.75" x14ac:dyDescent="0.25">
      <c r="A488" s="14">
        <v>55792</v>
      </c>
      <c r="B488" s="96">
        <v>30</v>
      </c>
      <c r="C488" s="83">
        <f>194.205</f>
        <v>194.20500000000001</v>
      </c>
      <c r="D488" s="83">
        <f>267.466</f>
        <v>267.46600000000001</v>
      </c>
      <c r="E488" s="92">
        <f>133.845</f>
        <v>133.845</v>
      </c>
      <c r="F488" s="83">
        <f>278.484-40-25-60-100</f>
        <v>53.48399999999998</v>
      </c>
      <c r="G488" s="86">
        <v>40</v>
      </c>
      <c r="H488" s="83">
        <f t="shared" si="78"/>
        <v>185</v>
      </c>
      <c r="I488" s="83">
        <f t="shared" si="70"/>
        <v>0</v>
      </c>
      <c r="J488" s="86">
        <v>100</v>
      </c>
      <c r="K488" s="86">
        <v>300</v>
      </c>
      <c r="L488" s="83">
        <f t="shared" si="74"/>
        <v>1274</v>
      </c>
      <c r="M488" s="94">
        <v>600</v>
      </c>
      <c r="N488" s="83">
        <f>30</f>
        <v>30</v>
      </c>
      <c r="O488" s="86">
        <v>240</v>
      </c>
      <c r="P488" s="86">
        <v>160</v>
      </c>
      <c r="Q488" s="86">
        <f t="shared" si="75"/>
        <v>195</v>
      </c>
      <c r="R488" s="86">
        <f t="shared" si="76"/>
        <v>100</v>
      </c>
      <c r="S488" s="83">
        <f t="shared" si="77"/>
        <v>695</v>
      </c>
      <c r="T488" s="83">
        <f>0</f>
        <v>0</v>
      </c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</row>
    <row r="489" spans="1:30" ht="15.75" x14ac:dyDescent="0.25">
      <c r="A489" s="14">
        <v>55823</v>
      </c>
      <c r="B489" s="96">
        <v>31</v>
      </c>
      <c r="C489" s="83">
        <f>131.881</f>
        <v>131.881</v>
      </c>
      <c r="D489" s="83">
        <f>277.167</f>
        <v>277.16699999999997</v>
      </c>
      <c r="E489" s="92">
        <f>79.08</f>
        <v>79.08</v>
      </c>
      <c r="F489" s="83">
        <f>350.872-40-25-60-100</f>
        <v>125.87200000000001</v>
      </c>
      <c r="G489" s="86">
        <v>40</v>
      </c>
      <c r="H489" s="83">
        <f t="shared" si="78"/>
        <v>185</v>
      </c>
      <c r="I489" s="83">
        <f t="shared" si="70"/>
        <v>0</v>
      </c>
      <c r="J489" s="86">
        <v>100</v>
      </c>
      <c r="K489" s="86">
        <v>300</v>
      </c>
      <c r="L489" s="83">
        <f t="shared" si="74"/>
        <v>1239</v>
      </c>
      <c r="M489" s="94">
        <v>600</v>
      </c>
      <c r="N489" s="83">
        <f>75</f>
        <v>75</v>
      </c>
      <c r="O489" s="86">
        <v>240</v>
      </c>
      <c r="P489" s="86">
        <v>160</v>
      </c>
      <c r="Q489" s="86">
        <f t="shared" si="75"/>
        <v>195</v>
      </c>
      <c r="R489" s="86">
        <f t="shared" si="76"/>
        <v>100</v>
      </c>
      <c r="S489" s="83">
        <f t="shared" si="77"/>
        <v>695</v>
      </c>
      <c r="T489" s="83">
        <f>0</f>
        <v>0</v>
      </c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</row>
    <row r="490" spans="1:30" ht="15.75" x14ac:dyDescent="0.25">
      <c r="A490" s="14">
        <v>55853</v>
      </c>
      <c r="B490" s="96">
        <v>30</v>
      </c>
      <c r="C490" s="83">
        <f>122.58</f>
        <v>122.58</v>
      </c>
      <c r="D490" s="83">
        <f>297.941</f>
        <v>297.94099999999997</v>
      </c>
      <c r="E490" s="92">
        <f>89.177</f>
        <v>89.177000000000007</v>
      </c>
      <c r="F490" s="83">
        <f>240.302-40-60-100</f>
        <v>40.301999999999992</v>
      </c>
      <c r="G490" s="86">
        <v>40</v>
      </c>
      <c r="H490" s="83">
        <f>60+100</f>
        <v>160</v>
      </c>
      <c r="I490" s="83">
        <f t="shared" si="70"/>
        <v>0</v>
      </c>
      <c r="J490" s="86">
        <v>100</v>
      </c>
      <c r="K490" s="86">
        <v>300</v>
      </c>
      <c r="L490" s="83">
        <f t="shared" si="74"/>
        <v>1150</v>
      </c>
      <c r="M490" s="94">
        <v>600</v>
      </c>
      <c r="N490" s="83">
        <f>100</f>
        <v>100</v>
      </c>
      <c r="O490" s="86">
        <v>240</v>
      </c>
      <c r="P490" s="86">
        <v>40</v>
      </c>
      <c r="Q490" s="86">
        <f t="shared" si="75"/>
        <v>315</v>
      </c>
      <c r="R490" s="86">
        <f t="shared" si="76"/>
        <v>100</v>
      </c>
      <c r="S490" s="83">
        <f t="shared" si="77"/>
        <v>695</v>
      </c>
      <c r="T490" s="83">
        <f>50</f>
        <v>50</v>
      </c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</row>
    <row r="491" spans="1:30" ht="15.75" x14ac:dyDescent="0.25">
      <c r="A491" s="14">
        <v>55884</v>
      </c>
      <c r="B491" s="96">
        <v>31</v>
      </c>
      <c r="C491" s="83">
        <f>122.58</f>
        <v>122.58</v>
      </c>
      <c r="D491" s="83">
        <f>297.941</f>
        <v>297.94099999999997</v>
      </c>
      <c r="E491" s="92">
        <f>89.177</f>
        <v>89.177000000000007</v>
      </c>
      <c r="F491" s="83">
        <f>240.302-40-60-100</f>
        <v>40.301999999999992</v>
      </c>
      <c r="G491" s="86">
        <v>40</v>
      </c>
      <c r="H491" s="83">
        <f>60+100</f>
        <v>160</v>
      </c>
      <c r="I491" s="83">
        <f t="shared" si="70"/>
        <v>0</v>
      </c>
      <c r="J491" s="86">
        <v>100</v>
      </c>
      <c r="K491" s="86">
        <v>300</v>
      </c>
      <c r="L491" s="83">
        <f t="shared" si="74"/>
        <v>1150</v>
      </c>
      <c r="M491" s="94">
        <v>600</v>
      </c>
      <c r="N491" s="83">
        <f>100</f>
        <v>100</v>
      </c>
      <c r="O491" s="86">
        <v>240</v>
      </c>
      <c r="P491" s="86">
        <v>40</v>
      </c>
      <c r="Q491" s="86">
        <f t="shared" si="75"/>
        <v>315</v>
      </c>
      <c r="R491" s="86">
        <f t="shared" si="76"/>
        <v>100</v>
      </c>
      <c r="S491" s="83">
        <f t="shared" si="77"/>
        <v>695</v>
      </c>
      <c r="T491" s="83">
        <f>50</f>
        <v>50</v>
      </c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</row>
    <row r="492" spans="1:30" ht="15.75" x14ac:dyDescent="0.25">
      <c r="A492" s="14">
        <v>55915</v>
      </c>
      <c r="B492" s="96">
        <v>31</v>
      </c>
      <c r="C492" s="83">
        <f>122.58</f>
        <v>122.58</v>
      </c>
      <c r="D492" s="83">
        <f>297.941</f>
        <v>297.94099999999997</v>
      </c>
      <c r="E492" s="92">
        <f>89.177</f>
        <v>89.177000000000007</v>
      </c>
      <c r="F492" s="83">
        <f>240.302-40-60-100</f>
        <v>40.301999999999992</v>
      </c>
      <c r="G492" s="86">
        <v>40</v>
      </c>
      <c r="H492" s="83">
        <f>60+100</f>
        <v>160</v>
      </c>
      <c r="I492" s="83">
        <f t="shared" si="70"/>
        <v>0</v>
      </c>
      <c r="J492" s="86">
        <v>100</v>
      </c>
      <c r="K492" s="86">
        <v>300</v>
      </c>
      <c r="L492" s="83">
        <f t="shared" si="74"/>
        <v>1150</v>
      </c>
      <c r="M492" s="94">
        <v>600</v>
      </c>
      <c r="N492" s="83">
        <f>100</f>
        <v>100</v>
      </c>
      <c r="O492" s="86">
        <v>240</v>
      </c>
      <c r="P492" s="86">
        <v>40</v>
      </c>
      <c r="Q492" s="86">
        <f t="shared" si="75"/>
        <v>315</v>
      </c>
      <c r="R492" s="86">
        <f t="shared" si="76"/>
        <v>100</v>
      </c>
      <c r="S492" s="83">
        <f t="shared" si="77"/>
        <v>695</v>
      </c>
      <c r="T492" s="83">
        <f>50</f>
        <v>50</v>
      </c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</row>
    <row r="493" spans="1:30" ht="15.75" x14ac:dyDescent="0.25">
      <c r="A493" s="14">
        <v>55943</v>
      </c>
      <c r="B493" s="96">
        <v>28</v>
      </c>
      <c r="C493" s="83">
        <f>122.58</f>
        <v>122.58</v>
      </c>
      <c r="D493" s="83">
        <f>297.941</f>
        <v>297.94099999999997</v>
      </c>
      <c r="E493" s="92">
        <f>89.177</f>
        <v>89.177000000000007</v>
      </c>
      <c r="F493" s="83">
        <f>240.302-40-60-100</f>
        <v>40.301999999999992</v>
      </c>
      <c r="G493" s="86">
        <v>40</v>
      </c>
      <c r="H493" s="83">
        <f>60+100</f>
        <v>160</v>
      </c>
      <c r="I493" s="83">
        <f t="shared" si="70"/>
        <v>0</v>
      </c>
      <c r="J493" s="86">
        <v>100</v>
      </c>
      <c r="K493" s="86">
        <v>300</v>
      </c>
      <c r="L493" s="83">
        <f t="shared" si="74"/>
        <v>1150</v>
      </c>
      <c r="M493" s="94">
        <v>600</v>
      </c>
      <c r="N493" s="83">
        <f>100</f>
        <v>100</v>
      </c>
      <c r="O493" s="86">
        <v>240</v>
      </c>
      <c r="P493" s="86">
        <v>40</v>
      </c>
      <c r="Q493" s="86">
        <f t="shared" si="75"/>
        <v>315</v>
      </c>
      <c r="R493" s="86">
        <f t="shared" si="76"/>
        <v>100</v>
      </c>
      <c r="S493" s="83">
        <f t="shared" si="77"/>
        <v>695</v>
      </c>
      <c r="T493" s="83">
        <f>50</f>
        <v>50</v>
      </c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</row>
    <row r="494" spans="1:30" ht="15.75" x14ac:dyDescent="0.25">
      <c r="A494" s="14">
        <v>55974</v>
      </c>
      <c r="B494" s="96">
        <v>31</v>
      </c>
      <c r="C494" s="83">
        <f>122.58</f>
        <v>122.58</v>
      </c>
      <c r="D494" s="83">
        <f>297.941</f>
        <v>297.94099999999997</v>
      </c>
      <c r="E494" s="92">
        <f>89.177</f>
        <v>89.177000000000007</v>
      </c>
      <c r="F494" s="83">
        <f>240.302-40-60-100</f>
        <v>40.301999999999992</v>
      </c>
      <c r="G494" s="86">
        <v>40</v>
      </c>
      <c r="H494" s="83">
        <f>60+100</f>
        <v>160</v>
      </c>
      <c r="I494" s="83">
        <f t="shared" si="70"/>
        <v>0</v>
      </c>
      <c r="J494" s="86">
        <v>100</v>
      </c>
      <c r="K494" s="86">
        <v>300</v>
      </c>
      <c r="L494" s="83">
        <f t="shared" si="74"/>
        <v>1150</v>
      </c>
      <c r="M494" s="94">
        <v>600</v>
      </c>
      <c r="N494" s="83">
        <f>100</f>
        <v>100</v>
      </c>
      <c r="O494" s="86">
        <v>240</v>
      </c>
      <c r="P494" s="86">
        <v>40</v>
      </c>
      <c r="Q494" s="86">
        <f t="shared" si="75"/>
        <v>315</v>
      </c>
      <c r="R494" s="86">
        <f t="shared" si="76"/>
        <v>100</v>
      </c>
      <c r="S494" s="83">
        <f t="shared" si="77"/>
        <v>695</v>
      </c>
      <c r="T494" s="83">
        <f>50</f>
        <v>50</v>
      </c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</row>
    <row r="495" spans="1:30" ht="15.75" x14ac:dyDescent="0.25">
      <c r="A495" s="14">
        <v>56004</v>
      </c>
      <c r="B495" s="96">
        <v>30</v>
      </c>
      <c r="C495" s="83">
        <f>141.293</f>
        <v>141.29300000000001</v>
      </c>
      <c r="D495" s="83">
        <f>267.993</f>
        <v>267.99299999999999</v>
      </c>
      <c r="E495" s="92">
        <f>115.016</f>
        <v>115.01600000000001</v>
      </c>
      <c r="F495" s="83">
        <f>314.698-40-25-60-100</f>
        <v>89.697999999999979</v>
      </c>
      <c r="G495" s="86">
        <v>40</v>
      </c>
      <c r="H495" s="83">
        <f t="shared" ref="H495:H501" si="79">25+60+100</f>
        <v>185</v>
      </c>
      <c r="I495" s="83">
        <f t="shared" si="70"/>
        <v>0</v>
      </c>
      <c r="J495" s="86">
        <v>100</v>
      </c>
      <c r="K495" s="86">
        <v>300</v>
      </c>
      <c r="L495" s="83">
        <f t="shared" si="74"/>
        <v>1239</v>
      </c>
      <c r="M495" s="94">
        <v>600</v>
      </c>
      <c r="N495" s="83">
        <f>100</f>
        <v>100</v>
      </c>
      <c r="O495" s="86">
        <v>240</v>
      </c>
      <c r="P495" s="86">
        <v>160</v>
      </c>
      <c r="Q495" s="86">
        <f t="shared" si="75"/>
        <v>195</v>
      </c>
      <c r="R495" s="86">
        <f t="shared" si="76"/>
        <v>100</v>
      </c>
      <c r="S495" s="83">
        <f t="shared" si="77"/>
        <v>695</v>
      </c>
      <c r="T495" s="83">
        <f>50</f>
        <v>50</v>
      </c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</row>
    <row r="496" spans="1:30" ht="15.75" x14ac:dyDescent="0.25">
      <c r="A496" s="14">
        <v>56035</v>
      </c>
      <c r="B496" s="96">
        <v>31</v>
      </c>
      <c r="C496" s="83">
        <f>194.205</f>
        <v>194.20500000000001</v>
      </c>
      <c r="D496" s="83">
        <f>267.466</f>
        <v>267.46600000000001</v>
      </c>
      <c r="E496" s="92">
        <f>133.845</f>
        <v>133.845</v>
      </c>
      <c r="F496" s="83">
        <f>278.484-40-25-60-100</f>
        <v>53.48399999999998</v>
      </c>
      <c r="G496" s="86">
        <v>40</v>
      </c>
      <c r="H496" s="83">
        <f t="shared" si="79"/>
        <v>185</v>
      </c>
      <c r="I496" s="83">
        <f t="shared" si="70"/>
        <v>0</v>
      </c>
      <c r="J496" s="86">
        <v>100</v>
      </c>
      <c r="K496" s="86">
        <v>300</v>
      </c>
      <c r="L496" s="83">
        <f t="shared" si="74"/>
        <v>1274</v>
      </c>
      <c r="M496" s="94">
        <v>600</v>
      </c>
      <c r="N496" s="83">
        <f>75</f>
        <v>75</v>
      </c>
      <c r="O496" s="86">
        <v>240</v>
      </c>
      <c r="P496" s="86">
        <v>160</v>
      </c>
      <c r="Q496" s="86">
        <f t="shared" si="75"/>
        <v>195</v>
      </c>
      <c r="R496" s="86">
        <f t="shared" si="76"/>
        <v>100</v>
      </c>
      <c r="S496" s="83">
        <f t="shared" si="77"/>
        <v>695</v>
      </c>
      <c r="T496" s="83">
        <f>50</f>
        <v>50</v>
      </c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</row>
    <row r="497" spans="1:30" ht="15.75" x14ac:dyDescent="0.25">
      <c r="A497" s="14">
        <v>56065</v>
      </c>
      <c r="B497" s="96">
        <v>30</v>
      </c>
      <c r="C497" s="83">
        <f>194.205</f>
        <v>194.20500000000001</v>
      </c>
      <c r="D497" s="83">
        <f>267.466</f>
        <v>267.46600000000001</v>
      </c>
      <c r="E497" s="92">
        <f>133.845</f>
        <v>133.845</v>
      </c>
      <c r="F497" s="83">
        <f>278.484-40-25-60-100</f>
        <v>53.48399999999998</v>
      </c>
      <c r="G497" s="86">
        <v>40</v>
      </c>
      <c r="H497" s="83">
        <f t="shared" si="79"/>
        <v>185</v>
      </c>
      <c r="I497" s="83">
        <f t="shared" si="70"/>
        <v>0</v>
      </c>
      <c r="J497" s="86">
        <v>100</v>
      </c>
      <c r="K497" s="86">
        <v>300</v>
      </c>
      <c r="L497" s="83">
        <f t="shared" si="74"/>
        <v>1274</v>
      </c>
      <c r="M497" s="94">
        <v>600</v>
      </c>
      <c r="N497" s="83">
        <f>30</f>
        <v>30</v>
      </c>
      <c r="O497" s="86">
        <v>240</v>
      </c>
      <c r="P497" s="86">
        <v>160</v>
      </c>
      <c r="Q497" s="86">
        <f t="shared" si="75"/>
        <v>195</v>
      </c>
      <c r="R497" s="86">
        <f t="shared" si="76"/>
        <v>100</v>
      </c>
      <c r="S497" s="83">
        <f t="shared" si="77"/>
        <v>695</v>
      </c>
      <c r="T497" s="83">
        <f>50</f>
        <v>50</v>
      </c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</row>
    <row r="498" spans="1:30" ht="15.75" x14ac:dyDescent="0.25">
      <c r="A498" s="14">
        <v>56096</v>
      </c>
      <c r="B498" s="96">
        <v>31</v>
      </c>
      <c r="C498" s="83">
        <f>194.205</f>
        <v>194.20500000000001</v>
      </c>
      <c r="D498" s="83">
        <f>267.466</f>
        <v>267.46600000000001</v>
      </c>
      <c r="E498" s="92">
        <f>133.845</f>
        <v>133.845</v>
      </c>
      <c r="F498" s="83">
        <f>278.484-40-25-60-100</f>
        <v>53.48399999999998</v>
      </c>
      <c r="G498" s="86">
        <v>40</v>
      </c>
      <c r="H498" s="83">
        <f t="shared" si="79"/>
        <v>185</v>
      </c>
      <c r="I498" s="83">
        <f t="shared" si="70"/>
        <v>0</v>
      </c>
      <c r="J498" s="86">
        <v>100</v>
      </c>
      <c r="K498" s="86">
        <v>300</v>
      </c>
      <c r="L498" s="83">
        <f t="shared" si="74"/>
        <v>1274</v>
      </c>
      <c r="M498" s="94">
        <v>600</v>
      </c>
      <c r="N498" s="83">
        <f>30</f>
        <v>30</v>
      </c>
      <c r="O498" s="86">
        <v>240</v>
      </c>
      <c r="P498" s="86">
        <v>160</v>
      </c>
      <c r="Q498" s="86">
        <f t="shared" si="75"/>
        <v>195</v>
      </c>
      <c r="R498" s="86">
        <f t="shared" si="76"/>
        <v>100</v>
      </c>
      <c r="S498" s="83">
        <f t="shared" si="77"/>
        <v>695</v>
      </c>
      <c r="T498" s="83">
        <f>0</f>
        <v>0</v>
      </c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</row>
    <row r="499" spans="1:30" ht="15.75" x14ac:dyDescent="0.25">
      <c r="A499" s="14">
        <v>56127</v>
      </c>
      <c r="B499" s="96">
        <v>31</v>
      </c>
      <c r="C499" s="83">
        <f>194.205</f>
        <v>194.20500000000001</v>
      </c>
      <c r="D499" s="83">
        <f>267.466</f>
        <v>267.46600000000001</v>
      </c>
      <c r="E499" s="92">
        <f>133.845</f>
        <v>133.845</v>
      </c>
      <c r="F499" s="83">
        <f>278.484-40-25-60-100</f>
        <v>53.48399999999998</v>
      </c>
      <c r="G499" s="86">
        <v>40</v>
      </c>
      <c r="H499" s="83">
        <f t="shared" si="79"/>
        <v>185</v>
      </c>
      <c r="I499" s="83">
        <f t="shared" si="70"/>
        <v>0</v>
      </c>
      <c r="J499" s="86">
        <v>100</v>
      </c>
      <c r="K499" s="86">
        <v>300</v>
      </c>
      <c r="L499" s="83">
        <f t="shared" si="74"/>
        <v>1274</v>
      </c>
      <c r="M499" s="94">
        <v>600</v>
      </c>
      <c r="N499" s="83">
        <f>30</f>
        <v>30</v>
      </c>
      <c r="O499" s="86">
        <v>240</v>
      </c>
      <c r="P499" s="86">
        <v>160</v>
      </c>
      <c r="Q499" s="86">
        <f t="shared" si="75"/>
        <v>195</v>
      </c>
      <c r="R499" s="86">
        <f t="shared" si="76"/>
        <v>100</v>
      </c>
      <c r="S499" s="83">
        <f t="shared" si="77"/>
        <v>695</v>
      </c>
      <c r="T499" s="83">
        <f>0</f>
        <v>0</v>
      </c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</row>
    <row r="500" spans="1:30" ht="15.75" x14ac:dyDescent="0.25">
      <c r="A500" s="14">
        <v>56157</v>
      </c>
      <c r="B500" s="96">
        <v>30</v>
      </c>
      <c r="C500" s="83">
        <f>194.205</f>
        <v>194.20500000000001</v>
      </c>
      <c r="D500" s="83">
        <f>267.466</f>
        <v>267.46600000000001</v>
      </c>
      <c r="E500" s="92">
        <f>133.845</f>
        <v>133.845</v>
      </c>
      <c r="F500" s="83">
        <f>278.484-40-25-60-100</f>
        <v>53.48399999999998</v>
      </c>
      <c r="G500" s="86">
        <v>40</v>
      </c>
      <c r="H500" s="83">
        <f t="shared" si="79"/>
        <v>185</v>
      </c>
      <c r="I500" s="83">
        <f t="shared" ref="I500:I563" si="80">400-J500-K500</f>
        <v>0</v>
      </c>
      <c r="J500" s="86">
        <v>100</v>
      </c>
      <c r="K500" s="86">
        <v>300</v>
      </c>
      <c r="L500" s="83">
        <f t="shared" si="74"/>
        <v>1274</v>
      </c>
      <c r="M500" s="94">
        <v>600</v>
      </c>
      <c r="N500" s="83">
        <f>30</f>
        <v>30</v>
      </c>
      <c r="O500" s="86">
        <v>240</v>
      </c>
      <c r="P500" s="86">
        <v>160</v>
      </c>
      <c r="Q500" s="86">
        <f t="shared" si="75"/>
        <v>195</v>
      </c>
      <c r="R500" s="86">
        <f t="shared" si="76"/>
        <v>100</v>
      </c>
      <c r="S500" s="83">
        <f t="shared" si="77"/>
        <v>695</v>
      </c>
      <c r="T500" s="83">
        <f>0</f>
        <v>0</v>
      </c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</row>
    <row r="501" spans="1:30" ht="15.75" x14ac:dyDescent="0.25">
      <c r="A501" s="14">
        <v>56188</v>
      </c>
      <c r="B501" s="96">
        <v>31</v>
      </c>
      <c r="C501" s="83">
        <f>131.881</f>
        <v>131.881</v>
      </c>
      <c r="D501" s="83">
        <f>277.167</f>
        <v>277.16699999999997</v>
      </c>
      <c r="E501" s="92">
        <f>79.08</f>
        <v>79.08</v>
      </c>
      <c r="F501" s="83">
        <f>350.872-40-25-60-100</f>
        <v>125.87200000000001</v>
      </c>
      <c r="G501" s="86">
        <v>40</v>
      </c>
      <c r="H501" s="83">
        <f t="shared" si="79"/>
        <v>185</v>
      </c>
      <c r="I501" s="83">
        <f t="shared" si="80"/>
        <v>0</v>
      </c>
      <c r="J501" s="86">
        <v>100</v>
      </c>
      <c r="K501" s="86">
        <v>300</v>
      </c>
      <c r="L501" s="83">
        <f t="shared" si="74"/>
        <v>1239</v>
      </c>
      <c r="M501" s="94">
        <v>600</v>
      </c>
      <c r="N501" s="83">
        <f>75</f>
        <v>75</v>
      </c>
      <c r="O501" s="86">
        <v>240</v>
      </c>
      <c r="P501" s="86">
        <v>160</v>
      </c>
      <c r="Q501" s="86">
        <f t="shared" si="75"/>
        <v>195</v>
      </c>
      <c r="R501" s="86">
        <f t="shared" si="76"/>
        <v>100</v>
      </c>
      <c r="S501" s="83">
        <f t="shared" si="77"/>
        <v>695</v>
      </c>
      <c r="T501" s="83">
        <f>0</f>
        <v>0</v>
      </c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</row>
    <row r="502" spans="1:30" ht="15.75" x14ac:dyDescent="0.25">
      <c r="A502" s="14">
        <v>56218</v>
      </c>
      <c r="B502" s="96">
        <v>30</v>
      </c>
      <c r="C502" s="83">
        <f>122.58</f>
        <v>122.58</v>
      </c>
      <c r="D502" s="83">
        <f>297.941</f>
        <v>297.94099999999997</v>
      </c>
      <c r="E502" s="92">
        <f>89.177</f>
        <v>89.177000000000007</v>
      </c>
      <c r="F502" s="83">
        <f>240.302-40-60-100</f>
        <v>40.301999999999992</v>
      </c>
      <c r="G502" s="86">
        <v>40</v>
      </c>
      <c r="H502" s="83">
        <f>60+100</f>
        <v>160</v>
      </c>
      <c r="I502" s="83">
        <f t="shared" si="80"/>
        <v>0</v>
      </c>
      <c r="J502" s="86">
        <v>100</v>
      </c>
      <c r="K502" s="86">
        <v>300</v>
      </c>
      <c r="L502" s="83">
        <f t="shared" si="74"/>
        <v>1150</v>
      </c>
      <c r="M502" s="94">
        <v>600</v>
      </c>
      <c r="N502" s="83">
        <f>100</f>
        <v>100</v>
      </c>
      <c r="O502" s="86">
        <v>240</v>
      </c>
      <c r="P502" s="86">
        <v>40</v>
      </c>
      <c r="Q502" s="86">
        <f t="shared" si="75"/>
        <v>315</v>
      </c>
      <c r="R502" s="86">
        <f t="shared" si="76"/>
        <v>100</v>
      </c>
      <c r="S502" s="83">
        <f t="shared" si="77"/>
        <v>695</v>
      </c>
      <c r="T502" s="83">
        <f>50</f>
        <v>50</v>
      </c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</row>
    <row r="503" spans="1:30" ht="15.75" x14ac:dyDescent="0.25">
      <c r="A503" s="14">
        <v>56249</v>
      </c>
      <c r="B503" s="96">
        <v>31</v>
      </c>
      <c r="C503" s="83">
        <f>122.58</f>
        <v>122.58</v>
      </c>
      <c r="D503" s="83">
        <f>297.941</f>
        <v>297.94099999999997</v>
      </c>
      <c r="E503" s="92">
        <f>89.177</f>
        <v>89.177000000000007</v>
      </c>
      <c r="F503" s="83">
        <f>240.302-40-60-100</f>
        <v>40.301999999999992</v>
      </c>
      <c r="G503" s="86">
        <v>40</v>
      </c>
      <c r="H503" s="83">
        <f>60+100</f>
        <v>160</v>
      </c>
      <c r="I503" s="83">
        <f t="shared" si="80"/>
        <v>0</v>
      </c>
      <c r="J503" s="86">
        <v>100</v>
      </c>
      <c r="K503" s="86">
        <v>300</v>
      </c>
      <c r="L503" s="83">
        <f t="shared" si="74"/>
        <v>1150</v>
      </c>
      <c r="M503" s="94">
        <v>600</v>
      </c>
      <c r="N503" s="83">
        <f>100</f>
        <v>100</v>
      </c>
      <c r="O503" s="86">
        <v>240</v>
      </c>
      <c r="P503" s="86">
        <v>40</v>
      </c>
      <c r="Q503" s="86">
        <f t="shared" si="75"/>
        <v>315</v>
      </c>
      <c r="R503" s="86">
        <f t="shared" si="76"/>
        <v>100</v>
      </c>
      <c r="S503" s="83">
        <f t="shared" si="77"/>
        <v>695</v>
      </c>
      <c r="T503" s="83">
        <f>50</f>
        <v>50</v>
      </c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</row>
    <row r="504" spans="1:30" ht="15.75" x14ac:dyDescent="0.25">
      <c r="A504" s="14">
        <v>56280</v>
      </c>
      <c r="B504" s="96">
        <v>31</v>
      </c>
      <c r="C504" s="83">
        <f>122.58</f>
        <v>122.58</v>
      </c>
      <c r="D504" s="83">
        <f>297.941</f>
        <v>297.94099999999997</v>
      </c>
      <c r="E504" s="92">
        <f>89.177</f>
        <v>89.177000000000007</v>
      </c>
      <c r="F504" s="83">
        <f>240.302-40-60-100</f>
        <v>40.301999999999992</v>
      </c>
      <c r="G504" s="86">
        <v>40</v>
      </c>
      <c r="H504" s="83">
        <f>60+100</f>
        <v>160</v>
      </c>
      <c r="I504" s="83">
        <f t="shared" si="80"/>
        <v>0</v>
      </c>
      <c r="J504" s="86">
        <v>100</v>
      </c>
      <c r="K504" s="86">
        <v>300</v>
      </c>
      <c r="L504" s="83">
        <f t="shared" si="74"/>
        <v>1150</v>
      </c>
      <c r="M504" s="94">
        <v>600</v>
      </c>
      <c r="N504" s="83">
        <f>100</f>
        <v>100</v>
      </c>
      <c r="O504" s="86">
        <v>240</v>
      </c>
      <c r="P504" s="86">
        <v>40</v>
      </c>
      <c r="Q504" s="86">
        <f t="shared" si="75"/>
        <v>315</v>
      </c>
      <c r="R504" s="86">
        <f t="shared" si="76"/>
        <v>100</v>
      </c>
      <c r="S504" s="83">
        <f t="shared" si="77"/>
        <v>695</v>
      </c>
      <c r="T504" s="83">
        <f>50</f>
        <v>50</v>
      </c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</row>
    <row r="505" spans="1:30" ht="15.75" x14ac:dyDescent="0.25">
      <c r="A505" s="14">
        <v>56308</v>
      </c>
      <c r="B505" s="96">
        <v>28</v>
      </c>
      <c r="C505" s="83">
        <f>122.58</f>
        <v>122.58</v>
      </c>
      <c r="D505" s="83">
        <f>297.941</f>
        <v>297.94099999999997</v>
      </c>
      <c r="E505" s="92">
        <f>89.177</f>
        <v>89.177000000000007</v>
      </c>
      <c r="F505" s="83">
        <f>240.302-40-60-100</f>
        <v>40.301999999999992</v>
      </c>
      <c r="G505" s="86">
        <v>40</v>
      </c>
      <c r="H505" s="83">
        <f>60+100</f>
        <v>160</v>
      </c>
      <c r="I505" s="83">
        <f t="shared" si="80"/>
        <v>0</v>
      </c>
      <c r="J505" s="86">
        <v>100</v>
      </c>
      <c r="K505" s="86">
        <v>300</v>
      </c>
      <c r="L505" s="83">
        <f t="shared" si="74"/>
        <v>1150</v>
      </c>
      <c r="M505" s="94">
        <v>600</v>
      </c>
      <c r="N505" s="83">
        <f>100</f>
        <v>100</v>
      </c>
      <c r="O505" s="86">
        <v>240</v>
      </c>
      <c r="P505" s="86">
        <v>40</v>
      </c>
      <c r="Q505" s="86">
        <f t="shared" si="75"/>
        <v>315</v>
      </c>
      <c r="R505" s="86">
        <f t="shared" si="76"/>
        <v>100</v>
      </c>
      <c r="S505" s="83">
        <f t="shared" si="77"/>
        <v>695</v>
      </c>
      <c r="T505" s="83">
        <f>50</f>
        <v>50</v>
      </c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</row>
    <row r="506" spans="1:30" ht="15.75" x14ac:dyDescent="0.25">
      <c r="A506" s="14">
        <v>56339</v>
      </c>
      <c r="B506" s="96">
        <v>31</v>
      </c>
      <c r="C506" s="83">
        <f>122.58</f>
        <v>122.58</v>
      </c>
      <c r="D506" s="83">
        <f>297.941</f>
        <v>297.94099999999997</v>
      </c>
      <c r="E506" s="92">
        <f>89.177</f>
        <v>89.177000000000007</v>
      </c>
      <c r="F506" s="83">
        <f>240.302-40-60-100</f>
        <v>40.301999999999992</v>
      </c>
      <c r="G506" s="86">
        <v>40</v>
      </c>
      <c r="H506" s="83">
        <f>60+100</f>
        <v>160</v>
      </c>
      <c r="I506" s="83">
        <f t="shared" si="80"/>
        <v>0</v>
      </c>
      <c r="J506" s="86">
        <v>100</v>
      </c>
      <c r="K506" s="86">
        <v>300</v>
      </c>
      <c r="L506" s="83">
        <f t="shared" si="74"/>
        <v>1150</v>
      </c>
      <c r="M506" s="94">
        <v>600</v>
      </c>
      <c r="N506" s="83">
        <f>100</f>
        <v>100</v>
      </c>
      <c r="O506" s="86">
        <v>240</v>
      </c>
      <c r="P506" s="86">
        <v>40</v>
      </c>
      <c r="Q506" s="86">
        <f t="shared" si="75"/>
        <v>315</v>
      </c>
      <c r="R506" s="86">
        <f t="shared" si="76"/>
        <v>100</v>
      </c>
      <c r="S506" s="83">
        <f t="shared" si="77"/>
        <v>695</v>
      </c>
      <c r="T506" s="83">
        <f>50</f>
        <v>50</v>
      </c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</row>
    <row r="507" spans="1:30" ht="15.75" x14ac:dyDescent="0.25">
      <c r="A507" s="14">
        <v>56369</v>
      </c>
      <c r="B507" s="96">
        <v>30</v>
      </c>
      <c r="C507" s="83">
        <f>141.293</f>
        <v>141.29300000000001</v>
      </c>
      <c r="D507" s="83">
        <f>267.993</f>
        <v>267.99299999999999</v>
      </c>
      <c r="E507" s="92">
        <f>115.016</f>
        <v>115.01600000000001</v>
      </c>
      <c r="F507" s="83">
        <f>314.698-40-25-60-100</f>
        <v>89.697999999999979</v>
      </c>
      <c r="G507" s="86">
        <v>40</v>
      </c>
      <c r="H507" s="83">
        <f t="shared" ref="H507:H513" si="81">25+60+100</f>
        <v>185</v>
      </c>
      <c r="I507" s="83">
        <f t="shared" si="80"/>
        <v>0</v>
      </c>
      <c r="J507" s="86">
        <v>100</v>
      </c>
      <c r="K507" s="86">
        <v>300</v>
      </c>
      <c r="L507" s="83">
        <f t="shared" si="74"/>
        <v>1239</v>
      </c>
      <c r="M507" s="94">
        <v>600</v>
      </c>
      <c r="N507" s="83">
        <f>100</f>
        <v>100</v>
      </c>
      <c r="O507" s="86">
        <v>240</v>
      </c>
      <c r="P507" s="86">
        <v>160</v>
      </c>
      <c r="Q507" s="86">
        <f t="shared" si="75"/>
        <v>195</v>
      </c>
      <c r="R507" s="86">
        <f t="shared" si="76"/>
        <v>100</v>
      </c>
      <c r="S507" s="83">
        <f t="shared" si="77"/>
        <v>695</v>
      </c>
      <c r="T507" s="83">
        <f>50</f>
        <v>50</v>
      </c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</row>
    <row r="508" spans="1:30" ht="15.75" x14ac:dyDescent="0.25">
      <c r="A508" s="14">
        <v>56400</v>
      </c>
      <c r="B508" s="96">
        <v>31</v>
      </c>
      <c r="C508" s="83">
        <f>194.205</f>
        <v>194.20500000000001</v>
      </c>
      <c r="D508" s="83">
        <f>267.466</f>
        <v>267.46600000000001</v>
      </c>
      <c r="E508" s="92">
        <f>133.845</f>
        <v>133.845</v>
      </c>
      <c r="F508" s="83">
        <f>278.484-40-25-60-100</f>
        <v>53.48399999999998</v>
      </c>
      <c r="G508" s="86">
        <v>40</v>
      </c>
      <c r="H508" s="83">
        <f t="shared" si="81"/>
        <v>185</v>
      </c>
      <c r="I508" s="83">
        <f t="shared" si="80"/>
        <v>0</v>
      </c>
      <c r="J508" s="86">
        <v>100</v>
      </c>
      <c r="K508" s="86">
        <v>300</v>
      </c>
      <c r="L508" s="83">
        <f t="shared" si="74"/>
        <v>1274</v>
      </c>
      <c r="M508" s="94">
        <v>600</v>
      </c>
      <c r="N508" s="83">
        <f>75</f>
        <v>75</v>
      </c>
      <c r="O508" s="86">
        <v>240</v>
      </c>
      <c r="P508" s="86">
        <v>160</v>
      </c>
      <c r="Q508" s="86">
        <f t="shared" si="75"/>
        <v>195</v>
      </c>
      <c r="R508" s="86">
        <f t="shared" si="76"/>
        <v>100</v>
      </c>
      <c r="S508" s="83">
        <f t="shared" si="77"/>
        <v>695</v>
      </c>
      <c r="T508" s="83">
        <f>50</f>
        <v>50</v>
      </c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</row>
    <row r="509" spans="1:30" ht="15.75" x14ac:dyDescent="0.25">
      <c r="A509" s="14">
        <v>56430</v>
      </c>
      <c r="B509" s="96">
        <v>30</v>
      </c>
      <c r="C509" s="83">
        <f>194.205</f>
        <v>194.20500000000001</v>
      </c>
      <c r="D509" s="83">
        <f>267.466</f>
        <v>267.46600000000001</v>
      </c>
      <c r="E509" s="92">
        <f>133.845</f>
        <v>133.845</v>
      </c>
      <c r="F509" s="83">
        <f>278.484-40-25-60-100</f>
        <v>53.48399999999998</v>
      </c>
      <c r="G509" s="86">
        <v>40</v>
      </c>
      <c r="H509" s="83">
        <f t="shared" si="81"/>
        <v>185</v>
      </c>
      <c r="I509" s="83">
        <f t="shared" si="80"/>
        <v>0</v>
      </c>
      <c r="J509" s="86">
        <v>100</v>
      </c>
      <c r="K509" s="86">
        <v>300</v>
      </c>
      <c r="L509" s="83">
        <f t="shared" si="74"/>
        <v>1274</v>
      </c>
      <c r="M509" s="94">
        <v>600</v>
      </c>
      <c r="N509" s="83">
        <f>30</f>
        <v>30</v>
      </c>
      <c r="O509" s="86">
        <v>240</v>
      </c>
      <c r="P509" s="86">
        <v>160</v>
      </c>
      <c r="Q509" s="86">
        <f t="shared" si="75"/>
        <v>195</v>
      </c>
      <c r="R509" s="86">
        <f t="shared" si="76"/>
        <v>100</v>
      </c>
      <c r="S509" s="83">
        <f t="shared" si="77"/>
        <v>695</v>
      </c>
      <c r="T509" s="83">
        <f>50</f>
        <v>50</v>
      </c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</row>
    <row r="510" spans="1:30" ht="15.75" x14ac:dyDescent="0.25">
      <c r="A510" s="14">
        <v>56461</v>
      </c>
      <c r="B510" s="96">
        <v>31</v>
      </c>
      <c r="C510" s="83">
        <f>194.205</f>
        <v>194.20500000000001</v>
      </c>
      <c r="D510" s="83">
        <f>267.466</f>
        <v>267.46600000000001</v>
      </c>
      <c r="E510" s="92">
        <f>133.845</f>
        <v>133.845</v>
      </c>
      <c r="F510" s="83">
        <f>278.484-40-25-60-100</f>
        <v>53.48399999999998</v>
      </c>
      <c r="G510" s="86">
        <v>40</v>
      </c>
      <c r="H510" s="83">
        <f t="shared" si="81"/>
        <v>185</v>
      </c>
      <c r="I510" s="83">
        <f t="shared" si="80"/>
        <v>0</v>
      </c>
      <c r="J510" s="86">
        <v>100</v>
      </c>
      <c r="K510" s="86">
        <v>300</v>
      </c>
      <c r="L510" s="83">
        <f t="shared" si="74"/>
        <v>1274</v>
      </c>
      <c r="M510" s="94">
        <v>600</v>
      </c>
      <c r="N510" s="83">
        <f>30</f>
        <v>30</v>
      </c>
      <c r="O510" s="86">
        <v>240</v>
      </c>
      <c r="P510" s="86">
        <v>160</v>
      </c>
      <c r="Q510" s="86">
        <f t="shared" si="75"/>
        <v>195</v>
      </c>
      <c r="R510" s="86">
        <f t="shared" si="76"/>
        <v>100</v>
      </c>
      <c r="S510" s="83">
        <f t="shared" si="77"/>
        <v>695</v>
      </c>
      <c r="T510" s="83">
        <f>0</f>
        <v>0</v>
      </c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</row>
    <row r="511" spans="1:30" ht="15.75" x14ac:dyDescent="0.25">
      <c r="A511" s="14">
        <v>56492</v>
      </c>
      <c r="B511" s="96">
        <v>31</v>
      </c>
      <c r="C511" s="83">
        <f>194.205</f>
        <v>194.20500000000001</v>
      </c>
      <c r="D511" s="83">
        <f>267.466</f>
        <v>267.46600000000001</v>
      </c>
      <c r="E511" s="92">
        <f>133.845</f>
        <v>133.845</v>
      </c>
      <c r="F511" s="83">
        <f>278.484-40-25-60-100</f>
        <v>53.48399999999998</v>
      </c>
      <c r="G511" s="86">
        <v>40</v>
      </c>
      <c r="H511" s="83">
        <f t="shared" si="81"/>
        <v>185</v>
      </c>
      <c r="I511" s="83">
        <f t="shared" si="80"/>
        <v>0</v>
      </c>
      <c r="J511" s="86">
        <v>100</v>
      </c>
      <c r="K511" s="86">
        <v>300</v>
      </c>
      <c r="L511" s="83">
        <f t="shared" si="74"/>
        <v>1274</v>
      </c>
      <c r="M511" s="94">
        <v>600</v>
      </c>
      <c r="N511" s="83">
        <f>30</f>
        <v>30</v>
      </c>
      <c r="O511" s="86">
        <v>240</v>
      </c>
      <c r="P511" s="86">
        <v>160</v>
      </c>
      <c r="Q511" s="86">
        <f t="shared" si="75"/>
        <v>195</v>
      </c>
      <c r="R511" s="86">
        <f t="shared" si="76"/>
        <v>100</v>
      </c>
      <c r="S511" s="83">
        <f t="shared" si="77"/>
        <v>695</v>
      </c>
      <c r="T511" s="83">
        <f>0</f>
        <v>0</v>
      </c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</row>
    <row r="512" spans="1:30" ht="15.75" x14ac:dyDescent="0.25">
      <c r="A512" s="14">
        <v>56522</v>
      </c>
      <c r="B512" s="96">
        <v>30</v>
      </c>
      <c r="C512" s="83">
        <f>194.205</f>
        <v>194.20500000000001</v>
      </c>
      <c r="D512" s="83">
        <f>267.466</f>
        <v>267.46600000000001</v>
      </c>
      <c r="E512" s="92">
        <f>133.845</f>
        <v>133.845</v>
      </c>
      <c r="F512" s="83">
        <f>278.484-40-25-60-100</f>
        <v>53.48399999999998</v>
      </c>
      <c r="G512" s="86">
        <v>40</v>
      </c>
      <c r="H512" s="83">
        <f t="shared" si="81"/>
        <v>185</v>
      </c>
      <c r="I512" s="83">
        <f t="shared" si="80"/>
        <v>0</v>
      </c>
      <c r="J512" s="86">
        <v>100</v>
      </c>
      <c r="K512" s="86">
        <v>300</v>
      </c>
      <c r="L512" s="83">
        <f t="shared" si="74"/>
        <v>1274</v>
      </c>
      <c r="M512" s="94">
        <v>600</v>
      </c>
      <c r="N512" s="83">
        <f>30</f>
        <v>30</v>
      </c>
      <c r="O512" s="86">
        <v>240</v>
      </c>
      <c r="P512" s="86">
        <v>160</v>
      </c>
      <c r="Q512" s="86">
        <f t="shared" si="75"/>
        <v>195</v>
      </c>
      <c r="R512" s="86">
        <f t="shared" si="76"/>
        <v>100</v>
      </c>
      <c r="S512" s="83">
        <f t="shared" si="77"/>
        <v>695</v>
      </c>
      <c r="T512" s="83">
        <f>0</f>
        <v>0</v>
      </c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</row>
    <row r="513" spans="1:30" ht="15.75" x14ac:dyDescent="0.25">
      <c r="A513" s="14">
        <v>56553</v>
      </c>
      <c r="B513" s="96">
        <v>31</v>
      </c>
      <c r="C513" s="83">
        <f>131.881</f>
        <v>131.881</v>
      </c>
      <c r="D513" s="83">
        <f>277.167</f>
        <v>277.16699999999997</v>
      </c>
      <c r="E513" s="92">
        <f>79.08</f>
        <v>79.08</v>
      </c>
      <c r="F513" s="83">
        <f>350.872-40-25-60-100</f>
        <v>125.87200000000001</v>
      </c>
      <c r="G513" s="86">
        <v>40</v>
      </c>
      <c r="H513" s="83">
        <f t="shared" si="81"/>
        <v>185</v>
      </c>
      <c r="I513" s="83">
        <f t="shared" si="80"/>
        <v>0</v>
      </c>
      <c r="J513" s="86">
        <v>100</v>
      </c>
      <c r="K513" s="86">
        <v>300</v>
      </c>
      <c r="L513" s="83">
        <f t="shared" si="74"/>
        <v>1239</v>
      </c>
      <c r="M513" s="94">
        <v>600</v>
      </c>
      <c r="N513" s="83">
        <f>75</f>
        <v>75</v>
      </c>
      <c r="O513" s="86">
        <v>240</v>
      </c>
      <c r="P513" s="86">
        <v>160</v>
      </c>
      <c r="Q513" s="86">
        <f t="shared" si="75"/>
        <v>195</v>
      </c>
      <c r="R513" s="86">
        <f t="shared" si="76"/>
        <v>100</v>
      </c>
      <c r="S513" s="83">
        <f t="shared" si="77"/>
        <v>695</v>
      </c>
      <c r="T513" s="83">
        <f>0</f>
        <v>0</v>
      </c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</row>
    <row r="514" spans="1:30" ht="15.75" x14ac:dyDescent="0.25">
      <c r="A514" s="14">
        <v>56583</v>
      </c>
      <c r="B514" s="96">
        <v>30</v>
      </c>
      <c r="C514" s="83">
        <f>122.58</f>
        <v>122.58</v>
      </c>
      <c r="D514" s="83">
        <f>297.941</f>
        <v>297.94099999999997</v>
      </c>
      <c r="E514" s="92">
        <f>89.177</f>
        <v>89.177000000000007</v>
      </c>
      <c r="F514" s="83">
        <f>240.302-40-60-100</f>
        <v>40.301999999999992</v>
      </c>
      <c r="G514" s="86">
        <v>40</v>
      </c>
      <c r="H514" s="83">
        <f>60+100</f>
        <v>160</v>
      </c>
      <c r="I514" s="83">
        <f t="shared" si="80"/>
        <v>0</v>
      </c>
      <c r="J514" s="86">
        <v>100</v>
      </c>
      <c r="K514" s="86">
        <v>300</v>
      </c>
      <c r="L514" s="83">
        <f t="shared" si="74"/>
        <v>1150</v>
      </c>
      <c r="M514" s="94">
        <v>600</v>
      </c>
      <c r="N514" s="83">
        <f>100</f>
        <v>100</v>
      </c>
      <c r="O514" s="86">
        <v>240</v>
      </c>
      <c r="P514" s="86">
        <v>40</v>
      </c>
      <c r="Q514" s="86">
        <f t="shared" si="75"/>
        <v>315</v>
      </c>
      <c r="R514" s="86">
        <f t="shared" si="76"/>
        <v>100</v>
      </c>
      <c r="S514" s="83">
        <f t="shared" si="77"/>
        <v>695</v>
      </c>
      <c r="T514" s="83">
        <f>50</f>
        <v>50</v>
      </c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</row>
    <row r="515" spans="1:30" ht="15.75" x14ac:dyDescent="0.25">
      <c r="A515" s="14">
        <v>56614</v>
      </c>
      <c r="B515" s="96">
        <v>31</v>
      </c>
      <c r="C515" s="83">
        <f>122.58</f>
        <v>122.58</v>
      </c>
      <c r="D515" s="83">
        <f>297.941</f>
        <v>297.94099999999997</v>
      </c>
      <c r="E515" s="92">
        <f>89.177</f>
        <v>89.177000000000007</v>
      </c>
      <c r="F515" s="83">
        <f>240.302-40-60-100</f>
        <v>40.301999999999992</v>
      </c>
      <c r="G515" s="86">
        <v>40</v>
      </c>
      <c r="H515" s="83">
        <f>60+100</f>
        <v>160</v>
      </c>
      <c r="I515" s="83">
        <f t="shared" si="80"/>
        <v>0</v>
      </c>
      <c r="J515" s="86">
        <v>100</v>
      </c>
      <c r="K515" s="86">
        <v>300</v>
      </c>
      <c r="L515" s="83">
        <f t="shared" si="74"/>
        <v>1150</v>
      </c>
      <c r="M515" s="94">
        <v>600</v>
      </c>
      <c r="N515" s="83">
        <f>100</f>
        <v>100</v>
      </c>
      <c r="O515" s="86">
        <v>240</v>
      </c>
      <c r="P515" s="86">
        <v>40</v>
      </c>
      <c r="Q515" s="86">
        <f t="shared" si="75"/>
        <v>315</v>
      </c>
      <c r="R515" s="86">
        <f t="shared" si="76"/>
        <v>100</v>
      </c>
      <c r="S515" s="83">
        <f t="shared" si="77"/>
        <v>695</v>
      </c>
      <c r="T515" s="83">
        <f>50</f>
        <v>50</v>
      </c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</row>
    <row r="516" spans="1:30" ht="15.75" x14ac:dyDescent="0.25">
      <c r="A516" s="13">
        <v>56645</v>
      </c>
      <c r="B516" s="95">
        <v>31</v>
      </c>
      <c r="C516" s="83">
        <f>122.58</f>
        <v>122.58</v>
      </c>
      <c r="D516" s="83">
        <f>297.941</f>
        <v>297.94099999999997</v>
      </c>
      <c r="E516" s="92">
        <f>89.177</f>
        <v>89.177000000000007</v>
      </c>
      <c r="F516" s="83">
        <f>240.302-40-60-100</f>
        <v>40.301999999999992</v>
      </c>
      <c r="G516" s="86">
        <v>40</v>
      </c>
      <c r="H516" s="83">
        <f>60+100</f>
        <v>160</v>
      </c>
      <c r="I516" s="83">
        <f t="shared" si="80"/>
        <v>0</v>
      </c>
      <c r="J516" s="86">
        <v>100</v>
      </c>
      <c r="K516" s="86">
        <v>300</v>
      </c>
      <c r="L516" s="83">
        <f t="shared" si="74"/>
        <v>1150</v>
      </c>
      <c r="M516" s="94">
        <v>600</v>
      </c>
      <c r="N516" s="83">
        <f>100</f>
        <v>100</v>
      </c>
      <c r="O516" s="86">
        <v>240</v>
      </c>
      <c r="P516" s="86">
        <v>40</v>
      </c>
      <c r="Q516" s="86">
        <f t="shared" si="75"/>
        <v>315</v>
      </c>
      <c r="R516" s="86">
        <f t="shared" si="76"/>
        <v>100</v>
      </c>
      <c r="S516" s="83">
        <f t="shared" si="77"/>
        <v>695</v>
      </c>
      <c r="T516" s="83">
        <f>50</f>
        <v>50</v>
      </c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</row>
    <row r="517" spans="1:30" ht="15.75" x14ac:dyDescent="0.25">
      <c r="A517" s="13">
        <v>56673</v>
      </c>
      <c r="B517" s="95">
        <v>28</v>
      </c>
      <c r="C517" s="83">
        <f>122.58</f>
        <v>122.58</v>
      </c>
      <c r="D517" s="83">
        <f>297.941</f>
        <v>297.94099999999997</v>
      </c>
      <c r="E517" s="92">
        <f>89.177</f>
        <v>89.177000000000007</v>
      </c>
      <c r="F517" s="83">
        <f>240.302-40-60-100</f>
        <v>40.301999999999992</v>
      </c>
      <c r="G517" s="86">
        <v>40</v>
      </c>
      <c r="H517" s="83">
        <f>60+100</f>
        <v>160</v>
      </c>
      <c r="I517" s="83">
        <f t="shared" si="80"/>
        <v>0</v>
      </c>
      <c r="J517" s="86">
        <v>100</v>
      </c>
      <c r="K517" s="86">
        <v>300</v>
      </c>
      <c r="L517" s="83">
        <f t="shared" si="74"/>
        <v>1150</v>
      </c>
      <c r="M517" s="94">
        <v>600</v>
      </c>
      <c r="N517" s="83">
        <f>100</f>
        <v>100</v>
      </c>
      <c r="O517" s="86">
        <v>240</v>
      </c>
      <c r="P517" s="86">
        <v>40</v>
      </c>
      <c r="Q517" s="86">
        <f t="shared" si="75"/>
        <v>315</v>
      </c>
      <c r="R517" s="86">
        <f t="shared" si="76"/>
        <v>100</v>
      </c>
      <c r="S517" s="83">
        <f t="shared" si="77"/>
        <v>695</v>
      </c>
      <c r="T517" s="83">
        <f>50</f>
        <v>50</v>
      </c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</row>
    <row r="518" spans="1:30" ht="15.75" x14ac:dyDescent="0.25">
      <c r="A518" s="13">
        <v>56704</v>
      </c>
      <c r="B518" s="95">
        <v>31</v>
      </c>
      <c r="C518" s="83">
        <f>122.58</f>
        <v>122.58</v>
      </c>
      <c r="D518" s="83">
        <f>297.941</f>
        <v>297.94099999999997</v>
      </c>
      <c r="E518" s="92">
        <f>89.177</f>
        <v>89.177000000000007</v>
      </c>
      <c r="F518" s="83">
        <f>240.302-40-60-100</f>
        <v>40.301999999999992</v>
      </c>
      <c r="G518" s="86">
        <v>40</v>
      </c>
      <c r="H518" s="83">
        <f>60+100</f>
        <v>160</v>
      </c>
      <c r="I518" s="83">
        <f t="shared" si="80"/>
        <v>0</v>
      </c>
      <c r="J518" s="86">
        <v>100</v>
      </c>
      <c r="K518" s="86">
        <v>300</v>
      </c>
      <c r="L518" s="83">
        <f t="shared" si="74"/>
        <v>1150</v>
      </c>
      <c r="M518" s="94">
        <v>600</v>
      </c>
      <c r="N518" s="83">
        <f>100</f>
        <v>100</v>
      </c>
      <c r="O518" s="86">
        <v>240</v>
      </c>
      <c r="P518" s="86">
        <v>40</v>
      </c>
      <c r="Q518" s="86">
        <f t="shared" si="75"/>
        <v>315</v>
      </c>
      <c r="R518" s="86">
        <f t="shared" si="76"/>
        <v>100</v>
      </c>
      <c r="S518" s="83">
        <f t="shared" si="77"/>
        <v>695</v>
      </c>
      <c r="T518" s="83">
        <f>50</f>
        <v>50</v>
      </c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</row>
    <row r="519" spans="1:30" ht="15.75" x14ac:dyDescent="0.25">
      <c r="A519" s="13">
        <v>56734</v>
      </c>
      <c r="B519" s="95">
        <v>30</v>
      </c>
      <c r="C519" s="83">
        <f>141.293</f>
        <v>141.29300000000001</v>
      </c>
      <c r="D519" s="83">
        <f>267.993</f>
        <v>267.99299999999999</v>
      </c>
      <c r="E519" s="92">
        <f>115.016</f>
        <v>115.01600000000001</v>
      </c>
      <c r="F519" s="83">
        <f>314.698-40-25-60-100</f>
        <v>89.697999999999979</v>
      </c>
      <c r="G519" s="86">
        <v>40</v>
      </c>
      <c r="H519" s="83">
        <f t="shared" ref="H519:H525" si="82">25+60+100</f>
        <v>185</v>
      </c>
      <c r="I519" s="83">
        <f t="shared" si="80"/>
        <v>0</v>
      </c>
      <c r="J519" s="86">
        <v>100</v>
      </c>
      <c r="K519" s="86">
        <v>300</v>
      </c>
      <c r="L519" s="83">
        <f t="shared" si="74"/>
        <v>1239</v>
      </c>
      <c r="M519" s="94">
        <v>600</v>
      </c>
      <c r="N519" s="83">
        <f>100</f>
        <v>100</v>
      </c>
      <c r="O519" s="86">
        <v>240</v>
      </c>
      <c r="P519" s="86">
        <v>160</v>
      </c>
      <c r="Q519" s="86">
        <f t="shared" si="75"/>
        <v>195</v>
      </c>
      <c r="R519" s="86">
        <f t="shared" si="76"/>
        <v>100</v>
      </c>
      <c r="S519" s="83">
        <f t="shared" si="77"/>
        <v>695</v>
      </c>
      <c r="T519" s="83">
        <f>50</f>
        <v>50</v>
      </c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</row>
    <row r="520" spans="1:30" ht="15.75" x14ac:dyDescent="0.25">
      <c r="A520" s="13">
        <v>56765</v>
      </c>
      <c r="B520" s="95">
        <v>31</v>
      </c>
      <c r="C520" s="83">
        <f>194.205</f>
        <v>194.20500000000001</v>
      </c>
      <c r="D520" s="83">
        <f>267.466</f>
        <v>267.46600000000001</v>
      </c>
      <c r="E520" s="92">
        <f>133.845</f>
        <v>133.845</v>
      </c>
      <c r="F520" s="83">
        <f>278.484-40-25-60-100</f>
        <v>53.48399999999998</v>
      </c>
      <c r="G520" s="86">
        <v>40</v>
      </c>
      <c r="H520" s="83">
        <f t="shared" si="82"/>
        <v>185</v>
      </c>
      <c r="I520" s="83">
        <f t="shared" si="80"/>
        <v>0</v>
      </c>
      <c r="J520" s="86">
        <v>100</v>
      </c>
      <c r="K520" s="86">
        <v>300</v>
      </c>
      <c r="L520" s="83">
        <f t="shared" si="74"/>
        <v>1274</v>
      </c>
      <c r="M520" s="94">
        <v>600</v>
      </c>
      <c r="N520" s="83">
        <f>75</f>
        <v>75</v>
      </c>
      <c r="O520" s="86">
        <v>240</v>
      </c>
      <c r="P520" s="86">
        <v>160</v>
      </c>
      <c r="Q520" s="86">
        <f t="shared" si="75"/>
        <v>195</v>
      </c>
      <c r="R520" s="86">
        <f t="shared" si="76"/>
        <v>100</v>
      </c>
      <c r="S520" s="83">
        <f t="shared" si="77"/>
        <v>695</v>
      </c>
      <c r="T520" s="83">
        <f>50</f>
        <v>50</v>
      </c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</row>
    <row r="521" spans="1:30" ht="15.75" x14ac:dyDescent="0.25">
      <c r="A521" s="13">
        <v>56795</v>
      </c>
      <c r="B521" s="95">
        <v>30</v>
      </c>
      <c r="C521" s="83">
        <f>194.205</f>
        <v>194.20500000000001</v>
      </c>
      <c r="D521" s="83">
        <f>267.466</f>
        <v>267.46600000000001</v>
      </c>
      <c r="E521" s="92">
        <f>133.845</f>
        <v>133.845</v>
      </c>
      <c r="F521" s="83">
        <f>278.484-40-25-60-100</f>
        <v>53.48399999999998</v>
      </c>
      <c r="G521" s="86">
        <v>40</v>
      </c>
      <c r="H521" s="83">
        <f t="shared" si="82"/>
        <v>185</v>
      </c>
      <c r="I521" s="83">
        <f t="shared" si="80"/>
        <v>0</v>
      </c>
      <c r="J521" s="86">
        <v>100</v>
      </c>
      <c r="K521" s="86">
        <v>300</v>
      </c>
      <c r="L521" s="83">
        <f t="shared" si="74"/>
        <v>1274</v>
      </c>
      <c r="M521" s="94">
        <v>600</v>
      </c>
      <c r="N521" s="83">
        <f>30</f>
        <v>30</v>
      </c>
      <c r="O521" s="86">
        <v>240</v>
      </c>
      <c r="P521" s="86">
        <v>160</v>
      </c>
      <c r="Q521" s="86">
        <f t="shared" si="75"/>
        <v>195</v>
      </c>
      <c r="R521" s="86">
        <f t="shared" si="76"/>
        <v>100</v>
      </c>
      <c r="S521" s="83">
        <f t="shared" si="77"/>
        <v>695</v>
      </c>
      <c r="T521" s="83">
        <f>50</f>
        <v>50</v>
      </c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</row>
    <row r="522" spans="1:30" ht="15.75" x14ac:dyDescent="0.25">
      <c r="A522" s="13">
        <v>56826</v>
      </c>
      <c r="B522" s="95">
        <v>31</v>
      </c>
      <c r="C522" s="83">
        <f>194.205</f>
        <v>194.20500000000001</v>
      </c>
      <c r="D522" s="83">
        <f>267.466</f>
        <v>267.46600000000001</v>
      </c>
      <c r="E522" s="92">
        <f>133.845</f>
        <v>133.845</v>
      </c>
      <c r="F522" s="83">
        <f>278.484-40-25-60-100</f>
        <v>53.48399999999998</v>
      </c>
      <c r="G522" s="86">
        <v>40</v>
      </c>
      <c r="H522" s="83">
        <f t="shared" si="82"/>
        <v>185</v>
      </c>
      <c r="I522" s="83">
        <f t="shared" si="80"/>
        <v>0</v>
      </c>
      <c r="J522" s="86">
        <v>100</v>
      </c>
      <c r="K522" s="86">
        <v>300</v>
      </c>
      <c r="L522" s="83">
        <f t="shared" si="74"/>
        <v>1274</v>
      </c>
      <c r="M522" s="94">
        <v>600</v>
      </c>
      <c r="N522" s="83">
        <f>30</f>
        <v>30</v>
      </c>
      <c r="O522" s="86">
        <v>240</v>
      </c>
      <c r="P522" s="86">
        <v>160</v>
      </c>
      <c r="Q522" s="86">
        <f t="shared" si="75"/>
        <v>195</v>
      </c>
      <c r="R522" s="86">
        <f t="shared" si="76"/>
        <v>100</v>
      </c>
      <c r="S522" s="83">
        <f t="shared" si="77"/>
        <v>695</v>
      </c>
      <c r="T522" s="83">
        <f>0</f>
        <v>0</v>
      </c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</row>
    <row r="523" spans="1:30" ht="15.75" x14ac:dyDescent="0.25">
      <c r="A523" s="13">
        <v>56857</v>
      </c>
      <c r="B523" s="95">
        <v>31</v>
      </c>
      <c r="C523" s="83">
        <f>194.205</f>
        <v>194.20500000000001</v>
      </c>
      <c r="D523" s="83">
        <f>267.466</f>
        <v>267.46600000000001</v>
      </c>
      <c r="E523" s="92">
        <f>133.845</f>
        <v>133.845</v>
      </c>
      <c r="F523" s="83">
        <f>278.484-40-25-60-100</f>
        <v>53.48399999999998</v>
      </c>
      <c r="G523" s="86">
        <v>40</v>
      </c>
      <c r="H523" s="83">
        <f t="shared" si="82"/>
        <v>185</v>
      </c>
      <c r="I523" s="83">
        <f t="shared" si="80"/>
        <v>0</v>
      </c>
      <c r="J523" s="86">
        <v>100</v>
      </c>
      <c r="K523" s="86">
        <v>300</v>
      </c>
      <c r="L523" s="83">
        <f t="shared" si="74"/>
        <v>1274</v>
      </c>
      <c r="M523" s="94">
        <v>600</v>
      </c>
      <c r="N523" s="83">
        <f>30</f>
        <v>30</v>
      </c>
      <c r="O523" s="86">
        <v>240</v>
      </c>
      <c r="P523" s="86">
        <v>160</v>
      </c>
      <c r="Q523" s="86">
        <f t="shared" si="75"/>
        <v>195</v>
      </c>
      <c r="R523" s="86">
        <f t="shared" si="76"/>
        <v>100</v>
      </c>
      <c r="S523" s="83">
        <f t="shared" si="77"/>
        <v>695</v>
      </c>
      <c r="T523" s="83">
        <f>0</f>
        <v>0</v>
      </c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</row>
    <row r="524" spans="1:30" ht="15.75" x14ac:dyDescent="0.25">
      <c r="A524" s="13">
        <v>56887</v>
      </c>
      <c r="B524" s="95">
        <v>30</v>
      </c>
      <c r="C524" s="83">
        <f>194.205</f>
        <v>194.20500000000001</v>
      </c>
      <c r="D524" s="83">
        <f>267.466</f>
        <v>267.46600000000001</v>
      </c>
      <c r="E524" s="92">
        <f>133.845</f>
        <v>133.845</v>
      </c>
      <c r="F524" s="83">
        <f>278.484-40-25-60-100</f>
        <v>53.48399999999998</v>
      </c>
      <c r="G524" s="86">
        <v>40</v>
      </c>
      <c r="H524" s="83">
        <f t="shared" si="82"/>
        <v>185</v>
      </c>
      <c r="I524" s="83">
        <f t="shared" si="80"/>
        <v>0</v>
      </c>
      <c r="J524" s="86">
        <v>100</v>
      </c>
      <c r="K524" s="86">
        <v>300</v>
      </c>
      <c r="L524" s="83">
        <f t="shared" si="74"/>
        <v>1274</v>
      </c>
      <c r="M524" s="94">
        <v>600</v>
      </c>
      <c r="N524" s="83">
        <f>30</f>
        <v>30</v>
      </c>
      <c r="O524" s="86">
        <v>240</v>
      </c>
      <c r="P524" s="86">
        <v>160</v>
      </c>
      <c r="Q524" s="86">
        <f t="shared" si="75"/>
        <v>195</v>
      </c>
      <c r="R524" s="86">
        <f t="shared" si="76"/>
        <v>100</v>
      </c>
      <c r="S524" s="83">
        <f t="shared" si="77"/>
        <v>695</v>
      </c>
      <c r="T524" s="83">
        <f>0</f>
        <v>0</v>
      </c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</row>
    <row r="525" spans="1:30" ht="15.75" x14ac:dyDescent="0.25">
      <c r="A525" s="13">
        <v>56918</v>
      </c>
      <c r="B525" s="95">
        <v>31</v>
      </c>
      <c r="C525" s="83">
        <f>131.881</f>
        <v>131.881</v>
      </c>
      <c r="D525" s="83">
        <f>277.167</f>
        <v>277.16699999999997</v>
      </c>
      <c r="E525" s="92">
        <f>79.08</f>
        <v>79.08</v>
      </c>
      <c r="F525" s="83">
        <f>350.872-40-25-60-100</f>
        <v>125.87200000000001</v>
      </c>
      <c r="G525" s="86">
        <v>40</v>
      </c>
      <c r="H525" s="83">
        <f t="shared" si="82"/>
        <v>185</v>
      </c>
      <c r="I525" s="83">
        <f t="shared" si="80"/>
        <v>0</v>
      </c>
      <c r="J525" s="86">
        <v>100</v>
      </c>
      <c r="K525" s="86">
        <v>300</v>
      </c>
      <c r="L525" s="83">
        <f t="shared" si="74"/>
        <v>1239</v>
      </c>
      <c r="M525" s="94">
        <v>600</v>
      </c>
      <c r="N525" s="83">
        <f>75</f>
        <v>75</v>
      </c>
      <c r="O525" s="86">
        <v>240</v>
      </c>
      <c r="P525" s="86">
        <v>160</v>
      </c>
      <c r="Q525" s="86">
        <f t="shared" si="75"/>
        <v>195</v>
      </c>
      <c r="R525" s="86">
        <f t="shared" si="76"/>
        <v>100</v>
      </c>
      <c r="S525" s="83">
        <f t="shared" si="77"/>
        <v>695</v>
      </c>
      <c r="T525" s="83">
        <f>0</f>
        <v>0</v>
      </c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</row>
    <row r="526" spans="1:30" ht="15.75" x14ac:dyDescent="0.25">
      <c r="A526" s="13">
        <v>56948</v>
      </c>
      <c r="B526" s="95">
        <v>30</v>
      </c>
      <c r="C526" s="83">
        <f>122.58</f>
        <v>122.58</v>
      </c>
      <c r="D526" s="83">
        <f>297.941</f>
        <v>297.94099999999997</v>
      </c>
      <c r="E526" s="92">
        <f>89.177</f>
        <v>89.177000000000007</v>
      </c>
      <c r="F526" s="83">
        <f>240.302-40-60-100</f>
        <v>40.301999999999992</v>
      </c>
      <c r="G526" s="86">
        <v>40</v>
      </c>
      <c r="H526" s="83">
        <f>60+100</f>
        <v>160</v>
      </c>
      <c r="I526" s="83">
        <f t="shared" si="80"/>
        <v>0</v>
      </c>
      <c r="J526" s="86">
        <v>100</v>
      </c>
      <c r="K526" s="86">
        <v>300</v>
      </c>
      <c r="L526" s="83">
        <f t="shared" si="74"/>
        <v>1150</v>
      </c>
      <c r="M526" s="94">
        <v>600</v>
      </c>
      <c r="N526" s="83">
        <f>100</f>
        <v>100</v>
      </c>
      <c r="O526" s="86">
        <v>240</v>
      </c>
      <c r="P526" s="86">
        <v>40</v>
      </c>
      <c r="Q526" s="86">
        <f t="shared" si="75"/>
        <v>315</v>
      </c>
      <c r="R526" s="86">
        <f t="shared" si="76"/>
        <v>100</v>
      </c>
      <c r="S526" s="83">
        <f t="shared" si="77"/>
        <v>695</v>
      </c>
      <c r="T526" s="83">
        <f>50</f>
        <v>50</v>
      </c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</row>
    <row r="527" spans="1:30" ht="15.75" x14ac:dyDescent="0.25">
      <c r="A527" s="13">
        <v>56979</v>
      </c>
      <c r="B527" s="95">
        <v>31</v>
      </c>
      <c r="C527" s="83">
        <f>122.58</f>
        <v>122.58</v>
      </c>
      <c r="D527" s="83">
        <f>297.941</f>
        <v>297.94099999999997</v>
      </c>
      <c r="E527" s="92">
        <f>89.177</f>
        <v>89.177000000000007</v>
      </c>
      <c r="F527" s="83">
        <f>240.302-40-60-100</f>
        <v>40.301999999999992</v>
      </c>
      <c r="G527" s="86">
        <v>40</v>
      </c>
      <c r="H527" s="83">
        <f>60+100</f>
        <v>160</v>
      </c>
      <c r="I527" s="83">
        <f t="shared" si="80"/>
        <v>0</v>
      </c>
      <c r="J527" s="86">
        <v>100</v>
      </c>
      <c r="K527" s="86">
        <v>300</v>
      </c>
      <c r="L527" s="83">
        <f t="shared" si="74"/>
        <v>1150</v>
      </c>
      <c r="M527" s="94">
        <v>600</v>
      </c>
      <c r="N527" s="83">
        <f>100</f>
        <v>100</v>
      </c>
      <c r="O527" s="86">
        <v>240</v>
      </c>
      <c r="P527" s="86">
        <v>40</v>
      </c>
      <c r="Q527" s="86">
        <f t="shared" si="75"/>
        <v>315</v>
      </c>
      <c r="R527" s="86">
        <f t="shared" si="76"/>
        <v>100</v>
      </c>
      <c r="S527" s="83">
        <f t="shared" si="77"/>
        <v>695</v>
      </c>
      <c r="T527" s="83">
        <f>50</f>
        <v>50</v>
      </c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</row>
    <row r="528" spans="1:30" ht="15.75" x14ac:dyDescent="0.25">
      <c r="A528" s="13">
        <v>57010</v>
      </c>
      <c r="B528" s="95">
        <v>31</v>
      </c>
      <c r="C528" s="83">
        <f>122.58</f>
        <v>122.58</v>
      </c>
      <c r="D528" s="83">
        <f>297.941</f>
        <v>297.94099999999997</v>
      </c>
      <c r="E528" s="92">
        <f>89.177</f>
        <v>89.177000000000007</v>
      </c>
      <c r="F528" s="83">
        <f>240.302-40-60-100</f>
        <v>40.301999999999992</v>
      </c>
      <c r="G528" s="86">
        <v>40</v>
      </c>
      <c r="H528" s="83">
        <f>60+100</f>
        <v>160</v>
      </c>
      <c r="I528" s="83">
        <f t="shared" si="80"/>
        <v>0</v>
      </c>
      <c r="J528" s="86">
        <v>100</v>
      </c>
      <c r="K528" s="86">
        <v>300</v>
      </c>
      <c r="L528" s="83">
        <f t="shared" si="74"/>
        <v>1150</v>
      </c>
      <c r="M528" s="94">
        <v>600</v>
      </c>
      <c r="N528" s="83">
        <f>100</f>
        <v>100</v>
      </c>
      <c r="O528" s="86">
        <v>240</v>
      </c>
      <c r="P528" s="86">
        <v>40</v>
      </c>
      <c r="Q528" s="86">
        <f t="shared" si="75"/>
        <v>315</v>
      </c>
      <c r="R528" s="86">
        <f t="shared" si="76"/>
        <v>100</v>
      </c>
      <c r="S528" s="83">
        <f t="shared" si="77"/>
        <v>695</v>
      </c>
      <c r="T528" s="83">
        <f>50</f>
        <v>50</v>
      </c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</row>
    <row r="529" spans="1:30" ht="15.75" x14ac:dyDescent="0.25">
      <c r="A529" s="13">
        <v>57038</v>
      </c>
      <c r="B529" s="95">
        <v>29</v>
      </c>
      <c r="C529" s="83">
        <f>122.58</f>
        <v>122.58</v>
      </c>
      <c r="D529" s="83">
        <f>297.941</f>
        <v>297.94099999999997</v>
      </c>
      <c r="E529" s="92">
        <f>89.177</f>
        <v>89.177000000000007</v>
      </c>
      <c r="F529" s="83">
        <f>240.302-40-60-100</f>
        <v>40.301999999999992</v>
      </c>
      <c r="G529" s="86">
        <v>40</v>
      </c>
      <c r="H529" s="83">
        <f>60+100</f>
        <v>160</v>
      </c>
      <c r="I529" s="83">
        <f t="shared" si="80"/>
        <v>0</v>
      </c>
      <c r="J529" s="86">
        <v>100</v>
      </c>
      <c r="K529" s="86">
        <v>300</v>
      </c>
      <c r="L529" s="83">
        <f t="shared" si="74"/>
        <v>1150</v>
      </c>
      <c r="M529" s="94">
        <v>600</v>
      </c>
      <c r="N529" s="83">
        <f>100</f>
        <v>100</v>
      </c>
      <c r="O529" s="86">
        <v>240</v>
      </c>
      <c r="P529" s="86">
        <v>40</v>
      </c>
      <c r="Q529" s="86">
        <f t="shared" si="75"/>
        <v>315</v>
      </c>
      <c r="R529" s="86">
        <f t="shared" si="76"/>
        <v>100</v>
      </c>
      <c r="S529" s="83">
        <f t="shared" si="77"/>
        <v>695</v>
      </c>
      <c r="T529" s="83">
        <f>50</f>
        <v>50</v>
      </c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</row>
    <row r="530" spans="1:30" ht="15.75" x14ac:dyDescent="0.25">
      <c r="A530" s="13">
        <v>57070</v>
      </c>
      <c r="B530" s="95">
        <v>31</v>
      </c>
      <c r="C530" s="83">
        <f>122.58</f>
        <v>122.58</v>
      </c>
      <c r="D530" s="83">
        <f>297.941</f>
        <v>297.94099999999997</v>
      </c>
      <c r="E530" s="92">
        <f>89.177</f>
        <v>89.177000000000007</v>
      </c>
      <c r="F530" s="83">
        <f>240.302-40-60-100</f>
        <v>40.301999999999992</v>
      </c>
      <c r="G530" s="86">
        <v>40</v>
      </c>
      <c r="H530" s="83">
        <f>60+100</f>
        <v>160</v>
      </c>
      <c r="I530" s="83">
        <f t="shared" si="80"/>
        <v>0</v>
      </c>
      <c r="J530" s="86">
        <v>100</v>
      </c>
      <c r="K530" s="86">
        <v>300</v>
      </c>
      <c r="L530" s="83">
        <f t="shared" si="74"/>
        <v>1150</v>
      </c>
      <c r="M530" s="94">
        <v>600</v>
      </c>
      <c r="N530" s="83">
        <f>100</f>
        <v>100</v>
      </c>
      <c r="O530" s="86">
        <v>240</v>
      </c>
      <c r="P530" s="86">
        <v>40</v>
      </c>
      <c r="Q530" s="86">
        <f t="shared" si="75"/>
        <v>315</v>
      </c>
      <c r="R530" s="86">
        <f t="shared" si="76"/>
        <v>100</v>
      </c>
      <c r="S530" s="83">
        <f t="shared" si="77"/>
        <v>695</v>
      </c>
      <c r="T530" s="83">
        <f>50</f>
        <v>50</v>
      </c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</row>
    <row r="531" spans="1:30" ht="15.75" x14ac:dyDescent="0.25">
      <c r="A531" s="13">
        <v>57100</v>
      </c>
      <c r="B531" s="95">
        <v>30</v>
      </c>
      <c r="C531" s="83">
        <f>141.293</f>
        <v>141.29300000000001</v>
      </c>
      <c r="D531" s="83">
        <f>267.993</f>
        <v>267.99299999999999</v>
      </c>
      <c r="E531" s="92">
        <f>115.016</f>
        <v>115.01600000000001</v>
      </c>
      <c r="F531" s="83">
        <f>314.698-40-25-60-100</f>
        <v>89.697999999999979</v>
      </c>
      <c r="G531" s="86">
        <v>40</v>
      </c>
      <c r="H531" s="83">
        <f t="shared" ref="H531:H537" si="83">25+60+100</f>
        <v>185</v>
      </c>
      <c r="I531" s="83">
        <f t="shared" si="80"/>
        <v>0</v>
      </c>
      <c r="J531" s="86">
        <v>100</v>
      </c>
      <c r="K531" s="86">
        <v>300</v>
      </c>
      <c r="L531" s="83">
        <f t="shared" si="74"/>
        <v>1239</v>
      </c>
      <c r="M531" s="94">
        <v>600</v>
      </c>
      <c r="N531" s="83">
        <f>100</f>
        <v>100</v>
      </c>
      <c r="O531" s="86">
        <v>240</v>
      </c>
      <c r="P531" s="86">
        <v>160</v>
      </c>
      <c r="Q531" s="86">
        <f t="shared" si="75"/>
        <v>195</v>
      </c>
      <c r="R531" s="86">
        <f t="shared" si="76"/>
        <v>100</v>
      </c>
      <c r="S531" s="83">
        <f t="shared" si="77"/>
        <v>695</v>
      </c>
      <c r="T531" s="83">
        <f>50</f>
        <v>50</v>
      </c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</row>
    <row r="532" spans="1:30" ht="15.75" x14ac:dyDescent="0.25">
      <c r="A532" s="13">
        <v>57131</v>
      </c>
      <c r="B532" s="95">
        <v>31</v>
      </c>
      <c r="C532" s="83">
        <f>194.205</f>
        <v>194.20500000000001</v>
      </c>
      <c r="D532" s="83">
        <f>267.466</f>
        <v>267.46600000000001</v>
      </c>
      <c r="E532" s="92">
        <f>133.845</f>
        <v>133.845</v>
      </c>
      <c r="F532" s="83">
        <f>278.484-40-25-60-100</f>
        <v>53.48399999999998</v>
      </c>
      <c r="G532" s="86">
        <v>40</v>
      </c>
      <c r="H532" s="83">
        <f t="shared" si="83"/>
        <v>185</v>
      </c>
      <c r="I532" s="83">
        <f t="shared" si="80"/>
        <v>0</v>
      </c>
      <c r="J532" s="86">
        <v>100</v>
      </c>
      <c r="K532" s="86">
        <v>300</v>
      </c>
      <c r="L532" s="83">
        <f t="shared" si="74"/>
        <v>1274</v>
      </c>
      <c r="M532" s="94">
        <v>600</v>
      </c>
      <c r="N532" s="83">
        <f>75</f>
        <v>75</v>
      </c>
      <c r="O532" s="86">
        <v>240</v>
      </c>
      <c r="P532" s="86">
        <v>160</v>
      </c>
      <c r="Q532" s="86">
        <f t="shared" si="75"/>
        <v>195</v>
      </c>
      <c r="R532" s="86">
        <f t="shared" si="76"/>
        <v>100</v>
      </c>
      <c r="S532" s="83">
        <f t="shared" si="77"/>
        <v>695</v>
      </c>
      <c r="T532" s="83">
        <f>50</f>
        <v>50</v>
      </c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</row>
    <row r="533" spans="1:30" ht="15.75" x14ac:dyDescent="0.25">
      <c r="A533" s="13">
        <v>57161</v>
      </c>
      <c r="B533" s="95">
        <v>30</v>
      </c>
      <c r="C533" s="83">
        <f>194.205</f>
        <v>194.20500000000001</v>
      </c>
      <c r="D533" s="83">
        <f>267.466</f>
        <v>267.46600000000001</v>
      </c>
      <c r="E533" s="92">
        <f>133.845</f>
        <v>133.845</v>
      </c>
      <c r="F533" s="83">
        <f>278.484-40-25-60-100</f>
        <v>53.48399999999998</v>
      </c>
      <c r="G533" s="86">
        <v>40</v>
      </c>
      <c r="H533" s="83">
        <f t="shared" si="83"/>
        <v>185</v>
      </c>
      <c r="I533" s="83">
        <f t="shared" si="80"/>
        <v>0</v>
      </c>
      <c r="J533" s="86">
        <v>100</v>
      </c>
      <c r="K533" s="86">
        <v>300</v>
      </c>
      <c r="L533" s="83">
        <f t="shared" si="74"/>
        <v>1274</v>
      </c>
      <c r="M533" s="94">
        <v>600</v>
      </c>
      <c r="N533" s="83">
        <f>30</f>
        <v>30</v>
      </c>
      <c r="O533" s="86">
        <v>240</v>
      </c>
      <c r="P533" s="86">
        <v>160</v>
      </c>
      <c r="Q533" s="86">
        <f t="shared" si="75"/>
        <v>195</v>
      </c>
      <c r="R533" s="86">
        <f t="shared" si="76"/>
        <v>100</v>
      </c>
      <c r="S533" s="83">
        <f t="shared" si="77"/>
        <v>695</v>
      </c>
      <c r="T533" s="83">
        <f>50</f>
        <v>50</v>
      </c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</row>
    <row r="534" spans="1:30" ht="15.75" x14ac:dyDescent="0.25">
      <c r="A534" s="13">
        <v>57192</v>
      </c>
      <c r="B534" s="95">
        <v>31</v>
      </c>
      <c r="C534" s="83">
        <f>194.205</f>
        <v>194.20500000000001</v>
      </c>
      <c r="D534" s="83">
        <f>267.466</f>
        <v>267.46600000000001</v>
      </c>
      <c r="E534" s="92">
        <f>133.845</f>
        <v>133.845</v>
      </c>
      <c r="F534" s="83">
        <f>278.484-40-25-60-100</f>
        <v>53.48399999999998</v>
      </c>
      <c r="G534" s="86">
        <v>40</v>
      </c>
      <c r="H534" s="83">
        <f t="shared" si="83"/>
        <v>185</v>
      </c>
      <c r="I534" s="83">
        <f t="shared" si="80"/>
        <v>0</v>
      </c>
      <c r="J534" s="86">
        <v>100</v>
      </c>
      <c r="K534" s="86">
        <v>300</v>
      </c>
      <c r="L534" s="83">
        <f t="shared" si="74"/>
        <v>1274</v>
      </c>
      <c r="M534" s="94">
        <v>600</v>
      </c>
      <c r="N534" s="83">
        <f>30</f>
        <v>30</v>
      </c>
      <c r="O534" s="86">
        <v>240</v>
      </c>
      <c r="P534" s="86">
        <v>160</v>
      </c>
      <c r="Q534" s="86">
        <f t="shared" si="75"/>
        <v>195</v>
      </c>
      <c r="R534" s="86">
        <f t="shared" si="76"/>
        <v>100</v>
      </c>
      <c r="S534" s="83">
        <f t="shared" si="77"/>
        <v>695</v>
      </c>
      <c r="T534" s="83">
        <f>0</f>
        <v>0</v>
      </c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</row>
    <row r="535" spans="1:30" ht="15.75" x14ac:dyDescent="0.25">
      <c r="A535" s="13">
        <v>57223</v>
      </c>
      <c r="B535" s="95">
        <v>31</v>
      </c>
      <c r="C535" s="83">
        <f>194.205</f>
        <v>194.20500000000001</v>
      </c>
      <c r="D535" s="83">
        <f>267.466</f>
        <v>267.46600000000001</v>
      </c>
      <c r="E535" s="92">
        <f>133.845</f>
        <v>133.845</v>
      </c>
      <c r="F535" s="83">
        <f>278.484-40-25-60-100</f>
        <v>53.48399999999998</v>
      </c>
      <c r="G535" s="86">
        <v>40</v>
      </c>
      <c r="H535" s="83">
        <f t="shared" si="83"/>
        <v>185</v>
      </c>
      <c r="I535" s="83">
        <f t="shared" si="80"/>
        <v>0</v>
      </c>
      <c r="J535" s="86">
        <v>100</v>
      </c>
      <c r="K535" s="86">
        <v>300</v>
      </c>
      <c r="L535" s="83">
        <f t="shared" ref="L535:L598" si="84">SUM(C535:K535)</f>
        <v>1274</v>
      </c>
      <c r="M535" s="94">
        <v>600</v>
      </c>
      <c r="N535" s="83">
        <f>30</f>
        <v>30</v>
      </c>
      <c r="O535" s="86">
        <v>240</v>
      </c>
      <c r="P535" s="86">
        <v>160</v>
      </c>
      <c r="Q535" s="86">
        <f t="shared" ref="Q535:Q598" si="85">695-R535-O535-P535</f>
        <v>195</v>
      </c>
      <c r="R535" s="86">
        <f t="shared" ref="R535:R598" si="86">200-J535</f>
        <v>100</v>
      </c>
      <c r="S535" s="83">
        <f t="shared" ref="S535:S598" si="87">SUM(O535:R535)</f>
        <v>695</v>
      </c>
      <c r="T535" s="83">
        <f>0</f>
        <v>0</v>
      </c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</row>
    <row r="536" spans="1:30" ht="15.75" x14ac:dyDescent="0.25">
      <c r="A536" s="13">
        <v>57253</v>
      </c>
      <c r="B536" s="95">
        <v>30</v>
      </c>
      <c r="C536" s="83">
        <f>194.205</f>
        <v>194.20500000000001</v>
      </c>
      <c r="D536" s="83">
        <f>267.466</f>
        <v>267.46600000000001</v>
      </c>
      <c r="E536" s="92">
        <f>133.845</f>
        <v>133.845</v>
      </c>
      <c r="F536" s="83">
        <f>278.484-40-25-60-100</f>
        <v>53.48399999999998</v>
      </c>
      <c r="G536" s="86">
        <v>40</v>
      </c>
      <c r="H536" s="83">
        <f t="shared" si="83"/>
        <v>185</v>
      </c>
      <c r="I536" s="83">
        <f t="shared" si="80"/>
        <v>0</v>
      </c>
      <c r="J536" s="86">
        <v>100</v>
      </c>
      <c r="K536" s="86">
        <v>300</v>
      </c>
      <c r="L536" s="83">
        <f t="shared" si="84"/>
        <v>1274</v>
      </c>
      <c r="M536" s="94">
        <v>600</v>
      </c>
      <c r="N536" s="83">
        <f>30</f>
        <v>30</v>
      </c>
      <c r="O536" s="86">
        <v>240</v>
      </c>
      <c r="P536" s="86">
        <v>160</v>
      </c>
      <c r="Q536" s="86">
        <f t="shared" si="85"/>
        <v>195</v>
      </c>
      <c r="R536" s="86">
        <f t="shared" si="86"/>
        <v>100</v>
      </c>
      <c r="S536" s="83">
        <f t="shared" si="87"/>
        <v>695</v>
      </c>
      <c r="T536" s="83">
        <f>0</f>
        <v>0</v>
      </c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</row>
    <row r="537" spans="1:30" ht="15.75" x14ac:dyDescent="0.25">
      <c r="A537" s="13">
        <v>57284</v>
      </c>
      <c r="B537" s="95">
        <v>31</v>
      </c>
      <c r="C537" s="83">
        <f>131.881</f>
        <v>131.881</v>
      </c>
      <c r="D537" s="83">
        <f>277.167</f>
        <v>277.16699999999997</v>
      </c>
      <c r="E537" s="92">
        <f>79.08</f>
        <v>79.08</v>
      </c>
      <c r="F537" s="83">
        <f>350.872-40-25-60-100</f>
        <v>125.87200000000001</v>
      </c>
      <c r="G537" s="86">
        <v>40</v>
      </c>
      <c r="H537" s="83">
        <f t="shared" si="83"/>
        <v>185</v>
      </c>
      <c r="I537" s="83">
        <f t="shared" si="80"/>
        <v>0</v>
      </c>
      <c r="J537" s="86">
        <v>100</v>
      </c>
      <c r="K537" s="86">
        <v>300</v>
      </c>
      <c r="L537" s="83">
        <f t="shared" si="84"/>
        <v>1239</v>
      </c>
      <c r="M537" s="94">
        <v>600</v>
      </c>
      <c r="N537" s="83">
        <f>75</f>
        <v>75</v>
      </c>
      <c r="O537" s="86">
        <v>240</v>
      </c>
      <c r="P537" s="86">
        <v>160</v>
      </c>
      <c r="Q537" s="86">
        <f t="shared" si="85"/>
        <v>195</v>
      </c>
      <c r="R537" s="86">
        <f t="shared" si="86"/>
        <v>100</v>
      </c>
      <c r="S537" s="83">
        <f t="shared" si="87"/>
        <v>695</v>
      </c>
      <c r="T537" s="83">
        <f>0</f>
        <v>0</v>
      </c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</row>
    <row r="538" spans="1:30" ht="15.75" x14ac:dyDescent="0.25">
      <c r="A538" s="13">
        <v>57314</v>
      </c>
      <c r="B538" s="95">
        <v>30</v>
      </c>
      <c r="C538" s="83">
        <f>122.58</f>
        <v>122.58</v>
      </c>
      <c r="D538" s="83">
        <f>297.941</f>
        <v>297.94099999999997</v>
      </c>
      <c r="E538" s="92">
        <f>89.177</f>
        <v>89.177000000000007</v>
      </c>
      <c r="F538" s="83">
        <f>240.302-40-60-100</f>
        <v>40.301999999999992</v>
      </c>
      <c r="G538" s="86">
        <v>40</v>
      </c>
      <c r="H538" s="83">
        <f>60+100</f>
        <v>160</v>
      </c>
      <c r="I538" s="83">
        <f t="shared" si="80"/>
        <v>0</v>
      </c>
      <c r="J538" s="86">
        <v>100</v>
      </c>
      <c r="K538" s="86">
        <v>300</v>
      </c>
      <c r="L538" s="83">
        <f t="shared" si="84"/>
        <v>1150</v>
      </c>
      <c r="M538" s="94">
        <v>600</v>
      </c>
      <c r="N538" s="83">
        <f>100</f>
        <v>100</v>
      </c>
      <c r="O538" s="86">
        <v>240</v>
      </c>
      <c r="P538" s="86">
        <v>40</v>
      </c>
      <c r="Q538" s="86">
        <f t="shared" si="85"/>
        <v>315</v>
      </c>
      <c r="R538" s="86">
        <f t="shared" si="86"/>
        <v>100</v>
      </c>
      <c r="S538" s="83">
        <f t="shared" si="87"/>
        <v>695</v>
      </c>
      <c r="T538" s="83">
        <f>50</f>
        <v>50</v>
      </c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</row>
    <row r="539" spans="1:30" ht="15.75" x14ac:dyDescent="0.25">
      <c r="A539" s="13">
        <v>57345</v>
      </c>
      <c r="B539" s="95">
        <v>31</v>
      </c>
      <c r="C539" s="83">
        <f>122.58</f>
        <v>122.58</v>
      </c>
      <c r="D539" s="83">
        <f>297.941</f>
        <v>297.94099999999997</v>
      </c>
      <c r="E539" s="92">
        <f>89.177</f>
        <v>89.177000000000007</v>
      </c>
      <c r="F539" s="83">
        <f>240.302-40-60-100</f>
        <v>40.301999999999992</v>
      </c>
      <c r="G539" s="86">
        <v>40</v>
      </c>
      <c r="H539" s="83">
        <f>60+100</f>
        <v>160</v>
      </c>
      <c r="I539" s="83">
        <f t="shared" si="80"/>
        <v>0</v>
      </c>
      <c r="J539" s="86">
        <v>100</v>
      </c>
      <c r="K539" s="86">
        <v>300</v>
      </c>
      <c r="L539" s="83">
        <f t="shared" si="84"/>
        <v>1150</v>
      </c>
      <c r="M539" s="94">
        <v>600</v>
      </c>
      <c r="N539" s="83">
        <f>100</f>
        <v>100</v>
      </c>
      <c r="O539" s="86">
        <v>240</v>
      </c>
      <c r="P539" s="86">
        <v>40</v>
      </c>
      <c r="Q539" s="86">
        <f t="shared" si="85"/>
        <v>315</v>
      </c>
      <c r="R539" s="86">
        <f t="shared" si="86"/>
        <v>100</v>
      </c>
      <c r="S539" s="83">
        <f t="shared" si="87"/>
        <v>695</v>
      </c>
      <c r="T539" s="83">
        <f>50</f>
        <v>50</v>
      </c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</row>
    <row r="540" spans="1:30" ht="15.75" x14ac:dyDescent="0.25">
      <c r="A540" s="13">
        <v>57376</v>
      </c>
      <c r="B540" s="95">
        <v>31</v>
      </c>
      <c r="C540" s="83">
        <f>122.58</f>
        <v>122.58</v>
      </c>
      <c r="D540" s="83">
        <f>297.941</f>
        <v>297.94099999999997</v>
      </c>
      <c r="E540" s="92">
        <f>89.177</f>
        <v>89.177000000000007</v>
      </c>
      <c r="F540" s="83">
        <f>240.302-40-60-100</f>
        <v>40.301999999999992</v>
      </c>
      <c r="G540" s="86">
        <v>40</v>
      </c>
      <c r="H540" s="83">
        <f>60+100</f>
        <v>160</v>
      </c>
      <c r="I540" s="83">
        <f t="shared" si="80"/>
        <v>0</v>
      </c>
      <c r="J540" s="86">
        <v>100</v>
      </c>
      <c r="K540" s="86">
        <v>300</v>
      </c>
      <c r="L540" s="83">
        <f t="shared" si="84"/>
        <v>1150</v>
      </c>
      <c r="M540" s="94">
        <v>600</v>
      </c>
      <c r="N540" s="83">
        <f>100</f>
        <v>100</v>
      </c>
      <c r="O540" s="86">
        <v>240</v>
      </c>
      <c r="P540" s="86">
        <v>40</v>
      </c>
      <c r="Q540" s="86">
        <f t="shared" si="85"/>
        <v>315</v>
      </c>
      <c r="R540" s="86">
        <f t="shared" si="86"/>
        <v>100</v>
      </c>
      <c r="S540" s="83">
        <f t="shared" si="87"/>
        <v>695</v>
      </c>
      <c r="T540" s="83">
        <f>50</f>
        <v>50</v>
      </c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</row>
    <row r="541" spans="1:30" ht="15.75" x14ac:dyDescent="0.25">
      <c r="A541" s="13">
        <v>57404</v>
      </c>
      <c r="B541" s="95">
        <v>28</v>
      </c>
      <c r="C541" s="83">
        <f>122.58</f>
        <v>122.58</v>
      </c>
      <c r="D541" s="83">
        <f>297.941</f>
        <v>297.94099999999997</v>
      </c>
      <c r="E541" s="92">
        <f>89.177</f>
        <v>89.177000000000007</v>
      </c>
      <c r="F541" s="83">
        <f>240.302-40-60-100</f>
        <v>40.301999999999992</v>
      </c>
      <c r="G541" s="86">
        <v>40</v>
      </c>
      <c r="H541" s="83">
        <f>60+100</f>
        <v>160</v>
      </c>
      <c r="I541" s="83">
        <f t="shared" si="80"/>
        <v>0</v>
      </c>
      <c r="J541" s="86">
        <v>100</v>
      </c>
      <c r="K541" s="86">
        <v>300</v>
      </c>
      <c r="L541" s="83">
        <f t="shared" si="84"/>
        <v>1150</v>
      </c>
      <c r="M541" s="94">
        <v>600</v>
      </c>
      <c r="N541" s="83">
        <f>100</f>
        <v>100</v>
      </c>
      <c r="O541" s="86">
        <v>240</v>
      </c>
      <c r="P541" s="86">
        <v>40</v>
      </c>
      <c r="Q541" s="86">
        <f t="shared" si="85"/>
        <v>315</v>
      </c>
      <c r="R541" s="86">
        <f t="shared" si="86"/>
        <v>100</v>
      </c>
      <c r="S541" s="83">
        <f t="shared" si="87"/>
        <v>695</v>
      </c>
      <c r="T541" s="83">
        <f>50</f>
        <v>50</v>
      </c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</row>
    <row r="542" spans="1:30" ht="15.75" x14ac:dyDescent="0.25">
      <c r="A542" s="13">
        <v>57435</v>
      </c>
      <c r="B542" s="95">
        <v>31</v>
      </c>
      <c r="C542" s="83">
        <f>122.58</f>
        <v>122.58</v>
      </c>
      <c r="D542" s="83">
        <f>297.941</f>
        <v>297.94099999999997</v>
      </c>
      <c r="E542" s="92">
        <f>89.177</f>
        <v>89.177000000000007</v>
      </c>
      <c r="F542" s="83">
        <f>240.302-40-60-100</f>
        <v>40.301999999999992</v>
      </c>
      <c r="G542" s="86">
        <v>40</v>
      </c>
      <c r="H542" s="83">
        <f>60+100</f>
        <v>160</v>
      </c>
      <c r="I542" s="83">
        <f t="shared" si="80"/>
        <v>0</v>
      </c>
      <c r="J542" s="86">
        <v>100</v>
      </c>
      <c r="K542" s="86">
        <v>300</v>
      </c>
      <c r="L542" s="83">
        <f t="shared" si="84"/>
        <v>1150</v>
      </c>
      <c r="M542" s="94">
        <v>600</v>
      </c>
      <c r="N542" s="83">
        <f>100</f>
        <v>100</v>
      </c>
      <c r="O542" s="86">
        <v>240</v>
      </c>
      <c r="P542" s="86">
        <v>40</v>
      </c>
      <c r="Q542" s="86">
        <f t="shared" si="85"/>
        <v>315</v>
      </c>
      <c r="R542" s="86">
        <f t="shared" si="86"/>
        <v>100</v>
      </c>
      <c r="S542" s="83">
        <f t="shared" si="87"/>
        <v>695</v>
      </c>
      <c r="T542" s="83">
        <f>50</f>
        <v>50</v>
      </c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</row>
    <row r="543" spans="1:30" ht="15.75" x14ac:dyDescent="0.25">
      <c r="A543" s="13">
        <v>57465</v>
      </c>
      <c r="B543" s="95">
        <v>30</v>
      </c>
      <c r="C543" s="83">
        <f>141.293</f>
        <v>141.29300000000001</v>
      </c>
      <c r="D543" s="83">
        <f>267.993</f>
        <v>267.99299999999999</v>
      </c>
      <c r="E543" s="92">
        <f>115.016</f>
        <v>115.01600000000001</v>
      </c>
      <c r="F543" s="83">
        <f>314.698-40-25-60-100</f>
        <v>89.697999999999979</v>
      </c>
      <c r="G543" s="86">
        <v>40</v>
      </c>
      <c r="H543" s="83">
        <f t="shared" ref="H543:H549" si="88">25+60+100</f>
        <v>185</v>
      </c>
      <c r="I543" s="83">
        <f t="shared" si="80"/>
        <v>0</v>
      </c>
      <c r="J543" s="86">
        <v>100</v>
      </c>
      <c r="K543" s="86">
        <v>300</v>
      </c>
      <c r="L543" s="83">
        <f t="shared" si="84"/>
        <v>1239</v>
      </c>
      <c r="M543" s="94">
        <v>600</v>
      </c>
      <c r="N543" s="83">
        <f>100</f>
        <v>100</v>
      </c>
      <c r="O543" s="86">
        <v>240</v>
      </c>
      <c r="P543" s="86">
        <v>160</v>
      </c>
      <c r="Q543" s="86">
        <f t="shared" si="85"/>
        <v>195</v>
      </c>
      <c r="R543" s="86">
        <f t="shared" si="86"/>
        <v>100</v>
      </c>
      <c r="S543" s="83">
        <f t="shared" si="87"/>
        <v>695</v>
      </c>
      <c r="T543" s="83">
        <f>50</f>
        <v>50</v>
      </c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</row>
    <row r="544" spans="1:30" ht="15.75" x14ac:dyDescent="0.25">
      <c r="A544" s="13">
        <v>57496</v>
      </c>
      <c r="B544" s="95">
        <v>31</v>
      </c>
      <c r="C544" s="83">
        <f>194.205</f>
        <v>194.20500000000001</v>
      </c>
      <c r="D544" s="83">
        <f>267.466</f>
        <v>267.46600000000001</v>
      </c>
      <c r="E544" s="92">
        <f>133.845</f>
        <v>133.845</v>
      </c>
      <c r="F544" s="83">
        <f>278.484-40-25-60-100</f>
        <v>53.48399999999998</v>
      </c>
      <c r="G544" s="86">
        <v>40</v>
      </c>
      <c r="H544" s="83">
        <f t="shared" si="88"/>
        <v>185</v>
      </c>
      <c r="I544" s="83">
        <f t="shared" si="80"/>
        <v>0</v>
      </c>
      <c r="J544" s="86">
        <v>100</v>
      </c>
      <c r="K544" s="86">
        <v>300</v>
      </c>
      <c r="L544" s="83">
        <f t="shared" si="84"/>
        <v>1274</v>
      </c>
      <c r="M544" s="94">
        <v>600</v>
      </c>
      <c r="N544" s="83">
        <f>75</f>
        <v>75</v>
      </c>
      <c r="O544" s="86">
        <v>240</v>
      </c>
      <c r="P544" s="86">
        <v>160</v>
      </c>
      <c r="Q544" s="86">
        <f t="shared" si="85"/>
        <v>195</v>
      </c>
      <c r="R544" s="86">
        <f t="shared" si="86"/>
        <v>100</v>
      </c>
      <c r="S544" s="83">
        <f t="shared" si="87"/>
        <v>695</v>
      </c>
      <c r="T544" s="83">
        <f>50</f>
        <v>50</v>
      </c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</row>
    <row r="545" spans="1:30" ht="15.75" x14ac:dyDescent="0.25">
      <c r="A545" s="13">
        <v>57526</v>
      </c>
      <c r="B545" s="95">
        <v>30</v>
      </c>
      <c r="C545" s="83">
        <f>194.205</f>
        <v>194.20500000000001</v>
      </c>
      <c r="D545" s="83">
        <f>267.466</f>
        <v>267.46600000000001</v>
      </c>
      <c r="E545" s="92">
        <f>133.845</f>
        <v>133.845</v>
      </c>
      <c r="F545" s="83">
        <f>278.484-40-25-60-100</f>
        <v>53.48399999999998</v>
      </c>
      <c r="G545" s="86">
        <v>40</v>
      </c>
      <c r="H545" s="83">
        <f t="shared" si="88"/>
        <v>185</v>
      </c>
      <c r="I545" s="83">
        <f t="shared" si="80"/>
        <v>0</v>
      </c>
      <c r="J545" s="86">
        <v>100</v>
      </c>
      <c r="K545" s="86">
        <v>300</v>
      </c>
      <c r="L545" s="83">
        <f t="shared" si="84"/>
        <v>1274</v>
      </c>
      <c r="M545" s="94">
        <v>600</v>
      </c>
      <c r="N545" s="83">
        <f>30</f>
        <v>30</v>
      </c>
      <c r="O545" s="86">
        <v>240</v>
      </c>
      <c r="P545" s="86">
        <v>160</v>
      </c>
      <c r="Q545" s="86">
        <f t="shared" si="85"/>
        <v>195</v>
      </c>
      <c r="R545" s="86">
        <f t="shared" si="86"/>
        <v>100</v>
      </c>
      <c r="S545" s="83">
        <f t="shared" si="87"/>
        <v>695</v>
      </c>
      <c r="T545" s="83">
        <f>50</f>
        <v>50</v>
      </c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</row>
    <row r="546" spans="1:30" ht="15.75" x14ac:dyDescent="0.25">
      <c r="A546" s="13">
        <v>57557</v>
      </c>
      <c r="B546" s="95">
        <v>31</v>
      </c>
      <c r="C546" s="83">
        <f>194.205</f>
        <v>194.20500000000001</v>
      </c>
      <c r="D546" s="83">
        <f>267.466</f>
        <v>267.46600000000001</v>
      </c>
      <c r="E546" s="92">
        <f>133.845</f>
        <v>133.845</v>
      </c>
      <c r="F546" s="83">
        <f>278.484-40-25-60-100</f>
        <v>53.48399999999998</v>
      </c>
      <c r="G546" s="86">
        <v>40</v>
      </c>
      <c r="H546" s="83">
        <f t="shared" si="88"/>
        <v>185</v>
      </c>
      <c r="I546" s="83">
        <f t="shared" si="80"/>
        <v>0</v>
      </c>
      <c r="J546" s="86">
        <v>100</v>
      </c>
      <c r="K546" s="86">
        <v>300</v>
      </c>
      <c r="L546" s="83">
        <f t="shared" si="84"/>
        <v>1274</v>
      </c>
      <c r="M546" s="94">
        <v>600</v>
      </c>
      <c r="N546" s="83">
        <f>30</f>
        <v>30</v>
      </c>
      <c r="O546" s="86">
        <v>240</v>
      </c>
      <c r="P546" s="86">
        <v>160</v>
      </c>
      <c r="Q546" s="86">
        <f t="shared" si="85"/>
        <v>195</v>
      </c>
      <c r="R546" s="86">
        <f t="shared" si="86"/>
        <v>100</v>
      </c>
      <c r="S546" s="83">
        <f t="shared" si="87"/>
        <v>695</v>
      </c>
      <c r="T546" s="83">
        <f>0</f>
        <v>0</v>
      </c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</row>
    <row r="547" spans="1:30" ht="15.75" x14ac:dyDescent="0.25">
      <c r="A547" s="13">
        <v>57588</v>
      </c>
      <c r="B547" s="95">
        <v>31</v>
      </c>
      <c r="C547" s="83">
        <f>194.205</f>
        <v>194.20500000000001</v>
      </c>
      <c r="D547" s="83">
        <f>267.466</f>
        <v>267.46600000000001</v>
      </c>
      <c r="E547" s="92">
        <f>133.845</f>
        <v>133.845</v>
      </c>
      <c r="F547" s="83">
        <f>278.484-40-25-60-100</f>
        <v>53.48399999999998</v>
      </c>
      <c r="G547" s="86">
        <v>40</v>
      </c>
      <c r="H547" s="83">
        <f t="shared" si="88"/>
        <v>185</v>
      </c>
      <c r="I547" s="83">
        <f t="shared" si="80"/>
        <v>0</v>
      </c>
      <c r="J547" s="86">
        <v>100</v>
      </c>
      <c r="K547" s="86">
        <v>300</v>
      </c>
      <c r="L547" s="83">
        <f t="shared" si="84"/>
        <v>1274</v>
      </c>
      <c r="M547" s="94">
        <v>600</v>
      </c>
      <c r="N547" s="83">
        <f>30</f>
        <v>30</v>
      </c>
      <c r="O547" s="86">
        <v>240</v>
      </c>
      <c r="P547" s="86">
        <v>160</v>
      </c>
      <c r="Q547" s="86">
        <f t="shared" si="85"/>
        <v>195</v>
      </c>
      <c r="R547" s="86">
        <f t="shared" si="86"/>
        <v>100</v>
      </c>
      <c r="S547" s="83">
        <f t="shared" si="87"/>
        <v>695</v>
      </c>
      <c r="T547" s="83">
        <f>0</f>
        <v>0</v>
      </c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</row>
    <row r="548" spans="1:30" ht="15.75" x14ac:dyDescent="0.25">
      <c r="A548" s="13">
        <v>57618</v>
      </c>
      <c r="B548" s="95">
        <v>30</v>
      </c>
      <c r="C548" s="83">
        <f>194.205</f>
        <v>194.20500000000001</v>
      </c>
      <c r="D548" s="83">
        <f>267.466</f>
        <v>267.46600000000001</v>
      </c>
      <c r="E548" s="92">
        <f>133.845</f>
        <v>133.845</v>
      </c>
      <c r="F548" s="83">
        <f>278.484-40-25-60-100</f>
        <v>53.48399999999998</v>
      </c>
      <c r="G548" s="86">
        <v>40</v>
      </c>
      <c r="H548" s="83">
        <f t="shared" si="88"/>
        <v>185</v>
      </c>
      <c r="I548" s="83">
        <f t="shared" si="80"/>
        <v>0</v>
      </c>
      <c r="J548" s="86">
        <v>100</v>
      </c>
      <c r="K548" s="86">
        <v>300</v>
      </c>
      <c r="L548" s="83">
        <f t="shared" si="84"/>
        <v>1274</v>
      </c>
      <c r="M548" s="94">
        <v>600</v>
      </c>
      <c r="N548" s="83">
        <f>30</f>
        <v>30</v>
      </c>
      <c r="O548" s="86">
        <v>240</v>
      </c>
      <c r="P548" s="86">
        <v>160</v>
      </c>
      <c r="Q548" s="86">
        <f t="shared" si="85"/>
        <v>195</v>
      </c>
      <c r="R548" s="86">
        <f t="shared" si="86"/>
        <v>100</v>
      </c>
      <c r="S548" s="83">
        <f t="shared" si="87"/>
        <v>695</v>
      </c>
      <c r="T548" s="83">
        <f>0</f>
        <v>0</v>
      </c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</row>
    <row r="549" spans="1:30" ht="15.75" x14ac:dyDescent="0.25">
      <c r="A549" s="13">
        <v>57649</v>
      </c>
      <c r="B549" s="95">
        <v>31</v>
      </c>
      <c r="C549" s="83">
        <f>131.881</f>
        <v>131.881</v>
      </c>
      <c r="D549" s="83">
        <f>277.167</f>
        <v>277.16699999999997</v>
      </c>
      <c r="E549" s="92">
        <f>79.08</f>
        <v>79.08</v>
      </c>
      <c r="F549" s="83">
        <f>350.872-40-25-60-100</f>
        <v>125.87200000000001</v>
      </c>
      <c r="G549" s="86">
        <v>40</v>
      </c>
      <c r="H549" s="83">
        <f t="shared" si="88"/>
        <v>185</v>
      </c>
      <c r="I549" s="83">
        <f t="shared" si="80"/>
        <v>0</v>
      </c>
      <c r="J549" s="86">
        <v>100</v>
      </c>
      <c r="K549" s="86">
        <v>300</v>
      </c>
      <c r="L549" s="83">
        <f t="shared" si="84"/>
        <v>1239</v>
      </c>
      <c r="M549" s="94">
        <v>600</v>
      </c>
      <c r="N549" s="83">
        <f>75</f>
        <v>75</v>
      </c>
      <c r="O549" s="86">
        <v>240</v>
      </c>
      <c r="P549" s="86">
        <v>160</v>
      </c>
      <c r="Q549" s="86">
        <f t="shared" si="85"/>
        <v>195</v>
      </c>
      <c r="R549" s="86">
        <f t="shared" si="86"/>
        <v>100</v>
      </c>
      <c r="S549" s="83">
        <f t="shared" si="87"/>
        <v>695</v>
      </c>
      <c r="T549" s="83">
        <f>0</f>
        <v>0</v>
      </c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</row>
    <row r="550" spans="1:30" ht="15.75" x14ac:dyDescent="0.25">
      <c r="A550" s="13">
        <v>57679</v>
      </c>
      <c r="B550" s="95">
        <v>30</v>
      </c>
      <c r="C550" s="83">
        <f>122.58</f>
        <v>122.58</v>
      </c>
      <c r="D550" s="83">
        <f>297.941</f>
        <v>297.94099999999997</v>
      </c>
      <c r="E550" s="92">
        <f>89.177</f>
        <v>89.177000000000007</v>
      </c>
      <c r="F550" s="83">
        <f>240.302-40-60-100</f>
        <v>40.301999999999992</v>
      </c>
      <c r="G550" s="86">
        <v>40</v>
      </c>
      <c r="H550" s="83">
        <f>60+100</f>
        <v>160</v>
      </c>
      <c r="I550" s="83">
        <f t="shared" si="80"/>
        <v>0</v>
      </c>
      <c r="J550" s="86">
        <v>100</v>
      </c>
      <c r="K550" s="86">
        <v>300</v>
      </c>
      <c r="L550" s="83">
        <f t="shared" si="84"/>
        <v>1150</v>
      </c>
      <c r="M550" s="94">
        <v>600</v>
      </c>
      <c r="N550" s="83">
        <f>100</f>
        <v>100</v>
      </c>
      <c r="O550" s="86">
        <v>240</v>
      </c>
      <c r="P550" s="86">
        <v>40</v>
      </c>
      <c r="Q550" s="86">
        <f t="shared" si="85"/>
        <v>315</v>
      </c>
      <c r="R550" s="86">
        <f t="shared" si="86"/>
        <v>100</v>
      </c>
      <c r="S550" s="83">
        <f t="shared" si="87"/>
        <v>695</v>
      </c>
      <c r="T550" s="83">
        <f>50</f>
        <v>50</v>
      </c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</row>
    <row r="551" spans="1:30" ht="15.75" x14ac:dyDescent="0.25">
      <c r="A551" s="13">
        <v>57710</v>
      </c>
      <c r="B551" s="95">
        <v>31</v>
      </c>
      <c r="C551" s="83">
        <f>122.58</f>
        <v>122.58</v>
      </c>
      <c r="D551" s="83">
        <f>297.941</f>
        <v>297.94099999999997</v>
      </c>
      <c r="E551" s="92">
        <f>89.177</f>
        <v>89.177000000000007</v>
      </c>
      <c r="F551" s="83">
        <f>240.302-40-60-100</f>
        <v>40.301999999999992</v>
      </c>
      <c r="G551" s="86">
        <v>40</v>
      </c>
      <c r="H551" s="83">
        <f>60+100</f>
        <v>160</v>
      </c>
      <c r="I551" s="83">
        <f t="shared" si="80"/>
        <v>0</v>
      </c>
      <c r="J551" s="86">
        <v>100</v>
      </c>
      <c r="K551" s="86">
        <v>300</v>
      </c>
      <c r="L551" s="83">
        <f t="shared" si="84"/>
        <v>1150</v>
      </c>
      <c r="M551" s="94">
        <v>600</v>
      </c>
      <c r="N551" s="83">
        <f>100</f>
        <v>100</v>
      </c>
      <c r="O551" s="86">
        <v>240</v>
      </c>
      <c r="P551" s="86">
        <v>40</v>
      </c>
      <c r="Q551" s="86">
        <f t="shared" si="85"/>
        <v>315</v>
      </c>
      <c r="R551" s="86">
        <f t="shared" si="86"/>
        <v>100</v>
      </c>
      <c r="S551" s="83">
        <f t="shared" si="87"/>
        <v>695</v>
      </c>
      <c r="T551" s="83">
        <f>50</f>
        <v>50</v>
      </c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</row>
    <row r="552" spans="1:30" ht="15.75" x14ac:dyDescent="0.25">
      <c r="A552" s="13">
        <v>57741</v>
      </c>
      <c r="B552" s="95">
        <v>31</v>
      </c>
      <c r="C552" s="83">
        <f>122.58</f>
        <v>122.58</v>
      </c>
      <c r="D552" s="83">
        <f>297.941</f>
        <v>297.94099999999997</v>
      </c>
      <c r="E552" s="92">
        <f>89.177</f>
        <v>89.177000000000007</v>
      </c>
      <c r="F552" s="83">
        <f>240.302-40-60-100</f>
        <v>40.301999999999992</v>
      </c>
      <c r="G552" s="86">
        <v>40</v>
      </c>
      <c r="H552" s="83">
        <f>60+100</f>
        <v>160</v>
      </c>
      <c r="I552" s="83">
        <f t="shared" si="80"/>
        <v>0</v>
      </c>
      <c r="J552" s="86">
        <v>100</v>
      </c>
      <c r="K552" s="86">
        <v>300</v>
      </c>
      <c r="L552" s="83">
        <f t="shared" si="84"/>
        <v>1150</v>
      </c>
      <c r="M552" s="94">
        <v>600</v>
      </c>
      <c r="N552" s="83">
        <f>100</f>
        <v>100</v>
      </c>
      <c r="O552" s="86">
        <v>240</v>
      </c>
      <c r="P552" s="86">
        <v>40</v>
      </c>
      <c r="Q552" s="86">
        <f t="shared" si="85"/>
        <v>315</v>
      </c>
      <c r="R552" s="86">
        <f t="shared" si="86"/>
        <v>100</v>
      </c>
      <c r="S552" s="83">
        <f t="shared" si="87"/>
        <v>695</v>
      </c>
      <c r="T552" s="83">
        <f>50</f>
        <v>50</v>
      </c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</row>
    <row r="553" spans="1:30" ht="15.75" x14ac:dyDescent="0.25">
      <c r="A553" s="13">
        <v>57769</v>
      </c>
      <c r="B553" s="95">
        <v>28</v>
      </c>
      <c r="C553" s="83">
        <f>122.58</f>
        <v>122.58</v>
      </c>
      <c r="D553" s="83">
        <f>297.941</f>
        <v>297.94099999999997</v>
      </c>
      <c r="E553" s="92">
        <f>89.177</f>
        <v>89.177000000000007</v>
      </c>
      <c r="F553" s="83">
        <f>240.302-40-60-100</f>
        <v>40.301999999999992</v>
      </c>
      <c r="G553" s="86">
        <v>40</v>
      </c>
      <c r="H553" s="83">
        <f>60+100</f>
        <v>160</v>
      </c>
      <c r="I553" s="83">
        <f t="shared" si="80"/>
        <v>0</v>
      </c>
      <c r="J553" s="86">
        <v>100</v>
      </c>
      <c r="K553" s="86">
        <v>300</v>
      </c>
      <c r="L553" s="83">
        <f t="shared" si="84"/>
        <v>1150</v>
      </c>
      <c r="M553" s="94">
        <v>600</v>
      </c>
      <c r="N553" s="83">
        <f>100</f>
        <v>100</v>
      </c>
      <c r="O553" s="86">
        <v>240</v>
      </c>
      <c r="P553" s="86">
        <v>40</v>
      </c>
      <c r="Q553" s="86">
        <f t="shared" si="85"/>
        <v>315</v>
      </c>
      <c r="R553" s="86">
        <f t="shared" si="86"/>
        <v>100</v>
      </c>
      <c r="S553" s="83">
        <f t="shared" si="87"/>
        <v>695</v>
      </c>
      <c r="T553" s="83">
        <f>50</f>
        <v>50</v>
      </c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</row>
    <row r="554" spans="1:30" ht="15.75" x14ac:dyDescent="0.25">
      <c r="A554" s="13">
        <v>57800</v>
      </c>
      <c r="B554" s="95">
        <v>31</v>
      </c>
      <c r="C554" s="83">
        <f>122.58</f>
        <v>122.58</v>
      </c>
      <c r="D554" s="83">
        <f>297.941</f>
        <v>297.94099999999997</v>
      </c>
      <c r="E554" s="92">
        <f>89.177</f>
        <v>89.177000000000007</v>
      </c>
      <c r="F554" s="83">
        <f>240.302-40-60-100</f>
        <v>40.301999999999992</v>
      </c>
      <c r="G554" s="86">
        <v>40</v>
      </c>
      <c r="H554" s="83">
        <f>60+100</f>
        <v>160</v>
      </c>
      <c r="I554" s="83">
        <f t="shared" si="80"/>
        <v>0</v>
      </c>
      <c r="J554" s="86">
        <v>100</v>
      </c>
      <c r="K554" s="86">
        <v>300</v>
      </c>
      <c r="L554" s="83">
        <f t="shared" si="84"/>
        <v>1150</v>
      </c>
      <c r="M554" s="94">
        <v>600</v>
      </c>
      <c r="N554" s="83">
        <f>100</f>
        <v>100</v>
      </c>
      <c r="O554" s="86">
        <v>240</v>
      </c>
      <c r="P554" s="86">
        <v>40</v>
      </c>
      <c r="Q554" s="86">
        <f t="shared" si="85"/>
        <v>315</v>
      </c>
      <c r="R554" s="86">
        <f t="shared" si="86"/>
        <v>100</v>
      </c>
      <c r="S554" s="83">
        <f t="shared" si="87"/>
        <v>695</v>
      </c>
      <c r="T554" s="83">
        <f>50</f>
        <v>50</v>
      </c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</row>
    <row r="555" spans="1:30" ht="15.75" x14ac:dyDescent="0.25">
      <c r="A555" s="13">
        <v>57830</v>
      </c>
      <c r="B555" s="95">
        <v>30</v>
      </c>
      <c r="C555" s="83">
        <f>141.293</f>
        <v>141.29300000000001</v>
      </c>
      <c r="D555" s="83">
        <f>267.993</f>
        <v>267.99299999999999</v>
      </c>
      <c r="E555" s="92">
        <f>115.016</f>
        <v>115.01600000000001</v>
      </c>
      <c r="F555" s="83">
        <f>314.698-40-25-60-100</f>
        <v>89.697999999999979</v>
      </c>
      <c r="G555" s="86">
        <v>40</v>
      </c>
      <c r="H555" s="83">
        <f t="shared" ref="H555:H561" si="89">25+60+100</f>
        <v>185</v>
      </c>
      <c r="I555" s="83">
        <f t="shared" si="80"/>
        <v>0</v>
      </c>
      <c r="J555" s="86">
        <v>100</v>
      </c>
      <c r="K555" s="86">
        <v>300</v>
      </c>
      <c r="L555" s="83">
        <f t="shared" si="84"/>
        <v>1239</v>
      </c>
      <c r="M555" s="94">
        <v>600</v>
      </c>
      <c r="N555" s="83">
        <f>100</f>
        <v>100</v>
      </c>
      <c r="O555" s="86">
        <v>240</v>
      </c>
      <c r="P555" s="86">
        <v>160</v>
      </c>
      <c r="Q555" s="86">
        <f t="shared" si="85"/>
        <v>195</v>
      </c>
      <c r="R555" s="86">
        <f t="shared" si="86"/>
        <v>100</v>
      </c>
      <c r="S555" s="83">
        <f t="shared" si="87"/>
        <v>695</v>
      </c>
      <c r="T555" s="83">
        <f>50</f>
        <v>50</v>
      </c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</row>
    <row r="556" spans="1:30" ht="15.75" x14ac:dyDescent="0.25">
      <c r="A556" s="13">
        <v>57861</v>
      </c>
      <c r="B556" s="95">
        <v>31</v>
      </c>
      <c r="C556" s="83">
        <f>194.205</f>
        <v>194.20500000000001</v>
      </c>
      <c r="D556" s="83">
        <f>267.466</f>
        <v>267.46600000000001</v>
      </c>
      <c r="E556" s="92">
        <f>133.845</f>
        <v>133.845</v>
      </c>
      <c r="F556" s="83">
        <f>278.484-40-25-60-100</f>
        <v>53.48399999999998</v>
      </c>
      <c r="G556" s="86">
        <v>40</v>
      </c>
      <c r="H556" s="83">
        <f t="shared" si="89"/>
        <v>185</v>
      </c>
      <c r="I556" s="83">
        <f t="shared" si="80"/>
        <v>0</v>
      </c>
      <c r="J556" s="86">
        <v>100</v>
      </c>
      <c r="K556" s="86">
        <v>300</v>
      </c>
      <c r="L556" s="83">
        <f t="shared" si="84"/>
        <v>1274</v>
      </c>
      <c r="M556" s="94">
        <v>600</v>
      </c>
      <c r="N556" s="83">
        <f>75</f>
        <v>75</v>
      </c>
      <c r="O556" s="86">
        <v>240</v>
      </c>
      <c r="P556" s="86">
        <v>160</v>
      </c>
      <c r="Q556" s="86">
        <f t="shared" si="85"/>
        <v>195</v>
      </c>
      <c r="R556" s="86">
        <f t="shared" si="86"/>
        <v>100</v>
      </c>
      <c r="S556" s="83">
        <f t="shared" si="87"/>
        <v>695</v>
      </c>
      <c r="T556" s="83">
        <f>50</f>
        <v>50</v>
      </c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</row>
    <row r="557" spans="1:30" ht="15.75" x14ac:dyDescent="0.25">
      <c r="A557" s="13">
        <v>57891</v>
      </c>
      <c r="B557" s="95">
        <v>30</v>
      </c>
      <c r="C557" s="83">
        <f>194.205</f>
        <v>194.20500000000001</v>
      </c>
      <c r="D557" s="83">
        <f>267.466</f>
        <v>267.46600000000001</v>
      </c>
      <c r="E557" s="92">
        <f>133.845</f>
        <v>133.845</v>
      </c>
      <c r="F557" s="83">
        <f>278.484-40-25-60-100</f>
        <v>53.48399999999998</v>
      </c>
      <c r="G557" s="86">
        <v>40</v>
      </c>
      <c r="H557" s="83">
        <f t="shared" si="89"/>
        <v>185</v>
      </c>
      <c r="I557" s="83">
        <f t="shared" si="80"/>
        <v>0</v>
      </c>
      <c r="J557" s="86">
        <v>100</v>
      </c>
      <c r="K557" s="86">
        <v>300</v>
      </c>
      <c r="L557" s="83">
        <f t="shared" si="84"/>
        <v>1274</v>
      </c>
      <c r="M557" s="94">
        <v>600</v>
      </c>
      <c r="N557" s="83">
        <f>30</f>
        <v>30</v>
      </c>
      <c r="O557" s="86">
        <v>240</v>
      </c>
      <c r="P557" s="86">
        <v>160</v>
      </c>
      <c r="Q557" s="86">
        <f t="shared" si="85"/>
        <v>195</v>
      </c>
      <c r="R557" s="86">
        <f t="shared" si="86"/>
        <v>100</v>
      </c>
      <c r="S557" s="83">
        <f t="shared" si="87"/>
        <v>695</v>
      </c>
      <c r="T557" s="83">
        <f>50</f>
        <v>50</v>
      </c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</row>
    <row r="558" spans="1:30" ht="15.75" x14ac:dyDescent="0.25">
      <c r="A558" s="13">
        <v>57922</v>
      </c>
      <c r="B558" s="95">
        <v>31</v>
      </c>
      <c r="C558" s="83">
        <f>194.205</f>
        <v>194.20500000000001</v>
      </c>
      <c r="D558" s="83">
        <f>267.466</f>
        <v>267.46600000000001</v>
      </c>
      <c r="E558" s="92">
        <f>133.845</f>
        <v>133.845</v>
      </c>
      <c r="F558" s="83">
        <f>278.484-40-25-60-100</f>
        <v>53.48399999999998</v>
      </c>
      <c r="G558" s="86">
        <v>40</v>
      </c>
      <c r="H558" s="83">
        <f t="shared" si="89"/>
        <v>185</v>
      </c>
      <c r="I558" s="83">
        <f t="shared" si="80"/>
        <v>0</v>
      </c>
      <c r="J558" s="86">
        <v>100</v>
      </c>
      <c r="K558" s="86">
        <v>300</v>
      </c>
      <c r="L558" s="83">
        <f t="shared" si="84"/>
        <v>1274</v>
      </c>
      <c r="M558" s="94">
        <v>600</v>
      </c>
      <c r="N558" s="83">
        <f>30</f>
        <v>30</v>
      </c>
      <c r="O558" s="86">
        <v>240</v>
      </c>
      <c r="P558" s="86">
        <v>160</v>
      </c>
      <c r="Q558" s="86">
        <f t="shared" si="85"/>
        <v>195</v>
      </c>
      <c r="R558" s="86">
        <f t="shared" si="86"/>
        <v>100</v>
      </c>
      <c r="S558" s="83">
        <f t="shared" si="87"/>
        <v>695</v>
      </c>
      <c r="T558" s="83">
        <f>0</f>
        <v>0</v>
      </c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</row>
    <row r="559" spans="1:30" ht="15.75" x14ac:dyDescent="0.25">
      <c r="A559" s="13">
        <v>57953</v>
      </c>
      <c r="B559" s="95">
        <v>31</v>
      </c>
      <c r="C559" s="83">
        <f>194.205</f>
        <v>194.20500000000001</v>
      </c>
      <c r="D559" s="83">
        <f>267.466</f>
        <v>267.46600000000001</v>
      </c>
      <c r="E559" s="92">
        <f>133.845</f>
        <v>133.845</v>
      </c>
      <c r="F559" s="83">
        <f>278.484-40-25-60-100</f>
        <v>53.48399999999998</v>
      </c>
      <c r="G559" s="86">
        <v>40</v>
      </c>
      <c r="H559" s="83">
        <f t="shared" si="89"/>
        <v>185</v>
      </c>
      <c r="I559" s="83">
        <f t="shared" si="80"/>
        <v>0</v>
      </c>
      <c r="J559" s="86">
        <v>100</v>
      </c>
      <c r="K559" s="86">
        <v>300</v>
      </c>
      <c r="L559" s="83">
        <f t="shared" si="84"/>
        <v>1274</v>
      </c>
      <c r="M559" s="94">
        <v>600</v>
      </c>
      <c r="N559" s="83">
        <f>30</f>
        <v>30</v>
      </c>
      <c r="O559" s="86">
        <v>240</v>
      </c>
      <c r="P559" s="86">
        <v>160</v>
      </c>
      <c r="Q559" s="86">
        <f t="shared" si="85"/>
        <v>195</v>
      </c>
      <c r="R559" s="86">
        <f t="shared" si="86"/>
        <v>100</v>
      </c>
      <c r="S559" s="83">
        <f t="shared" si="87"/>
        <v>695</v>
      </c>
      <c r="T559" s="83">
        <f>0</f>
        <v>0</v>
      </c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</row>
    <row r="560" spans="1:30" ht="15.75" x14ac:dyDescent="0.25">
      <c r="A560" s="13">
        <v>57983</v>
      </c>
      <c r="B560" s="95">
        <v>30</v>
      </c>
      <c r="C560" s="83">
        <f>194.205</f>
        <v>194.20500000000001</v>
      </c>
      <c r="D560" s="83">
        <f>267.466</f>
        <v>267.46600000000001</v>
      </c>
      <c r="E560" s="92">
        <f>133.845</f>
        <v>133.845</v>
      </c>
      <c r="F560" s="83">
        <f>278.484-40-25-60-100</f>
        <v>53.48399999999998</v>
      </c>
      <c r="G560" s="86">
        <v>40</v>
      </c>
      <c r="H560" s="83">
        <f t="shared" si="89"/>
        <v>185</v>
      </c>
      <c r="I560" s="83">
        <f t="shared" si="80"/>
        <v>0</v>
      </c>
      <c r="J560" s="86">
        <v>100</v>
      </c>
      <c r="K560" s="86">
        <v>300</v>
      </c>
      <c r="L560" s="83">
        <f t="shared" si="84"/>
        <v>1274</v>
      </c>
      <c r="M560" s="94">
        <v>600</v>
      </c>
      <c r="N560" s="83">
        <f>30</f>
        <v>30</v>
      </c>
      <c r="O560" s="86">
        <v>240</v>
      </c>
      <c r="P560" s="86">
        <v>160</v>
      </c>
      <c r="Q560" s="86">
        <f t="shared" si="85"/>
        <v>195</v>
      </c>
      <c r="R560" s="86">
        <f t="shared" si="86"/>
        <v>100</v>
      </c>
      <c r="S560" s="83">
        <f t="shared" si="87"/>
        <v>695</v>
      </c>
      <c r="T560" s="83">
        <f>0</f>
        <v>0</v>
      </c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</row>
    <row r="561" spans="1:30" ht="15.75" x14ac:dyDescent="0.25">
      <c r="A561" s="13">
        <v>58014</v>
      </c>
      <c r="B561" s="95">
        <v>31</v>
      </c>
      <c r="C561" s="83">
        <f>131.881</f>
        <v>131.881</v>
      </c>
      <c r="D561" s="83">
        <f>277.167</f>
        <v>277.16699999999997</v>
      </c>
      <c r="E561" s="92">
        <f>79.08</f>
        <v>79.08</v>
      </c>
      <c r="F561" s="83">
        <f>350.872-40-25-60-100</f>
        <v>125.87200000000001</v>
      </c>
      <c r="G561" s="86">
        <v>40</v>
      </c>
      <c r="H561" s="83">
        <f t="shared" si="89"/>
        <v>185</v>
      </c>
      <c r="I561" s="83">
        <f t="shared" si="80"/>
        <v>0</v>
      </c>
      <c r="J561" s="86">
        <v>100</v>
      </c>
      <c r="K561" s="86">
        <v>300</v>
      </c>
      <c r="L561" s="83">
        <f t="shared" si="84"/>
        <v>1239</v>
      </c>
      <c r="M561" s="94">
        <v>600</v>
      </c>
      <c r="N561" s="83">
        <f>75</f>
        <v>75</v>
      </c>
      <c r="O561" s="86">
        <v>240</v>
      </c>
      <c r="P561" s="86">
        <v>160</v>
      </c>
      <c r="Q561" s="86">
        <f t="shared" si="85"/>
        <v>195</v>
      </c>
      <c r="R561" s="86">
        <f t="shared" si="86"/>
        <v>100</v>
      </c>
      <c r="S561" s="83">
        <f t="shared" si="87"/>
        <v>695</v>
      </c>
      <c r="T561" s="83">
        <f>0</f>
        <v>0</v>
      </c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</row>
    <row r="562" spans="1:30" ht="15.75" x14ac:dyDescent="0.25">
      <c r="A562" s="13">
        <v>58044</v>
      </c>
      <c r="B562" s="95">
        <v>30</v>
      </c>
      <c r="C562" s="83">
        <f>122.58</f>
        <v>122.58</v>
      </c>
      <c r="D562" s="83">
        <f>297.941</f>
        <v>297.94099999999997</v>
      </c>
      <c r="E562" s="92">
        <f>89.177</f>
        <v>89.177000000000007</v>
      </c>
      <c r="F562" s="83">
        <f>240.302-40-60-100</f>
        <v>40.301999999999992</v>
      </c>
      <c r="G562" s="86">
        <v>40</v>
      </c>
      <c r="H562" s="83">
        <f>60+100</f>
        <v>160</v>
      </c>
      <c r="I562" s="83">
        <f t="shared" si="80"/>
        <v>0</v>
      </c>
      <c r="J562" s="86">
        <v>100</v>
      </c>
      <c r="K562" s="86">
        <v>300</v>
      </c>
      <c r="L562" s="83">
        <f t="shared" si="84"/>
        <v>1150</v>
      </c>
      <c r="M562" s="94">
        <v>600</v>
      </c>
      <c r="N562" s="83">
        <f>100</f>
        <v>100</v>
      </c>
      <c r="O562" s="86">
        <v>240</v>
      </c>
      <c r="P562" s="86">
        <v>40</v>
      </c>
      <c r="Q562" s="86">
        <f t="shared" si="85"/>
        <v>315</v>
      </c>
      <c r="R562" s="86">
        <f t="shared" si="86"/>
        <v>100</v>
      </c>
      <c r="S562" s="83">
        <f t="shared" si="87"/>
        <v>695</v>
      </c>
      <c r="T562" s="83">
        <f>50</f>
        <v>50</v>
      </c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</row>
    <row r="563" spans="1:30" ht="15.75" x14ac:dyDescent="0.25">
      <c r="A563" s="13">
        <v>58075</v>
      </c>
      <c r="B563" s="95">
        <v>31</v>
      </c>
      <c r="C563" s="83">
        <f>122.58</f>
        <v>122.58</v>
      </c>
      <c r="D563" s="83">
        <f>297.941</f>
        <v>297.94099999999997</v>
      </c>
      <c r="E563" s="92">
        <f>89.177</f>
        <v>89.177000000000007</v>
      </c>
      <c r="F563" s="83">
        <f>240.302-40-60-100</f>
        <v>40.301999999999992</v>
      </c>
      <c r="G563" s="86">
        <v>40</v>
      </c>
      <c r="H563" s="83">
        <f>60+100</f>
        <v>160</v>
      </c>
      <c r="I563" s="83">
        <f t="shared" si="80"/>
        <v>0</v>
      </c>
      <c r="J563" s="86">
        <v>100</v>
      </c>
      <c r="K563" s="86">
        <v>300</v>
      </c>
      <c r="L563" s="83">
        <f t="shared" si="84"/>
        <v>1150</v>
      </c>
      <c r="M563" s="94">
        <v>600</v>
      </c>
      <c r="N563" s="83">
        <f>100</f>
        <v>100</v>
      </c>
      <c r="O563" s="86">
        <v>240</v>
      </c>
      <c r="P563" s="86">
        <v>40</v>
      </c>
      <c r="Q563" s="86">
        <f t="shared" si="85"/>
        <v>315</v>
      </c>
      <c r="R563" s="86">
        <f t="shared" si="86"/>
        <v>100</v>
      </c>
      <c r="S563" s="83">
        <f t="shared" si="87"/>
        <v>695</v>
      </c>
      <c r="T563" s="83">
        <f>50</f>
        <v>50</v>
      </c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</row>
    <row r="564" spans="1:30" ht="15.75" x14ac:dyDescent="0.25">
      <c r="A564" s="13">
        <v>58106</v>
      </c>
      <c r="B564" s="95">
        <v>31</v>
      </c>
      <c r="C564" s="83">
        <f>122.58</f>
        <v>122.58</v>
      </c>
      <c r="D564" s="83">
        <f>297.941</f>
        <v>297.94099999999997</v>
      </c>
      <c r="E564" s="92">
        <f>89.177</f>
        <v>89.177000000000007</v>
      </c>
      <c r="F564" s="83">
        <f>240.302-40-60-100</f>
        <v>40.301999999999992</v>
      </c>
      <c r="G564" s="86">
        <v>40</v>
      </c>
      <c r="H564" s="83">
        <f>60+100</f>
        <v>160</v>
      </c>
      <c r="I564" s="83">
        <f t="shared" ref="I564:I627" si="90">400-J564-K564</f>
        <v>0</v>
      </c>
      <c r="J564" s="86">
        <v>100</v>
      </c>
      <c r="K564" s="86">
        <v>300</v>
      </c>
      <c r="L564" s="83">
        <f t="shared" si="84"/>
        <v>1150</v>
      </c>
      <c r="M564" s="94">
        <v>600</v>
      </c>
      <c r="N564" s="83">
        <f>100</f>
        <v>100</v>
      </c>
      <c r="O564" s="86">
        <v>240</v>
      </c>
      <c r="P564" s="86">
        <v>40</v>
      </c>
      <c r="Q564" s="86">
        <f t="shared" si="85"/>
        <v>315</v>
      </c>
      <c r="R564" s="86">
        <f t="shared" si="86"/>
        <v>100</v>
      </c>
      <c r="S564" s="83">
        <f t="shared" si="87"/>
        <v>695</v>
      </c>
      <c r="T564" s="83">
        <f>50</f>
        <v>50</v>
      </c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</row>
    <row r="565" spans="1:30" ht="15.75" x14ac:dyDescent="0.25">
      <c r="A565" s="13">
        <v>58134</v>
      </c>
      <c r="B565" s="95">
        <v>28</v>
      </c>
      <c r="C565" s="83">
        <f>122.58</f>
        <v>122.58</v>
      </c>
      <c r="D565" s="83">
        <f>297.941</f>
        <v>297.94099999999997</v>
      </c>
      <c r="E565" s="92">
        <f>89.177</f>
        <v>89.177000000000007</v>
      </c>
      <c r="F565" s="83">
        <f>240.302-40-60-100</f>
        <v>40.301999999999992</v>
      </c>
      <c r="G565" s="86">
        <v>40</v>
      </c>
      <c r="H565" s="83">
        <f>60+100</f>
        <v>160</v>
      </c>
      <c r="I565" s="83">
        <f t="shared" si="90"/>
        <v>0</v>
      </c>
      <c r="J565" s="86">
        <v>100</v>
      </c>
      <c r="K565" s="86">
        <v>300</v>
      </c>
      <c r="L565" s="83">
        <f t="shared" si="84"/>
        <v>1150</v>
      </c>
      <c r="M565" s="94">
        <v>600</v>
      </c>
      <c r="N565" s="83">
        <f>100</f>
        <v>100</v>
      </c>
      <c r="O565" s="86">
        <v>240</v>
      </c>
      <c r="P565" s="86">
        <v>40</v>
      </c>
      <c r="Q565" s="86">
        <f t="shared" si="85"/>
        <v>315</v>
      </c>
      <c r="R565" s="86">
        <f t="shared" si="86"/>
        <v>100</v>
      </c>
      <c r="S565" s="83">
        <f t="shared" si="87"/>
        <v>695</v>
      </c>
      <c r="T565" s="83">
        <f>50</f>
        <v>50</v>
      </c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</row>
    <row r="566" spans="1:30" ht="15.75" x14ac:dyDescent="0.25">
      <c r="A566" s="13">
        <v>58165</v>
      </c>
      <c r="B566" s="95">
        <v>31</v>
      </c>
      <c r="C566" s="83">
        <f>122.58</f>
        <v>122.58</v>
      </c>
      <c r="D566" s="83">
        <f>297.941</f>
        <v>297.94099999999997</v>
      </c>
      <c r="E566" s="92">
        <f>89.177</f>
        <v>89.177000000000007</v>
      </c>
      <c r="F566" s="83">
        <f>240.302-40-60-100</f>
        <v>40.301999999999992</v>
      </c>
      <c r="G566" s="86">
        <v>40</v>
      </c>
      <c r="H566" s="83">
        <f>60+100</f>
        <v>160</v>
      </c>
      <c r="I566" s="83">
        <f t="shared" si="90"/>
        <v>0</v>
      </c>
      <c r="J566" s="86">
        <v>100</v>
      </c>
      <c r="K566" s="86">
        <v>300</v>
      </c>
      <c r="L566" s="83">
        <f t="shared" si="84"/>
        <v>1150</v>
      </c>
      <c r="M566" s="94">
        <v>600</v>
      </c>
      <c r="N566" s="83">
        <f>100</f>
        <v>100</v>
      </c>
      <c r="O566" s="86">
        <v>240</v>
      </c>
      <c r="P566" s="86">
        <v>40</v>
      </c>
      <c r="Q566" s="86">
        <f t="shared" si="85"/>
        <v>315</v>
      </c>
      <c r="R566" s="86">
        <f t="shared" si="86"/>
        <v>100</v>
      </c>
      <c r="S566" s="83">
        <f t="shared" si="87"/>
        <v>695</v>
      </c>
      <c r="T566" s="83">
        <f>50</f>
        <v>50</v>
      </c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</row>
    <row r="567" spans="1:30" ht="15.75" x14ac:dyDescent="0.25">
      <c r="A567" s="13">
        <v>58195</v>
      </c>
      <c r="B567" s="95">
        <v>30</v>
      </c>
      <c r="C567" s="83">
        <f>141.293</f>
        <v>141.29300000000001</v>
      </c>
      <c r="D567" s="83">
        <f>267.993</f>
        <v>267.99299999999999</v>
      </c>
      <c r="E567" s="92">
        <f>115.016</f>
        <v>115.01600000000001</v>
      </c>
      <c r="F567" s="83">
        <f>314.698-40-25-60-100</f>
        <v>89.697999999999979</v>
      </c>
      <c r="G567" s="86">
        <v>40</v>
      </c>
      <c r="H567" s="83">
        <f t="shared" ref="H567:H573" si="91">25+60+100</f>
        <v>185</v>
      </c>
      <c r="I567" s="83">
        <f t="shared" si="90"/>
        <v>0</v>
      </c>
      <c r="J567" s="86">
        <v>100</v>
      </c>
      <c r="K567" s="86">
        <v>300</v>
      </c>
      <c r="L567" s="83">
        <f t="shared" si="84"/>
        <v>1239</v>
      </c>
      <c r="M567" s="94">
        <v>600</v>
      </c>
      <c r="N567" s="83">
        <f>100</f>
        <v>100</v>
      </c>
      <c r="O567" s="86">
        <v>240</v>
      </c>
      <c r="P567" s="86">
        <v>160</v>
      </c>
      <c r="Q567" s="86">
        <f t="shared" si="85"/>
        <v>195</v>
      </c>
      <c r="R567" s="86">
        <f t="shared" si="86"/>
        <v>100</v>
      </c>
      <c r="S567" s="83">
        <f t="shared" si="87"/>
        <v>695</v>
      </c>
      <c r="T567" s="83">
        <f>50</f>
        <v>50</v>
      </c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</row>
    <row r="568" spans="1:30" ht="15.75" x14ac:dyDescent="0.25">
      <c r="A568" s="13">
        <v>58226</v>
      </c>
      <c r="B568" s="95">
        <v>31</v>
      </c>
      <c r="C568" s="83">
        <f>194.205</f>
        <v>194.20500000000001</v>
      </c>
      <c r="D568" s="83">
        <f>267.466</f>
        <v>267.46600000000001</v>
      </c>
      <c r="E568" s="92">
        <f>133.845</f>
        <v>133.845</v>
      </c>
      <c r="F568" s="83">
        <f>278.484-40-25-60-100</f>
        <v>53.48399999999998</v>
      </c>
      <c r="G568" s="86">
        <v>40</v>
      </c>
      <c r="H568" s="83">
        <f t="shared" si="91"/>
        <v>185</v>
      </c>
      <c r="I568" s="83">
        <f t="shared" si="90"/>
        <v>0</v>
      </c>
      <c r="J568" s="86">
        <v>100</v>
      </c>
      <c r="K568" s="86">
        <v>300</v>
      </c>
      <c r="L568" s="83">
        <f t="shared" si="84"/>
        <v>1274</v>
      </c>
      <c r="M568" s="94">
        <v>600</v>
      </c>
      <c r="N568" s="83">
        <f>75</f>
        <v>75</v>
      </c>
      <c r="O568" s="86">
        <v>240</v>
      </c>
      <c r="P568" s="86">
        <v>160</v>
      </c>
      <c r="Q568" s="86">
        <f t="shared" si="85"/>
        <v>195</v>
      </c>
      <c r="R568" s="86">
        <f t="shared" si="86"/>
        <v>100</v>
      </c>
      <c r="S568" s="83">
        <f t="shared" si="87"/>
        <v>695</v>
      </c>
      <c r="T568" s="83">
        <f>50</f>
        <v>50</v>
      </c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</row>
    <row r="569" spans="1:30" ht="15.75" x14ac:dyDescent="0.25">
      <c r="A569" s="13">
        <v>58256</v>
      </c>
      <c r="B569" s="95">
        <v>30</v>
      </c>
      <c r="C569" s="83">
        <f>194.205</f>
        <v>194.20500000000001</v>
      </c>
      <c r="D569" s="83">
        <f>267.466</f>
        <v>267.46600000000001</v>
      </c>
      <c r="E569" s="92">
        <f>133.845</f>
        <v>133.845</v>
      </c>
      <c r="F569" s="83">
        <f>278.484-40-25-60-100</f>
        <v>53.48399999999998</v>
      </c>
      <c r="G569" s="86">
        <v>40</v>
      </c>
      <c r="H569" s="83">
        <f t="shared" si="91"/>
        <v>185</v>
      </c>
      <c r="I569" s="83">
        <f t="shared" si="90"/>
        <v>0</v>
      </c>
      <c r="J569" s="86">
        <v>100</v>
      </c>
      <c r="K569" s="86">
        <v>300</v>
      </c>
      <c r="L569" s="83">
        <f t="shared" si="84"/>
        <v>1274</v>
      </c>
      <c r="M569" s="94">
        <v>600</v>
      </c>
      <c r="N569" s="83">
        <f>30</f>
        <v>30</v>
      </c>
      <c r="O569" s="86">
        <v>240</v>
      </c>
      <c r="P569" s="86">
        <v>160</v>
      </c>
      <c r="Q569" s="86">
        <f t="shared" si="85"/>
        <v>195</v>
      </c>
      <c r="R569" s="86">
        <f t="shared" si="86"/>
        <v>100</v>
      </c>
      <c r="S569" s="83">
        <f t="shared" si="87"/>
        <v>695</v>
      </c>
      <c r="T569" s="83">
        <f>50</f>
        <v>50</v>
      </c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</row>
    <row r="570" spans="1:30" ht="15.75" x14ac:dyDescent="0.25">
      <c r="A570" s="13">
        <v>58287</v>
      </c>
      <c r="B570" s="95">
        <v>31</v>
      </c>
      <c r="C570" s="83">
        <f>194.205</f>
        <v>194.20500000000001</v>
      </c>
      <c r="D570" s="83">
        <f>267.466</f>
        <v>267.46600000000001</v>
      </c>
      <c r="E570" s="92">
        <f>133.845</f>
        <v>133.845</v>
      </c>
      <c r="F570" s="83">
        <f>278.484-40-25-60-100</f>
        <v>53.48399999999998</v>
      </c>
      <c r="G570" s="86">
        <v>40</v>
      </c>
      <c r="H570" s="83">
        <f t="shared" si="91"/>
        <v>185</v>
      </c>
      <c r="I570" s="83">
        <f t="shared" si="90"/>
        <v>0</v>
      </c>
      <c r="J570" s="86">
        <v>100</v>
      </c>
      <c r="K570" s="86">
        <v>300</v>
      </c>
      <c r="L570" s="83">
        <f t="shared" si="84"/>
        <v>1274</v>
      </c>
      <c r="M570" s="94">
        <v>600</v>
      </c>
      <c r="N570" s="83">
        <f>30</f>
        <v>30</v>
      </c>
      <c r="O570" s="86">
        <v>240</v>
      </c>
      <c r="P570" s="86">
        <v>160</v>
      </c>
      <c r="Q570" s="86">
        <f t="shared" si="85"/>
        <v>195</v>
      </c>
      <c r="R570" s="86">
        <f t="shared" si="86"/>
        <v>100</v>
      </c>
      <c r="S570" s="83">
        <f t="shared" si="87"/>
        <v>695</v>
      </c>
      <c r="T570" s="83">
        <f>0</f>
        <v>0</v>
      </c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</row>
    <row r="571" spans="1:30" ht="15.75" x14ac:dyDescent="0.25">
      <c r="A571" s="13">
        <v>58318</v>
      </c>
      <c r="B571" s="95">
        <v>31</v>
      </c>
      <c r="C571" s="83">
        <f>194.205</f>
        <v>194.20500000000001</v>
      </c>
      <c r="D571" s="83">
        <f>267.466</f>
        <v>267.46600000000001</v>
      </c>
      <c r="E571" s="92">
        <f>133.845</f>
        <v>133.845</v>
      </c>
      <c r="F571" s="83">
        <f>278.484-40-25-60-100</f>
        <v>53.48399999999998</v>
      </c>
      <c r="G571" s="86">
        <v>40</v>
      </c>
      <c r="H571" s="83">
        <f t="shared" si="91"/>
        <v>185</v>
      </c>
      <c r="I571" s="83">
        <f t="shared" si="90"/>
        <v>0</v>
      </c>
      <c r="J571" s="86">
        <v>100</v>
      </c>
      <c r="K571" s="86">
        <v>300</v>
      </c>
      <c r="L571" s="83">
        <f t="shared" si="84"/>
        <v>1274</v>
      </c>
      <c r="M571" s="94">
        <v>600</v>
      </c>
      <c r="N571" s="83">
        <f>30</f>
        <v>30</v>
      </c>
      <c r="O571" s="86">
        <v>240</v>
      </c>
      <c r="P571" s="86">
        <v>160</v>
      </c>
      <c r="Q571" s="86">
        <f t="shared" si="85"/>
        <v>195</v>
      </c>
      <c r="R571" s="86">
        <f t="shared" si="86"/>
        <v>100</v>
      </c>
      <c r="S571" s="83">
        <f t="shared" si="87"/>
        <v>695</v>
      </c>
      <c r="T571" s="83">
        <f>0</f>
        <v>0</v>
      </c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</row>
    <row r="572" spans="1:30" ht="15.75" x14ac:dyDescent="0.25">
      <c r="A572" s="13">
        <v>58348</v>
      </c>
      <c r="B572" s="95">
        <v>30</v>
      </c>
      <c r="C572" s="83">
        <f>194.205</f>
        <v>194.20500000000001</v>
      </c>
      <c r="D572" s="83">
        <f>267.466</f>
        <v>267.46600000000001</v>
      </c>
      <c r="E572" s="92">
        <f>133.845</f>
        <v>133.845</v>
      </c>
      <c r="F572" s="83">
        <f>278.484-40-25-60-100</f>
        <v>53.48399999999998</v>
      </c>
      <c r="G572" s="86">
        <v>40</v>
      </c>
      <c r="H572" s="83">
        <f t="shared" si="91"/>
        <v>185</v>
      </c>
      <c r="I572" s="83">
        <f t="shared" si="90"/>
        <v>0</v>
      </c>
      <c r="J572" s="86">
        <v>100</v>
      </c>
      <c r="K572" s="86">
        <v>300</v>
      </c>
      <c r="L572" s="83">
        <f t="shared" si="84"/>
        <v>1274</v>
      </c>
      <c r="M572" s="94">
        <v>600</v>
      </c>
      <c r="N572" s="83">
        <f>30</f>
        <v>30</v>
      </c>
      <c r="O572" s="86">
        <v>240</v>
      </c>
      <c r="P572" s="86">
        <v>160</v>
      </c>
      <c r="Q572" s="86">
        <f t="shared" si="85"/>
        <v>195</v>
      </c>
      <c r="R572" s="86">
        <f t="shared" si="86"/>
        <v>100</v>
      </c>
      <c r="S572" s="83">
        <f t="shared" si="87"/>
        <v>695</v>
      </c>
      <c r="T572" s="83">
        <f>0</f>
        <v>0</v>
      </c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</row>
    <row r="573" spans="1:30" ht="15.75" x14ac:dyDescent="0.25">
      <c r="A573" s="13">
        <v>58379</v>
      </c>
      <c r="B573" s="95">
        <v>31</v>
      </c>
      <c r="C573" s="83">
        <f>131.881</f>
        <v>131.881</v>
      </c>
      <c r="D573" s="83">
        <f>277.167</f>
        <v>277.16699999999997</v>
      </c>
      <c r="E573" s="92">
        <f>79.08</f>
        <v>79.08</v>
      </c>
      <c r="F573" s="83">
        <f>350.872-40-25-60-100</f>
        <v>125.87200000000001</v>
      </c>
      <c r="G573" s="86">
        <v>40</v>
      </c>
      <c r="H573" s="83">
        <f t="shared" si="91"/>
        <v>185</v>
      </c>
      <c r="I573" s="83">
        <f t="shared" si="90"/>
        <v>0</v>
      </c>
      <c r="J573" s="86">
        <v>100</v>
      </c>
      <c r="K573" s="86">
        <v>300</v>
      </c>
      <c r="L573" s="83">
        <f t="shared" si="84"/>
        <v>1239</v>
      </c>
      <c r="M573" s="94">
        <v>600</v>
      </c>
      <c r="N573" s="83">
        <f>75</f>
        <v>75</v>
      </c>
      <c r="O573" s="86">
        <v>240</v>
      </c>
      <c r="P573" s="86">
        <v>160</v>
      </c>
      <c r="Q573" s="86">
        <f t="shared" si="85"/>
        <v>195</v>
      </c>
      <c r="R573" s="86">
        <f t="shared" si="86"/>
        <v>100</v>
      </c>
      <c r="S573" s="83">
        <f t="shared" si="87"/>
        <v>695</v>
      </c>
      <c r="T573" s="83">
        <f>0</f>
        <v>0</v>
      </c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</row>
    <row r="574" spans="1:30" ht="15.75" x14ac:dyDescent="0.25">
      <c r="A574" s="13">
        <v>58409</v>
      </c>
      <c r="B574" s="95">
        <v>30</v>
      </c>
      <c r="C574" s="83">
        <f>122.58</f>
        <v>122.58</v>
      </c>
      <c r="D574" s="83">
        <f>297.941</f>
        <v>297.94099999999997</v>
      </c>
      <c r="E574" s="92">
        <f>89.177</f>
        <v>89.177000000000007</v>
      </c>
      <c r="F574" s="83">
        <f>240.302-40-60-100</f>
        <v>40.301999999999992</v>
      </c>
      <c r="G574" s="86">
        <v>40</v>
      </c>
      <c r="H574" s="83">
        <f>60+100</f>
        <v>160</v>
      </c>
      <c r="I574" s="83">
        <f t="shared" si="90"/>
        <v>0</v>
      </c>
      <c r="J574" s="86">
        <v>100</v>
      </c>
      <c r="K574" s="86">
        <v>300</v>
      </c>
      <c r="L574" s="83">
        <f t="shared" si="84"/>
        <v>1150</v>
      </c>
      <c r="M574" s="94">
        <v>600</v>
      </c>
      <c r="N574" s="83">
        <f>100</f>
        <v>100</v>
      </c>
      <c r="O574" s="86">
        <v>240</v>
      </c>
      <c r="P574" s="86">
        <v>40</v>
      </c>
      <c r="Q574" s="86">
        <f t="shared" si="85"/>
        <v>315</v>
      </c>
      <c r="R574" s="86">
        <f t="shared" si="86"/>
        <v>100</v>
      </c>
      <c r="S574" s="83">
        <f t="shared" si="87"/>
        <v>695</v>
      </c>
      <c r="T574" s="83">
        <f>50</f>
        <v>50</v>
      </c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</row>
    <row r="575" spans="1:30" ht="15.75" x14ac:dyDescent="0.25">
      <c r="A575" s="13">
        <v>58440</v>
      </c>
      <c r="B575" s="95">
        <v>31</v>
      </c>
      <c r="C575" s="83">
        <f>122.58</f>
        <v>122.58</v>
      </c>
      <c r="D575" s="83">
        <f>297.941</f>
        <v>297.94099999999997</v>
      </c>
      <c r="E575" s="92">
        <f>89.177</f>
        <v>89.177000000000007</v>
      </c>
      <c r="F575" s="83">
        <f>240.302-40-60-100</f>
        <v>40.301999999999992</v>
      </c>
      <c r="G575" s="86">
        <v>40</v>
      </c>
      <c r="H575" s="83">
        <f>60+100</f>
        <v>160</v>
      </c>
      <c r="I575" s="83">
        <f t="shared" si="90"/>
        <v>0</v>
      </c>
      <c r="J575" s="86">
        <v>100</v>
      </c>
      <c r="K575" s="86">
        <v>300</v>
      </c>
      <c r="L575" s="83">
        <f t="shared" si="84"/>
        <v>1150</v>
      </c>
      <c r="M575" s="94">
        <v>600</v>
      </c>
      <c r="N575" s="83">
        <f>100</f>
        <v>100</v>
      </c>
      <c r="O575" s="86">
        <v>240</v>
      </c>
      <c r="P575" s="86">
        <v>40</v>
      </c>
      <c r="Q575" s="86">
        <f t="shared" si="85"/>
        <v>315</v>
      </c>
      <c r="R575" s="86">
        <f t="shared" si="86"/>
        <v>100</v>
      </c>
      <c r="S575" s="83">
        <f t="shared" si="87"/>
        <v>695</v>
      </c>
      <c r="T575" s="83">
        <f>50</f>
        <v>50</v>
      </c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</row>
    <row r="576" spans="1:30" ht="15.75" x14ac:dyDescent="0.25">
      <c r="A576" s="13">
        <v>58471</v>
      </c>
      <c r="B576" s="95">
        <v>31</v>
      </c>
      <c r="C576" s="83">
        <f>122.58</f>
        <v>122.58</v>
      </c>
      <c r="D576" s="83">
        <f>297.941</f>
        <v>297.94099999999997</v>
      </c>
      <c r="E576" s="92">
        <f>89.177</f>
        <v>89.177000000000007</v>
      </c>
      <c r="F576" s="83">
        <f>240.302-40-60-100</f>
        <v>40.301999999999992</v>
      </c>
      <c r="G576" s="86">
        <v>40</v>
      </c>
      <c r="H576" s="83">
        <f>60+100</f>
        <v>160</v>
      </c>
      <c r="I576" s="83">
        <f t="shared" si="90"/>
        <v>0</v>
      </c>
      <c r="J576" s="86">
        <v>100</v>
      </c>
      <c r="K576" s="86">
        <v>300</v>
      </c>
      <c r="L576" s="83">
        <f t="shared" si="84"/>
        <v>1150</v>
      </c>
      <c r="M576" s="94">
        <v>600</v>
      </c>
      <c r="N576" s="83">
        <f>100</f>
        <v>100</v>
      </c>
      <c r="O576" s="86">
        <v>240</v>
      </c>
      <c r="P576" s="86">
        <v>40</v>
      </c>
      <c r="Q576" s="86">
        <f t="shared" si="85"/>
        <v>315</v>
      </c>
      <c r="R576" s="86">
        <f t="shared" si="86"/>
        <v>100</v>
      </c>
      <c r="S576" s="83">
        <f t="shared" si="87"/>
        <v>695</v>
      </c>
      <c r="T576" s="83">
        <f>50</f>
        <v>50</v>
      </c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</row>
    <row r="577" spans="1:30" ht="15.75" x14ac:dyDescent="0.25">
      <c r="A577" s="13">
        <v>58499</v>
      </c>
      <c r="B577" s="95">
        <v>29</v>
      </c>
      <c r="C577" s="83">
        <f>122.58</f>
        <v>122.58</v>
      </c>
      <c r="D577" s="83">
        <f>297.941</f>
        <v>297.94099999999997</v>
      </c>
      <c r="E577" s="92">
        <f>89.177</f>
        <v>89.177000000000007</v>
      </c>
      <c r="F577" s="83">
        <f>240.302-40-60-100</f>
        <v>40.301999999999992</v>
      </c>
      <c r="G577" s="86">
        <v>40</v>
      </c>
      <c r="H577" s="83">
        <f>60+100</f>
        <v>160</v>
      </c>
      <c r="I577" s="83">
        <f t="shared" si="90"/>
        <v>0</v>
      </c>
      <c r="J577" s="86">
        <v>100</v>
      </c>
      <c r="K577" s="86">
        <v>300</v>
      </c>
      <c r="L577" s="83">
        <f t="shared" si="84"/>
        <v>1150</v>
      </c>
      <c r="M577" s="94">
        <v>600</v>
      </c>
      <c r="N577" s="83">
        <f>100</f>
        <v>100</v>
      </c>
      <c r="O577" s="86">
        <v>240</v>
      </c>
      <c r="P577" s="86">
        <v>40</v>
      </c>
      <c r="Q577" s="86">
        <f t="shared" si="85"/>
        <v>315</v>
      </c>
      <c r="R577" s="86">
        <f t="shared" si="86"/>
        <v>100</v>
      </c>
      <c r="S577" s="83">
        <f t="shared" si="87"/>
        <v>695</v>
      </c>
      <c r="T577" s="83">
        <f>50</f>
        <v>50</v>
      </c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</row>
    <row r="578" spans="1:30" ht="15.75" x14ac:dyDescent="0.25">
      <c r="A578" s="13">
        <v>58531</v>
      </c>
      <c r="B578" s="95">
        <v>31</v>
      </c>
      <c r="C578" s="83">
        <f>122.58</f>
        <v>122.58</v>
      </c>
      <c r="D578" s="83">
        <f>297.941</f>
        <v>297.94099999999997</v>
      </c>
      <c r="E578" s="92">
        <f>89.177</f>
        <v>89.177000000000007</v>
      </c>
      <c r="F578" s="83">
        <f>240.302-40-60-100</f>
        <v>40.301999999999992</v>
      </c>
      <c r="G578" s="86">
        <v>40</v>
      </c>
      <c r="H578" s="83">
        <f>60+100</f>
        <v>160</v>
      </c>
      <c r="I578" s="83">
        <f t="shared" si="90"/>
        <v>0</v>
      </c>
      <c r="J578" s="86">
        <v>100</v>
      </c>
      <c r="K578" s="86">
        <v>300</v>
      </c>
      <c r="L578" s="83">
        <f t="shared" si="84"/>
        <v>1150</v>
      </c>
      <c r="M578" s="94">
        <v>600</v>
      </c>
      <c r="N578" s="83">
        <f>100</f>
        <v>100</v>
      </c>
      <c r="O578" s="86">
        <v>240</v>
      </c>
      <c r="P578" s="86">
        <v>40</v>
      </c>
      <c r="Q578" s="86">
        <f t="shared" si="85"/>
        <v>315</v>
      </c>
      <c r="R578" s="86">
        <f t="shared" si="86"/>
        <v>100</v>
      </c>
      <c r="S578" s="83">
        <f t="shared" si="87"/>
        <v>695</v>
      </c>
      <c r="T578" s="83">
        <f>50</f>
        <v>50</v>
      </c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</row>
    <row r="579" spans="1:30" ht="15.75" x14ac:dyDescent="0.25">
      <c r="A579" s="13">
        <v>58561</v>
      </c>
      <c r="B579" s="95">
        <v>30</v>
      </c>
      <c r="C579" s="83">
        <f>141.293</f>
        <v>141.29300000000001</v>
      </c>
      <c r="D579" s="83">
        <f>267.993</f>
        <v>267.99299999999999</v>
      </c>
      <c r="E579" s="92">
        <f>115.016</f>
        <v>115.01600000000001</v>
      </c>
      <c r="F579" s="83">
        <f>314.698-40-25-60-100</f>
        <v>89.697999999999979</v>
      </c>
      <c r="G579" s="86">
        <v>40</v>
      </c>
      <c r="H579" s="83">
        <f t="shared" ref="H579:H585" si="92">25+60+100</f>
        <v>185</v>
      </c>
      <c r="I579" s="83">
        <f t="shared" si="90"/>
        <v>0</v>
      </c>
      <c r="J579" s="86">
        <v>100</v>
      </c>
      <c r="K579" s="86">
        <v>300</v>
      </c>
      <c r="L579" s="83">
        <f t="shared" si="84"/>
        <v>1239</v>
      </c>
      <c r="M579" s="94">
        <v>600</v>
      </c>
      <c r="N579" s="83">
        <f>100</f>
        <v>100</v>
      </c>
      <c r="O579" s="86">
        <v>240</v>
      </c>
      <c r="P579" s="86">
        <v>160</v>
      </c>
      <c r="Q579" s="86">
        <f t="shared" si="85"/>
        <v>195</v>
      </c>
      <c r="R579" s="86">
        <f t="shared" si="86"/>
        <v>100</v>
      </c>
      <c r="S579" s="83">
        <f t="shared" si="87"/>
        <v>695</v>
      </c>
      <c r="T579" s="83">
        <f>50</f>
        <v>50</v>
      </c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</row>
    <row r="580" spans="1:30" ht="15.75" x14ac:dyDescent="0.25">
      <c r="A580" s="13">
        <v>58592</v>
      </c>
      <c r="B580" s="95">
        <v>31</v>
      </c>
      <c r="C580" s="83">
        <f>194.205</f>
        <v>194.20500000000001</v>
      </c>
      <c r="D580" s="83">
        <f>267.466</f>
        <v>267.46600000000001</v>
      </c>
      <c r="E580" s="92">
        <f>133.845</f>
        <v>133.845</v>
      </c>
      <c r="F580" s="83">
        <f>278.484-40-25-60-100</f>
        <v>53.48399999999998</v>
      </c>
      <c r="G580" s="86">
        <v>40</v>
      </c>
      <c r="H580" s="83">
        <f t="shared" si="92"/>
        <v>185</v>
      </c>
      <c r="I580" s="83">
        <f t="shared" si="90"/>
        <v>0</v>
      </c>
      <c r="J580" s="86">
        <v>100</v>
      </c>
      <c r="K580" s="86">
        <v>300</v>
      </c>
      <c r="L580" s="83">
        <f t="shared" si="84"/>
        <v>1274</v>
      </c>
      <c r="M580" s="94">
        <v>600</v>
      </c>
      <c r="N580" s="83">
        <f>75</f>
        <v>75</v>
      </c>
      <c r="O580" s="86">
        <v>240</v>
      </c>
      <c r="P580" s="86">
        <v>160</v>
      </c>
      <c r="Q580" s="86">
        <f t="shared" si="85"/>
        <v>195</v>
      </c>
      <c r="R580" s="86">
        <f t="shared" si="86"/>
        <v>100</v>
      </c>
      <c r="S580" s="83">
        <f t="shared" si="87"/>
        <v>695</v>
      </c>
      <c r="T580" s="83">
        <f>50</f>
        <v>50</v>
      </c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</row>
    <row r="581" spans="1:30" ht="15.75" x14ac:dyDescent="0.25">
      <c r="A581" s="13">
        <v>58622</v>
      </c>
      <c r="B581" s="95">
        <v>30</v>
      </c>
      <c r="C581" s="83">
        <f>194.205</f>
        <v>194.20500000000001</v>
      </c>
      <c r="D581" s="83">
        <f>267.466</f>
        <v>267.46600000000001</v>
      </c>
      <c r="E581" s="92">
        <f>133.845</f>
        <v>133.845</v>
      </c>
      <c r="F581" s="83">
        <f>278.484-40-25-60-100</f>
        <v>53.48399999999998</v>
      </c>
      <c r="G581" s="86">
        <v>40</v>
      </c>
      <c r="H581" s="83">
        <f t="shared" si="92"/>
        <v>185</v>
      </c>
      <c r="I581" s="83">
        <f t="shared" si="90"/>
        <v>0</v>
      </c>
      <c r="J581" s="86">
        <v>100</v>
      </c>
      <c r="K581" s="86">
        <v>300</v>
      </c>
      <c r="L581" s="83">
        <f t="shared" si="84"/>
        <v>1274</v>
      </c>
      <c r="M581" s="94">
        <v>600</v>
      </c>
      <c r="N581" s="83">
        <f>30</f>
        <v>30</v>
      </c>
      <c r="O581" s="86">
        <v>240</v>
      </c>
      <c r="P581" s="86">
        <v>160</v>
      </c>
      <c r="Q581" s="86">
        <f t="shared" si="85"/>
        <v>195</v>
      </c>
      <c r="R581" s="86">
        <f t="shared" si="86"/>
        <v>100</v>
      </c>
      <c r="S581" s="83">
        <f t="shared" si="87"/>
        <v>695</v>
      </c>
      <c r="T581" s="83">
        <f>50</f>
        <v>50</v>
      </c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</row>
    <row r="582" spans="1:30" ht="15.75" x14ac:dyDescent="0.25">
      <c r="A582" s="13">
        <v>58653</v>
      </c>
      <c r="B582" s="95">
        <v>31</v>
      </c>
      <c r="C582" s="83">
        <f>194.205</f>
        <v>194.20500000000001</v>
      </c>
      <c r="D582" s="83">
        <f>267.466</f>
        <v>267.46600000000001</v>
      </c>
      <c r="E582" s="92">
        <f>133.845</f>
        <v>133.845</v>
      </c>
      <c r="F582" s="83">
        <f>278.484-40-25-60-100</f>
        <v>53.48399999999998</v>
      </c>
      <c r="G582" s="86">
        <v>40</v>
      </c>
      <c r="H582" s="83">
        <f t="shared" si="92"/>
        <v>185</v>
      </c>
      <c r="I582" s="83">
        <f t="shared" si="90"/>
        <v>0</v>
      </c>
      <c r="J582" s="86">
        <v>100</v>
      </c>
      <c r="K582" s="86">
        <v>300</v>
      </c>
      <c r="L582" s="83">
        <f t="shared" si="84"/>
        <v>1274</v>
      </c>
      <c r="M582" s="94">
        <v>600</v>
      </c>
      <c r="N582" s="83">
        <f>30</f>
        <v>30</v>
      </c>
      <c r="O582" s="86">
        <v>240</v>
      </c>
      <c r="P582" s="86">
        <v>160</v>
      </c>
      <c r="Q582" s="86">
        <f t="shared" si="85"/>
        <v>195</v>
      </c>
      <c r="R582" s="86">
        <f t="shared" si="86"/>
        <v>100</v>
      </c>
      <c r="S582" s="83">
        <f t="shared" si="87"/>
        <v>695</v>
      </c>
      <c r="T582" s="83">
        <f>0</f>
        <v>0</v>
      </c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</row>
    <row r="583" spans="1:30" ht="15.75" x14ac:dyDescent="0.25">
      <c r="A583" s="13">
        <v>58684</v>
      </c>
      <c r="B583" s="95">
        <v>31</v>
      </c>
      <c r="C583" s="83">
        <f>194.205</f>
        <v>194.20500000000001</v>
      </c>
      <c r="D583" s="83">
        <f>267.466</f>
        <v>267.46600000000001</v>
      </c>
      <c r="E583" s="92">
        <f>133.845</f>
        <v>133.845</v>
      </c>
      <c r="F583" s="83">
        <f>278.484-40-25-60-100</f>
        <v>53.48399999999998</v>
      </c>
      <c r="G583" s="86">
        <v>40</v>
      </c>
      <c r="H583" s="83">
        <f t="shared" si="92"/>
        <v>185</v>
      </c>
      <c r="I583" s="83">
        <f t="shared" si="90"/>
        <v>0</v>
      </c>
      <c r="J583" s="86">
        <v>100</v>
      </c>
      <c r="K583" s="86">
        <v>300</v>
      </c>
      <c r="L583" s="83">
        <f t="shared" si="84"/>
        <v>1274</v>
      </c>
      <c r="M583" s="94">
        <v>600</v>
      </c>
      <c r="N583" s="83">
        <f>30</f>
        <v>30</v>
      </c>
      <c r="O583" s="86">
        <v>240</v>
      </c>
      <c r="P583" s="86">
        <v>160</v>
      </c>
      <c r="Q583" s="86">
        <f t="shared" si="85"/>
        <v>195</v>
      </c>
      <c r="R583" s="86">
        <f t="shared" si="86"/>
        <v>100</v>
      </c>
      <c r="S583" s="83">
        <f t="shared" si="87"/>
        <v>695</v>
      </c>
      <c r="T583" s="83">
        <f>0</f>
        <v>0</v>
      </c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</row>
    <row r="584" spans="1:30" ht="15.75" x14ac:dyDescent="0.25">
      <c r="A584" s="13">
        <v>58714</v>
      </c>
      <c r="B584" s="95">
        <v>30</v>
      </c>
      <c r="C584" s="83">
        <f>194.205</f>
        <v>194.20500000000001</v>
      </c>
      <c r="D584" s="83">
        <f>267.466</f>
        <v>267.46600000000001</v>
      </c>
      <c r="E584" s="92">
        <f>133.845</f>
        <v>133.845</v>
      </c>
      <c r="F584" s="83">
        <f>278.484-40-25-60-100</f>
        <v>53.48399999999998</v>
      </c>
      <c r="G584" s="86">
        <v>40</v>
      </c>
      <c r="H584" s="83">
        <f t="shared" si="92"/>
        <v>185</v>
      </c>
      <c r="I584" s="83">
        <f t="shared" si="90"/>
        <v>0</v>
      </c>
      <c r="J584" s="86">
        <v>100</v>
      </c>
      <c r="K584" s="86">
        <v>300</v>
      </c>
      <c r="L584" s="83">
        <f t="shared" si="84"/>
        <v>1274</v>
      </c>
      <c r="M584" s="94">
        <v>600</v>
      </c>
      <c r="N584" s="83">
        <f>30</f>
        <v>30</v>
      </c>
      <c r="O584" s="86">
        <v>240</v>
      </c>
      <c r="P584" s="86">
        <v>160</v>
      </c>
      <c r="Q584" s="86">
        <f t="shared" si="85"/>
        <v>195</v>
      </c>
      <c r="R584" s="86">
        <f t="shared" si="86"/>
        <v>100</v>
      </c>
      <c r="S584" s="83">
        <f t="shared" si="87"/>
        <v>695</v>
      </c>
      <c r="T584" s="83">
        <f>0</f>
        <v>0</v>
      </c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</row>
    <row r="585" spans="1:30" ht="15.75" x14ac:dyDescent="0.25">
      <c r="A585" s="13">
        <v>58745</v>
      </c>
      <c r="B585" s="95">
        <v>31</v>
      </c>
      <c r="C585" s="83">
        <f>131.881</f>
        <v>131.881</v>
      </c>
      <c r="D585" s="83">
        <f>277.167</f>
        <v>277.16699999999997</v>
      </c>
      <c r="E585" s="92">
        <f>79.08</f>
        <v>79.08</v>
      </c>
      <c r="F585" s="83">
        <f>350.872-40-25-60-100</f>
        <v>125.87200000000001</v>
      </c>
      <c r="G585" s="86">
        <v>40</v>
      </c>
      <c r="H585" s="83">
        <f t="shared" si="92"/>
        <v>185</v>
      </c>
      <c r="I585" s="83">
        <f t="shared" si="90"/>
        <v>0</v>
      </c>
      <c r="J585" s="86">
        <v>100</v>
      </c>
      <c r="K585" s="86">
        <v>300</v>
      </c>
      <c r="L585" s="83">
        <f t="shared" si="84"/>
        <v>1239</v>
      </c>
      <c r="M585" s="94">
        <v>600</v>
      </c>
      <c r="N585" s="83">
        <f>75</f>
        <v>75</v>
      </c>
      <c r="O585" s="86">
        <v>240</v>
      </c>
      <c r="P585" s="86">
        <v>160</v>
      </c>
      <c r="Q585" s="86">
        <f t="shared" si="85"/>
        <v>195</v>
      </c>
      <c r="R585" s="86">
        <f t="shared" si="86"/>
        <v>100</v>
      </c>
      <c r="S585" s="83">
        <f t="shared" si="87"/>
        <v>695</v>
      </c>
      <c r="T585" s="83">
        <f>0</f>
        <v>0</v>
      </c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</row>
    <row r="586" spans="1:30" ht="15.75" x14ac:dyDescent="0.25">
      <c r="A586" s="13">
        <v>58775</v>
      </c>
      <c r="B586" s="95">
        <v>30</v>
      </c>
      <c r="C586" s="83">
        <f>122.58</f>
        <v>122.58</v>
      </c>
      <c r="D586" s="83">
        <f>297.941</f>
        <v>297.94099999999997</v>
      </c>
      <c r="E586" s="92">
        <f>89.177</f>
        <v>89.177000000000007</v>
      </c>
      <c r="F586" s="83">
        <f>240.302-40-60-100</f>
        <v>40.301999999999992</v>
      </c>
      <c r="G586" s="86">
        <v>40</v>
      </c>
      <c r="H586" s="83">
        <f>60+100</f>
        <v>160</v>
      </c>
      <c r="I586" s="83">
        <f t="shared" si="90"/>
        <v>0</v>
      </c>
      <c r="J586" s="86">
        <v>100</v>
      </c>
      <c r="K586" s="86">
        <v>300</v>
      </c>
      <c r="L586" s="83">
        <f t="shared" si="84"/>
        <v>1150</v>
      </c>
      <c r="M586" s="94">
        <v>600</v>
      </c>
      <c r="N586" s="83">
        <f>100</f>
        <v>100</v>
      </c>
      <c r="O586" s="86">
        <v>240</v>
      </c>
      <c r="P586" s="86">
        <v>40</v>
      </c>
      <c r="Q586" s="86">
        <f t="shared" si="85"/>
        <v>315</v>
      </c>
      <c r="R586" s="86">
        <f t="shared" si="86"/>
        <v>100</v>
      </c>
      <c r="S586" s="83">
        <f t="shared" si="87"/>
        <v>695</v>
      </c>
      <c r="T586" s="83">
        <f>50</f>
        <v>50</v>
      </c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</row>
    <row r="587" spans="1:30" ht="15.75" x14ac:dyDescent="0.25">
      <c r="A587" s="13">
        <v>58806</v>
      </c>
      <c r="B587" s="95">
        <v>31</v>
      </c>
      <c r="C587" s="83">
        <f>122.58</f>
        <v>122.58</v>
      </c>
      <c r="D587" s="83">
        <f>297.941</f>
        <v>297.94099999999997</v>
      </c>
      <c r="E587" s="92">
        <f>89.177</f>
        <v>89.177000000000007</v>
      </c>
      <c r="F587" s="83">
        <f>240.302-40-60-100</f>
        <v>40.301999999999992</v>
      </c>
      <c r="G587" s="86">
        <v>40</v>
      </c>
      <c r="H587" s="83">
        <f>60+100</f>
        <v>160</v>
      </c>
      <c r="I587" s="83">
        <f t="shared" si="90"/>
        <v>0</v>
      </c>
      <c r="J587" s="86">
        <v>100</v>
      </c>
      <c r="K587" s="86">
        <v>300</v>
      </c>
      <c r="L587" s="83">
        <f t="shared" si="84"/>
        <v>1150</v>
      </c>
      <c r="M587" s="94">
        <v>600</v>
      </c>
      <c r="N587" s="83">
        <f>100</f>
        <v>100</v>
      </c>
      <c r="O587" s="86">
        <v>240</v>
      </c>
      <c r="P587" s="86">
        <v>40</v>
      </c>
      <c r="Q587" s="86">
        <f t="shared" si="85"/>
        <v>315</v>
      </c>
      <c r="R587" s="86">
        <f t="shared" si="86"/>
        <v>100</v>
      </c>
      <c r="S587" s="83">
        <f t="shared" si="87"/>
        <v>695</v>
      </c>
      <c r="T587" s="83">
        <f>50</f>
        <v>50</v>
      </c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</row>
    <row r="588" spans="1:30" ht="15.75" x14ac:dyDescent="0.25">
      <c r="A588" s="13">
        <v>58837</v>
      </c>
      <c r="B588" s="95">
        <v>31</v>
      </c>
      <c r="C588" s="83">
        <f>122.58</f>
        <v>122.58</v>
      </c>
      <c r="D588" s="83">
        <f>297.941</f>
        <v>297.94099999999997</v>
      </c>
      <c r="E588" s="92">
        <f>89.177</f>
        <v>89.177000000000007</v>
      </c>
      <c r="F588" s="83">
        <f>240.302-40-60-100</f>
        <v>40.301999999999992</v>
      </c>
      <c r="G588" s="86">
        <v>40</v>
      </c>
      <c r="H588" s="83">
        <f>60+100</f>
        <v>160</v>
      </c>
      <c r="I588" s="83">
        <f t="shared" si="90"/>
        <v>0</v>
      </c>
      <c r="J588" s="86">
        <v>100</v>
      </c>
      <c r="K588" s="86">
        <v>300</v>
      </c>
      <c r="L588" s="83">
        <f t="shared" si="84"/>
        <v>1150</v>
      </c>
      <c r="M588" s="94">
        <v>600</v>
      </c>
      <c r="N588" s="83">
        <f>100</f>
        <v>100</v>
      </c>
      <c r="O588" s="86">
        <v>240</v>
      </c>
      <c r="P588" s="86">
        <v>40</v>
      </c>
      <c r="Q588" s="86">
        <f t="shared" si="85"/>
        <v>315</v>
      </c>
      <c r="R588" s="86">
        <f t="shared" si="86"/>
        <v>100</v>
      </c>
      <c r="S588" s="83">
        <f t="shared" si="87"/>
        <v>695</v>
      </c>
      <c r="T588" s="83">
        <f>50</f>
        <v>50</v>
      </c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</row>
    <row r="589" spans="1:30" ht="15.75" x14ac:dyDescent="0.25">
      <c r="A589" s="13">
        <v>58865</v>
      </c>
      <c r="B589" s="95">
        <v>28</v>
      </c>
      <c r="C589" s="83">
        <f>122.58</f>
        <v>122.58</v>
      </c>
      <c r="D589" s="83">
        <f>297.941</f>
        <v>297.94099999999997</v>
      </c>
      <c r="E589" s="92">
        <f>89.177</f>
        <v>89.177000000000007</v>
      </c>
      <c r="F589" s="83">
        <f>240.302-40-60-100</f>
        <v>40.301999999999992</v>
      </c>
      <c r="G589" s="86">
        <v>40</v>
      </c>
      <c r="H589" s="83">
        <f>60+100</f>
        <v>160</v>
      </c>
      <c r="I589" s="83">
        <f t="shared" si="90"/>
        <v>0</v>
      </c>
      <c r="J589" s="86">
        <v>100</v>
      </c>
      <c r="K589" s="86">
        <v>300</v>
      </c>
      <c r="L589" s="83">
        <f t="shared" si="84"/>
        <v>1150</v>
      </c>
      <c r="M589" s="94">
        <v>600</v>
      </c>
      <c r="N589" s="83">
        <f>100</f>
        <v>100</v>
      </c>
      <c r="O589" s="86">
        <v>240</v>
      </c>
      <c r="P589" s="86">
        <v>40</v>
      </c>
      <c r="Q589" s="86">
        <f t="shared" si="85"/>
        <v>315</v>
      </c>
      <c r="R589" s="86">
        <f t="shared" si="86"/>
        <v>100</v>
      </c>
      <c r="S589" s="83">
        <f t="shared" si="87"/>
        <v>695</v>
      </c>
      <c r="T589" s="83">
        <f>50</f>
        <v>50</v>
      </c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</row>
    <row r="590" spans="1:30" ht="15.75" x14ac:dyDescent="0.25">
      <c r="A590" s="13">
        <v>58893</v>
      </c>
      <c r="B590" s="95">
        <v>31</v>
      </c>
      <c r="C590" s="83">
        <f>122.58</f>
        <v>122.58</v>
      </c>
      <c r="D590" s="83">
        <f>297.941</f>
        <v>297.94099999999997</v>
      </c>
      <c r="E590" s="92">
        <f>89.177</f>
        <v>89.177000000000007</v>
      </c>
      <c r="F590" s="83">
        <f>240.302-40-60-100</f>
        <v>40.301999999999992</v>
      </c>
      <c r="G590" s="86">
        <v>40</v>
      </c>
      <c r="H590" s="83">
        <f>60+100</f>
        <v>160</v>
      </c>
      <c r="I590" s="83">
        <f t="shared" si="90"/>
        <v>0</v>
      </c>
      <c r="J590" s="86">
        <v>100</v>
      </c>
      <c r="K590" s="86">
        <v>300</v>
      </c>
      <c r="L590" s="83">
        <f t="shared" si="84"/>
        <v>1150</v>
      </c>
      <c r="M590" s="94">
        <v>600</v>
      </c>
      <c r="N590" s="83">
        <f>100</f>
        <v>100</v>
      </c>
      <c r="O590" s="86">
        <v>240</v>
      </c>
      <c r="P590" s="86">
        <v>40</v>
      </c>
      <c r="Q590" s="86">
        <f t="shared" si="85"/>
        <v>315</v>
      </c>
      <c r="R590" s="86">
        <f t="shared" si="86"/>
        <v>100</v>
      </c>
      <c r="S590" s="83">
        <f t="shared" si="87"/>
        <v>695</v>
      </c>
      <c r="T590" s="83">
        <f>50</f>
        <v>50</v>
      </c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</row>
    <row r="591" spans="1:30" ht="15.75" x14ac:dyDescent="0.25">
      <c r="A591" s="13">
        <v>58926</v>
      </c>
      <c r="B591" s="95">
        <v>30</v>
      </c>
      <c r="C591" s="83">
        <f>141.293</f>
        <v>141.29300000000001</v>
      </c>
      <c r="D591" s="83">
        <f>267.993</f>
        <v>267.99299999999999</v>
      </c>
      <c r="E591" s="92">
        <f>115.016</f>
        <v>115.01600000000001</v>
      </c>
      <c r="F591" s="83">
        <f>314.698-40-25-60-100</f>
        <v>89.697999999999979</v>
      </c>
      <c r="G591" s="86">
        <v>40</v>
      </c>
      <c r="H591" s="83">
        <f t="shared" ref="H591:H597" si="93">25+60+100</f>
        <v>185</v>
      </c>
      <c r="I591" s="83">
        <f t="shared" si="90"/>
        <v>0</v>
      </c>
      <c r="J591" s="86">
        <v>100</v>
      </c>
      <c r="K591" s="86">
        <v>300</v>
      </c>
      <c r="L591" s="83">
        <f t="shared" si="84"/>
        <v>1239</v>
      </c>
      <c r="M591" s="94">
        <v>600</v>
      </c>
      <c r="N591" s="83">
        <f>100</f>
        <v>100</v>
      </c>
      <c r="O591" s="86">
        <v>240</v>
      </c>
      <c r="P591" s="86">
        <v>160</v>
      </c>
      <c r="Q591" s="86">
        <f t="shared" si="85"/>
        <v>195</v>
      </c>
      <c r="R591" s="86">
        <f t="shared" si="86"/>
        <v>100</v>
      </c>
      <c r="S591" s="83">
        <f t="shared" si="87"/>
        <v>695</v>
      </c>
      <c r="T591" s="83">
        <f>50</f>
        <v>50</v>
      </c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</row>
    <row r="592" spans="1:30" ht="15.75" x14ac:dyDescent="0.25">
      <c r="A592" s="13">
        <v>58957</v>
      </c>
      <c r="B592" s="95">
        <v>31</v>
      </c>
      <c r="C592" s="83">
        <f>194.205</f>
        <v>194.20500000000001</v>
      </c>
      <c r="D592" s="83">
        <f>267.466</f>
        <v>267.46600000000001</v>
      </c>
      <c r="E592" s="92">
        <f>133.845</f>
        <v>133.845</v>
      </c>
      <c r="F592" s="83">
        <f>278.484-40-25-60-100</f>
        <v>53.48399999999998</v>
      </c>
      <c r="G592" s="86">
        <v>40</v>
      </c>
      <c r="H592" s="83">
        <f t="shared" si="93"/>
        <v>185</v>
      </c>
      <c r="I592" s="83">
        <f t="shared" si="90"/>
        <v>0</v>
      </c>
      <c r="J592" s="86">
        <v>100</v>
      </c>
      <c r="K592" s="86">
        <v>300</v>
      </c>
      <c r="L592" s="83">
        <f t="shared" si="84"/>
        <v>1274</v>
      </c>
      <c r="M592" s="94">
        <v>600</v>
      </c>
      <c r="N592" s="83">
        <f>75</f>
        <v>75</v>
      </c>
      <c r="O592" s="86">
        <v>240</v>
      </c>
      <c r="P592" s="86">
        <v>160</v>
      </c>
      <c r="Q592" s="86">
        <f t="shared" si="85"/>
        <v>195</v>
      </c>
      <c r="R592" s="86">
        <f t="shared" si="86"/>
        <v>100</v>
      </c>
      <c r="S592" s="83">
        <f t="shared" si="87"/>
        <v>695</v>
      </c>
      <c r="T592" s="83">
        <f>50</f>
        <v>50</v>
      </c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</row>
    <row r="593" spans="1:30" ht="15.75" x14ac:dyDescent="0.25">
      <c r="A593" s="13">
        <v>58987</v>
      </c>
      <c r="B593" s="95">
        <v>30</v>
      </c>
      <c r="C593" s="83">
        <f>194.205</f>
        <v>194.20500000000001</v>
      </c>
      <c r="D593" s="83">
        <f>267.466</f>
        <v>267.46600000000001</v>
      </c>
      <c r="E593" s="92">
        <f>133.845</f>
        <v>133.845</v>
      </c>
      <c r="F593" s="83">
        <f>278.484-40-25-60-100</f>
        <v>53.48399999999998</v>
      </c>
      <c r="G593" s="86">
        <v>40</v>
      </c>
      <c r="H593" s="83">
        <f t="shared" si="93"/>
        <v>185</v>
      </c>
      <c r="I593" s="83">
        <f t="shared" si="90"/>
        <v>0</v>
      </c>
      <c r="J593" s="86">
        <v>100</v>
      </c>
      <c r="K593" s="86">
        <v>300</v>
      </c>
      <c r="L593" s="83">
        <f t="shared" si="84"/>
        <v>1274</v>
      </c>
      <c r="M593" s="94">
        <v>600</v>
      </c>
      <c r="N593" s="83">
        <f>30</f>
        <v>30</v>
      </c>
      <c r="O593" s="86">
        <v>240</v>
      </c>
      <c r="P593" s="86">
        <v>160</v>
      </c>
      <c r="Q593" s="86">
        <f t="shared" si="85"/>
        <v>195</v>
      </c>
      <c r="R593" s="86">
        <f t="shared" si="86"/>
        <v>100</v>
      </c>
      <c r="S593" s="83">
        <f t="shared" si="87"/>
        <v>695</v>
      </c>
      <c r="T593" s="83">
        <f>50</f>
        <v>50</v>
      </c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</row>
    <row r="594" spans="1:30" ht="15.75" x14ac:dyDescent="0.25">
      <c r="A594" s="13">
        <v>59018</v>
      </c>
      <c r="B594" s="95">
        <v>31</v>
      </c>
      <c r="C594" s="83">
        <f>194.205</f>
        <v>194.20500000000001</v>
      </c>
      <c r="D594" s="83">
        <f>267.466</f>
        <v>267.46600000000001</v>
      </c>
      <c r="E594" s="92">
        <f>133.845</f>
        <v>133.845</v>
      </c>
      <c r="F594" s="83">
        <f>278.484-40-25-60-100</f>
        <v>53.48399999999998</v>
      </c>
      <c r="G594" s="86">
        <v>40</v>
      </c>
      <c r="H594" s="83">
        <f t="shared" si="93"/>
        <v>185</v>
      </c>
      <c r="I594" s="83">
        <f t="shared" si="90"/>
        <v>0</v>
      </c>
      <c r="J594" s="86">
        <v>100</v>
      </c>
      <c r="K594" s="86">
        <v>300</v>
      </c>
      <c r="L594" s="83">
        <f t="shared" si="84"/>
        <v>1274</v>
      </c>
      <c r="M594" s="94">
        <v>600</v>
      </c>
      <c r="N594" s="83">
        <f>30</f>
        <v>30</v>
      </c>
      <c r="O594" s="86">
        <v>240</v>
      </c>
      <c r="P594" s="86">
        <v>160</v>
      </c>
      <c r="Q594" s="86">
        <f t="shared" si="85"/>
        <v>195</v>
      </c>
      <c r="R594" s="86">
        <f t="shared" si="86"/>
        <v>100</v>
      </c>
      <c r="S594" s="83">
        <f t="shared" si="87"/>
        <v>695</v>
      </c>
      <c r="T594" s="83">
        <f>0</f>
        <v>0</v>
      </c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</row>
    <row r="595" spans="1:30" ht="15.75" x14ac:dyDescent="0.25">
      <c r="A595" s="13">
        <v>59049</v>
      </c>
      <c r="B595" s="95">
        <v>31</v>
      </c>
      <c r="C595" s="83">
        <f>194.205</f>
        <v>194.20500000000001</v>
      </c>
      <c r="D595" s="83">
        <f>267.466</f>
        <v>267.46600000000001</v>
      </c>
      <c r="E595" s="92">
        <f>133.845</f>
        <v>133.845</v>
      </c>
      <c r="F595" s="83">
        <f>278.484-40-25-60-100</f>
        <v>53.48399999999998</v>
      </c>
      <c r="G595" s="86">
        <v>40</v>
      </c>
      <c r="H595" s="83">
        <f t="shared" si="93"/>
        <v>185</v>
      </c>
      <c r="I595" s="83">
        <f t="shared" si="90"/>
        <v>0</v>
      </c>
      <c r="J595" s="86">
        <v>100</v>
      </c>
      <c r="K595" s="86">
        <v>300</v>
      </c>
      <c r="L595" s="83">
        <f t="shared" si="84"/>
        <v>1274</v>
      </c>
      <c r="M595" s="94">
        <v>600</v>
      </c>
      <c r="N595" s="83">
        <f>30</f>
        <v>30</v>
      </c>
      <c r="O595" s="86">
        <v>240</v>
      </c>
      <c r="P595" s="86">
        <v>160</v>
      </c>
      <c r="Q595" s="86">
        <f t="shared" si="85"/>
        <v>195</v>
      </c>
      <c r="R595" s="86">
        <f t="shared" si="86"/>
        <v>100</v>
      </c>
      <c r="S595" s="83">
        <f t="shared" si="87"/>
        <v>695</v>
      </c>
      <c r="T595" s="83">
        <f>0</f>
        <v>0</v>
      </c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</row>
    <row r="596" spans="1:30" ht="15.75" x14ac:dyDescent="0.25">
      <c r="A596" s="13">
        <v>59079</v>
      </c>
      <c r="B596" s="95">
        <v>30</v>
      </c>
      <c r="C596" s="83">
        <f>194.205</f>
        <v>194.20500000000001</v>
      </c>
      <c r="D596" s="83">
        <f>267.466</f>
        <v>267.46600000000001</v>
      </c>
      <c r="E596" s="92">
        <f>133.845</f>
        <v>133.845</v>
      </c>
      <c r="F596" s="83">
        <f>278.484-40-25-60-100</f>
        <v>53.48399999999998</v>
      </c>
      <c r="G596" s="86">
        <v>40</v>
      </c>
      <c r="H596" s="83">
        <f t="shared" si="93"/>
        <v>185</v>
      </c>
      <c r="I596" s="83">
        <f t="shared" si="90"/>
        <v>0</v>
      </c>
      <c r="J596" s="86">
        <v>100</v>
      </c>
      <c r="K596" s="86">
        <v>300</v>
      </c>
      <c r="L596" s="83">
        <f t="shared" si="84"/>
        <v>1274</v>
      </c>
      <c r="M596" s="94">
        <v>600</v>
      </c>
      <c r="N596" s="83">
        <f>30</f>
        <v>30</v>
      </c>
      <c r="O596" s="86">
        <v>240</v>
      </c>
      <c r="P596" s="86">
        <v>160</v>
      </c>
      <c r="Q596" s="86">
        <f t="shared" si="85"/>
        <v>195</v>
      </c>
      <c r="R596" s="86">
        <f t="shared" si="86"/>
        <v>100</v>
      </c>
      <c r="S596" s="83">
        <f t="shared" si="87"/>
        <v>695</v>
      </c>
      <c r="T596" s="83">
        <f>0</f>
        <v>0</v>
      </c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</row>
    <row r="597" spans="1:30" ht="15.75" x14ac:dyDescent="0.25">
      <c r="A597" s="13">
        <v>59110</v>
      </c>
      <c r="B597" s="95">
        <v>31</v>
      </c>
      <c r="C597" s="83">
        <f>131.881</f>
        <v>131.881</v>
      </c>
      <c r="D597" s="83">
        <f>277.167</f>
        <v>277.16699999999997</v>
      </c>
      <c r="E597" s="92">
        <f>79.08</f>
        <v>79.08</v>
      </c>
      <c r="F597" s="83">
        <f>350.872-40-25-60-100</f>
        <v>125.87200000000001</v>
      </c>
      <c r="G597" s="86">
        <v>40</v>
      </c>
      <c r="H597" s="83">
        <f t="shared" si="93"/>
        <v>185</v>
      </c>
      <c r="I597" s="83">
        <f t="shared" si="90"/>
        <v>0</v>
      </c>
      <c r="J597" s="86">
        <v>100</v>
      </c>
      <c r="K597" s="86">
        <v>300</v>
      </c>
      <c r="L597" s="83">
        <f t="shared" si="84"/>
        <v>1239</v>
      </c>
      <c r="M597" s="94">
        <v>600</v>
      </c>
      <c r="N597" s="83">
        <f>75</f>
        <v>75</v>
      </c>
      <c r="O597" s="86">
        <v>240</v>
      </c>
      <c r="P597" s="86">
        <v>160</v>
      </c>
      <c r="Q597" s="86">
        <f t="shared" si="85"/>
        <v>195</v>
      </c>
      <c r="R597" s="86">
        <f t="shared" si="86"/>
        <v>100</v>
      </c>
      <c r="S597" s="83">
        <f t="shared" si="87"/>
        <v>695</v>
      </c>
      <c r="T597" s="83">
        <f>0</f>
        <v>0</v>
      </c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</row>
    <row r="598" spans="1:30" ht="15.75" x14ac:dyDescent="0.25">
      <c r="A598" s="13">
        <v>59140</v>
      </c>
      <c r="B598" s="95">
        <v>30</v>
      </c>
      <c r="C598" s="83">
        <f>122.58</f>
        <v>122.58</v>
      </c>
      <c r="D598" s="83">
        <f>297.941</f>
        <v>297.94099999999997</v>
      </c>
      <c r="E598" s="92">
        <f>89.177</f>
        <v>89.177000000000007</v>
      </c>
      <c r="F598" s="83">
        <f>240.302-40-60-100</f>
        <v>40.301999999999992</v>
      </c>
      <c r="G598" s="86">
        <v>40</v>
      </c>
      <c r="H598" s="83">
        <f>60+100</f>
        <v>160</v>
      </c>
      <c r="I598" s="83">
        <f t="shared" si="90"/>
        <v>0</v>
      </c>
      <c r="J598" s="86">
        <v>100</v>
      </c>
      <c r="K598" s="86">
        <v>300</v>
      </c>
      <c r="L598" s="83">
        <f t="shared" si="84"/>
        <v>1150</v>
      </c>
      <c r="M598" s="94">
        <v>600</v>
      </c>
      <c r="N598" s="83">
        <f>100</f>
        <v>100</v>
      </c>
      <c r="O598" s="86">
        <v>240</v>
      </c>
      <c r="P598" s="86">
        <v>40</v>
      </c>
      <c r="Q598" s="86">
        <f t="shared" si="85"/>
        <v>315</v>
      </c>
      <c r="R598" s="86">
        <f t="shared" si="86"/>
        <v>100</v>
      </c>
      <c r="S598" s="83">
        <f t="shared" si="87"/>
        <v>695</v>
      </c>
      <c r="T598" s="83">
        <f>50</f>
        <v>50</v>
      </c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</row>
    <row r="599" spans="1:30" ht="15.75" x14ac:dyDescent="0.25">
      <c r="A599" s="13">
        <v>59171</v>
      </c>
      <c r="B599" s="95">
        <v>31</v>
      </c>
      <c r="C599" s="83">
        <f>122.58</f>
        <v>122.58</v>
      </c>
      <c r="D599" s="83">
        <f>297.941</f>
        <v>297.94099999999997</v>
      </c>
      <c r="E599" s="92">
        <f>89.177</f>
        <v>89.177000000000007</v>
      </c>
      <c r="F599" s="83">
        <f>240.302-40-60-100</f>
        <v>40.301999999999992</v>
      </c>
      <c r="G599" s="86">
        <v>40</v>
      </c>
      <c r="H599" s="83">
        <f>60+100</f>
        <v>160</v>
      </c>
      <c r="I599" s="83">
        <f t="shared" si="90"/>
        <v>0</v>
      </c>
      <c r="J599" s="86">
        <v>100</v>
      </c>
      <c r="K599" s="86">
        <v>300</v>
      </c>
      <c r="L599" s="83">
        <f t="shared" ref="L599:L662" si="94">SUM(C599:K599)</f>
        <v>1150</v>
      </c>
      <c r="M599" s="94">
        <v>600</v>
      </c>
      <c r="N599" s="83">
        <f>100</f>
        <v>100</v>
      </c>
      <c r="O599" s="86">
        <v>240</v>
      </c>
      <c r="P599" s="86">
        <v>40</v>
      </c>
      <c r="Q599" s="86">
        <f t="shared" ref="Q599:Q662" si="95">695-R599-O599-P599</f>
        <v>315</v>
      </c>
      <c r="R599" s="86">
        <f t="shared" ref="R599:R662" si="96">200-J599</f>
        <v>100</v>
      </c>
      <c r="S599" s="83">
        <f t="shared" ref="S599:S662" si="97">SUM(O599:R599)</f>
        <v>695</v>
      </c>
      <c r="T599" s="83">
        <f>50</f>
        <v>50</v>
      </c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</row>
    <row r="600" spans="1:30" ht="15.75" x14ac:dyDescent="0.25">
      <c r="A600" s="13">
        <v>59202</v>
      </c>
      <c r="B600" s="95">
        <f t="shared" ref="B600:B663" si="98">EOMONTH(A600,0)-EOMONTH(A600,-1)</f>
        <v>31</v>
      </c>
      <c r="C600" s="83">
        <f>122.58</f>
        <v>122.58</v>
      </c>
      <c r="D600" s="83">
        <f>297.941</f>
        <v>297.94099999999997</v>
      </c>
      <c r="E600" s="92">
        <f>89.177</f>
        <v>89.177000000000007</v>
      </c>
      <c r="F600" s="83">
        <f>240.302-40-60-100</f>
        <v>40.301999999999992</v>
      </c>
      <c r="G600" s="86">
        <v>40</v>
      </c>
      <c r="H600" s="83">
        <f>60+100</f>
        <v>160</v>
      </c>
      <c r="I600" s="83">
        <f t="shared" si="90"/>
        <v>0</v>
      </c>
      <c r="J600" s="86">
        <v>100</v>
      </c>
      <c r="K600" s="86">
        <v>300</v>
      </c>
      <c r="L600" s="83">
        <f t="shared" si="94"/>
        <v>1150</v>
      </c>
      <c r="M600" s="94">
        <v>600</v>
      </c>
      <c r="N600" s="83">
        <f>100</f>
        <v>100</v>
      </c>
      <c r="O600" s="86">
        <v>240</v>
      </c>
      <c r="P600" s="86">
        <v>40</v>
      </c>
      <c r="Q600" s="86">
        <f t="shared" si="95"/>
        <v>315</v>
      </c>
      <c r="R600" s="86">
        <f t="shared" si="96"/>
        <v>100</v>
      </c>
      <c r="S600" s="83">
        <f t="shared" si="97"/>
        <v>695</v>
      </c>
      <c r="T600" s="83">
        <f>50</f>
        <v>50</v>
      </c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</row>
    <row r="601" spans="1:30" ht="15.75" x14ac:dyDescent="0.25">
      <c r="A601" s="13">
        <v>59230</v>
      </c>
      <c r="B601" s="95">
        <f t="shared" si="98"/>
        <v>28</v>
      </c>
      <c r="C601" s="83">
        <f>122.58</f>
        <v>122.58</v>
      </c>
      <c r="D601" s="83">
        <f>297.941</f>
        <v>297.94099999999997</v>
      </c>
      <c r="E601" s="92">
        <f>89.177</f>
        <v>89.177000000000007</v>
      </c>
      <c r="F601" s="83">
        <f>240.302-40-60-100</f>
        <v>40.301999999999992</v>
      </c>
      <c r="G601" s="86">
        <v>40</v>
      </c>
      <c r="H601" s="83">
        <f>60+100</f>
        <v>160</v>
      </c>
      <c r="I601" s="83">
        <f t="shared" si="90"/>
        <v>0</v>
      </c>
      <c r="J601" s="86">
        <v>100</v>
      </c>
      <c r="K601" s="86">
        <v>300</v>
      </c>
      <c r="L601" s="83">
        <f t="shared" si="94"/>
        <v>1150</v>
      </c>
      <c r="M601" s="94">
        <v>600</v>
      </c>
      <c r="N601" s="83">
        <f>100</f>
        <v>100</v>
      </c>
      <c r="O601" s="86">
        <v>240</v>
      </c>
      <c r="P601" s="86">
        <v>40</v>
      </c>
      <c r="Q601" s="86">
        <f t="shared" si="95"/>
        <v>315</v>
      </c>
      <c r="R601" s="86">
        <f t="shared" si="96"/>
        <v>100</v>
      </c>
      <c r="S601" s="83">
        <f t="shared" si="97"/>
        <v>695</v>
      </c>
      <c r="T601" s="83">
        <f>50</f>
        <v>50</v>
      </c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</row>
    <row r="602" spans="1:30" ht="15.75" x14ac:dyDescent="0.25">
      <c r="A602" s="13">
        <v>59261</v>
      </c>
      <c r="B602" s="95">
        <f t="shared" si="98"/>
        <v>31</v>
      </c>
      <c r="C602" s="83">
        <f>122.58</f>
        <v>122.58</v>
      </c>
      <c r="D602" s="83">
        <f>297.941</f>
        <v>297.94099999999997</v>
      </c>
      <c r="E602" s="92">
        <f>89.177</f>
        <v>89.177000000000007</v>
      </c>
      <c r="F602" s="83">
        <f>240.302-40-60-100</f>
        <v>40.301999999999992</v>
      </c>
      <c r="G602" s="86">
        <v>40</v>
      </c>
      <c r="H602" s="83">
        <f>60+100</f>
        <v>160</v>
      </c>
      <c r="I602" s="83">
        <f t="shared" si="90"/>
        <v>0</v>
      </c>
      <c r="J602" s="86">
        <v>100</v>
      </c>
      <c r="K602" s="86">
        <v>300</v>
      </c>
      <c r="L602" s="83">
        <f t="shared" si="94"/>
        <v>1150</v>
      </c>
      <c r="M602" s="94">
        <v>600</v>
      </c>
      <c r="N602" s="83">
        <f>100</f>
        <v>100</v>
      </c>
      <c r="O602" s="86">
        <v>240</v>
      </c>
      <c r="P602" s="86">
        <v>40</v>
      </c>
      <c r="Q602" s="86">
        <f t="shared" si="95"/>
        <v>315</v>
      </c>
      <c r="R602" s="86">
        <f t="shared" si="96"/>
        <v>100</v>
      </c>
      <c r="S602" s="83">
        <f t="shared" si="97"/>
        <v>695</v>
      </c>
      <c r="T602" s="83">
        <f>50</f>
        <v>50</v>
      </c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</row>
    <row r="603" spans="1:30" ht="15.75" x14ac:dyDescent="0.25">
      <c r="A603" s="13">
        <v>59291</v>
      </c>
      <c r="B603" s="95">
        <f t="shared" si="98"/>
        <v>30</v>
      </c>
      <c r="C603" s="83">
        <f>141.293</f>
        <v>141.29300000000001</v>
      </c>
      <c r="D603" s="83">
        <f>267.993</f>
        <v>267.99299999999999</v>
      </c>
      <c r="E603" s="92">
        <f>115.016</f>
        <v>115.01600000000001</v>
      </c>
      <c r="F603" s="83">
        <f>314.698-40-25-60-100</f>
        <v>89.697999999999979</v>
      </c>
      <c r="G603" s="86">
        <v>40</v>
      </c>
      <c r="H603" s="83">
        <f t="shared" ref="H603:H609" si="99">25+60+100</f>
        <v>185</v>
      </c>
      <c r="I603" s="83">
        <f t="shared" si="90"/>
        <v>0</v>
      </c>
      <c r="J603" s="86">
        <v>100</v>
      </c>
      <c r="K603" s="86">
        <v>300</v>
      </c>
      <c r="L603" s="83">
        <f t="shared" si="94"/>
        <v>1239</v>
      </c>
      <c r="M603" s="94">
        <v>600</v>
      </c>
      <c r="N603" s="83">
        <f>100</f>
        <v>100</v>
      </c>
      <c r="O603" s="86">
        <v>240</v>
      </c>
      <c r="P603" s="86">
        <v>40</v>
      </c>
      <c r="Q603" s="86">
        <f t="shared" si="95"/>
        <v>315</v>
      </c>
      <c r="R603" s="86">
        <f t="shared" si="96"/>
        <v>100</v>
      </c>
      <c r="S603" s="83">
        <f t="shared" si="97"/>
        <v>695</v>
      </c>
      <c r="T603" s="83">
        <f>50</f>
        <v>50</v>
      </c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</row>
    <row r="604" spans="1:30" ht="15.75" x14ac:dyDescent="0.25">
      <c r="A604" s="13">
        <v>59322</v>
      </c>
      <c r="B604" s="95">
        <f t="shared" si="98"/>
        <v>31</v>
      </c>
      <c r="C604" s="83">
        <f>194.205</f>
        <v>194.20500000000001</v>
      </c>
      <c r="D604" s="83">
        <f>267.466</f>
        <v>267.46600000000001</v>
      </c>
      <c r="E604" s="92">
        <f>133.845</f>
        <v>133.845</v>
      </c>
      <c r="F604" s="83">
        <f>278.484-40-25-60-100</f>
        <v>53.48399999999998</v>
      </c>
      <c r="G604" s="86">
        <v>40</v>
      </c>
      <c r="H604" s="83">
        <f t="shared" si="99"/>
        <v>185</v>
      </c>
      <c r="I604" s="83">
        <f t="shared" si="90"/>
        <v>0</v>
      </c>
      <c r="J604" s="86">
        <v>100</v>
      </c>
      <c r="K604" s="86">
        <v>300</v>
      </c>
      <c r="L604" s="83">
        <f t="shared" si="94"/>
        <v>1274</v>
      </c>
      <c r="M604" s="94">
        <v>600</v>
      </c>
      <c r="N604" s="83">
        <f>75</f>
        <v>75</v>
      </c>
      <c r="O604" s="86">
        <v>240</v>
      </c>
      <c r="P604" s="86">
        <v>40</v>
      </c>
      <c r="Q604" s="86">
        <f t="shared" si="95"/>
        <v>315</v>
      </c>
      <c r="R604" s="86">
        <f t="shared" si="96"/>
        <v>100</v>
      </c>
      <c r="S604" s="83">
        <f t="shared" si="97"/>
        <v>695</v>
      </c>
      <c r="T604" s="83">
        <f>50</f>
        <v>50</v>
      </c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</row>
    <row r="605" spans="1:30" ht="15.75" x14ac:dyDescent="0.25">
      <c r="A605" s="13">
        <v>59352</v>
      </c>
      <c r="B605" s="95">
        <f t="shared" si="98"/>
        <v>30</v>
      </c>
      <c r="C605" s="83">
        <f>194.205</f>
        <v>194.20500000000001</v>
      </c>
      <c r="D605" s="83">
        <f>267.466</f>
        <v>267.46600000000001</v>
      </c>
      <c r="E605" s="92">
        <f>133.845</f>
        <v>133.845</v>
      </c>
      <c r="F605" s="83">
        <f>278.484-40-25-60-100</f>
        <v>53.48399999999998</v>
      </c>
      <c r="G605" s="86">
        <v>40</v>
      </c>
      <c r="H605" s="83">
        <f t="shared" si="99"/>
        <v>185</v>
      </c>
      <c r="I605" s="83">
        <f t="shared" si="90"/>
        <v>0</v>
      </c>
      <c r="J605" s="86">
        <v>100</v>
      </c>
      <c r="K605" s="86">
        <v>300</v>
      </c>
      <c r="L605" s="83">
        <f t="shared" si="94"/>
        <v>1274</v>
      </c>
      <c r="M605" s="94">
        <v>600</v>
      </c>
      <c r="N605" s="83">
        <f>30</f>
        <v>30</v>
      </c>
      <c r="O605" s="86">
        <v>240</v>
      </c>
      <c r="P605" s="86">
        <v>40</v>
      </c>
      <c r="Q605" s="86">
        <f t="shared" si="95"/>
        <v>315</v>
      </c>
      <c r="R605" s="86">
        <f t="shared" si="96"/>
        <v>100</v>
      </c>
      <c r="S605" s="83">
        <f t="shared" si="97"/>
        <v>695</v>
      </c>
      <c r="T605" s="83">
        <f>50</f>
        <v>50</v>
      </c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</row>
    <row r="606" spans="1:30" ht="15.75" x14ac:dyDescent="0.25">
      <c r="A606" s="13">
        <v>59383</v>
      </c>
      <c r="B606" s="95">
        <f t="shared" si="98"/>
        <v>31</v>
      </c>
      <c r="C606" s="83">
        <f>194.205</f>
        <v>194.20500000000001</v>
      </c>
      <c r="D606" s="83">
        <f>267.466</f>
        <v>267.46600000000001</v>
      </c>
      <c r="E606" s="92">
        <f>133.845</f>
        <v>133.845</v>
      </c>
      <c r="F606" s="83">
        <f>278.484-40-25-60-100</f>
        <v>53.48399999999998</v>
      </c>
      <c r="G606" s="86">
        <v>40</v>
      </c>
      <c r="H606" s="83">
        <f t="shared" si="99"/>
        <v>185</v>
      </c>
      <c r="I606" s="83">
        <f t="shared" si="90"/>
        <v>0</v>
      </c>
      <c r="J606" s="86">
        <v>100</v>
      </c>
      <c r="K606" s="86">
        <v>300</v>
      </c>
      <c r="L606" s="83">
        <f t="shared" si="94"/>
        <v>1274</v>
      </c>
      <c r="M606" s="94">
        <v>600</v>
      </c>
      <c r="N606" s="83">
        <f>30</f>
        <v>30</v>
      </c>
      <c r="O606" s="86">
        <v>240</v>
      </c>
      <c r="P606" s="86">
        <v>40</v>
      </c>
      <c r="Q606" s="86">
        <f t="shared" si="95"/>
        <v>315</v>
      </c>
      <c r="R606" s="86">
        <f t="shared" si="96"/>
        <v>100</v>
      </c>
      <c r="S606" s="83">
        <f t="shared" si="97"/>
        <v>695</v>
      </c>
      <c r="T606" s="83">
        <f>0</f>
        <v>0</v>
      </c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</row>
    <row r="607" spans="1:30" ht="15.75" x14ac:dyDescent="0.25">
      <c r="A607" s="13">
        <v>59414</v>
      </c>
      <c r="B607" s="95">
        <f t="shared" si="98"/>
        <v>31</v>
      </c>
      <c r="C607" s="83">
        <f>194.205</f>
        <v>194.20500000000001</v>
      </c>
      <c r="D607" s="83">
        <f>267.466</f>
        <v>267.46600000000001</v>
      </c>
      <c r="E607" s="92">
        <f>133.845</f>
        <v>133.845</v>
      </c>
      <c r="F607" s="83">
        <f>278.484-40-25-60-100</f>
        <v>53.48399999999998</v>
      </c>
      <c r="G607" s="86">
        <v>40</v>
      </c>
      <c r="H607" s="83">
        <f t="shared" si="99"/>
        <v>185</v>
      </c>
      <c r="I607" s="83">
        <f t="shared" si="90"/>
        <v>0</v>
      </c>
      <c r="J607" s="86">
        <v>100</v>
      </c>
      <c r="K607" s="86">
        <v>300</v>
      </c>
      <c r="L607" s="83">
        <f t="shared" si="94"/>
        <v>1274</v>
      </c>
      <c r="M607" s="94">
        <v>600</v>
      </c>
      <c r="N607" s="83">
        <f>30</f>
        <v>30</v>
      </c>
      <c r="O607" s="86">
        <v>240</v>
      </c>
      <c r="P607" s="86">
        <v>40</v>
      </c>
      <c r="Q607" s="86">
        <f t="shared" si="95"/>
        <v>315</v>
      </c>
      <c r="R607" s="86">
        <f t="shared" si="96"/>
        <v>100</v>
      </c>
      <c r="S607" s="83">
        <f t="shared" si="97"/>
        <v>695</v>
      </c>
      <c r="T607" s="83">
        <f>0</f>
        <v>0</v>
      </c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</row>
    <row r="608" spans="1:30" ht="15.75" x14ac:dyDescent="0.25">
      <c r="A608" s="13">
        <v>59444</v>
      </c>
      <c r="B608" s="95">
        <f t="shared" si="98"/>
        <v>30</v>
      </c>
      <c r="C608" s="83">
        <f>194.205</f>
        <v>194.20500000000001</v>
      </c>
      <c r="D608" s="83">
        <f>267.466</f>
        <v>267.46600000000001</v>
      </c>
      <c r="E608" s="92">
        <f>133.845</f>
        <v>133.845</v>
      </c>
      <c r="F608" s="83">
        <f>278.484-40-25-60-100</f>
        <v>53.48399999999998</v>
      </c>
      <c r="G608" s="86">
        <v>40</v>
      </c>
      <c r="H608" s="83">
        <f t="shared" si="99"/>
        <v>185</v>
      </c>
      <c r="I608" s="83">
        <f t="shared" si="90"/>
        <v>0</v>
      </c>
      <c r="J608" s="86">
        <v>100</v>
      </c>
      <c r="K608" s="86">
        <v>300</v>
      </c>
      <c r="L608" s="83">
        <f t="shared" si="94"/>
        <v>1274</v>
      </c>
      <c r="M608" s="94">
        <v>600</v>
      </c>
      <c r="N608" s="83">
        <f>30</f>
        <v>30</v>
      </c>
      <c r="O608" s="86">
        <v>240</v>
      </c>
      <c r="P608" s="86">
        <v>40</v>
      </c>
      <c r="Q608" s="86">
        <f t="shared" si="95"/>
        <v>315</v>
      </c>
      <c r="R608" s="86">
        <f t="shared" si="96"/>
        <v>100</v>
      </c>
      <c r="S608" s="83">
        <f t="shared" si="97"/>
        <v>695</v>
      </c>
      <c r="T608" s="83">
        <f>0</f>
        <v>0</v>
      </c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</row>
    <row r="609" spans="1:30" ht="15.75" x14ac:dyDescent="0.25">
      <c r="A609" s="13">
        <v>59475</v>
      </c>
      <c r="B609" s="95">
        <f t="shared" si="98"/>
        <v>31</v>
      </c>
      <c r="C609" s="83">
        <f>131.881</f>
        <v>131.881</v>
      </c>
      <c r="D609" s="83">
        <f>277.167</f>
        <v>277.16699999999997</v>
      </c>
      <c r="E609" s="92">
        <f>79.08</f>
        <v>79.08</v>
      </c>
      <c r="F609" s="83">
        <f>350.872-40-25-60-100</f>
        <v>125.87200000000001</v>
      </c>
      <c r="G609" s="86">
        <v>40</v>
      </c>
      <c r="H609" s="83">
        <f t="shared" si="99"/>
        <v>185</v>
      </c>
      <c r="I609" s="83">
        <f t="shared" si="90"/>
        <v>0</v>
      </c>
      <c r="J609" s="86">
        <v>100</v>
      </c>
      <c r="K609" s="86">
        <v>300</v>
      </c>
      <c r="L609" s="83">
        <f t="shared" si="94"/>
        <v>1239</v>
      </c>
      <c r="M609" s="94">
        <v>600</v>
      </c>
      <c r="N609" s="83">
        <f>75</f>
        <v>75</v>
      </c>
      <c r="O609" s="86">
        <v>240</v>
      </c>
      <c r="P609" s="86">
        <v>40</v>
      </c>
      <c r="Q609" s="86">
        <f t="shared" si="95"/>
        <v>315</v>
      </c>
      <c r="R609" s="86">
        <f t="shared" si="96"/>
        <v>100</v>
      </c>
      <c r="S609" s="83">
        <f t="shared" si="97"/>
        <v>695</v>
      </c>
      <c r="T609" s="83">
        <f>0</f>
        <v>0</v>
      </c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</row>
    <row r="610" spans="1:30" ht="15.75" x14ac:dyDescent="0.25">
      <c r="A610" s="13">
        <v>59505</v>
      </c>
      <c r="B610" s="95">
        <f t="shared" si="98"/>
        <v>30</v>
      </c>
      <c r="C610" s="83">
        <f>122.58</f>
        <v>122.58</v>
      </c>
      <c r="D610" s="83">
        <f>297.941</f>
        <v>297.94099999999997</v>
      </c>
      <c r="E610" s="92">
        <f>89.177</f>
        <v>89.177000000000007</v>
      </c>
      <c r="F610" s="83">
        <f>240.302-40-60-100</f>
        <v>40.301999999999992</v>
      </c>
      <c r="G610" s="86">
        <v>40</v>
      </c>
      <c r="H610" s="83">
        <f>60+100</f>
        <v>160</v>
      </c>
      <c r="I610" s="83">
        <f t="shared" si="90"/>
        <v>0</v>
      </c>
      <c r="J610" s="86">
        <v>100</v>
      </c>
      <c r="K610" s="86">
        <v>300</v>
      </c>
      <c r="L610" s="83">
        <f t="shared" si="94"/>
        <v>1150</v>
      </c>
      <c r="M610" s="94">
        <v>600</v>
      </c>
      <c r="N610" s="83">
        <f>100</f>
        <v>100</v>
      </c>
      <c r="O610" s="86">
        <v>240</v>
      </c>
      <c r="P610" s="86">
        <v>40</v>
      </c>
      <c r="Q610" s="86">
        <f t="shared" si="95"/>
        <v>315</v>
      </c>
      <c r="R610" s="86">
        <f t="shared" si="96"/>
        <v>100</v>
      </c>
      <c r="S610" s="83">
        <f t="shared" si="97"/>
        <v>695</v>
      </c>
      <c r="T610" s="83">
        <f>50</f>
        <v>50</v>
      </c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</row>
    <row r="611" spans="1:30" ht="15.75" x14ac:dyDescent="0.25">
      <c r="A611" s="13">
        <v>59536</v>
      </c>
      <c r="B611" s="95">
        <f t="shared" si="98"/>
        <v>31</v>
      </c>
      <c r="C611" s="83">
        <f>122.58</f>
        <v>122.58</v>
      </c>
      <c r="D611" s="83">
        <f>297.941</f>
        <v>297.94099999999997</v>
      </c>
      <c r="E611" s="92">
        <f>89.177</f>
        <v>89.177000000000007</v>
      </c>
      <c r="F611" s="83">
        <f>240.302-40-60-100</f>
        <v>40.301999999999992</v>
      </c>
      <c r="G611" s="86">
        <v>40</v>
      </c>
      <c r="H611" s="83">
        <f>60+100</f>
        <v>160</v>
      </c>
      <c r="I611" s="83">
        <f t="shared" si="90"/>
        <v>0</v>
      </c>
      <c r="J611" s="86">
        <v>100</v>
      </c>
      <c r="K611" s="86">
        <v>300</v>
      </c>
      <c r="L611" s="83">
        <f t="shared" si="94"/>
        <v>1150</v>
      </c>
      <c r="M611" s="94">
        <v>600</v>
      </c>
      <c r="N611" s="83">
        <f>100</f>
        <v>100</v>
      </c>
      <c r="O611" s="86">
        <v>240</v>
      </c>
      <c r="P611" s="86">
        <v>40</v>
      </c>
      <c r="Q611" s="86">
        <f t="shared" si="95"/>
        <v>315</v>
      </c>
      <c r="R611" s="86">
        <f t="shared" si="96"/>
        <v>100</v>
      </c>
      <c r="S611" s="83">
        <f t="shared" si="97"/>
        <v>695</v>
      </c>
      <c r="T611" s="83">
        <f>50</f>
        <v>50</v>
      </c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</row>
    <row r="612" spans="1:30" ht="15.75" x14ac:dyDescent="0.25">
      <c r="A612" s="13">
        <v>59567</v>
      </c>
      <c r="B612" s="95">
        <f t="shared" si="98"/>
        <v>31</v>
      </c>
      <c r="C612" s="83">
        <f>122.58</f>
        <v>122.58</v>
      </c>
      <c r="D612" s="83">
        <f>297.941</f>
        <v>297.94099999999997</v>
      </c>
      <c r="E612" s="92">
        <f>89.177</f>
        <v>89.177000000000007</v>
      </c>
      <c r="F612" s="83">
        <f>240.302-40-60-100</f>
        <v>40.301999999999992</v>
      </c>
      <c r="G612" s="86">
        <v>40</v>
      </c>
      <c r="H612" s="83">
        <f>60+100</f>
        <v>160</v>
      </c>
      <c r="I612" s="83">
        <f t="shared" si="90"/>
        <v>0</v>
      </c>
      <c r="J612" s="86">
        <v>100</v>
      </c>
      <c r="K612" s="86">
        <v>300</v>
      </c>
      <c r="L612" s="83">
        <f t="shared" si="94"/>
        <v>1150</v>
      </c>
      <c r="M612" s="94">
        <v>600</v>
      </c>
      <c r="N612" s="83">
        <f>100</f>
        <v>100</v>
      </c>
      <c r="O612" s="86">
        <v>240</v>
      </c>
      <c r="P612" s="86">
        <v>40</v>
      </c>
      <c r="Q612" s="86">
        <f t="shared" si="95"/>
        <v>315</v>
      </c>
      <c r="R612" s="86">
        <f t="shared" si="96"/>
        <v>100</v>
      </c>
      <c r="S612" s="83">
        <f t="shared" si="97"/>
        <v>695</v>
      </c>
      <c r="T612" s="83">
        <f>50</f>
        <v>50</v>
      </c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</row>
    <row r="613" spans="1:30" ht="15.75" x14ac:dyDescent="0.25">
      <c r="A613" s="13">
        <v>59595</v>
      </c>
      <c r="B613" s="95">
        <f t="shared" si="98"/>
        <v>28</v>
      </c>
      <c r="C613" s="83">
        <f>122.58</f>
        <v>122.58</v>
      </c>
      <c r="D613" s="83">
        <f>297.941</f>
        <v>297.94099999999997</v>
      </c>
      <c r="E613" s="92">
        <f>89.177</f>
        <v>89.177000000000007</v>
      </c>
      <c r="F613" s="83">
        <f>240.302-40-60-100</f>
        <v>40.301999999999992</v>
      </c>
      <c r="G613" s="86">
        <v>40</v>
      </c>
      <c r="H613" s="83">
        <f>60+100</f>
        <v>160</v>
      </c>
      <c r="I613" s="83">
        <f t="shared" si="90"/>
        <v>0</v>
      </c>
      <c r="J613" s="86">
        <v>100</v>
      </c>
      <c r="K613" s="86">
        <v>300</v>
      </c>
      <c r="L613" s="83">
        <f t="shared" si="94"/>
        <v>1150</v>
      </c>
      <c r="M613" s="94">
        <v>600</v>
      </c>
      <c r="N613" s="83">
        <f>100</f>
        <v>100</v>
      </c>
      <c r="O613" s="86">
        <v>240</v>
      </c>
      <c r="P613" s="86">
        <v>40</v>
      </c>
      <c r="Q613" s="86">
        <f t="shared" si="95"/>
        <v>315</v>
      </c>
      <c r="R613" s="86">
        <f t="shared" si="96"/>
        <v>100</v>
      </c>
      <c r="S613" s="83">
        <f t="shared" si="97"/>
        <v>695</v>
      </c>
      <c r="T613" s="83">
        <f>50</f>
        <v>50</v>
      </c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</row>
    <row r="614" spans="1:30" ht="15.75" x14ac:dyDescent="0.25">
      <c r="A614" s="13">
        <v>59626</v>
      </c>
      <c r="B614" s="95">
        <f t="shared" si="98"/>
        <v>31</v>
      </c>
      <c r="C614" s="83">
        <f>122.58</f>
        <v>122.58</v>
      </c>
      <c r="D614" s="83">
        <f>297.941</f>
        <v>297.94099999999997</v>
      </c>
      <c r="E614" s="92">
        <f>89.177</f>
        <v>89.177000000000007</v>
      </c>
      <c r="F614" s="83">
        <f>240.302-40-60-100</f>
        <v>40.301999999999992</v>
      </c>
      <c r="G614" s="86">
        <v>40</v>
      </c>
      <c r="H614" s="83">
        <f>60+100</f>
        <v>160</v>
      </c>
      <c r="I614" s="83">
        <f t="shared" si="90"/>
        <v>0</v>
      </c>
      <c r="J614" s="86">
        <v>100</v>
      </c>
      <c r="K614" s="86">
        <v>300</v>
      </c>
      <c r="L614" s="83">
        <f t="shared" si="94"/>
        <v>1150</v>
      </c>
      <c r="M614" s="94">
        <v>600</v>
      </c>
      <c r="N614" s="83">
        <f>100</f>
        <v>100</v>
      </c>
      <c r="O614" s="86">
        <v>240</v>
      </c>
      <c r="P614" s="86">
        <v>40</v>
      </c>
      <c r="Q614" s="86">
        <f t="shared" si="95"/>
        <v>315</v>
      </c>
      <c r="R614" s="86">
        <f t="shared" si="96"/>
        <v>100</v>
      </c>
      <c r="S614" s="83">
        <f t="shared" si="97"/>
        <v>695</v>
      </c>
      <c r="T614" s="83">
        <f>50</f>
        <v>50</v>
      </c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</row>
    <row r="615" spans="1:30" ht="15.75" x14ac:dyDescent="0.25">
      <c r="A615" s="13">
        <v>59656</v>
      </c>
      <c r="B615" s="95">
        <f t="shared" si="98"/>
        <v>30</v>
      </c>
      <c r="C615" s="83">
        <f>141.293</f>
        <v>141.29300000000001</v>
      </c>
      <c r="D615" s="83">
        <f>267.993</f>
        <v>267.99299999999999</v>
      </c>
      <c r="E615" s="92">
        <f>115.016</f>
        <v>115.01600000000001</v>
      </c>
      <c r="F615" s="83">
        <f>314.698-40-25-60-100</f>
        <v>89.697999999999979</v>
      </c>
      <c r="G615" s="86">
        <v>40</v>
      </c>
      <c r="H615" s="83">
        <f t="shared" ref="H615:H621" si="100">25+60+100</f>
        <v>185</v>
      </c>
      <c r="I615" s="83">
        <f t="shared" si="90"/>
        <v>0</v>
      </c>
      <c r="J615" s="86">
        <v>100</v>
      </c>
      <c r="K615" s="86">
        <v>300</v>
      </c>
      <c r="L615" s="83">
        <f t="shared" si="94"/>
        <v>1239</v>
      </c>
      <c r="M615" s="94">
        <v>600</v>
      </c>
      <c r="N615" s="83">
        <f>100</f>
        <v>100</v>
      </c>
      <c r="O615" s="86">
        <v>240</v>
      </c>
      <c r="P615" s="86">
        <v>40</v>
      </c>
      <c r="Q615" s="86">
        <f t="shared" si="95"/>
        <v>315</v>
      </c>
      <c r="R615" s="86">
        <f t="shared" si="96"/>
        <v>100</v>
      </c>
      <c r="S615" s="83">
        <f t="shared" si="97"/>
        <v>695</v>
      </c>
      <c r="T615" s="83">
        <f>50</f>
        <v>50</v>
      </c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</row>
    <row r="616" spans="1:30" ht="15.75" x14ac:dyDescent="0.25">
      <c r="A616" s="13">
        <v>59687</v>
      </c>
      <c r="B616" s="95">
        <f t="shared" si="98"/>
        <v>31</v>
      </c>
      <c r="C616" s="83">
        <f>194.205</f>
        <v>194.20500000000001</v>
      </c>
      <c r="D616" s="83">
        <f>267.466</f>
        <v>267.46600000000001</v>
      </c>
      <c r="E616" s="92">
        <f>133.845</f>
        <v>133.845</v>
      </c>
      <c r="F616" s="83">
        <f>278.484-40-25-60-100</f>
        <v>53.48399999999998</v>
      </c>
      <c r="G616" s="86">
        <v>40</v>
      </c>
      <c r="H616" s="83">
        <f t="shared" si="100"/>
        <v>185</v>
      </c>
      <c r="I616" s="83">
        <f t="shared" si="90"/>
        <v>0</v>
      </c>
      <c r="J616" s="86">
        <v>100</v>
      </c>
      <c r="K616" s="86">
        <v>300</v>
      </c>
      <c r="L616" s="83">
        <f t="shared" si="94"/>
        <v>1274</v>
      </c>
      <c r="M616" s="94">
        <v>600</v>
      </c>
      <c r="N616" s="83">
        <f>75</f>
        <v>75</v>
      </c>
      <c r="O616" s="86">
        <v>240</v>
      </c>
      <c r="P616" s="86">
        <v>40</v>
      </c>
      <c r="Q616" s="86">
        <f t="shared" si="95"/>
        <v>315</v>
      </c>
      <c r="R616" s="86">
        <f t="shared" si="96"/>
        <v>100</v>
      </c>
      <c r="S616" s="83">
        <f t="shared" si="97"/>
        <v>695</v>
      </c>
      <c r="T616" s="83">
        <f>50</f>
        <v>50</v>
      </c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</row>
    <row r="617" spans="1:30" ht="15.75" x14ac:dyDescent="0.25">
      <c r="A617" s="13">
        <v>59717</v>
      </c>
      <c r="B617" s="95">
        <f t="shared" si="98"/>
        <v>30</v>
      </c>
      <c r="C617" s="83">
        <f>194.205</f>
        <v>194.20500000000001</v>
      </c>
      <c r="D617" s="83">
        <f>267.466</f>
        <v>267.46600000000001</v>
      </c>
      <c r="E617" s="92">
        <f>133.845</f>
        <v>133.845</v>
      </c>
      <c r="F617" s="83">
        <f>278.484-40-25-60-100</f>
        <v>53.48399999999998</v>
      </c>
      <c r="G617" s="86">
        <v>40</v>
      </c>
      <c r="H617" s="83">
        <f t="shared" si="100"/>
        <v>185</v>
      </c>
      <c r="I617" s="83">
        <f t="shared" si="90"/>
        <v>0</v>
      </c>
      <c r="J617" s="86">
        <v>100</v>
      </c>
      <c r="K617" s="86">
        <v>300</v>
      </c>
      <c r="L617" s="83">
        <f t="shared" si="94"/>
        <v>1274</v>
      </c>
      <c r="M617" s="94">
        <v>600</v>
      </c>
      <c r="N617" s="83">
        <f>30</f>
        <v>30</v>
      </c>
      <c r="O617" s="86">
        <v>240</v>
      </c>
      <c r="P617" s="86">
        <v>40</v>
      </c>
      <c r="Q617" s="86">
        <f t="shared" si="95"/>
        <v>315</v>
      </c>
      <c r="R617" s="86">
        <f t="shared" si="96"/>
        <v>100</v>
      </c>
      <c r="S617" s="83">
        <f t="shared" si="97"/>
        <v>695</v>
      </c>
      <c r="T617" s="83">
        <f>50</f>
        <v>50</v>
      </c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</row>
    <row r="618" spans="1:30" ht="15.75" x14ac:dyDescent="0.25">
      <c r="A618" s="13">
        <v>59748</v>
      </c>
      <c r="B618" s="95">
        <f t="shared" si="98"/>
        <v>31</v>
      </c>
      <c r="C618" s="83">
        <f>194.205</f>
        <v>194.20500000000001</v>
      </c>
      <c r="D618" s="83">
        <f>267.466</f>
        <v>267.46600000000001</v>
      </c>
      <c r="E618" s="92">
        <f>133.845</f>
        <v>133.845</v>
      </c>
      <c r="F618" s="83">
        <f>278.484-40-25-60-100</f>
        <v>53.48399999999998</v>
      </c>
      <c r="G618" s="86">
        <v>40</v>
      </c>
      <c r="H618" s="83">
        <f t="shared" si="100"/>
        <v>185</v>
      </c>
      <c r="I618" s="83">
        <f t="shared" si="90"/>
        <v>0</v>
      </c>
      <c r="J618" s="86">
        <v>100</v>
      </c>
      <c r="K618" s="86">
        <v>300</v>
      </c>
      <c r="L618" s="83">
        <f t="shared" si="94"/>
        <v>1274</v>
      </c>
      <c r="M618" s="94">
        <v>600</v>
      </c>
      <c r="N618" s="83">
        <f>30</f>
        <v>30</v>
      </c>
      <c r="O618" s="86">
        <v>240</v>
      </c>
      <c r="P618" s="86">
        <v>40</v>
      </c>
      <c r="Q618" s="86">
        <f t="shared" si="95"/>
        <v>315</v>
      </c>
      <c r="R618" s="86">
        <f t="shared" si="96"/>
        <v>100</v>
      </c>
      <c r="S618" s="83">
        <f t="shared" si="97"/>
        <v>695</v>
      </c>
      <c r="T618" s="83">
        <f>0</f>
        <v>0</v>
      </c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</row>
    <row r="619" spans="1:30" ht="15.75" x14ac:dyDescent="0.25">
      <c r="A619" s="13">
        <v>59779</v>
      </c>
      <c r="B619" s="95">
        <f t="shared" si="98"/>
        <v>31</v>
      </c>
      <c r="C619" s="83">
        <f>194.205</f>
        <v>194.20500000000001</v>
      </c>
      <c r="D619" s="83">
        <f>267.466</f>
        <v>267.46600000000001</v>
      </c>
      <c r="E619" s="92">
        <f>133.845</f>
        <v>133.845</v>
      </c>
      <c r="F619" s="83">
        <f>278.484-40-25-60-100</f>
        <v>53.48399999999998</v>
      </c>
      <c r="G619" s="86">
        <v>40</v>
      </c>
      <c r="H619" s="83">
        <f t="shared" si="100"/>
        <v>185</v>
      </c>
      <c r="I619" s="83">
        <f t="shared" si="90"/>
        <v>0</v>
      </c>
      <c r="J619" s="86">
        <v>100</v>
      </c>
      <c r="K619" s="86">
        <v>300</v>
      </c>
      <c r="L619" s="83">
        <f t="shared" si="94"/>
        <v>1274</v>
      </c>
      <c r="M619" s="94">
        <v>600</v>
      </c>
      <c r="N619" s="83">
        <f>30</f>
        <v>30</v>
      </c>
      <c r="O619" s="86">
        <v>240</v>
      </c>
      <c r="P619" s="86">
        <v>40</v>
      </c>
      <c r="Q619" s="86">
        <f t="shared" si="95"/>
        <v>315</v>
      </c>
      <c r="R619" s="86">
        <f t="shared" si="96"/>
        <v>100</v>
      </c>
      <c r="S619" s="83">
        <f t="shared" si="97"/>
        <v>695</v>
      </c>
      <c r="T619" s="83">
        <f>0</f>
        <v>0</v>
      </c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</row>
    <row r="620" spans="1:30" ht="15.75" x14ac:dyDescent="0.25">
      <c r="A620" s="13">
        <v>59809</v>
      </c>
      <c r="B620" s="95">
        <f t="shared" si="98"/>
        <v>30</v>
      </c>
      <c r="C620" s="83">
        <f>194.205</f>
        <v>194.20500000000001</v>
      </c>
      <c r="D620" s="83">
        <f>267.466</f>
        <v>267.46600000000001</v>
      </c>
      <c r="E620" s="92">
        <f>133.845</f>
        <v>133.845</v>
      </c>
      <c r="F620" s="83">
        <f>278.484-40-25-60-100</f>
        <v>53.48399999999998</v>
      </c>
      <c r="G620" s="86">
        <v>40</v>
      </c>
      <c r="H620" s="83">
        <f t="shared" si="100"/>
        <v>185</v>
      </c>
      <c r="I620" s="83">
        <f t="shared" si="90"/>
        <v>0</v>
      </c>
      <c r="J620" s="86">
        <v>100</v>
      </c>
      <c r="K620" s="86">
        <v>300</v>
      </c>
      <c r="L620" s="83">
        <f t="shared" si="94"/>
        <v>1274</v>
      </c>
      <c r="M620" s="94">
        <v>600</v>
      </c>
      <c r="N620" s="83">
        <f>30</f>
        <v>30</v>
      </c>
      <c r="O620" s="86">
        <v>240</v>
      </c>
      <c r="P620" s="86">
        <v>40</v>
      </c>
      <c r="Q620" s="86">
        <f t="shared" si="95"/>
        <v>315</v>
      </c>
      <c r="R620" s="86">
        <f t="shared" si="96"/>
        <v>100</v>
      </c>
      <c r="S620" s="83">
        <f t="shared" si="97"/>
        <v>695</v>
      </c>
      <c r="T620" s="83">
        <f>0</f>
        <v>0</v>
      </c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</row>
    <row r="621" spans="1:30" ht="15.75" x14ac:dyDescent="0.25">
      <c r="A621" s="13">
        <v>59840</v>
      </c>
      <c r="B621" s="95">
        <f t="shared" si="98"/>
        <v>31</v>
      </c>
      <c r="C621" s="83">
        <f>131.881</f>
        <v>131.881</v>
      </c>
      <c r="D621" s="83">
        <f>277.167</f>
        <v>277.16699999999997</v>
      </c>
      <c r="E621" s="92">
        <f>79.08</f>
        <v>79.08</v>
      </c>
      <c r="F621" s="83">
        <f>350.872-40-25-60-100</f>
        <v>125.87200000000001</v>
      </c>
      <c r="G621" s="86">
        <v>40</v>
      </c>
      <c r="H621" s="83">
        <f t="shared" si="100"/>
        <v>185</v>
      </c>
      <c r="I621" s="83">
        <f t="shared" si="90"/>
        <v>0</v>
      </c>
      <c r="J621" s="86">
        <v>100</v>
      </c>
      <c r="K621" s="86">
        <v>300</v>
      </c>
      <c r="L621" s="83">
        <f t="shared" si="94"/>
        <v>1239</v>
      </c>
      <c r="M621" s="94">
        <v>600</v>
      </c>
      <c r="N621" s="83">
        <f>75</f>
        <v>75</v>
      </c>
      <c r="O621" s="86">
        <v>240</v>
      </c>
      <c r="P621" s="86">
        <v>40</v>
      </c>
      <c r="Q621" s="86">
        <f t="shared" si="95"/>
        <v>315</v>
      </c>
      <c r="R621" s="86">
        <f t="shared" si="96"/>
        <v>100</v>
      </c>
      <c r="S621" s="83">
        <f t="shared" si="97"/>
        <v>695</v>
      </c>
      <c r="T621" s="83">
        <f>0</f>
        <v>0</v>
      </c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</row>
    <row r="622" spans="1:30" ht="15.75" x14ac:dyDescent="0.25">
      <c r="A622" s="13">
        <v>59870</v>
      </c>
      <c r="B622" s="95">
        <f t="shared" si="98"/>
        <v>30</v>
      </c>
      <c r="C622" s="83">
        <f>122.58</f>
        <v>122.58</v>
      </c>
      <c r="D622" s="83">
        <f>297.941</f>
        <v>297.94099999999997</v>
      </c>
      <c r="E622" s="92">
        <f>89.177</f>
        <v>89.177000000000007</v>
      </c>
      <c r="F622" s="83">
        <f>240.302-40-60-100</f>
        <v>40.301999999999992</v>
      </c>
      <c r="G622" s="86">
        <v>40</v>
      </c>
      <c r="H622" s="83">
        <f>60+100</f>
        <v>160</v>
      </c>
      <c r="I622" s="83">
        <f t="shared" si="90"/>
        <v>0</v>
      </c>
      <c r="J622" s="86">
        <v>100</v>
      </c>
      <c r="K622" s="86">
        <v>300</v>
      </c>
      <c r="L622" s="83">
        <f t="shared" si="94"/>
        <v>1150</v>
      </c>
      <c r="M622" s="94">
        <v>600</v>
      </c>
      <c r="N622" s="83">
        <f>100</f>
        <v>100</v>
      </c>
      <c r="O622" s="86">
        <v>240</v>
      </c>
      <c r="P622" s="86">
        <v>40</v>
      </c>
      <c r="Q622" s="86">
        <f t="shared" si="95"/>
        <v>315</v>
      </c>
      <c r="R622" s="86">
        <f t="shared" si="96"/>
        <v>100</v>
      </c>
      <c r="S622" s="83">
        <f t="shared" si="97"/>
        <v>695</v>
      </c>
      <c r="T622" s="83">
        <f>50</f>
        <v>50</v>
      </c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</row>
    <row r="623" spans="1:30" ht="15.75" x14ac:dyDescent="0.25">
      <c r="A623" s="13">
        <v>59901</v>
      </c>
      <c r="B623" s="95">
        <f t="shared" si="98"/>
        <v>31</v>
      </c>
      <c r="C623" s="83">
        <f>122.58</f>
        <v>122.58</v>
      </c>
      <c r="D623" s="83">
        <f>297.941</f>
        <v>297.94099999999997</v>
      </c>
      <c r="E623" s="92">
        <f>89.177</f>
        <v>89.177000000000007</v>
      </c>
      <c r="F623" s="83">
        <f>240.302-40-60-100</f>
        <v>40.301999999999992</v>
      </c>
      <c r="G623" s="86">
        <v>40</v>
      </c>
      <c r="H623" s="83">
        <f>60+100</f>
        <v>160</v>
      </c>
      <c r="I623" s="83">
        <f t="shared" si="90"/>
        <v>0</v>
      </c>
      <c r="J623" s="86">
        <v>100</v>
      </c>
      <c r="K623" s="86">
        <v>300</v>
      </c>
      <c r="L623" s="83">
        <f t="shared" si="94"/>
        <v>1150</v>
      </c>
      <c r="M623" s="94">
        <v>600</v>
      </c>
      <c r="N623" s="83">
        <f>100</f>
        <v>100</v>
      </c>
      <c r="O623" s="86">
        <v>240</v>
      </c>
      <c r="P623" s="86">
        <v>40</v>
      </c>
      <c r="Q623" s="86">
        <f t="shared" si="95"/>
        <v>315</v>
      </c>
      <c r="R623" s="86">
        <f t="shared" si="96"/>
        <v>100</v>
      </c>
      <c r="S623" s="83">
        <f t="shared" si="97"/>
        <v>695</v>
      </c>
      <c r="T623" s="83">
        <f>50</f>
        <v>50</v>
      </c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</row>
    <row r="624" spans="1:30" ht="15.75" x14ac:dyDescent="0.25">
      <c r="A624" s="13">
        <v>59932</v>
      </c>
      <c r="B624" s="95">
        <f t="shared" si="98"/>
        <v>31</v>
      </c>
      <c r="C624" s="83">
        <f>122.58</f>
        <v>122.58</v>
      </c>
      <c r="D624" s="83">
        <f>297.941</f>
        <v>297.94099999999997</v>
      </c>
      <c r="E624" s="92">
        <f>89.177</f>
        <v>89.177000000000007</v>
      </c>
      <c r="F624" s="83">
        <f>240.302-40-60-100</f>
        <v>40.301999999999992</v>
      </c>
      <c r="G624" s="86">
        <v>40</v>
      </c>
      <c r="H624" s="83">
        <f>60+100</f>
        <v>160</v>
      </c>
      <c r="I624" s="83">
        <f t="shared" si="90"/>
        <v>0</v>
      </c>
      <c r="J624" s="86">
        <v>100</v>
      </c>
      <c r="K624" s="86">
        <v>300</v>
      </c>
      <c r="L624" s="83">
        <f t="shared" si="94"/>
        <v>1150</v>
      </c>
      <c r="M624" s="94">
        <v>600</v>
      </c>
      <c r="N624" s="83">
        <f>100</f>
        <v>100</v>
      </c>
      <c r="O624" s="86">
        <v>240</v>
      </c>
      <c r="P624" s="86">
        <v>40</v>
      </c>
      <c r="Q624" s="86">
        <f t="shared" si="95"/>
        <v>315</v>
      </c>
      <c r="R624" s="86">
        <f t="shared" si="96"/>
        <v>100</v>
      </c>
      <c r="S624" s="83">
        <f t="shared" si="97"/>
        <v>695</v>
      </c>
      <c r="T624" s="83">
        <f>50</f>
        <v>50</v>
      </c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</row>
    <row r="625" spans="1:30" ht="15.75" x14ac:dyDescent="0.25">
      <c r="A625" s="13">
        <v>59961</v>
      </c>
      <c r="B625" s="95">
        <f t="shared" si="98"/>
        <v>29</v>
      </c>
      <c r="C625" s="83">
        <f>122.58</f>
        <v>122.58</v>
      </c>
      <c r="D625" s="83">
        <f>297.941</f>
        <v>297.94099999999997</v>
      </c>
      <c r="E625" s="92">
        <f>89.177</f>
        <v>89.177000000000007</v>
      </c>
      <c r="F625" s="83">
        <f>240.302-40-60-100</f>
        <v>40.301999999999992</v>
      </c>
      <c r="G625" s="86">
        <v>40</v>
      </c>
      <c r="H625" s="83">
        <f>60+100</f>
        <v>160</v>
      </c>
      <c r="I625" s="83">
        <f t="shared" si="90"/>
        <v>0</v>
      </c>
      <c r="J625" s="86">
        <v>100</v>
      </c>
      <c r="K625" s="86">
        <v>300</v>
      </c>
      <c r="L625" s="83">
        <f t="shared" si="94"/>
        <v>1150</v>
      </c>
      <c r="M625" s="94">
        <v>600</v>
      </c>
      <c r="N625" s="83">
        <f>100</f>
        <v>100</v>
      </c>
      <c r="O625" s="86">
        <v>240</v>
      </c>
      <c r="P625" s="86">
        <v>40</v>
      </c>
      <c r="Q625" s="86">
        <f t="shared" si="95"/>
        <v>315</v>
      </c>
      <c r="R625" s="86">
        <f t="shared" si="96"/>
        <v>100</v>
      </c>
      <c r="S625" s="83">
        <f t="shared" si="97"/>
        <v>695</v>
      </c>
      <c r="T625" s="83">
        <f>50</f>
        <v>50</v>
      </c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</row>
    <row r="626" spans="1:30" ht="15.75" x14ac:dyDescent="0.25">
      <c r="A626" s="13">
        <v>59992</v>
      </c>
      <c r="B626" s="95">
        <f t="shared" si="98"/>
        <v>31</v>
      </c>
      <c r="C626" s="83">
        <f>122.58</f>
        <v>122.58</v>
      </c>
      <c r="D626" s="83">
        <f>297.941</f>
        <v>297.94099999999997</v>
      </c>
      <c r="E626" s="92">
        <f>89.177</f>
        <v>89.177000000000007</v>
      </c>
      <c r="F626" s="83">
        <f>240.302-40-60-100</f>
        <v>40.301999999999992</v>
      </c>
      <c r="G626" s="86">
        <v>40</v>
      </c>
      <c r="H626" s="83">
        <f>60+100</f>
        <v>160</v>
      </c>
      <c r="I626" s="83">
        <f t="shared" si="90"/>
        <v>0</v>
      </c>
      <c r="J626" s="86">
        <v>100</v>
      </c>
      <c r="K626" s="86">
        <v>300</v>
      </c>
      <c r="L626" s="83">
        <f t="shared" si="94"/>
        <v>1150</v>
      </c>
      <c r="M626" s="94">
        <v>600</v>
      </c>
      <c r="N626" s="83">
        <f>100</f>
        <v>100</v>
      </c>
      <c r="O626" s="86">
        <v>240</v>
      </c>
      <c r="P626" s="86">
        <v>40</v>
      </c>
      <c r="Q626" s="86">
        <f t="shared" si="95"/>
        <v>315</v>
      </c>
      <c r="R626" s="86">
        <f t="shared" si="96"/>
        <v>100</v>
      </c>
      <c r="S626" s="83">
        <f t="shared" si="97"/>
        <v>695</v>
      </c>
      <c r="T626" s="83">
        <f>50</f>
        <v>50</v>
      </c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</row>
    <row r="627" spans="1:30" ht="15.75" x14ac:dyDescent="0.25">
      <c r="A627" s="13">
        <v>60022</v>
      </c>
      <c r="B627" s="95">
        <f t="shared" si="98"/>
        <v>30</v>
      </c>
      <c r="C627" s="83">
        <f>141.293</f>
        <v>141.29300000000001</v>
      </c>
      <c r="D627" s="83">
        <f>267.993</f>
        <v>267.99299999999999</v>
      </c>
      <c r="E627" s="92">
        <f>115.016</f>
        <v>115.01600000000001</v>
      </c>
      <c r="F627" s="83">
        <f>314.698-40-25-60-100</f>
        <v>89.697999999999979</v>
      </c>
      <c r="G627" s="86">
        <v>40</v>
      </c>
      <c r="H627" s="83">
        <f t="shared" ref="H627:H633" si="101">25+60+100</f>
        <v>185</v>
      </c>
      <c r="I627" s="83">
        <f t="shared" si="90"/>
        <v>0</v>
      </c>
      <c r="J627" s="86">
        <v>100</v>
      </c>
      <c r="K627" s="86">
        <v>300</v>
      </c>
      <c r="L627" s="83">
        <f t="shared" si="94"/>
        <v>1239</v>
      </c>
      <c r="M627" s="94">
        <v>600</v>
      </c>
      <c r="N627" s="83">
        <f>100</f>
        <v>100</v>
      </c>
      <c r="O627" s="86">
        <v>240</v>
      </c>
      <c r="P627" s="86">
        <v>40</v>
      </c>
      <c r="Q627" s="86">
        <f t="shared" si="95"/>
        <v>315</v>
      </c>
      <c r="R627" s="86">
        <f t="shared" si="96"/>
        <v>100</v>
      </c>
      <c r="S627" s="83">
        <f t="shared" si="97"/>
        <v>695</v>
      </c>
      <c r="T627" s="83">
        <f>50</f>
        <v>50</v>
      </c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</row>
    <row r="628" spans="1:30" ht="15.75" x14ac:dyDescent="0.25">
      <c r="A628" s="13">
        <v>60053</v>
      </c>
      <c r="B628" s="95">
        <f t="shared" si="98"/>
        <v>31</v>
      </c>
      <c r="C628" s="83">
        <f>194.205</f>
        <v>194.20500000000001</v>
      </c>
      <c r="D628" s="83">
        <f>267.466</f>
        <v>267.46600000000001</v>
      </c>
      <c r="E628" s="92">
        <f>133.845</f>
        <v>133.845</v>
      </c>
      <c r="F628" s="83">
        <f>278.484-40-25-60-100</f>
        <v>53.48399999999998</v>
      </c>
      <c r="G628" s="86">
        <v>40</v>
      </c>
      <c r="H628" s="83">
        <f t="shared" si="101"/>
        <v>185</v>
      </c>
      <c r="I628" s="83">
        <f t="shared" ref="I628:I691" si="102">400-J628-K628</f>
        <v>0</v>
      </c>
      <c r="J628" s="86">
        <v>100</v>
      </c>
      <c r="K628" s="86">
        <v>300</v>
      </c>
      <c r="L628" s="83">
        <f t="shared" si="94"/>
        <v>1274</v>
      </c>
      <c r="M628" s="94">
        <v>600</v>
      </c>
      <c r="N628" s="83">
        <f>75</f>
        <v>75</v>
      </c>
      <c r="O628" s="86">
        <v>240</v>
      </c>
      <c r="P628" s="86">
        <v>40</v>
      </c>
      <c r="Q628" s="86">
        <f t="shared" si="95"/>
        <v>315</v>
      </c>
      <c r="R628" s="86">
        <f t="shared" si="96"/>
        <v>100</v>
      </c>
      <c r="S628" s="83">
        <f t="shared" si="97"/>
        <v>695</v>
      </c>
      <c r="T628" s="83">
        <f>50</f>
        <v>50</v>
      </c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</row>
    <row r="629" spans="1:30" ht="15.75" x14ac:dyDescent="0.25">
      <c r="A629" s="13">
        <v>60083</v>
      </c>
      <c r="B629" s="95">
        <f t="shared" si="98"/>
        <v>30</v>
      </c>
      <c r="C629" s="83">
        <f>194.205</f>
        <v>194.20500000000001</v>
      </c>
      <c r="D629" s="83">
        <f>267.466</f>
        <v>267.46600000000001</v>
      </c>
      <c r="E629" s="92">
        <f>133.845</f>
        <v>133.845</v>
      </c>
      <c r="F629" s="83">
        <f>278.484-40-25-60-100</f>
        <v>53.48399999999998</v>
      </c>
      <c r="G629" s="86">
        <v>40</v>
      </c>
      <c r="H629" s="83">
        <f t="shared" si="101"/>
        <v>185</v>
      </c>
      <c r="I629" s="83">
        <f t="shared" si="102"/>
        <v>0</v>
      </c>
      <c r="J629" s="86">
        <v>100</v>
      </c>
      <c r="K629" s="86">
        <v>300</v>
      </c>
      <c r="L629" s="83">
        <f t="shared" si="94"/>
        <v>1274</v>
      </c>
      <c r="M629" s="94">
        <v>600</v>
      </c>
      <c r="N629" s="83">
        <f>30</f>
        <v>30</v>
      </c>
      <c r="O629" s="86">
        <v>240</v>
      </c>
      <c r="P629" s="86">
        <v>40</v>
      </c>
      <c r="Q629" s="86">
        <f t="shared" si="95"/>
        <v>315</v>
      </c>
      <c r="R629" s="86">
        <f t="shared" si="96"/>
        <v>100</v>
      </c>
      <c r="S629" s="83">
        <f t="shared" si="97"/>
        <v>695</v>
      </c>
      <c r="T629" s="83">
        <f>50</f>
        <v>50</v>
      </c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</row>
    <row r="630" spans="1:30" ht="15.75" x14ac:dyDescent="0.25">
      <c r="A630" s="13">
        <v>60114</v>
      </c>
      <c r="B630" s="95">
        <f t="shared" si="98"/>
        <v>31</v>
      </c>
      <c r="C630" s="83">
        <f>194.205</f>
        <v>194.20500000000001</v>
      </c>
      <c r="D630" s="83">
        <f>267.466</f>
        <v>267.46600000000001</v>
      </c>
      <c r="E630" s="92">
        <f>133.845</f>
        <v>133.845</v>
      </c>
      <c r="F630" s="83">
        <f>278.484-40-25-60-100</f>
        <v>53.48399999999998</v>
      </c>
      <c r="G630" s="86">
        <v>40</v>
      </c>
      <c r="H630" s="83">
        <f t="shared" si="101"/>
        <v>185</v>
      </c>
      <c r="I630" s="83">
        <f t="shared" si="102"/>
        <v>0</v>
      </c>
      <c r="J630" s="86">
        <v>100</v>
      </c>
      <c r="K630" s="86">
        <v>300</v>
      </c>
      <c r="L630" s="83">
        <f t="shared" si="94"/>
        <v>1274</v>
      </c>
      <c r="M630" s="94">
        <v>600</v>
      </c>
      <c r="N630" s="83">
        <f>30</f>
        <v>30</v>
      </c>
      <c r="O630" s="86">
        <v>240</v>
      </c>
      <c r="P630" s="86">
        <v>40</v>
      </c>
      <c r="Q630" s="86">
        <f t="shared" si="95"/>
        <v>315</v>
      </c>
      <c r="R630" s="86">
        <f t="shared" si="96"/>
        <v>100</v>
      </c>
      <c r="S630" s="83">
        <f t="shared" si="97"/>
        <v>695</v>
      </c>
      <c r="T630" s="83">
        <f>0</f>
        <v>0</v>
      </c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</row>
    <row r="631" spans="1:30" ht="15.75" x14ac:dyDescent="0.25">
      <c r="A631" s="13">
        <v>60145</v>
      </c>
      <c r="B631" s="95">
        <f t="shared" si="98"/>
        <v>31</v>
      </c>
      <c r="C631" s="83">
        <f>194.205</f>
        <v>194.20500000000001</v>
      </c>
      <c r="D631" s="83">
        <f>267.466</f>
        <v>267.46600000000001</v>
      </c>
      <c r="E631" s="92">
        <f>133.845</f>
        <v>133.845</v>
      </c>
      <c r="F631" s="83">
        <f>278.484-40-25-60-100</f>
        <v>53.48399999999998</v>
      </c>
      <c r="G631" s="86">
        <v>40</v>
      </c>
      <c r="H631" s="83">
        <f t="shared" si="101"/>
        <v>185</v>
      </c>
      <c r="I631" s="83">
        <f t="shared" si="102"/>
        <v>0</v>
      </c>
      <c r="J631" s="86">
        <v>100</v>
      </c>
      <c r="K631" s="86">
        <v>300</v>
      </c>
      <c r="L631" s="83">
        <f t="shared" si="94"/>
        <v>1274</v>
      </c>
      <c r="M631" s="94">
        <v>600</v>
      </c>
      <c r="N631" s="83">
        <f>30</f>
        <v>30</v>
      </c>
      <c r="O631" s="86">
        <v>240</v>
      </c>
      <c r="P631" s="86">
        <v>40</v>
      </c>
      <c r="Q631" s="86">
        <f t="shared" si="95"/>
        <v>315</v>
      </c>
      <c r="R631" s="86">
        <f t="shared" si="96"/>
        <v>100</v>
      </c>
      <c r="S631" s="83">
        <f t="shared" si="97"/>
        <v>695</v>
      </c>
      <c r="T631" s="83">
        <f>0</f>
        <v>0</v>
      </c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</row>
    <row r="632" spans="1:30" ht="15.75" x14ac:dyDescent="0.25">
      <c r="A632" s="13">
        <v>60175</v>
      </c>
      <c r="B632" s="95">
        <f t="shared" si="98"/>
        <v>30</v>
      </c>
      <c r="C632" s="83">
        <f>194.205</f>
        <v>194.20500000000001</v>
      </c>
      <c r="D632" s="83">
        <f>267.466</f>
        <v>267.46600000000001</v>
      </c>
      <c r="E632" s="92">
        <f>133.845</f>
        <v>133.845</v>
      </c>
      <c r="F632" s="83">
        <f>278.484-40-25-60-100</f>
        <v>53.48399999999998</v>
      </c>
      <c r="G632" s="86">
        <v>40</v>
      </c>
      <c r="H632" s="83">
        <f t="shared" si="101"/>
        <v>185</v>
      </c>
      <c r="I632" s="83">
        <f t="shared" si="102"/>
        <v>0</v>
      </c>
      <c r="J632" s="86">
        <v>100</v>
      </c>
      <c r="K632" s="86">
        <v>300</v>
      </c>
      <c r="L632" s="83">
        <f t="shared" si="94"/>
        <v>1274</v>
      </c>
      <c r="M632" s="94">
        <v>600</v>
      </c>
      <c r="N632" s="83">
        <f>30</f>
        <v>30</v>
      </c>
      <c r="O632" s="86">
        <v>240</v>
      </c>
      <c r="P632" s="86">
        <v>40</v>
      </c>
      <c r="Q632" s="86">
        <f t="shared" si="95"/>
        <v>315</v>
      </c>
      <c r="R632" s="86">
        <f t="shared" si="96"/>
        <v>100</v>
      </c>
      <c r="S632" s="83">
        <f t="shared" si="97"/>
        <v>695</v>
      </c>
      <c r="T632" s="83">
        <f>0</f>
        <v>0</v>
      </c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</row>
    <row r="633" spans="1:30" ht="15.75" x14ac:dyDescent="0.25">
      <c r="A633" s="13">
        <v>60206</v>
      </c>
      <c r="B633" s="95">
        <f t="shared" si="98"/>
        <v>31</v>
      </c>
      <c r="C633" s="83">
        <f>131.881</f>
        <v>131.881</v>
      </c>
      <c r="D633" s="83">
        <f>277.167</f>
        <v>277.16699999999997</v>
      </c>
      <c r="E633" s="92">
        <f>79.08</f>
        <v>79.08</v>
      </c>
      <c r="F633" s="83">
        <f>350.872-40-25-60-100</f>
        <v>125.87200000000001</v>
      </c>
      <c r="G633" s="86">
        <v>40</v>
      </c>
      <c r="H633" s="83">
        <f t="shared" si="101"/>
        <v>185</v>
      </c>
      <c r="I633" s="83">
        <f t="shared" si="102"/>
        <v>0</v>
      </c>
      <c r="J633" s="86">
        <v>100</v>
      </c>
      <c r="K633" s="86">
        <v>300</v>
      </c>
      <c r="L633" s="83">
        <f t="shared" si="94"/>
        <v>1239</v>
      </c>
      <c r="M633" s="94">
        <v>600</v>
      </c>
      <c r="N633" s="83">
        <f>75</f>
        <v>75</v>
      </c>
      <c r="O633" s="86">
        <v>240</v>
      </c>
      <c r="P633" s="86">
        <v>40</v>
      </c>
      <c r="Q633" s="86">
        <f t="shared" si="95"/>
        <v>315</v>
      </c>
      <c r="R633" s="86">
        <f t="shared" si="96"/>
        <v>100</v>
      </c>
      <c r="S633" s="83">
        <f t="shared" si="97"/>
        <v>695</v>
      </c>
      <c r="T633" s="83">
        <f>0</f>
        <v>0</v>
      </c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</row>
    <row r="634" spans="1:30" ht="15.75" x14ac:dyDescent="0.25">
      <c r="A634" s="13">
        <v>60236</v>
      </c>
      <c r="B634" s="95">
        <f t="shared" si="98"/>
        <v>30</v>
      </c>
      <c r="C634" s="83">
        <f>122.58</f>
        <v>122.58</v>
      </c>
      <c r="D634" s="83">
        <f>297.941</f>
        <v>297.94099999999997</v>
      </c>
      <c r="E634" s="92">
        <f>89.177</f>
        <v>89.177000000000007</v>
      </c>
      <c r="F634" s="83">
        <f>240.302-40-60-100</f>
        <v>40.301999999999992</v>
      </c>
      <c r="G634" s="86">
        <v>40</v>
      </c>
      <c r="H634" s="83">
        <f>60+100</f>
        <v>160</v>
      </c>
      <c r="I634" s="83">
        <f t="shared" si="102"/>
        <v>0</v>
      </c>
      <c r="J634" s="86">
        <v>100</v>
      </c>
      <c r="K634" s="86">
        <v>300</v>
      </c>
      <c r="L634" s="83">
        <f t="shared" si="94"/>
        <v>1150</v>
      </c>
      <c r="M634" s="94">
        <v>600</v>
      </c>
      <c r="N634" s="83">
        <f>100</f>
        <v>100</v>
      </c>
      <c r="O634" s="86">
        <v>240</v>
      </c>
      <c r="P634" s="86">
        <v>40</v>
      </c>
      <c r="Q634" s="86">
        <f t="shared" si="95"/>
        <v>315</v>
      </c>
      <c r="R634" s="86">
        <f t="shared" si="96"/>
        <v>100</v>
      </c>
      <c r="S634" s="83">
        <f t="shared" si="97"/>
        <v>695</v>
      </c>
      <c r="T634" s="83">
        <f>50</f>
        <v>50</v>
      </c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</row>
    <row r="635" spans="1:30" ht="15.75" x14ac:dyDescent="0.25">
      <c r="A635" s="13">
        <v>60267</v>
      </c>
      <c r="B635" s="95">
        <f t="shared" si="98"/>
        <v>31</v>
      </c>
      <c r="C635" s="83">
        <f>122.58</f>
        <v>122.58</v>
      </c>
      <c r="D635" s="83">
        <f>297.941</f>
        <v>297.94099999999997</v>
      </c>
      <c r="E635" s="92">
        <f>89.177</f>
        <v>89.177000000000007</v>
      </c>
      <c r="F635" s="83">
        <f>240.302-40-60-100</f>
        <v>40.301999999999992</v>
      </c>
      <c r="G635" s="86">
        <v>40</v>
      </c>
      <c r="H635" s="83">
        <f>60+100</f>
        <v>160</v>
      </c>
      <c r="I635" s="83">
        <f t="shared" si="102"/>
        <v>0</v>
      </c>
      <c r="J635" s="86">
        <v>100</v>
      </c>
      <c r="K635" s="86">
        <v>300</v>
      </c>
      <c r="L635" s="83">
        <f t="shared" si="94"/>
        <v>1150</v>
      </c>
      <c r="M635" s="94">
        <v>600</v>
      </c>
      <c r="N635" s="83">
        <f>100</f>
        <v>100</v>
      </c>
      <c r="O635" s="86">
        <v>240</v>
      </c>
      <c r="P635" s="86">
        <v>40</v>
      </c>
      <c r="Q635" s="86">
        <f t="shared" si="95"/>
        <v>315</v>
      </c>
      <c r="R635" s="86">
        <f t="shared" si="96"/>
        <v>100</v>
      </c>
      <c r="S635" s="83">
        <f t="shared" si="97"/>
        <v>695</v>
      </c>
      <c r="T635" s="83">
        <f>50</f>
        <v>50</v>
      </c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</row>
    <row r="636" spans="1:30" ht="15.75" x14ac:dyDescent="0.25">
      <c r="A636" s="13">
        <v>60298</v>
      </c>
      <c r="B636" s="95">
        <f t="shared" si="98"/>
        <v>31</v>
      </c>
      <c r="C636" s="83">
        <f>122.58</f>
        <v>122.58</v>
      </c>
      <c r="D636" s="83">
        <f>297.941</f>
        <v>297.94099999999997</v>
      </c>
      <c r="E636" s="92">
        <f>89.177</f>
        <v>89.177000000000007</v>
      </c>
      <c r="F636" s="83">
        <f>240.302-40-60-100</f>
        <v>40.301999999999992</v>
      </c>
      <c r="G636" s="86">
        <v>40</v>
      </c>
      <c r="H636" s="83">
        <f>60+100</f>
        <v>160</v>
      </c>
      <c r="I636" s="83">
        <f t="shared" si="102"/>
        <v>0</v>
      </c>
      <c r="J636" s="86">
        <v>100</v>
      </c>
      <c r="K636" s="86">
        <v>300</v>
      </c>
      <c r="L636" s="83">
        <f t="shared" si="94"/>
        <v>1150</v>
      </c>
      <c r="M636" s="94">
        <v>600</v>
      </c>
      <c r="N636" s="83">
        <f>100</f>
        <v>100</v>
      </c>
      <c r="O636" s="86">
        <v>240</v>
      </c>
      <c r="P636" s="86">
        <v>40</v>
      </c>
      <c r="Q636" s="86">
        <f t="shared" si="95"/>
        <v>315</v>
      </c>
      <c r="R636" s="86">
        <f t="shared" si="96"/>
        <v>100</v>
      </c>
      <c r="S636" s="83">
        <f t="shared" si="97"/>
        <v>695</v>
      </c>
      <c r="T636" s="83">
        <f>50</f>
        <v>50</v>
      </c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</row>
    <row r="637" spans="1:30" ht="15.75" x14ac:dyDescent="0.25">
      <c r="A637" s="13">
        <v>60326</v>
      </c>
      <c r="B637" s="95">
        <f t="shared" si="98"/>
        <v>28</v>
      </c>
      <c r="C637" s="83">
        <f>122.58</f>
        <v>122.58</v>
      </c>
      <c r="D637" s="83">
        <f>297.941</f>
        <v>297.94099999999997</v>
      </c>
      <c r="E637" s="92">
        <f>89.177</f>
        <v>89.177000000000007</v>
      </c>
      <c r="F637" s="83">
        <f>240.302-40-60-100</f>
        <v>40.301999999999992</v>
      </c>
      <c r="G637" s="86">
        <v>40</v>
      </c>
      <c r="H637" s="83">
        <f>60+100</f>
        <v>160</v>
      </c>
      <c r="I637" s="83">
        <f t="shared" si="102"/>
        <v>0</v>
      </c>
      <c r="J637" s="86">
        <v>100</v>
      </c>
      <c r="K637" s="86">
        <v>300</v>
      </c>
      <c r="L637" s="83">
        <f t="shared" si="94"/>
        <v>1150</v>
      </c>
      <c r="M637" s="94">
        <v>600</v>
      </c>
      <c r="N637" s="83">
        <f>100</f>
        <v>100</v>
      </c>
      <c r="O637" s="86">
        <v>240</v>
      </c>
      <c r="P637" s="86">
        <v>40</v>
      </c>
      <c r="Q637" s="86">
        <f t="shared" si="95"/>
        <v>315</v>
      </c>
      <c r="R637" s="86">
        <f t="shared" si="96"/>
        <v>100</v>
      </c>
      <c r="S637" s="83">
        <f t="shared" si="97"/>
        <v>695</v>
      </c>
      <c r="T637" s="83">
        <f>50</f>
        <v>50</v>
      </c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</row>
    <row r="638" spans="1:30" ht="15.75" x14ac:dyDescent="0.25">
      <c r="A638" s="13">
        <v>60357</v>
      </c>
      <c r="B638" s="95">
        <f t="shared" si="98"/>
        <v>31</v>
      </c>
      <c r="C638" s="83">
        <f>122.58</f>
        <v>122.58</v>
      </c>
      <c r="D638" s="83">
        <f>297.941</f>
        <v>297.94099999999997</v>
      </c>
      <c r="E638" s="92">
        <f>89.177</f>
        <v>89.177000000000007</v>
      </c>
      <c r="F638" s="83">
        <f>240.302-40-60-100</f>
        <v>40.301999999999992</v>
      </c>
      <c r="G638" s="86">
        <v>40</v>
      </c>
      <c r="H638" s="83">
        <f>60+100</f>
        <v>160</v>
      </c>
      <c r="I638" s="83">
        <f t="shared" si="102"/>
        <v>0</v>
      </c>
      <c r="J638" s="86">
        <v>100</v>
      </c>
      <c r="K638" s="86">
        <v>300</v>
      </c>
      <c r="L638" s="83">
        <f t="shared" si="94"/>
        <v>1150</v>
      </c>
      <c r="M638" s="94">
        <v>600</v>
      </c>
      <c r="N638" s="83">
        <f>100</f>
        <v>100</v>
      </c>
      <c r="O638" s="86">
        <v>240</v>
      </c>
      <c r="P638" s="86">
        <v>40</v>
      </c>
      <c r="Q638" s="86">
        <f t="shared" si="95"/>
        <v>315</v>
      </c>
      <c r="R638" s="86">
        <f t="shared" si="96"/>
        <v>100</v>
      </c>
      <c r="S638" s="83">
        <f t="shared" si="97"/>
        <v>695</v>
      </c>
      <c r="T638" s="83">
        <f>50</f>
        <v>50</v>
      </c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</row>
    <row r="639" spans="1:30" ht="15.75" x14ac:dyDescent="0.25">
      <c r="A639" s="13">
        <v>60387</v>
      </c>
      <c r="B639" s="95">
        <f t="shared" si="98"/>
        <v>30</v>
      </c>
      <c r="C639" s="83">
        <f>141.293</f>
        <v>141.29300000000001</v>
      </c>
      <c r="D639" s="83">
        <f>267.993</f>
        <v>267.99299999999999</v>
      </c>
      <c r="E639" s="92">
        <f>115.016</f>
        <v>115.01600000000001</v>
      </c>
      <c r="F639" s="83">
        <f>314.698-40-25-60-100</f>
        <v>89.697999999999979</v>
      </c>
      <c r="G639" s="86">
        <v>40</v>
      </c>
      <c r="H639" s="83">
        <f t="shared" ref="H639:H645" si="103">25+60+100</f>
        <v>185</v>
      </c>
      <c r="I639" s="83">
        <f t="shared" si="102"/>
        <v>0</v>
      </c>
      <c r="J639" s="86">
        <v>100</v>
      </c>
      <c r="K639" s="86">
        <v>300</v>
      </c>
      <c r="L639" s="83">
        <f t="shared" si="94"/>
        <v>1239</v>
      </c>
      <c r="M639" s="94">
        <v>600</v>
      </c>
      <c r="N639" s="83">
        <f>100</f>
        <v>100</v>
      </c>
      <c r="O639" s="86">
        <v>240</v>
      </c>
      <c r="P639" s="86">
        <v>40</v>
      </c>
      <c r="Q639" s="86">
        <f t="shared" si="95"/>
        <v>315</v>
      </c>
      <c r="R639" s="86">
        <f t="shared" si="96"/>
        <v>100</v>
      </c>
      <c r="S639" s="83">
        <f t="shared" si="97"/>
        <v>695</v>
      </c>
      <c r="T639" s="83">
        <f>50</f>
        <v>50</v>
      </c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</row>
    <row r="640" spans="1:30" ht="15.75" x14ac:dyDescent="0.25">
      <c r="A640" s="13">
        <v>60418</v>
      </c>
      <c r="B640" s="95">
        <f t="shared" si="98"/>
        <v>31</v>
      </c>
      <c r="C640" s="83">
        <f>194.205</f>
        <v>194.20500000000001</v>
      </c>
      <c r="D640" s="83">
        <f>267.466</f>
        <v>267.46600000000001</v>
      </c>
      <c r="E640" s="92">
        <f>133.845</f>
        <v>133.845</v>
      </c>
      <c r="F640" s="83">
        <f>278.484-40-25-60-100</f>
        <v>53.48399999999998</v>
      </c>
      <c r="G640" s="86">
        <v>40</v>
      </c>
      <c r="H640" s="83">
        <f t="shared" si="103"/>
        <v>185</v>
      </c>
      <c r="I640" s="83">
        <f t="shared" si="102"/>
        <v>0</v>
      </c>
      <c r="J640" s="86">
        <v>100</v>
      </c>
      <c r="K640" s="86">
        <v>300</v>
      </c>
      <c r="L640" s="83">
        <f t="shared" si="94"/>
        <v>1274</v>
      </c>
      <c r="M640" s="94">
        <v>600</v>
      </c>
      <c r="N640" s="83">
        <f>75</f>
        <v>75</v>
      </c>
      <c r="O640" s="86">
        <v>240</v>
      </c>
      <c r="P640" s="86">
        <v>40</v>
      </c>
      <c r="Q640" s="86">
        <f t="shared" si="95"/>
        <v>315</v>
      </c>
      <c r="R640" s="86">
        <f t="shared" si="96"/>
        <v>100</v>
      </c>
      <c r="S640" s="83">
        <f t="shared" si="97"/>
        <v>695</v>
      </c>
      <c r="T640" s="83">
        <f>50</f>
        <v>50</v>
      </c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</row>
    <row r="641" spans="1:30" ht="15.75" x14ac:dyDescent="0.25">
      <c r="A641" s="13">
        <v>60448</v>
      </c>
      <c r="B641" s="95">
        <f t="shared" si="98"/>
        <v>30</v>
      </c>
      <c r="C641" s="83">
        <f>194.205</f>
        <v>194.20500000000001</v>
      </c>
      <c r="D641" s="83">
        <f>267.466</f>
        <v>267.46600000000001</v>
      </c>
      <c r="E641" s="92">
        <f>133.845</f>
        <v>133.845</v>
      </c>
      <c r="F641" s="83">
        <f>278.484-40-25-60-100</f>
        <v>53.48399999999998</v>
      </c>
      <c r="G641" s="86">
        <v>40</v>
      </c>
      <c r="H641" s="83">
        <f t="shared" si="103"/>
        <v>185</v>
      </c>
      <c r="I641" s="83">
        <f t="shared" si="102"/>
        <v>0</v>
      </c>
      <c r="J641" s="86">
        <v>100</v>
      </c>
      <c r="K641" s="86">
        <v>300</v>
      </c>
      <c r="L641" s="83">
        <f t="shared" si="94"/>
        <v>1274</v>
      </c>
      <c r="M641" s="94">
        <v>600</v>
      </c>
      <c r="N641" s="83">
        <f>30</f>
        <v>30</v>
      </c>
      <c r="O641" s="86">
        <v>240</v>
      </c>
      <c r="P641" s="86">
        <v>40</v>
      </c>
      <c r="Q641" s="86">
        <f t="shared" si="95"/>
        <v>315</v>
      </c>
      <c r="R641" s="86">
        <f t="shared" si="96"/>
        <v>100</v>
      </c>
      <c r="S641" s="83">
        <f t="shared" si="97"/>
        <v>695</v>
      </c>
      <c r="T641" s="83">
        <f>50</f>
        <v>50</v>
      </c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</row>
    <row r="642" spans="1:30" ht="15.75" x14ac:dyDescent="0.25">
      <c r="A642" s="13">
        <v>60479</v>
      </c>
      <c r="B642" s="95">
        <f t="shared" si="98"/>
        <v>31</v>
      </c>
      <c r="C642" s="83">
        <f>194.205</f>
        <v>194.20500000000001</v>
      </c>
      <c r="D642" s="83">
        <f>267.466</f>
        <v>267.46600000000001</v>
      </c>
      <c r="E642" s="92">
        <f>133.845</f>
        <v>133.845</v>
      </c>
      <c r="F642" s="83">
        <f>278.484-40-25-60-100</f>
        <v>53.48399999999998</v>
      </c>
      <c r="G642" s="86">
        <v>40</v>
      </c>
      <c r="H642" s="83">
        <f t="shared" si="103"/>
        <v>185</v>
      </c>
      <c r="I642" s="83">
        <f t="shared" si="102"/>
        <v>0</v>
      </c>
      <c r="J642" s="86">
        <v>100</v>
      </c>
      <c r="K642" s="86">
        <v>300</v>
      </c>
      <c r="L642" s="83">
        <f t="shared" si="94"/>
        <v>1274</v>
      </c>
      <c r="M642" s="94">
        <v>600</v>
      </c>
      <c r="N642" s="83">
        <f>30</f>
        <v>30</v>
      </c>
      <c r="O642" s="86">
        <v>240</v>
      </c>
      <c r="P642" s="86">
        <v>40</v>
      </c>
      <c r="Q642" s="86">
        <f t="shared" si="95"/>
        <v>315</v>
      </c>
      <c r="R642" s="86">
        <f t="shared" si="96"/>
        <v>100</v>
      </c>
      <c r="S642" s="83">
        <f t="shared" si="97"/>
        <v>695</v>
      </c>
      <c r="T642" s="83">
        <f>0</f>
        <v>0</v>
      </c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</row>
    <row r="643" spans="1:30" ht="15.75" x14ac:dyDescent="0.25">
      <c r="A643" s="13">
        <v>60510</v>
      </c>
      <c r="B643" s="95">
        <f t="shared" si="98"/>
        <v>31</v>
      </c>
      <c r="C643" s="83">
        <f>194.205</f>
        <v>194.20500000000001</v>
      </c>
      <c r="D643" s="83">
        <f>267.466</f>
        <v>267.46600000000001</v>
      </c>
      <c r="E643" s="92">
        <f>133.845</f>
        <v>133.845</v>
      </c>
      <c r="F643" s="83">
        <f>278.484-40-25-60-100</f>
        <v>53.48399999999998</v>
      </c>
      <c r="G643" s="86">
        <v>40</v>
      </c>
      <c r="H643" s="83">
        <f t="shared" si="103"/>
        <v>185</v>
      </c>
      <c r="I643" s="83">
        <f t="shared" si="102"/>
        <v>0</v>
      </c>
      <c r="J643" s="86">
        <v>100</v>
      </c>
      <c r="K643" s="86">
        <v>300</v>
      </c>
      <c r="L643" s="83">
        <f t="shared" si="94"/>
        <v>1274</v>
      </c>
      <c r="M643" s="94">
        <v>600</v>
      </c>
      <c r="N643" s="83">
        <f>30</f>
        <v>30</v>
      </c>
      <c r="O643" s="86">
        <v>240</v>
      </c>
      <c r="P643" s="86">
        <v>40</v>
      </c>
      <c r="Q643" s="86">
        <f t="shared" si="95"/>
        <v>315</v>
      </c>
      <c r="R643" s="86">
        <f t="shared" si="96"/>
        <v>100</v>
      </c>
      <c r="S643" s="83">
        <f t="shared" si="97"/>
        <v>695</v>
      </c>
      <c r="T643" s="83">
        <f>0</f>
        <v>0</v>
      </c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</row>
    <row r="644" spans="1:30" ht="15.75" x14ac:dyDescent="0.25">
      <c r="A644" s="13">
        <v>60540</v>
      </c>
      <c r="B644" s="95">
        <f t="shared" si="98"/>
        <v>30</v>
      </c>
      <c r="C644" s="83">
        <f>194.205</f>
        <v>194.20500000000001</v>
      </c>
      <c r="D644" s="83">
        <f>267.466</f>
        <v>267.46600000000001</v>
      </c>
      <c r="E644" s="92">
        <f>133.845</f>
        <v>133.845</v>
      </c>
      <c r="F644" s="83">
        <f>278.484-40-25-60-100</f>
        <v>53.48399999999998</v>
      </c>
      <c r="G644" s="86">
        <v>40</v>
      </c>
      <c r="H644" s="83">
        <f t="shared" si="103"/>
        <v>185</v>
      </c>
      <c r="I644" s="83">
        <f t="shared" si="102"/>
        <v>0</v>
      </c>
      <c r="J644" s="86">
        <v>100</v>
      </c>
      <c r="K644" s="86">
        <v>300</v>
      </c>
      <c r="L644" s="83">
        <f t="shared" si="94"/>
        <v>1274</v>
      </c>
      <c r="M644" s="94">
        <v>600</v>
      </c>
      <c r="N644" s="83">
        <f>30</f>
        <v>30</v>
      </c>
      <c r="O644" s="86">
        <v>240</v>
      </c>
      <c r="P644" s="86">
        <v>40</v>
      </c>
      <c r="Q644" s="86">
        <f t="shared" si="95"/>
        <v>315</v>
      </c>
      <c r="R644" s="86">
        <f t="shared" si="96"/>
        <v>100</v>
      </c>
      <c r="S644" s="83">
        <f t="shared" si="97"/>
        <v>695</v>
      </c>
      <c r="T644" s="83">
        <f>0</f>
        <v>0</v>
      </c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</row>
    <row r="645" spans="1:30" ht="15.75" x14ac:dyDescent="0.25">
      <c r="A645" s="13">
        <v>60571</v>
      </c>
      <c r="B645" s="95">
        <f t="shared" si="98"/>
        <v>31</v>
      </c>
      <c r="C645" s="83">
        <f>131.881</f>
        <v>131.881</v>
      </c>
      <c r="D645" s="83">
        <f>277.167</f>
        <v>277.16699999999997</v>
      </c>
      <c r="E645" s="92">
        <f>79.08</f>
        <v>79.08</v>
      </c>
      <c r="F645" s="83">
        <f>350.872-40-25-60-100</f>
        <v>125.87200000000001</v>
      </c>
      <c r="G645" s="86">
        <v>40</v>
      </c>
      <c r="H645" s="83">
        <f t="shared" si="103"/>
        <v>185</v>
      </c>
      <c r="I645" s="83">
        <f t="shared" si="102"/>
        <v>0</v>
      </c>
      <c r="J645" s="86">
        <v>100</v>
      </c>
      <c r="K645" s="86">
        <v>300</v>
      </c>
      <c r="L645" s="83">
        <f t="shared" si="94"/>
        <v>1239</v>
      </c>
      <c r="M645" s="94">
        <v>600</v>
      </c>
      <c r="N645" s="83">
        <f>75</f>
        <v>75</v>
      </c>
      <c r="O645" s="86">
        <v>240</v>
      </c>
      <c r="P645" s="86">
        <v>40</v>
      </c>
      <c r="Q645" s="86">
        <f t="shared" si="95"/>
        <v>315</v>
      </c>
      <c r="R645" s="86">
        <f t="shared" si="96"/>
        <v>100</v>
      </c>
      <c r="S645" s="83">
        <f t="shared" si="97"/>
        <v>695</v>
      </c>
      <c r="T645" s="83">
        <f>0</f>
        <v>0</v>
      </c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</row>
    <row r="646" spans="1:30" ht="15.75" x14ac:dyDescent="0.25">
      <c r="A646" s="13">
        <v>60601</v>
      </c>
      <c r="B646" s="95">
        <f t="shared" si="98"/>
        <v>30</v>
      </c>
      <c r="C646" s="83">
        <f>122.58</f>
        <v>122.58</v>
      </c>
      <c r="D646" s="83">
        <f>297.941</f>
        <v>297.94099999999997</v>
      </c>
      <c r="E646" s="92">
        <f>89.177</f>
        <v>89.177000000000007</v>
      </c>
      <c r="F646" s="83">
        <f>240.302-40-60-100</f>
        <v>40.301999999999992</v>
      </c>
      <c r="G646" s="86">
        <v>40</v>
      </c>
      <c r="H646" s="83">
        <f>60+100</f>
        <v>160</v>
      </c>
      <c r="I646" s="83">
        <f t="shared" si="102"/>
        <v>0</v>
      </c>
      <c r="J646" s="86">
        <v>100</v>
      </c>
      <c r="K646" s="86">
        <v>300</v>
      </c>
      <c r="L646" s="83">
        <f t="shared" si="94"/>
        <v>1150</v>
      </c>
      <c r="M646" s="94">
        <v>600</v>
      </c>
      <c r="N646" s="83">
        <f>100</f>
        <v>100</v>
      </c>
      <c r="O646" s="86">
        <v>240</v>
      </c>
      <c r="P646" s="86">
        <v>40</v>
      </c>
      <c r="Q646" s="86">
        <f t="shared" si="95"/>
        <v>315</v>
      </c>
      <c r="R646" s="86">
        <f t="shared" si="96"/>
        <v>100</v>
      </c>
      <c r="S646" s="83">
        <f t="shared" si="97"/>
        <v>695</v>
      </c>
      <c r="T646" s="83">
        <f>50</f>
        <v>50</v>
      </c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</row>
    <row r="647" spans="1:30" ht="15.75" x14ac:dyDescent="0.25">
      <c r="A647" s="13">
        <v>60632</v>
      </c>
      <c r="B647" s="95">
        <f t="shared" si="98"/>
        <v>31</v>
      </c>
      <c r="C647" s="83">
        <f>122.58</f>
        <v>122.58</v>
      </c>
      <c r="D647" s="83">
        <f>297.941</f>
        <v>297.94099999999997</v>
      </c>
      <c r="E647" s="92">
        <f>89.177</f>
        <v>89.177000000000007</v>
      </c>
      <c r="F647" s="83">
        <f>240.302-40-60-100</f>
        <v>40.301999999999992</v>
      </c>
      <c r="G647" s="86">
        <v>40</v>
      </c>
      <c r="H647" s="83">
        <f>60+100</f>
        <v>160</v>
      </c>
      <c r="I647" s="83">
        <f t="shared" si="102"/>
        <v>0</v>
      </c>
      <c r="J647" s="86">
        <v>100</v>
      </c>
      <c r="K647" s="86">
        <v>300</v>
      </c>
      <c r="L647" s="83">
        <f t="shared" si="94"/>
        <v>1150</v>
      </c>
      <c r="M647" s="94">
        <v>600</v>
      </c>
      <c r="N647" s="83">
        <f>100</f>
        <v>100</v>
      </c>
      <c r="O647" s="86">
        <v>240</v>
      </c>
      <c r="P647" s="86">
        <v>40</v>
      </c>
      <c r="Q647" s="86">
        <f t="shared" si="95"/>
        <v>315</v>
      </c>
      <c r="R647" s="86">
        <f t="shared" si="96"/>
        <v>100</v>
      </c>
      <c r="S647" s="83">
        <f t="shared" si="97"/>
        <v>695</v>
      </c>
      <c r="T647" s="83">
        <f>50</f>
        <v>50</v>
      </c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</row>
    <row r="648" spans="1:30" ht="15.75" x14ac:dyDescent="0.25">
      <c r="A648" s="13">
        <v>60663</v>
      </c>
      <c r="B648" s="95">
        <f t="shared" si="98"/>
        <v>31</v>
      </c>
      <c r="C648" s="83">
        <f>122.58</f>
        <v>122.58</v>
      </c>
      <c r="D648" s="83">
        <f>297.941</f>
        <v>297.94099999999997</v>
      </c>
      <c r="E648" s="92">
        <f>89.177</f>
        <v>89.177000000000007</v>
      </c>
      <c r="F648" s="83">
        <f>240.302-40-60-100</f>
        <v>40.301999999999992</v>
      </c>
      <c r="G648" s="86">
        <v>40</v>
      </c>
      <c r="H648" s="83">
        <f>60+100</f>
        <v>160</v>
      </c>
      <c r="I648" s="83">
        <f t="shared" si="102"/>
        <v>0</v>
      </c>
      <c r="J648" s="86">
        <v>100</v>
      </c>
      <c r="K648" s="86">
        <v>300</v>
      </c>
      <c r="L648" s="83">
        <f t="shared" si="94"/>
        <v>1150</v>
      </c>
      <c r="M648" s="94">
        <v>600</v>
      </c>
      <c r="N648" s="83">
        <f>100</f>
        <v>100</v>
      </c>
      <c r="O648" s="86">
        <v>240</v>
      </c>
      <c r="P648" s="86">
        <v>40</v>
      </c>
      <c r="Q648" s="86">
        <f t="shared" si="95"/>
        <v>315</v>
      </c>
      <c r="R648" s="86">
        <f t="shared" si="96"/>
        <v>100</v>
      </c>
      <c r="S648" s="83">
        <f t="shared" si="97"/>
        <v>695</v>
      </c>
      <c r="T648" s="83">
        <f>50</f>
        <v>50</v>
      </c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</row>
    <row r="649" spans="1:30" ht="15.75" x14ac:dyDescent="0.25">
      <c r="A649" s="13">
        <v>60691</v>
      </c>
      <c r="B649" s="95">
        <f t="shared" si="98"/>
        <v>28</v>
      </c>
      <c r="C649" s="83">
        <f>122.58</f>
        <v>122.58</v>
      </c>
      <c r="D649" s="83">
        <f>297.941</f>
        <v>297.94099999999997</v>
      </c>
      <c r="E649" s="92">
        <f>89.177</f>
        <v>89.177000000000007</v>
      </c>
      <c r="F649" s="83">
        <f>240.302-40-60-100</f>
        <v>40.301999999999992</v>
      </c>
      <c r="G649" s="86">
        <v>40</v>
      </c>
      <c r="H649" s="83">
        <f>60+100</f>
        <v>160</v>
      </c>
      <c r="I649" s="83">
        <f t="shared" si="102"/>
        <v>0</v>
      </c>
      <c r="J649" s="86">
        <v>100</v>
      </c>
      <c r="K649" s="86">
        <v>300</v>
      </c>
      <c r="L649" s="83">
        <f t="shared" si="94"/>
        <v>1150</v>
      </c>
      <c r="M649" s="94">
        <v>600</v>
      </c>
      <c r="N649" s="83">
        <f>100</f>
        <v>100</v>
      </c>
      <c r="O649" s="86">
        <v>240</v>
      </c>
      <c r="P649" s="86">
        <v>40</v>
      </c>
      <c r="Q649" s="86">
        <f t="shared" si="95"/>
        <v>315</v>
      </c>
      <c r="R649" s="86">
        <f t="shared" si="96"/>
        <v>100</v>
      </c>
      <c r="S649" s="83">
        <f t="shared" si="97"/>
        <v>695</v>
      </c>
      <c r="T649" s="83">
        <f>50</f>
        <v>50</v>
      </c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</row>
    <row r="650" spans="1:30" ht="15.75" x14ac:dyDescent="0.25">
      <c r="A650" s="13">
        <v>60722</v>
      </c>
      <c r="B650" s="95">
        <f t="shared" si="98"/>
        <v>31</v>
      </c>
      <c r="C650" s="83">
        <f>122.58</f>
        <v>122.58</v>
      </c>
      <c r="D650" s="83">
        <f>297.941</f>
        <v>297.94099999999997</v>
      </c>
      <c r="E650" s="92">
        <f>89.177</f>
        <v>89.177000000000007</v>
      </c>
      <c r="F650" s="83">
        <f>240.302-40-60-100</f>
        <v>40.301999999999992</v>
      </c>
      <c r="G650" s="86">
        <v>40</v>
      </c>
      <c r="H650" s="83">
        <f>60+100</f>
        <v>160</v>
      </c>
      <c r="I650" s="83">
        <f t="shared" si="102"/>
        <v>0</v>
      </c>
      <c r="J650" s="86">
        <v>100</v>
      </c>
      <c r="K650" s="86">
        <v>300</v>
      </c>
      <c r="L650" s="83">
        <f t="shared" si="94"/>
        <v>1150</v>
      </c>
      <c r="M650" s="94">
        <v>600</v>
      </c>
      <c r="N650" s="83">
        <f>100</f>
        <v>100</v>
      </c>
      <c r="O650" s="86">
        <v>240</v>
      </c>
      <c r="P650" s="86">
        <v>40</v>
      </c>
      <c r="Q650" s="86">
        <f t="shared" si="95"/>
        <v>315</v>
      </c>
      <c r="R650" s="86">
        <f t="shared" si="96"/>
        <v>100</v>
      </c>
      <c r="S650" s="83">
        <f t="shared" si="97"/>
        <v>695</v>
      </c>
      <c r="T650" s="83">
        <f>50</f>
        <v>50</v>
      </c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</row>
    <row r="651" spans="1:30" ht="15.75" x14ac:dyDescent="0.25">
      <c r="A651" s="13">
        <v>60752</v>
      </c>
      <c r="B651" s="95">
        <f t="shared" si="98"/>
        <v>30</v>
      </c>
      <c r="C651" s="83">
        <f>141.293</f>
        <v>141.29300000000001</v>
      </c>
      <c r="D651" s="83">
        <f>267.993</f>
        <v>267.99299999999999</v>
      </c>
      <c r="E651" s="92">
        <f>115.016</f>
        <v>115.01600000000001</v>
      </c>
      <c r="F651" s="83">
        <f>314.698-40-25-60-100</f>
        <v>89.697999999999979</v>
      </c>
      <c r="G651" s="86">
        <v>40</v>
      </c>
      <c r="H651" s="83">
        <f t="shared" ref="H651:H657" si="104">25+60+100</f>
        <v>185</v>
      </c>
      <c r="I651" s="83">
        <f t="shared" si="102"/>
        <v>0</v>
      </c>
      <c r="J651" s="86">
        <v>100</v>
      </c>
      <c r="K651" s="86">
        <v>300</v>
      </c>
      <c r="L651" s="83">
        <f t="shared" si="94"/>
        <v>1239</v>
      </c>
      <c r="M651" s="94">
        <v>600</v>
      </c>
      <c r="N651" s="83">
        <f>100</f>
        <v>100</v>
      </c>
      <c r="O651" s="86">
        <v>240</v>
      </c>
      <c r="P651" s="86">
        <v>40</v>
      </c>
      <c r="Q651" s="86">
        <f t="shared" si="95"/>
        <v>315</v>
      </c>
      <c r="R651" s="86">
        <f t="shared" si="96"/>
        <v>100</v>
      </c>
      <c r="S651" s="83">
        <f t="shared" si="97"/>
        <v>695</v>
      </c>
      <c r="T651" s="83">
        <f>50</f>
        <v>50</v>
      </c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</row>
    <row r="652" spans="1:30" ht="15.75" x14ac:dyDescent="0.25">
      <c r="A652" s="13">
        <v>60783</v>
      </c>
      <c r="B652" s="95">
        <f t="shared" si="98"/>
        <v>31</v>
      </c>
      <c r="C652" s="83">
        <f>194.205</f>
        <v>194.20500000000001</v>
      </c>
      <c r="D652" s="83">
        <f>267.466</f>
        <v>267.46600000000001</v>
      </c>
      <c r="E652" s="92">
        <f>133.845</f>
        <v>133.845</v>
      </c>
      <c r="F652" s="83">
        <f>278.484-40-25-60-100</f>
        <v>53.48399999999998</v>
      </c>
      <c r="G652" s="86">
        <v>40</v>
      </c>
      <c r="H652" s="83">
        <f t="shared" si="104"/>
        <v>185</v>
      </c>
      <c r="I652" s="83">
        <f t="shared" si="102"/>
        <v>0</v>
      </c>
      <c r="J652" s="86">
        <v>100</v>
      </c>
      <c r="K652" s="86">
        <v>300</v>
      </c>
      <c r="L652" s="83">
        <f t="shared" si="94"/>
        <v>1274</v>
      </c>
      <c r="M652" s="94">
        <v>600</v>
      </c>
      <c r="N652" s="83">
        <f>75</f>
        <v>75</v>
      </c>
      <c r="O652" s="86">
        <v>240</v>
      </c>
      <c r="P652" s="86">
        <v>40</v>
      </c>
      <c r="Q652" s="86">
        <f t="shared" si="95"/>
        <v>315</v>
      </c>
      <c r="R652" s="86">
        <f t="shared" si="96"/>
        <v>100</v>
      </c>
      <c r="S652" s="83">
        <f t="shared" si="97"/>
        <v>695</v>
      </c>
      <c r="T652" s="83">
        <f>50</f>
        <v>50</v>
      </c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</row>
    <row r="653" spans="1:30" ht="15.75" x14ac:dyDescent="0.25">
      <c r="A653" s="13">
        <v>60813</v>
      </c>
      <c r="B653" s="95">
        <f t="shared" si="98"/>
        <v>30</v>
      </c>
      <c r="C653" s="83">
        <f>194.205</f>
        <v>194.20500000000001</v>
      </c>
      <c r="D653" s="83">
        <f>267.466</f>
        <v>267.46600000000001</v>
      </c>
      <c r="E653" s="92">
        <f>133.845</f>
        <v>133.845</v>
      </c>
      <c r="F653" s="83">
        <f>278.484-40-25-60-100</f>
        <v>53.48399999999998</v>
      </c>
      <c r="G653" s="86">
        <v>40</v>
      </c>
      <c r="H653" s="83">
        <f t="shared" si="104"/>
        <v>185</v>
      </c>
      <c r="I653" s="83">
        <f t="shared" si="102"/>
        <v>0</v>
      </c>
      <c r="J653" s="86">
        <v>100</v>
      </c>
      <c r="K653" s="86">
        <v>300</v>
      </c>
      <c r="L653" s="83">
        <f t="shared" si="94"/>
        <v>1274</v>
      </c>
      <c r="M653" s="94">
        <v>600</v>
      </c>
      <c r="N653" s="83">
        <f>30</f>
        <v>30</v>
      </c>
      <c r="O653" s="86">
        <v>240</v>
      </c>
      <c r="P653" s="86">
        <v>40</v>
      </c>
      <c r="Q653" s="86">
        <f t="shared" si="95"/>
        <v>315</v>
      </c>
      <c r="R653" s="86">
        <f t="shared" si="96"/>
        <v>100</v>
      </c>
      <c r="S653" s="83">
        <f t="shared" si="97"/>
        <v>695</v>
      </c>
      <c r="T653" s="83">
        <f>50</f>
        <v>50</v>
      </c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</row>
    <row r="654" spans="1:30" ht="15.75" x14ac:dyDescent="0.25">
      <c r="A654" s="13">
        <v>60844</v>
      </c>
      <c r="B654" s="95">
        <f t="shared" si="98"/>
        <v>31</v>
      </c>
      <c r="C654" s="83">
        <f>194.205</f>
        <v>194.20500000000001</v>
      </c>
      <c r="D654" s="83">
        <f>267.466</f>
        <v>267.46600000000001</v>
      </c>
      <c r="E654" s="92">
        <f>133.845</f>
        <v>133.845</v>
      </c>
      <c r="F654" s="83">
        <f>278.484-40-25-60-100</f>
        <v>53.48399999999998</v>
      </c>
      <c r="G654" s="86">
        <v>40</v>
      </c>
      <c r="H654" s="83">
        <f t="shared" si="104"/>
        <v>185</v>
      </c>
      <c r="I654" s="83">
        <f t="shared" si="102"/>
        <v>0</v>
      </c>
      <c r="J654" s="86">
        <v>100</v>
      </c>
      <c r="K654" s="86">
        <v>300</v>
      </c>
      <c r="L654" s="83">
        <f t="shared" si="94"/>
        <v>1274</v>
      </c>
      <c r="M654" s="94">
        <v>600</v>
      </c>
      <c r="N654" s="83">
        <f>30</f>
        <v>30</v>
      </c>
      <c r="O654" s="86">
        <v>240</v>
      </c>
      <c r="P654" s="86">
        <v>40</v>
      </c>
      <c r="Q654" s="86">
        <f t="shared" si="95"/>
        <v>315</v>
      </c>
      <c r="R654" s="86">
        <f t="shared" si="96"/>
        <v>100</v>
      </c>
      <c r="S654" s="83">
        <f t="shared" si="97"/>
        <v>695</v>
      </c>
      <c r="T654" s="83">
        <f>0</f>
        <v>0</v>
      </c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</row>
    <row r="655" spans="1:30" ht="15.75" x14ac:dyDescent="0.25">
      <c r="A655" s="13">
        <v>60875</v>
      </c>
      <c r="B655" s="95">
        <f t="shared" si="98"/>
        <v>31</v>
      </c>
      <c r="C655" s="83">
        <f>194.205</f>
        <v>194.20500000000001</v>
      </c>
      <c r="D655" s="83">
        <f>267.466</f>
        <v>267.46600000000001</v>
      </c>
      <c r="E655" s="92">
        <f>133.845</f>
        <v>133.845</v>
      </c>
      <c r="F655" s="83">
        <f>278.484-40-25-60-100</f>
        <v>53.48399999999998</v>
      </c>
      <c r="G655" s="86">
        <v>40</v>
      </c>
      <c r="H655" s="83">
        <f t="shared" si="104"/>
        <v>185</v>
      </c>
      <c r="I655" s="83">
        <f t="shared" si="102"/>
        <v>0</v>
      </c>
      <c r="J655" s="86">
        <v>100</v>
      </c>
      <c r="K655" s="86">
        <v>300</v>
      </c>
      <c r="L655" s="83">
        <f t="shared" si="94"/>
        <v>1274</v>
      </c>
      <c r="M655" s="94">
        <v>600</v>
      </c>
      <c r="N655" s="83">
        <f>30</f>
        <v>30</v>
      </c>
      <c r="O655" s="86">
        <v>240</v>
      </c>
      <c r="P655" s="86">
        <v>40</v>
      </c>
      <c r="Q655" s="86">
        <f t="shared" si="95"/>
        <v>315</v>
      </c>
      <c r="R655" s="86">
        <f t="shared" si="96"/>
        <v>100</v>
      </c>
      <c r="S655" s="83">
        <f t="shared" si="97"/>
        <v>695</v>
      </c>
      <c r="T655" s="83">
        <f>0</f>
        <v>0</v>
      </c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</row>
    <row r="656" spans="1:30" ht="15.75" x14ac:dyDescent="0.25">
      <c r="A656" s="13">
        <v>60905</v>
      </c>
      <c r="B656" s="95">
        <f t="shared" si="98"/>
        <v>30</v>
      </c>
      <c r="C656" s="83">
        <f>194.205</f>
        <v>194.20500000000001</v>
      </c>
      <c r="D656" s="83">
        <f>267.466</f>
        <v>267.46600000000001</v>
      </c>
      <c r="E656" s="92">
        <f>133.845</f>
        <v>133.845</v>
      </c>
      <c r="F656" s="83">
        <f>278.484-40-25-60-100</f>
        <v>53.48399999999998</v>
      </c>
      <c r="G656" s="86">
        <v>40</v>
      </c>
      <c r="H656" s="83">
        <f t="shared" si="104"/>
        <v>185</v>
      </c>
      <c r="I656" s="83">
        <f t="shared" si="102"/>
        <v>0</v>
      </c>
      <c r="J656" s="86">
        <v>100</v>
      </c>
      <c r="K656" s="86">
        <v>300</v>
      </c>
      <c r="L656" s="83">
        <f t="shared" si="94"/>
        <v>1274</v>
      </c>
      <c r="M656" s="94">
        <v>600</v>
      </c>
      <c r="N656" s="83">
        <f>30</f>
        <v>30</v>
      </c>
      <c r="O656" s="86">
        <v>240</v>
      </c>
      <c r="P656" s="86">
        <v>40</v>
      </c>
      <c r="Q656" s="86">
        <f t="shared" si="95"/>
        <v>315</v>
      </c>
      <c r="R656" s="86">
        <f t="shared" si="96"/>
        <v>100</v>
      </c>
      <c r="S656" s="83">
        <f t="shared" si="97"/>
        <v>695</v>
      </c>
      <c r="T656" s="83">
        <f>0</f>
        <v>0</v>
      </c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</row>
    <row r="657" spans="1:30" ht="15.75" x14ac:dyDescent="0.25">
      <c r="A657" s="13">
        <v>60936</v>
      </c>
      <c r="B657" s="95">
        <f t="shared" si="98"/>
        <v>31</v>
      </c>
      <c r="C657" s="83">
        <f>131.881</f>
        <v>131.881</v>
      </c>
      <c r="D657" s="83">
        <f>277.167</f>
        <v>277.16699999999997</v>
      </c>
      <c r="E657" s="92">
        <f>79.08</f>
        <v>79.08</v>
      </c>
      <c r="F657" s="83">
        <f>350.872-40-25-60-100</f>
        <v>125.87200000000001</v>
      </c>
      <c r="G657" s="86">
        <v>40</v>
      </c>
      <c r="H657" s="83">
        <f t="shared" si="104"/>
        <v>185</v>
      </c>
      <c r="I657" s="83">
        <f t="shared" si="102"/>
        <v>0</v>
      </c>
      <c r="J657" s="86">
        <v>100</v>
      </c>
      <c r="K657" s="86">
        <v>300</v>
      </c>
      <c r="L657" s="83">
        <f t="shared" si="94"/>
        <v>1239</v>
      </c>
      <c r="M657" s="94">
        <v>600</v>
      </c>
      <c r="N657" s="83">
        <f>75</f>
        <v>75</v>
      </c>
      <c r="O657" s="86">
        <v>240</v>
      </c>
      <c r="P657" s="86">
        <v>40</v>
      </c>
      <c r="Q657" s="86">
        <f t="shared" si="95"/>
        <v>315</v>
      </c>
      <c r="R657" s="86">
        <f t="shared" si="96"/>
        <v>100</v>
      </c>
      <c r="S657" s="83">
        <f t="shared" si="97"/>
        <v>695</v>
      </c>
      <c r="T657" s="83">
        <f>0</f>
        <v>0</v>
      </c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</row>
    <row r="658" spans="1:30" ht="15.75" x14ac:dyDescent="0.25">
      <c r="A658" s="13">
        <v>60966</v>
      </c>
      <c r="B658" s="95">
        <f t="shared" si="98"/>
        <v>30</v>
      </c>
      <c r="C658" s="83">
        <f>122.58</f>
        <v>122.58</v>
      </c>
      <c r="D658" s="83">
        <f>297.941</f>
        <v>297.94099999999997</v>
      </c>
      <c r="E658" s="92">
        <f>89.177</f>
        <v>89.177000000000007</v>
      </c>
      <c r="F658" s="83">
        <f>240.302-40-60-100</f>
        <v>40.301999999999992</v>
      </c>
      <c r="G658" s="86">
        <v>40</v>
      </c>
      <c r="H658" s="83">
        <f>60+100</f>
        <v>160</v>
      </c>
      <c r="I658" s="83">
        <f t="shared" si="102"/>
        <v>0</v>
      </c>
      <c r="J658" s="86">
        <v>100</v>
      </c>
      <c r="K658" s="86">
        <v>300</v>
      </c>
      <c r="L658" s="83">
        <f t="shared" si="94"/>
        <v>1150</v>
      </c>
      <c r="M658" s="94">
        <v>600</v>
      </c>
      <c r="N658" s="83">
        <f>100</f>
        <v>100</v>
      </c>
      <c r="O658" s="86">
        <v>240</v>
      </c>
      <c r="P658" s="86">
        <v>40</v>
      </c>
      <c r="Q658" s="86">
        <f t="shared" si="95"/>
        <v>315</v>
      </c>
      <c r="R658" s="86">
        <f t="shared" si="96"/>
        <v>100</v>
      </c>
      <c r="S658" s="83">
        <f t="shared" si="97"/>
        <v>695</v>
      </c>
      <c r="T658" s="83">
        <f>50</f>
        <v>50</v>
      </c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</row>
    <row r="659" spans="1:30" ht="15.75" x14ac:dyDescent="0.25">
      <c r="A659" s="13">
        <v>60997</v>
      </c>
      <c r="B659" s="95">
        <f t="shared" si="98"/>
        <v>31</v>
      </c>
      <c r="C659" s="83">
        <f>122.58</f>
        <v>122.58</v>
      </c>
      <c r="D659" s="83">
        <f>297.941</f>
        <v>297.94099999999997</v>
      </c>
      <c r="E659" s="92">
        <f>89.177</f>
        <v>89.177000000000007</v>
      </c>
      <c r="F659" s="83">
        <f>240.302-40-60-100</f>
        <v>40.301999999999992</v>
      </c>
      <c r="G659" s="86">
        <v>40</v>
      </c>
      <c r="H659" s="83">
        <f>60+100</f>
        <v>160</v>
      </c>
      <c r="I659" s="83">
        <f t="shared" si="102"/>
        <v>0</v>
      </c>
      <c r="J659" s="86">
        <v>100</v>
      </c>
      <c r="K659" s="86">
        <v>300</v>
      </c>
      <c r="L659" s="83">
        <f t="shared" si="94"/>
        <v>1150</v>
      </c>
      <c r="M659" s="94">
        <v>600</v>
      </c>
      <c r="N659" s="83">
        <f>100</f>
        <v>100</v>
      </c>
      <c r="O659" s="86">
        <v>240</v>
      </c>
      <c r="P659" s="86">
        <v>40</v>
      </c>
      <c r="Q659" s="86">
        <f t="shared" si="95"/>
        <v>315</v>
      </c>
      <c r="R659" s="86">
        <f t="shared" si="96"/>
        <v>100</v>
      </c>
      <c r="S659" s="83">
        <f t="shared" si="97"/>
        <v>695</v>
      </c>
      <c r="T659" s="83">
        <f>50</f>
        <v>50</v>
      </c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</row>
    <row r="660" spans="1:30" ht="15.75" x14ac:dyDescent="0.25">
      <c r="A660" s="13">
        <v>61028</v>
      </c>
      <c r="B660" s="95">
        <f t="shared" si="98"/>
        <v>31</v>
      </c>
      <c r="C660" s="83">
        <f>122.58</f>
        <v>122.58</v>
      </c>
      <c r="D660" s="83">
        <f>297.941</f>
        <v>297.94099999999997</v>
      </c>
      <c r="E660" s="92">
        <f>89.177</f>
        <v>89.177000000000007</v>
      </c>
      <c r="F660" s="83">
        <f>240.302-40-60-100</f>
        <v>40.301999999999992</v>
      </c>
      <c r="G660" s="86">
        <v>40</v>
      </c>
      <c r="H660" s="83">
        <f>60+100</f>
        <v>160</v>
      </c>
      <c r="I660" s="83">
        <f t="shared" si="102"/>
        <v>0</v>
      </c>
      <c r="J660" s="86">
        <v>100</v>
      </c>
      <c r="K660" s="86">
        <v>300</v>
      </c>
      <c r="L660" s="83">
        <f t="shared" si="94"/>
        <v>1150</v>
      </c>
      <c r="M660" s="94">
        <v>600</v>
      </c>
      <c r="N660" s="83">
        <f>100</f>
        <v>100</v>
      </c>
      <c r="O660" s="86">
        <v>240</v>
      </c>
      <c r="P660" s="86">
        <v>40</v>
      </c>
      <c r="Q660" s="86">
        <f t="shared" si="95"/>
        <v>315</v>
      </c>
      <c r="R660" s="86">
        <f t="shared" si="96"/>
        <v>100</v>
      </c>
      <c r="S660" s="83">
        <f t="shared" si="97"/>
        <v>695</v>
      </c>
      <c r="T660" s="83">
        <f>50</f>
        <v>50</v>
      </c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</row>
    <row r="661" spans="1:30" ht="15.75" x14ac:dyDescent="0.25">
      <c r="A661" s="13">
        <v>61056</v>
      </c>
      <c r="B661" s="95">
        <f t="shared" si="98"/>
        <v>28</v>
      </c>
      <c r="C661" s="83">
        <f>122.58</f>
        <v>122.58</v>
      </c>
      <c r="D661" s="83">
        <f>297.941</f>
        <v>297.94099999999997</v>
      </c>
      <c r="E661" s="92">
        <f>89.177</f>
        <v>89.177000000000007</v>
      </c>
      <c r="F661" s="83">
        <f>240.302-40-60-100</f>
        <v>40.301999999999992</v>
      </c>
      <c r="G661" s="86">
        <v>40</v>
      </c>
      <c r="H661" s="83">
        <f>60+100</f>
        <v>160</v>
      </c>
      <c r="I661" s="83">
        <f t="shared" si="102"/>
        <v>0</v>
      </c>
      <c r="J661" s="86">
        <v>100</v>
      </c>
      <c r="K661" s="86">
        <v>300</v>
      </c>
      <c r="L661" s="83">
        <f t="shared" si="94"/>
        <v>1150</v>
      </c>
      <c r="M661" s="94">
        <v>600</v>
      </c>
      <c r="N661" s="83">
        <f>100</f>
        <v>100</v>
      </c>
      <c r="O661" s="86">
        <v>240</v>
      </c>
      <c r="P661" s="86">
        <v>40</v>
      </c>
      <c r="Q661" s="86">
        <f t="shared" si="95"/>
        <v>315</v>
      </c>
      <c r="R661" s="86">
        <f t="shared" si="96"/>
        <v>100</v>
      </c>
      <c r="S661" s="83">
        <f t="shared" si="97"/>
        <v>695</v>
      </c>
      <c r="T661" s="83">
        <f>50</f>
        <v>50</v>
      </c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</row>
    <row r="662" spans="1:30" ht="15.75" x14ac:dyDescent="0.25">
      <c r="A662" s="13">
        <v>61087</v>
      </c>
      <c r="B662" s="95">
        <f t="shared" si="98"/>
        <v>31</v>
      </c>
      <c r="C662" s="83">
        <f>122.58</f>
        <v>122.58</v>
      </c>
      <c r="D662" s="83">
        <f>297.941</f>
        <v>297.94099999999997</v>
      </c>
      <c r="E662" s="92">
        <f>89.177</f>
        <v>89.177000000000007</v>
      </c>
      <c r="F662" s="83">
        <f>240.302-40-60-100</f>
        <v>40.301999999999992</v>
      </c>
      <c r="G662" s="86">
        <v>40</v>
      </c>
      <c r="H662" s="83">
        <f>60+100</f>
        <v>160</v>
      </c>
      <c r="I662" s="83">
        <f t="shared" si="102"/>
        <v>0</v>
      </c>
      <c r="J662" s="86">
        <v>100</v>
      </c>
      <c r="K662" s="86">
        <v>300</v>
      </c>
      <c r="L662" s="83">
        <f t="shared" si="94"/>
        <v>1150</v>
      </c>
      <c r="M662" s="94">
        <v>600</v>
      </c>
      <c r="N662" s="83">
        <f>100</f>
        <v>100</v>
      </c>
      <c r="O662" s="86">
        <v>240</v>
      </c>
      <c r="P662" s="86">
        <v>40</v>
      </c>
      <c r="Q662" s="86">
        <f t="shared" si="95"/>
        <v>315</v>
      </c>
      <c r="R662" s="86">
        <f t="shared" si="96"/>
        <v>100</v>
      </c>
      <c r="S662" s="83">
        <f t="shared" si="97"/>
        <v>695</v>
      </c>
      <c r="T662" s="83">
        <f>50</f>
        <v>50</v>
      </c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</row>
    <row r="663" spans="1:30" ht="15.75" x14ac:dyDescent="0.25">
      <c r="A663" s="13">
        <v>61117</v>
      </c>
      <c r="B663" s="95">
        <f t="shared" si="98"/>
        <v>30</v>
      </c>
      <c r="C663" s="83">
        <f>141.293</f>
        <v>141.29300000000001</v>
      </c>
      <c r="D663" s="83">
        <f>267.993</f>
        <v>267.99299999999999</v>
      </c>
      <c r="E663" s="92">
        <f>115.016</f>
        <v>115.01600000000001</v>
      </c>
      <c r="F663" s="83">
        <f>314.698-40-25-60-100</f>
        <v>89.697999999999979</v>
      </c>
      <c r="G663" s="86">
        <v>40</v>
      </c>
      <c r="H663" s="83">
        <f t="shared" ref="H663:H669" si="105">25+60+100</f>
        <v>185</v>
      </c>
      <c r="I663" s="83">
        <f t="shared" si="102"/>
        <v>0</v>
      </c>
      <c r="J663" s="86">
        <v>100</v>
      </c>
      <c r="K663" s="86">
        <v>300</v>
      </c>
      <c r="L663" s="83">
        <f t="shared" ref="L663:L726" si="106">SUM(C663:K663)</f>
        <v>1239</v>
      </c>
      <c r="M663" s="94">
        <v>600</v>
      </c>
      <c r="N663" s="83">
        <f>100</f>
        <v>100</v>
      </c>
      <c r="O663" s="86">
        <v>240</v>
      </c>
      <c r="P663" s="86">
        <v>40</v>
      </c>
      <c r="Q663" s="86">
        <f t="shared" ref="Q663:Q726" si="107">695-R663-O663-P663</f>
        <v>315</v>
      </c>
      <c r="R663" s="86">
        <f t="shared" ref="R663:R726" si="108">200-J663</f>
        <v>100</v>
      </c>
      <c r="S663" s="83">
        <f t="shared" ref="S663:S726" si="109">SUM(O663:R663)</f>
        <v>695</v>
      </c>
      <c r="T663" s="83">
        <f>50</f>
        <v>50</v>
      </c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</row>
    <row r="664" spans="1:30" ht="15.75" x14ac:dyDescent="0.25">
      <c r="A664" s="13">
        <v>61148</v>
      </c>
      <c r="B664" s="95">
        <f t="shared" ref="B664:B727" si="110">EOMONTH(A664,0)-EOMONTH(A664,-1)</f>
        <v>31</v>
      </c>
      <c r="C664" s="83">
        <f>194.205</f>
        <v>194.20500000000001</v>
      </c>
      <c r="D664" s="83">
        <f>267.466</f>
        <v>267.46600000000001</v>
      </c>
      <c r="E664" s="92">
        <f>133.845</f>
        <v>133.845</v>
      </c>
      <c r="F664" s="83">
        <f>278.484-40-25-60-100</f>
        <v>53.48399999999998</v>
      </c>
      <c r="G664" s="86">
        <v>40</v>
      </c>
      <c r="H664" s="83">
        <f t="shared" si="105"/>
        <v>185</v>
      </c>
      <c r="I664" s="83">
        <f t="shared" si="102"/>
        <v>0</v>
      </c>
      <c r="J664" s="86">
        <v>100</v>
      </c>
      <c r="K664" s="86">
        <v>300</v>
      </c>
      <c r="L664" s="83">
        <f t="shared" si="106"/>
        <v>1274</v>
      </c>
      <c r="M664" s="94">
        <v>600</v>
      </c>
      <c r="N664" s="83">
        <f>75</f>
        <v>75</v>
      </c>
      <c r="O664" s="86">
        <v>240</v>
      </c>
      <c r="P664" s="86">
        <v>40</v>
      </c>
      <c r="Q664" s="86">
        <f t="shared" si="107"/>
        <v>315</v>
      </c>
      <c r="R664" s="86">
        <f t="shared" si="108"/>
        <v>100</v>
      </c>
      <c r="S664" s="83">
        <f t="shared" si="109"/>
        <v>695</v>
      </c>
      <c r="T664" s="83">
        <f>50</f>
        <v>50</v>
      </c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</row>
    <row r="665" spans="1:30" ht="15.75" x14ac:dyDescent="0.25">
      <c r="A665" s="13">
        <v>61178</v>
      </c>
      <c r="B665" s="95">
        <f t="shared" si="110"/>
        <v>30</v>
      </c>
      <c r="C665" s="83">
        <f>194.205</f>
        <v>194.20500000000001</v>
      </c>
      <c r="D665" s="83">
        <f>267.466</f>
        <v>267.46600000000001</v>
      </c>
      <c r="E665" s="92">
        <f>133.845</f>
        <v>133.845</v>
      </c>
      <c r="F665" s="83">
        <f>278.484-40-25-60-100</f>
        <v>53.48399999999998</v>
      </c>
      <c r="G665" s="86">
        <v>40</v>
      </c>
      <c r="H665" s="83">
        <f t="shared" si="105"/>
        <v>185</v>
      </c>
      <c r="I665" s="83">
        <f t="shared" si="102"/>
        <v>0</v>
      </c>
      <c r="J665" s="86">
        <v>100</v>
      </c>
      <c r="K665" s="86">
        <v>300</v>
      </c>
      <c r="L665" s="83">
        <f t="shared" si="106"/>
        <v>1274</v>
      </c>
      <c r="M665" s="94">
        <v>600</v>
      </c>
      <c r="N665" s="83">
        <f>30</f>
        <v>30</v>
      </c>
      <c r="O665" s="86">
        <v>240</v>
      </c>
      <c r="P665" s="86">
        <v>40</v>
      </c>
      <c r="Q665" s="86">
        <f t="shared" si="107"/>
        <v>315</v>
      </c>
      <c r="R665" s="86">
        <f t="shared" si="108"/>
        <v>100</v>
      </c>
      <c r="S665" s="83">
        <f t="shared" si="109"/>
        <v>695</v>
      </c>
      <c r="T665" s="83">
        <f>50</f>
        <v>50</v>
      </c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</row>
    <row r="666" spans="1:30" ht="15.75" x14ac:dyDescent="0.25">
      <c r="A666" s="13">
        <v>61209</v>
      </c>
      <c r="B666" s="95">
        <f t="shared" si="110"/>
        <v>31</v>
      </c>
      <c r="C666" s="83">
        <f>194.205</f>
        <v>194.20500000000001</v>
      </c>
      <c r="D666" s="83">
        <f>267.466</f>
        <v>267.46600000000001</v>
      </c>
      <c r="E666" s="92">
        <f>133.845</f>
        <v>133.845</v>
      </c>
      <c r="F666" s="83">
        <f>278.484-40-25-60-100</f>
        <v>53.48399999999998</v>
      </c>
      <c r="G666" s="86">
        <v>40</v>
      </c>
      <c r="H666" s="83">
        <f t="shared" si="105"/>
        <v>185</v>
      </c>
      <c r="I666" s="83">
        <f t="shared" si="102"/>
        <v>0</v>
      </c>
      <c r="J666" s="86">
        <v>100</v>
      </c>
      <c r="K666" s="86">
        <v>300</v>
      </c>
      <c r="L666" s="83">
        <f t="shared" si="106"/>
        <v>1274</v>
      </c>
      <c r="M666" s="94">
        <v>600</v>
      </c>
      <c r="N666" s="83">
        <f>30</f>
        <v>30</v>
      </c>
      <c r="O666" s="86">
        <v>240</v>
      </c>
      <c r="P666" s="86">
        <v>40</v>
      </c>
      <c r="Q666" s="86">
        <f t="shared" si="107"/>
        <v>315</v>
      </c>
      <c r="R666" s="86">
        <f t="shared" si="108"/>
        <v>100</v>
      </c>
      <c r="S666" s="83">
        <f t="shared" si="109"/>
        <v>695</v>
      </c>
      <c r="T666" s="83">
        <f>0</f>
        <v>0</v>
      </c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</row>
    <row r="667" spans="1:30" ht="15.75" x14ac:dyDescent="0.25">
      <c r="A667" s="13">
        <v>61240</v>
      </c>
      <c r="B667" s="95">
        <f t="shared" si="110"/>
        <v>31</v>
      </c>
      <c r="C667" s="83">
        <f>194.205</f>
        <v>194.20500000000001</v>
      </c>
      <c r="D667" s="83">
        <f>267.466</f>
        <v>267.46600000000001</v>
      </c>
      <c r="E667" s="92">
        <f>133.845</f>
        <v>133.845</v>
      </c>
      <c r="F667" s="83">
        <f>278.484-40-25-60-100</f>
        <v>53.48399999999998</v>
      </c>
      <c r="G667" s="86">
        <v>40</v>
      </c>
      <c r="H667" s="83">
        <f t="shared" si="105"/>
        <v>185</v>
      </c>
      <c r="I667" s="83">
        <f t="shared" si="102"/>
        <v>0</v>
      </c>
      <c r="J667" s="86">
        <v>100</v>
      </c>
      <c r="K667" s="86">
        <v>300</v>
      </c>
      <c r="L667" s="83">
        <f t="shared" si="106"/>
        <v>1274</v>
      </c>
      <c r="M667" s="94">
        <v>600</v>
      </c>
      <c r="N667" s="83">
        <f>30</f>
        <v>30</v>
      </c>
      <c r="O667" s="86">
        <v>240</v>
      </c>
      <c r="P667" s="86">
        <v>40</v>
      </c>
      <c r="Q667" s="86">
        <f t="shared" si="107"/>
        <v>315</v>
      </c>
      <c r="R667" s="86">
        <f t="shared" si="108"/>
        <v>100</v>
      </c>
      <c r="S667" s="83">
        <f t="shared" si="109"/>
        <v>695</v>
      </c>
      <c r="T667" s="83">
        <f>0</f>
        <v>0</v>
      </c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</row>
    <row r="668" spans="1:30" ht="15.75" x14ac:dyDescent="0.25">
      <c r="A668" s="13">
        <v>61270</v>
      </c>
      <c r="B668" s="95">
        <f t="shared" si="110"/>
        <v>30</v>
      </c>
      <c r="C668" s="83">
        <f>194.205</f>
        <v>194.20500000000001</v>
      </c>
      <c r="D668" s="83">
        <f>267.466</f>
        <v>267.46600000000001</v>
      </c>
      <c r="E668" s="92">
        <f>133.845</f>
        <v>133.845</v>
      </c>
      <c r="F668" s="83">
        <f>278.484-40-25-60-100</f>
        <v>53.48399999999998</v>
      </c>
      <c r="G668" s="86">
        <v>40</v>
      </c>
      <c r="H668" s="83">
        <f t="shared" si="105"/>
        <v>185</v>
      </c>
      <c r="I668" s="83">
        <f t="shared" si="102"/>
        <v>0</v>
      </c>
      <c r="J668" s="86">
        <v>100</v>
      </c>
      <c r="K668" s="86">
        <v>300</v>
      </c>
      <c r="L668" s="83">
        <f t="shared" si="106"/>
        <v>1274</v>
      </c>
      <c r="M668" s="94">
        <v>600</v>
      </c>
      <c r="N668" s="83">
        <f>30</f>
        <v>30</v>
      </c>
      <c r="O668" s="86">
        <v>240</v>
      </c>
      <c r="P668" s="86">
        <v>40</v>
      </c>
      <c r="Q668" s="86">
        <f t="shared" si="107"/>
        <v>315</v>
      </c>
      <c r="R668" s="86">
        <f t="shared" si="108"/>
        <v>100</v>
      </c>
      <c r="S668" s="83">
        <f t="shared" si="109"/>
        <v>695</v>
      </c>
      <c r="T668" s="83">
        <f>0</f>
        <v>0</v>
      </c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</row>
    <row r="669" spans="1:30" ht="15.75" x14ac:dyDescent="0.25">
      <c r="A669" s="13">
        <v>61301</v>
      </c>
      <c r="B669" s="95">
        <f t="shared" si="110"/>
        <v>31</v>
      </c>
      <c r="C669" s="83">
        <f>131.881</f>
        <v>131.881</v>
      </c>
      <c r="D669" s="83">
        <f>277.167</f>
        <v>277.16699999999997</v>
      </c>
      <c r="E669" s="92">
        <f>79.08</f>
        <v>79.08</v>
      </c>
      <c r="F669" s="83">
        <f>350.872-40-25-60-100</f>
        <v>125.87200000000001</v>
      </c>
      <c r="G669" s="86">
        <v>40</v>
      </c>
      <c r="H669" s="83">
        <f t="shared" si="105"/>
        <v>185</v>
      </c>
      <c r="I669" s="83">
        <f t="shared" si="102"/>
        <v>0</v>
      </c>
      <c r="J669" s="86">
        <v>100</v>
      </c>
      <c r="K669" s="86">
        <v>300</v>
      </c>
      <c r="L669" s="83">
        <f t="shared" si="106"/>
        <v>1239</v>
      </c>
      <c r="M669" s="94">
        <v>600</v>
      </c>
      <c r="N669" s="83">
        <f>75</f>
        <v>75</v>
      </c>
      <c r="O669" s="86">
        <v>240</v>
      </c>
      <c r="P669" s="86">
        <v>40</v>
      </c>
      <c r="Q669" s="86">
        <f t="shared" si="107"/>
        <v>315</v>
      </c>
      <c r="R669" s="86">
        <f t="shared" si="108"/>
        <v>100</v>
      </c>
      <c r="S669" s="83">
        <f t="shared" si="109"/>
        <v>695</v>
      </c>
      <c r="T669" s="83">
        <f>0</f>
        <v>0</v>
      </c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</row>
    <row r="670" spans="1:30" ht="15.75" x14ac:dyDescent="0.25">
      <c r="A670" s="13">
        <v>61331</v>
      </c>
      <c r="B670" s="95">
        <f t="shared" si="110"/>
        <v>30</v>
      </c>
      <c r="C670" s="83">
        <f>122.58</f>
        <v>122.58</v>
      </c>
      <c r="D670" s="83">
        <f>297.941</f>
        <v>297.94099999999997</v>
      </c>
      <c r="E670" s="92">
        <f>89.177</f>
        <v>89.177000000000007</v>
      </c>
      <c r="F670" s="83">
        <f>240.302-40-60-100</f>
        <v>40.301999999999992</v>
      </c>
      <c r="G670" s="86">
        <v>40</v>
      </c>
      <c r="H670" s="83">
        <f>60+100</f>
        <v>160</v>
      </c>
      <c r="I670" s="83">
        <f t="shared" si="102"/>
        <v>0</v>
      </c>
      <c r="J670" s="86">
        <v>100</v>
      </c>
      <c r="K670" s="86">
        <v>300</v>
      </c>
      <c r="L670" s="83">
        <f t="shared" si="106"/>
        <v>1150</v>
      </c>
      <c r="M670" s="94">
        <v>600</v>
      </c>
      <c r="N670" s="83">
        <f>100</f>
        <v>100</v>
      </c>
      <c r="O670" s="86">
        <v>240</v>
      </c>
      <c r="P670" s="86">
        <v>40</v>
      </c>
      <c r="Q670" s="86">
        <f t="shared" si="107"/>
        <v>315</v>
      </c>
      <c r="R670" s="86">
        <f t="shared" si="108"/>
        <v>100</v>
      </c>
      <c r="S670" s="83">
        <f t="shared" si="109"/>
        <v>695</v>
      </c>
      <c r="T670" s="83">
        <f>50</f>
        <v>50</v>
      </c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</row>
    <row r="671" spans="1:30" ht="15.75" x14ac:dyDescent="0.25">
      <c r="A671" s="13">
        <v>61362</v>
      </c>
      <c r="B671" s="95">
        <f t="shared" si="110"/>
        <v>31</v>
      </c>
      <c r="C671" s="83">
        <f>122.58</f>
        <v>122.58</v>
      </c>
      <c r="D671" s="83">
        <f>297.941</f>
        <v>297.94099999999997</v>
      </c>
      <c r="E671" s="92">
        <f>89.177</f>
        <v>89.177000000000007</v>
      </c>
      <c r="F671" s="83">
        <f>240.302-40-60-100</f>
        <v>40.301999999999992</v>
      </c>
      <c r="G671" s="86">
        <v>40</v>
      </c>
      <c r="H671" s="83">
        <f>60+100</f>
        <v>160</v>
      </c>
      <c r="I671" s="83">
        <f t="shared" si="102"/>
        <v>0</v>
      </c>
      <c r="J671" s="86">
        <v>100</v>
      </c>
      <c r="K671" s="86">
        <v>300</v>
      </c>
      <c r="L671" s="83">
        <f t="shared" si="106"/>
        <v>1150</v>
      </c>
      <c r="M671" s="94">
        <v>600</v>
      </c>
      <c r="N671" s="83">
        <f>100</f>
        <v>100</v>
      </c>
      <c r="O671" s="86">
        <v>240</v>
      </c>
      <c r="P671" s="86">
        <v>40</v>
      </c>
      <c r="Q671" s="86">
        <f t="shared" si="107"/>
        <v>315</v>
      </c>
      <c r="R671" s="86">
        <f t="shared" si="108"/>
        <v>100</v>
      </c>
      <c r="S671" s="83">
        <f t="shared" si="109"/>
        <v>695</v>
      </c>
      <c r="T671" s="83">
        <f>50</f>
        <v>50</v>
      </c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</row>
    <row r="672" spans="1:30" ht="15.75" x14ac:dyDescent="0.25">
      <c r="A672" s="13">
        <v>61393</v>
      </c>
      <c r="B672" s="95">
        <f t="shared" si="110"/>
        <v>31</v>
      </c>
      <c r="C672" s="83">
        <f>122.58</f>
        <v>122.58</v>
      </c>
      <c r="D672" s="83">
        <f>297.941</f>
        <v>297.94099999999997</v>
      </c>
      <c r="E672" s="92">
        <f>89.177</f>
        <v>89.177000000000007</v>
      </c>
      <c r="F672" s="83">
        <f>240.302-40-60-100</f>
        <v>40.301999999999992</v>
      </c>
      <c r="G672" s="86">
        <v>40</v>
      </c>
      <c r="H672" s="83">
        <f>60+100</f>
        <v>160</v>
      </c>
      <c r="I672" s="83">
        <f t="shared" si="102"/>
        <v>0</v>
      </c>
      <c r="J672" s="86">
        <v>100</v>
      </c>
      <c r="K672" s="86">
        <v>300</v>
      </c>
      <c r="L672" s="83">
        <f t="shared" si="106"/>
        <v>1150</v>
      </c>
      <c r="M672" s="94">
        <v>600</v>
      </c>
      <c r="N672" s="83">
        <f>100</f>
        <v>100</v>
      </c>
      <c r="O672" s="86">
        <v>240</v>
      </c>
      <c r="P672" s="86">
        <v>40</v>
      </c>
      <c r="Q672" s="86">
        <f t="shared" si="107"/>
        <v>315</v>
      </c>
      <c r="R672" s="86">
        <f t="shared" si="108"/>
        <v>100</v>
      </c>
      <c r="S672" s="83">
        <f t="shared" si="109"/>
        <v>695</v>
      </c>
      <c r="T672" s="83">
        <f>50</f>
        <v>50</v>
      </c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</row>
    <row r="673" spans="1:30" ht="15.75" x14ac:dyDescent="0.25">
      <c r="A673" s="13">
        <v>61422</v>
      </c>
      <c r="B673" s="95">
        <f t="shared" si="110"/>
        <v>29</v>
      </c>
      <c r="C673" s="83">
        <f>122.58</f>
        <v>122.58</v>
      </c>
      <c r="D673" s="83">
        <f>297.941</f>
        <v>297.94099999999997</v>
      </c>
      <c r="E673" s="92">
        <f>89.177</f>
        <v>89.177000000000007</v>
      </c>
      <c r="F673" s="83">
        <f>240.302-40-60-100</f>
        <v>40.301999999999992</v>
      </c>
      <c r="G673" s="86">
        <v>40</v>
      </c>
      <c r="H673" s="83">
        <f>60+100</f>
        <v>160</v>
      </c>
      <c r="I673" s="83">
        <f t="shared" si="102"/>
        <v>0</v>
      </c>
      <c r="J673" s="86">
        <v>100</v>
      </c>
      <c r="K673" s="86">
        <v>300</v>
      </c>
      <c r="L673" s="83">
        <f t="shared" si="106"/>
        <v>1150</v>
      </c>
      <c r="M673" s="94">
        <v>600</v>
      </c>
      <c r="N673" s="83">
        <f>100</f>
        <v>100</v>
      </c>
      <c r="O673" s="86">
        <v>240</v>
      </c>
      <c r="P673" s="86">
        <v>40</v>
      </c>
      <c r="Q673" s="86">
        <f t="shared" si="107"/>
        <v>315</v>
      </c>
      <c r="R673" s="86">
        <f t="shared" si="108"/>
        <v>100</v>
      </c>
      <c r="S673" s="83">
        <f t="shared" si="109"/>
        <v>695</v>
      </c>
      <c r="T673" s="83">
        <f>50</f>
        <v>50</v>
      </c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</row>
    <row r="674" spans="1:30" ht="15.75" x14ac:dyDescent="0.25">
      <c r="A674" s="13">
        <v>61453</v>
      </c>
      <c r="B674" s="95">
        <f t="shared" si="110"/>
        <v>31</v>
      </c>
      <c r="C674" s="83">
        <f>122.58</f>
        <v>122.58</v>
      </c>
      <c r="D674" s="83">
        <f>297.941</f>
        <v>297.94099999999997</v>
      </c>
      <c r="E674" s="92">
        <f>89.177</f>
        <v>89.177000000000007</v>
      </c>
      <c r="F674" s="83">
        <f>240.302-40-60-100</f>
        <v>40.301999999999992</v>
      </c>
      <c r="G674" s="86">
        <v>40</v>
      </c>
      <c r="H674" s="83">
        <f>60+100</f>
        <v>160</v>
      </c>
      <c r="I674" s="83">
        <f t="shared" si="102"/>
        <v>0</v>
      </c>
      <c r="J674" s="86">
        <v>100</v>
      </c>
      <c r="K674" s="86">
        <v>300</v>
      </c>
      <c r="L674" s="83">
        <f t="shared" si="106"/>
        <v>1150</v>
      </c>
      <c r="M674" s="94">
        <v>600</v>
      </c>
      <c r="N674" s="83">
        <f>100</f>
        <v>100</v>
      </c>
      <c r="O674" s="86">
        <v>240</v>
      </c>
      <c r="P674" s="86">
        <v>40</v>
      </c>
      <c r="Q674" s="86">
        <f t="shared" si="107"/>
        <v>315</v>
      </c>
      <c r="R674" s="86">
        <f t="shared" si="108"/>
        <v>100</v>
      </c>
      <c r="S674" s="83">
        <f t="shared" si="109"/>
        <v>695</v>
      </c>
      <c r="T674" s="83">
        <f>50</f>
        <v>50</v>
      </c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</row>
    <row r="675" spans="1:30" ht="15.75" x14ac:dyDescent="0.25">
      <c r="A675" s="13">
        <v>61483</v>
      </c>
      <c r="B675" s="95">
        <f t="shared" si="110"/>
        <v>30</v>
      </c>
      <c r="C675" s="83">
        <f>141.293</f>
        <v>141.29300000000001</v>
      </c>
      <c r="D675" s="83">
        <f>267.993</f>
        <v>267.99299999999999</v>
      </c>
      <c r="E675" s="92">
        <f>115.016</f>
        <v>115.01600000000001</v>
      </c>
      <c r="F675" s="83">
        <f>314.698-40-25-60-100</f>
        <v>89.697999999999979</v>
      </c>
      <c r="G675" s="86">
        <v>40</v>
      </c>
      <c r="H675" s="83">
        <f t="shared" ref="H675:H681" si="111">25+60+100</f>
        <v>185</v>
      </c>
      <c r="I675" s="83">
        <f t="shared" si="102"/>
        <v>0</v>
      </c>
      <c r="J675" s="86">
        <v>100</v>
      </c>
      <c r="K675" s="86">
        <v>300</v>
      </c>
      <c r="L675" s="83">
        <f t="shared" si="106"/>
        <v>1239</v>
      </c>
      <c r="M675" s="94">
        <v>600</v>
      </c>
      <c r="N675" s="83">
        <f>100</f>
        <v>100</v>
      </c>
      <c r="O675" s="86">
        <v>240</v>
      </c>
      <c r="P675" s="86">
        <v>40</v>
      </c>
      <c r="Q675" s="86">
        <f t="shared" si="107"/>
        <v>315</v>
      </c>
      <c r="R675" s="86">
        <f t="shared" si="108"/>
        <v>100</v>
      </c>
      <c r="S675" s="83">
        <f t="shared" si="109"/>
        <v>695</v>
      </c>
      <c r="T675" s="83">
        <f>50</f>
        <v>50</v>
      </c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</row>
    <row r="676" spans="1:30" ht="15.75" x14ac:dyDescent="0.25">
      <c r="A676" s="13">
        <v>61514</v>
      </c>
      <c r="B676" s="95">
        <f t="shared" si="110"/>
        <v>31</v>
      </c>
      <c r="C676" s="83">
        <f>194.205</f>
        <v>194.20500000000001</v>
      </c>
      <c r="D676" s="83">
        <f>267.466</f>
        <v>267.46600000000001</v>
      </c>
      <c r="E676" s="92">
        <f>133.845</f>
        <v>133.845</v>
      </c>
      <c r="F676" s="83">
        <f>278.484-40-25-60-100</f>
        <v>53.48399999999998</v>
      </c>
      <c r="G676" s="86">
        <v>40</v>
      </c>
      <c r="H676" s="83">
        <f t="shared" si="111"/>
        <v>185</v>
      </c>
      <c r="I676" s="83">
        <f t="shared" si="102"/>
        <v>0</v>
      </c>
      <c r="J676" s="86">
        <v>100</v>
      </c>
      <c r="K676" s="86">
        <v>300</v>
      </c>
      <c r="L676" s="83">
        <f t="shared" si="106"/>
        <v>1274</v>
      </c>
      <c r="M676" s="94">
        <v>600</v>
      </c>
      <c r="N676" s="83">
        <f>75</f>
        <v>75</v>
      </c>
      <c r="O676" s="86">
        <v>240</v>
      </c>
      <c r="P676" s="86">
        <v>40</v>
      </c>
      <c r="Q676" s="86">
        <f t="shared" si="107"/>
        <v>315</v>
      </c>
      <c r="R676" s="86">
        <f t="shared" si="108"/>
        <v>100</v>
      </c>
      <c r="S676" s="83">
        <f t="shared" si="109"/>
        <v>695</v>
      </c>
      <c r="T676" s="83">
        <f>50</f>
        <v>50</v>
      </c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</row>
    <row r="677" spans="1:30" ht="15.75" x14ac:dyDescent="0.25">
      <c r="A677" s="13">
        <v>61544</v>
      </c>
      <c r="B677" s="95">
        <f t="shared" si="110"/>
        <v>30</v>
      </c>
      <c r="C677" s="83">
        <f>194.205</f>
        <v>194.20500000000001</v>
      </c>
      <c r="D677" s="83">
        <f>267.466</f>
        <v>267.46600000000001</v>
      </c>
      <c r="E677" s="92">
        <f>133.845</f>
        <v>133.845</v>
      </c>
      <c r="F677" s="83">
        <f>278.484-40-25-60-100</f>
        <v>53.48399999999998</v>
      </c>
      <c r="G677" s="86">
        <v>40</v>
      </c>
      <c r="H677" s="83">
        <f t="shared" si="111"/>
        <v>185</v>
      </c>
      <c r="I677" s="83">
        <f t="shared" si="102"/>
        <v>0</v>
      </c>
      <c r="J677" s="86">
        <v>100</v>
      </c>
      <c r="K677" s="86">
        <v>300</v>
      </c>
      <c r="L677" s="83">
        <f t="shared" si="106"/>
        <v>1274</v>
      </c>
      <c r="M677" s="94">
        <v>600</v>
      </c>
      <c r="N677" s="83">
        <f>30</f>
        <v>30</v>
      </c>
      <c r="O677" s="86">
        <v>240</v>
      </c>
      <c r="P677" s="86">
        <v>40</v>
      </c>
      <c r="Q677" s="86">
        <f t="shared" si="107"/>
        <v>315</v>
      </c>
      <c r="R677" s="86">
        <f t="shared" si="108"/>
        <v>100</v>
      </c>
      <c r="S677" s="83">
        <f t="shared" si="109"/>
        <v>695</v>
      </c>
      <c r="T677" s="83">
        <f>50</f>
        <v>50</v>
      </c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</row>
    <row r="678" spans="1:30" ht="15.75" x14ac:dyDescent="0.25">
      <c r="A678" s="13">
        <v>61575</v>
      </c>
      <c r="B678" s="95">
        <f t="shared" si="110"/>
        <v>31</v>
      </c>
      <c r="C678" s="83">
        <f>194.205</f>
        <v>194.20500000000001</v>
      </c>
      <c r="D678" s="83">
        <f>267.466</f>
        <v>267.46600000000001</v>
      </c>
      <c r="E678" s="92">
        <f>133.845</f>
        <v>133.845</v>
      </c>
      <c r="F678" s="83">
        <f>278.484-40-25-60-100</f>
        <v>53.48399999999998</v>
      </c>
      <c r="G678" s="86">
        <v>40</v>
      </c>
      <c r="H678" s="83">
        <f t="shared" si="111"/>
        <v>185</v>
      </c>
      <c r="I678" s="83">
        <f t="shared" si="102"/>
        <v>0</v>
      </c>
      <c r="J678" s="86">
        <v>100</v>
      </c>
      <c r="K678" s="86">
        <v>300</v>
      </c>
      <c r="L678" s="83">
        <f t="shared" si="106"/>
        <v>1274</v>
      </c>
      <c r="M678" s="94">
        <v>600</v>
      </c>
      <c r="N678" s="83">
        <f>30</f>
        <v>30</v>
      </c>
      <c r="O678" s="86">
        <v>240</v>
      </c>
      <c r="P678" s="86">
        <v>40</v>
      </c>
      <c r="Q678" s="86">
        <f t="shared" si="107"/>
        <v>315</v>
      </c>
      <c r="R678" s="86">
        <f t="shared" si="108"/>
        <v>100</v>
      </c>
      <c r="S678" s="83">
        <f t="shared" si="109"/>
        <v>695</v>
      </c>
      <c r="T678" s="83">
        <f>0</f>
        <v>0</v>
      </c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</row>
    <row r="679" spans="1:30" ht="15.75" x14ac:dyDescent="0.25">
      <c r="A679" s="13">
        <v>61606</v>
      </c>
      <c r="B679" s="95">
        <f t="shared" si="110"/>
        <v>31</v>
      </c>
      <c r="C679" s="83">
        <f>194.205</f>
        <v>194.20500000000001</v>
      </c>
      <c r="D679" s="83">
        <f>267.466</f>
        <v>267.46600000000001</v>
      </c>
      <c r="E679" s="92">
        <f>133.845</f>
        <v>133.845</v>
      </c>
      <c r="F679" s="83">
        <f>278.484-40-25-60-100</f>
        <v>53.48399999999998</v>
      </c>
      <c r="G679" s="86">
        <v>40</v>
      </c>
      <c r="H679" s="83">
        <f t="shared" si="111"/>
        <v>185</v>
      </c>
      <c r="I679" s="83">
        <f t="shared" si="102"/>
        <v>0</v>
      </c>
      <c r="J679" s="86">
        <v>100</v>
      </c>
      <c r="K679" s="86">
        <v>300</v>
      </c>
      <c r="L679" s="83">
        <f t="shared" si="106"/>
        <v>1274</v>
      </c>
      <c r="M679" s="94">
        <v>600</v>
      </c>
      <c r="N679" s="83">
        <f>30</f>
        <v>30</v>
      </c>
      <c r="O679" s="86">
        <v>240</v>
      </c>
      <c r="P679" s="86">
        <v>40</v>
      </c>
      <c r="Q679" s="86">
        <f t="shared" si="107"/>
        <v>315</v>
      </c>
      <c r="R679" s="86">
        <f t="shared" si="108"/>
        <v>100</v>
      </c>
      <c r="S679" s="83">
        <f t="shared" si="109"/>
        <v>695</v>
      </c>
      <c r="T679" s="83">
        <f>0</f>
        <v>0</v>
      </c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</row>
    <row r="680" spans="1:30" ht="15.75" x14ac:dyDescent="0.25">
      <c r="A680" s="13">
        <v>61636</v>
      </c>
      <c r="B680" s="95">
        <f t="shared" si="110"/>
        <v>30</v>
      </c>
      <c r="C680" s="83">
        <f>194.205</f>
        <v>194.20500000000001</v>
      </c>
      <c r="D680" s="83">
        <f>267.466</f>
        <v>267.46600000000001</v>
      </c>
      <c r="E680" s="92">
        <f>133.845</f>
        <v>133.845</v>
      </c>
      <c r="F680" s="83">
        <f>278.484-40-25-60-100</f>
        <v>53.48399999999998</v>
      </c>
      <c r="G680" s="86">
        <v>40</v>
      </c>
      <c r="H680" s="83">
        <f t="shared" si="111"/>
        <v>185</v>
      </c>
      <c r="I680" s="83">
        <f t="shared" si="102"/>
        <v>0</v>
      </c>
      <c r="J680" s="86">
        <v>100</v>
      </c>
      <c r="K680" s="86">
        <v>300</v>
      </c>
      <c r="L680" s="83">
        <f t="shared" si="106"/>
        <v>1274</v>
      </c>
      <c r="M680" s="94">
        <v>600</v>
      </c>
      <c r="N680" s="83">
        <f>30</f>
        <v>30</v>
      </c>
      <c r="O680" s="86">
        <v>240</v>
      </c>
      <c r="P680" s="86">
        <v>40</v>
      </c>
      <c r="Q680" s="86">
        <f t="shared" si="107"/>
        <v>315</v>
      </c>
      <c r="R680" s="86">
        <f t="shared" si="108"/>
        <v>100</v>
      </c>
      <c r="S680" s="83">
        <f t="shared" si="109"/>
        <v>695</v>
      </c>
      <c r="T680" s="83">
        <f>0</f>
        <v>0</v>
      </c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</row>
    <row r="681" spans="1:30" ht="15.75" x14ac:dyDescent="0.25">
      <c r="A681" s="13">
        <v>61667</v>
      </c>
      <c r="B681" s="95">
        <f t="shared" si="110"/>
        <v>31</v>
      </c>
      <c r="C681" s="83">
        <f>131.881</f>
        <v>131.881</v>
      </c>
      <c r="D681" s="83">
        <f>277.167</f>
        <v>277.16699999999997</v>
      </c>
      <c r="E681" s="92">
        <f>79.08</f>
        <v>79.08</v>
      </c>
      <c r="F681" s="83">
        <f>350.872-40-25-60-100</f>
        <v>125.87200000000001</v>
      </c>
      <c r="G681" s="86">
        <v>40</v>
      </c>
      <c r="H681" s="83">
        <f t="shared" si="111"/>
        <v>185</v>
      </c>
      <c r="I681" s="83">
        <f t="shared" si="102"/>
        <v>0</v>
      </c>
      <c r="J681" s="86">
        <v>100</v>
      </c>
      <c r="K681" s="86">
        <v>300</v>
      </c>
      <c r="L681" s="83">
        <f t="shared" si="106"/>
        <v>1239</v>
      </c>
      <c r="M681" s="94">
        <v>600</v>
      </c>
      <c r="N681" s="83">
        <f>75</f>
        <v>75</v>
      </c>
      <c r="O681" s="86">
        <v>240</v>
      </c>
      <c r="P681" s="86">
        <v>40</v>
      </c>
      <c r="Q681" s="86">
        <f t="shared" si="107"/>
        <v>315</v>
      </c>
      <c r="R681" s="86">
        <f t="shared" si="108"/>
        <v>100</v>
      </c>
      <c r="S681" s="83">
        <f t="shared" si="109"/>
        <v>695</v>
      </c>
      <c r="T681" s="83">
        <f>0</f>
        <v>0</v>
      </c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</row>
    <row r="682" spans="1:30" ht="15.75" x14ac:dyDescent="0.25">
      <c r="A682" s="13">
        <v>61697</v>
      </c>
      <c r="B682" s="95">
        <f t="shared" si="110"/>
        <v>30</v>
      </c>
      <c r="C682" s="83">
        <f>122.58</f>
        <v>122.58</v>
      </c>
      <c r="D682" s="83">
        <f>297.941</f>
        <v>297.94099999999997</v>
      </c>
      <c r="E682" s="92">
        <f>89.177</f>
        <v>89.177000000000007</v>
      </c>
      <c r="F682" s="83">
        <f>240.302-40-60-100</f>
        <v>40.301999999999992</v>
      </c>
      <c r="G682" s="86">
        <v>40</v>
      </c>
      <c r="H682" s="83">
        <f>60+100</f>
        <v>160</v>
      </c>
      <c r="I682" s="83">
        <f t="shared" si="102"/>
        <v>0</v>
      </c>
      <c r="J682" s="86">
        <v>100</v>
      </c>
      <c r="K682" s="86">
        <v>300</v>
      </c>
      <c r="L682" s="83">
        <f t="shared" si="106"/>
        <v>1150</v>
      </c>
      <c r="M682" s="94">
        <v>600</v>
      </c>
      <c r="N682" s="83">
        <f>100</f>
        <v>100</v>
      </c>
      <c r="O682" s="86">
        <v>240</v>
      </c>
      <c r="P682" s="86">
        <v>40</v>
      </c>
      <c r="Q682" s="86">
        <f t="shared" si="107"/>
        <v>315</v>
      </c>
      <c r="R682" s="86">
        <f t="shared" si="108"/>
        <v>100</v>
      </c>
      <c r="S682" s="83">
        <f t="shared" si="109"/>
        <v>695</v>
      </c>
      <c r="T682" s="83">
        <f>50</f>
        <v>50</v>
      </c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</row>
    <row r="683" spans="1:30" ht="15.75" x14ac:dyDescent="0.25">
      <c r="A683" s="13">
        <v>61728</v>
      </c>
      <c r="B683" s="95">
        <f t="shared" si="110"/>
        <v>31</v>
      </c>
      <c r="C683" s="83">
        <f>122.58</f>
        <v>122.58</v>
      </c>
      <c r="D683" s="83">
        <f>297.941</f>
        <v>297.94099999999997</v>
      </c>
      <c r="E683" s="92">
        <f>89.177</f>
        <v>89.177000000000007</v>
      </c>
      <c r="F683" s="83">
        <f>240.302-40-60-100</f>
        <v>40.301999999999992</v>
      </c>
      <c r="G683" s="86">
        <v>40</v>
      </c>
      <c r="H683" s="83">
        <f>60+100</f>
        <v>160</v>
      </c>
      <c r="I683" s="83">
        <f t="shared" si="102"/>
        <v>0</v>
      </c>
      <c r="J683" s="86">
        <v>100</v>
      </c>
      <c r="K683" s="86">
        <v>300</v>
      </c>
      <c r="L683" s="83">
        <f t="shared" si="106"/>
        <v>1150</v>
      </c>
      <c r="M683" s="94">
        <v>600</v>
      </c>
      <c r="N683" s="83">
        <f>100</f>
        <v>100</v>
      </c>
      <c r="O683" s="86">
        <v>240</v>
      </c>
      <c r="P683" s="86">
        <v>40</v>
      </c>
      <c r="Q683" s="86">
        <f t="shared" si="107"/>
        <v>315</v>
      </c>
      <c r="R683" s="86">
        <f t="shared" si="108"/>
        <v>100</v>
      </c>
      <c r="S683" s="83">
        <f t="shared" si="109"/>
        <v>695</v>
      </c>
      <c r="T683" s="83">
        <f>50</f>
        <v>50</v>
      </c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</row>
    <row r="684" spans="1:30" ht="15.75" x14ac:dyDescent="0.25">
      <c r="A684" s="13">
        <v>61759</v>
      </c>
      <c r="B684" s="95">
        <f t="shared" si="110"/>
        <v>31</v>
      </c>
      <c r="C684" s="83">
        <f>122.58</f>
        <v>122.58</v>
      </c>
      <c r="D684" s="83">
        <f>297.941</f>
        <v>297.94099999999997</v>
      </c>
      <c r="E684" s="92">
        <f>89.177</f>
        <v>89.177000000000007</v>
      </c>
      <c r="F684" s="83">
        <f>240.302-40-60-100</f>
        <v>40.301999999999992</v>
      </c>
      <c r="G684" s="86">
        <v>40</v>
      </c>
      <c r="H684" s="83">
        <f>60+100</f>
        <v>160</v>
      </c>
      <c r="I684" s="83">
        <f t="shared" si="102"/>
        <v>0</v>
      </c>
      <c r="J684" s="86">
        <v>100</v>
      </c>
      <c r="K684" s="86">
        <v>300</v>
      </c>
      <c r="L684" s="83">
        <f t="shared" si="106"/>
        <v>1150</v>
      </c>
      <c r="M684" s="94">
        <v>600</v>
      </c>
      <c r="N684" s="83">
        <f>100</f>
        <v>100</v>
      </c>
      <c r="O684" s="86">
        <v>240</v>
      </c>
      <c r="P684" s="86">
        <v>40</v>
      </c>
      <c r="Q684" s="86">
        <f t="shared" si="107"/>
        <v>315</v>
      </c>
      <c r="R684" s="86">
        <f t="shared" si="108"/>
        <v>100</v>
      </c>
      <c r="S684" s="83">
        <f t="shared" si="109"/>
        <v>695</v>
      </c>
      <c r="T684" s="83">
        <f>50</f>
        <v>50</v>
      </c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</row>
    <row r="685" spans="1:30" ht="15.75" x14ac:dyDescent="0.25">
      <c r="A685" s="13">
        <v>61787</v>
      </c>
      <c r="B685" s="95">
        <f t="shared" si="110"/>
        <v>28</v>
      </c>
      <c r="C685" s="83">
        <f>122.58</f>
        <v>122.58</v>
      </c>
      <c r="D685" s="83">
        <f>297.941</f>
        <v>297.94099999999997</v>
      </c>
      <c r="E685" s="92">
        <f>89.177</f>
        <v>89.177000000000007</v>
      </c>
      <c r="F685" s="83">
        <f>240.302-40-60-100</f>
        <v>40.301999999999992</v>
      </c>
      <c r="G685" s="86">
        <v>40</v>
      </c>
      <c r="H685" s="83">
        <f>60+100</f>
        <v>160</v>
      </c>
      <c r="I685" s="83">
        <f t="shared" si="102"/>
        <v>0</v>
      </c>
      <c r="J685" s="86">
        <v>100</v>
      </c>
      <c r="K685" s="86">
        <v>300</v>
      </c>
      <c r="L685" s="83">
        <f t="shared" si="106"/>
        <v>1150</v>
      </c>
      <c r="M685" s="94">
        <v>600</v>
      </c>
      <c r="N685" s="83">
        <f>100</f>
        <v>100</v>
      </c>
      <c r="O685" s="86">
        <v>240</v>
      </c>
      <c r="P685" s="86">
        <v>40</v>
      </c>
      <c r="Q685" s="86">
        <f t="shared" si="107"/>
        <v>315</v>
      </c>
      <c r="R685" s="86">
        <f t="shared" si="108"/>
        <v>100</v>
      </c>
      <c r="S685" s="83">
        <f t="shared" si="109"/>
        <v>695</v>
      </c>
      <c r="T685" s="83">
        <f>50</f>
        <v>50</v>
      </c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</row>
    <row r="686" spans="1:30" ht="15.75" x14ac:dyDescent="0.25">
      <c r="A686" s="13">
        <v>61818</v>
      </c>
      <c r="B686" s="95">
        <f t="shared" si="110"/>
        <v>31</v>
      </c>
      <c r="C686" s="83">
        <f>122.58</f>
        <v>122.58</v>
      </c>
      <c r="D686" s="83">
        <f>297.941</f>
        <v>297.94099999999997</v>
      </c>
      <c r="E686" s="92">
        <f>89.177</f>
        <v>89.177000000000007</v>
      </c>
      <c r="F686" s="83">
        <f>240.302-40-60-100</f>
        <v>40.301999999999992</v>
      </c>
      <c r="G686" s="86">
        <v>40</v>
      </c>
      <c r="H686" s="83">
        <f>60+100</f>
        <v>160</v>
      </c>
      <c r="I686" s="83">
        <f t="shared" si="102"/>
        <v>0</v>
      </c>
      <c r="J686" s="86">
        <v>100</v>
      </c>
      <c r="K686" s="86">
        <v>300</v>
      </c>
      <c r="L686" s="83">
        <f t="shared" si="106"/>
        <v>1150</v>
      </c>
      <c r="M686" s="94">
        <v>600</v>
      </c>
      <c r="N686" s="83">
        <f>100</f>
        <v>100</v>
      </c>
      <c r="O686" s="86">
        <v>240</v>
      </c>
      <c r="P686" s="86">
        <v>40</v>
      </c>
      <c r="Q686" s="86">
        <f t="shared" si="107"/>
        <v>315</v>
      </c>
      <c r="R686" s="86">
        <f t="shared" si="108"/>
        <v>100</v>
      </c>
      <c r="S686" s="83">
        <f t="shared" si="109"/>
        <v>695</v>
      </c>
      <c r="T686" s="83">
        <f>50</f>
        <v>50</v>
      </c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</row>
    <row r="687" spans="1:30" ht="15.75" x14ac:dyDescent="0.25">
      <c r="A687" s="13">
        <v>61848</v>
      </c>
      <c r="B687" s="95">
        <f t="shared" si="110"/>
        <v>30</v>
      </c>
      <c r="C687" s="83">
        <f>141.293</f>
        <v>141.29300000000001</v>
      </c>
      <c r="D687" s="83">
        <f>267.993</f>
        <v>267.99299999999999</v>
      </c>
      <c r="E687" s="92">
        <f>115.016</f>
        <v>115.01600000000001</v>
      </c>
      <c r="F687" s="83">
        <f>314.698-40-25-60-100</f>
        <v>89.697999999999979</v>
      </c>
      <c r="G687" s="86">
        <v>40</v>
      </c>
      <c r="H687" s="83">
        <f t="shared" ref="H687:H693" si="112">25+60+100</f>
        <v>185</v>
      </c>
      <c r="I687" s="83">
        <f t="shared" si="102"/>
        <v>0</v>
      </c>
      <c r="J687" s="86">
        <v>100</v>
      </c>
      <c r="K687" s="86">
        <v>300</v>
      </c>
      <c r="L687" s="83">
        <f t="shared" si="106"/>
        <v>1239</v>
      </c>
      <c r="M687" s="94">
        <v>600</v>
      </c>
      <c r="N687" s="83">
        <f>100</f>
        <v>100</v>
      </c>
      <c r="O687" s="86">
        <v>240</v>
      </c>
      <c r="P687" s="86">
        <v>40</v>
      </c>
      <c r="Q687" s="86">
        <f t="shared" si="107"/>
        <v>315</v>
      </c>
      <c r="R687" s="86">
        <f t="shared" si="108"/>
        <v>100</v>
      </c>
      <c r="S687" s="83">
        <f t="shared" si="109"/>
        <v>695</v>
      </c>
      <c r="T687" s="83">
        <f>50</f>
        <v>50</v>
      </c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</row>
    <row r="688" spans="1:30" ht="15.75" x14ac:dyDescent="0.25">
      <c r="A688" s="13">
        <v>61879</v>
      </c>
      <c r="B688" s="95">
        <f t="shared" si="110"/>
        <v>31</v>
      </c>
      <c r="C688" s="83">
        <f>194.205</f>
        <v>194.20500000000001</v>
      </c>
      <c r="D688" s="83">
        <f>267.466</f>
        <v>267.46600000000001</v>
      </c>
      <c r="E688" s="92">
        <f>133.845</f>
        <v>133.845</v>
      </c>
      <c r="F688" s="83">
        <f>278.484-40-25-60-100</f>
        <v>53.48399999999998</v>
      </c>
      <c r="G688" s="86">
        <v>40</v>
      </c>
      <c r="H688" s="83">
        <f t="shared" si="112"/>
        <v>185</v>
      </c>
      <c r="I688" s="83">
        <f t="shared" si="102"/>
        <v>0</v>
      </c>
      <c r="J688" s="86">
        <v>100</v>
      </c>
      <c r="K688" s="86">
        <v>300</v>
      </c>
      <c r="L688" s="83">
        <f t="shared" si="106"/>
        <v>1274</v>
      </c>
      <c r="M688" s="94">
        <v>600</v>
      </c>
      <c r="N688" s="83">
        <f>75</f>
        <v>75</v>
      </c>
      <c r="O688" s="86">
        <v>240</v>
      </c>
      <c r="P688" s="86">
        <v>40</v>
      </c>
      <c r="Q688" s="86">
        <f t="shared" si="107"/>
        <v>315</v>
      </c>
      <c r="R688" s="86">
        <f t="shared" si="108"/>
        <v>100</v>
      </c>
      <c r="S688" s="83">
        <f t="shared" si="109"/>
        <v>695</v>
      </c>
      <c r="T688" s="83">
        <f>50</f>
        <v>50</v>
      </c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</row>
    <row r="689" spans="1:30" ht="15.75" x14ac:dyDescent="0.25">
      <c r="A689" s="13">
        <v>61909</v>
      </c>
      <c r="B689" s="95">
        <f t="shared" si="110"/>
        <v>30</v>
      </c>
      <c r="C689" s="83">
        <f>194.205</f>
        <v>194.20500000000001</v>
      </c>
      <c r="D689" s="83">
        <f>267.466</f>
        <v>267.46600000000001</v>
      </c>
      <c r="E689" s="92">
        <f>133.845</f>
        <v>133.845</v>
      </c>
      <c r="F689" s="83">
        <f>278.484-40-25-60-100</f>
        <v>53.48399999999998</v>
      </c>
      <c r="G689" s="86">
        <v>40</v>
      </c>
      <c r="H689" s="83">
        <f t="shared" si="112"/>
        <v>185</v>
      </c>
      <c r="I689" s="83">
        <f t="shared" si="102"/>
        <v>0</v>
      </c>
      <c r="J689" s="86">
        <v>100</v>
      </c>
      <c r="K689" s="86">
        <v>300</v>
      </c>
      <c r="L689" s="83">
        <f t="shared" si="106"/>
        <v>1274</v>
      </c>
      <c r="M689" s="94">
        <v>600</v>
      </c>
      <c r="N689" s="83">
        <f>30</f>
        <v>30</v>
      </c>
      <c r="O689" s="86">
        <v>240</v>
      </c>
      <c r="P689" s="86">
        <v>40</v>
      </c>
      <c r="Q689" s="86">
        <f t="shared" si="107"/>
        <v>315</v>
      </c>
      <c r="R689" s="86">
        <f t="shared" si="108"/>
        <v>100</v>
      </c>
      <c r="S689" s="83">
        <f t="shared" si="109"/>
        <v>695</v>
      </c>
      <c r="T689" s="83">
        <f>50</f>
        <v>50</v>
      </c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</row>
    <row r="690" spans="1:30" ht="15.75" x14ac:dyDescent="0.25">
      <c r="A690" s="13">
        <v>61940</v>
      </c>
      <c r="B690" s="95">
        <f t="shared" si="110"/>
        <v>31</v>
      </c>
      <c r="C690" s="83">
        <f>194.205</f>
        <v>194.20500000000001</v>
      </c>
      <c r="D690" s="83">
        <f>267.466</f>
        <v>267.46600000000001</v>
      </c>
      <c r="E690" s="92">
        <f>133.845</f>
        <v>133.845</v>
      </c>
      <c r="F690" s="83">
        <f>278.484-40-25-60-100</f>
        <v>53.48399999999998</v>
      </c>
      <c r="G690" s="86">
        <v>40</v>
      </c>
      <c r="H690" s="83">
        <f t="shared" si="112"/>
        <v>185</v>
      </c>
      <c r="I690" s="83">
        <f t="shared" si="102"/>
        <v>0</v>
      </c>
      <c r="J690" s="86">
        <v>100</v>
      </c>
      <c r="K690" s="86">
        <v>300</v>
      </c>
      <c r="L690" s="83">
        <f t="shared" si="106"/>
        <v>1274</v>
      </c>
      <c r="M690" s="94">
        <v>600</v>
      </c>
      <c r="N690" s="83">
        <f>30</f>
        <v>30</v>
      </c>
      <c r="O690" s="86">
        <v>240</v>
      </c>
      <c r="P690" s="86">
        <v>40</v>
      </c>
      <c r="Q690" s="86">
        <f t="shared" si="107"/>
        <v>315</v>
      </c>
      <c r="R690" s="86">
        <f t="shared" si="108"/>
        <v>100</v>
      </c>
      <c r="S690" s="83">
        <f t="shared" si="109"/>
        <v>695</v>
      </c>
      <c r="T690" s="83">
        <f>0</f>
        <v>0</v>
      </c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</row>
    <row r="691" spans="1:30" ht="15.75" x14ac:dyDescent="0.25">
      <c r="A691" s="13">
        <v>61971</v>
      </c>
      <c r="B691" s="95">
        <f t="shared" si="110"/>
        <v>31</v>
      </c>
      <c r="C691" s="83">
        <f>194.205</f>
        <v>194.20500000000001</v>
      </c>
      <c r="D691" s="83">
        <f>267.466</f>
        <v>267.46600000000001</v>
      </c>
      <c r="E691" s="92">
        <f>133.845</f>
        <v>133.845</v>
      </c>
      <c r="F691" s="83">
        <f>278.484-40-25-60-100</f>
        <v>53.48399999999998</v>
      </c>
      <c r="G691" s="86">
        <v>40</v>
      </c>
      <c r="H691" s="83">
        <f t="shared" si="112"/>
        <v>185</v>
      </c>
      <c r="I691" s="83">
        <f t="shared" si="102"/>
        <v>0</v>
      </c>
      <c r="J691" s="86">
        <v>100</v>
      </c>
      <c r="K691" s="86">
        <v>300</v>
      </c>
      <c r="L691" s="83">
        <f t="shared" si="106"/>
        <v>1274</v>
      </c>
      <c r="M691" s="94">
        <v>600</v>
      </c>
      <c r="N691" s="83">
        <f>30</f>
        <v>30</v>
      </c>
      <c r="O691" s="86">
        <v>240</v>
      </c>
      <c r="P691" s="86">
        <v>40</v>
      </c>
      <c r="Q691" s="86">
        <f t="shared" si="107"/>
        <v>315</v>
      </c>
      <c r="R691" s="86">
        <f t="shared" si="108"/>
        <v>100</v>
      </c>
      <c r="S691" s="83">
        <f t="shared" si="109"/>
        <v>695</v>
      </c>
      <c r="T691" s="83">
        <f>0</f>
        <v>0</v>
      </c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</row>
    <row r="692" spans="1:30" ht="15.75" x14ac:dyDescent="0.25">
      <c r="A692" s="13">
        <v>62001</v>
      </c>
      <c r="B692" s="95">
        <f t="shared" si="110"/>
        <v>30</v>
      </c>
      <c r="C692" s="83">
        <f>194.205</f>
        <v>194.20500000000001</v>
      </c>
      <c r="D692" s="83">
        <f>267.466</f>
        <v>267.46600000000001</v>
      </c>
      <c r="E692" s="92">
        <f>133.845</f>
        <v>133.845</v>
      </c>
      <c r="F692" s="83">
        <f>278.484-40-25-60-100</f>
        <v>53.48399999999998</v>
      </c>
      <c r="G692" s="86">
        <v>40</v>
      </c>
      <c r="H692" s="83">
        <f t="shared" si="112"/>
        <v>185</v>
      </c>
      <c r="I692" s="83">
        <f t="shared" ref="I692:I755" si="113">400-J692-K692</f>
        <v>0</v>
      </c>
      <c r="J692" s="86">
        <v>100</v>
      </c>
      <c r="K692" s="86">
        <v>300</v>
      </c>
      <c r="L692" s="83">
        <f t="shared" si="106"/>
        <v>1274</v>
      </c>
      <c r="M692" s="94">
        <v>600</v>
      </c>
      <c r="N692" s="83">
        <f>30</f>
        <v>30</v>
      </c>
      <c r="O692" s="86">
        <v>240</v>
      </c>
      <c r="P692" s="86">
        <v>40</v>
      </c>
      <c r="Q692" s="86">
        <f t="shared" si="107"/>
        <v>315</v>
      </c>
      <c r="R692" s="86">
        <f t="shared" si="108"/>
        <v>100</v>
      </c>
      <c r="S692" s="83">
        <f t="shared" si="109"/>
        <v>695</v>
      </c>
      <c r="T692" s="83">
        <f>0</f>
        <v>0</v>
      </c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</row>
    <row r="693" spans="1:30" ht="15.75" x14ac:dyDescent="0.25">
      <c r="A693" s="13">
        <v>62032</v>
      </c>
      <c r="B693" s="95">
        <f t="shared" si="110"/>
        <v>31</v>
      </c>
      <c r="C693" s="83">
        <f>131.881</f>
        <v>131.881</v>
      </c>
      <c r="D693" s="83">
        <f>277.167</f>
        <v>277.16699999999997</v>
      </c>
      <c r="E693" s="92">
        <f>79.08</f>
        <v>79.08</v>
      </c>
      <c r="F693" s="83">
        <f>350.872-40-25-60-100</f>
        <v>125.87200000000001</v>
      </c>
      <c r="G693" s="86">
        <v>40</v>
      </c>
      <c r="H693" s="83">
        <f t="shared" si="112"/>
        <v>185</v>
      </c>
      <c r="I693" s="83">
        <f t="shared" si="113"/>
        <v>0</v>
      </c>
      <c r="J693" s="86">
        <v>100</v>
      </c>
      <c r="K693" s="86">
        <v>300</v>
      </c>
      <c r="L693" s="83">
        <f t="shared" si="106"/>
        <v>1239</v>
      </c>
      <c r="M693" s="94">
        <v>600</v>
      </c>
      <c r="N693" s="83">
        <f>75</f>
        <v>75</v>
      </c>
      <c r="O693" s="86">
        <v>240</v>
      </c>
      <c r="P693" s="86">
        <v>40</v>
      </c>
      <c r="Q693" s="86">
        <f t="shared" si="107"/>
        <v>315</v>
      </c>
      <c r="R693" s="86">
        <f t="shared" si="108"/>
        <v>100</v>
      </c>
      <c r="S693" s="83">
        <f t="shared" si="109"/>
        <v>695</v>
      </c>
      <c r="T693" s="83">
        <f>0</f>
        <v>0</v>
      </c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</row>
    <row r="694" spans="1:30" ht="15.75" x14ac:dyDescent="0.25">
      <c r="A694" s="13">
        <v>62062</v>
      </c>
      <c r="B694" s="95">
        <f t="shared" si="110"/>
        <v>30</v>
      </c>
      <c r="C694" s="83">
        <f>122.58</f>
        <v>122.58</v>
      </c>
      <c r="D694" s="83">
        <f>297.941</f>
        <v>297.94099999999997</v>
      </c>
      <c r="E694" s="92">
        <f>89.177</f>
        <v>89.177000000000007</v>
      </c>
      <c r="F694" s="83">
        <f>240.302-40-60-100</f>
        <v>40.301999999999992</v>
      </c>
      <c r="G694" s="86">
        <v>40</v>
      </c>
      <c r="H694" s="83">
        <f>60+100</f>
        <v>160</v>
      </c>
      <c r="I694" s="83">
        <f t="shared" si="113"/>
        <v>0</v>
      </c>
      <c r="J694" s="86">
        <v>100</v>
      </c>
      <c r="K694" s="86">
        <v>300</v>
      </c>
      <c r="L694" s="83">
        <f t="shared" si="106"/>
        <v>1150</v>
      </c>
      <c r="M694" s="94">
        <v>600</v>
      </c>
      <c r="N694" s="83">
        <f>100</f>
        <v>100</v>
      </c>
      <c r="O694" s="86">
        <v>240</v>
      </c>
      <c r="P694" s="86">
        <v>40</v>
      </c>
      <c r="Q694" s="86">
        <f t="shared" si="107"/>
        <v>315</v>
      </c>
      <c r="R694" s="86">
        <f t="shared" si="108"/>
        <v>100</v>
      </c>
      <c r="S694" s="83">
        <f t="shared" si="109"/>
        <v>695</v>
      </c>
      <c r="T694" s="83">
        <f>50</f>
        <v>50</v>
      </c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</row>
    <row r="695" spans="1:30" ht="15.75" x14ac:dyDescent="0.25">
      <c r="A695" s="13">
        <v>62093</v>
      </c>
      <c r="B695" s="95">
        <f t="shared" si="110"/>
        <v>31</v>
      </c>
      <c r="C695" s="83">
        <f>122.58</f>
        <v>122.58</v>
      </c>
      <c r="D695" s="83">
        <f>297.941</f>
        <v>297.94099999999997</v>
      </c>
      <c r="E695" s="92">
        <f>89.177</f>
        <v>89.177000000000007</v>
      </c>
      <c r="F695" s="83">
        <f>240.302-40-60-100</f>
        <v>40.301999999999992</v>
      </c>
      <c r="G695" s="86">
        <v>40</v>
      </c>
      <c r="H695" s="83">
        <f>60+100</f>
        <v>160</v>
      </c>
      <c r="I695" s="83">
        <f t="shared" si="113"/>
        <v>0</v>
      </c>
      <c r="J695" s="86">
        <v>100</v>
      </c>
      <c r="K695" s="86">
        <v>300</v>
      </c>
      <c r="L695" s="83">
        <f t="shared" si="106"/>
        <v>1150</v>
      </c>
      <c r="M695" s="94">
        <v>600</v>
      </c>
      <c r="N695" s="83">
        <f>100</f>
        <v>100</v>
      </c>
      <c r="O695" s="86">
        <v>240</v>
      </c>
      <c r="P695" s="86">
        <v>40</v>
      </c>
      <c r="Q695" s="86">
        <f t="shared" si="107"/>
        <v>315</v>
      </c>
      <c r="R695" s="86">
        <f t="shared" si="108"/>
        <v>100</v>
      </c>
      <c r="S695" s="83">
        <f t="shared" si="109"/>
        <v>695</v>
      </c>
      <c r="T695" s="83">
        <f>50</f>
        <v>50</v>
      </c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</row>
    <row r="696" spans="1:30" ht="15.75" x14ac:dyDescent="0.25">
      <c r="A696" s="13">
        <v>62124</v>
      </c>
      <c r="B696" s="95">
        <f t="shared" si="110"/>
        <v>31</v>
      </c>
      <c r="C696" s="83">
        <f>122.58</f>
        <v>122.58</v>
      </c>
      <c r="D696" s="83">
        <f>297.941</f>
        <v>297.94099999999997</v>
      </c>
      <c r="E696" s="92">
        <f>89.177</f>
        <v>89.177000000000007</v>
      </c>
      <c r="F696" s="83">
        <f>240.302-40-60-100</f>
        <v>40.301999999999992</v>
      </c>
      <c r="G696" s="86">
        <v>40</v>
      </c>
      <c r="H696" s="83">
        <f>60+100</f>
        <v>160</v>
      </c>
      <c r="I696" s="83">
        <f t="shared" si="113"/>
        <v>0</v>
      </c>
      <c r="J696" s="86">
        <v>100</v>
      </c>
      <c r="K696" s="86">
        <v>300</v>
      </c>
      <c r="L696" s="83">
        <f t="shared" si="106"/>
        <v>1150</v>
      </c>
      <c r="M696" s="94">
        <v>600</v>
      </c>
      <c r="N696" s="83">
        <f>100</f>
        <v>100</v>
      </c>
      <c r="O696" s="86">
        <v>240</v>
      </c>
      <c r="P696" s="86">
        <v>40</v>
      </c>
      <c r="Q696" s="86">
        <f t="shared" si="107"/>
        <v>315</v>
      </c>
      <c r="R696" s="86">
        <f t="shared" si="108"/>
        <v>100</v>
      </c>
      <c r="S696" s="83">
        <f t="shared" si="109"/>
        <v>695</v>
      </c>
      <c r="T696" s="83">
        <f>50</f>
        <v>50</v>
      </c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</row>
    <row r="697" spans="1:30" ht="15.75" x14ac:dyDescent="0.25">
      <c r="A697" s="13">
        <v>62152</v>
      </c>
      <c r="B697" s="95">
        <f t="shared" si="110"/>
        <v>28</v>
      </c>
      <c r="C697" s="83">
        <f>122.58</f>
        <v>122.58</v>
      </c>
      <c r="D697" s="83">
        <f>297.941</f>
        <v>297.94099999999997</v>
      </c>
      <c r="E697" s="92">
        <f>89.177</f>
        <v>89.177000000000007</v>
      </c>
      <c r="F697" s="83">
        <f>240.302-40-60-100</f>
        <v>40.301999999999992</v>
      </c>
      <c r="G697" s="86">
        <v>40</v>
      </c>
      <c r="H697" s="83">
        <f>60+100</f>
        <v>160</v>
      </c>
      <c r="I697" s="83">
        <f t="shared" si="113"/>
        <v>0</v>
      </c>
      <c r="J697" s="86">
        <v>100</v>
      </c>
      <c r="K697" s="86">
        <v>300</v>
      </c>
      <c r="L697" s="83">
        <f t="shared" si="106"/>
        <v>1150</v>
      </c>
      <c r="M697" s="94">
        <v>600</v>
      </c>
      <c r="N697" s="83">
        <f>100</f>
        <v>100</v>
      </c>
      <c r="O697" s="86">
        <v>240</v>
      </c>
      <c r="P697" s="86">
        <v>40</v>
      </c>
      <c r="Q697" s="86">
        <f t="shared" si="107"/>
        <v>315</v>
      </c>
      <c r="R697" s="86">
        <f t="shared" si="108"/>
        <v>100</v>
      </c>
      <c r="S697" s="83">
        <f t="shared" si="109"/>
        <v>695</v>
      </c>
      <c r="T697" s="83">
        <f>50</f>
        <v>50</v>
      </c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</row>
    <row r="698" spans="1:30" ht="15.75" x14ac:dyDescent="0.25">
      <c r="A698" s="13">
        <v>62183</v>
      </c>
      <c r="B698" s="95">
        <f t="shared" si="110"/>
        <v>31</v>
      </c>
      <c r="C698" s="83">
        <f>122.58</f>
        <v>122.58</v>
      </c>
      <c r="D698" s="83">
        <f>297.941</f>
        <v>297.94099999999997</v>
      </c>
      <c r="E698" s="92">
        <f>89.177</f>
        <v>89.177000000000007</v>
      </c>
      <c r="F698" s="83">
        <f>240.302-40-60-100</f>
        <v>40.301999999999992</v>
      </c>
      <c r="G698" s="86">
        <v>40</v>
      </c>
      <c r="H698" s="83">
        <f>60+100</f>
        <v>160</v>
      </c>
      <c r="I698" s="83">
        <f t="shared" si="113"/>
        <v>0</v>
      </c>
      <c r="J698" s="86">
        <v>100</v>
      </c>
      <c r="K698" s="86">
        <v>300</v>
      </c>
      <c r="L698" s="83">
        <f t="shared" si="106"/>
        <v>1150</v>
      </c>
      <c r="M698" s="94">
        <v>600</v>
      </c>
      <c r="N698" s="83">
        <f>100</f>
        <v>100</v>
      </c>
      <c r="O698" s="86">
        <v>240</v>
      </c>
      <c r="P698" s="86">
        <v>40</v>
      </c>
      <c r="Q698" s="86">
        <f t="shared" si="107"/>
        <v>315</v>
      </c>
      <c r="R698" s="86">
        <f t="shared" si="108"/>
        <v>100</v>
      </c>
      <c r="S698" s="83">
        <f t="shared" si="109"/>
        <v>695</v>
      </c>
      <c r="T698" s="83">
        <f>50</f>
        <v>50</v>
      </c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</row>
    <row r="699" spans="1:30" ht="15.75" x14ac:dyDescent="0.25">
      <c r="A699" s="13">
        <v>62213</v>
      </c>
      <c r="B699" s="95">
        <f t="shared" si="110"/>
        <v>30</v>
      </c>
      <c r="C699" s="83">
        <f>141.293</f>
        <v>141.29300000000001</v>
      </c>
      <c r="D699" s="83">
        <f>267.993</f>
        <v>267.99299999999999</v>
      </c>
      <c r="E699" s="92">
        <f>115.016</f>
        <v>115.01600000000001</v>
      </c>
      <c r="F699" s="83">
        <f>314.698-40-25-60-100</f>
        <v>89.697999999999979</v>
      </c>
      <c r="G699" s="86">
        <v>40</v>
      </c>
      <c r="H699" s="83">
        <f t="shared" ref="H699:H705" si="114">25+60+100</f>
        <v>185</v>
      </c>
      <c r="I699" s="83">
        <f t="shared" si="113"/>
        <v>0</v>
      </c>
      <c r="J699" s="86">
        <v>100</v>
      </c>
      <c r="K699" s="86">
        <v>300</v>
      </c>
      <c r="L699" s="83">
        <f t="shared" si="106"/>
        <v>1239</v>
      </c>
      <c r="M699" s="94">
        <v>600</v>
      </c>
      <c r="N699" s="83">
        <f>100</f>
        <v>100</v>
      </c>
      <c r="O699" s="86">
        <v>240</v>
      </c>
      <c r="P699" s="86">
        <v>40</v>
      </c>
      <c r="Q699" s="86">
        <f t="shared" si="107"/>
        <v>315</v>
      </c>
      <c r="R699" s="86">
        <f t="shared" si="108"/>
        <v>100</v>
      </c>
      <c r="S699" s="83">
        <f t="shared" si="109"/>
        <v>695</v>
      </c>
      <c r="T699" s="83">
        <f>50</f>
        <v>50</v>
      </c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</row>
    <row r="700" spans="1:30" ht="15.75" x14ac:dyDescent="0.25">
      <c r="A700" s="13">
        <v>62244</v>
      </c>
      <c r="B700" s="95">
        <f t="shared" si="110"/>
        <v>31</v>
      </c>
      <c r="C700" s="83">
        <f>194.205</f>
        <v>194.20500000000001</v>
      </c>
      <c r="D700" s="83">
        <f>267.466</f>
        <v>267.46600000000001</v>
      </c>
      <c r="E700" s="92">
        <f>133.845</f>
        <v>133.845</v>
      </c>
      <c r="F700" s="83">
        <f>278.484-40-25-60-100</f>
        <v>53.48399999999998</v>
      </c>
      <c r="G700" s="86">
        <v>40</v>
      </c>
      <c r="H700" s="83">
        <f t="shared" si="114"/>
        <v>185</v>
      </c>
      <c r="I700" s="83">
        <f t="shared" si="113"/>
        <v>0</v>
      </c>
      <c r="J700" s="86">
        <v>100</v>
      </c>
      <c r="K700" s="86">
        <v>300</v>
      </c>
      <c r="L700" s="83">
        <f t="shared" si="106"/>
        <v>1274</v>
      </c>
      <c r="M700" s="94">
        <v>600</v>
      </c>
      <c r="N700" s="83">
        <f>75</f>
        <v>75</v>
      </c>
      <c r="O700" s="86">
        <v>240</v>
      </c>
      <c r="P700" s="86">
        <v>40</v>
      </c>
      <c r="Q700" s="86">
        <f t="shared" si="107"/>
        <v>315</v>
      </c>
      <c r="R700" s="86">
        <f t="shared" si="108"/>
        <v>100</v>
      </c>
      <c r="S700" s="83">
        <f t="shared" si="109"/>
        <v>695</v>
      </c>
      <c r="T700" s="83">
        <f>50</f>
        <v>50</v>
      </c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</row>
    <row r="701" spans="1:30" ht="15.75" x14ac:dyDescent="0.25">
      <c r="A701" s="13">
        <v>62274</v>
      </c>
      <c r="B701" s="95">
        <f t="shared" si="110"/>
        <v>30</v>
      </c>
      <c r="C701" s="83">
        <f>194.205</f>
        <v>194.20500000000001</v>
      </c>
      <c r="D701" s="83">
        <f>267.466</f>
        <v>267.46600000000001</v>
      </c>
      <c r="E701" s="92">
        <f>133.845</f>
        <v>133.845</v>
      </c>
      <c r="F701" s="83">
        <f>278.484-40-25-60-100</f>
        <v>53.48399999999998</v>
      </c>
      <c r="G701" s="86">
        <v>40</v>
      </c>
      <c r="H701" s="83">
        <f t="shared" si="114"/>
        <v>185</v>
      </c>
      <c r="I701" s="83">
        <f t="shared" si="113"/>
        <v>0</v>
      </c>
      <c r="J701" s="86">
        <v>100</v>
      </c>
      <c r="K701" s="86">
        <v>300</v>
      </c>
      <c r="L701" s="83">
        <f t="shared" si="106"/>
        <v>1274</v>
      </c>
      <c r="M701" s="94">
        <v>600</v>
      </c>
      <c r="N701" s="83">
        <f>30</f>
        <v>30</v>
      </c>
      <c r="O701" s="86">
        <v>240</v>
      </c>
      <c r="P701" s="86">
        <v>40</v>
      </c>
      <c r="Q701" s="86">
        <f t="shared" si="107"/>
        <v>315</v>
      </c>
      <c r="R701" s="86">
        <f t="shared" si="108"/>
        <v>100</v>
      </c>
      <c r="S701" s="83">
        <f t="shared" si="109"/>
        <v>695</v>
      </c>
      <c r="T701" s="83">
        <f>50</f>
        <v>50</v>
      </c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</row>
    <row r="702" spans="1:30" ht="15.75" x14ac:dyDescent="0.25">
      <c r="A702" s="13">
        <v>62305</v>
      </c>
      <c r="B702" s="95">
        <f t="shared" si="110"/>
        <v>31</v>
      </c>
      <c r="C702" s="83">
        <f>194.205</f>
        <v>194.20500000000001</v>
      </c>
      <c r="D702" s="83">
        <f>267.466</f>
        <v>267.46600000000001</v>
      </c>
      <c r="E702" s="92">
        <f>133.845</f>
        <v>133.845</v>
      </c>
      <c r="F702" s="83">
        <f>278.484-40-25-60-100</f>
        <v>53.48399999999998</v>
      </c>
      <c r="G702" s="86">
        <v>40</v>
      </c>
      <c r="H702" s="83">
        <f t="shared" si="114"/>
        <v>185</v>
      </c>
      <c r="I702" s="83">
        <f t="shared" si="113"/>
        <v>0</v>
      </c>
      <c r="J702" s="86">
        <v>100</v>
      </c>
      <c r="K702" s="86">
        <v>300</v>
      </c>
      <c r="L702" s="83">
        <f t="shared" si="106"/>
        <v>1274</v>
      </c>
      <c r="M702" s="94">
        <v>600</v>
      </c>
      <c r="N702" s="83">
        <f>30</f>
        <v>30</v>
      </c>
      <c r="O702" s="86">
        <v>240</v>
      </c>
      <c r="P702" s="86">
        <v>40</v>
      </c>
      <c r="Q702" s="86">
        <f t="shared" si="107"/>
        <v>315</v>
      </c>
      <c r="R702" s="86">
        <f t="shared" si="108"/>
        <v>100</v>
      </c>
      <c r="S702" s="83">
        <f t="shared" si="109"/>
        <v>695</v>
      </c>
      <c r="T702" s="83">
        <f>0</f>
        <v>0</v>
      </c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</row>
    <row r="703" spans="1:30" ht="15.75" x14ac:dyDescent="0.25">
      <c r="A703" s="13">
        <v>62336</v>
      </c>
      <c r="B703" s="95">
        <f t="shared" si="110"/>
        <v>31</v>
      </c>
      <c r="C703" s="83">
        <f>194.205</f>
        <v>194.20500000000001</v>
      </c>
      <c r="D703" s="83">
        <f>267.466</f>
        <v>267.46600000000001</v>
      </c>
      <c r="E703" s="92">
        <f>133.845</f>
        <v>133.845</v>
      </c>
      <c r="F703" s="83">
        <f>278.484-40-25-60-100</f>
        <v>53.48399999999998</v>
      </c>
      <c r="G703" s="86">
        <v>40</v>
      </c>
      <c r="H703" s="83">
        <f t="shared" si="114"/>
        <v>185</v>
      </c>
      <c r="I703" s="83">
        <f t="shared" si="113"/>
        <v>0</v>
      </c>
      <c r="J703" s="86">
        <v>100</v>
      </c>
      <c r="K703" s="86">
        <v>300</v>
      </c>
      <c r="L703" s="83">
        <f t="shared" si="106"/>
        <v>1274</v>
      </c>
      <c r="M703" s="94">
        <v>600</v>
      </c>
      <c r="N703" s="83">
        <f>30</f>
        <v>30</v>
      </c>
      <c r="O703" s="86">
        <v>240</v>
      </c>
      <c r="P703" s="86">
        <v>40</v>
      </c>
      <c r="Q703" s="86">
        <f t="shared" si="107"/>
        <v>315</v>
      </c>
      <c r="R703" s="86">
        <f t="shared" si="108"/>
        <v>100</v>
      </c>
      <c r="S703" s="83">
        <f t="shared" si="109"/>
        <v>695</v>
      </c>
      <c r="T703" s="83">
        <f>0</f>
        <v>0</v>
      </c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</row>
    <row r="704" spans="1:30" ht="15.75" x14ac:dyDescent="0.25">
      <c r="A704" s="13">
        <v>62366</v>
      </c>
      <c r="B704" s="95">
        <f t="shared" si="110"/>
        <v>30</v>
      </c>
      <c r="C704" s="83">
        <f>194.205</f>
        <v>194.20500000000001</v>
      </c>
      <c r="D704" s="83">
        <f>267.466</f>
        <v>267.46600000000001</v>
      </c>
      <c r="E704" s="92">
        <f>133.845</f>
        <v>133.845</v>
      </c>
      <c r="F704" s="83">
        <f>278.484-40-25-60-100</f>
        <v>53.48399999999998</v>
      </c>
      <c r="G704" s="86">
        <v>40</v>
      </c>
      <c r="H704" s="83">
        <f t="shared" si="114"/>
        <v>185</v>
      </c>
      <c r="I704" s="83">
        <f t="shared" si="113"/>
        <v>0</v>
      </c>
      <c r="J704" s="86">
        <v>100</v>
      </c>
      <c r="K704" s="86">
        <v>300</v>
      </c>
      <c r="L704" s="83">
        <f t="shared" si="106"/>
        <v>1274</v>
      </c>
      <c r="M704" s="94">
        <v>600</v>
      </c>
      <c r="N704" s="83">
        <f>30</f>
        <v>30</v>
      </c>
      <c r="O704" s="86">
        <v>240</v>
      </c>
      <c r="P704" s="86">
        <v>40</v>
      </c>
      <c r="Q704" s="86">
        <f t="shared" si="107"/>
        <v>315</v>
      </c>
      <c r="R704" s="86">
        <f t="shared" si="108"/>
        <v>100</v>
      </c>
      <c r="S704" s="83">
        <f t="shared" si="109"/>
        <v>695</v>
      </c>
      <c r="T704" s="83">
        <f>0</f>
        <v>0</v>
      </c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</row>
    <row r="705" spans="1:30" ht="15.75" x14ac:dyDescent="0.25">
      <c r="A705" s="13">
        <v>62397</v>
      </c>
      <c r="B705" s="95">
        <f t="shared" si="110"/>
        <v>31</v>
      </c>
      <c r="C705" s="83">
        <f>131.881</f>
        <v>131.881</v>
      </c>
      <c r="D705" s="83">
        <f>277.167</f>
        <v>277.16699999999997</v>
      </c>
      <c r="E705" s="92">
        <f>79.08</f>
        <v>79.08</v>
      </c>
      <c r="F705" s="83">
        <f>350.872-40-25-60-100</f>
        <v>125.87200000000001</v>
      </c>
      <c r="G705" s="86">
        <v>40</v>
      </c>
      <c r="H705" s="83">
        <f t="shared" si="114"/>
        <v>185</v>
      </c>
      <c r="I705" s="83">
        <f t="shared" si="113"/>
        <v>0</v>
      </c>
      <c r="J705" s="86">
        <v>100</v>
      </c>
      <c r="K705" s="86">
        <v>300</v>
      </c>
      <c r="L705" s="83">
        <f t="shared" si="106"/>
        <v>1239</v>
      </c>
      <c r="M705" s="94">
        <v>600</v>
      </c>
      <c r="N705" s="83">
        <f>75</f>
        <v>75</v>
      </c>
      <c r="O705" s="86">
        <v>240</v>
      </c>
      <c r="P705" s="86">
        <v>40</v>
      </c>
      <c r="Q705" s="86">
        <f t="shared" si="107"/>
        <v>315</v>
      </c>
      <c r="R705" s="86">
        <f t="shared" si="108"/>
        <v>100</v>
      </c>
      <c r="S705" s="83">
        <f t="shared" si="109"/>
        <v>695</v>
      </c>
      <c r="T705" s="83">
        <f>0</f>
        <v>0</v>
      </c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</row>
    <row r="706" spans="1:30" ht="15.75" x14ac:dyDescent="0.25">
      <c r="A706" s="13">
        <v>62427</v>
      </c>
      <c r="B706" s="95">
        <f t="shared" si="110"/>
        <v>30</v>
      </c>
      <c r="C706" s="83">
        <f>122.58</f>
        <v>122.58</v>
      </c>
      <c r="D706" s="83">
        <f>297.941</f>
        <v>297.94099999999997</v>
      </c>
      <c r="E706" s="92">
        <f>89.177</f>
        <v>89.177000000000007</v>
      </c>
      <c r="F706" s="83">
        <f>240.302-40-60-100</f>
        <v>40.301999999999992</v>
      </c>
      <c r="G706" s="86">
        <v>40</v>
      </c>
      <c r="H706" s="83">
        <f>60+100</f>
        <v>160</v>
      </c>
      <c r="I706" s="83">
        <f t="shared" si="113"/>
        <v>0</v>
      </c>
      <c r="J706" s="86">
        <v>100</v>
      </c>
      <c r="K706" s="86">
        <v>300</v>
      </c>
      <c r="L706" s="83">
        <f t="shared" si="106"/>
        <v>1150</v>
      </c>
      <c r="M706" s="94">
        <v>600</v>
      </c>
      <c r="N706" s="83">
        <f>100</f>
        <v>100</v>
      </c>
      <c r="O706" s="86">
        <v>240</v>
      </c>
      <c r="P706" s="86">
        <v>40</v>
      </c>
      <c r="Q706" s="86">
        <f t="shared" si="107"/>
        <v>315</v>
      </c>
      <c r="R706" s="86">
        <f t="shared" si="108"/>
        <v>100</v>
      </c>
      <c r="S706" s="83">
        <f t="shared" si="109"/>
        <v>695</v>
      </c>
      <c r="T706" s="83">
        <f>50</f>
        <v>50</v>
      </c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</row>
    <row r="707" spans="1:30" ht="15.75" x14ac:dyDescent="0.25">
      <c r="A707" s="13">
        <v>62458</v>
      </c>
      <c r="B707" s="95">
        <f t="shared" si="110"/>
        <v>31</v>
      </c>
      <c r="C707" s="83">
        <f>122.58</f>
        <v>122.58</v>
      </c>
      <c r="D707" s="83">
        <f>297.941</f>
        <v>297.94099999999997</v>
      </c>
      <c r="E707" s="92">
        <f>89.177</f>
        <v>89.177000000000007</v>
      </c>
      <c r="F707" s="83">
        <f>240.302-40-60-100</f>
        <v>40.301999999999992</v>
      </c>
      <c r="G707" s="86">
        <v>40</v>
      </c>
      <c r="H707" s="83">
        <f>60+100</f>
        <v>160</v>
      </c>
      <c r="I707" s="83">
        <f t="shared" si="113"/>
        <v>0</v>
      </c>
      <c r="J707" s="86">
        <v>100</v>
      </c>
      <c r="K707" s="86">
        <v>300</v>
      </c>
      <c r="L707" s="83">
        <f t="shared" si="106"/>
        <v>1150</v>
      </c>
      <c r="M707" s="94">
        <v>600</v>
      </c>
      <c r="N707" s="83">
        <f>100</f>
        <v>100</v>
      </c>
      <c r="O707" s="86">
        <v>240</v>
      </c>
      <c r="P707" s="86">
        <v>40</v>
      </c>
      <c r="Q707" s="86">
        <f t="shared" si="107"/>
        <v>315</v>
      </c>
      <c r="R707" s="86">
        <f t="shared" si="108"/>
        <v>100</v>
      </c>
      <c r="S707" s="83">
        <f t="shared" si="109"/>
        <v>695</v>
      </c>
      <c r="T707" s="83">
        <f>50</f>
        <v>50</v>
      </c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</row>
    <row r="708" spans="1:30" ht="15.75" x14ac:dyDescent="0.25">
      <c r="A708" s="13">
        <v>62489</v>
      </c>
      <c r="B708" s="95">
        <f t="shared" si="110"/>
        <v>31</v>
      </c>
      <c r="C708" s="83">
        <f>122.58</f>
        <v>122.58</v>
      </c>
      <c r="D708" s="83">
        <f>297.941</f>
        <v>297.94099999999997</v>
      </c>
      <c r="E708" s="92">
        <f>89.177</f>
        <v>89.177000000000007</v>
      </c>
      <c r="F708" s="83">
        <f>240.302-40-60-100</f>
        <v>40.301999999999992</v>
      </c>
      <c r="G708" s="86">
        <v>40</v>
      </c>
      <c r="H708" s="83">
        <f>60+100</f>
        <v>160</v>
      </c>
      <c r="I708" s="83">
        <f t="shared" si="113"/>
        <v>0</v>
      </c>
      <c r="J708" s="86">
        <v>100</v>
      </c>
      <c r="K708" s="86">
        <v>300</v>
      </c>
      <c r="L708" s="83">
        <f t="shared" si="106"/>
        <v>1150</v>
      </c>
      <c r="M708" s="94">
        <v>600</v>
      </c>
      <c r="N708" s="83">
        <f>100</f>
        <v>100</v>
      </c>
      <c r="O708" s="86">
        <v>240</v>
      </c>
      <c r="P708" s="86">
        <v>40</v>
      </c>
      <c r="Q708" s="86">
        <f t="shared" si="107"/>
        <v>315</v>
      </c>
      <c r="R708" s="86">
        <f t="shared" si="108"/>
        <v>100</v>
      </c>
      <c r="S708" s="83">
        <f t="shared" si="109"/>
        <v>695</v>
      </c>
      <c r="T708" s="83">
        <f>50</f>
        <v>50</v>
      </c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</row>
    <row r="709" spans="1:30" ht="15.75" x14ac:dyDescent="0.25">
      <c r="A709" s="13">
        <v>62517</v>
      </c>
      <c r="B709" s="95">
        <f t="shared" si="110"/>
        <v>28</v>
      </c>
      <c r="C709" s="83">
        <f>122.58</f>
        <v>122.58</v>
      </c>
      <c r="D709" s="83">
        <f>297.941</f>
        <v>297.94099999999997</v>
      </c>
      <c r="E709" s="92">
        <f>89.177</f>
        <v>89.177000000000007</v>
      </c>
      <c r="F709" s="83">
        <f>240.302-40-60-100</f>
        <v>40.301999999999992</v>
      </c>
      <c r="G709" s="86">
        <v>40</v>
      </c>
      <c r="H709" s="83">
        <f>60+100</f>
        <v>160</v>
      </c>
      <c r="I709" s="83">
        <f t="shared" si="113"/>
        <v>0</v>
      </c>
      <c r="J709" s="86">
        <v>100</v>
      </c>
      <c r="K709" s="86">
        <v>300</v>
      </c>
      <c r="L709" s="83">
        <f t="shared" si="106"/>
        <v>1150</v>
      </c>
      <c r="M709" s="94">
        <v>600</v>
      </c>
      <c r="N709" s="83">
        <f>100</f>
        <v>100</v>
      </c>
      <c r="O709" s="86">
        <v>240</v>
      </c>
      <c r="P709" s="86">
        <v>40</v>
      </c>
      <c r="Q709" s="86">
        <f t="shared" si="107"/>
        <v>315</v>
      </c>
      <c r="R709" s="86">
        <f t="shared" si="108"/>
        <v>100</v>
      </c>
      <c r="S709" s="83">
        <f t="shared" si="109"/>
        <v>695</v>
      </c>
      <c r="T709" s="83">
        <f>50</f>
        <v>50</v>
      </c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</row>
    <row r="710" spans="1:30" ht="15.75" x14ac:dyDescent="0.25">
      <c r="A710" s="13">
        <v>62548</v>
      </c>
      <c r="B710" s="95">
        <f t="shared" si="110"/>
        <v>31</v>
      </c>
      <c r="C710" s="83">
        <f>122.58</f>
        <v>122.58</v>
      </c>
      <c r="D710" s="83">
        <f>297.941</f>
        <v>297.94099999999997</v>
      </c>
      <c r="E710" s="92">
        <f>89.177</f>
        <v>89.177000000000007</v>
      </c>
      <c r="F710" s="83">
        <f>240.302-40-60-100</f>
        <v>40.301999999999992</v>
      </c>
      <c r="G710" s="86">
        <v>40</v>
      </c>
      <c r="H710" s="83">
        <f>60+100</f>
        <v>160</v>
      </c>
      <c r="I710" s="83">
        <f t="shared" si="113"/>
        <v>0</v>
      </c>
      <c r="J710" s="86">
        <v>100</v>
      </c>
      <c r="K710" s="86">
        <v>300</v>
      </c>
      <c r="L710" s="83">
        <f t="shared" si="106"/>
        <v>1150</v>
      </c>
      <c r="M710" s="94">
        <v>600</v>
      </c>
      <c r="N710" s="83">
        <f>100</f>
        <v>100</v>
      </c>
      <c r="O710" s="86">
        <v>240</v>
      </c>
      <c r="P710" s="86">
        <v>40</v>
      </c>
      <c r="Q710" s="86">
        <f t="shared" si="107"/>
        <v>315</v>
      </c>
      <c r="R710" s="86">
        <f t="shared" si="108"/>
        <v>100</v>
      </c>
      <c r="S710" s="83">
        <f t="shared" si="109"/>
        <v>695</v>
      </c>
      <c r="T710" s="83">
        <f>50</f>
        <v>50</v>
      </c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</row>
    <row r="711" spans="1:30" ht="15.75" x14ac:dyDescent="0.25">
      <c r="A711" s="13">
        <v>62578</v>
      </c>
      <c r="B711" s="95">
        <f t="shared" si="110"/>
        <v>30</v>
      </c>
      <c r="C711" s="83">
        <f>141.293</f>
        <v>141.29300000000001</v>
      </c>
      <c r="D711" s="83">
        <f>267.993</f>
        <v>267.99299999999999</v>
      </c>
      <c r="E711" s="92">
        <f>115.016</f>
        <v>115.01600000000001</v>
      </c>
      <c r="F711" s="83">
        <f>314.698-40-25-60-100</f>
        <v>89.697999999999979</v>
      </c>
      <c r="G711" s="86">
        <v>40</v>
      </c>
      <c r="H711" s="83">
        <f t="shared" ref="H711:H717" si="115">25+60+100</f>
        <v>185</v>
      </c>
      <c r="I711" s="83">
        <f t="shared" si="113"/>
        <v>0</v>
      </c>
      <c r="J711" s="86">
        <v>100</v>
      </c>
      <c r="K711" s="86">
        <v>300</v>
      </c>
      <c r="L711" s="83">
        <f t="shared" si="106"/>
        <v>1239</v>
      </c>
      <c r="M711" s="94">
        <v>600</v>
      </c>
      <c r="N711" s="83">
        <f>100</f>
        <v>100</v>
      </c>
      <c r="O711" s="86">
        <v>240</v>
      </c>
      <c r="P711" s="86">
        <v>40</v>
      </c>
      <c r="Q711" s="86">
        <f t="shared" si="107"/>
        <v>315</v>
      </c>
      <c r="R711" s="86">
        <f t="shared" si="108"/>
        <v>100</v>
      </c>
      <c r="S711" s="83">
        <f t="shared" si="109"/>
        <v>695</v>
      </c>
      <c r="T711" s="83">
        <f>50</f>
        <v>50</v>
      </c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</row>
    <row r="712" spans="1:30" ht="15.75" x14ac:dyDescent="0.25">
      <c r="A712" s="13">
        <v>62609</v>
      </c>
      <c r="B712" s="95">
        <f t="shared" si="110"/>
        <v>31</v>
      </c>
      <c r="C712" s="83">
        <f>194.205</f>
        <v>194.20500000000001</v>
      </c>
      <c r="D712" s="83">
        <f>267.466</f>
        <v>267.46600000000001</v>
      </c>
      <c r="E712" s="92">
        <f>133.845</f>
        <v>133.845</v>
      </c>
      <c r="F712" s="83">
        <f>278.484-40-25-60-100</f>
        <v>53.48399999999998</v>
      </c>
      <c r="G712" s="86">
        <v>40</v>
      </c>
      <c r="H712" s="83">
        <f t="shared" si="115"/>
        <v>185</v>
      </c>
      <c r="I712" s="83">
        <f t="shared" si="113"/>
        <v>0</v>
      </c>
      <c r="J712" s="86">
        <v>100</v>
      </c>
      <c r="K712" s="86">
        <v>300</v>
      </c>
      <c r="L712" s="83">
        <f t="shared" si="106"/>
        <v>1274</v>
      </c>
      <c r="M712" s="94">
        <v>600</v>
      </c>
      <c r="N712" s="83">
        <f>75</f>
        <v>75</v>
      </c>
      <c r="O712" s="86">
        <v>240</v>
      </c>
      <c r="P712" s="86">
        <v>40</v>
      </c>
      <c r="Q712" s="86">
        <f t="shared" si="107"/>
        <v>315</v>
      </c>
      <c r="R712" s="86">
        <f t="shared" si="108"/>
        <v>100</v>
      </c>
      <c r="S712" s="83">
        <f t="shared" si="109"/>
        <v>695</v>
      </c>
      <c r="T712" s="83">
        <f>50</f>
        <v>50</v>
      </c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</row>
    <row r="713" spans="1:30" ht="15.75" x14ac:dyDescent="0.25">
      <c r="A713" s="13">
        <v>62639</v>
      </c>
      <c r="B713" s="95">
        <f t="shared" si="110"/>
        <v>30</v>
      </c>
      <c r="C713" s="83">
        <f>194.205</f>
        <v>194.20500000000001</v>
      </c>
      <c r="D713" s="83">
        <f>267.466</f>
        <v>267.46600000000001</v>
      </c>
      <c r="E713" s="92">
        <f>133.845</f>
        <v>133.845</v>
      </c>
      <c r="F713" s="83">
        <f>278.484-40-25-60-100</f>
        <v>53.48399999999998</v>
      </c>
      <c r="G713" s="86">
        <v>40</v>
      </c>
      <c r="H713" s="83">
        <f t="shared" si="115"/>
        <v>185</v>
      </c>
      <c r="I713" s="83">
        <f t="shared" si="113"/>
        <v>0</v>
      </c>
      <c r="J713" s="86">
        <v>100</v>
      </c>
      <c r="K713" s="86">
        <v>300</v>
      </c>
      <c r="L713" s="83">
        <f t="shared" si="106"/>
        <v>1274</v>
      </c>
      <c r="M713" s="94">
        <v>600</v>
      </c>
      <c r="N713" s="83">
        <f>30</f>
        <v>30</v>
      </c>
      <c r="O713" s="86">
        <v>240</v>
      </c>
      <c r="P713" s="86">
        <v>40</v>
      </c>
      <c r="Q713" s="86">
        <f t="shared" si="107"/>
        <v>315</v>
      </c>
      <c r="R713" s="86">
        <f t="shared" si="108"/>
        <v>100</v>
      </c>
      <c r="S713" s="83">
        <f t="shared" si="109"/>
        <v>695</v>
      </c>
      <c r="T713" s="83">
        <f>50</f>
        <v>50</v>
      </c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</row>
    <row r="714" spans="1:30" ht="15.75" x14ac:dyDescent="0.25">
      <c r="A714" s="13">
        <v>62670</v>
      </c>
      <c r="B714" s="95">
        <f t="shared" si="110"/>
        <v>31</v>
      </c>
      <c r="C714" s="83">
        <f>194.205</f>
        <v>194.20500000000001</v>
      </c>
      <c r="D714" s="83">
        <f>267.466</f>
        <v>267.46600000000001</v>
      </c>
      <c r="E714" s="92">
        <f>133.845</f>
        <v>133.845</v>
      </c>
      <c r="F714" s="83">
        <f>278.484-40-25-60-100</f>
        <v>53.48399999999998</v>
      </c>
      <c r="G714" s="86">
        <v>40</v>
      </c>
      <c r="H714" s="83">
        <f t="shared" si="115"/>
        <v>185</v>
      </c>
      <c r="I714" s="83">
        <f t="shared" si="113"/>
        <v>0</v>
      </c>
      <c r="J714" s="86">
        <v>100</v>
      </c>
      <c r="K714" s="86">
        <v>300</v>
      </c>
      <c r="L714" s="83">
        <f t="shared" si="106"/>
        <v>1274</v>
      </c>
      <c r="M714" s="94">
        <v>600</v>
      </c>
      <c r="N714" s="83">
        <f>30</f>
        <v>30</v>
      </c>
      <c r="O714" s="86">
        <v>240</v>
      </c>
      <c r="P714" s="86">
        <v>40</v>
      </c>
      <c r="Q714" s="86">
        <f t="shared" si="107"/>
        <v>315</v>
      </c>
      <c r="R714" s="86">
        <f t="shared" si="108"/>
        <v>100</v>
      </c>
      <c r="S714" s="83">
        <f t="shared" si="109"/>
        <v>695</v>
      </c>
      <c r="T714" s="83">
        <f>0</f>
        <v>0</v>
      </c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</row>
    <row r="715" spans="1:30" ht="15.75" x14ac:dyDescent="0.25">
      <c r="A715" s="13">
        <v>62701</v>
      </c>
      <c r="B715" s="95">
        <f t="shared" si="110"/>
        <v>31</v>
      </c>
      <c r="C715" s="83">
        <f>194.205</f>
        <v>194.20500000000001</v>
      </c>
      <c r="D715" s="83">
        <f>267.466</f>
        <v>267.46600000000001</v>
      </c>
      <c r="E715" s="92">
        <f>133.845</f>
        <v>133.845</v>
      </c>
      <c r="F715" s="83">
        <f>278.484-40-25-60-100</f>
        <v>53.48399999999998</v>
      </c>
      <c r="G715" s="86">
        <v>40</v>
      </c>
      <c r="H715" s="83">
        <f t="shared" si="115"/>
        <v>185</v>
      </c>
      <c r="I715" s="83">
        <f t="shared" si="113"/>
        <v>0</v>
      </c>
      <c r="J715" s="86">
        <v>100</v>
      </c>
      <c r="K715" s="86">
        <v>300</v>
      </c>
      <c r="L715" s="83">
        <f t="shared" si="106"/>
        <v>1274</v>
      </c>
      <c r="M715" s="94">
        <v>600</v>
      </c>
      <c r="N715" s="83">
        <f>30</f>
        <v>30</v>
      </c>
      <c r="O715" s="86">
        <v>240</v>
      </c>
      <c r="P715" s="86">
        <v>40</v>
      </c>
      <c r="Q715" s="86">
        <f t="shared" si="107"/>
        <v>315</v>
      </c>
      <c r="R715" s="86">
        <f t="shared" si="108"/>
        <v>100</v>
      </c>
      <c r="S715" s="83">
        <f t="shared" si="109"/>
        <v>695</v>
      </c>
      <c r="T715" s="83">
        <f>0</f>
        <v>0</v>
      </c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</row>
    <row r="716" spans="1:30" ht="15.75" x14ac:dyDescent="0.25">
      <c r="A716" s="13">
        <v>62731</v>
      </c>
      <c r="B716" s="95">
        <f t="shared" si="110"/>
        <v>30</v>
      </c>
      <c r="C716" s="83">
        <f>194.205</f>
        <v>194.20500000000001</v>
      </c>
      <c r="D716" s="83">
        <f>267.466</f>
        <v>267.46600000000001</v>
      </c>
      <c r="E716" s="92">
        <f>133.845</f>
        <v>133.845</v>
      </c>
      <c r="F716" s="83">
        <f>278.484-40-25-60-100</f>
        <v>53.48399999999998</v>
      </c>
      <c r="G716" s="86">
        <v>40</v>
      </c>
      <c r="H716" s="83">
        <f t="shared" si="115"/>
        <v>185</v>
      </c>
      <c r="I716" s="83">
        <f t="shared" si="113"/>
        <v>0</v>
      </c>
      <c r="J716" s="86">
        <v>100</v>
      </c>
      <c r="K716" s="86">
        <v>300</v>
      </c>
      <c r="L716" s="83">
        <f t="shared" si="106"/>
        <v>1274</v>
      </c>
      <c r="M716" s="94">
        <v>600</v>
      </c>
      <c r="N716" s="83">
        <f>30</f>
        <v>30</v>
      </c>
      <c r="O716" s="86">
        <v>240</v>
      </c>
      <c r="P716" s="86">
        <v>40</v>
      </c>
      <c r="Q716" s="86">
        <f t="shared" si="107"/>
        <v>315</v>
      </c>
      <c r="R716" s="86">
        <f t="shared" si="108"/>
        <v>100</v>
      </c>
      <c r="S716" s="83">
        <f t="shared" si="109"/>
        <v>695</v>
      </c>
      <c r="T716" s="83">
        <f>0</f>
        <v>0</v>
      </c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</row>
    <row r="717" spans="1:30" ht="15.75" x14ac:dyDescent="0.25">
      <c r="A717" s="13">
        <v>62762</v>
      </c>
      <c r="B717" s="95">
        <f t="shared" si="110"/>
        <v>31</v>
      </c>
      <c r="C717" s="83">
        <f>131.881</f>
        <v>131.881</v>
      </c>
      <c r="D717" s="83">
        <f>277.167</f>
        <v>277.16699999999997</v>
      </c>
      <c r="E717" s="92">
        <f>79.08</f>
        <v>79.08</v>
      </c>
      <c r="F717" s="83">
        <f>350.872-40-25-60-100</f>
        <v>125.87200000000001</v>
      </c>
      <c r="G717" s="86">
        <v>40</v>
      </c>
      <c r="H717" s="83">
        <f t="shared" si="115"/>
        <v>185</v>
      </c>
      <c r="I717" s="83">
        <f t="shared" si="113"/>
        <v>0</v>
      </c>
      <c r="J717" s="86">
        <v>100</v>
      </c>
      <c r="K717" s="86">
        <v>300</v>
      </c>
      <c r="L717" s="83">
        <f t="shared" si="106"/>
        <v>1239</v>
      </c>
      <c r="M717" s="94">
        <v>600</v>
      </c>
      <c r="N717" s="83">
        <f>75</f>
        <v>75</v>
      </c>
      <c r="O717" s="86">
        <v>240</v>
      </c>
      <c r="P717" s="86">
        <v>40</v>
      </c>
      <c r="Q717" s="86">
        <f t="shared" si="107"/>
        <v>315</v>
      </c>
      <c r="R717" s="86">
        <f t="shared" si="108"/>
        <v>100</v>
      </c>
      <c r="S717" s="83">
        <f t="shared" si="109"/>
        <v>695</v>
      </c>
      <c r="T717" s="83">
        <f>0</f>
        <v>0</v>
      </c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</row>
    <row r="718" spans="1:30" ht="15.75" x14ac:dyDescent="0.25">
      <c r="A718" s="13">
        <v>62792</v>
      </c>
      <c r="B718" s="95">
        <f t="shared" si="110"/>
        <v>30</v>
      </c>
      <c r="C718" s="83">
        <f>122.58</f>
        <v>122.58</v>
      </c>
      <c r="D718" s="83">
        <f>297.941</f>
        <v>297.94099999999997</v>
      </c>
      <c r="E718" s="92">
        <f>89.177</f>
        <v>89.177000000000007</v>
      </c>
      <c r="F718" s="83">
        <f>240.302-40-60-100</f>
        <v>40.301999999999992</v>
      </c>
      <c r="G718" s="86">
        <v>40</v>
      </c>
      <c r="H718" s="83">
        <f>60+100</f>
        <v>160</v>
      </c>
      <c r="I718" s="83">
        <f t="shared" si="113"/>
        <v>0</v>
      </c>
      <c r="J718" s="86">
        <v>100</v>
      </c>
      <c r="K718" s="86">
        <v>300</v>
      </c>
      <c r="L718" s="83">
        <f t="shared" si="106"/>
        <v>1150</v>
      </c>
      <c r="M718" s="94">
        <v>600</v>
      </c>
      <c r="N718" s="83">
        <f>100</f>
        <v>100</v>
      </c>
      <c r="O718" s="86">
        <v>240</v>
      </c>
      <c r="P718" s="86">
        <v>40</v>
      </c>
      <c r="Q718" s="86">
        <f t="shared" si="107"/>
        <v>315</v>
      </c>
      <c r="R718" s="86">
        <f t="shared" si="108"/>
        <v>100</v>
      </c>
      <c r="S718" s="83">
        <f t="shared" si="109"/>
        <v>695</v>
      </c>
      <c r="T718" s="83">
        <f>50</f>
        <v>50</v>
      </c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</row>
    <row r="719" spans="1:30" ht="15.75" x14ac:dyDescent="0.25">
      <c r="A719" s="13">
        <v>62823</v>
      </c>
      <c r="B719" s="95">
        <f t="shared" si="110"/>
        <v>31</v>
      </c>
      <c r="C719" s="83">
        <f>122.58</f>
        <v>122.58</v>
      </c>
      <c r="D719" s="83">
        <f>297.941</f>
        <v>297.94099999999997</v>
      </c>
      <c r="E719" s="92">
        <f>89.177</f>
        <v>89.177000000000007</v>
      </c>
      <c r="F719" s="83">
        <f>240.302-40-60-100</f>
        <v>40.301999999999992</v>
      </c>
      <c r="G719" s="86">
        <v>40</v>
      </c>
      <c r="H719" s="83">
        <f>60+100</f>
        <v>160</v>
      </c>
      <c r="I719" s="83">
        <f t="shared" si="113"/>
        <v>0</v>
      </c>
      <c r="J719" s="86">
        <v>100</v>
      </c>
      <c r="K719" s="86">
        <v>300</v>
      </c>
      <c r="L719" s="83">
        <f t="shared" si="106"/>
        <v>1150</v>
      </c>
      <c r="M719" s="94">
        <v>600</v>
      </c>
      <c r="N719" s="83">
        <f>100</f>
        <v>100</v>
      </c>
      <c r="O719" s="86">
        <v>240</v>
      </c>
      <c r="P719" s="86">
        <v>40</v>
      </c>
      <c r="Q719" s="86">
        <f t="shared" si="107"/>
        <v>315</v>
      </c>
      <c r="R719" s="86">
        <f t="shared" si="108"/>
        <v>100</v>
      </c>
      <c r="S719" s="83">
        <f t="shared" si="109"/>
        <v>695</v>
      </c>
      <c r="T719" s="83">
        <f>50</f>
        <v>50</v>
      </c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</row>
    <row r="720" spans="1:30" ht="15.75" x14ac:dyDescent="0.25">
      <c r="A720" s="13">
        <v>62854</v>
      </c>
      <c r="B720" s="95">
        <f t="shared" si="110"/>
        <v>31</v>
      </c>
      <c r="C720" s="83">
        <f>122.58</f>
        <v>122.58</v>
      </c>
      <c r="D720" s="83">
        <f>297.941</f>
        <v>297.94099999999997</v>
      </c>
      <c r="E720" s="92">
        <f>89.177</f>
        <v>89.177000000000007</v>
      </c>
      <c r="F720" s="83">
        <f>240.302-40-60-100</f>
        <v>40.301999999999992</v>
      </c>
      <c r="G720" s="86">
        <v>40</v>
      </c>
      <c r="H720" s="83">
        <f>60+100</f>
        <v>160</v>
      </c>
      <c r="I720" s="83">
        <f t="shared" si="113"/>
        <v>0</v>
      </c>
      <c r="J720" s="86">
        <v>100</v>
      </c>
      <c r="K720" s="86">
        <v>300</v>
      </c>
      <c r="L720" s="83">
        <f t="shared" si="106"/>
        <v>1150</v>
      </c>
      <c r="M720" s="94">
        <v>600</v>
      </c>
      <c r="N720" s="83">
        <f>100</f>
        <v>100</v>
      </c>
      <c r="O720" s="86">
        <v>240</v>
      </c>
      <c r="P720" s="86">
        <v>40</v>
      </c>
      <c r="Q720" s="86">
        <f t="shared" si="107"/>
        <v>315</v>
      </c>
      <c r="R720" s="86">
        <f t="shared" si="108"/>
        <v>100</v>
      </c>
      <c r="S720" s="83">
        <f t="shared" si="109"/>
        <v>695</v>
      </c>
      <c r="T720" s="83">
        <f>50</f>
        <v>50</v>
      </c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</row>
    <row r="721" spans="1:30" ht="15.75" x14ac:dyDescent="0.25">
      <c r="A721" s="13">
        <v>62883</v>
      </c>
      <c r="B721" s="95">
        <f t="shared" si="110"/>
        <v>29</v>
      </c>
      <c r="C721" s="83">
        <f>122.58</f>
        <v>122.58</v>
      </c>
      <c r="D721" s="83">
        <f>297.941</f>
        <v>297.94099999999997</v>
      </c>
      <c r="E721" s="92">
        <f>89.177</f>
        <v>89.177000000000007</v>
      </c>
      <c r="F721" s="83">
        <f>240.302-40-60-100</f>
        <v>40.301999999999992</v>
      </c>
      <c r="G721" s="86">
        <v>40</v>
      </c>
      <c r="H721" s="83">
        <f>60+100</f>
        <v>160</v>
      </c>
      <c r="I721" s="83">
        <f t="shared" si="113"/>
        <v>0</v>
      </c>
      <c r="J721" s="86">
        <v>100</v>
      </c>
      <c r="K721" s="86">
        <v>300</v>
      </c>
      <c r="L721" s="83">
        <f t="shared" si="106"/>
        <v>1150</v>
      </c>
      <c r="M721" s="94">
        <v>600</v>
      </c>
      <c r="N721" s="83">
        <f>100</f>
        <v>100</v>
      </c>
      <c r="O721" s="86">
        <v>240</v>
      </c>
      <c r="P721" s="86">
        <v>40</v>
      </c>
      <c r="Q721" s="86">
        <f t="shared" si="107"/>
        <v>315</v>
      </c>
      <c r="R721" s="86">
        <f t="shared" si="108"/>
        <v>100</v>
      </c>
      <c r="S721" s="83">
        <f t="shared" si="109"/>
        <v>695</v>
      </c>
      <c r="T721" s="83">
        <f>50</f>
        <v>50</v>
      </c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</row>
    <row r="722" spans="1:30" ht="15.75" x14ac:dyDescent="0.25">
      <c r="A722" s="13">
        <v>62914</v>
      </c>
      <c r="B722" s="95">
        <f t="shared" si="110"/>
        <v>31</v>
      </c>
      <c r="C722" s="83">
        <f>122.58</f>
        <v>122.58</v>
      </c>
      <c r="D722" s="83">
        <f>297.941</f>
        <v>297.94099999999997</v>
      </c>
      <c r="E722" s="92">
        <f>89.177</f>
        <v>89.177000000000007</v>
      </c>
      <c r="F722" s="83">
        <f>240.302-40-60-100</f>
        <v>40.301999999999992</v>
      </c>
      <c r="G722" s="86">
        <v>40</v>
      </c>
      <c r="H722" s="83">
        <f>60+100</f>
        <v>160</v>
      </c>
      <c r="I722" s="83">
        <f t="shared" si="113"/>
        <v>0</v>
      </c>
      <c r="J722" s="86">
        <v>100</v>
      </c>
      <c r="K722" s="86">
        <v>300</v>
      </c>
      <c r="L722" s="83">
        <f t="shared" si="106"/>
        <v>1150</v>
      </c>
      <c r="M722" s="94">
        <v>600</v>
      </c>
      <c r="N722" s="83">
        <f>100</f>
        <v>100</v>
      </c>
      <c r="O722" s="86">
        <v>240</v>
      </c>
      <c r="P722" s="86">
        <v>40</v>
      </c>
      <c r="Q722" s="86">
        <f t="shared" si="107"/>
        <v>315</v>
      </c>
      <c r="R722" s="86">
        <f t="shared" si="108"/>
        <v>100</v>
      </c>
      <c r="S722" s="83">
        <f t="shared" si="109"/>
        <v>695</v>
      </c>
      <c r="T722" s="83">
        <f>50</f>
        <v>50</v>
      </c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</row>
    <row r="723" spans="1:30" ht="15.75" x14ac:dyDescent="0.25">
      <c r="A723" s="13">
        <v>62944</v>
      </c>
      <c r="B723" s="95">
        <f t="shared" si="110"/>
        <v>30</v>
      </c>
      <c r="C723" s="83">
        <f>141.293</f>
        <v>141.29300000000001</v>
      </c>
      <c r="D723" s="83">
        <f>267.993</f>
        <v>267.99299999999999</v>
      </c>
      <c r="E723" s="92">
        <f>115.016</f>
        <v>115.01600000000001</v>
      </c>
      <c r="F723" s="83">
        <f>314.698-40-25-60-100</f>
        <v>89.697999999999979</v>
      </c>
      <c r="G723" s="86">
        <v>40</v>
      </c>
      <c r="H723" s="83">
        <f t="shared" ref="H723:H729" si="116">25+60+100</f>
        <v>185</v>
      </c>
      <c r="I723" s="83">
        <f t="shared" si="113"/>
        <v>0</v>
      </c>
      <c r="J723" s="86">
        <v>100</v>
      </c>
      <c r="K723" s="86">
        <v>300</v>
      </c>
      <c r="L723" s="83">
        <f t="shared" si="106"/>
        <v>1239</v>
      </c>
      <c r="M723" s="94">
        <v>600</v>
      </c>
      <c r="N723" s="83">
        <f>100</f>
        <v>100</v>
      </c>
      <c r="O723" s="86">
        <v>240</v>
      </c>
      <c r="P723" s="86">
        <v>40</v>
      </c>
      <c r="Q723" s="86">
        <f t="shared" si="107"/>
        <v>315</v>
      </c>
      <c r="R723" s="86">
        <f t="shared" si="108"/>
        <v>100</v>
      </c>
      <c r="S723" s="83">
        <f t="shared" si="109"/>
        <v>695</v>
      </c>
      <c r="T723" s="83">
        <f>50</f>
        <v>50</v>
      </c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</row>
    <row r="724" spans="1:30" ht="15.75" x14ac:dyDescent="0.25">
      <c r="A724" s="13">
        <v>62975</v>
      </c>
      <c r="B724" s="95">
        <f t="shared" si="110"/>
        <v>31</v>
      </c>
      <c r="C724" s="83">
        <f>194.205</f>
        <v>194.20500000000001</v>
      </c>
      <c r="D724" s="83">
        <f>267.466</f>
        <v>267.46600000000001</v>
      </c>
      <c r="E724" s="92">
        <f>133.845</f>
        <v>133.845</v>
      </c>
      <c r="F724" s="83">
        <f>278.484-40-25-60-100</f>
        <v>53.48399999999998</v>
      </c>
      <c r="G724" s="86">
        <v>40</v>
      </c>
      <c r="H724" s="83">
        <f t="shared" si="116"/>
        <v>185</v>
      </c>
      <c r="I724" s="83">
        <f t="shared" si="113"/>
        <v>0</v>
      </c>
      <c r="J724" s="86">
        <v>100</v>
      </c>
      <c r="K724" s="86">
        <v>300</v>
      </c>
      <c r="L724" s="83">
        <f t="shared" si="106"/>
        <v>1274</v>
      </c>
      <c r="M724" s="94">
        <v>600</v>
      </c>
      <c r="N724" s="83">
        <f>75</f>
        <v>75</v>
      </c>
      <c r="O724" s="86">
        <v>240</v>
      </c>
      <c r="P724" s="86">
        <v>40</v>
      </c>
      <c r="Q724" s="86">
        <f t="shared" si="107"/>
        <v>315</v>
      </c>
      <c r="R724" s="86">
        <f t="shared" si="108"/>
        <v>100</v>
      </c>
      <c r="S724" s="83">
        <f t="shared" si="109"/>
        <v>695</v>
      </c>
      <c r="T724" s="83">
        <f>50</f>
        <v>50</v>
      </c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</row>
    <row r="725" spans="1:30" ht="15.75" x14ac:dyDescent="0.25">
      <c r="A725" s="13">
        <v>63005</v>
      </c>
      <c r="B725" s="95">
        <f t="shared" si="110"/>
        <v>30</v>
      </c>
      <c r="C725" s="83">
        <f>194.205</f>
        <v>194.20500000000001</v>
      </c>
      <c r="D725" s="83">
        <f>267.466</f>
        <v>267.46600000000001</v>
      </c>
      <c r="E725" s="92">
        <f>133.845</f>
        <v>133.845</v>
      </c>
      <c r="F725" s="83">
        <f>278.484-40-25-60-100</f>
        <v>53.48399999999998</v>
      </c>
      <c r="G725" s="86">
        <v>40</v>
      </c>
      <c r="H725" s="83">
        <f t="shared" si="116"/>
        <v>185</v>
      </c>
      <c r="I725" s="83">
        <f t="shared" si="113"/>
        <v>0</v>
      </c>
      <c r="J725" s="86">
        <v>100</v>
      </c>
      <c r="K725" s="86">
        <v>300</v>
      </c>
      <c r="L725" s="83">
        <f t="shared" si="106"/>
        <v>1274</v>
      </c>
      <c r="M725" s="94">
        <v>600</v>
      </c>
      <c r="N725" s="83">
        <f>30</f>
        <v>30</v>
      </c>
      <c r="O725" s="86">
        <v>240</v>
      </c>
      <c r="P725" s="86">
        <v>40</v>
      </c>
      <c r="Q725" s="86">
        <f t="shared" si="107"/>
        <v>315</v>
      </c>
      <c r="R725" s="86">
        <f t="shared" si="108"/>
        <v>100</v>
      </c>
      <c r="S725" s="83">
        <f t="shared" si="109"/>
        <v>695</v>
      </c>
      <c r="T725" s="83">
        <f>50</f>
        <v>50</v>
      </c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</row>
    <row r="726" spans="1:30" ht="15.75" x14ac:dyDescent="0.25">
      <c r="A726" s="13">
        <v>63036</v>
      </c>
      <c r="B726" s="95">
        <f t="shared" si="110"/>
        <v>31</v>
      </c>
      <c r="C726" s="83">
        <f>194.205</f>
        <v>194.20500000000001</v>
      </c>
      <c r="D726" s="83">
        <f>267.466</f>
        <v>267.46600000000001</v>
      </c>
      <c r="E726" s="92">
        <f>133.845</f>
        <v>133.845</v>
      </c>
      <c r="F726" s="83">
        <f>278.484-40-25-60-100</f>
        <v>53.48399999999998</v>
      </c>
      <c r="G726" s="86">
        <v>40</v>
      </c>
      <c r="H726" s="83">
        <f t="shared" si="116"/>
        <v>185</v>
      </c>
      <c r="I726" s="83">
        <f t="shared" si="113"/>
        <v>0</v>
      </c>
      <c r="J726" s="86">
        <v>100</v>
      </c>
      <c r="K726" s="86">
        <v>300</v>
      </c>
      <c r="L726" s="83">
        <f t="shared" si="106"/>
        <v>1274</v>
      </c>
      <c r="M726" s="94">
        <v>600</v>
      </c>
      <c r="N726" s="83">
        <f>30</f>
        <v>30</v>
      </c>
      <c r="O726" s="86">
        <v>240</v>
      </c>
      <c r="P726" s="86">
        <v>40</v>
      </c>
      <c r="Q726" s="86">
        <f t="shared" si="107"/>
        <v>315</v>
      </c>
      <c r="R726" s="86">
        <f t="shared" si="108"/>
        <v>100</v>
      </c>
      <c r="S726" s="83">
        <f t="shared" si="109"/>
        <v>695</v>
      </c>
      <c r="T726" s="83">
        <f>0</f>
        <v>0</v>
      </c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</row>
    <row r="727" spans="1:30" ht="15.75" x14ac:dyDescent="0.25">
      <c r="A727" s="13">
        <v>63067</v>
      </c>
      <c r="B727" s="95">
        <f t="shared" si="110"/>
        <v>31</v>
      </c>
      <c r="C727" s="83">
        <f>194.205</f>
        <v>194.20500000000001</v>
      </c>
      <c r="D727" s="83">
        <f>267.466</f>
        <v>267.46600000000001</v>
      </c>
      <c r="E727" s="92">
        <f>133.845</f>
        <v>133.845</v>
      </c>
      <c r="F727" s="83">
        <f>278.484-40-25-60-100</f>
        <v>53.48399999999998</v>
      </c>
      <c r="G727" s="86">
        <v>40</v>
      </c>
      <c r="H727" s="83">
        <f t="shared" si="116"/>
        <v>185</v>
      </c>
      <c r="I727" s="83">
        <f t="shared" si="113"/>
        <v>0</v>
      </c>
      <c r="J727" s="86">
        <v>100</v>
      </c>
      <c r="K727" s="86">
        <v>300</v>
      </c>
      <c r="L727" s="83">
        <f t="shared" ref="L727:L790" si="117">SUM(C727:K727)</f>
        <v>1274</v>
      </c>
      <c r="M727" s="94">
        <v>600</v>
      </c>
      <c r="N727" s="83">
        <f>30</f>
        <v>30</v>
      </c>
      <c r="O727" s="86">
        <v>240</v>
      </c>
      <c r="P727" s="86">
        <v>40</v>
      </c>
      <c r="Q727" s="86">
        <f t="shared" ref="Q727:Q790" si="118">695-R727-O727-P727</f>
        <v>315</v>
      </c>
      <c r="R727" s="86">
        <f t="shared" ref="R727:R790" si="119">200-J727</f>
        <v>100</v>
      </c>
      <c r="S727" s="83">
        <f t="shared" ref="S727:S790" si="120">SUM(O727:R727)</f>
        <v>695</v>
      </c>
      <c r="T727" s="83">
        <f>0</f>
        <v>0</v>
      </c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</row>
    <row r="728" spans="1:30" ht="15.75" x14ac:dyDescent="0.25">
      <c r="A728" s="13">
        <v>63097</v>
      </c>
      <c r="B728" s="95">
        <f t="shared" ref="B728:B791" si="121">EOMONTH(A728,0)-EOMONTH(A728,-1)</f>
        <v>30</v>
      </c>
      <c r="C728" s="83">
        <f>194.205</f>
        <v>194.20500000000001</v>
      </c>
      <c r="D728" s="83">
        <f>267.466</f>
        <v>267.46600000000001</v>
      </c>
      <c r="E728" s="92">
        <f>133.845</f>
        <v>133.845</v>
      </c>
      <c r="F728" s="83">
        <f>278.484-40-25-60-100</f>
        <v>53.48399999999998</v>
      </c>
      <c r="G728" s="86">
        <v>40</v>
      </c>
      <c r="H728" s="83">
        <f t="shared" si="116"/>
        <v>185</v>
      </c>
      <c r="I728" s="83">
        <f t="shared" si="113"/>
        <v>0</v>
      </c>
      <c r="J728" s="86">
        <v>100</v>
      </c>
      <c r="K728" s="86">
        <v>300</v>
      </c>
      <c r="L728" s="83">
        <f t="shared" si="117"/>
        <v>1274</v>
      </c>
      <c r="M728" s="94">
        <v>600</v>
      </c>
      <c r="N728" s="83">
        <f>30</f>
        <v>30</v>
      </c>
      <c r="O728" s="86">
        <v>240</v>
      </c>
      <c r="P728" s="86">
        <v>40</v>
      </c>
      <c r="Q728" s="86">
        <f t="shared" si="118"/>
        <v>315</v>
      </c>
      <c r="R728" s="86">
        <f t="shared" si="119"/>
        <v>100</v>
      </c>
      <c r="S728" s="83">
        <f t="shared" si="120"/>
        <v>695</v>
      </c>
      <c r="T728" s="83">
        <f>0</f>
        <v>0</v>
      </c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</row>
    <row r="729" spans="1:30" ht="15.75" x14ac:dyDescent="0.25">
      <c r="A729" s="13">
        <v>63128</v>
      </c>
      <c r="B729" s="95">
        <f t="shared" si="121"/>
        <v>31</v>
      </c>
      <c r="C729" s="83">
        <f>131.881</f>
        <v>131.881</v>
      </c>
      <c r="D729" s="83">
        <f>277.167</f>
        <v>277.16699999999997</v>
      </c>
      <c r="E729" s="92">
        <f>79.08</f>
        <v>79.08</v>
      </c>
      <c r="F729" s="83">
        <f>350.872-40-25-60-100</f>
        <v>125.87200000000001</v>
      </c>
      <c r="G729" s="86">
        <v>40</v>
      </c>
      <c r="H729" s="83">
        <f t="shared" si="116"/>
        <v>185</v>
      </c>
      <c r="I729" s="83">
        <f t="shared" si="113"/>
        <v>0</v>
      </c>
      <c r="J729" s="86">
        <v>100</v>
      </c>
      <c r="K729" s="86">
        <v>300</v>
      </c>
      <c r="L729" s="83">
        <f t="shared" si="117"/>
        <v>1239</v>
      </c>
      <c r="M729" s="94">
        <v>600</v>
      </c>
      <c r="N729" s="83">
        <f>75</f>
        <v>75</v>
      </c>
      <c r="O729" s="86">
        <v>240</v>
      </c>
      <c r="P729" s="86">
        <v>40</v>
      </c>
      <c r="Q729" s="86">
        <f t="shared" si="118"/>
        <v>315</v>
      </c>
      <c r="R729" s="86">
        <f t="shared" si="119"/>
        <v>100</v>
      </c>
      <c r="S729" s="83">
        <f t="shared" si="120"/>
        <v>695</v>
      </c>
      <c r="T729" s="83">
        <f>0</f>
        <v>0</v>
      </c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</row>
    <row r="730" spans="1:30" ht="15.75" x14ac:dyDescent="0.25">
      <c r="A730" s="13">
        <v>63158</v>
      </c>
      <c r="B730" s="95">
        <f t="shared" si="121"/>
        <v>30</v>
      </c>
      <c r="C730" s="83">
        <f>122.58</f>
        <v>122.58</v>
      </c>
      <c r="D730" s="83">
        <f>297.941</f>
        <v>297.94099999999997</v>
      </c>
      <c r="E730" s="92">
        <f>89.177</f>
        <v>89.177000000000007</v>
      </c>
      <c r="F730" s="83">
        <f>240.302-40-60-100</f>
        <v>40.301999999999992</v>
      </c>
      <c r="G730" s="86">
        <v>40</v>
      </c>
      <c r="H730" s="83">
        <f>60+100</f>
        <v>160</v>
      </c>
      <c r="I730" s="83">
        <f t="shared" si="113"/>
        <v>0</v>
      </c>
      <c r="J730" s="86">
        <v>100</v>
      </c>
      <c r="K730" s="86">
        <v>300</v>
      </c>
      <c r="L730" s="83">
        <f t="shared" si="117"/>
        <v>1150</v>
      </c>
      <c r="M730" s="94">
        <v>600</v>
      </c>
      <c r="N730" s="83">
        <f>100</f>
        <v>100</v>
      </c>
      <c r="O730" s="86">
        <v>240</v>
      </c>
      <c r="P730" s="86">
        <v>40</v>
      </c>
      <c r="Q730" s="86">
        <f t="shared" si="118"/>
        <v>315</v>
      </c>
      <c r="R730" s="86">
        <f t="shared" si="119"/>
        <v>100</v>
      </c>
      <c r="S730" s="83">
        <f t="shared" si="120"/>
        <v>695</v>
      </c>
      <c r="T730" s="83">
        <f>50</f>
        <v>50</v>
      </c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</row>
    <row r="731" spans="1:30" ht="15.75" x14ac:dyDescent="0.25">
      <c r="A731" s="13">
        <v>63189</v>
      </c>
      <c r="B731" s="95">
        <f t="shared" si="121"/>
        <v>31</v>
      </c>
      <c r="C731" s="83">
        <f>122.58</f>
        <v>122.58</v>
      </c>
      <c r="D731" s="83">
        <f>297.941</f>
        <v>297.94099999999997</v>
      </c>
      <c r="E731" s="92">
        <f>89.177</f>
        <v>89.177000000000007</v>
      </c>
      <c r="F731" s="83">
        <f>240.302-40-60-100</f>
        <v>40.301999999999992</v>
      </c>
      <c r="G731" s="86">
        <v>40</v>
      </c>
      <c r="H731" s="83">
        <f>60+100</f>
        <v>160</v>
      </c>
      <c r="I731" s="83">
        <f t="shared" si="113"/>
        <v>0</v>
      </c>
      <c r="J731" s="86">
        <v>100</v>
      </c>
      <c r="K731" s="86">
        <v>300</v>
      </c>
      <c r="L731" s="83">
        <f t="shared" si="117"/>
        <v>1150</v>
      </c>
      <c r="M731" s="94">
        <v>600</v>
      </c>
      <c r="N731" s="83">
        <f>100</f>
        <v>100</v>
      </c>
      <c r="O731" s="86">
        <v>240</v>
      </c>
      <c r="P731" s="86">
        <v>40</v>
      </c>
      <c r="Q731" s="86">
        <f t="shared" si="118"/>
        <v>315</v>
      </c>
      <c r="R731" s="86">
        <f t="shared" si="119"/>
        <v>100</v>
      </c>
      <c r="S731" s="83">
        <f t="shared" si="120"/>
        <v>695</v>
      </c>
      <c r="T731" s="83">
        <f>50</f>
        <v>50</v>
      </c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</row>
    <row r="732" spans="1:30" ht="15.75" x14ac:dyDescent="0.25">
      <c r="A732" s="13">
        <v>63220</v>
      </c>
      <c r="B732" s="95">
        <f t="shared" si="121"/>
        <v>31</v>
      </c>
      <c r="C732" s="83">
        <f>122.58</f>
        <v>122.58</v>
      </c>
      <c r="D732" s="83">
        <f>297.941</f>
        <v>297.94099999999997</v>
      </c>
      <c r="E732" s="92">
        <f>89.177</f>
        <v>89.177000000000007</v>
      </c>
      <c r="F732" s="83">
        <f>240.302-40-60-100</f>
        <v>40.301999999999992</v>
      </c>
      <c r="G732" s="86">
        <v>40</v>
      </c>
      <c r="H732" s="83">
        <f>60+100</f>
        <v>160</v>
      </c>
      <c r="I732" s="83">
        <f t="shared" si="113"/>
        <v>0</v>
      </c>
      <c r="J732" s="86">
        <v>100</v>
      </c>
      <c r="K732" s="86">
        <v>300</v>
      </c>
      <c r="L732" s="83">
        <f t="shared" si="117"/>
        <v>1150</v>
      </c>
      <c r="M732" s="94">
        <v>600</v>
      </c>
      <c r="N732" s="83">
        <f>100</f>
        <v>100</v>
      </c>
      <c r="O732" s="86">
        <v>240</v>
      </c>
      <c r="P732" s="86">
        <v>40</v>
      </c>
      <c r="Q732" s="86">
        <f t="shared" si="118"/>
        <v>315</v>
      </c>
      <c r="R732" s="86">
        <f t="shared" si="119"/>
        <v>100</v>
      </c>
      <c r="S732" s="83">
        <f t="shared" si="120"/>
        <v>695</v>
      </c>
      <c r="T732" s="83">
        <f>50</f>
        <v>50</v>
      </c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</row>
    <row r="733" spans="1:30" ht="15.75" x14ac:dyDescent="0.25">
      <c r="A733" s="13">
        <v>63248</v>
      </c>
      <c r="B733" s="95">
        <f t="shared" si="121"/>
        <v>28</v>
      </c>
      <c r="C733" s="83">
        <f>122.58</f>
        <v>122.58</v>
      </c>
      <c r="D733" s="83">
        <f>297.941</f>
        <v>297.94099999999997</v>
      </c>
      <c r="E733" s="92">
        <f>89.177</f>
        <v>89.177000000000007</v>
      </c>
      <c r="F733" s="83">
        <f>240.302-40-60-100</f>
        <v>40.301999999999992</v>
      </c>
      <c r="G733" s="86">
        <v>40</v>
      </c>
      <c r="H733" s="83">
        <f>60+100</f>
        <v>160</v>
      </c>
      <c r="I733" s="83">
        <f t="shared" si="113"/>
        <v>0</v>
      </c>
      <c r="J733" s="86">
        <v>100</v>
      </c>
      <c r="K733" s="86">
        <v>300</v>
      </c>
      <c r="L733" s="83">
        <f t="shared" si="117"/>
        <v>1150</v>
      </c>
      <c r="M733" s="94">
        <v>600</v>
      </c>
      <c r="N733" s="83">
        <f>100</f>
        <v>100</v>
      </c>
      <c r="O733" s="86">
        <v>240</v>
      </c>
      <c r="P733" s="86">
        <v>40</v>
      </c>
      <c r="Q733" s="86">
        <f t="shared" si="118"/>
        <v>315</v>
      </c>
      <c r="R733" s="86">
        <f t="shared" si="119"/>
        <v>100</v>
      </c>
      <c r="S733" s="83">
        <f t="shared" si="120"/>
        <v>695</v>
      </c>
      <c r="T733" s="83">
        <f>50</f>
        <v>50</v>
      </c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</row>
    <row r="734" spans="1:30" ht="15.75" x14ac:dyDescent="0.25">
      <c r="A734" s="13">
        <v>63279</v>
      </c>
      <c r="B734" s="95">
        <f t="shared" si="121"/>
        <v>31</v>
      </c>
      <c r="C734" s="83">
        <f>122.58</f>
        <v>122.58</v>
      </c>
      <c r="D734" s="83">
        <f>297.941</f>
        <v>297.94099999999997</v>
      </c>
      <c r="E734" s="92">
        <f>89.177</f>
        <v>89.177000000000007</v>
      </c>
      <c r="F734" s="83">
        <f>240.302-40-60-100</f>
        <v>40.301999999999992</v>
      </c>
      <c r="G734" s="86">
        <v>40</v>
      </c>
      <c r="H734" s="83">
        <f>60+100</f>
        <v>160</v>
      </c>
      <c r="I734" s="83">
        <f t="shared" si="113"/>
        <v>0</v>
      </c>
      <c r="J734" s="86">
        <v>100</v>
      </c>
      <c r="K734" s="86">
        <v>300</v>
      </c>
      <c r="L734" s="83">
        <f t="shared" si="117"/>
        <v>1150</v>
      </c>
      <c r="M734" s="94">
        <v>600</v>
      </c>
      <c r="N734" s="83">
        <f>100</f>
        <v>100</v>
      </c>
      <c r="O734" s="86">
        <v>240</v>
      </c>
      <c r="P734" s="86">
        <v>40</v>
      </c>
      <c r="Q734" s="86">
        <f t="shared" si="118"/>
        <v>315</v>
      </c>
      <c r="R734" s="86">
        <f t="shared" si="119"/>
        <v>100</v>
      </c>
      <c r="S734" s="83">
        <f t="shared" si="120"/>
        <v>695</v>
      </c>
      <c r="T734" s="83">
        <f>50</f>
        <v>50</v>
      </c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</row>
    <row r="735" spans="1:30" ht="15.75" x14ac:dyDescent="0.25">
      <c r="A735" s="13">
        <v>63309</v>
      </c>
      <c r="B735" s="95">
        <f t="shared" si="121"/>
        <v>30</v>
      </c>
      <c r="C735" s="83">
        <f>141.293</f>
        <v>141.29300000000001</v>
      </c>
      <c r="D735" s="83">
        <f>267.993</f>
        <v>267.99299999999999</v>
      </c>
      <c r="E735" s="92">
        <f>115.016</f>
        <v>115.01600000000001</v>
      </c>
      <c r="F735" s="83">
        <f>314.698-40-25-60-100</f>
        <v>89.697999999999979</v>
      </c>
      <c r="G735" s="86">
        <v>40</v>
      </c>
      <c r="H735" s="83">
        <f t="shared" ref="H735:H741" si="122">25+60+100</f>
        <v>185</v>
      </c>
      <c r="I735" s="83">
        <f t="shared" si="113"/>
        <v>0</v>
      </c>
      <c r="J735" s="86">
        <v>100</v>
      </c>
      <c r="K735" s="86">
        <v>300</v>
      </c>
      <c r="L735" s="83">
        <f t="shared" si="117"/>
        <v>1239</v>
      </c>
      <c r="M735" s="94">
        <v>600</v>
      </c>
      <c r="N735" s="83">
        <f>100</f>
        <v>100</v>
      </c>
      <c r="O735" s="86">
        <v>240</v>
      </c>
      <c r="P735" s="86">
        <v>40</v>
      </c>
      <c r="Q735" s="86">
        <f t="shared" si="118"/>
        <v>315</v>
      </c>
      <c r="R735" s="86">
        <f t="shared" si="119"/>
        <v>100</v>
      </c>
      <c r="S735" s="83">
        <f t="shared" si="120"/>
        <v>695</v>
      </c>
      <c r="T735" s="83">
        <f>50</f>
        <v>50</v>
      </c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</row>
    <row r="736" spans="1:30" ht="15.75" x14ac:dyDescent="0.25">
      <c r="A736" s="13">
        <v>63340</v>
      </c>
      <c r="B736" s="95">
        <f t="shared" si="121"/>
        <v>31</v>
      </c>
      <c r="C736" s="83">
        <f>194.205</f>
        <v>194.20500000000001</v>
      </c>
      <c r="D736" s="83">
        <f>267.466</f>
        <v>267.46600000000001</v>
      </c>
      <c r="E736" s="92">
        <f>133.845</f>
        <v>133.845</v>
      </c>
      <c r="F736" s="83">
        <f>278.484-40-25-60-100</f>
        <v>53.48399999999998</v>
      </c>
      <c r="G736" s="86">
        <v>40</v>
      </c>
      <c r="H736" s="83">
        <f t="shared" si="122"/>
        <v>185</v>
      </c>
      <c r="I736" s="83">
        <f t="shared" si="113"/>
        <v>0</v>
      </c>
      <c r="J736" s="86">
        <v>100</v>
      </c>
      <c r="K736" s="86">
        <v>300</v>
      </c>
      <c r="L736" s="83">
        <f t="shared" si="117"/>
        <v>1274</v>
      </c>
      <c r="M736" s="94">
        <v>600</v>
      </c>
      <c r="N736" s="83">
        <f>75</f>
        <v>75</v>
      </c>
      <c r="O736" s="86">
        <v>240</v>
      </c>
      <c r="P736" s="86">
        <v>40</v>
      </c>
      <c r="Q736" s="86">
        <f t="shared" si="118"/>
        <v>315</v>
      </c>
      <c r="R736" s="86">
        <f t="shared" si="119"/>
        <v>100</v>
      </c>
      <c r="S736" s="83">
        <f t="shared" si="120"/>
        <v>695</v>
      </c>
      <c r="T736" s="83">
        <f>50</f>
        <v>50</v>
      </c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</row>
    <row r="737" spans="1:30" ht="15.75" x14ac:dyDescent="0.25">
      <c r="A737" s="13">
        <v>63370</v>
      </c>
      <c r="B737" s="95">
        <f t="shared" si="121"/>
        <v>30</v>
      </c>
      <c r="C737" s="83">
        <f>194.205</f>
        <v>194.20500000000001</v>
      </c>
      <c r="D737" s="83">
        <f>267.466</f>
        <v>267.46600000000001</v>
      </c>
      <c r="E737" s="92">
        <f>133.845</f>
        <v>133.845</v>
      </c>
      <c r="F737" s="83">
        <f>278.484-40-25-60-100</f>
        <v>53.48399999999998</v>
      </c>
      <c r="G737" s="86">
        <v>40</v>
      </c>
      <c r="H737" s="83">
        <f t="shared" si="122"/>
        <v>185</v>
      </c>
      <c r="I737" s="83">
        <f t="shared" si="113"/>
        <v>0</v>
      </c>
      <c r="J737" s="86">
        <v>100</v>
      </c>
      <c r="K737" s="86">
        <v>300</v>
      </c>
      <c r="L737" s="83">
        <f t="shared" si="117"/>
        <v>1274</v>
      </c>
      <c r="M737" s="94">
        <v>600</v>
      </c>
      <c r="N737" s="83">
        <f>30</f>
        <v>30</v>
      </c>
      <c r="O737" s="86">
        <v>240</v>
      </c>
      <c r="P737" s="86">
        <v>40</v>
      </c>
      <c r="Q737" s="86">
        <f t="shared" si="118"/>
        <v>315</v>
      </c>
      <c r="R737" s="86">
        <f t="shared" si="119"/>
        <v>100</v>
      </c>
      <c r="S737" s="83">
        <f t="shared" si="120"/>
        <v>695</v>
      </c>
      <c r="T737" s="83">
        <f>50</f>
        <v>50</v>
      </c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</row>
    <row r="738" spans="1:30" ht="15.75" x14ac:dyDescent="0.25">
      <c r="A738" s="13">
        <v>63401</v>
      </c>
      <c r="B738" s="95">
        <f t="shared" si="121"/>
        <v>31</v>
      </c>
      <c r="C738" s="83">
        <f>194.205</f>
        <v>194.20500000000001</v>
      </c>
      <c r="D738" s="83">
        <f>267.466</f>
        <v>267.46600000000001</v>
      </c>
      <c r="E738" s="92">
        <f>133.845</f>
        <v>133.845</v>
      </c>
      <c r="F738" s="83">
        <f>278.484-40-25-60-100</f>
        <v>53.48399999999998</v>
      </c>
      <c r="G738" s="86">
        <v>40</v>
      </c>
      <c r="H738" s="83">
        <f t="shared" si="122"/>
        <v>185</v>
      </c>
      <c r="I738" s="83">
        <f t="shared" si="113"/>
        <v>0</v>
      </c>
      <c r="J738" s="86">
        <v>100</v>
      </c>
      <c r="K738" s="86">
        <v>300</v>
      </c>
      <c r="L738" s="83">
        <f t="shared" si="117"/>
        <v>1274</v>
      </c>
      <c r="M738" s="94">
        <v>600</v>
      </c>
      <c r="N738" s="83">
        <f>30</f>
        <v>30</v>
      </c>
      <c r="O738" s="86">
        <v>240</v>
      </c>
      <c r="P738" s="86">
        <v>40</v>
      </c>
      <c r="Q738" s="86">
        <f t="shared" si="118"/>
        <v>315</v>
      </c>
      <c r="R738" s="86">
        <f t="shared" si="119"/>
        <v>100</v>
      </c>
      <c r="S738" s="83">
        <f t="shared" si="120"/>
        <v>695</v>
      </c>
      <c r="T738" s="83">
        <f>0</f>
        <v>0</v>
      </c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</row>
    <row r="739" spans="1:30" ht="15.75" x14ac:dyDescent="0.25">
      <c r="A739" s="13">
        <v>63432</v>
      </c>
      <c r="B739" s="95">
        <f t="shared" si="121"/>
        <v>31</v>
      </c>
      <c r="C739" s="83">
        <f>194.205</f>
        <v>194.20500000000001</v>
      </c>
      <c r="D739" s="83">
        <f>267.466</f>
        <v>267.46600000000001</v>
      </c>
      <c r="E739" s="92">
        <f>133.845</f>
        <v>133.845</v>
      </c>
      <c r="F739" s="83">
        <f>278.484-40-25-60-100</f>
        <v>53.48399999999998</v>
      </c>
      <c r="G739" s="86">
        <v>40</v>
      </c>
      <c r="H739" s="83">
        <f t="shared" si="122"/>
        <v>185</v>
      </c>
      <c r="I739" s="83">
        <f t="shared" si="113"/>
        <v>0</v>
      </c>
      <c r="J739" s="86">
        <v>100</v>
      </c>
      <c r="K739" s="86">
        <v>300</v>
      </c>
      <c r="L739" s="83">
        <f t="shared" si="117"/>
        <v>1274</v>
      </c>
      <c r="M739" s="94">
        <v>600</v>
      </c>
      <c r="N739" s="83">
        <f>30</f>
        <v>30</v>
      </c>
      <c r="O739" s="86">
        <v>240</v>
      </c>
      <c r="P739" s="86">
        <v>40</v>
      </c>
      <c r="Q739" s="86">
        <f t="shared" si="118"/>
        <v>315</v>
      </c>
      <c r="R739" s="86">
        <f t="shared" si="119"/>
        <v>100</v>
      </c>
      <c r="S739" s="83">
        <f t="shared" si="120"/>
        <v>695</v>
      </c>
      <c r="T739" s="83">
        <f>0</f>
        <v>0</v>
      </c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</row>
    <row r="740" spans="1:30" ht="15.75" x14ac:dyDescent="0.25">
      <c r="A740" s="13">
        <v>63462</v>
      </c>
      <c r="B740" s="95">
        <f t="shared" si="121"/>
        <v>30</v>
      </c>
      <c r="C740" s="83">
        <f>194.205</f>
        <v>194.20500000000001</v>
      </c>
      <c r="D740" s="83">
        <f>267.466</f>
        <v>267.46600000000001</v>
      </c>
      <c r="E740" s="92">
        <f>133.845</f>
        <v>133.845</v>
      </c>
      <c r="F740" s="83">
        <f>278.484-40-25-60-100</f>
        <v>53.48399999999998</v>
      </c>
      <c r="G740" s="86">
        <v>40</v>
      </c>
      <c r="H740" s="83">
        <f t="shared" si="122"/>
        <v>185</v>
      </c>
      <c r="I740" s="83">
        <f t="shared" si="113"/>
        <v>0</v>
      </c>
      <c r="J740" s="86">
        <v>100</v>
      </c>
      <c r="K740" s="86">
        <v>300</v>
      </c>
      <c r="L740" s="83">
        <f t="shared" si="117"/>
        <v>1274</v>
      </c>
      <c r="M740" s="94">
        <v>600</v>
      </c>
      <c r="N740" s="83">
        <f>30</f>
        <v>30</v>
      </c>
      <c r="O740" s="86">
        <v>240</v>
      </c>
      <c r="P740" s="86">
        <v>40</v>
      </c>
      <c r="Q740" s="86">
        <f t="shared" si="118"/>
        <v>315</v>
      </c>
      <c r="R740" s="86">
        <f t="shared" si="119"/>
        <v>100</v>
      </c>
      <c r="S740" s="83">
        <f t="shared" si="120"/>
        <v>695</v>
      </c>
      <c r="T740" s="83">
        <f>0</f>
        <v>0</v>
      </c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</row>
    <row r="741" spans="1:30" ht="15.75" x14ac:dyDescent="0.25">
      <c r="A741" s="13">
        <v>63493</v>
      </c>
      <c r="B741" s="95">
        <f t="shared" si="121"/>
        <v>31</v>
      </c>
      <c r="C741" s="83">
        <f>131.881</f>
        <v>131.881</v>
      </c>
      <c r="D741" s="83">
        <f>277.167</f>
        <v>277.16699999999997</v>
      </c>
      <c r="E741" s="92">
        <f>79.08</f>
        <v>79.08</v>
      </c>
      <c r="F741" s="83">
        <f>350.872-40-25-60-100</f>
        <v>125.87200000000001</v>
      </c>
      <c r="G741" s="86">
        <v>40</v>
      </c>
      <c r="H741" s="83">
        <f t="shared" si="122"/>
        <v>185</v>
      </c>
      <c r="I741" s="83">
        <f t="shared" si="113"/>
        <v>0</v>
      </c>
      <c r="J741" s="86">
        <v>100</v>
      </c>
      <c r="K741" s="86">
        <v>300</v>
      </c>
      <c r="L741" s="83">
        <f t="shared" si="117"/>
        <v>1239</v>
      </c>
      <c r="M741" s="94">
        <v>600</v>
      </c>
      <c r="N741" s="83">
        <f>75</f>
        <v>75</v>
      </c>
      <c r="O741" s="86">
        <v>240</v>
      </c>
      <c r="P741" s="86">
        <v>40</v>
      </c>
      <c r="Q741" s="86">
        <f t="shared" si="118"/>
        <v>315</v>
      </c>
      <c r="R741" s="86">
        <f t="shared" si="119"/>
        <v>100</v>
      </c>
      <c r="S741" s="83">
        <f t="shared" si="120"/>
        <v>695</v>
      </c>
      <c r="T741" s="83">
        <f>0</f>
        <v>0</v>
      </c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</row>
    <row r="742" spans="1:30" ht="15.75" x14ac:dyDescent="0.25">
      <c r="A742" s="13">
        <v>63523</v>
      </c>
      <c r="B742" s="95">
        <f t="shared" si="121"/>
        <v>30</v>
      </c>
      <c r="C742" s="83">
        <f>122.58</f>
        <v>122.58</v>
      </c>
      <c r="D742" s="83">
        <f>297.941</f>
        <v>297.94099999999997</v>
      </c>
      <c r="E742" s="92">
        <f>89.177</f>
        <v>89.177000000000007</v>
      </c>
      <c r="F742" s="83">
        <f>240.302-40-60-100</f>
        <v>40.301999999999992</v>
      </c>
      <c r="G742" s="86">
        <v>40</v>
      </c>
      <c r="H742" s="83">
        <f>60+100</f>
        <v>160</v>
      </c>
      <c r="I742" s="83">
        <f t="shared" si="113"/>
        <v>0</v>
      </c>
      <c r="J742" s="86">
        <v>100</v>
      </c>
      <c r="K742" s="86">
        <v>300</v>
      </c>
      <c r="L742" s="83">
        <f t="shared" si="117"/>
        <v>1150</v>
      </c>
      <c r="M742" s="94">
        <v>600</v>
      </c>
      <c r="N742" s="83">
        <f>100</f>
        <v>100</v>
      </c>
      <c r="O742" s="86">
        <v>240</v>
      </c>
      <c r="P742" s="86">
        <v>40</v>
      </c>
      <c r="Q742" s="86">
        <f t="shared" si="118"/>
        <v>315</v>
      </c>
      <c r="R742" s="86">
        <f t="shared" si="119"/>
        <v>100</v>
      </c>
      <c r="S742" s="83">
        <f t="shared" si="120"/>
        <v>695</v>
      </c>
      <c r="T742" s="83">
        <f>50</f>
        <v>50</v>
      </c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</row>
    <row r="743" spans="1:30" ht="15.75" x14ac:dyDescent="0.25">
      <c r="A743" s="13">
        <v>63554</v>
      </c>
      <c r="B743" s="95">
        <f t="shared" si="121"/>
        <v>31</v>
      </c>
      <c r="C743" s="83">
        <f>122.58</f>
        <v>122.58</v>
      </c>
      <c r="D743" s="83">
        <f>297.941</f>
        <v>297.94099999999997</v>
      </c>
      <c r="E743" s="92">
        <f>89.177</f>
        <v>89.177000000000007</v>
      </c>
      <c r="F743" s="83">
        <f>240.302-40-60-100</f>
        <v>40.301999999999992</v>
      </c>
      <c r="G743" s="86">
        <v>40</v>
      </c>
      <c r="H743" s="83">
        <f>60+100</f>
        <v>160</v>
      </c>
      <c r="I743" s="83">
        <f t="shared" si="113"/>
        <v>0</v>
      </c>
      <c r="J743" s="86">
        <v>100</v>
      </c>
      <c r="K743" s="86">
        <v>300</v>
      </c>
      <c r="L743" s="83">
        <f t="shared" si="117"/>
        <v>1150</v>
      </c>
      <c r="M743" s="94">
        <v>600</v>
      </c>
      <c r="N743" s="83">
        <f>100</f>
        <v>100</v>
      </c>
      <c r="O743" s="86">
        <v>240</v>
      </c>
      <c r="P743" s="86">
        <v>40</v>
      </c>
      <c r="Q743" s="86">
        <f t="shared" si="118"/>
        <v>315</v>
      </c>
      <c r="R743" s="86">
        <f t="shared" si="119"/>
        <v>100</v>
      </c>
      <c r="S743" s="83">
        <f t="shared" si="120"/>
        <v>695</v>
      </c>
      <c r="T743" s="83">
        <f>50</f>
        <v>50</v>
      </c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</row>
    <row r="744" spans="1:30" ht="15.75" x14ac:dyDescent="0.25">
      <c r="A744" s="13">
        <v>63585</v>
      </c>
      <c r="B744" s="95">
        <f t="shared" si="121"/>
        <v>31</v>
      </c>
      <c r="C744" s="83">
        <f>122.58</f>
        <v>122.58</v>
      </c>
      <c r="D744" s="83">
        <f>297.941</f>
        <v>297.94099999999997</v>
      </c>
      <c r="E744" s="92">
        <f>89.177</f>
        <v>89.177000000000007</v>
      </c>
      <c r="F744" s="83">
        <f>240.302-40-60-100</f>
        <v>40.301999999999992</v>
      </c>
      <c r="G744" s="86">
        <v>40</v>
      </c>
      <c r="H744" s="83">
        <f>60+100</f>
        <v>160</v>
      </c>
      <c r="I744" s="83">
        <f t="shared" si="113"/>
        <v>0</v>
      </c>
      <c r="J744" s="86">
        <v>100</v>
      </c>
      <c r="K744" s="86">
        <v>300</v>
      </c>
      <c r="L744" s="83">
        <f t="shared" si="117"/>
        <v>1150</v>
      </c>
      <c r="M744" s="94">
        <v>600</v>
      </c>
      <c r="N744" s="83">
        <f>100</f>
        <v>100</v>
      </c>
      <c r="O744" s="86">
        <v>240</v>
      </c>
      <c r="P744" s="86">
        <v>40</v>
      </c>
      <c r="Q744" s="86">
        <f t="shared" si="118"/>
        <v>315</v>
      </c>
      <c r="R744" s="86">
        <f t="shared" si="119"/>
        <v>100</v>
      </c>
      <c r="S744" s="83">
        <f t="shared" si="120"/>
        <v>695</v>
      </c>
      <c r="T744" s="83">
        <f>50</f>
        <v>50</v>
      </c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</row>
    <row r="745" spans="1:30" ht="15.75" x14ac:dyDescent="0.25">
      <c r="A745" s="13">
        <v>63613</v>
      </c>
      <c r="B745" s="95">
        <f t="shared" si="121"/>
        <v>28</v>
      </c>
      <c r="C745" s="83">
        <f>122.58</f>
        <v>122.58</v>
      </c>
      <c r="D745" s="83">
        <f>297.941</f>
        <v>297.94099999999997</v>
      </c>
      <c r="E745" s="92">
        <f>89.177</f>
        <v>89.177000000000007</v>
      </c>
      <c r="F745" s="83">
        <f>240.302-40-60-100</f>
        <v>40.301999999999992</v>
      </c>
      <c r="G745" s="86">
        <v>40</v>
      </c>
      <c r="H745" s="83">
        <f>60+100</f>
        <v>160</v>
      </c>
      <c r="I745" s="83">
        <f t="shared" si="113"/>
        <v>0</v>
      </c>
      <c r="J745" s="86">
        <v>100</v>
      </c>
      <c r="K745" s="86">
        <v>300</v>
      </c>
      <c r="L745" s="83">
        <f t="shared" si="117"/>
        <v>1150</v>
      </c>
      <c r="M745" s="94">
        <v>600</v>
      </c>
      <c r="N745" s="83">
        <f>100</f>
        <v>100</v>
      </c>
      <c r="O745" s="86">
        <v>240</v>
      </c>
      <c r="P745" s="86">
        <v>40</v>
      </c>
      <c r="Q745" s="86">
        <f t="shared" si="118"/>
        <v>315</v>
      </c>
      <c r="R745" s="86">
        <f t="shared" si="119"/>
        <v>100</v>
      </c>
      <c r="S745" s="83">
        <f t="shared" si="120"/>
        <v>695</v>
      </c>
      <c r="T745" s="83">
        <f>50</f>
        <v>50</v>
      </c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</row>
    <row r="746" spans="1:30" ht="15.75" x14ac:dyDescent="0.25">
      <c r="A746" s="13">
        <v>63644</v>
      </c>
      <c r="B746" s="95">
        <f t="shared" si="121"/>
        <v>31</v>
      </c>
      <c r="C746" s="83">
        <f>122.58</f>
        <v>122.58</v>
      </c>
      <c r="D746" s="83">
        <f>297.941</f>
        <v>297.94099999999997</v>
      </c>
      <c r="E746" s="92">
        <f>89.177</f>
        <v>89.177000000000007</v>
      </c>
      <c r="F746" s="83">
        <f>240.302-40-60-100</f>
        <v>40.301999999999992</v>
      </c>
      <c r="G746" s="86">
        <v>40</v>
      </c>
      <c r="H746" s="83">
        <f>60+100</f>
        <v>160</v>
      </c>
      <c r="I746" s="83">
        <f t="shared" si="113"/>
        <v>0</v>
      </c>
      <c r="J746" s="86">
        <v>100</v>
      </c>
      <c r="K746" s="86">
        <v>300</v>
      </c>
      <c r="L746" s="83">
        <f t="shared" si="117"/>
        <v>1150</v>
      </c>
      <c r="M746" s="94">
        <v>600</v>
      </c>
      <c r="N746" s="83">
        <f>100</f>
        <v>100</v>
      </c>
      <c r="O746" s="86">
        <v>240</v>
      </c>
      <c r="P746" s="86">
        <v>40</v>
      </c>
      <c r="Q746" s="86">
        <f t="shared" si="118"/>
        <v>315</v>
      </c>
      <c r="R746" s="86">
        <f t="shared" si="119"/>
        <v>100</v>
      </c>
      <c r="S746" s="83">
        <f t="shared" si="120"/>
        <v>695</v>
      </c>
      <c r="T746" s="83">
        <f>50</f>
        <v>50</v>
      </c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</row>
    <row r="747" spans="1:30" ht="15.75" x14ac:dyDescent="0.25">
      <c r="A747" s="13">
        <v>63674</v>
      </c>
      <c r="B747" s="95">
        <f t="shared" si="121"/>
        <v>30</v>
      </c>
      <c r="C747" s="83">
        <f>141.293</f>
        <v>141.29300000000001</v>
      </c>
      <c r="D747" s="83">
        <f>267.993</f>
        <v>267.99299999999999</v>
      </c>
      <c r="E747" s="92">
        <f>115.016</f>
        <v>115.01600000000001</v>
      </c>
      <c r="F747" s="83">
        <f>314.698-40-25-60-100</f>
        <v>89.697999999999979</v>
      </c>
      <c r="G747" s="86">
        <v>40</v>
      </c>
      <c r="H747" s="83">
        <f t="shared" ref="H747:H753" si="123">25+60+100</f>
        <v>185</v>
      </c>
      <c r="I747" s="83">
        <f t="shared" si="113"/>
        <v>0</v>
      </c>
      <c r="J747" s="86">
        <v>100</v>
      </c>
      <c r="K747" s="86">
        <v>300</v>
      </c>
      <c r="L747" s="83">
        <f t="shared" si="117"/>
        <v>1239</v>
      </c>
      <c r="M747" s="94">
        <v>600</v>
      </c>
      <c r="N747" s="83">
        <f>100</f>
        <v>100</v>
      </c>
      <c r="O747" s="86">
        <v>240</v>
      </c>
      <c r="P747" s="86">
        <v>40</v>
      </c>
      <c r="Q747" s="86">
        <f t="shared" si="118"/>
        <v>315</v>
      </c>
      <c r="R747" s="86">
        <f t="shared" si="119"/>
        <v>100</v>
      </c>
      <c r="S747" s="83">
        <f t="shared" si="120"/>
        <v>695</v>
      </c>
      <c r="T747" s="83">
        <f>50</f>
        <v>50</v>
      </c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</row>
    <row r="748" spans="1:30" ht="15.75" x14ac:dyDescent="0.25">
      <c r="A748" s="13">
        <v>63705</v>
      </c>
      <c r="B748" s="95">
        <f t="shared" si="121"/>
        <v>31</v>
      </c>
      <c r="C748" s="83">
        <f>194.205</f>
        <v>194.20500000000001</v>
      </c>
      <c r="D748" s="83">
        <f>267.466</f>
        <v>267.46600000000001</v>
      </c>
      <c r="E748" s="92">
        <f>133.845</f>
        <v>133.845</v>
      </c>
      <c r="F748" s="83">
        <f>278.484-40-25-60-100</f>
        <v>53.48399999999998</v>
      </c>
      <c r="G748" s="86">
        <v>40</v>
      </c>
      <c r="H748" s="83">
        <f t="shared" si="123"/>
        <v>185</v>
      </c>
      <c r="I748" s="83">
        <f t="shared" si="113"/>
        <v>0</v>
      </c>
      <c r="J748" s="86">
        <v>100</v>
      </c>
      <c r="K748" s="86">
        <v>300</v>
      </c>
      <c r="L748" s="83">
        <f t="shared" si="117"/>
        <v>1274</v>
      </c>
      <c r="M748" s="94">
        <v>600</v>
      </c>
      <c r="N748" s="83">
        <f>75</f>
        <v>75</v>
      </c>
      <c r="O748" s="86">
        <v>240</v>
      </c>
      <c r="P748" s="86">
        <v>40</v>
      </c>
      <c r="Q748" s="86">
        <f t="shared" si="118"/>
        <v>315</v>
      </c>
      <c r="R748" s="86">
        <f t="shared" si="119"/>
        <v>100</v>
      </c>
      <c r="S748" s="83">
        <f t="shared" si="120"/>
        <v>695</v>
      </c>
      <c r="T748" s="83">
        <f>50</f>
        <v>50</v>
      </c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</row>
    <row r="749" spans="1:30" ht="15.75" x14ac:dyDescent="0.25">
      <c r="A749" s="13">
        <v>63735</v>
      </c>
      <c r="B749" s="95">
        <f t="shared" si="121"/>
        <v>30</v>
      </c>
      <c r="C749" s="83">
        <f>194.205</f>
        <v>194.20500000000001</v>
      </c>
      <c r="D749" s="83">
        <f>267.466</f>
        <v>267.46600000000001</v>
      </c>
      <c r="E749" s="92">
        <f>133.845</f>
        <v>133.845</v>
      </c>
      <c r="F749" s="83">
        <f>278.484-40-25-60-100</f>
        <v>53.48399999999998</v>
      </c>
      <c r="G749" s="86">
        <v>40</v>
      </c>
      <c r="H749" s="83">
        <f t="shared" si="123"/>
        <v>185</v>
      </c>
      <c r="I749" s="83">
        <f t="shared" si="113"/>
        <v>0</v>
      </c>
      <c r="J749" s="86">
        <v>100</v>
      </c>
      <c r="K749" s="86">
        <v>300</v>
      </c>
      <c r="L749" s="83">
        <f t="shared" si="117"/>
        <v>1274</v>
      </c>
      <c r="M749" s="94">
        <v>600</v>
      </c>
      <c r="N749" s="83">
        <f>30</f>
        <v>30</v>
      </c>
      <c r="O749" s="86">
        <v>240</v>
      </c>
      <c r="P749" s="86">
        <v>40</v>
      </c>
      <c r="Q749" s="86">
        <f t="shared" si="118"/>
        <v>315</v>
      </c>
      <c r="R749" s="86">
        <f t="shared" si="119"/>
        <v>100</v>
      </c>
      <c r="S749" s="83">
        <f t="shared" si="120"/>
        <v>695</v>
      </c>
      <c r="T749" s="83">
        <f>50</f>
        <v>50</v>
      </c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</row>
    <row r="750" spans="1:30" ht="15.75" x14ac:dyDescent="0.25">
      <c r="A750" s="13">
        <v>63766</v>
      </c>
      <c r="B750" s="95">
        <f t="shared" si="121"/>
        <v>31</v>
      </c>
      <c r="C750" s="83">
        <f>194.205</f>
        <v>194.20500000000001</v>
      </c>
      <c r="D750" s="83">
        <f>267.466</f>
        <v>267.46600000000001</v>
      </c>
      <c r="E750" s="92">
        <f>133.845</f>
        <v>133.845</v>
      </c>
      <c r="F750" s="83">
        <f>278.484-40-25-60-100</f>
        <v>53.48399999999998</v>
      </c>
      <c r="G750" s="86">
        <v>40</v>
      </c>
      <c r="H750" s="83">
        <f t="shared" si="123"/>
        <v>185</v>
      </c>
      <c r="I750" s="83">
        <f t="shared" si="113"/>
        <v>0</v>
      </c>
      <c r="J750" s="86">
        <v>100</v>
      </c>
      <c r="K750" s="86">
        <v>300</v>
      </c>
      <c r="L750" s="83">
        <f t="shared" si="117"/>
        <v>1274</v>
      </c>
      <c r="M750" s="94">
        <v>600</v>
      </c>
      <c r="N750" s="83">
        <f>30</f>
        <v>30</v>
      </c>
      <c r="O750" s="86">
        <v>240</v>
      </c>
      <c r="P750" s="86">
        <v>40</v>
      </c>
      <c r="Q750" s="86">
        <f t="shared" si="118"/>
        <v>315</v>
      </c>
      <c r="R750" s="86">
        <f t="shared" si="119"/>
        <v>100</v>
      </c>
      <c r="S750" s="83">
        <f t="shared" si="120"/>
        <v>695</v>
      </c>
      <c r="T750" s="83">
        <f>0</f>
        <v>0</v>
      </c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</row>
    <row r="751" spans="1:30" ht="15.75" x14ac:dyDescent="0.25">
      <c r="A751" s="13">
        <v>63797</v>
      </c>
      <c r="B751" s="95">
        <f t="shared" si="121"/>
        <v>31</v>
      </c>
      <c r="C751" s="83">
        <f>194.205</f>
        <v>194.20500000000001</v>
      </c>
      <c r="D751" s="83">
        <f>267.466</f>
        <v>267.46600000000001</v>
      </c>
      <c r="E751" s="92">
        <f>133.845</f>
        <v>133.845</v>
      </c>
      <c r="F751" s="83">
        <f>278.484-40-25-60-100</f>
        <v>53.48399999999998</v>
      </c>
      <c r="G751" s="86">
        <v>40</v>
      </c>
      <c r="H751" s="83">
        <f t="shared" si="123"/>
        <v>185</v>
      </c>
      <c r="I751" s="83">
        <f t="shared" si="113"/>
        <v>0</v>
      </c>
      <c r="J751" s="86">
        <v>100</v>
      </c>
      <c r="K751" s="86">
        <v>300</v>
      </c>
      <c r="L751" s="83">
        <f t="shared" si="117"/>
        <v>1274</v>
      </c>
      <c r="M751" s="94">
        <v>600</v>
      </c>
      <c r="N751" s="83">
        <f>30</f>
        <v>30</v>
      </c>
      <c r="O751" s="86">
        <v>240</v>
      </c>
      <c r="P751" s="86">
        <v>40</v>
      </c>
      <c r="Q751" s="86">
        <f t="shared" si="118"/>
        <v>315</v>
      </c>
      <c r="R751" s="86">
        <f t="shared" si="119"/>
        <v>100</v>
      </c>
      <c r="S751" s="83">
        <f t="shared" si="120"/>
        <v>695</v>
      </c>
      <c r="T751" s="83">
        <f>0</f>
        <v>0</v>
      </c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</row>
    <row r="752" spans="1:30" ht="15.75" x14ac:dyDescent="0.25">
      <c r="A752" s="13">
        <v>63827</v>
      </c>
      <c r="B752" s="95">
        <f t="shared" si="121"/>
        <v>30</v>
      </c>
      <c r="C752" s="83">
        <f>194.205</f>
        <v>194.20500000000001</v>
      </c>
      <c r="D752" s="83">
        <f>267.466</f>
        <v>267.46600000000001</v>
      </c>
      <c r="E752" s="92">
        <f>133.845</f>
        <v>133.845</v>
      </c>
      <c r="F752" s="83">
        <f>278.484-40-25-60-100</f>
        <v>53.48399999999998</v>
      </c>
      <c r="G752" s="86">
        <v>40</v>
      </c>
      <c r="H752" s="83">
        <f t="shared" si="123"/>
        <v>185</v>
      </c>
      <c r="I752" s="83">
        <f t="shared" si="113"/>
        <v>0</v>
      </c>
      <c r="J752" s="86">
        <v>100</v>
      </c>
      <c r="K752" s="86">
        <v>300</v>
      </c>
      <c r="L752" s="83">
        <f t="shared" si="117"/>
        <v>1274</v>
      </c>
      <c r="M752" s="94">
        <v>600</v>
      </c>
      <c r="N752" s="83">
        <f>30</f>
        <v>30</v>
      </c>
      <c r="O752" s="86">
        <v>240</v>
      </c>
      <c r="P752" s="86">
        <v>40</v>
      </c>
      <c r="Q752" s="86">
        <f t="shared" si="118"/>
        <v>315</v>
      </c>
      <c r="R752" s="86">
        <f t="shared" si="119"/>
        <v>100</v>
      </c>
      <c r="S752" s="83">
        <f t="shared" si="120"/>
        <v>695</v>
      </c>
      <c r="T752" s="83">
        <f>0</f>
        <v>0</v>
      </c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</row>
    <row r="753" spans="1:30" ht="15.75" x14ac:dyDescent="0.25">
      <c r="A753" s="13">
        <v>63858</v>
      </c>
      <c r="B753" s="95">
        <f t="shared" si="121"/>
        <v>31</v>
      </c>
      <c r="C753" s="83">
        <f>131.881</f>
        <v>131.881</v>
      </c>
      <c r="D753" s="83">
        <f>277.167</f>
        <v>277.16699999999997</v>
      </c>
      <c r="E753" s="92">
        <f>79.08</f>
        <v>79.08</v>
      </c>
      <c r="F753" s="83">
        <f>350.872-40-25-60-100</f>
        <v>125.87200000000001</v>
      </c>
      <c r="G753" s="86">
        <v>40</v>
      </c>
      <c r="H753" s="83">
        <f t="shared" si="123"/>
        <v>185</v>
      </c>
      <c r="I753" s="83">
        <f t="shared" si="113"/>
        <v>0</v>
      </c>
      <c r="J753" s="86">
        <v>100</v>
      </c>
      <c r="K753" s="86">
        <v>300</v>
      </c>
      <c r="L753" s="83">
        <f t="shared" si="117"/>
        <v>1239</v>
      </c>
      <c r="M753" s="94">
        <v>600</v>
      </c>
      <c r="N753" s="83">
        <f>75</f>
        <v>75</v>
      </c>
      <c r="O753" s="86">
        <v>240</v>
      </c>
      <c r="P753" s="86">
        <v>40</v>
      </c>
      <c r="Q753" s="86">
        <f t="shared" si="118"/>
        <v>315</v>
      </c>
      <c r="R753" s="86">
        <f t="shared" si="119"/>
        <v>100</v>
      </c>
      <c r="S753" s="83">
        <f t="shared" si="120"/>
        <v>695</v>
      </c>
      <c r="T753" s="83">
        <f>0</f>
        <v>0</v>
      </c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</row>
    <row r="754" spans="1:30" ht="15.75" x14ac:dyDescent="0.25">
      <c r="A754" s="13">
        <v>63888</v>
      </c>
      <c r="B754" s="95">
        <f t="shared" si="121"/>
        <v>30</v>
      </c>
      <c r="C754" s="83">
        <f>122.58</f>
        <v>122.58</v>
      </c>
      <c r="D754" s="83">
        <f>297.941</f>
        <v>297.94099999999997</v>
      </c>
      <c r="E754" s="92">
        <f>89.177</f>
        <v>89.177000000000007</v>
      </c>
      <c r="F754" s="83">
        <f>240.302-40-60-100</f>
        <v>40.301999999999992</v>
      </c>
      <c r="G754" s="86">
        <v>40</v>
      </c>
      <c r="H754" s="83">
        <f>60+100</f>
        <v>160</v>
      </c>
      <c r="I754" s="83">
        <f t="shared" si="113"/>
        <v>0</v>
      </c>
      <c r="J754" s="86">
        <v>100</v>
      </c>
      <c r="K754" s="86">
        <v>300</v>
      </c>
      <c r="L754" s="83">
        <f t="shared" si="117"/>
        <v>1150</v>
      </c>
      <c r="M754" s="94">
        <v>600</v>
      </c>
      <c r="N754" s="83">
        <f>100</f>
        <v>100</v>
      </c>
      <c r="O754" s="86">
        <v>240</v>
      </c>
      <c r="P754" s="86">
        <v>40</v>
      </c>
      <c r="Q754" s="86">
        <f t="shared" si="118"/>
        <v>315</v>
      </c>
      <c r="R754" s="86">
        <f t="shared" si="119"/>
        <v>100</v>
      </c>
      <c r="S754" s="83">
        <f t="shared" si="120"/>
        <v>695</v>
      </c>
      <c r="T754" s="83">
        <f>50</f>
        <v>50</v>
      </c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</row>
    <row r="755" spans="1:30" ht="15.75" x14ac:dyDescent="0.25">
      <c r="A755" s="13">
        <v>63919</v>
      </c>
      <c r="B755" s="95">
        <f t="shared" si="121"/>
        <v>31</v>
      </c>
      <c r="C755" s="83">
        <f>122.58</f>
        <v>122.58</v>
      </c>
      <c r="D755" s="83">
        <f>297.941</f>
        <v>297.94099999999997</v>
      </c>
      <c r="E755" s="92">
        <f>89.177</f>
        <v>89.177000000000007</v>
      </c>
      <c r="F755" s="83">
        <f>240.302-40-60-100</f>
        <v>40.301999999999992</v>
      </c>
      <c r="G755" s="86">
        <v>40</v>
      </c>
      <c r="H755" s="83">
        <f>60+100</f>
        <v>160</v>
      </c>
      <c r="I755" s="83">
        <f t="shared" si="113"/>
        <v>0</v>
      </c>
      <c r="J755" s="86">
        <v>100</v>
      </c>
      <c r="K755" s="86">
        <v>300</v>
      </c>
      <c r="L755" s="83">
        <f t="shared" si="117"/>
        <v>1150</v>
      </c>
      <c r="M755" s="94">
        <v>600</v>
      </c>
      <c r="N755" s="83">
        <f>100</f>
        <v>100</v>
      </c>
      <c r="O755" s="86">
        <v>240</v>
      </c>
      <c r="P755" s="86">
        <v>40</v>
      </c>
      <c r="Q755" s="86">
        <f t="shared" si="118"/>
        <v>315</v>
      </c>
      <c r="R755" s="86">
        <f t="shared" si="119"/>
        <v>100</v>
      </c>
      <c r="S755" s="83">
        <f t="shared" si="120"/>
        <v>695</v>
      </c>
      <c r="T755" s="83">
        <f>50</f>
        <v>50</v>
      </c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</row>
    <row r="756" spans="1:30" ht="15.75" x14ac:dyDescent="0.25">
      <c r="A756" s="13">
        <v>63950</v>
      </c>
      <c r="B756" s="95">
        <f t="shared" si="121"/>
        <v>31</v>
      </c>
      <c r="C756" s="83">
        <f>122.58</f>
        <v>122.58</v>
      </c>
      <c r="D756" s="83">
        <f>297.941</f>
        <v>297.94099999999997</v>
      </c>
      <c r="E756" s="92">
        <f>89.177</f>
        <v>89.177000000000007</v>
      </c>
      <c r="F756" s="83">
        <f>240.302-40-60-100</f>
        <v>40.301999999999992</v>
      </c>
      <c r="G756" s="86">
        <v>40</v>
      </c>
      <c r="H756" s="83">
        <f>60+100</f>
        <v>160</v>
      </c>
      <c r="I756" s="83">
        <f t="shared" ref="I756:I819" si="124">400-J756-K756</f>
        <v>0</v>
      </c>
      <c r="J756" s="86">
        <v>100</v>
      </c>
      <c r="K756" s="86">
        <v>300</v>
      </c>
      <c r="L756" s="83">
        <f t="shared" si="117"/>
        <v>1150</v>
      </c>
      <c r="M756" s="94">
        <v>600</v>
      </c>
      <c r="N756" s="83">
        <f>100</f>
        <v>100</v>
      </c>
      <c r="O756" s="86">
        <v>240</v>
      </c>
      <c r="P756" s="86">
        <v>40</v>
      </c>
      <c r="Q756" s="86">
        <f t="shared" si="118"/>
        <v>315</v>
      </c>
      <c r="R756" s="86">
        <f t="shared" si="119"/>
        <v>100</v>
      </c>
      <c r="S756" s="83">
        <f t="shared" si="120"/>
        <v>695</v>
      </c>
      <c r="T756" s="83">
        <f>50</f>
        <v>50</v>
      </c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</row>
    <row r="757" spans="1:30" ht="15.75" x14ac:dyDescent="0.25">
      <c r="A757" s="13">
        <v>63978</v>
      </c>
      <c r="B757" s="95">
        <f t="shared" si="121"/>
        <v>28</v>
      </c>
      <c r="C757" s="83">
        <f>122.58</f>
        <v>122.58</v>
      </c>
      <c r="D757" s="83">
        <f>297.941</f>
        <v>297.94099999999997</v>
      </c>
      <c r="E757" s="92">
        <f>89.177</f>
        <v>89.177000000000007</v>
      </c>
      <c r="F757" s="83">
        <f>240.302-40-60-100</f>
        <v>40.301999999999992</v>
      </c>
      <c r="G757" s="86">
        <v>40</v>
      </c>
      <c r="H757" s="83">
        <f>60+100</f>
        <v>160</v>
      </c>
      <c r="I757" s="83">
        <f t="shared" si="124"/>
        <v>0</v>
      </c>
      <c r="J757" s="86">
        <v>100</v>
      </c>
      <c r="K757" s="86">
        <v>300</v>
      </c>
      <c r="L757" s="83">
        <f t="shared" si="117"/>
        <v>1150</v>
      </c>
      <c r="M757" s="94">
        <v>600</v>
      </c>
      <c r="N757" s="83">
        <f>100</f>
        <v>100</v>
      </c>
      <c r="O757" s="86">
        <v>240</v>
      </c>
      <c r="P757" s="86">
        <v>40</v>
      </c>
      <c r="Q757" s="86">
        <f t="shared" si="118"/>
        <v>315</v>
      </c>
      <c r="R757" s="86">
        <f t="shared" si="119"/>
        <v>100</v>
      </c>
      <c r="S757" s="83">
        <f t="shared" si="120"/>
        <v>695</v>
      </c>
      <c r="T757" s="83">
        <f>50</f>
        <v>50</v>
      </c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</row>
    <row r="758" spans="1:30" ht="15.75" x14ac:dyDescent="0.25">
      <c r="A758" s="13">
        <v>64009</v>
      </c>
      <c r="B758" s="95">
        <f t="shared" si="121"/>
        <v>31</v>
      </c>
      <c r="C758" s="83">
        <f>122.58</f>
        <v>122.58</v>
      </c>
      <c r="D758" s="83">
        <f>297.941</f>
        <v>297.94099999999997</v>
      </c>
      <c r="E758" s="92">
        <f>89.177</f>
        <v>89.177000000000007</v>
      </c>
      <c r="F758" s="83">
        <f>240.302-40-60-100</f>
        <v>40.301999999999992</v>
      </c>
      <c r="G758" s="86">
        <v>40</v>
      </c>
      <c r="H758" s="83">
        <f>60+100</f>
        <v>160</v>
      </c>
      <c r="I758" s="83">
        <f t="shared" si="124"/>
        <v>0</v>
      </c>
      <c r="J758" s="86">
        <v>100</v>
      </c>
      <c r="K758" s="86">
        <v>300</v>
      </c>
      <c r="L758" s="83">
        <f t="shared" si="117"/>
        <v>1150</v>
      </c>
      <c r="M758" s="94">
        <v>600</v>
      </c>
      <c r="N758" s="83">
        <f>100</f>
        <v>100</v>
      </c>
      <c r="O758" s="86">
        <v>240</v>
      </c>
      <c r="P758" s="86">
        <v>40</v>
      </c>
      <c r="Q758" s="86">
        <f t="shared" si="118"/>
        <v>315</v>
      </c>
      <c r="R758" s="86">
        <f t="shared" si="119"/>
        <v>100</v>
      </c>
      <c r="S758" s="83">
        <f t="shared" si="120"/>
        <v>695</v>
      </c>
      <c r="T758" s="83">
        <f>50</f>
        <v>50</v>
      </c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</row>
    <row r="759" spans="1:30" ht="15.75" x14ac:dyDescent="0.25">
      <c r="A759" s="13">
        <v>64039</v>
      </c>
      <c r="B759" s="95">
        <f t="shared" si="121"/>
        <v>30</v>
      </c>
      <c r="C759" s="83">
        <f>141.293</f>
        <v>141.29300000000001</v>
      </c>
      <c r="D759" s="83">
        <f>267.993</f>
        <v>267.99299999999999</v>
      </c>
      <c r="E759" s="92">
        <f>115.016</f>
        <v>115.01600000000001</v>
      </c>
      <c r="F759" s="83">
        <f>314.698-40-25-60-100</f>
        <v>89.697999999999979</v>
      </c>
      <c r="G759" s="86">
        <v>40</v>
      </c>
      <c r="H759" s="83">
        <f t="shared" ref="H759:H765" si="125">25+60+100</f>
        <v>185</v>
      </c>
      <c r="I759" s="83">
        <f t="shared" si="124"/>
        <v>0</v>
      </c>
      <c r="J759" s="86">
        <v>100</v>
      </c>
      <c r="K759" s="86">
        <v>300</v>
      </c>
      <c r="L759" s="83">
        <f t="shared" si="117"/>
        <v>1239</v>
      </c>
      <c r="M759" s="94">
        <v>600</v>
      </c>
      <c r="N759" s="83">
        <f>100</f>
        <v>100</v>
      </c>
      <c r="O759" s="86">
        <v>240</v>
      </c>
      <c r="P759" s="86">
        <v>40</v>
      </c>
      <c r="Q759" s="86">
        <f t="shared" si="118"/>
        <v>315</v>
      </c>
      <c r="R759" s="86">
        <f t="shared" si="119"/>
        <v>100</v>
      </c>
      <c r="S759" s="83">
        <f t="shared" si="120"/>
        <v>695</v>
      </c>
      <c r="T759" s="83">
        <f>50</f>
        <v>50</v>
      </c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</row>
    <row r="760" spans="1:30" ht="15.75" x14ac:dyDescent="0.25">
      <c r="A760" s="13">
        <v>64070</v>
      </c>
      <c r="B760" s="95">
        <f t="shared" si="121"/>
        <v>31</v>
      </c>
      <c r="C760" s="83">
        <f>194.205</f>
        <v>194.20500000000001</v>
      </c>
      <c r="D760" s="83">
        <f>267.466</f>
        <v>267.46600000000001</v>
      </c>
      <c r="E760" s="92">
        <f>133.845</f>
        <v>133.845</v>
      </c>
      <c r="F760" s="83">
        <f>278.484-40-25-60-100</f>
        <v>53.48399999999998</v>
      </c>
      <c r="G760" s="86">
        <v>40</v>
      </c>
      <c r="H760" s="83">
        <f t="shared" si="125"/>
        <v>185</v>
      </c>
      <c r="I760" s="83">
        <f t="shared" si="124"/>
        <v>0</v>
      </c>
      <c r="J760" s="86">
        <v>100</v>
      </c>
      <c r="K760" s="86">
        <v>300</v>
      </c>
      <c r="L760" s="83">
        <f t="shared" si="117"/>
        <v>1274</v>
      </c>
      <c r="M760" s="94">
        <v>600</v>
      </c>
      <c r="N760" s="83">
        <f>75</f>
        <v>75</v>
      </c>
      <c r="O760" s="86">
        <v>240</v>
      </c>
      <c r="P760" s="86">
        <v>40</v>
      </c>
      <c r="Q760" s="86">
        <f t="shared" si="118"/>
        <v>315</v>
      </c>
      <c r="R760" s="86">
        <f t="shared" si="119"/>
        <v>100</v>
      </c>
      <c r="S760" s="83">
        <f t="shared" si="120"/>
        <v>695</v>
      </c>
      <c r="T760" s="83">
        <f>50</f>
        <v>50</v>
      </c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</row>
    <row r="761" spans="1:30" ht="15.75" x14ac:dyDescent="0.25">
      <c r="A761" s="13">
        <v>64100</v>
      </c>
      <c r="B761" s="95">
        <f t="shared" si="121"/>
        <v>30</v>
      </c>
      <c r="C761" s="83">
        <f>194.205</f>
        <v>194.20500000000001</v>
      </c>
      <c r="D761" s="83">
        <f>267.466</f>
        <v>267.46600000000001</v>
      </c>
      <c r="E761" s="92">
        <f>133.845</f>
        <v>133.845</v>
      </c>
      <c r="F761" s="83">
        <f>278.484-40-25-60-100</f>
        <v>53.48399999999998</v>
      </c>
      <c r="G761" s="86">
        <v>40</v>
      </c>
      <c r="H761" s="83">
        <f t="shared" si="125"/>
        <v>185</v>
      </c>
      <c r="I761" s="83">
        <f t="shared" si="124"/>
        <v>0</v>
      </c>
      <c r="J761" s="86">
        <v>100</v>
      </c>
      <c r="K761" s="86">
        <v>300</v>
      </c>
      <c r="L761" s="83">
        <f t="shared" si="117"/>
        <v>1274</v>
      </c>
      <c r="M761" s="94">
        <v>600</v>
      </c>
      <c r="N761" s="83">
        <f>30</f>
        <v>30</v>
      </c>
      <c r="O761" s="86">
        <v>240</v>
      </c>
      <c r="P761" s="86">
        <v>40</v>
      </c>
      <c r="Q761" s="86">
        <f t="shared" si="118"/>
        <v>315</v>
      </c>
      <c r="R761" s="86">
        <f t="shared" si="119"/>
        <v>100</v>
      </c>
      <c r="S761" s="83">
        <f t="shared" si="120"/>
        <v>695</v>
      </c>
      <c r="T761" s="83">
        <f>50</f>
        <v>50</v>
      </c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</row>
    <row r="762" spans="1:30" ht="15.75" x14ac:dyDescent="0.25">
      <c r="A762" s="13">
        <v>64131</v>
      </c>
      <c r="B762" s="95">
        <f t="shared" si="121"/>
        <v>31</v>
      </c>
      <c r="C762" s="83">
        <f>194.205</f>
        <v>194.20500000000001</v>
      </c>
      <c r="D762" s="83">
        <f>267.466</f>
        <v>267.46600000000001</v>
      </c>
      <c r="E762" s="92">
        <f>133.845</f>
        <v>133.845</v>
      </c>
      <c r="F762" s="83">
        <f>278.484-40-25-60-100</f>
        <v>53.48399999999998</v>
      </c>
      <c r="G762" s="86">
        <v>40</v>
      </c>
      <c r="H762" s="83">
        <f t="shared" si="125"/>
        <v>185</v>
      </c>
      <c r="I762" s="83">
        <f t="shared" si="124"/>
        <v>0</v>
      </c>
      <c r="J762" s="86">
        <v>100</v>
      </c>
      <c r="K762" s="86">
        <v>300</v>
      </c>
      <c r="L762" s="83">
        <f t="shared" si="117"/>
        <v>1274</v>
      </c>
      <c r="M762" s="94">
        <v>600</v>
      </c>
      <c r="N762" s="83">
        <f>30</f>
        <v>30</v>
      </c>
      <c r="O762" s="86">
        <v>240</v>
      </c>
      <c r="P762" s="86">
        <v>40</v>
      </c>
      <c r="Q762" s="86">
        <f t="shared" si="118"/>
        <v>315</v>
      </c>
      <c r="R762" s="86">
        <f t="shared" si="119"/>
        <v>100</v>
      </c>
      <c r="S762" s="83">
        <f t="shared" si="120"/>
        <v>695</v>
      </c>
      <c r="T762" s="83">
        <f>0</f>
        <v>0</v>
      </c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</row>
    <row r="763" spans="1:30" ht="15.75" x14ac:dyDescent="0.25">
      <c r="A763" s="13">
        <v>64162</v>
      </c>
      <c r="B763" s="95">
        <f t="shared" si="121"/>
        <v>31</v>
      </c>
      <c r="C763" s="83">
        <f>194.205</f>
        <v>194.20500000000001</v>
      </c>
      <c r="D763" s="83">
        <f>267.466</f>
        <v>267.46600000000001</v>
      </c>
      <c r="E763" s="92">
        <f>133.845</f>
        <v>133.845</v>
      </c>
      <c r="F763" s="83">
        <f>278.484-40-25-60-100</f>
        <v>53.48399999999998</v>
      </c>
      <c r="G763" s="86">
        <v>40</v>
      </c>
      <c r="H763" s="83">
        <f t="shared" si="125"/>
        <v>185</v>
      </c>
      <c r="I763" s="83">
        <f t="shared" si="124"/>
        <v>0</v>
      </c>
      <c r="J763" s="86">
        <v>100</v>
      </c>
      <c r="K763" s="86">
        <v>300</v>
      </c>
      <c r="L763" s="83">
        <f t="shared" si="117"/>
        <v>1274</v>
      </c>
      <c r="M763" s="94">
        <v>600</v>
      </c>
      <c r="N763" s="83">
        <f>30</f>
        <v>30</v>
      </c>
      <c r="O763" s="86">
        <v>240</v>
      </c>
      <c r="P763" s="86">
        <v>40</v>
      </c>
      <c r="Q763" s="86">
        <f t="shared" si="118"/>
        <v>315</v>
      </c>
      <c r="R763" s="86">
        <f t="shared" si="119"/>
        <v>100</v>
      </c>
      <c r="S763" s="83">
        <f t="shared" si="120"/>
        <v>695</v>
      </c>
      <c r="T763" s="83">
        <f>0</f>
        <v>0</v>
      </c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</row>
    <row r="764" spans="1:30" ht="15.75" x14ac:dyDescent="0.25">
      <c r="A764" s="13">
        <v>64192</v>
      </c>
      <c r="B764" s="95">
        <f t="shared" si="121"/>
        <v>30</v>
      </c>
      <c r="C764" s="83">
        <f>194.205</f>
        <v>194.20500000000001</v>
      </c>
      <c r="D764" s="83">
        <f>267.466</f>
        <v>267.46600000000001</v>
      </c>
      <c r="E764" s="92">
        <f>133.845</f>
        <v>133.845</v>
      </c>
      <c r="F764" s="83">
        <f>278.484-40-25-60-100</f>
        <v>53.48399999999998</v>
      </c>
      <c r="G764" s="86">
        <v>40</v>
      </c>
      <c r="H764" s="83">
        <f t="shared" si="125"/>
        <v>185</v>
      </c>
      <c r="I764" s="83">
        <f t="shared" si="124"/>
        <v>0</v>
      </c>
      <c r="J764" s="86">
        <v>100</v>
      </c>
      <c r="K764" s="86">
        <v>300</v>
      </c>
      <c r="L764" s="83">
        <f t="shared" si="117"/>
        <v>1274</v>
      </c>
      <c r="M764" s="94">
        <v>600</v>
      </c>
      <c r="N764" s="83">
        <f>30</f>
        <v>30</v>
      </c>
      <c r="O764" s="86">
        <v>240</v>
      </c>
      <c r="P764" s="86">
        <v>40</v>
      </c>
      <c r="Q764" s="86">
        <f t="shared" si="118"/>
        <v>315</v>
      </c>
      <c r="R764" s="86">
        <f t="shared" si="119"/>
        <v>100</v>
      </c>
      <c r="S764" s="83">
        <f t="shared" si="120"/>
        <v>695</v>
      </c>
      <c r="T764" s="83">
        <f>0</f>
        <v>0</v>
      </c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</row>
    <row r="765" spans="1:30" ht="15.75" x14ac:dyDescent="0.25">
      <c r="A765" s="13">
        <v>64223</v>
      </c>
      <c r="B765" s="95">
        <f t="shared" si="121"/>
        <v>31</v>
      </c>
      <c r="C765" s="83">
        <f>131.881</f>
        <v>131.881</v>
      </c>
      <c r="D765" s="83">
        <f>277.167</f>
        <v>277.16699999999997</v>
      </c>
      <c r="E765" s="92">
        <f>79.08</f>
        <v>79.08</v>
      </c>
      <c r="F765" s="83">
        <f>350.872-40-25-60-100</f>
        <v>125.87200000000001</v>
      </c>
      <c r="G765" s="86">
        <v>40</v>
      </c>
      <c r="H765" s="83">
        <f t="shared" si="125"/>
        <v>185</v>
      </c>
      <c r="I765" s="83">
        <f t="shared" si="124"/>
        <v>0</v>
      </c>
      <c r="J765" s="86">
        <v>100</v>
      </c>
      <c r="K765" s="86">
        <v>300</v>
      </c>
      <c r="L765" s="83">
        <f t="shared" si="117"/>
        <v>1239</v>
      </c>
      <c r="M765" s="94">
        <v>600</v>
      </c>
      <c r="N765" s="83">
        <f>75</f>
        <v>75</v>
      </c>
      <c r="O765" s="86">
        <v>240</v>
      </c>
      <c r="P765" s="86">
        <v>40</v>
      </c>
      <c r="Q765" s="86">
        <f t="shared" si="118"/>
        <v>315</v>
      </c>
      <c r="R765" s="86">
        <f t="shared" si="119"/>
        <v>100</v>
      </c>
      <c r="S765" s="83">
        <f t="shared" si="120"/>
        <v>695</v>
      </c>
      <c r="T765" s="83">
        <f>0</f>
        <v>0</v>
      </c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</row>
    <row r="766" spans="1:30" ht="15.75" x14ac:dyDescent="0.25">
      <c r="A766" s="13">
        <v>64253</v>
      </c>
      <c r="B766" s="95">
        <f t="shared" si="121"/>
        <v>30</v>
      </c>
      <c r="C766" s="83">
        <f>122.58</f>
        <v>122.58</v>
      </c>
      <c r="D766" s="83">
        <f>297.941</f>
        <v>297.94099999999997</v>
      </c>
      <c r="E766" s="92">
        <f>89.177</f>
        <v>89.177000000000007</v>
      </c>
      <c r="F766" s="83">
        <f>240.302-40-60-100</f>
        <v>40.301999999999992</v>
      </c>
      <c r="G766" s="86">
        <v>40</v>
      </c>
      <c r="H766" s="83">
        <f>60+100</f>
        <v>160</v>
      </c>
      <c r="I766" s="83">
        <f t="shared" si="124"/>
        <v>0</v>
      </c>
      <c r="J766" s="86">
        <v>100</v>
      </c>
      <c r="K766" s="86">
        <v>300</v>
      </c>
      <c r="L766" s="83">
        <f t="shared" si="117"/>
        <v>1150</v>
      </c>
      <c r="M766" s="94">
        <v>600</v>
      </c>
      <c r="N766" s="83">
        <f>100</f>
        <v>100</v>
      </c>
      <c r="O766" s="86">
        <v>240</v>
      </c>
      <c r="P766" s="86">
        <v>40</v>
      </c>
      <c r="Q766" s="86">
        <f t="shared" si="118"/>
        <v>315</v>
      </c>
      <c r="R766" s="86">
        <f t="shared" si="119"/>
        <v>100</v>
      </c>
      <c r="S766" s="83">
        <f t="shared" si="120"/>
        <v>695</v>
      </c>
      <c r="T766" s="83">
        <f>50</f>
        <v>50</v>
      </c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</row>
    <row r="767" spans="1:30" ht="15.75" x14ac:dyDescent="0.25">
      <c r="A767" s="13">
        <v>64284</v>
      </c>
      <c r="B767" s="95">
        <f t="shared" si="121"/>
        <v>31</v>
      </c>
      <c r="C767" s="83">
        <f>122.58</f>
        <v>122.58</v>
      </c>
      <c r="D767" s="83">
        <f>297.941</f>
        <v>297.94099999999997</v>
      </c>
      <c r="E767" s="92">
        <f>89.177</f>
        <v>89.177000000000007</v>
      </c>
      <c r="F767" s="83">
        <f>240.302-40-60-100</f>
        <v>40.301999999999992</v>
      </c>
      <c r="G767" s="86">
        <v>40</v>
      </c>
      <c r="H767" s="83">
        <f>60+100</f>
        <v>160</v>
      </c>
      <c r="I767" s="83">
        <f t="shared" si="124"/>
        <v>0</v>
      </c>
      <c r="J767" s="86">
        <v>100</v>
      </c>
      <c r="K767" s="86">
        <v>300</v>
      </c>
      <c r="L767" s="83">
        <f t="shared" si="117"/>
        <v>1150</v>
      </c>
      <c r="M767" s="94">
        <v>600</v>
      </c>
      <c r="N767" s="83">
        <f>100</f>
        <v>100</v>
      </c>
      <c r="O767" s="86">
        <v>240</v>
      </c>
      <c r="P767" s="86">
        <v>40</v>
      </c>
      <c r="Q767" s="86">
        <f t="shared" si="118"/>
        <v>315</v>
      </c>
      <c r="R767" s="86">
        <f t="shared" si="119"/>
        <v>100</v>
      </c>
      <c r="S767" s="83">
        <f t="shared" si="120"/>
        <v>695</v>
      </c>
      <c r="T767" s="83">
        <f>50</f>
        <v>50</v>
      </c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</row>
    <row r="768" spans="1:30" ht="15.75" x14ac:dyDescent="0.25">
      <c r="A768" s="13">
        <v>64315</v>
      </c>
      <c r="B768" s="95">
        <f t="shared" si="121"/>
        <v>31</v>
      </c>
      <c r="C768" s="83">
        <f>122.58</f>
        <v>122.58</v>
      </c>
      <c r="D768" s="83">
        <f>297.941</f>
        <v>297.94099999999997</v>
      </c>
      <c r="E768" s="92">
        <f>89.177</f>
        <v>89.177000000000007</v>
      </c>
      <c r="F768" s="83">
        <f>240.302-40-60-100</f>
        <v>40.301999999999992</v>
      </c>
      <c r="G768" s="86">
        <v>40</v>
      </c>
      <c r="H768" s="83">
        <f>60+100</f>
        <v>160</v>
      </c>
      <c r="I768" s="83">
        <f t="shared" si="124"/>
        <v>0</v>
      </c>
      <c r="J768" s="86">
        <v>100</v>
      </c>
      <c r="K768" s="86">
        <v>300</v>
      </c>
      <c r="L768" s="83">
        <f t="shared" si="117"/>
        <v>1150</v>
      </c>
      <c r="M768" s="94">
        <v>600</v>
      </c>
      <c r="N768" s="83">
        <f>100</f>
        <v>100</v>
      </c>
      <c r="O768" s="86">
        <v>240</v>
      </c>
      <c r="P768" s="86">
        <v>40</v>
      </c>
      <c r="Q768" s="86">
        <f t="shared" si="118"/>
        <v>315</v>
      </c>
      <c r="R768" s="86">
        <f t="shared" si="119"/>
        <v>100</v>
      </c>
      <c r="S768" s="83">
        <f t="shared" si="120"/>
        <v>695</v>
      </c>
      <c r="T768" s="83">
        <f>50</f>
        <v>50</v>
      </c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</row>
    <row r="769" spans="1:30" ht="15.75" x14ac:dyDescent="0.25">
      <c r="A769" s="13">
        <v>64344</v>
      </c>
      <c r="B769" s="95">
        <f t="shared" si="121"/>
        <v>29</v>
      </c>
      <c r="C769" s="83">
        <f>122.58</f>
        <v>122.58</v>
      </c>
      <c r="D769" s="83">
        <f>297.941</f>
        <v>297.94099999999997</v>
      </c>
      <c r="E769" s="92">
        <f>89.177</f>
        <v>89.177000000000007</v>
      </c>
      <c r="F769" s="83">
        <f>240.302-40-60-100</f>
        <v>40.301999999999992</v>
      </c>
      <c r="G769" s="86">
        <v>40</v>
      </c>
      <c r="H769" s="83">
        <f>60+100</f>
        <v>160</v>
      </c>
      <c r="I769" s="83">
        <f t="shared" si="124"/>
        <v>0</v>
      </c>
      <c r="J769" s="86">
        <v>100</v>
      </c>
      <c r="K769" s="86">
        <v>300</v>
      </c>
      <c r="L769" s="83">
        <f t="shared" si="117"/>
        <v>1150</v>
      </c>
      <c r="M769" s="94">
        <v>600</v>
      </c>
      <c r="N769" s="83">
        <f>100</f>
        <v>100</v>
      </c>
      <c r="O769" s="86">
        <v>240</v>
      </c>
      <c r="P769" s="86">
        <v>40</v>
      </c>
      <c r="Q769" s="86">
        <f t="shared" si="118"/>
        <v>315</v>
      </c>
      <c r="R769" s="86">
        <f t="shared" si="119"/>
        <v>100</v>
      </c>
      <c r="S769" s="83">
        <f t="shared" si="120"/>
        <v>695</v>
      </c>
      <c r="T769" s="83">
        <f>50</f>
        <v>50</v>
      </c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</row>
    <row r="770" spans="1:30" ht="15.75" x14ac:dyDescent="0.25">
      <c r="A770" s="13">
        <v>64375</v>
      </c>
      <c r="B770" s="95">
        <f t="shared" si="121"/>
        <v>31</v>
      </c>
      <c r="C770" s="83">
        <f>122.58</f>
        <v>122.58</v>
      </c>
      <c r="D770" s="83">
        <f>297.941</f>
        <v>297.94099999999997</v>
      </c>
      <c r="E770" s="92">
        <f>89.177</f>
        <v>89.177000000000007</v>
      </c>
      <c r="F770" s="83">
        <f>240.302-40-60-100</f>
        <v>40.301999999999992</v>
      </c>
      <c r="G770" s="86">
        <v>40</v>
      </c>
      <c r="H770" s="83">
        <f>60+100</f>
        <v>160</v>
      </c>
      <c r="I770" s="83">
        <f t="shared" si="124"/>
        <v>0</v>
      </c>
      <c r="J770" s="86">
        <v>100</v>
      </c>
      <c r="K770" s="86">
        <v>300</v>
      </c>
      <c r="L770" s="83">
        <f t="shared" si="117"/>
        <v>1150</v>
      </c>
      <c r="M770" s="94">
        <v>600</v>
      </c>
      <c r="N770" s="83">
        <f>100</f>
        <v>100</v>
      </c>
      <c r="O770" s="86">
        <v>240</v>
      </c>
      <c r="P770" s="86">
        <v>40</v>
      </c>
      <c r="Q770" s="86">
        <f t="shared" si="118"/>
        <v>315</v>
      </c>
      <c r="R770" s="86">
        <f t="shared" si="119"/>
        <v>100</v>
      </c>
      <c r="S770" s="83">
        <f t="shared" si="120"/>
        <v>695</v>
      </c>
      <c r="T770" s="83">
        <f>50</f>
        <v>50</v>
      </c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</row>
    <row r="771" spans="1:30" ht="15.75" x14ac:dyDescent="0.25">
      <c r="A771" s="13">
        <v>64405</v>
      </c>
      <c r="B771" s="95">
        <f t="shared" si="121"/>
        <v>30</v>
      </c>
      <c r="C771" s="83">
        <f>141.293</f>
        <v>141.29300000000001</v>
      </c>
      <c r="D771" s="83">
        <f>267.993</f>
        <v>267.99299999999999</v>
      </c>
      <c r="E771" s="92">
        <f>115.016</f>
        <v>115.01600000000001</v>
      </c>
      <c r="F771" s="83">
        <f>314.698-40-25-60-100</f>
        <v>89.697999999999979</v>
      </c>
      <c r="G771" s="86">
        <v>40</v>
      </c>
      <c r="H771" s="83">
        <f t="shared" ref="H771:H777" si="126">25+60+100</f>
        <v>185</v>
      </c>
      <c r="I771" s="83">
        <f t="shared" si="124"/>
        <v>0</v>
      </c>
      <c r="J771" s="86">
        <v>100</v>
      </c>
      <c r="K771" s="86">
        <v>300</v>
      </c>
      <c r="L771" s="83">
        <f t="shared" si="117"/>
        <v>1239</v>
      </c>
      <c r="M771" s="94">
        <v>600</v>
      </c>
      <c r="N771" s="83">
        <f>100</f>
        <v>100</v>
      </c>
      <c r="O771" s="86">
        <v>240</v>
      </c>
      <c r="P771" s="86">
        <v>40</v>
      </c>
      <c r="Q771" s="86">
        <f t="shared" si="118"/>
        <v>315</v>
      </c>
      <c r="R771" s="86">
        <f t="shared" si="119"/>
        <v>100</v>
      </c>
      <c r="S771" s="83">
        <f t="shared" si="120"/>
        <v>695</v>
      </c>
      <c r="T771" s="83">
        <f>50</f>
        <v>50</v>
      </c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</row>
    <row r="772" spans="1:30" ht="15.75" x14ac:dyDescent="0.25">
      <c r="A772" s="13">
        <v>64436</v>
      </c>
      <c r="B772" s="95">
        <f t="shared" si="121"/>
        <v>31</v>
      </c>
      <c r="C772" s="83">
        <f>194.205</f>
        <v>194.20500000000001</v>
      </c>
      <c r="D772" s="83">
        <f>267.466</f>
        <v>267.46600000000001</v>
      </c>
      <c r="E772" s="92">
        <f>133.845</f>
        <v>133.845</v>
      </c>
      <c r="F772" s="83">
        <f>278.484-40-25-60-100</f>
        <v>53.48399999999998</v>
      </c>
      <c r="G772" s="86">
        <v>40</v>
      </c>
      <c r="H772" s="83">
        <f t="shared" si="126"/>
        <v>185</v>
      </c>
      <c r="I772" s="83">
        <f t="shared" si="124"/>
        <v>0</v>
      </c>
      <c r="J772" s="86">
        <v>100</v>
      </c>
      <c r="K772" s="86">
        <v>300</v>
      </c>
      <c r="L772" s="83">
        <f t="shared" si="117"/>
        <v>1274</v>
      </c>
      <c r="M772" s="94">
        <v>600</v>
      </c>
      <c r="N772" s="83">
        <f>75</f>
        <v>75</v>
      </c>
      <c r="O772" s="86">
        <v>240</v>
      </c>
      <c r="P772" s="86">
        <v>40</v>
      </c>
      <c r="Q772" s="86">
        <f t="shared" si="118"/>
        <v>315</v>
      </c>
      <c r="R772" s="86">
        <f t="shared" si="119"/>
        <v>100</v>
      </c>
      <c r="S772" s="83">
        <f t="shared" si="120"/>
        <v>695</v>
      </c>
      <c r="T772" s="83">
        <f>50</f>
        <v>50</v>
      </c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</row>
    <row r="773" spans="1:30" ht="15.75" x14ac:dyDescent="0.25">
      <c r="A773" s="13">
        <v>64466</v>
      </c>
      <c r="B773" s="95">
        <f t="shared" si="121"/>
        <v>30</v>
      </c>
      <c r="C773" s="83">
        <f>194.205</f>
        <v>194.20500000000001</v>
      </c>
      <c r="D773" s="83">
        <f>267.466</f>
        <v>267.46600000000001</v>
      </c>
      <c r="E773" s="92">
        <f>133.845</f>
        <v>133.845</v>
      </c>
      <c r="F773" s="83">
        <f>278.484-40-25-60-100</f>
        <v>53.48399999999998</v>
      </c>
      <c r="G773" s="86">
        <v>40</v>
      </c>
      <c r="H773" s="83">
        <f t="shared" si="126"/>
        <v>185</v>
      </c>
      <c r="I773" s="83">
        <f t="shared" si="124"/>
        <v>0</v>
      </c>
      <c r="J773" s="86">
        <v>100</v>
      </c>
      <c r="K773" s="86">
        <v>300</v>
      </c>
      <c r="L773" s="83">
        <f t="shared" si="117"/>
        <v>1274</v>
      </c>
      <c r="M773" s="94">
        <v>600</v>
      </c>
      <c r="N773" s="83">
        <f>30</f>
        <v>30</v>
      </c>
      <c r="O773" s="86">
        <v>240</v>
      </c>
      <c r="P773" s="86">
        <v>40</v>
      </c>
      <c r="Q773" s="86">
        <f t="shared" si="118"/>
        <v>315</v>
      </c>
      <c r="R773" s="86">
        <f t="shared" si="119"/>
        <v>100</v>
      </c>
      <c r="S773" s="83">
        <f t="shared" si="120"/>
        <v>695</v>
      </c>
      <c r="T773" s="83">
        <f>50</f>
        <v>50</v>
      </c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</row>
    <row r="774" spans="1:30" ht="15.75" x14ac:dyDescent="0.25">
      <c r="A774" s="13">
        <v>64497</v>
      </c>
      <c r="B774" s="95">
        <f t="shared" si="121"/>
        <v>31</v>
      </c>
      <c r="C774" s="83">
        <f>194.205</f>
        <v>194.20500000000001</v>
      </c>
      <c r="D774" s="83">
        <f>267.466</f>
        <v>267.46600000000001</v>
      </c>
      <c r="E774" s="92">
        <f>133.845</f>
        <v>133.845</v>
      </c>
      <c r="F774" s="83">
        <f>278.484-40-25-60-100</f>
        <v>53.48399999999998</v>
      </c>
      <c r="G774" s="86">
        <v>40</v>
      </c>
      <c r="H774" s="83">
        <f t="shared" si="126"/>
        <v>185</v>
      </c>
      <c r="I774" s="83">
        <f t="shared" si="124"/>
        <v>0</v>
      </c>
      <c r="J774" s="86">
        <v>100</v>
      </c>
      <c r="K774" s="86">
        <v>300</v>
      </c>
      <c r="L774" s="83">
        <f t="shared" si="117"/>
        <v>1274</v>
      </c>
      <c r="M774" s="94">
        <v>600</v>
      </c>
      <c r="N774" s="83">
        <f>30</f>
        <v>30</v>
      </c>
      <c r="O774" s="86">
        <v>240</v>
      </c>
      <c r="P774" s="86">
        <v>40</v>
      </c>
      <c r="Q774" s="86">
        <f t="shared" si="118"/>
        <v>315</v>
      </c>
      <c r="R774" s="86">
        <f t="shared" si="119"/>
        <v>100</v>
      </c>
      <c r="S774" s="83">
        <f t="shared" si="120"/>
        <v>695</v>
      </c>
      <c r="T774" s="83">
        <f>0</f>
        <v>0</v>
      </c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</row>
    <row r="775" spans="1:30" ht="15.75" x14ac:dyDescent="0.25">
      <c r="A775" s="13">
        <v>64528</v>
      </c>
      <c r="B775" s="95">
        <f t="shared" si="121"/>
        <v>31</v>
      </c>
      <c r="C775" s="83">
        <f>194.205</f>
        <v>194.20500000000001</v>
      </c>
      <c r="D775" s="83">
        <f>267.466</f>
        <v>267.46600000000001</v>
      </c>
      <c r="E775" s="92">
        <f>133.845</f>
        <v>133.845</v>
      </c>
      <c r="F775" s="83">
        <f>278.484-40-25-60-100</f>
        <v>53.48399999999998</v>
      </c>
      <c r="G775" s="86">
        <v>40</v>
      </c>
      <c r="H775" s="83">
        <f t="shared" si="126"/>
        <v>185</v>
      </c>
      <c r="I775" s="83">
        <f t="shared" si="124"/>
        <v>0</v>
      </c>
      <c r="J775" s="86">
        <v>100</v>
      </c>
      <c r="K775" s="86">
        <v>300</v>
      </c>
      <c r="L775" s="83">
        <f t="shared" si="117"/>
        <v>1274</v>
      </c>
      <c r="M775" s="94">
        <v>600</v>
      </c>
      <c r="N775" s="83">
        <f>30</f>
        <v>30</v>
      </c>
      <c r="O775" s="86">
        <v>240</v>
      </c>
      <c r="P775" s="86">
        <v>40</v>
      </c>
      <c r="Q775" s="86">
        <f t="shared" si="118"/>
        <v>315</v>
      </c>
      <c r="R775" s="86">
        <f t="shared" si="119"/>
        <v>100</v>
      </c>
      <c r="S775" s="83">
        <f t="shared" si="120"/>
        <v>695</v>
      </c>
      <c r="T775" s="83">
        <f>0</f>
        <v>0</v>
      </c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</row>
    <row r="776" spans="1:30" ht="15.75" x14ac:dyDescent="0.25">
      <c r="A776" s="13">
        <v>64558</v>
      </c>
      <c r="B776" s="95">
        <f t="shared" si="121"/>
        <v>30</v>
      </c>
      <c r="C776" s="83">
        <f>194.205</f>
        <v>194.20500000000001</v>
      </c>
      <c r="D776" s="83">
        <f>267.466</f>
        <v>267.46600000000001</v>
      </c>
      <c r="E776" s="92">
        <f>133.845</f>
        <v>133.845</v>
      </c>
      <c r="F776" s="83">
        <f>278.484-40-25-60-100</f>
        <v>53.48399999999998</v>
      </c>
      <c r="G776" s="86">
        <v>40</v>
      </c>
      <c r="H776" s="83">
        <f t="shared" si="126"/>
        <v>185</v>
      </c>
      <c r="I776" s="83">
        <f t="shared" si="124"/>
        <v>0</v>
      </c>
      <c r="J776" s="86">
        <v>100</v>
      </c>
      <c r="K776" s="86">
        <v>300</v>
      </c>
      <c r="L776" s="83">
        <f t="shared" si="117"/>
        <v>1274</v>
      </c>
      <c r="M776" s="94">
        <v>600</v>
      </c>
      <c r="N776" s="83">
        <f>30</f>
        <v>30</v>
      </c>
      <c r="O776" s="86">
        <v>240</v>
      </c>
      <c r="P776" s="86">
        <v>40</v>
      </c>
      <c r="Q776" s="86">
        <f t="shared" si="118"/>
        <v>315</v>
      </c>
      <c r="R776" s="86">
        <f t="shared" si="119"/>
        <v>100</v>
      </c>
      <c r="S776" s="83">
        <f t="shared" si="120"/>
        <v>695</v>
      </c>
      <c r="T776" s="83">
        <f>0</f>
        <v>0</v>
      </c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</row>
    <row r="777" spans="1:30" ht="15.75" x14ac:dyDescent="0.25">
      <c r="A777" s="13">
        <v>64589</v>
      </c>
      <c r="B777" s="95">
        <f t="shared" si="121"/>
        <v>31</v>
      </c>
      <c r="C777" s="83">
        <f>131.881</f>
        <v>131.881</v>
      </c>
      <c r="D777" s="83">
        <f>277.167</f>
        <v>277.16699999999997</v>
      </c>
      <c r="E777" s="92">
        <f>79.08</f>
        <v>79.08</v>
      </c>
      <c r="F777" s="83">
        <f>350.872-40-25-60-100</f>
        <v>125.87200000000001</v>
      </c>
      <c r="G777" s="86">
        <v>40</v>
      </c>
      <c r="H777" s="83">
        <f t="shared" si="126"/>
        <v>185</v>
      </c>
      <c r="I777" s="83">
        <f t="shared" si="124"/>
        <v>0</v>
      </c>
      <c r="J777" s="86">
        <v>100</v>
      </c>
      <c r="K777" s="86">
        <v>300</v>
      </c>
      <c r="L777" s="83">
        <f t="shared" si="117"/>
        <v>1239</v>
      </c>
      <c r="M777" s="94">
        <v>600</v>
      </c>
      <c r="N777" s="83">
        <f>75</f>
        <v>75</v>
      </c>
      <c r="O777" s="86">
        <v>240</v>
      </c>
      <c r="P777" s="86">
        <v>40</v>
      </c>
      <c r="Q777" s="86">
        <f t="shared" si="118"/>
        <v>315</v>
      </c>
      <c r="R777" s="86">
        <f t="shared" si="119"/>
        <v>100</v>
      </c>
      <c r="S777" s="83">
        <f t="shared" si="120"/>
        <v>695</v>
      </c>
      <c r="T777" s="83">
        <f>0</f>
        <v>0</v>
      </c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</row>
    <row r="778" spans="1:30" ht="15.75" x14ac:dyDescent="0.25">
      <c r="A778" s="13">
        <v>64619</v>
      </c>
      <c r="B778" s="95">
        <f t="shared" si="121"/>
        <v>30</v>
      </c>
      <c r="C778" s="83">
        <f>122.58</f>
        <v>122.58</v>
      </c>
      <c r="D778" s="83">
        <f>297.941</f>
        <v>297.94099999999997</v>
      </c>
      <c r="E778" s="92">
        <f>89.177</f>
        <v>89.177000000000007</v>
      </c>
      <c r="F778" s="83">
        <f>240.302-40-60-100</f>
        <v>40.301999999999992</v>
      </c>
      <c r="G778" s="86">
        <v>40</v>
      </c>
      <c r="H778" s="83">
        <f>60+100</f>
        <v>160</v>
      </c>
      <c r="I778" s="83">
        <f t="shared" si="124"/>
        <v>0</v>
      </c>
      <c r="J778" s="86">
        <v>100</v>
      </c>
      <c r="K778" s="86">
        <v>300</v>
      </c>
      <c r="L778" s="83">
        <f t="shared" si="117"/>
        <v>1150</v>
      </c>
      <c r="M778" s="94">
        <v>600</v>
      </c>
      <c r="N778" s="83">
        <f>100</f>
        <v>100</v>
      </c>
      <c r="O778" s="86">
        <v>240</v>
      </c>
      <c r="P778" s="86">
        <v>40</v>
      </c>
      <c r="Q778" s="86">
        <f t="shared" si="118"/>
        <v>315</v>
      </c>
      <c r="R778" s="86">
        <f t="shared" si="119"/>
        <v>100</v>
      </c>
      <c r="S778" s="83">
        <f t="shared" si="120"/>
        <v>695</v>
      </c>
      <c r="T778" s="83">
        <f>50</f>
        <v>50</v>
      </c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</row>
    <row r="779" spans="1:30" ht="15.75" x14ac:dyDescent="0.25">
      <c r="A779" s="13">
        <v>64650</v>
      </c>
      <c r="B779" s="95">
        <f t="shared" si="121"/>
        <v>31</v>
      </c>
      <c r="C779" s="83">
        <f>122.58</f>
        <v>122.58</v>
      </c>
      <c r="D779" s="83">
        <f>297.941</f>
        <v>297.94099999999997</v>
      </c>
      <c r="E779" s="92">
        <f>89.177</f>
        <v>89.177000000000007</v>
      </c>
      <c r="F779" s="83">
        <f>240.302-40-60-100</f>
        <v>40.301999999999992</v>
      </c>
      <c r="G779" s="86">
        <v>40</v>
      </c>
      <c r="H779" s="83">
        <f>60+100</f>
        <v>160</v>
      </c>
      <c r="I779" s="83">
        <f t="shared" si="124"/>
        <v>0</v>
      </c>
      <c r="J779" s="86">
        <v>100</v>
      </c>
      <c r="K779" s="86">
        <v>300</v>
      </c>
      <c r="L779" s="83">
        <f t="shared" si="117"/>
        <v>1150</v>
      </c>
      <c r="M779" s="94">
        <v>600</v>
      </c>
      <c r="N779" s="83">
        <f>100</f>
        <v>100</v>
      </c>
      <c r="O779" s="86">
        <v>240</v>
      </c>
      <c r="P779" s="86">
        <v>40</v>
      </c>
      <c r="Q779" s="86">
        <f t="shared" si="118"/>
        <v>315</v>
      </c>
      <c r="R779" s="86">
        <f t="shared" si="119"/>
        <v>100</v>
      </c>
      <c r="S779" s="83">
        <f t="shared" si="120"/>
        <v>695</v>
      </c>
      <c r="T779" s="83">
        <f>50</f>
        <v>50</v>
      </c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</row>
    <row r="780" spans="1:30" ht="15.75" x14ac:dyDescent="0.25">
      <c r="A780" s="13">
        <v>64681</v>
      </c>
      <c r="B780" s="95">
        <f t="shared" si="121"/>
        <v>31</v>
      </c>
      <c r="C780" s="83">
        <f>122.58</f>
        <v>122.58</v>
      </c>
      <c r="D780" s="83">
        <f>297.941</f>
        <v>297.94099999999997</v>
      </c>
      <c r="E780" s="92">
        <f>89.177</f>
        <v>89.177000000000007</v>
      </c>
      <c r="F780" s="83">
        <f>240.302-40-60-100</f>
        <v>40.301999999999992</v>
      </c>
      <c r="G780" s="86">
        <v>40</v>
      </c>
      <c r="H780" s="83">
        <f>60+100</f>
        <v>160</v>
      </c>
      <c r="I780" s="83">
        <f t="shared" si="124"/>
        <v>0</v>
      </c>
      <c r="J780" s="86">
        <v>100</v>
      </c>
      <c r="K780" s="86">
        <v>300</v>
      </c>
      <c r="L780" s="83">
        <f t="shared" si="117"/>
        <v>1150</v>
      </c>
      <c r="M780" s="94">
        <v>600</v>
      </c>
      <c r="N780" s="83">
        <f>100</f>
        <v>100</v>
      </c>
      <c r="O780" s="86">
        <v>240</v>
      </c>
      <c r="P780" s="86">
        <v>40</v>
      </c>
      <c r="Q780" s="86">
        <f t="shared" si="118"/>
        <v>315</v>
      </c>
      <c r="R780" s="86">
        <f t="shared" si="119"/>
        <v>100</v>
      </c>
      <c r="S780" s="83">
        <f t="shared" si="120"/>
        <v>695</v>
      </c>
      <c r="T780" s="83">
        <f>50</f>
        <v>50</v>
      </c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</row>
    <row r="781" spans="1:30" ht="15.75" x14ac:dyDescent="0.25">
      <c r="A781" s="13">
        <v>64709</v>
      </c>
      <c r="B781" s="95">
        <f t="shared" si="121"/>
        <v>28</v>
      </c>
      <c r="C781" s="83">
        <f>122.58</f>
        <v>122.58</v>
      </c>
      <c r="D781" s="83">
        <f>297.941</f>
        <v>297.94099999999997</v>
      </c>
      <c r="E781" s="92">
        <f>89.177</f>
        <v>89.177000000000007</v>
      </c>
      <c r="F781" s="83">
        <f>240.302-40-60-100</f>
        <v>40.301999999999992</v>
      </c>
      <c r="G781" s="86">
        <v>40</v>
      </c>
      <c r="H781" s="83">
        <f>60+100</f>
        <v>160</v>
      </c>
      <c r="I781" s="83">
        <f t="shared" si="124"/>
        <v>0</v>
      </c>
      <c r="J781" s="86">
        <v>100</v>
      </c>
      <c r="K781" s="86">
        <v>300</v>
      </c>
      <c r="L781" s="83">
        <f t="shared" si="117"/>
        <v>1150</v>
      </c>
      <c r="M781" s="94">
        <v>600</v>
      </c>
      <c r="N781" s="83">
        <f>100</f>
        <v>100</v>
      </c>
      <c r="O781" s="86">
        <v>240</v>
      </c>
      <c r="P781" s="86">
        <v>40</v>
      </c>
      <c r="Q781" s="86">
        <f t="shared" si="118"/>
        <v>315</v>
      </c>
      <c r="R781" s="86">
        <f t="shared" si="119"/>
        <v>100</v>
      </c>
      <c r="S781" s="83">
        <f t="shared" si="120"/>
        <v>695</v>
      </c>
      <c r="T781" s="83">
        <f>50</f>
        <v>50</v>
      </c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</row>
    <row r="782" spans="1:30" ht="15.75" x14ac:dyDescent="0.25">
      <c r="A782" s="13">
        <v>64740</v>
      </c>
      <c r="B782" s="95">
        <f t="shared" si="121"/>
        <v>31</v>
      </c>
      <c r="C782" s="83">
        <f>122.58</f>
        <v>122.58</v>
      </c>
      <c r="D782" s="83">
        <f>297.941</f>
        <v>297.94099999999997</v>
      </c>
      <c r="E782" s="92">
        <f>89.177</f>
        <v>89.177000000000007</v>
      </c>
      <c r="F782" s="83">
        <f>240.302-40-60-100</f>
        <v>40.301999999999992</v>
      </c>
      <c r="G782" s="86">
        <v>40</v>
      </c>
      <c r="H782" s="83">
        <f>60+100</f>
        <v>160</v>
      </c>
      <c r="I782" s="83">
        <f t="shared" si="124"/>
        <v>0</v>
      </c>
      <c r="J782" s="86">
        <v>100</v>
      </c>
      <c r="K782" s="86">
        <v>300</v>
      </c>
      <c r="L782" s="83">
        <f t="shared" si="117"/>
        <v>1150</v>
      </c>
      <c r="M782" s="94">
        <v>600</v>
      </c>
      <c r="N782" s="83">
        <f>100</f>
        <v>100</v>
      </c>
      <c r="O782" s="86">
        <v>240</v>
      </c>
      <c r="P782" s="86">
        <v>40</v>
      </c>
      <c r="Q782" s="86">
        <f t="shared" si="118"/>
        <v>315</v>
      </c>
      <c r="R782" s="86">
        <f t="shared" si="119"/>
        <v>100</v>
      </c>
      <c r="S782" s="83">
        <f t="shared" si="120"/>
        <v>695</v>
      </c>
      <c r="T782" s="83">
        <f>50</f>
        <v>50</v>
      </c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</row>
    <row r="783" spans="1:30" ht="15.75" x14ac:dyDescent="0.25">
      <c r="A783" s="13">
        <v>64770</v>
      </c>
      <c r="B783" s="95">
        <f t="shared" si="121"/>
        <v>30</v>
      </c>
      <c r="C783" s="83">
        <f>141.293</f>
        <v>141.29300000000001</v>
      </c>
      <c r="D783" s="83">
        <f>267.993</f>
        <v>267.99299999999999</v>
      </c>
      <c r="E783" s="92">
        <f>115.016</f>
        <v>115.01600000000001</v>
      </c>
      <c r="F783" s="83">
        <f>314.698-40-25-60-100</f>
        <v>89.697999999999979</v>
      </c>
      <c r="G783" s="86">
        <v>40</v>
      </c>
      <c r="H783" s="83">
        <f t="shared" ref="H783:H789" si="127">25+60+100</f>
        <v>185</v>
      </c>
      <c r="I783" s="83">
        <f t="shared" si="124"/>
        <v>0</v>
      </c>
      <c r="J783" s="86">
        <v>100</v>
      </c>
      <c r="K783" s="86">
        <v>300</v>
      </c>
      <c r="L783" s="83">
        <f t="shared" si="117"/>
        <v>1239</v>
      </c>
      <c r="M783" s="94">
        <v>600</v>
      </c>
      <c r="N783" s="83">
        <f>100</f>
        <v>100</v>
      </c>
      <c r="O783" s="86">
        <v>240</v>
      </c>
      <c r="P783" s="86">
        <v>40</v>
      </c>
      <c r="Q783" s="86">
        <f t="shared" si="118"/>
        <v>315</v>
      </c>
      <c r="R783" s="86">
        <f t="shared" si="119"/>
        <v>100</v>
      </c>
      <c r="S783" s="83">
        <f t="shared" si="120"/>
        <v>695</v>
      </c>
      <c r="T783" s="83">
        <f>50</f>
        <v>50</v>
      </c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</row>
    <row r="784" spans="1:30" ht="15.75" x14ac:dyDescent="0.25">
      <c r="A784" s="13">
        <v>64801</v>
      </c>
      <c r="B784" s="95">
        <f t="shared" si="121"/>
        <v>31</v>
      </c>
      <c r="C784" s="83">
        <f>194.205</f>
        <v>194.20500000000001</v>
      </c>
      <c r="D784" s="83">
        <f>267.466</f>
        <v>267.46600000000001</v>
      </c>
      <c r="E784" s="92">
        <f>133.845</f>
        <v>133.845</v>
      </c>
      <c r="F784" s="83">
        <f>278.484-40-25-60-100</f>
        <v>53.48399999999998</v>
      </c>
      <c r="G784" s="86">
        <v>40</v>
      </c>
      <c r="H784" s="83">
        <f t="shared" si="127"/>
        <v>185</v>
      </c>
      <c r="I784" s="83">
        <f t="shared" si="124"/>
        <v>0</v>
      </c>
      <c r="J784" s="86">
        <v>100</v>
      </c>
      <c r="K784" s="86">
        <v>300</v>
      </c>
      <c r="L784" s="83">
        <f t="shared" si="117"/>
        <v>1274</v>
      </c>
      <c r="M784" s="94">
        <v>600</v>
      </c>
      <c r="N784" s="83">
        <f>75</f>
        <v>75</v>
      </c>
      <c r="O784" s="86">
        <v>240</v>
      </c>
      <c r="P784" s="86">
        <v>40</v>
      </c>
      <c r="Q784" s="86">
        <f t="shared" si="118"/>
        <v>315</v>
      </c>
      <c r="R784" s="86">
        <f t="shared" si="119"/>
        <v>100</v>
      </c>
      <c r="S784" s="83">
        <f t="shared" si="120"/>
        <v>695</v>
      </c>
      <c r="T784" s="83">
        <f>50</f>
        <v>50</v>
      </c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</row>
    <row r="785" spans="1:30" ht="15.75" x14ac:dyDescent="0.25">
      <c r="A785" s="13">
        <v>64831</v>
      </c>
      <c r="B785" s="95">
        <f t="shared" si="121"/>
        <v>30</v>
      </c>
      <c r="C785" s="83">
        <f>194.205</f>
        <v>194.20500000000001</v>
      </c>
      <c r="D785" s="83">
        <f>267.466</f>
        <v>267.46600000000001</v>
      </c>
      <c r="E785" s="92">
        <f>133.845</f>
        <v>133.845</v>
      </c>
      <c r="F785" s="83">
        <f>278.484-40-25-60-100</f>
        <v>53.48399999999998</v>
      </c>
      <c r="G785" s="86">
        <v>40</v>
      </c>
      <c r="H785" s="83">
        <f t="shared" si="127"/>
        <v>185</v>
      </c>
      <c r="I785" s="83">
        <f t="shared" si="124"/>
        <v>0</v>
      </c>
      <c r="J785" s="86">
        <v>100</v>
      </c>
      <c r="K785" s="86">
        <v>300</v>
      </c>
      <c r="L785" s="83">
        <f t="shared" si="117"/>
        <v>1274</v>
      </c>
      <c r="M785" s="94">
        <v>600</v>
      </c>
      <c r="N785" s="83">
        <f>30</f>
        <v>30</v>
      </c>
      <c r="O785" s="86">
        <v>240</v>
      </c>
      <c r="P785" s="86">
        <v>40</v>
      </c>
      <c r="Q785" s="86">
        <f t="shared" si="118"/>
        <v>315</v>
      </c>
      <c r="R785" s="86">
        <f t="shared" si="119"/>
        <v>100</v>
      </c>
      <c r="S785" s="83">
        <f t="shared" si="120"/>
        <v>695</v>
      </c>
      <c r="T785" s="83">
        <f>50</f>
        <v>50</v>
      </c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</row>
    <row r="786" spans="1:30" ht="15.75" x14ac:dyDescent="0.25">
      <c r="A786" s="13">
        <v>64862</v>
      </c>
      <c r="B786" s="95">
        <f t="shared" si="121"/>
        <v>31</v>
      </c>
      <c r="C786" s="83">
        <f>194.205</f>
        <v>194.20500000000001</v>
      </c>
      <c r="D786" s="83">
        <f>267.466</f>
        <v>267.46600000000001</v>
      </c>
      <c r="E786" s="92">
        <f>133.845</f>
        <v>133.845</v>
      </c>
      <c r="F786" s="83">
        <f>278.484-40-25-60-100</f>
        <v>53.48399999999998</v>
      </c>
      <c r="G786" s="86">
        <v>40</v>
      </c>
      <c r="H786" s="83">
        <f t="shared" si="127"/>
        <v>185</v>
      </c>
      <c r="I786" s="83">
        <f t="shared" si="124"/>
        <v>0</v>
      </c>
      <c r="J786" s="86">
        <v>100</v>
      </c>
      <c r="K786" s="86">
        <v>300</v>
      </c>
      <c r="L786" s="83">
        <f t="shared" si="117"/>
        <v>1274</v>
      </c>
      <c r="M786" s="94">
        <v>600</v>
      </c>
      <c r="N786" s="83">
        <f>30</f>
        <v>30</v>
      </c>
      <c r="O786" s="86">
        <v>240</v>
      </c>
      <c r="P786" s="86">
        <v>40</v>
      </c>
      <c r="Q786" s="86">
        <f t="shared" si="118"/>
        <v>315</v>
      </c>
      <c r="R786" s="86">
        <f t="shared" si="119"/>
        <v>100</v>
      </c>
      <c r="S786" s="83">
        <f t="shared" si="120"/>
        <v>695</v>
      </c>
      <c r="T786" s="83">
        <f>0</f>
        <v>0</v>
      </c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</row>
    <row r="787" spans="1:30" ht="15.75" x14ac:dyDescent="0.25">
      <c r="A787" s="13">
        <v>64893</v>
      </c>
      <c r="B787" s="95">
        <f t="shared" si="121"/>
        <v>31</v>
      </c>
      <c r="C787" s="83">
        <f>194.205</f>
        <v>194.20500000000001</v>
      </c>
      <c r="D787" s="83">
        <f>267.466</f>
        <v>267.46600000000001</v>
      </c>
      <c r="E787" s="92">
        <f>133.845</f>
        <v>133.845</v>
      </c>
      <c r="F787" s="83">
        <f>278.484-40-25-60-100</f>
        <v>53.48399999999998</v>
      </c>
      <c r="G787" s="86">
        <v>40</v>
      </c>
      <c r="H787" s="83">
        <f t="shared" si="127"/>
        <v>185</v>
      </c>
      <c r="I787" s="83">
        <f t="shared" si="124"/>
        <v>0</v>
      </c>
      <c r="J787" s="86">
        <v>100</v>
      </c>
      <c r="K787" s="86">
        <v>300</v>
      </c>
      <c r="L787" s="83">
        <f t="shared" si="117"/>
        <v>1274</v>
      </c>
      <c r="M787" s="94">
        <v>600</v>
      </c>
      <c r="N787" s="83">
        <f>30</f>
        <v>30</v>
      </c>
      <c r="O787" s="86">
        <v>240</v>
      </c>
      <c r="P787" s="86">
        <v>40</v>
      </c>
      <c r="Q787" s="86">
        <f t="shared" si="118"/>
        <v>315</v>
      </c>
      <c r="R787" s="86">
        <f t="shared" si="119"/>
        <v>100</v>
      </c>
      <c r="S787" s="83">
        <f t="shared" si="120"/>
        <v>695</v>
      </c>
      <c r="T787" s="83">
        <f>0</f>
        <v>0</v>
      </c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</row>
    <row r="788" spans="1:30" ht="15.75" x14ac:dyDescent="0.25">
      <c r="A788" s="13">
        <v>64923</v>
      </c>
      <c r="B788" s="95">
        <f t="shared" si="121"/>
        <v>30</v>
      </c>
      <c r="C788" s="83">
        <f>194.205</f>
        <v>194.20500000000001</v>
      </c>
      <c r="D788" s="83">
        <f>267.466</f>
        <v>267.46600000000001</v>
      </c>
      <c r="E788" s="92">
        <f>133.845</f>
        <v>133.845</v>
      </c>
      <c r="F788" s="83">
        <f>278.484-40-25-60-100</f>
        <v>53.48399999999998</v>
      </c>
      <c r="G788" s="86">
        <v>40</v>
      </c>
      <c r="H788" s="83">
        <f t="shared" si="127"/>
        <v>185</v>
      </c>
      <c r="I788" s="83">
        <f t="shared" si="124"/>
        <v>0</v>
      </c>
      <c r="J788" s="86">
        <v>100</v>
      </c>
      <c r="K788" s="86">
        <v>300</v>
      </c>
      <c r="L788" s="83">
        <f t="shared" si="117"/>
        <v>1274</v>
      </c>
      <c r="M788" s="94">
        <v>600</v>
      </c>
      <c r="N788" s="83">
        <f>30</f>
        <v>30</v>
      </c>
      <c r="O788" s="86">
        <v>240</v>
      </c>
      <c r="P788" s="86">
        <v>40</v>
      </c>
      <c r="Q788" s="86">
        <f t="shared" si="118"/>
        <v>315</v>
      </c>
      <c r="R788" s="86">
        <f t="shared" si="119"/>
        <v>100</v>
      </c>
      <c r="S788" s="83">
        <f t="shared" si="120"/>
        <v>695</v>
      </c>
      <c r="T788" s="83">
        <f>0</f>
        <v>0</v>
      </c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</row>
    <row r="789" spans="1:30" ht="15.75" x14ac:dyDescent="0.25">
      <c r="A789" s="13">
        <v>64954</v>
      </c>
      <c r="B789" s="95">
        <f t="shared" si="121"/>
        <v>31</v>
      </c>
      <c r="C789" s="83">
        <f>131.881</f>
        <v>131.881</v>
      </c>
      <c r="D789" s="83">
        <f>277.167</f>
        <v>277.16699999999997</v>
      </c>
      <c r="E789" s="92">
        <f>79.08</f>
        <v>79.08</v>
      </c>
      <c r="F789" s="83">
        <f>350.872-40-25-60-100</f>
        <v>125.87200000000001</v>
      </c>
      <c r="G789" s="86">
        <v>40</v>
      </c>
      <c r="H789" s="83">
        <f t="shared" si="127"/>
        <v>185</v>
      </c>
      <c r="I789" s="83">
        <f t="shared" si="124"/>
        <v>0</v>
      </c>
      <c r="J789" s="86">
        <v>100</v>
      </c>
      <c r="K789" s="86">
        <v>300</v>
      </c>
      <c r="L789" s="83">
        <f t="shared" si="117"/>
        <v>1239</v>
      </c>
      <c r="M789" s="94">
        <v>600</v>
      </c>
      <c r="N789" s="83">
        <f>75</f>
        <v>75</v>
      </c>
      <c r="O789" s="86">
        <v>240</v>
      </c>
      <c r="P789" s="86">
        <v>40</v>
      </c>
      <c r="Q789" s="86">
        <f t="shared" si="118"/>
        <v>315</v>
      </c>
      <c r="R789" s="86">
        <f t="shared" si="119"/>
        <v>100</v>
      </c>
      <c r="S789" s="83">
        <f t="shared" si="120"/>
        <v>695</v>
      </c>
      <c r="T789" s="83">
        <f>0</f>
        <v>0</v>
      </c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</row>
    <row r="790" spans="1:30" ht="15.75" x14ac:dyDescent="0.25">
      <c r="A790" s="13">
        <v>64984</v>
      </c>
      <c r="B790" s="95">
        <f t="shared" si="121"/>
        <v>30</v>
      </c>
      <c r="C790" s="83">
        <f>122.58</f>
        <v>122.58</v>
      </c>
      <c r="D790" s="83">
        <f>297.941</f>
        <v>297.94099999999997</v>
      </c>
      <c r="E790" s="92">
        <f>89.177</f>
        <v>89.177000000000007</v>
      </c>
      <c r="F790" s="83">
        <f>240.302-40-60-100</f>
        <v>40.301999999999992</v>
      </c>
      <c r="G790" s="86">
        <v>40</v>
      </c>
      <c r="H790" s="83">
        <f>60+100</f>
        <v>160</v>
      </c>
      <c r="I790" s="83">
        <f t="shared" si="124"/>
        <v>0</v>
      </c>
      <c r="J790" s="86">
        <v>100</v>
      </c>
      <c r="K790" s="86">
        <v>300</v>
      </c>
      <c r="L790" s="83">
        <f t="shared" si="117"/>
        <v>1150</v>
      </c>
      <c r="M790" s="94">
        <v>600</v>
      </c>
      <c r="N790" s="83">
        <f>100</f>
        <v>100</v>
      </c>
      <c r="O790" s="86">
        <v>240</v>
      </c>
      <c r="P790" s="86">
        <v>40</v>
      </c>
      <c r="Q790" s="86">
        <f t="shared" si="118"/>
        <v>315</v>
      </c>
      <c r="R790" s="86">
        <f t="shared" si="119"/>
        <v>100</v>
      </c>
      <c r="S790" s="83">
        <f t="shared" si="120"/>
        <v>695</v>
      </c>
      <c r="T790" s="83">
        <f>50</f>
        <v>50</v>
      </c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</row>
    <row r="791" spans="1:30" ht="15.75" x14ac:dyDescent="0.25">
      <c r="A791" s="13">
        <v>65015</v>
      </c>
      <c r="B791" s="95">
        <f t="shared" si="121"/>
        <v>31</v>
      </c>
      <c r="C791" s="83">
        <f>122.58</f>
        <v>122.58</v>
      </c>
      <c r="D791" s="83">
        <f>297.941</f>
        <v>297.94099999999997</v>
      </c>
      <c r="E791" s="92">
        <f>89.177</f>
        <v>89.177000000000007</v>
      </c>
      <c r="F791" s="83">
        <f>240.302-40-60-100</f>
        <v>40.301999999999992</v>
      </c>
      <c r="G791" s="86">
        <v>40</v>
      </c>
      <c r="H791" s="83">
        <f>60+100</f>
        <v>160</v>
      </c>
      <c r="I791" s="83">
        <f t="shared" si="124"/>
        <v>0</v>
      </c>
      <c r="J791" s="86">
        <v>100</v>
      </c>
      <c r="K791" s="86">
        <v>300</v>
      </c>
      <c r="L791" s="83">
        <f t="shared" ref="L791:L854" si="128">SUM(C791:K791)</f>
        <v>1150</v>
      </c>
      <c r="M791" s="94">
        <v>600</v>
      </c>
      <c r="N791" s="83">
        <f>100</f>
        <v>100</v>
      </c>
      <c r="O791" s="86">
        <v>240</v>
      </c>
      <c r="P791" s="86">
        <v>40</v>
      </c>
      <c r="Q791" s="86">
        <f t="shared" ref="Q791:Q854" si="129">695-R791-O791-P791</f>
        <v>315</v>
      </c>
      <c r="R791" s="86">
        <f t="shared" ref="R791:R854" si="130">200-J791</f>
        <v>100</v>
      </c>
      <c r="S791" s="83">
        <f t="shared" ref="S791:S854" si="131">SUM(O791:R791)</f>
        <v>695</v>
      </c>
      <c r="T791" s="83">
        <f>50</f>
        <v>50</v>
      </c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</row>
    <row r="792" spans="1:30" ht="15.75" x14ac:dyDescent="0.25">
      <c r="A792" s="13">
        <v>65046</v>
      </c>
      <c r="B792" s="95">
        <f t="shared" ref="B792:B855" si="132">EOMONTH(A792,0)-EOMONTH(A792,-1)</f>
        <v>31</v>
      </c>
      <c r="C792" s="83">
        <f>122.58</f>
        <v>122.58</v>
      </c>
      <c r="D792" s="83">
        <f>297.941</f>
        <v>297.94099999999997</v>
      </c>
      <c r="E792" s="92">
        <f>89.177</f>
        <v>89.177000000000007</v>
      </c>
      <c r="F792" s="83">
        <f>240.302-40-60-100</f>
        <v>40.301999999999992</v>
      </c>
      <c r="G792" s="86">
        <v>40</v>
      </c>
      <c r="H792" s="83">
        <f>60+100</f>
        <v>160</v>
      </c>
      <c r="I792" s="83">
        <f t="shared" si="124"/>
        <v>0</v>
      </c>
      <c r="J792" s="86">
        <v>100</v>
      </c>
      <c r="K792" s="86">
        <v>300</v>
      </c>
      <c r="L792" s="83">
        <f t="shared" si="128"/>
        <v>1150</v>
      </c>
      <c r="M792" s="94">
        <v>600</v>
      </c>
      <c r="N792" s="83">
        <f>100</f>
        <v>100</v>
      </c>
      <c r="O792" s="86">
        <v>240</v>
      </c>
      <c r="P792" s="86">
        <v>40</v>
      </c>
      <c r="Q792" s="86">
        <f t="shared" si="129"/>
        <v>315</v>
      </c>
      <c r="R792" s="86">
        <f t="shared" si="130"/>
        <v>100</v>
      </c>
      <c r="S792" s="83">
        <f t="shared" si="131"/>
        <v>695</v>
      </c>
      <c r="T792" s="83">
        <f>50</f>
        <v>50</v>
      </c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</row>
    <row r="793" spans="1:30" ht="15.75" x14ac:dyDescent="0.25">
      <c r="A793" s="13">
        <v>65074</v>
      </c>
      <c r="B793" s="95">
        <f t="shared" si="132"/>
        <v>28</v>
      </c>
      <c r="C793" s="83">
        <f>122.58</f>
        <v>122.58</v>
      </c>
      <c r="D793" s="83">
        <f>297.941</f>
        <v>297.94099999999997</v>
      </c>
      <c r="E793" s="92">
        <f>89.177</f>
        <v>89.177000000000007</v>
      </c>
      <c r="F793" s="83">
        <f>240.302-40-60-100</f>
        <v>40.301999999999992</v>
      </c>
      <c r="G793" s="86">
        <v>40</v>
      </c>
      <c r="H793" s="83">
        <f>60+100</f>
        <v>160</v>
      </c>
      <c r="I793" s="83">
        <f t="shared" si="124"/>
        <v>0</v>
      </c>
      <c r="J793" s="86">
        <v>100</v>
      </c>
      <c r="K793" s="86">
        <v>300</v>
      </c>
      <c r="L793" s="83">
        <f t="shared" si="128"/>
        <v>1150</v>
      </c>
      <c r="M793" s="94">
        <v>600</v>
      </c>
      <c r="N793" s="83">
        <f>100</f>
        <v>100</v>
      </c>
      <c r="O793" s="86">
        <v>240</v>
      </c>
      <c r="P793" s="86">
        <v>40</v>
      </c>
      <c r="Q793" s="86">
        <f t="shared" si="129"/>
        <v>315</v>
      </c>
      <c r="R793" s="86">
        <f t="shared" si="130"/>
        <v>100</v>
      </c>
      <c r="S793" s="83">
        <f t="shared" si="131"/>
        <v>695</v>
      </c>
      <c r="T793" s="83">
        <f>50</f>
        <v>50</v>
      </c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</row>
    <row r="794" spans="1:30" ht="15.75" x14ac:dyDescent="0.25">
      <c r="A794" s="13">
        <v>65105</v>
      </c>
      <c r="B794" s="95">
        <f t="shared" si="132"/>
        <v>31</v>
      </c>
      <c r="C794" s="83">
        <f>122.58</f>
        <v>122.58</v>
      </c>
      <c r="D794" s="83">
        <f>297.941</f>
        <v>297.94099999999997</v>
      </c>
      <c r="E794" s="92">
        <f>89.177</f>
        <v>89.177000000000007</v>
      </c>
      <c r="F794" s="83">
        <f>240.302-40-60-100</f>
        <v>40.301999999999992</v>
      </c>
      <c r="G794" s="86">
        <v>40</v>
      </c>
      <c r="H794" s="83">
        <f>60+100</f>
        <v>160</v>
      </c>
      <c r="I794" s="83">
        <f t="shared" si="124"/>
        <v>0</v>
      </c>
      <c r="J794" s="86">
        <v>100</v>
      </c>
      <c r="K794" s="86">
        <v>300</v>
      </c>
      <c r="L794" s="83">
        <f t="shared" si="128"/>
        <v>1150</v>
      </c>
      <c r="M794" s="94">
        <v>600</v>
      </c>
      <c r="N794" s="83">
        <f>100</f>
        <v>100</v>
      </c>
      <c r="O794" s="86">
        <v>240</v>
      </c>
      <c r="P794" s="86">
        <v>40</v>
      </c>
      <c r="Q794" s="86">
        <f t="shared" si="129"/>
        <v>315</v>
      </c>
      <c r="R794" s="86">
        <f t="shared" si="130"/>
        <v>100</v>
      </c>
      <c r="S794" s="83">
        <f t="shared" si="131"/>
        <v>695</v>
      </c>
      <c r="T794" s="83">
        <f>50</f>
        <v>50</v>
      </c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</row>
    <row r="795" spans="1:30" ht="15.75" x14ac:dyDescent="0.25">
      <c r="A795" s="13">
        <v>65135</v>
      </c>
      <c r="B795" s="95">
        <f t="shared" si="132"/>
        <v>30</v>
      </c>
      <c r="C795" s="83">
        <f>141.293</f>
        <v>141.29300000000001</v>
      </c>
      <c r="D795" s="83">
        <f>267.993</f>
        <v>267.99299999999999</v>
      </c>
      <c r="E795" s="92">
        <f>115.016</f>
        <v>115.01600000000001</v>
      </c>
      <c r="F795" s="83">
        <f>314.698-40-25-60-100</f>
        <v>89.697999999999979</v>
      </c>
      <c r="G795" s="86">
        <v>40</v>
      </c>
      <c r="H795" s="83">
        <f t="shared" ref="H795:H801" si="133">25+60+100</f>
        <v>185</v>
      </c>
      <c r="I795" s="83">
        <f t="shared" si="124"/>
        <v>0</v>
      </c>
      <c r="J795" s="86">
        <v>100</v>
      </c>
      <c r="K795" s="86">
        <v>300</v>
      </c>
      <c r="L795" s="83">
        <f t="shared" si="128"/>
        <v>1239</v>
      </c>
      <c r="M795" s="94">
        <v>600</v>
      </c>
      <c r="N795" s="83">
        <f>100</f>
        <v>100</v>
      </c>
      <c r="O795" s="86">
        <v>240</v>
      </c>
      <c r="P795" s="86">
        <v>40</v>
      </c>
      <c r="Q795" s="86">
        <f t="shared" si="129"/>
        <v>315</v>
      </c>
      <c r="R795" s="86">
        <f t="shared" si="130"/>
        <v>100</v>
      </c>
      <c r="S795" s="83">
        <f t="shared" si="131"/>
        <v>695</v>
      </c>
      <c r="T795" s="83">
        <f>50</f>
        <v>50</v>
      </c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</row>
    <row r="796" spans="1:30" ht="15.75" x14ac:dyDescent="0.25">
      <c r="A796" s="13">
        <v>65166</v>
      </c>
      <c r="B796" s="95">
        <f t="shared" si="132"/>
        <v>31</v>
      </c>
      <c r="C796" s="83">
        <f>194.205</f>
        <v>194.20500000000001</v>
      </c>
      <c r="D796" s="83">
        <f>267.466</f>
        <v>267.46600000000001</v>
      </c>
      <c r="E796" s="92">
        <f>133.845</f>
        <v>133.845</v>
      </c>
      <c r="F796" s="83">
        <f>278.484-40-25-60-100</f>
        <v>53.48399999999998</v>
      </c>
      <c r="G796" s="86">
        <v>40</v>
      </c>
      <c r="H796" s="83">
        <f t="shared" si="133"/>
        <v>185</v>
      </c>
      <c r="I796" s="83">
        <f t="shared" si="124"/>
        <v>0</v>
      </c>
      <c r="J796" s="86">
        <v>100</v>
      </c>
      <c r="K796" s="86">
        <v>300</v>
      </c>
      <c r="L796" s="83">
        <f t="shared" si="128"/>
        <v>1274</v>
      </c>
      <c r="M796" s="94">
        <v>600</v>
      </c>
      <c r="N796" s="83">
        <f>75</f>
        <v>75</v>
      </c>
      <c r="O796" s="86">
        <v>240</v>
      </c>
      <c r="P796" s="86">
        <v>40</v>
      </c>
      <c r="Q796" s="86">
        <f t="shared" si="129"/>
        <v>315</v>
      </c>
      <c r="R796" s="86">
        <f t="shared" si="130"/>
        <v>100</v>
      </c>
      <c r="S796" s="83">
        <f t="shared" si="131"/>
        <v>695</v>
      </c>
      <c r="T796" s="83">
        <f>50</f>
        <v>50</v>
      </c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</row>
    <row r="797" spans="1:30" ht="15.75" x14ac:dyDescent="0.25">
      <c r="A797" s="13">
        <v>65196</v>
      </c>
      <c r="B797" s="95">
        <f t="shared" si="132"/>
        <v>30</v>
      </c>
      <c r="C797" s="83">
        <f>194.205</f>
        <v>194.20500000000001</v>
      </c>
      <c r="D797" s="83">
        <f>267.466</f>
        <v>267.46600000000001</v>
      </c>
      <c r="E797" s="92">
        <f>133.845</f>
        <v>133.845</v>
      </c>
      <c r="F797" s="83">
        <f>278.484-40-25-60-100</f>
        <v>53.48399999999998</v>
      </c>
      <c r="G797" s="86">
        <v>40</v>
      </c>
      <c r="H797" s="83">
        <f t="shared" si="133"/>
        <v>185</v>
      </c>
      <c r="I797" s="83">
        <f t="shared" si="124"/>
        <v>0</v>
      </c>
      <c r="J797" s="86">
        <v>100</v>
      </c>
      <c r="K797" s="86">
        <v>300</v>
      </c>
      <c r="L797" s="83">
        <f t="shared" si="128"/>
        <v>1274</v>
      </c>
      <c r="M797" s="94">
        <v>600</v>
      </c>
      <c r="N797" s="83">
        <f>30</f>
        <v>30</v>
      </c>
      <c r="O797" s="86">
        <v>240</v>
      </c>
      <c r="P797" s="86">
        <v>40</v>
      </c>
      <c r="Q797" s="86">
        <f t="shared" si="129"/>
        <v>315</v>
      </c>
      <c r="R797" s="86">
        <f t="shared" si="130"/>
        <v>100</v>
      </c>
      <c r="S797" s="83">
        <f t="shared" si="131"/>
        <v>695</v>
      </c>
      <c r="T797" s="83">
        <f>50</f>
        <v>50</v>
      </c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</row>
    <row r="798" spans="1:30" ht="15.75" x14ac:dyDescent="0.25">
      <c r="A798" s="13">
        <v>65227</v>
      </c>
      <c r="B798" s="95">
        <f t="shared" si="132"/>
        <v>31</v>
      </c>
      <c r="C798" s="83">
        <f>194.205</f>
        <v>194.20500000000001</v>
      </c>
      <c r="D798" s="83">
        <f>267.466</f>
        <v>267.46600000000001</v>
      </c>
      <c r="E798" s="92">
        <f>133.845</f>
        <v>133.845</v>
      </c>
      <c r="F798" s="83">
        <f>278.484-40-25-60-100</f>
        <v>53.48399999999998</v>
      </c>
      <c r="G798" s="86">
        <v>40</v>
      </c>
      <c r="H798" s="83">
        <f t="shared" si="133"/>
        <v>185</v>
      </c>
      <c r="I798" s="83">
        <f t="shared" si="124"/>
        <v>0</v>
      </c>
      <c r="J798" s="86">
        <v>100</v>
      </c>
      <c r="K798" s="86">
        <v>300</v>
      </c>
      <c r="L798" s="83">
        <f t="shared" si="128"/>
        <v>1274</v>
      </c>
      <c r="M798" s="94">
        <v>600</v>
      </c>
      <c r="N798" s="83">
        <f>30</f>
        <v>30</v>
      </c>
      <c r="O798" s="86">
        <v>240</v>
      </c>
      <c r="P798" s="86">
        <v>40</v>
      </c>
      <c r="Q798" s="86">
        <f t="shared" si="129"/>
        <v>315</v>
      </c>
      <c r="R798" s="86">
        <f t="shared" si="130"/>
        <v>100</v>
      </c>
      <c r="S798" s="83">
        <f t="shared" si="131"/>
        <v>695</v>
      </c>
      <c r="T798" s="83">
        <f>0</f>
        <v>0</v>
      </c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</row>
    <row r="799" spans="1:30" ht="15.75" x14ac:dyDescent="0.25">
      <c r="A799" s="13">
        <v>65258</v>
      </c>
      <c r="B799" s="95">
        <f t="shared" si="132"/>
        <v>31</v>
      </c>
      <c r="C799" s="83">
        <f>194.205</f>
        <v>194.20500000000001</v>
      </c>
      <c r="D799" s="83">
        <f>267.466</f>
        <v>267.46600000000001</v>
      </c>
      <c r="E799" s="92">
        <f>133.845</f>
        <v>133.845</v>
      </c>
      <c r="F799" s="83">
        <f>278.484-40-25-60-100</f>
        <v>53.48399999999998</v>
      </c>
      <c r="G799" s="86">
        <v>40</v>
      </c>
      <c r="H799" s="83">
        <f t="shared" si="133"/>
        <v>185</v>
      </c>
      <c r="I799" s="83">
        <f t="shared" si="124"/>
        <v>0</v>
      </c>
      <c r="J799" s="86">
        <v>100</v>
      </c>
      <c r="K799" s="86">
        <v>300</v>
      </c>
      <c r="L799" s="83">
        <f t="shared" si="128"/>
        <v>1274</v>
      </c>
      <c r="M799" s="94">
        <v>600</v>
      </c>
      <c r="N799" s="83">
        <f>30</f>
        <v>30</v>
      </c>
      <c r="O799" s="86">
        <v>240</v>
      </c>
      <c r="P799" s="86">
        <v>40</v>
      </c>
      <c r="Q799" s="86">
        <f t="shared" si="129"/>
        <v>315</v>
      </c>
      <c r="R799" s="86">
        <f t="shared" si="130"/>
        <v>100</v>
      </c>
      <c r="S799" s="83">
        <f t="shared" si="131"/>
        <v>695</v>
      </c>
      <c r="T799" s="83">
        <f>0</f>
        <v>0</v>
      </c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</row>
    <row r="800" spans="1:30" ht="15.75" x14ac:dyDescent="0.25">
      <c r="A800" s="13">
        <v>65288</v>
      </c>
      <c r="B800" s="95">
        <f t="shared" si="132"/>
        <v>30</v>
      </c>
      <c r="C800" s="83">
        <f>194.205</f>
        <v>194.20500000000001</v>
      </c>
      <c r="D800" s="83">
        <f>267.466</f>
        <v>267.46600000000001</v>
      </c>
      <c r="E800" s="92">
        <f>133.845</f>
        <v>133.845</v>
      </c>
      <c r="F800" s="83">
        <f>278.484-40-25-60-100</f>
        <v>53.48399999999998</v>
      </c>
      <c r="G800" s="86">
        <v>40</v>
      </c>
      <c r="H800" s="83">
        <f t="shared" si="133"/>
        <v>185</v>
      </c>
      <c r="I800" s="83">
        <f t="shared" si="124"/>
        <v>0</v>
      </c>
      <c r="J800" s="86">
        <v>100</v>
      </c>
      <c r="K800" s="86">
        <v>300</v>
      </c>
      <c r="L800" s="83">
        <f t="shared" si="128"/>
        <v>1274</v>
      </c>
      <c r="M800" s="94">
        <v>600</v>
      </c>
      <c r="N800" s="83">
        <f>30</f>
        <v>30</v>
      </c>
      <c r="O800" s="86">
        <v>240</v>
      </c>
      <c r="P800" s="86">
        <v>40</v>
      </c>
      <c r="Q800" s="86">
        <f t="shared" si="129"/>
        <v>315</v>
      </c>
      <c r="R800" s="86">
        <f t="shared" si="130"/>
        <v>100</v>
      </c>
      <c r="S800" s="83">
        <f t="shared" si="131"/>
        <v>695</v>
      </c>
      <c r="T800" s="83">
        <f>0</f>
        <v>0</v>
      </c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</row>
    <row r="801" spans="1:30" ht="15.75" x14ac:dyDescent="0.25">
      <c r="A801" s="13">
        <v>65319</v>
      </c>
      <c r="B801" s="95">
        <f t="shared" si="132"/>
        <v>31</v>
      </c>
      <c r="C801" s="83">
        <f>131.881</f>
        <v>131.881</v>
      </c>
      <c r="D801" s="83">
        <f>277.167</f>
        <v>277.16699999999997</v>
      </c>
      <c r="E801" s="92">
        <f>79.08</f>
        <v>79.08</v>
      </c>
      <c r="F801" s="83">
        <f>350.872-40-25-60-100</f>
        <v>125.87200000000001</v>
      </c>
      <c r="G801" s="86">
        <v>40</v>
      </c>
      <c r="H801" s="83">
        <f t="shared" si="133"/>
        <v>185</v>
      </c>
      <c r="I801" s="83">
        <f t="shared" si="124"/>
        <v>0</v>
      </c>
      <c r="J801" s="86">
        <v>100</v>
      </c>
      <c r="K801" s="86">
        <v>300</v>
      </c>
      <c r="L801" s="83">
        <f t="shared" si="128"/>
        <v>1239</v>
      </c>
      <c r="M801" s="94">
        <v>600</v>
      </c>
      <c r="N801" s="83">
        <f>75</f>
        <v>75</v>
      </c>
      <c r="O801" s="86">
        <v>240</v>
      </c>
      <c r="P801" s="86">
        <v>40</v>
      </c>
      <c r="Q801" s="86">
        <f t="shared" si="129"/>
        <v>315</v>
      </c>
      <c r="R801" s="86">
        <f t="shared" si="130"/>
        <v>100</v>
      </c>
      <c r="S801" s="83">
        <f t="shared" si="131"/>
        <v>695</v>
      </c>
      <c r="T801" s="83">
        <f>0</f>
        <v>0</v>
      </c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</row>
    <row r="802" spans="1:30" ht="15.75" x14ac:dyDescent="0.25">
      <c r="A802" s="13">
        <v>65349</v>
      </c>
      <c r="B802" s="95">
        <f t="shared" si="132"/>
        <v>30</v>
      </c>
      <c r="C802" s="83">
        <f>122.58</f>
        <v>122.58</v>
      </c>
      <c r="D802" s="83">
        <f>297.941</f>
        <v>297.94099999999997</v>
      </c>
      <c r="E802" s="92">
        <f>89.177</f>
        <v>89.177000000000007</v>
      </c>
      <c r="F802" s="83">
        <f>240.302-40-60-100</f>
        <v>40.301999999999992</v>
      </c>
      <c r="G802" s="86">
        <v>40</v>
      </c>
      <c r="H802" s="83">
        <f>60+100</f>
        <v>160</v>
      </c>
      <c r="I802" s="83">
        <f t="shared" si="124"/>
        <v>0</v>
      </c>
      <c r="J802" s="86">
        <v>100</v>
      </c>
      <c r="K802" s="86">
        <v>300</v>
      </c>
      <c r="L802" s="83">
        <f t="shared" si="128"/>
        <v>1150</v>
      </c>
      <c r="M802" s="94">
        <v>600</v>
      </c>
      <c r="N802" s="83">
        <f>100</f>
        <v>100</v>
      </c>
      <c r="O802" s="86">
        <v>240</v>
      </c>
      <c r="P802" s="86">
        <v>40</v>
      </c>
      <c r="Q802" s="86">
        <f t="shared" si="129"/>
        <v>315</v>
      </c>
      <c r="R802" s="86">
        <f t="shared" si="130"/>
        <v>100</v>
      </c>
      <c r="S802" s="83">
        <f t="shared" si="131"/>
        <v>695</v>
      </c>
      <c r="T802" s="83">
        <f>50</f>
        <v>50</v>
      </c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</row>
    <row r="803" spans="1:30" ht="15.75" x14ac:dyDescent="0.25">
      <c r="A803" s="13">
        <v>65380</v>
      </c>
      <c r="B803" s="95">
        <f t="shared" si="132"/>
        <v>31</v>
      </c>
      <c r="C803" s="83">
        <f>122.58</f>
        <v>122.58</v>
      </c>
      <c r="D803" s="83">
        <f>297.941</f>
        <v>297.94099999999997</v>
      </c>
      <c r="E803" s="92">
        <f>89.177</f>
        <v>89.177000000000007</v>
      </c>
      <c r="F803" s="83">
        <f>240.302-40-60-100</f>
        <v>40.301999999999992</v>
      </c>
      <c r="G803" s="86">
        <v>40</v>
      </c>
      <c r="H803" s="83">
        <f>60+100</f>
        <v>160</v>
      </c>
      <c r="I803" s="83">
        <f t="shared" si="124"/>
        <v>0</v>
      </c>
      <c r="J803" s="86">
        <v>100</v>
      </c>
      <c r="K803" s="86">
        <v>300</v>
      </c>
      <c r="L803" s="83">
        <f t="shared" si="128"/>
        <v>1150</v>
      </c>
      <c r="M803" s="94">
        <v>600</v>
      </c>
      <c r="N803" s="83">
        <f>100</f>
        <v>100</v>
      </c>
      <c r="O803" s="86">
        <v>240</v>
      </c>
      <c r="P803" s="86">
        <v>40</v>
      </c>
      <c r="Q803" s="86">
        <f t="shared" si="129"/>
        <v>315</v>
      </c>
      <c r="R803" s="86">
        <f t="shared" si="130"/>
        <v>100</v>
      </c>
      <c r="S803" s="83">
        <f t="shared" si="131"/>
        <v>695</v>
      </c>
      <c r="T803" s="83">
        <f>50</f>
        <v>50</v>
      </c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</row>
    <row r="804" spans="1:30" ht="15.75" x14ac:dyDescent="0.25">
      <c r="A804" s="13">
        <v>65411</v>
      </c>
      <c r="B804" s="95">
        <f t="shared" si="132"/>
        <v>31</v>
      </c>
      <c r="C804" s="83">
        <f>122.58</f>
        <v>122.58</v>
      </c>
      <c r="D804" s="83">
        <f>297.941</f>
        <v>297.94099999999997</v>
      </c>
      <c r="E804" s="92">
        <f>89.177</f>
        <v>89.177000000000007</v>
      </c>
      <c r="F804" s="83">
        <f>240.302-40-60-100</f>
        <v>40.301999999999992</v>
      </c>
      <c r="G804" s="86">
        <v>40</v>
      </c>
      <c r="H804" s="83">
        <f>60+100</f>
        <v>160</v>
      </c>
      <c r="I804" s="83">
        <f t="shared" si="124"/>
        <v>0</v>
      </c>
      <c r="J804" s="86">
        <v>100</v>
      </c>
      <c r="K804" s="86">
        <v>300</v>
      </c>
      <c r="L804" s="83">
        <f t="shared" si="128"/>
        <v>1150</v>
      </c>
      <c r="M804" s="94">
        <v>600</v>
      </c>
      <c r="N804" s="83">
        <f>100</f>
        <v>100</v>
      </c>
      <c r="O804" s="86">
        <v>240</v>
      </c>
      <c r="P804" s="86">
        <v>40</v>
      </c>
      <c r="Q804" s="86">
        <f t="shared" si="129"/>
        <v>315</v>
      </c>
      <c r="R804" s="86">
        <f t="shared" si="130"/>
        <v>100</v>
      </c>
      <c r="S804" s="83">
        <f t="shared" si="131"/>
        <v>695</v>
      </c>
      <c r="T804" s="83">
        <f>50</f>
        <v>50</v>
      </c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</row>
    <row r="805" spans="1:30" ht="15.75" x14ac:dyDescent="0.25">
      <c r="A805" s="13">
        <v>65439</v>
      </c>
      <c r="B805" s="95">
        <f t="shared" si="132"/>
        <v>28</v>
      </c>
      <c r="C805" s="83">
        <f>122.58</f>
        <v>122.58</v>
      </c>
      <c r="D805" s="83">
        <f>297.941</f>
        <v>297.94099999999997</v>
      </c>
      <c r="E805" s="92">
        <f>89.177</f>
        <v>89.177000000000007</v>
      </c>
      <c r="F805" s="83">
        <f>240.302-40-60-100</f>
        <v>40.301999999999992</v>
      </c>
      <c r="G805" s="86">
        <v>40</v>
      </c>
      <c r="H805" s="83">
        <f>60+100</f>
        <v>160</v>
      </c>
      <c r="I805" s="83">
        <f t="shared" si="124"/>
        <v>0</v>
      </c>
      <c r="J805" s="86">
        <v>100</v>
      </c>
      <c r="K805" s="86">
        <v>300</v>
      </c>
      <c r="L805" s="83">
        <f t="shared" si="128"/>
        <v>1150</v>
      </c>
      <c r="M805" s="94">
        <v>600</v>
      </c>
      <c r="N805" s="83">
        <f>100</f>
        <v>100</v>
      </c>
      <c r="O805" s="86">
        <v>240</v>
      </c>
      <c r="P805" s="86">
        <v>40</v>
      </c>
      <c r="Q805" s="86">
        <f t="shared" si="129"/>
        <v>315</v>
      </c>
      <c r="R805" s="86">
        <f t="shared" si="130"/>
        <v>100</v>
      </c>
      <c r="S805" s="83">
        <f t="shared" si="131"/>
        <v>695</v>
      </c>
      <c r="T805" s="83">
        <f>50</f>
        <v>50</v>
      </c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</row>
    <row r="806" spans="1:30" ht="15.75" x14ac:dyDescent="0.25">
      <c r="A806" s="13">
        <v>65470</v>
      </c>
      <c r="B806" s="95">
        <f t="shared" si="132"/>
        <v>31</v>
      </c>
      <c r="C806" s="83">
        <f>122.58</f>
        <v>122.58</v>
      </c>
      <c r="D806" s="83">
        <f>297.941</f>
        <v>297.94099999999997</v>
      </c>
      <c r="E806" s="92">
        <f>89.177</f>
        <v>89.177000000000007</v>
      </c>
      <c r="F806" s="83">
        <f>240.302-40-60-100</f>
        <v>40.301999999999992</v>
      </c>
      <c r="G806" s="86">
        <v>40</v>
      </c>
      <c r="H806" s="83">
        <f>60+100</f>
        <v>160</v>
      </c>
      <c r="I806" s="83">
        <f t="shared" si="124"/>
        <v>0</v>
      </c>
      <c r="J806" s="86">
        <v>100</v>
      </c>
      <c r="K806" s="86">
        <v>300</v>
      </c>
      <c r="L806" s="83">
        <f t="shared" si="128"/>
        <v>1150</v>
      </c>
      <c r="M806" s="94">
        <v>600</v>
      </c>
      <c r="N806" s="83">
        <f>100</f>
        <v>100</v>
      </c>
      <c r="O806" s="86">
        <v>240</v>
      </c>
      <c r="P806" s="86">
        <v>40</v>
      </c>
      <c r="Q806" s="86">
        <f t="shared" si="129"/>
        <v>315</v>
      </c>
      <c r="R806" s="86">
        <f t="shared" si="130"/>
        <v>100</v>
      </c>
      <c r="S806" s="83">
        <f t="shared" si="131"/>
        <v>695</v>
      </c>
      <c r="T806" s="83">
        <f>50</f>
        <v>50</v>
      </c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</row>
    <row r="807" spans="1:30" ht="15.75" x14ac:dyDescent="0.25">
      <c r="A807" s="13">
        <v>65500</v>
      </c>
      <c r="B807" s="95">
        <f t="shared" si="132"/>
        <v>30</v>
      </c>
      <c r="C807" s="83">
        <f>141.293</f>
        <v>141.29300000000001</v>
      </c>
      <c r="D807" s="83">
        <f>267.993</f>
        <v>267.99299999999999</v>
      </c>
      <c r="E807" s="92">
        <f>115.016</f>
        <v>115.01600000000001</v>
      </c>
      <c r="F807" s="83">
        <f>314.698-40-25-60-100</f>
        <v>89.697999999999979</v>
      </c>
      <c r="G807" s="86">
        <v>40</v>
      </c>
      <c r="H807" s="83">
        <f t="shared" ref="H807:H813" si="134">25+60+100</f>
        <v>185</v>
      </c>
      <c r="I807" s="83">
        <f t="shared" si="124"/>
        <v>0</v>
      </c>
      <c r="J807" s="86">
        <v>100</v>
      </c>
      <c r="K807" s="86">
        <v>300</v>
      </c>
      <c r="L807" s="83">
        <f t="shared" si="128"/>
        <v>1239</v>
      </c>
      <c r="M807" s="94">
        <v>600</v>
      </c>
      <c r="N807" s="83">
        <f>100</f>
        <v>100</v>
      </c>
      <c r="O807" s="86">
        <v>240</v>
      </c>
      <c r="P807" s="86">
        <v>40</v>
      </c>
      <c r="Q807" s="86">
        <f t="shared" si="129"/>
        <v>315</v>
      </c>
      <c r="R807" s="86">
        <f t="shared" si="130"/>
        <v>100</v>
      </c>
      <c r="S807" s="83">
        <f t="shared" si="131"/>
        <v>695</v>
      </c>
      <c r="T807" s="83">
        <f>50</f>
        <v>50</v>
      </c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</row>
    <row r="808" spans="1:30" ht="15.75" x14ac:dyDescent="0.25">
      <c r="A808" s="13">
        <v>65531</v>
      </c>
      <c r="B808" s="95">
        <f t="shared" si="132"/>
        <v>31</v>
      </c>
      <c r="C808" s="83">
        <f>194.205</f>
        <v>194.20500000000001</v>
      </c>
      <c r="D808" s="83">
        <f>267.466</f>
        <v>267.46600000000001</v>
      </c>
      <c r="E808" s="92">
        <f>133.845</f>
        <v>133.845</v>
      </c>
      <c r="F808" s="83">
        <f>278.484-40-25-60-100</f>
        <v>53.48399999999998</v>
      </c>
      <c r="G808" s="86">
        <v>40</v>
      </c>
      <c r="H808" s="83">
        <f t="shared" si="134"/>
        <v>185</v>
      </c>
      <c r="I808" s="83">
        <f t="shared" si="124"/>
        <v>0</v>
      </c>
      <c r="J808" s="86">
        <v>100</v>
      </c>
      <c r="K808" s="86">
        <v>300</v>
      </c>
      <c r="L808" s="83">
        <f t="shared" si="128"/>
        <v>1274</v>
      </c>
      <c r="M808" s="94">
        <v>600</v>
      </c>
      <c r="N808" s="83">
        <f>75</f>
        <v>75</v>
      </c>
      <c r="O808" s="86">
        <v>240</v>
      </c>
      <c r="P808" s="86">
        <v>40</v>
      </c>
      <c r="Q808" s="86">
        <f t="shared" si="129"/>
        <v>315</v>
      </c>
      <c r="R808" s="86">
        <f t="shared" si="130"/>
        <v>100</v>
      </c>
      <c r="S808" s="83">
        <f t="shared" si="131"/>
        <v>695</v>
      </c>
      <c r="T808" s="83">
        <f>50</f>
        <v>50</v>
      </c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</row>
    <row r="809" spans="1:30" ht="15.75" x14ac:dyDescent="0.25">
      <c r="A809" s="13">
        <v>65561</v>
      </c>
      <c r="B809" s="95">
        <f t="shared" si="132"/>
        <v>30</v>
      </c>
      <c r="C809" s="83">
        <f>194.205</f>
        <v>194.20500000000001</v>
      </c>
      <c r="D809" s="83">
        <f>267.466</f>
        <v>267.46600000000001</v>
      </c>
      <c r="E809" s="92">
        <f>133.845</f>
        <v>133.845</v>
      </c>
      <c r="F809" s="83">
        <f>278.484-40-25-60-100</f>
        <v>53.48399999999998</v>
      </c>
      <c r="G809" s="86">
        <v>40</v>
      </c>
      <c r="H809" s="83">
        <f t="shared" si="134"/>
        <v>185</v>
      </c>
      <c r="I809" s="83">
        <f t="shared" si="124"/>
        <v>0</v>
      </c>
      <c r="J809" s="86">
        <v>100</v>
      </c>
      <c r="K809" s="86">
        <v>300</v>
      </c>
      <c r="L809" s="83">
        <f t="shared" si="128"/>
        <v>1274</v>
      </c>
      <c r="M809" s="94">
        <v>600</v>
      </c>
      <c r="N809" s="83">
        <f>30</f>
        <v>30</v>
      </c>
      <c r="O809" s="86">
        <v>240</v>
      </c>
      <c r="P809" s="86">
        <v>40</v>
      </c>
      <c r="Q809" s="86">
        <f t="shared" si="129"/>
        <v>315</v>
      </c>
      <c r="R809" s="86">
        <f t="shared" si="130"/>
        <v>100</v>
      </c>
      <c r="S809" s="83">
        <f t="shared" si="131"/>
        <v>695</v>
      </c>
      <c r="T809" s="83">
        <f>50</f>
        <v>50</v>
      </c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</row>
    <row r="810" spans="1:30" ht="15.75" x14ac:dyDescent="0.25">
      <c r="A810" s="13">
        <v>65592</v>
      </c>
      <c r="B810" s="95">
        <f t="shared" si="132"/>
        <v>31</v>
      </c>
      <c r="C810" s="83">
        <f>194.205</f>
        <v>194.20500000000001</v>
      </c>
      <c r="D810" s="83">
        <f>267.466</f>
        <v>267.46600000000001</v>
      </c>
      <c r="E810" s="92">
        <f>133.845</f>
        <v>133.845</v>
      </c>
      <c r="F810" s="83">
        <f>278.484-40-25-60-100</f>
        <v>53.48399999999998</v>
      </c>
      <c r="G810" s="86">
        <v>40</v>
      </c>
      <c r="H810" s="83">
        <f t="shared" si="134"/>
        <v>185</v>
      </c>
      <c r="I810" s="83">
        <f t="shared" si="124"/>
        <v>0</v>
      </c>
      <c r="J810" s="86">
        <v>100</v>
      </c>
      <c r="K810" s="86">
        <v>300</v>
      </c>
      <c r="L810" s="83">
        <f t="shared" si="128"/>
        <v>1274</v>
      </c>
      <c r="M810" s="94">
        <v>600</v>
      </c>
      <c r="N810" s="83">
        <f>30</f>
        <v>30</v>
      </c>
      <c r="O810" s="86">
        <v>240</v>
      </c>
      <c r="P810" s="86">
        <v>40</v>
      </c>
      <c r="Q810" s="86">
        <f t="shared" si="129"/>
        <v>315</v>
      </c>
      <c r="R810" s="86">
        <f t="shared" si="130"/>
        <v>100</v>
      </c>
      <c r="S810" s="83">
        <f t="shared" si="131"/>
        <v>695</v>
      </c>
      <c r="T810" s="83">
        <f>0</f>
        <v>0</v>
      </c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</row>
    <row r="811" spans="1:30" ht="15.75" x14ac:dyDescent="0.25">
      <c r="A811" s="13">
        <v>65623</v>
      </c>
      <c r="B811" s="95">
        <f t="shared" si="132"/>
        <v>31</v>
      </c>
      <c r="C811" s="83">
        <f>194.205</f>
        <v>194.20500000000001</v>
      </c>
      <c r="D811" s="83">
        <f>267.466</f>
        <v>267.46600000000001</v>
      </c>
      <c r="E811" s="92">
        <f>133.845</f>
        <v>133.845</v>
      </c>
      <c r="F811" s="83">
        <f>278.484-40-25-60-100</f>
        <v>53.48399999999998</v>
      </c>
      <c r="G811" s="86">
        <v>40</v>
      </c>
      <c r="H811" s="83">
        <f t="shared" si="134"/>
        <v>185</v>
      </c>
      <c r="I811" s="83">
        <f t="shared" si="124"/>
        <v>0</v>
      </c>
      <c r="J811" s="86">
        <v>100</v>
      </c>
      <c r="K811" s="86">
        <v>300</v>
      </c>
      <c r="L811" s="83">
        <f t="shared" si="128"/>
        <v>1274</v>
      </c>
      <c r="M811" s="94">
        <v>600</v>
      </c>
      <c r="N811" s="83">
        <f>30</f>
        <v>30</v>
      </c>
      <c r="O811" s="86">
        <v>240</v>
      </c>
      <c r="P811" s="86">
        <v>40</v>
      </c>
      <c r="Q811" s="86">
        <f t="shared" si="129"/>
        <v>315</v>
      </c>
      <c r="R811" s="86">
        <f t="shared" si="130"/>
        <v>100</v>
      </c>
      <c r="S811" s="83">
        <f t="shared" si="131"/>
        <v>695</v>
      </c>
      <c r="T811" s="83">
        <f>0</f>
        <v>0</v>
      </c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</row>
    <row r="812" spans="1:30" ht="15.75" x14ac:dyDescent="0.25">
      <c r="A812" s="13">
        <v>65653</v>
      </c>
      <c r="B812" s="95">
        <f t="shared" si="132"/>
        <v>30</v>
      </c>
      <c r="C812" s="83">
        <f>194.205</f>
        <v>194.20500000000001</v>
      </c>
      <c r="D812" s="83">
        <f>267.466</f>
        <v>267.46600000000001</v>
      </c>
      <c r="E812" s="92">
        <f>133.845</f>
        <v>133.845</v>
      </c>
      <c r="F812" s="83">
        <f>278.484-40-25-60-100</f>
        <v>53.48399999999998</v>
      </c>
      <c r="G812" s="86">
        <v>40</v>
      </c>
      <c r="H812" s="83">
        <f t="shared" si="134"/>
        <v>185</v>
      </c>
      <c r="I812" s="83">
        <f t="shared" si="124"/>
        <v>0</v>
      </c>
      <c r="J812" s="86">
        <v>100</v>
      </c>
      <c r="K812" s="86">
        <v>300</v>
      </c>
      <c r="L812" s="83">
        <f t="shared" si="128"/>
        <v>1274</v>
      </c>
      <c r="M812" s="94">
        <v>600</v>
      </c>
      <c r="N812" s="83">
        <f>30</f>
        <v>30</v>
      </c>
      <c r="O812" s="86">
        <v>240</v>
      </c>
      <c r="P812" s="86">
        <v>40</v>
      </c>
      <c r="Q812" s="86">
        <f t="shared" si="129"/>
        <v>315</v>
      </c>
      <c r="R812" s="86">
        <f t="shared" si="130"/>
        <v>100</v>
      </c>
      <c r="S812" s="83">
        <f t="shared" si="131"/>
        <v>695</v>
      </c>
      <c r="T812" s="83">
        <f>0</f>
        <v>0</v>
      </c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</row>
    <row r="813" spans="1:30" ht="15.75" x14ac:dyDescent="0.25">
      <c r="A813" s="13">
        <v>65684</v>
      </c>
      <c r="B813" s="95">
        <f t="shared" si="132"/>
        <v>31</v>
      </c>
      <c r="C813" s="83">
        <f>131.881</f>
        <v>131.881</v>
      </c>
      <c r="D813" s="83">
        <f>277.167</f>
        <v>277.16699999999997</v>
      </c>
      <c r="E813" s="92">
        <f>79.08</f>
        <v>79.08</v>
      </c>
      <c r="F813" s="83">
        <f>350.872-40-25-60-100</f>
        <v>125.87200000000001</v>
      </c>
      <c r="G813" s="86">
        <v>40</v>
      </c>
      <c r="H813" s="83">
        <f t="shared" si="134"/>
        <v>185</v>
      </c>
      <c r="I813" s="83">
        <f t="shared" si="124"/>
        <v>0</v>
      </c>
      <c r="J813" s="86">
        <v>100</v>
      </c>
      <c r="K813" s="86">
        <v>300</v>
      </c>
      <c r="L813" s="83">
        <f t="shared" si="128"/>
        <v>1239</v>
      </c>
      <c r="M813" s="94">
        <v>600</v>
      </c>
      <c r="N813" s="83">
        <f>75</f>
        <v>75</v>
      </c>
      <c r="O813" s="86">
        <v>240</v>
      </c>
      <c r="P813" s="86">
        <v>40</v>
      </c>
      <c r="Q813" s="86">
        <f t="shared" si="129"/>
        <v>315</v>
      </c>
      <c r="R813" s="86">
        <f t="shared" si="130"/>
        <v>100</v>
      </c>
      <c r="S813" s="83">
        <f t="shared" si="131"/>
        <v>695</v>
      </c>
      <c r="T813" s="83">
        <f>0</f>
        <v>0</v>
      </c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</row>
    <row r="814" spans="1:30" ht="15.75" x14ac:dyDescent="0.25">
      <c r="A814" s="13">
        <v>65714</v>
      </c>
      <c r="B814" s="95">
        <f t="shared" si="132"/>
        <v>30</v>
      </c>
      <c r="C814" s="83">
        <f>122.58</f>
        <v>122.58</v>
      </c>
      <c r="D814" s="83">
        <f>297.941</f>
        <v>297.94099999999997</v>
      </c>
      <c r="E814" s="92">
        <f>89.177</f>
        <v>89.177000000000007</v>
      </c>
      <c r="F814" s="83">
        <f>240.302-40-60-100</f>
        <v>40.301999999999992</v>
      </c>
      <c r="G814" s="86">
        <v>40</v>
      </c>
      <c r="H814" s="83">
        <f>60+100</f>
        <v>160</v>
      </c>
      <c r="I814" s="83">
        <f t="shared" si="124"/>
        <v>0</v>
      </c>
      <c r="J814" s="86">
        <v>100</v>
      </c>
      <c r="K814" s="86">
        <v>300</v>
      </c>
      <c r="L814" s="83">
        <f t="shared" si="128"/>
        <v>1150</v>
      </c>
      <c r="M814" s="94">
        <v>600</v>
      </c>
      <c r="N814" s="83">
        <f>100</f>
        <v>100</v>
      </c>
      <c r="O814" s="86">
        <v>240</v>
      </c>
      <c r="P814" s="86">
        <v>40</v>
      </c>
      <c r="Q814" s="86">
        <f t="shared" si="129"/>
        <v>315</v>
      </c>
      <c r="R814" s="86">
        <f t="shared" si="130"/>
        <v>100</v>
      </c>
      <c r="S814" s="83">
        <f t="shared" si="131"/>
        <v>695</v>
      </c>
      <c r="T814" s="83">
        <f>50</f>
        <v>50</v>
      </c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</row>
    <row r="815" spans="1:30" ht="15.75" x14ac:dyDescent="0.25">
      <c r="A815" s="13">
        <v>65745</v>
      </c>
      <c r="B815" s="95">
        <f t="shared" si="132"/>
        <v>31</v>
      </c>
      <c r="C815" s="83">
        <f>122.58</f>
        <v>122.58</v>
      </c>
      <c r="D815" s="83">
        <f>297.941</f>
        <v>297.94099999999997</v>
      </c>
      <c r="E815" s="92">
        <f>89.177</f>
        <v>89.177000000000007</v>
      </c>
      <c r="F815" s="83">
        <f>240.302-40-60-100</f>
        <v>40.301999999999992</v>
      </c>
      <c r="G815" s="86">
        <v>40</v>
      </c>
      <c r="H815" s="83">
        <f>60+100</f>
        <v>160</v>
      </c>
      <c r="I815" s="83">
        <f t="shared" si="124"/>
        <v>0</v>
      </c>
      <c r="J815" s="86">
        <v>100</v>
      </c>
      <c r="K815" s="86">
        <v>300</v>
      </c>
      <c r="L815" s="83">
        <f t="shared" si="128"/>
        <v>1150</v>
      </c>
      <c r="M815" s="94">
        <v>600</v>
      </c>
      <c r="N815" s="83">
        <f>100</f>
        <v>100</v>
      </c>
      <c r="O815" s="86">
        <v>240</v>
      </c>
      <c r="P815" s="86">
        <v>40</v>
      </c>
      <c r="Q815" s="86">
        <f t="shared" si="129"/>
        <v>315</v>
      </c>
      <c r="R815" s="86">
        <f t="shared" si="130"/>
        <v>100</v>
      </c>
      <c r="S815" s="83">
        <f t="shared" si="131"/>
        <v>695</v>
      </c>
      <c r="T815" s="83">
        <f>50</f>
        <v>50</v>
      </c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</row>
    <row r="816" spans="1:30" ht="15.75" x14ac:dyDescent="0.25">
      <c r="A816" s="13">
        <v>65776</v>
      </c>
      <c r="B816" s="95">
        <f t="shared" si="132"/>
        <v>31</v>
      </c>
      <c r="C816" s="83">
        <f>122.58</f>
        <v>122.58</v>
      </c>
      <c r="D816" s="83">
        <f>297.941</f>
        <v>297.94099999999997</v>
      </c>
      <c r="E816" s="92">
        <f>89.177</f>
        <v>89.177000000000007</v>
      </c>
      <c r="F816" s="83">
        <f>240.302-40-60-100</f>
        <v>40.301999999999992</v>
      </c>
      <c r="G816" s="86">
        <v>40</v>
      </c>
      <c r="H816" s="83">
        <f>60+100</f>
        <v>160</v>
      </c>
      <c r="I816" s="83">
        <f t="shared" si="124"/>
        <v>0</v>
      </c>
      <c r="J816" s="86">
        <v>100</v>
      </c>
      <c r="K816" s="86">
        <v>300</v>
      </c>
      <c r="L816" s="83">
        <f t="shared" si="128"/>
        <v>1150</v>
      </c>
      <c r="M816" s="94">
        <v>600</v>
      </c>
      <c r="N816" s="83">
        <f>100</f>
        <v>100</v>
      </c>
      <c r="O816" s="86">
        <v>240</v>
      </c>
      <c r="P816" s="86">
        <v>40</v>
      </c>
      <c r="Q816" s="86">
        <f t="shared" si="129"/>
        <v>315</v>
      </c>
      <c r="R816" s="86">
        <f t="shared" si="130"/>
        <v>100</v>
      </c>
      <c r="S816" s="83">
        <f t="shared" si="131"/>
        <v>695</v>
      </c>
      <c r="T816" s="83">
        <f>50</f>
        <v>50</v>
      </c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</row>
    <row r="817" spans="1:30" ht="15.75" x14ac:dyDescent="0.25">
      <c r="A817" s="13">
        <v>65805</v>
      </c>
      <c r="B817" s="95">
        <f t="shared" si="132"/>
        <v>29</v>
      </c>
      <c r="C817" s="83">
        <f>122.58</f>
        <v>122.58</v>
      </c>
      <c r="D817" s="83">
        <f>297.941</f>
        <v>297.94099999999997</v>
      </c>
      <c r="E817" s="92">
        <f>89.177</f>
        <v>89.177000000000007</v>
      </c>
      <c r="F817" s="83">
        <f>240.302-40-60-100</f>
        <v>40.301999999999992</v>
      </c>
      <c r="G817" s="86">
        <v>40</v>
      </c>
      <c r="H817" s="83">
        <f>60+100</f>
        <v>160</v>
      </c>
      <c r="I817" s="83">
        <f t="shared" si="124"/>
        <v>0</v>
      </c>
      <c r="J817" s="86">
        <v>100</v>
      </c>
      <c r="K817" s="86">
        <v>300</v>
      </c>
      <c r="L817" s="83">
        <f t="shared" si="128"/>
        <v>1150</v>
      </c>
      <c r="M817" s="94">
        <v>600</v>
      </c>
      <c r="N817" s="83">
        <f>100</f>
        <v>100</v>
      </c>
      <c r="O817" s="86">
        <v>240</v>
      </c>
      <c r="P817" s="86">
        <v>40</v>
      </c>
      <c r="Q817" s="86">
        <f t="shared" si="129"/>
        <v>315</v>
      </c>
      <c r="R817" s="86">
        <f t="shared" si="130"/>
        <v>100</v>
      </c>
      <c r="S817" s="83">
        <f t="shared" si="131"/>
        <v>695</v>
      </c>
      <c r="T817" s="83">
        <f>50</f>
        <v>50</v>
      </c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</row>
    <row r="818" spans="1:30" ht="15.75" x14ac:dyDescent="0.25">
      <c r="A818" s="13">
        <v>65836</v>
      </c>
      <c r="B818" s="95">
        <f t="shared" si="132"/>
        <v>31</v>
      </c>
      <c r="C818" s="83">
        <f>122.58</f>
        <v>122.58</v>
      </c>
      <c r="D818" s="83">
        <f>297.941</f>
        <v>297.94099999999997</v>
      </c>
      <c r="E818" s="92">
        <f>89.177</f>
        <v>89.177000000000007</v>
      </c>
      <c r="F818" s="83">
        <f>240.302-40-60-100</f>
        <v>40.301999999999992</v>
      </c>
      <c r="G818" s="86">
        <v>40</v>
      </c>
      <c r="H818" s="83">
        <f>60+100</f>
        <v>160</v>
      </c>
      <c r="I818" s="83">
        <f t="shared" si="124"/>
        <v>0</v>
      </c>
      <c r="J818" s="86">
        <v>100</v>
      </c>
      <c r="K818" s="86">
        <v>300</v>
      </c>
      <c r="L818" s="83">
        <f t="shared" si="128"/>
        <v>1150</v>
      </c>
      <c r="M818" s="94">
        <v>600</v>
      </c>
      <c r="N818" s="83">
        <f>100</f>
        <v>100</v>
      </c>
      <c r="O818" s="86">
        <v>240</v>
      </c>
      <c r="P818" s="86">
        <v>40</v>
      </c>
      <c r="Q818" s="86">
        <f t="shared" si="129"/>
        <v>315</v>
      </c>
      <c r="R818" s="86">
        <f t="shared" si="130"/>
        <v>100</v>
      </c>
      <c r="S818" s="83">
        <f t="shared" si="131"/>
        <v>695</v>
      </c>
      <c r="T818" s="83">
        <f>50</f>
        <v>50</v>
      </c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</row>
    <row r="819" spans="1:30" ht="15.75" x14ac:dyDescent="0.25">
      <c r="A819" s="13">
        <v>65866</v>
      </c>
      <c r="B819" s="95">
        <f t="shared" si="132"/>
        <v>30</v>
      </c>
      <c r="C819" s="83">
        <f>141.293</f>
        <v>141.29300000000001</v>
      </c>
      <c r="D819" s="83">
        <f>267.993</f>
        <v>267.99299999999999</v>
      </c>
      <c r="E819" s="92">
        <f>115.016</f>
        <v>115.01600000000001</v>
      </c>
      <c r="F819" s="83">
        <f>314.698-40-25-60-100</f>
        <v>89.697999999999979</v>
      </c>
      <c r="G819" s="86">
        <v>40</v>
      </c>
      <c r="H819" s="83">
        <f t="shared" ref="H819:H825" si="135">25+60+100</f>
        <v>185</v>
      </c>
      <c r="I819" s="83">
        <f t="shared" si="124"/>
        <v>0</v>
      </c>
      <c r="J819" s="86">
        <v>100</v>
      </c>
      <c r="K819" s="86">
        <v>300</v>
      </c>
      <c r="L819" s="83">
        <f t="shared" si="128"/>
        <v>1239</v>
      </c>
      <c r="M819" s="94">
        <v>600</v>
      </c>
      <c r="N819" s="83">
        <f>100</f>
        <v>100</v>
      </c>
      <c r="O819" s="86">
        <v>240</v>
      </c>
      <c r="P819" s="86">
        <v>40</v>
      </c>
      <c r="Q819" s="86">
        <f t="shared" si="129"/>
        <v>315</v>
      </c>
      <c r="R819" s="86">
        <f t="shared" si="130"/>
        <v>100</v>
      </c>
      <c r="S819" s="83">
        <f t="shared" si="131"/>
        <v>695</v>
      </c>
      <c r="T819" s="83">
        <f>50</f>
        <v>50</v>
      </c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</row>
    <row r="820" spans="1:30" ht="15.75" x14ac:dyDescent="0.25">
      <c r="A820" s="13">
        <v>65897</v>
      </c>
      <c r="B820" s="95">
        <f t="shared" si="132"/>
        <v>31</v>
      </c>
      <c r="C820" s="83">
        <f>194.205</f>
        <v>194.20500000000001</v>
      </c>
      <c r="D820" s="83">
        <f>267.466</f>
        <v>267.46600000000001</v>
      </c>
      <c r="E820" s="92">
        <f>133.845</f>
        <v>133.845</v>
      </c>
      <c r="F820" s="83">
        <f>278.484-40-25-60-100</f>
        <v>53.48399999999998</v>
      </c>
      <c r="G820" s="86">
        <v>40</v>
      </c>
      <c r="H820" s="83">
        <f t="shared" si="135"/>
        <v>185</v>
      </c>
      <c r="I820" s="83">
        <f t="shared" ref="I820:I883" si="136">400-J820-K820</f>
        <v>0</v>
      </c>
      <c r="J820" s="86">
        <v>100</v>
      </c>
      <c r="K820" s="86">
        <v>300</v>
      </c>
      <c r="L820" s="83">
        <f t="shared" si="128"/>
        <v>1274</v>
      </c>
      <c r="M820" s="94">
        <v>600</v>
      </c>
      <c r="N820" s="83">
        <f>75</f>
        <v>75</v>
      </c>
      <c r="O820" s="86">
        <v>240</v>
      </c>
      <c r="P820" s="86">
        <v>40</v>
      </c>
      <c r="Q820" s="86">
        <f t="shared" si="129"/>
        <v>315</v>
      </c>
      <c r="R820" s="86">
        <f t="shared" si="130"/>
        <v>100</v>
      </c>
      <c r="S820" s="83">
        <f t="shared" si="131"/>
        <v>695</v>
      </c>
      <c r="T820" s="83">
        <f>50</f>
        <v>50</v>
      </c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</row>
    <row r="821" spans="1:30" ht="15.75" x14ac:dyDescent="0.25">
      <c r="A821" s="13">
        <v>65927</v>
      </c>
      <c r="B821" s="95">
        <f t="shared" si="132"/>
        <v>30</v>
      </c>
      <c r="C821" s="83">
        <f>194.205</f>
        <v>194.20500000000001</v>
      </c>
      <c r="D821" s="83">
        <f>267.466</f>
        <v>267.46600000000001</v>
      </c>
      <c r="E821" s="92">
        <f>133.845</f>
        <v>133.845</v>
      </c>
      <c r="F821" s="83">
        <f>278.484-40-25-60-100</f>
        <v>53.48399999999998</v>
      </c>
      <c r="G821" s="86">
        <v>40</v>
      </c>
      <c r="H821" s="83">
        <f t="shared" si="135"/>
        <v>185</v>
      </c>
      <c r="I821" s="83">
        <f t="shared" si="136"/>
        <v>0</v>
      </c>
      <c r="J821" s="86">
        <v>100</v>
      </c>
      <c r="K821" s="86">
        <v>300</v>
      </c>
      <c r="L821" s="83">
        <f t="shared" si="128"/>
        <v>1274</v>
      </c>
      <c r="M821" s="94">
        <v>600</v>
      </c>
      <c r="N821" s="83">
        <f>30</f>
        <v>30</v>
      </c>
      <c r="O821" s="86">
        <v>240</v>
      </c>
      <c r="P821" s="86">
        <v>40</v>
      </c>
      <c r="Q821" s="86">
        <f t="shared" si="129"/>
        <v>315</v>
      </c>
      <c r="R821" s="86">
        <f t="shared" si="130"/>
        <v>100</v>
      </c>
      <c r="S821" s="83">
        <f t="shared" si="131"/>
        <v>695</v>
      </c>
      <c r="T821" s="83">
        <f>50</f>
        <v>50</v>
      </c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</row>
    <row r="822" spans="1:30" ht="15.75" x14ac:dyDescent="0.25">
      <c r="A822" s="13">
        <v>65958</v>
      </c>
      <c r="B822" s="95">
        <f t="shared" si="132"/>
        <v>31</v>
      </c>
      <c r="C822" s="83">
        <f>194.205</f>
        <v>194.20500000000001</v>
      </c>
      <c r="D822" s="83">
        <f>267.466</f>
        <v>267.46600000000001</v>
      </c>
      <c r="E822" s="92">
        <f>133.845</f>
        <v>133.845</v>
      </c>
      <c r="F822" s="83">
        <f>278.484-40-25-60-100</f>
        <v>53.48399999999998</v>
      </c>
      <c r="G822" s="86">
        <v>40</v>
      </c>
      <c r="H822" s="83">
        <f t="shared" si="135"/>
        <v>185</v>
      </c>
      <c r="I822" s="83">
        <f t="shared" si="136"/>
        <v>0</v>
      </c>
      <c r="J822" s="86">
        <v>100</v>
      </c>
      <c r="K822" s="86">
        <v>300</v>
      </c>
      <c r="L822" s="83">
        <f t="shared" si="128"/>
        <v>1274</v>
      </c>
      <c r="M822" s="94">
        <v>600</v>
      </c>
      <c r="N822" s="83">
        <f>30</f>
        <v>30</v>
      </c>
      <c r="O822" s="86">
        <v>240</v>
      </c>
      <c r="P822" s="86">
        <v>40</v>
      </c>
      <c r="Q822" s="86">
        <f t="shared" si="129"/>
        <v>315</v>
      </c>
      <c r="R822" s="86">
        <f t="shared" si="130"/>
        <v>100</v>
      </c>
      <c r="S822" s="83">
        <f t="shared" si="131"/>
        <v>695</v>
      </c>
      <c r="T822" s="83">
        <f>0</f>
        <v>0</v>
      </c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</row>
    <row r="823" spans="1:30" ht="15.75" x14ac:dyDescent="0.25">
      <c r="A823" s="13">
        <v>65989</v>
      </c>
      <c r="B823" s="95">
        <f t="shared" si="132"/>
        <v>31</v>
      </c>
      <c r="C823" s="83">
        <f>194.205</f>
        <v>194.20500000000001</v>
      </c>
      <c r="D823" s="83">
        <f>267.466</f>
        <v>267.46600000000001</v>
      </c>
      <c r="E823" s="92">
        <f>133.845</f>
        <v>133.845</v>
      </c>
      <c r="F823" s="83">
        <f>278.484-40-25-60-100</f>
        <v>53.48399999999998</v>
      </c>
      <c r="G823" s="86">
        <v>40</v>
      </c>
      <c r="H823" s="83">
        <f t="shared" si="135"/>
        <v>185</v>
      </c>
      <c r="I823" s="83">
        <f t="shared" si="136"/>
        <v>0</v>
      </c>
      <c r="J823" s="86">
        <v>100</v>
      </c>
      <c r="K823" s="86">
        <v>300</v>
      </c>
      <c r="L823" s="83">
        <f t="shared" si="128"/>
        <v>1274</v>
      </c>
      <c r="M823" s="94">
        <v>600</v>
      </c>
      <c r="N823" s="83">
        <f>30</f>
        <v>30</v>
      </c>
      <c r="O823" s="86">
        <v>240</v>
      </c>
      <c r="P823" s="86">
        <v>40</v>
      </c>
      <c r="Q823" s="86">
        <f t="shared" si="129"/>
        <v>315</v>
      </c>
      <c r="R823" s="86">
        <f t="shared" si="130"/>
        <v>100</v>
      </c>
      <c r="S823" s="83">
        <f t="shared" si="131"/>
        <v>695</v>
      </c>
      <c r="T823" s="83">
        <f>0</f>
        <v>0</v>
      </c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</row>
    <row r="824" spans="1:30" ht="15.75" x14ac:dyDescent="0.25">
      <c r="A824" s="13">
        <v>66019</v>
      </c>
      <c r="B824" s="95">
        <f t="shared" si="132"/>
        <v>30</v>
      </c>
      <c r="C824" s="83">
        <f>194.205</f>
        <v>194.20500000000001</v>
      </c>
      <c r="D824" s="83">
        <f>267.466</f>
        <v>267.46600000000001</v>
      </c>
      <c r="E824" s="92">
        <f>133.845</f>
        <v>133.845</v>
      </c>
      <c r="F824" s="83">
        <f>278.484-40-25-60-100</f>
        <v>53.48399999999998</v>
      </c>
      <c r="G824" s="86">
        <v>40</v>
      </c>
      <c r="H824" s="83">
        <f t="shared" si="135"/>
        <v>185</v>
      </c>
      <c r="I824" s="83">
        <f t="shared" si="136"/>
        <v>0</v>
      </c>
      <c r="J824" s="86">
        <v>100</v>
      </c>
      <c r="K824" s="86">
        <v>300</v>
      </c>
      <c r="L824" s="83">
        <f t="shared" si="128"/>
        <v>1274</v>
      </c>
      <c r="M824" s="94">
        <v>600</v>
      </c>
      <c r="N824" s="83">
        <f>30</f>
        <v>30</v>
      </c>
      <c r="O824" s="86">
        <v>240</v>
      </c>
      <c r="P824" s="86">
        <v>40</v>
      </c>
      <c r="Q824" s="86">
        <f t="shared" si="129"/>
        <v>315</v>
      </c>
      <c r="R824" s="86">
        <f t="shared" si="130"/>
        <v>100</v>
      </c>
      <c r="S824" s="83">
        <f t="shared" si="131"/>
        <v>695</v>
      </c>
      <c r="T824" s="83">
        <f>0</f>
        <v>0</v>
      </c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</row>
    <row r="825" spans="1:30" ht="15.75" x14ac:dyDescent="0.25">
      <c r="A825" s="13">
        <v>66050</v>
      </c>
      <c r="B825" s="95">
        <f t="shared" si="132"/>
        <v>31</v>
      </c>
      <c r="C825" s="83">
        <f>131.881</f>
        <v>131.881</v>
      </c>
      <c r="D825" s="83">
        <f>277.167</f>
        <v>277.16699999999997</v>
      </c>
      <c r="E825" s="92">
        <f>79.08</f>
        <v>79.08</v>
      </c>
      <c r="F825" s="83">
        <f>350.872-40-25-60-100</f>
        <v>125.87200000000001</v>
      </c>
      <c r="G825" s="86">
        <v>40</v>
      </c>
      <c r="H825" s="83">
        <f t="shared" si="135"/>
        <v>185</v>
      </c>
      <c r="I825" s="83">
        <f t="shared" si="136"/>
        <v>0</v>
      </c>
      <c r="J825" s="86">
        <v>100</v>
      </c>
      <c r="K825" s="86">
        <v>300</v>
      </c>
      <c r="L825" s="83">
        <f t="shared" si="128"/>
        <v>1239</v>
      </c>
      <c r="M825" s="94">
        <v>600</v>
      </c>
      <c r="N825" s="83">
        <f>75</f>
        <v>75</v>
      </c>
      <c r="O825" s="86">
        <v>240</v>
      </c>
      <c r="P825" s="86">
        <v>40</v>
      </c>
      <c r="Q825" s="86">
        <f t="shared" si="129"/>
        <v>315</v>
      </c>
      <c r="R825" s="86">
        <f t="shared" si="130"/>
        <v>100</v>
      </c>
      <c r="S825" s="83">
        <f t="shared" si="131"/>
        <v>695</v>
      </c>
      <c r="T825" s="83">
        <f>0</f>
        <v>0</v>
      </c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</row>
    <row r="826" spans="1:30" ht="15.75" x14ac:dyDescent="0.25">
      <c r="A826" s="13">
        <v>66080</v>
      </c>
      <c r="B826" s="95">
        <f t="shared" si="132"/>
        <v>30</v>
      </c>
      <c r="C826" s="83">
        <f>122.58</f>
        <v>122.58</v>
      </c>
      <c r="D826" s="83">
        <f>297.941</f>
        <v>297.94099999999997</v>
      </c>
      <c r="E826" s="92">
        <f>89.177</f>
        <v>89.177000000000007</v>
      </c>
      <c r="F826" s="83">
        <f>240.302-40-60-100</f>
        <v>40.301999999999992</v>
      </c>
      <c r="G826" s="86">
        <v>40</v>
      </c>
      <c r="H826" s="83">
        <f>60+100</f>
        <v>160</v>
      </c>
      <c r="I826" s="83">
        <f t="shared" si="136"/>
        <v>0</v>
      </c>
      <c r="J826" s="86">
        <v>100</v>
      </c>
      <c r="K826" s="86">
        <v>300</v>
      </c>
      <c r="L826" s="83">
        <f t="shared" si="128"/>
        <v>1150</v>
      </c>
      <c r="M826" s="94">
        <v>600</v>
      </c>
      <c r="N826" s="83">
        <f>100</f>
        <v>100</v>
      </c>
      <c r="O826" s="86">
        <v>240</v>
      </c>
      <c r="P826" s="86">
        <v>40</v>
      </c>
      <c r="Q826" s="86">
        <f t="shared" si="129"/>
        <v>315</v>
      </c>
      <c r="R826" s="86">
        <f t="shared" si="130"/>
        <v>100</v>
      </c>
      <c r="S826" s="83">
        <f t="shared" si="131"/>
        <v>695</v>
      </c>
      <c r="T826" s="83">
        <f>50</f>
        <v>50</v>
      </c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</row>
    <row r="827" spans="1:30" ht="15.75" x14ac:dyDescent="0.25">
      <c r="A827" s="13">
        <v>66111</v>
      </c>
      <c r="B827" s="95">
        <f t="shared" si="132"/>
        <v>31</v>
      </c>
      <c r="C827" s="83">
        <f>122.58</f>
        <v>122.58</v>
      </c>
      <c r="D827" s="83">
        <f>297.941</f>
        <v>297.94099999999997</v>
      </c>
      <c r="E827" s="92">
        <f>89.177</f>
        <v>89.177000000000007</v>
      </c>
      <c r="F827" s="83">
        <f>240.302-40-60-100</f>
        <v>40.301999999999992</v>
      </c>
      <c r="G827" s="86">
        <v>40</v>
      </c>
      <c r="H827" s="83">
        <f>60+100</f>
        <v>160</v>
      </c>
      <c r="I827" s="83">
        <f t="shared" si="136"/>
        <v>0</v>
      </c>
      <c r="J827" s="86">
        <v>100</v>
      </c>
      <c r="K827" s="86">
        <v>300</v>
      </c>
      <c r="L827" s="83">
        <f t="shared" si="128"/>
        <v>1150</v>
      </c>
      <c r="M827" s="94">
        <v>600</v>
      </c>
      <c r="N827" s="83">
        <f>100</f>
        <v>100</v>
      </c>
      <c r="O827" s="86">
        <v>240</v>
      </c>
      <c r="P827" s="86">
        <v>40</v>
      </c>
      <c r="Q827" s="86">
        <f t="shared" si="129"/>
        <v>315</v>
      </c>
      <c r="R827" s="86">
        <f t="shared" si="130"/>
        <v>100</v>
      </c>
      <c r="S827" s="83">
        <f t="shared" si="131"/>
        <v>695</v>
      </c>
      <c r="T827" s="83">
        <f>50</f>
        <v>50</v>
      </c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</row>
    <row r="828" spans="1:30" ht="15.75" x14ac:dyDescent="0.25">
      <c r="A828" s="13">
        <v>66142</v>
      </c>
      <c r="B828" s="95">
        <f t="shared" si="132"/>
        <v>31</v>
      </c>
      <c r="C828" s="83">
        <f>122.58</f>
        <v>122.58</v>
      </c>
      <c r="D828" s="83">
        <f>297.941</f>
        <v>297.94099999999997</v>
      </c>
      <c r="E828" s="92">
        <f>89.177</f>
        <v>89.177000000000007</v>
      </c>
      <c r="F828" s="83">
        <f>240.302-40-60-100</f>
        <v>40.301999999999992</v>
      </c>
      <c r="G828" s="86">
        <v>40</v>
      </c>
      <c r="H828" s="83">
        <f>60+100</f>
        <v>160</v>
      </c>
      <c r="I828" s="83">
        <f t="shared" si="136"/>
        <v>0</v>
      </c>
      <c r="J828" s="86">
        <v>100</v>
      </c>
      <c r="K828" s="86">
        <v>300</v>
      </c>
      <c r="L828" s="83">
        <f t="shared" si="128"/>
        <v>1150</v>
      </c>
      <c r="M828" s="94">
        <v>600</v>
      </c>
      <c r="N828" s="83">
        <f>100</f>
        <v>100</v>
      </c>
      <c r="O828" s="86">
        <v>240</v>
      </c>
      <c r="P828" s="86">
        <v>40</v>
      </c>
      <c r="Q828" s="86">
        <f t="shared" si="129"/>
        <v>315</v>
      </c>
      <c r="R828" s="86">
        <f t="shared" si="130"/>
        <v>100</v>
      </c>
      <c r="S828" s="83">
        <f t="shared" si="131"/>
        <v>695</v>
      </c>
      <c r="T828" s="83">
        <f>50</f>
        <v>50</v>
      </c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</row>
    <row r="829" spans="1:30" ht="15.75" x14ac:dyDescent="0.25">
      <c r="A829" s="13">
        <v>66170</v>
      </c>
      <c r="B829" s="95">
        <f t="shared" si="132"/>
        <v>28</v>
      </c>
      <c r="C829" s="83">
        <f>122.58</f>
        <v>122.58</v>
      </c>
      <c r="D829" s="83">
        <f>297.941</f>
        <v>297.94099999999997</v>
      </c>
      <c r="E829" s="92">
        <f>89.177</f>
        <v>89.177000000000007</v>
      </c>
      <c r="F829" s="83">
        <f>240.302-40-60-100</f>
        <v>40.301999999999992</v>
      </c>
      <c r="G829" s="86">
        <v>40</v>
      </c>
      <c r="H829" s="83">
        <f>60+100</f>
        <v>160</v>
      </c>
      <c r="I829" s="83">
        <f t="shared" si="136"/>
        <v>0</v>
      </c>
      <c r="J829" s="86">
        <v>100</v>
      </c>
      <c r="K829" s="86">
        <v>300</v>
      </c>
      <c r="L829" s="83">
        <f t="shared" si="128"/>
        <v>1150</v>
      </c>
      <c r="M829" s="94">
        <v>600</v>
      </c>
      <c r="N829" s="83">
        <f>100</f>
        <v>100</v>
      </c>
      <c r="O829" s="86">
        <v>240</v>
      </c>
      <c r="P829" s="86">
        <v>40</v>
      </c>
      <c r="Q829" s="86">
        <f t="shared" si="129"/>
        <v>315</v>
      </c>
      <c r="R829" s="86">
        <f t="shared" si="130"/>
        <v>100</v>
      </c>
      <c r="S829" s="83">
        <f t="shared" si="131"/>
        <v>695</v>
      </c>
      <c r="T829" s="83">
        <f>50</f>
        <v>50</v>
      </c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</row>
    <row r="830" spans="1:30" ht="15.75" x14ac:dyDescent="0.25">
      <c r="A830" s="13">
        <v>66201</v>
      </c>
      <c r="B830" s="95">
        <f t="shared" si="132"/>
        <v>31</v>
      </c>
      <c r="C830" s="83">
        <f>122.58</f>
        <v>122.58</v>
      </c>
      <c r="D830" s="83">
        <f>297.941</f>
        <v>297.94099999999997</v>
      </c>
      <c r="E830" s="92">
        <f>89.177</f>
        <v>89.177000000000007</v>
      </c>
      <c r="F830" s="83">
        <f>240.302-40-60-100</f>
        <v>40.301999999999992</v>
      </c>
      <c r="G830" s="86">
        <v>40</v>
      </c>
      <c r="H830" s="83">
        <f>60+100</f>
        <v>160</v>
      </c>
      <c r="I830" s="83">
        <f t="shared" si="136"/>
        <v>0</v>
      </c>
      <c r="J830" s="86">
        <v>100</v>
      </c>
      <c r="K830" s="86">
        <v>300</v>
      </c>
      <c r="L830" s="83">
        <f t="shared" si="128"/>
        <v>1150</v>
      </c>
      <c r="M830" s="94">
        <v>600</v>
      </c>
      <c r="N830" s="83">
        <f>100</f>
        <v>100</v>
      </c>
      <c r="O830" s="86">
        <v>240</v>
      </c>
      <c r="P830" s="86">
        <v>40</v>
      </c>
      <c r="Q830" s="86">
        <f t="shared" si="129"/>
        <v>315</v>
      </c>
      <c r="R830" s="86">
        <f t="shared" si="130"/>
        <v>100</v>
      </c>
      <c r="S830" s="83">
        <f t="shared" si="131"/>
        <v>695</v>
      </c>
      <c r="T830" s="83">
        <f>50</f>
        <v>50</v>
      </c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</row>
    <row r="831" spans="1:30" ht="15.75" x14ac:dyDescent="0.25">
      <c r="A831" s="13">
        <v>66231</v>
      </c>
      <c r="B831" s="95">
        <f t="shared" si="132"/>
        <v>30</v>
      </c>
      <c r="C831" s="83">
        <f>141.293</f>
        <v>141.29300000000001</v>
      </c>
      <c r="D831" s="83">
        <f>267.993</f>
        <v>267.99299999999999</v>
      </c>
      <c r="E831" s="92">
        <f>115.016</f>
        <v>115.01600000000001</v>
      </c>
      <c r="F831" s="83">
        <f>314.698-40-25-60-100</f>
        <v>89.697999999999979</v>
      </c>
      <c r="G831" s="86">
        <v>40</v>
      </c>
      <c r="H831" s="83">
        <f t="shared" ref="H831:H837" si="137">25+60+100</f>
        <v>185</v>
      </c>
      <c r="I831" s="83">
        <f t="shared" si="136"/>
        <v>0</v>
      </c>
      <c r="J831" s="86">
        <v>100</v>
      </c>
      <c r="K831" s="86">
        <v>300</v>
      </c>
      <c r="L831" s="83">
        <f t="shared" si="128"/>
        <v>1239</v>
      </c>
      <c r="M831" s="94">
        <v>600</v>
      </c>
      <c r="N831" s="83">
        <f>100</f>
        <v>100</v>
      </c>
      <c r="O831" s="86">
        <v>240</v>
      </c>
      <c r="P831" s="86">
        <v>40</v>
      </c>
      <c r="Q831" s="86">
        <f t="shared" si="129"/>
        <v>315</v>
      </c>
      <c r="R831" s="86">
        <f t="shared" si="130"/>
        <v>100</v>
      </c>
      <c r="S831" s="83">
        <f t="shared" si="131"/>
        <v>695</v>
      </c>
      <c r="T831" s="83">
        <f>50</f>
        <v>50</v>
      </c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</row>
    <row r="832" spans="1:30" ht="15.75" x14ac:dyDescent="0.25">
      <c r="A832" s="13">
        <v>66262</v>
      </c>
      <c r="B832" s="95">
        <f t="shared" si="132"/>
        <v>31</v>
      </c>
      <c r="C832" s="83">
        <f>194.205</f>
        <v>194.20500000000001</v>
      </c>
      <c r="D832" s="83">
        <f>267.466</f>
        <v>267.46600000000001</v>
      </c>
      <c r="E832" s="92">
        <f>133.845</f>
        <v>133.845</v>
      </c>
      <c r="F832" s="83">
        <f>278.484-40-25-60-100</f>
        <v>53.48399999999998</v>
      </c>
      <c r="G832" s="86">
        <v>40</v>
      </c>
      <c r="H832" s="83">
        <f t="shared" si="137"/>
        <v>185</v>
      </c>
      <c r="I832" s="83">
        <f t="shared" si="136"/>
        <v>0</v>
      </c>
      <c r="J832" s="86">
        <v>100</v>
      </c>
      <c r="K832" s="86">
        <v>300</v>
      </c>
      <c r="L832" s="83">
        <f t="shared" si="128"/>
        <v>1274</v>
      </c>
      <c r="M832" s="94">
        <v>600</v>
      </c>
      <c r="N832" s="83">
        <f>75</f>
        <v>75</v>
      </c>
      <c r="O832" s="86">
        <v>240</v>
      </c>
      <c r="P832" s="86">
        <v>40</v>
      </c>
      <c r="Q832" s="86">
        <f t="shared" si="129"/>
        <v>315</v>
      </c>
      <c r="R832" s="86">
        <f t="shared" si="130"/>
        <v>100</v>
      </c>
      <c r="S832" s="83">
        <f t="shared" si="131"/>
        <v>695</v>
      </c>
      <c r="T832" s="83">
        <f>50</f>
        <v>50</v>
      </c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</row>
    <row r="833" spans="1:30" ht="15.75" x14ac:dyDescent="0.25">
      <c r="A833" s="13">
        <v>66292</v>
      </c>
      <c r="B833" s="95">
        <f t="shared" si="132"/>
        <v>30</v>
      </c>
      <c r="C833" s="83">
        <f>194.205</f>
        <v>194.20500000000001</v>
      </c>
      <c r="D833" s="83">
        <f>267.466</f>
        <v>267.46600000000001</v>
      </c>
      <c r="E833" s="92">
        <f>133.845</f>
        <v>133.845</v>
      </c>
      <c r="F833" s="83">
        <f>278.484-40-25-60-100</f>
        <v>53.48399999999998</v>
      </c>
      <c r="G833" s="86">
        <v>40</v>
      </c>
      <c r="H833" s="83">
        <f t="shared" si="137"/>
        <v>185</v>
      </c>
      <c r="I833" s="83">
        <f t="shared" si="136"/>
        <v>0</v>
      </c>
      <c r="J833" s="86">
        <v>100</v>
      </c>
      <c r="K833" s="86">
        <v>300</v>
      </c>
      <c r="L833" s="83">
        <f t="shared" si="128"/>
        <v>1274</v>
      </c>
      <c r="M833" s="94">
        <v>600</v>
      </c>
      <c r="N833" s="83">
        <f>30</f>
        <v>30</v>
      </c>
      <c r="O833" s="86">
        <v>240</v>
      </c>
      <c r="P833" s="86">
        <v>40</v>
      </c>
      <c r="Q833" s="86">
        <f t="shared" si="129"/>
        <v>315</v>
      </c>
      <c r="R833" s="86">
        <f t="shared" si="130"/>
        <v>100</v>
      </c>
      <c r="S833" s="83">
        <f t="shared" si="131"/>
        <v>695</v>
      </c>
      <c r="T833" s="83">
        <f>50</f>
        <v>50</v>
      </c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</row>
    <row r="834" spans="1:30" ht="15.75" x14ac:dyDescent="0.25">
      <c r="A834" s="13">
        <v>66323</v>
      </c>
      <c r="B834" s="95">
        <f t="shared" si="132"/>
        <v>31</v>
      </c>
      <c r="C834" s="83">
        <f>194.205</f>
        <v>194.20500000000001</v>
      </c>
      <c r="D834" s="83">
        <f>267.466</f>
        <v>267.46600000000001</v>
      </c>
      <c r="E834" s="92">
        <f>133.845</f>
        <v>133.845</v>
      </c>
      <c r="F834" s="83">
        <f>278.484-40-25-60-100</f>
        <v>53.48399999999998</v>
      </c>
      <c r="G834" s="86">
        <v>40</v>
      </c>
      <c r="H834" s="83">
        <f t="shared" si="137"/>
        <v>185</v>
      </c>
      <c r="I834" s="83">
        <f t="shared" si="136"/>
        <v>0</v>
      </c>
      <c r="J834" s="86">
        <v>100</v>
      </c>
      <c r="K834" s="86">
        <v>300</v>
      </c>
      <c r="L834" s="83">
        <f t="shared" si="128"/>
        <v>1274</v>
      </c>
      <c r="M834" s="94">
        <v>600</v>
      </c>
      <c r="N834" s="83">
        <f>30</f>
        <v>30</v>
      </c>
      <c r="O834" s="86">
        <v>240</v>
      </c>
      <c r="P834" s="86">
        <v>40</v>
      </c>
      <c r="Q834" s="86">
        <f t="shared" si="129"/>
        <v>315</v>
      </c>
      <c r="R834" s="86">
        <f t="shared" si="130"/>
        <v>100</v>
      </c>
      <c r="S834" s="83">
        <f t="shared" si="131"/>
        <v>695</v>
      </c>
      <c r="T834" s="83">
        <f>0</f>
        <v>0</v>
      </c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</row>
    <row r="835" spans="1:30" ht="15.75" x14ac:dyDescent="0.25">
      <c r="A835" s="13">
        <v>66354</v>
      </c>
      <c r="B835" s="95">
        <f t="shared" si="132"/>
        <v>31</v>
      </c>
      <c r="C835" s="83">
        <f>194.205</f>
        <v>194.20500000000001</v>
      </c>
      <c r="D835" s="83">
        <f>267.466</f>
        <v>267.46600000000001</v>
      </c>
      <c r="E835" s="92">
        <f>133.845</f>
        <v>133.845</v>
      </c>
      <c r="F835" s="83">
        <f>278.484-40-25-60-100</f>
        <v>53.48399999999998</v>
      </c>
      <c r="G835" s="86">
        <v>40</v>
      </c>
      <c r="H835" s="83">
        <f t="shared" si="137"/>
        <v>185</v>
      </c>
      <c r="I835" s="83">
        <f t="shared" si="136"/>
        <v>0</v>
      </c>
      <c r="J835" s="86">
        <v>100</v>
      </c>
      <c r="K835" s="86">
        <v>300</v>
      </c>
      <c r="L835" s="83">
        <f t="shared" si="128"/>
        <v>1274</v>
      </c>
      <c r="M835" s="94">
        <v>600</v>
      </c>
      <c r="N835" s="83">
        <f>30</f>
        <v>30</v>
      </c>
      <c r="O835" s="86">
        <v>240</v>
      </c>
      <c r="P835" s="86">
        <v>40</v>
      </c>
      <c r="Q835" s="86">
        <f t="shared" si="129"/>
        <v>315</v>
      </c>
      <c r="R835" s="86">
        <f t="shared" si="130"/>
        <v>100</v>
      </c>
      <c r="S835" s="83">
        <f t="shared" si="131"/>
        <v>695</v>
      </c>
      <c r="T835" s="83">
        <f>0</f>
        <v>0</v>
      </c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</row>
    <row r="836" spans="1:30" ht="15.75" x14ac:dyDescent="0.25">
      <c r="A836" s="13">
        <v>66384</v>
      </c>
      <c r="B836" s="95">
        <f t="shared" si="132"/>
        <v>30</v>
      </c>
      <c r="C836" s="83">
        <f>194.205</f>
        <v>194.20500000000001</v>
      </c>
      <c r="D836" s="83">
        <f>267.466</f>
        <v>267.46600000000001</v>
      </c>
      <c r="E836" s="92">
        <f>133.845</f>
        <v>133.845</v>
      </c>
      <c r="F836" s="83">
        <f>278.484-40-25-60-100</f>
        <v>53.48399999999998</v>
      </c>
      <c r="G836" s="86">
        <v>40</v>
      </c>
      <c r="H836" s="83">
        <f t="shared" si="137"/>
        <v>185</v>
      </c>
      <c r="I836" s="83">
        <f t="shared" si="136"/>
        <v>0</v>
      </c>
      <c r="J836" s="86">
        <v>100</v>
      </c>
      <c r="K836" s="86">
        <v>300</v>
      </c>
      <c r="L836" s="83">
        <f t="shared" si="128"/>
        <v>1274</v>
      </c>
      <c r="M836" s="94">
        <v>600</v>
      </c>
      <c r="N836" s="83">
        <f>30</f>
        <v>30</v>
      </c>
      <c r="O836" s="86">
        <v>240</v>
      </c>
      <c r="P836" s="86">
        <v>40</v>
      </c>
      <c r="Q836" s="86">
        <f t="shared" si="129"/>
        <v>315</v>
      </c>
      <c r="R836" s="86">
        <f t="shared" si="130"/>
        <v>100</v>
      </c>
      <c r="S836" s="83">
        <f t="shared" si="131"/>
        <v>695</v>
      </c>
      <c r="T836" s="83">
        <f>0</f>
        <v>0</v>
      </c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</row>
    <row r="837" spans="1:30" ht="15.75" x14ac:dyDescent="0.25">
      <c r="A837" s="13">
        <v>66415</v>
      </c>
      <c r="B837" s="95">
        <f t="shared" si="132"/>
        <v>31</v>
      </c>
      <c r="C837" s="83">
        <f>131.881</f>
        <v>131.881</v>
      </c>
      <c r="D837" s="83">
        <f>277.167</f>
        <v>277.16699999999997</v>
      </c>
      <c r="E837" s="92">
        <f>79.08</f>
        <v>79.08</v>
      </c>
      <c r="F837" s="83">
        <f>350.872-40-25-60-100</f>
        <v>125.87200000000001</v>
      </c>
      <c r="G837" s="86">
        <v>40</v>
      </c>
      <c r="H837" s="83">
        <f t="shared" si="137"/>
        <v>185</v>
      </c>
      <c r="I837" s="83">
        <f t="shared" si="136"/>
        <v>0</v>
      </c>
      <c r="J837" s="86">
        <v>100</v>
      </c>
      <c r="K837" s="86">
        <v>300</v>
      </c>
      <c r="L837" s="83">
        <f t="shared" si="128"/>
        <v>1239</v>
      </c>
      <c r="M837" s="94">
        <v>600</v>
      </c>
      <c r="N837" s="83">
        <f>75</f>
        <v>75</v>
      </c>
      <c r="O837" s="86">
        <v>240</v>
      </c>
      <c r="P837" s="86">
        <v>40</v>
      </c>
      <c r="Q837" s="86">
        <f t="shared" si="129"/>
        <v>315</v>
      </c>
      <c r="R837" s="86">
        <f t="shared" si="130"/>
        <v>100</v>
      </c>
      <c r="S837" s="83">
        <f t="shared" si="131"/>
        <v>695</v>
      </c>
      <c r="T837" s="83">
        <f>0</f>
        <v>0</v>
      </c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</row>
    <row r="838" spans="1:30" ht="15.75" x14ac:dyDescent="0.25">
      <c r="A838" s="13">
        <v>66445</v>
      </c>
      <c r="B838" s="95">
        <f t="shared" si="132"/>
        <v>30</v>
      </c>
      <c r="C838" s="83">
        <f>122.58</f>
        <v>122.58</v>
      </c>
      <c r="D838" s="83">
        <f>297.941</f>
        <v>297.94099999999997</v>
      </c>
      <c r="E838" s="92">
        <f>89.177</f>
        <v>89.177000000000007</v>
      </c>
      <c r="F838" s="83">
        <f>240.302-40-60-100</f>
        <v>40.301999999999992</v>
      </c>
      <c r="G838" s="86">
        <v>40</v>
      </c>
      <c r="H838" s="83">
        <f>60+100</f>
        <v>160</v>
      </c>
      <c r="I838" s="83">
        <f t="shared" si="136"/>
        <v>0</v>
      </c>
      <c r="J838" s="86">
        <v>100</v>
      </c>
      <c r="K838" s="86">
        <v>300</v>
      </c>
      <c r="L838" s="83">
        <f t="shared" si="128"/>
        <v>1150</v>
      </c>
      <c r="M838" s="94">
        <v>600</v>
      </c>
      <c r="N838" s="83">
        <f>100</f>
        <v>100</v>
      </c>
      <c r="O838" s="86">
        <v>240</v>
      </c>
      <c r="P838" s="86">
        <v>40</v>
      </c>
      <c r="Q838" s="86">
        <f t="shared" si="129"/>
        <v>315</v>
      </c>
      <c r="R838" s="86">
        <f t="shared" si="130"/>
        <v>100</v>
      </c>
      <c r="S838" s="83">
        <f t="shared" si="131"/>
        <v>695</v>
      </c>
      <c r="T838" s="83">
        <f>50</f>
        <v>50</v>
      </c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</row>
    <row r="839" spans="1:30" ht="15.75" x14ac:dyDescent="0.25">
      <c r="A839" s="13">
        <v>66476</v>
      </c>
      <c r="B839" s="95">
        <f t="shared" si="132"/>
        <v>31</v>
      </c>
      <c r="C839" s="83">
        <f>122.58</f>
        <v>122.58</v>
      </c>
      <c r="D839" s="83">
        <f>297.941</f>
        <v>297.94099999999997</v>
      </c>
      <c r="E839" s="92">
        <f>89.177</f>
        <v>89.177000000000007</v>
      </c>
      <c r="F839" s="83">
        <f>240.302-40-60-100</f>
        <v>40.301999999999992</v>
      </c>
      <c r="G839" s="86">
        <v>40</v>
      </c>
      <c r="H839" s="83">
        <f>60+100</f>
        <v>160</v>
      </c>
      <c r="I839" s="83">
        <f t="shared" si="136"/>
        <v>0</v>
      </c>
      <c r="J839" s="86">
        <v>100</v>
      </c>
      <c r="K839" s="86">
        <v>300</v>
      </c>
      <c r="L839" s="83">
        <f t="shared" si="128"/>
        <v>1150</v>
      </c>
      <c r="M839" s="94">
        <v>600</v>
      </c>
      <c r="N839" s="83">
        <f>100</f>
        <v>100</v>
      </c>
      <c r="O839" s="86">
        <v>240</v>
      </c>
      <c r="P839" s="86">
        <v>40</v>
      </c>
      <c r="Q839" s="86">
        <f t="shared" si="129"/>
        <v>315</v>
      </c>
      <c r="R839" s="86">
        <f t="shared" si="130"/>
        <v>100</v>
      </c>
      <c r="S839" s="83">
        <f t="shared" si="131"/>
        <v>695</v>
      </c>
      <c r="T839" s="83">
        <f>50</f>
        <v>50</v>
      </c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</row>
    <row r="840" spans="1:30" ht="15.75" x14ac:dyDescent="0.25">
      <c r="A840" s="13">
        <v>66507</v>
      </c>
      <c r="B840" s="95">
        <f t="shared" si="132"/>
        <v>31</v>
      </c>
      <c r="C840" s="83">
        <f>122.58</f>
        <v>122.58</v>
      </c>
      <c r="D840" s="83">
        <f>297.941</f>
        <v>297.94099999999997</v>
      </c>
      <c r="E840" s="92">
        <f>89.177</f>
        <v>89.177000000000007</v>
      </c>
      <c r="F840" s="83">
        <f>240.302-40-60-100</f>
        <v>40.301999999999992</v>
      </c>
      <c r="G840" s="86">
        <v>40</v>
      </c>
      <c r="H840" s="83">
        <f>60+100</f>
        <v>160</v>
      </c>
      <c r="I840" s="83">
        <f t="shared" si="136"/>
        <v>0</v>
      </c>
      <c r="J840" s="86">
        <v>100</v>
      </c>
      <c r="K840" s="86">
        <v>300</v>
      </c>
      <c r="L840" s="83">
        <f t="shared" si="128"/>
        <v>1150</v>
      </c>
      <c r="M840" s="94">
        <v>600</v>
      </c>
      <c r="N840" s="83">
        <f>100</f>
        <v>100</v>
      </c>
      <c r="O840" s="86">
        <v>240</v>
      </c>
      <c r="P840" s="86">
        <v>40</v>
      </c>
      <c r="Q840" s="86">
        <f t="shared" si="129"/>
        <v>315</v>
      </c>
      <c r="R840" s="86">
        <f t="shared" si="130"/>
        <v>100</v>
      </c>
      <c r="S840" s="83">
        <f t="shared" si="131"/>
        <v>695</v>
      </c>
      <c r="T840" s="83">
        <f>50</f>
        <v>50</v>
      </c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</row>
    <row r="841" spans="1:30" ht="15.75" x14ac:dyDescent="0.25">
      <c r="A841" s="13">
        <v>66535</v>
      </c>
      <c r="B841" s="95">
        <f t="shared" si="132"/>
        <v>28</v>
      </c>
      <c r="C841" s="83">
        <f>122.58</f>
        <v>122.58</v>
      </c>
      <c r="D841" s="83">
        <f>297.941</f>
        <v>297.94099999999997</v>
      </c>
      <c r="E841" s="92">
        <f>89.177</f>
        <v>89.177000000000007</v>
      </c>
      <c r="F841" s="83">
        <f>240.302-40-60-100</f>
        <v>40.301999999999992</v>
      </c>
      <c r="G841" s="86">
        <v>40</v>
      </c>
      <c r="H841" s="83">
        <f>60+100</f>
        <v>160</v>
      </c>
      <c r="I841" s="83">
        <f t="shared" si="136"/>
        <v>0</v>
      </c>
      <c r="J841" s="86">
        <v>100</v>
      </c>
      <c r="K841" s="86">
        <v>300</v>
      </c>
      <c r="L841" s="83">
        <f t="shared" si="128"/>
        <v>1150</v>
      </c>
      <c r="M841" s="94">
        <v>600</v>
      </c>
      <c r="N841" s="83">
        <f>100</f>
        <v>100</v>
      </c>
      <c r="O841" s="86">
        <v>240</v>
      </c>
      <c r="P841" s="86">
        <v>40</v>
      </c>
      <c r="Q841" s="86">
        <f t="shared" si="129"/>
        <v>315</v>
      </c>
      <c r="R841" s="86">
        <f t="shared" si="130"/>
        <v>100</v>
      </c>
      <c r="S841" s="83">
        <f t="shared" si="131"/>
        <v>695</v>
      </c>
      <c r="T841" s="83">
        <f>50</f>
        <v>50</v>
      </c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</row>
    <row r="842" spans="1:30" ht="15.75" x14ac:dyDescent="0.25">
      <c r="A842" s="13">
        <v>66566</v>
      </c>
      <c r="B842" s="95">
        <f t="shared" si="132"/>
        <v>31</v>
      </c>
      <c r="C842" s="83">
        <f>122.58</f>
        <v>122.58</v>
      </c>
      <c r="D842" s="83">
        <f>297.941</f>
        <v>297.94099999999997</v>
      </c>
      <c r="E842" s="92">
        <f>89.177</f>
        <v>89.177000000000007</v>
      </c>
      <c r="F842" s="83">
        <f>240.302-40-60-100</f>
        <v>40.301999999999992</v>
      </c>
      <c r="G842" s="86">
        <v>40</v>
      </c>
      <c r="H842" s="83">
        <f>60+100</f>
        <v>160</v>
      </c>
      <c r="I842" s="83">
        <f t="shared" si="136"/>
        <v>0</v>
      </c>
      <c r="J842" s="86">
        <v>100</v>
      </c>
      <c r="K842" s="86">
        <v>300</v>
      </c>
      <c r="L842" s="83">
        <f t="shared" si="128"/>
        <v>1150</v>
      </c>
      <c r="M842" s="94">
        <v>600</v>
      </c>
      <c r="N842" s="83">
        <f>100</f>
        <v>100</v>
      </c>
      <c r="O842" s="86">
        <v>240</v>
      </c>
      <c r="P842" s="86">
        <v>40</v>
      </c>
      <c r="Q842" s="86">
        <f t="shared" si="129"/>
        <v>315</v>
      </c>
      <c r="R842" s="86">
        <f t="shared" si="130"/>
        <v>100</v>
      </c>
      <c r="S842" s="83">
        <f t="shared" si="131"/>
        <v>695</v>
      </c>
      <c r="T842" s="83">
        <f>50</f>
        <v>50</v>
      </c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</row>
    <row r="843" spans="1:30" ht="15.75" x14ac:dyDescent="0.25">
      <c r="A843" s="13">
        <v>66596</v>
      </c>
      <c r="B843" s="95">
        <f t="shared" si="132"/>
        <v>30</v>
      </c>
      <c r="C843" s="83">
        <f>141.293</f>
        <v>141.29300000000001</v>
      </c>
      <c r="D843" s="83">
        <f>267.993</f>
        <v>267.99299999999999</v>
      </c>
      <c r="E843" s="92">
        <f>115.016</f>
        <v>115.01600000000001</v>
      </c>
      <c r="F843" s="83">
        <f>314.698-40-25-60-100</f>
        <v>89.697999999999979</v>
      </c>
      <c r="G843" s="86">
        <v>40</v>
      </c>
      <c r="H843" s="83">
        <f t="shared" ref="H843:H849" si="138">25+60+100</f>
        <v>185</v>
      </c>
      <c r="I843" s="83">
        <f t="shared" si="136"/>
        <v>0</v>
      </c>
      <c r="J843" s="86">
        <v>100</v>
      </c>
      <c r="K843" s="86">
        <v>300</v>
      </c>
      <c r="L843" s="83">
        <f t="shared" si="128"/>
        <v>1239</v>
      </c>
      <c r="M843" s="94">
        <v>600</v>
      </c>
      <c r="N843" s="83">
        <f>100</f>
        <v>100</v>
      </c>
      <c r="O843" s="86">
        <v>240</v>
      </c>
      <c r="P843" s="86">
        <v>40</v>
      </c>
      <c r="Q843" s="86">
        <f t="shared" si="129"/>
        <v>315</v>
      </c>
      <c r="R843" s="86">
        <f t="shared" si="130"/>
        <v>100</v>
      </c>
      <c r="S843" s="83">
        <f t="shared" si="131"/>
        <v>695</v>
      </c>
      <c r="T843" s="83">
        <f>50</f>
        <v>50</v>
      </c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</row>
    <row r="844" spans="1:30" ht="15.75" x14ac:dyDescent="0.25">
      <c r="A844" s="13">
        <v>66627</v>
      </c>
      <c r="B844" s="95">
        <f t="shared" si="132"/>
        <v>31</v>
      </c>
      <c r="C844" s="83">
        <f>194.205</f>
        <v>194.20500000000001</v>
      </c>
      <c r="D844" s="83">
        <f>267.466</f>
        <v>267.46600000000001</v>
      </c>
      <c r="E844" s="92">
        <f>133.845</f>
        <v>133.845</v>
      </c>
      <c r="F844" s="83">
        <f>278.484-40-25-60-100</f>
        <v>53.48399999999998</v>
      </c>
      <c r="G844" s="86">
        <v>40</v>
      </c>
      <c r="H844" s="83">
        <f t="shared" si="138"/>
        <v>185</v>
      </c>
      <c r="I844" s="83">
        <f t="shared" si="136"/>
        <v>0</v>
      </c>
      <c r="J844" s="86">
        <v>100</v>
      </c>
      <c r="K844" s="86">
        <v>300</v>
      </c>
      <c r="L844" s="83">
        <f t="shared" si="128"/>
        <v>1274</v>
      </c>
      <c r="M844" s="94">
        <v>600</v>
      </c>
      <c r="N844" s="83">
        <f>75</f>
        <v>75</v>
      </c>
      <c r="O844" s="86">
        <v>240</v>
      </c>
      <c r="P844" s="86">
        <v>40</v>
      </c>
      <c r="Q844" s="86">
        <f t="shared" si="129"/>
        <v>315</v>
      </c>
      <c r="R844" s="86">
        <f t="shared" si="130"/>
        <v>100</v>
      </c>
      <c r="S844" s="83">
        <f t="shared" si="131"/>
        <v>695</v>
      </c>
      <c r="T844" s="83">
        <f>50</f>
        <v>50</v>
      </c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</row>
    <row r="845" spans="1:30" ht="15.75" x14ac:dyDescent="0.25">
      <c r="A845" s="13">
        <v>66657</v>
      </c>
      <c r="B845" s="95">
        <f t="shared" si="132"/>
        <v>30</v>
      </c>
      <c r="C845" s="83">
        <f>194.205</f>
        <v>194.20500000000001</v>
      </c>
      <c r="D845" s="83">
        <f>267.466</f>
        <v>267.46600000000001</v>
      </c>
      <c r="E845" s="92">
        <f>133.845</f>
        <v>133.845</v>
      </c>
      <c r="F845" s="83">
        <f>278.484-40-25-60-100</f>
        <v>53.48399999999998</v>
      </c>
      <c r="G845" s="86">
        <v>40</v>
      </c>
      <c r="H845" s="83">
        <f t="shared" si="138"/>
        <v>185</v>
      </c>
      <c r="I845" s="83">
        <f t="shared" si="136"/>
        <v>0</v>
      </c>
      <c r="J845" s="86">
        <v>100</v>
      </c>
      <c r="K845" s="86">
        <v>300</v>
      </c>
      <c r="L845" s="83">
        <f t="shared" si="128"/>
        <v>1274</v>
      </c>
      <c r="M845" s="94">
        <v>600</v>
      </c>
      <c r="N845" s="83">
        <f>30</f>
        <v>30</v>
      </c>
      <c r="O845" s="86">
        <v>240</v>
      </c>
      <c r="P845" s="86">
        <v>40</v>
      </c>
      <c r="Q845" s="86">
        <f t="shared" si="129"/>
        <v>315</v>
      </c>
      <c r="R845" s="86">
        <f t="shared" si="130"/>
        <v>100</v>
      </c>
      <c r="S845" s="83">
        <f t="shared" si="131"/>
        <v>695</v>
      </c>
      <c r="T845" s="83">
        <f>50</f>
        <v>50</v>
      </c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</row>
    <row r="846" spans="1:30" ht="15.75" x14ac:dyDescent="0.25">
      <c r="A846" s="13">
        <v>66688</v>
      </c>
      <c r="B846" s="95">
        <f t="shared" si="132"/>
        <v>31</v>
      </c>
      <c r="C846" s="83">
        <f>194.205</f>
        <v>194.20500000000001</v>
      </c>
      <c r="D846" s="83">
        <f>267.466</f>
        <v>267.46600000000001</v>
      </c>
      <c r="E846" s="92">
        <f>133.845</f>
        <v>133.845</v>
      </c>
      <c r="F846" s="83">
        <f>278.484-40-25-60-100</f>
        <v>53.48399999999998</v>
      </c>
      <c r="G846" s="86">
        <v>40</v>
      </c>
      <c r="H846" s="83">
        <f t="shared" si="138"/>
        <v>185</v>
      </c>
      <c r="I846" s="83">
        <f t="shared" si="136"/>
        <v>0</v>
      </c>
      <c r="J846" s="86">
        <v>100</v>
      </c>
      <c r="K846" s="86">
        <v>300</v>
      </c>
      <c r="L846" s="83">
        <f t="shared" si="128"/>
        <v>1274</v>
      </c>
      <c r="M846" s="94">
        <v>600</v>
      </c>
      <c r="N846" s="83">
        <f>30</f>
        <v>30</v>
      </c>
      <c r="O846" s="86">
        <v>240</v>
      </c>
      <c r="P846" s="86">
        <v>40</v>
      </c>
      <c r="Q846" s="86">
        <f t="shared" si="129"/>
        <v>315</v>
      </c>
      <c r="R846" s="86">
        <f t="shared" si="130"/>
        <v>100</v>
      </c>
      <c r="S846" s="83">
        <f t="shared" si="131"/>
        <v>695</v>
      </c>
      <c r="T846" s="83">
        <f>0</f>
        <v>0</v>
      </c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</row>
    <row r="847" spans="1:30" ht="15.75" x14ac:dyDescent="0.25">
      <c r="A847" s="13">
        <v>66719</v>
      </c>
      <c r="B847" s="95">
        <f t="shared" si="132"/>
        <v>31</v>
      </c>
      <c r="C847" s="83">
        <f>194.205</f>
        <v>194.20500000000001</v>
      </c>
      <c r="D847" s="83">
        <f>267.466</f>
        <v>267.46600000000001</v>
      </c>
      <c r="E847" s="92">
        <f>133.845</f>
        <v>133.845</v>
      </c>
      <c r="F847" s="83">
        <f>278.484-40-25-60-100</f>
        <v>53.48399999999998</v>
      </c>
      <c r="G847" s="86">
        <v>40</v>
      </c>
      <c r="H847" s="83">
        <f t="shared" si="138"/>
        <v>185</v>
      </c>
      <c r="I847" s="83">
        <f t="shared" si="136"/>
        <v>0</v>
      </c>
      <c r="J847" s="86">
        <v>100</v>
      </c>
      <c r="K847" s="86">
        <v>300</v>
      </c>
      <c r="L847" s="83">
        <f t="shared" si="128"/>
        <v>1274</v>
      </c>
      <c r="M847" s="94">
        <v>600</v>
      </c>
      <c r="N847" s="83">
        <f>30</f>
        <v>30</v>
      </c>
      <c r="O847" s="86">
        <v>240</v>
      </c>
      <c r="P847" s="86">
        <v>40</v>
      </c>
      <c r="Q847" s="86">
        <f t="shared" si="129"/>
        <v>315</v>
      </c>
      <c r="R847" s="86">
        <f t="shared" si="130"/>
        <v>100</v>
      </c>
      <c r="S847" s="83">
        <f t="shared" si="131"/>
        <v>695</v>
      </c>
      <c r="T847" s="83">
        <f>0</f>
        <v>0</v>
      </c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</row>
    <row r="848" spans="1:30" ht="15.75" x14ac:dyDescent="0.25">
      <c r="A848" s="13">
        <v>66749</v>
      </c>
      <c r="B848" s="95">
        <f t="shared" si="132"/>
        <v>30</v>
      </c>
      <c r="C848" s="83">
        <f>194.205</f>
        <v>194.20500000000001</v>
      </c>
      <c r="D848" s="83">
        <f>267.466</f>
        <v>267.46600000000001</v>
      </c>
      <c r="E848" s="92">
        <f>133.845</f>
        <v>133.845</v>
      </c>
      <c r="F848" s="83">
        <f>278.484-40-25-60-100</f>
        <v>53.48399999999998</v>
      </c>
      <c r="G848" s="86">
        <v>40</v>
      </c>
      <c r="H848" s="83">
        <f t="shared" si="138"/>
        <v>185</v>
      </c>
      <c r="I848" s="83">
        <f t="shared" si="136"/>
        <v>0</v>
      </c>
      <c r="J848" s="86">
        <v>100</v>
      </c>
      <c r="K848" s="86">
        <v>300</v>
      </c>
      <c r="L848" s="83">
        <f t="shared" si="128"/>
        <v>1274</v>
      </c>
      <c r="M848" s="94">
        <v>600</v>
      </c>
      <c r="N848" s="83">
        <f>30</f>
        <v>30</v>
      </c>
      <c r="O848" s="86">
        <v>240</v>
      </c>
      <c r="P848" s="86">
        <v>40</v>
      </c>
      <c r="Q848" s="86">
        <f t="shared" si="129"/>
        <v>315</v>
      </c>
      <c r="R848" s="86">
        <f t="shared" si="130"/>
        <v>100</v>
      </c>
      <c r="S848" s="83">
        <f t="shared" si="131"/>
        <v>695</v>
      </c>
      <c r="T848" s="83">
        <f>0</f>
        <v>0</v>
      </c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</row>
    <row r="849" spans="1:30" ht="15.75" x14ac:dyDescent="0.25">
      <c r="A849" s="13">
        <v>66780</v>
      </c>
      <c r="B849" s="95">
        <f t="shared" si="132"/>
        <v>31</v>
      </c>
      <c r="C849" s="83">
        <f>131.881</f>
        <v>131.881</v>
      </c>
      <c r="D849" s="83">
        <f>277.167</f>
        <v>277.16699999999997</v>
      </c>
      <c r="E849" s="92">
        <f>79.08</f>
        <v>79.08</v>
      </c>
      <c r="F849" s="83">
        <f>350.872-40-25-60-100</f>
        <v>125.87200000000001</v>
      </c>
      <c r="G849" s="86">
        <v>40</v>
      </c>
      <c r="H849" s="83">
        <f t="shared" si="138"/>
        <v>185</v>
      </c>
      <c r="I849" s="83">
        <f t="shared" si="136"/>
        <v>0</v>
      </c>
      <c r="J849" s="86">
        <v>100</v>
      </c>
      <c r="K849" s="86">
        <v>300</v>
      </c>
      <c r="L849" s="83">
        <f t="shared" si="128"/>
        <v>1239</v>
      </c>
      <c r="M849" s="94">
        <v>600</v>
      </c>
      <c r="N849" s="83">
        <f>75</f>
        <v>75</v>
      </c>
      <c r="O849" s="86">
        <v>240</v>
      </c>
      <c r="P849" s="86">
        <v>40</v>
      </c>
      <c r="Q849" s="86">
        <f t="shared" si="129"/>
        <v>315</v>
      </c>
      <c r="R849" s="86">
        <f t="shared" si="130"/>
        <v>100</v>
      </c>
      <c r="S849" s="83">
        <f t="shared" si="131"/>
        <v>695</v>
      </c>
      <c r="T849" s="83">
        <f>0</f>
        <v>0</v>
      </c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</row>
    <row r="850" spans="1:30" ht="15.75" x14ac:dyDescent="0.25">
      <c r="A850" s="13">
        <v>66810</v>
      </c>
      <c r="B850" s="95">
        <f t="shared" si="132"/>
        <v>30</v>
      </c>
      <c r="C850" s="83">
        <f>122.58</f>
        <v>122.58</v>
      </c>
      <c r="D850" s="83">
        <f>297.941</f>
        <v>297.94099999999997</v>
      </c>
      <c r="E850" s="92">
        <f>89.177</f>
        <v>89.177000000000007</v>
      </c>
      <c r="F850" s="83">
        <f>240.302-40-60-100</f>
        <v>40.301999999999992</v>
      </c>
      <c r="G850" s="86">
        <v>40</v>
      </c>
      <c r="H850" s="83">
        <f>60+100</f>
        <v>160</v>
      </c>
      <c r="I850" s="83">
        <f t="shared" si="136"/>
        <v>0</v>
      </c>
      <c r="J850" s="86">
        <v>100</v>
      </c>
      <c r="K850" s="86">
        <v>300</v>
      </c>
      <c r="L850" s="83">
        <f t="shared" si="128"/>
        <v>1150</v>
      </c>
      <c r="M850" s="94">
        <v>600</v>
      </c>
      <c r="N850" s="83">
        <f>100</f>
        <v>100</v>
      </c>
      <c r="O850" s="86">
        <v>240</v>
      </c>
      <c r="P850" s="86">
        <v>40</v>
      </c>
      <c r="Q850" s="86">
        <f t="shared" si="129"/>
        <v>315</v>
      </c>
      <c r="R850" s="86">
        <f t="shared" si="130"/>
        <v>100</v>
      </c>
      <c r="S850" s="83">
        <f t="shared" si="131"/>
        <v>695</v>
      </c>
      <c r="T850" s="83">
        <f>50</f>
        <v>50</v>
      </c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</row>
    <row r="851" spans="1:30" ht="15.75" x14ac:dyDescent="0.25">
      <c r="A851" s="13">
        <v>66841</v>
      </c>
      <c r="B851" s="95">
        <f t="shared" si="132"/>
        <v>31</v>
      </c>
      <c r="C851" s="83">
        <f>122.58</f>
        <v>122.58</v>
      </c>
      <c r="D851" s="83">
        <f>297.941</f>
        <v>297.94099999999997</v>
      </c>
      <c r="E851" s="92">
        <f>89.177</f>
        <v>89.177000000000007</v>
      </c>
      <c r="F851" s="83">
        <f>240.302-40-60-100</f>
        <v>40.301999999999992</v>
      </c>
      <c r="G851" s="86">
        <v>40</v>
      </c>
      <c r="H851" s="83">
        <f>60+100</f>
        <v>160</v>
      </c>
      <c r="I851" s="83">
        <f t="shared" si="136"/>
        <v>0</v>
      </c>
      <c r="J851" s="86">
        <v>100</v>
      </c>
      <c r="K851" s="86">
        <v>300</v>
      </c>
      <c r="L851" s="83">
        <f t="shared" si="128"/>
        <v>1150</v>
      </c>
      <c r="M851" s="94">
        <v>600</v>
      </c>
      <c r="N851" s="83">
        <f>100</f>
        <v>100</v>
      </c>
      <c r="O851" s="86">
        <v>240</v>
      </c>
      <c r="P851" s="86">
        <v>40</v>
      </c>
      <c r="Q851" s="86">
        <f t="shared" si="129"/>
        <v>315</v>
      </c>
      <c r="R851" s="86">
        <f t="shared" si="130"/>
        <v>100</v>
      </c>
      <c r="S851" s="83">
        <f t="shared" si="131"/>
        <v>695</v>
      </c>
      <c r="T851" s="83">
        <f>50</f>
        <v>50</v>
      </c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</row>
    <row r="852" spans="1:30" ht="15.75" x14ac:dyDescent="0.25">
      <c r="A852" s="13">
        <v>66872</v>
      </c>
      <c r="B852" s="95">
        <f t="shared" si="132"/>
        <v>31</v>
      </c>
      <c r="C852" s="83">
        <f>122.58</f>
        <v>122.58</v>
      </c>
      <c r="D852" s="83">
        <f>297.941</f>
        <v>297.94099999999997</v>
      </c>
      <c r="E852" s="92">
        <f>89.177</f>
        <v>89.177000000000007</v>
      </c>
      <c r="F852" s="83">
        <f>240.302-40-60-100</f>
        <v>40.301999999999992</v>
      </c>
      <c r="G852" s="86">
        <v>40</v>
      </c>
      <c r="H852" s="83">
        <f>60+100</f>
        <v>160</v>
      </c>
      <c r="I852" s="83">
        <f t="shared" si="136"/>
        <v>0</v>
      </c>
      <c r="J852" s="86">
        <v>100</v>
      </c>
      <c r="K852" s="86">
        <v>300</v>
      </c>
      <c r="L852" s="83">
        <f t="shared" si="128"/>
        <v>1150</v>
      </c>
      <c r="M852" s="94">
        <v>600</v>
      </c>
      <c r="N852" s="83">
        <f>100</f>
        <v>100</v>
      </c>
      <c r="O852" s="86">
        <v>240</v>
      </c>
      <c r="P852" s="86">
        <v>40</v>
      </c>
      <c r="Q852" s="86">
        <f t="shared" si="129"/>
        <v>315</v>
      </c>
      <c r="R852" s="86">
        <f t="shared" si="130"/>
        <v>100</v>
      </c>
      <c r="S852" s="83">
        <f t="shared" si="131"/>
        <v>695</v>
      </c>
      <c r="T852" s="83">
        <f>50</f>
        <v>50</v>
      </c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</row>
    <row r="853" spans="1:30" ht="15.75" x14ac:dyDescent="0.25">
      <c r="A853" s="13">
        <v>66900</v>
      </c>
      <c r="B853" s="95">
        <f t="shared" si="132"/>
        <v>28</v>
      </c>
      <c r="C853" s="83">
        <f>122.58</f>
        <v>122.58</v>
      </c>
      <c r="D853" s="83">
        <f>297.941</f>
        <v>297.94099999999997</v>
      </c>
      <c r="E853" s="92">
        <f>89.177</f>
        <v>89.177000000000007</v>
      </c>
      <c r="F853" s="83">
        <f>240.302-40-60-100</f>
        <v>40.301999999999992</v>
      </c>
      <c r="G853" s="86">
        <v>40</v>
      </c>
      <c r="H853" s="83">
        <f>60+100</f>
        <v>160</v>
      </c>
      <c r="I853" s="83">
        <f t="shared" si="136"/>
        <v>0</v>
      </c>
      <c r="J853" s="86">
        <v>100</v>
      </c>
      <c r="K853" s="86">
        <v>300</v>
      </c>
      <c r="L853" s="83">
        <f t="shared" si="128"/>
        <v>1150</v>
      </c>
      <c r="M853" s="94">
        <v>600</v>
      </c>
      <c r="N853" s="83">
        <f>100</f>
        <v>100</v>
      </c>
      <c r="O853" s="86">
        <v>240</v>
      </c>
      <c r="P853" s="86">
        <v>40</v>
      </c>
      <c r="Q853" s="86">
        <f t="shared" si="129"/>
        <v>315</v>
      </c>
      <c r="R853" s="86">
        <f t="shared" si="130"/>
        <v>100</v>
      </c>
      <c r="S853" s="83">
        <f t="shared" si="131"/>
        <v>695</v>
      </c>
      <c r="T853" s="83">
        <f>50</f>
        <v>50</v>
      </c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</row>
    <row r="854" spans="1:30" ht="15.75" x14ac:dyDescent="0.25">
      <c r="A854" s="13">
        <v>66931</v>
      </c>
      <c r="B854" s="95">
        <f t="shared" si="132"/>
        <v>31</v>
      </c>
      <c r="C854" s="83">
        <f>122.58</f>
        <v>122.58</v>
      </c>
      <c r="D854" s="83">
        <f>297.941</f>
        <v>297.94099999999997</v>
      </c>
      <c r="E854" s="92">
        <f>89.177</f>
        <v>89.177000000000007</v>
      </c>
      <c r="F854" s="83">
        <f>240.302-40-60-100</f>
        <v>40.301999999999992</v>
      </c>
      <c r="G854" s="86">
        <v>40</v>
      </c>
      <c r="H854" s="83">
        <f>60+100</f>
        <v>160</v>
      </c>
      <c r="I854" s="83">
        <f t="shared" si="136"/>
        <v>0</v>
      </c>
      <c r="J854" s="86">
        <v>100</v>
      </c>
      <c r="K854" s="86">
        <v>300</v>
      </c>
      <c r="L854" s="83">
        <f t="shared" si="128"/>
        <v>1150</v>
      </c>
      <c r="M854" s="94">
        <v>600</v>
      </c>
      <c r="N854" s="83">
        <f>100</f>
        <v>100</v>
      </c>
      <c r="O854" s="86">
        <v>240</v>
      </c>
      <c r="P854" s="86">
        <v>40</v>
      </c>
      <c r="Q854" s="86">
        <f t="shared" si="129"/>
        <v>315</v>
      </c>
      <c r="R854" s="86">
        <f t="shared" si="130"/>
        <v>100</v>
      </c>
      <c r="S854" s="83">
        <f t="shared" si="131"/>
        <v>695</v>
      </c>
      <c r="T854" s="83">
        <f>50</f>
        <v>50</v>
      </c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</row>
    <row r="855" spans="1:30" ht="15.75" x14ac:dyDescent="0.25">
      <c r="A855" s="13">
        <v>66961</v>
      </c>
      <c r="B855" s="95">
        <f t="shared" si="132"/>
        <v>30</v>
      </c>
      <c r="C855" s="83">
        <f>141.293</f>
        <v>141.29300000000001</v>
      </c>
      <c r="D855" s="83">
        <f>267.993</f>
        <v>267.99299999999999</v>
      </c>
      <c r="E855" s="92">
        <f>115.016</f>
        <v>115.01600000000001</v>
      </c>
      <c r="F855" s="83">
        <f>314.698-40-25-60-100</f>
        <v>89.697999999999979</v>
      </c>
      <c r="G855" s="86">
        <v>40</v>
      </c>
      <c r="H855" s="83">
        <f t="shared" ref="H855:H861" si="139">25+60+100</f>
        <v>185</v>
      </c>
      <c r="I855" s="83">
        <f t="shared" si="136"/>
        <v>0</v>
      </c>
      <c r="J855" s="86">
        <v>100</v>
      </c>
      <c r="K855" s="86">
        <v>300</v>
      </c>
      <c r="L855" s="83">
        <f t="shared" ref="L855:L918" si="140">SUM(C855:K855)</f>
        <v>1239</v>
      </c>
      <c r="M855" s="94">
        <v>600</v>
      </c>
      <c r="N855" s="83">
        <f>100</f>
        <v>100</v>
      </c>
      <c r="O855" s="86">
        <v>240</v>
      </c>
      <c r="P855" s="86">
        <v>40</v>
      </c>
      <c r="Q855" s="86">
        <f t="shared" ref="Q855:Q918" si="141">695-R855-O855-P855</f>
        <v>315</v>
      </c>
      <c r="R855" s="86">
        <f t="shared" ref="R855:R918" si="142">200-J855</f>
        <v>100</v>
      </c>
      <c r="S855" s="83">
        <f t="shared" ref="S855:S918" si="143">SUM(O855:R855)</f>
        <v>695</v>
      </c>
      <c r="T855" s="83">
        <f>50</f>
        <v>50</v>
      </c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</row>
    <row r="856" spans="1:30" ht="15.75" x14ac:dyDescent="0.25">
      <c r="A856" s="13">
        <v>66992</v>
      </c>
      <c r="B856" s="95">
        <f t="shared" ref="B856:B919" si="144">EOMONTH(A856,0)-EOMONTH(A856,-1)</f>
        <v>31</v>
      </c>
      <c r="C856" s="83">
        <f>194.205</f>
        <v>194.20500000000001</v>
      </c>
      <c r="D856" s="83">
        <f>267.466</f>
        <v>267.46600000000001</v>
      </c>
      <c r="E856" s="92">
        <f>133.845</f>
        <v>133.845</v>
      </c>
      <c r="F856" s="83">
        <f>278.484-40-25-60-100</f>
        <v>53.48399999999998</v>
      </c>
      <c r="G856" s="86">
        <v>40</v>
      </c>
      <c r="H856" s="83">
        <f t="shared" si="139"/>
        <v>185</v>
      </c>
      <c r="I856" s="83">
        <f t="shared" si="136"/>
        <v>0</v>
      </c>
      <c r="J856" s="86">
        <v>100</v>
      </c>
      <c r="K856" s="86">
        <v>300</v>
      </c>
      <c r="L856" s="83">
        <f t="shared" si="140"/>
        <v>1274</v>
      </c>
      <c r="M856" s="94">
        <v>600</v>
      </c>
      <c r="N856" s="83">
        <f>75</f>
        <v>75</v>
      </c>
      <c r="O856" s="86">
        <v>240</v>
      </c>
      <c r="P856" s="86">
        <v>40</v>
      </c>
      <c r="Q856" s="86">
        <f t="shared" si="141"/>
        <v>315</v>
      </c>
      <c r="R856" s="86">
        <f t="shared" si="142"/>
        <v>100</v>
      </c>
      <c r="S856" s="83">
        <f t="shared" si="143"/>
        <v>695</v>
      </c>
      <c r="T856" s="83">
        <f>50</f>
        <v>50</v>
      </c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</row>
    <row r="857" spans="1:30" ht="15.75" x14ac:dyDescent="0.25">
      <c r="A857" s="13">
        <v>67022</v>
      </c>
      <c r="B857" s="95">
        <f t="shared" si="144"/>
        <v>30</v>
      </c>
      <c r="C857" s="83">
        <f>194.205</f>
        <v>194.20500000000001</v>
      </c>
      <c r="D857" s="83">
        <f>267.466</f>
        <v>267.46600000000001</v>
      </c>
      <c r="E857" s="92">
        <f>133.845</f>
        <v>133.845</v>
      </c>
      <c r="F857" s="83">
        <f>278.484-40-25-60-100</f>
        <v>53.48399999999998</v>
      </c>
      <c r="G857" s="86">
        <v>40</v>
      </c>
      <c r="H857" s="83">
        <f t="shared" si="139"/>
        <v>185</v>
      </c>
      <c r="I857" s="83">
        <f t="shared" si="136"/>
        <v>0</v>
      </c>
      <c r="J857" s="86">
        <v>100</v>
      </c>
      <c r="K857" s="86">
        <v>300</v>
      </c>
      <c r="L857" s="83">
        <f t="shared" si="140"/>
        <v>1274</v>
      </c>
      <c r="M857" s="94">
        <v>600</v>
      </c>
      <c r="N857" s="83">
        <f>30</f>
        <v>30</v>
      </c>
      <c r="O857" s="86">
        <v>240</v>
      </c>
      <c r="P857" s="86">
        <v>40</v>
      </c>
      <c r="Q857" s="86">
        <f t="shared" si="141"/>
        <v>315</v>
      </c>
      <c r="R857" s="86">
        <f t="shared" si="142"/>
        <v>100</v>
      </c>
      <c r="S857" s="83">
        <f t="shared" si="143"/>
        <v>695</v>
      </c>
      <c r="T857" s="83">
        <f>50</f>
        <v>50</v>
      </c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</row>
    <row r="858" spans="1:30" ht="15.75" x14ac:dyDescent="0.25">
      <c r="A858" s="13">
        <v>67053</v>
      </c>
      <c r="B858" s="95">
        <f t="shared" si="144"/>
        <v>31</v>
      </c>
      <c r="C858" s="83">
        <f>194.205</f>
        <v>194.20500000000001</v>
      </c>
      <c r="D858" s="83">
        <f>267.466</f>
        <v>267.46600000000001</v>
      </c>
      <c r="E858" s="92">
        <f>133.845</f>
        <v>133.845</v>
      </c>
      <c r="F858" s="83">
        <f>278.484-40-25-60-100</f>
        <v>53.48399999999998</v>
      </c>
      <c r="G858" s="86">
        <v>40</v>
      </c>
      <c r="H858" s="83">
        <f t="shared" si="139"/>
        <v>185</v>
      </c>
      <c r="I858" s="83">
        <f t="shared" si="136"/>
        <v>0</v>
      </c>
      <c r="J858" s="86">
        <v>100</v>
      </c>
      <c r="K858" s="86">
        <v>300</v>
      </c>
      <c r="L858" s="83">
        <f t="shared" si="140"/>
        <v>1274</v>
      </c>
      <c r="M858" s="94">
        <v>600</v>
      </c>
      <c r="N858" s="83">
        <f>30</f>
        <v>30</v>
      </c>
      <c r="O858" s="86">
        <v>240</v>
      </c>
      <c r="P858" s="86">
        <v>40</v>
      </c>
      <c r="Q858" s="86">
        <f t="shared" si="141"/>
        <v>315</v>
      </c>
      <c r="R858" s="86">
        <f t="shared" si="142"/>
        <v>100</v>
      </c>
      <c r="S858" s="83">
        <f t="shared" si="143"/>
        <v>695</v>
      </c>
      <c r="T858" s="83">
        <f>0</f>
        <v>0</v>
      </c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</row>
    <row r="859" spans="1:30" ht="15.75" x14ac:dyDescent="0.25">
      <c r="A859" s="13">
        <v>67084</v>
      </c>
      <c r="B859" s="95">
        <f t="shared" si="144"/>
        <v>31</v>
      </c>
      <c r="C859" s="83">
        <f>194.205</f>
        <v>194.20500000000001</v>
      </c>
      <c r="D859" s="83">
        <f>267.466</f>
        <v>267.46600000000001</v>
      </c>
      <c r="E859" s="92">
        <f>133.845</f>
        <v>133.845</v>
      </c>
      <c r="F859" s="83">
        <f>278.484-40-25-60-100</f>
        <v>53.48399999999998</v>
      </c>
      <c r="G859" s="86">
        <v>40</v>
      </c>
      <c r="H859" s="83">
        <f t="shared" si="139"/>
        <v>185</v>
      </c>
      <c r="I859" s="83">
        <f t="shared" si="136"/>
        <v>0</v>
      </c>
      <c r="J859" s="86">
        <v>100</v>
      </c>
      <c r="K859" s="86">
        <v>300</v>
      </c>
      <c r="L859" s="83">
        <f t="shared" si="140"/>
        <v>1274</v>
      </c>
      <c r="M859" s="94">
        <v>600</v>
      </c>
      <c r="N859" s="83">
        <f>30</f>
        <v>30</v>
      </c>
      <c r="O859" s="86">
        <v>240</v>
      </c>
      <c r="P859" s="86">
        <v>40</v>
      </c>
      <c r="Q859" s="86">
        <f t="shared" si="141"/>
        <v>315</v>
      </c>
      <c r="R859" s="86">
        <f t="shared" si="142"/>
        <v>100</v>
      </c>
      <c r="S859" s="83">
        <f t="shared" si="143"/>
        <v>695</v>
      </c>
      <c r="T859" s="83">
        <f>0</f>
        <v>0</v>
      </c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</row>
    <row r="860" spans="1:30" ht="15.75" x14ac:dyDescent="0.25">
      <c r="A860" s="13">
        <v>67114</v>
      </c>
      <c r="B860" s="95">
        <f t="shared" si="144"/>
        <v>30</v>
      </c>
      <c r="C860" s="83">
        <f>194.205</f>
        <v>194.20500000000001</v>
      </c>
      <c r="D860" s="83">
        <f>267.466</f>
        <v>267.46600000000001</v>
      </c>
      <c r="E860" s="92">
        <f>133.845</f>
        <v>133.845</v>
      </c>
      <c r="F860" s="83">
        <f>278.484-40-25-60-100</f>
        <v>53.48399999999998</v>
      </c>
      <c r="G860" s="86">
        <v>40</v>
      </c>
      <c r="H860" s="83">
        <f t="shared" si="139"/>
        <v>185</v>
      </c>
      <c r="I860" s="83">
        <f t="shared" si="136"/>
        <v>0</v>
      </c>
      <c r="J860" s="86">
        <v>100</v>
      </c>
      <c r="K860" s="86">
        <v>300</v>
      </c>
      <c r="L860" s="83">
        <f t="shared" si="140"/>
        <v>1274</v>
      </c>
      <c r="M860" s="94">
        <v>600</v>
      </c>
      <c r="N860" s="83">
        <f>30</f>
        <v>30</v>
      </c>
      <c r="O860" s="86">
        <v>240</v>
      </c>
      <c r="P860" s="86">
        <v>40</v>
      </c>
      <c r="Q860" s="86">
        <f t="shared" si="141"/>
        <v>315</v>
      </c>
      <c r="R860" s="86">
        <f t="shared" si="142"/>
        <v>100</v>
      </c>
      <c r="S860" s="83">
        <f t="shared" si="143"/>
        <v>695</v>
      </c>
      <c r="T860" s="83">
        <f>0</f>
        <v>0</v>
      </c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</row>
    <row r="861" spans="1:30" ht="15.75" x14ac:dyDescent="0.25">
      <c r="A861" s="13">
        <v>67145</v>
      </c>
      <c r="B861" s="95">
        <f t="shared" si="144"/>
        <v>31</v>
      </c>
      <c r="C861" s="83">
        <f>131.881</f>
        <v>131.881</v>
      </c>
      <c r="D861" s="83">
        <f>277.167</f>
        <v>277.16699999999997</v>
      </c>
      <c r="E861" s="92">
        <f>79.08</f>
        <v>79.08</v>
      </c>
      <c r="F861" s="83">
        <f>350.872-40-25-60-100</f>
        <v>125.87200000000001</v>
      </c>
      <c r="G861" s="86">
        <v>40</v>
      </c>
      <c r="H861" s="83">
        <f t="shared" si="139"/>
        <v>185</v>
      </c>
      <c r="I861" s="83">
        <f t="shared" si="136"/>
        <v>0</v>
      </c>
      <c r="J861" s="86">
        <v>100</v>
      </c>
      <c r="K861" s="86">
        <v>300</v>
      </c>
      <c r="L861" s="83">
        <f t="shared" si="140"/>
        <v>1239</v>
      </c>
      <c r="M861" s="94">
        <v>600</v>
      </c>
      <c r="N861" s="83">
        <f>75</f>
        <v>75</v>
      </c>
      <c r="O861" s="86">
        <v>240</v>
      </c>
      <c r="P861" s="86">
        <v>40</v>
      </c>
      <c r="Q861" s="86">
        <f t="shared" si="141"/>
        <v>315</v>
      </c>
      <c r="R861" s="86">
        <f t="shared" si="142"/>
        <v>100</v>
      </c>
      <c r="S861" s="83">
        <f t="shared" si="143"/>
        <v>695</v>
      </c>
      <c r="T861" s="83">
        <f>0</f>
        <v>0</v>
      </c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</row>
    <row r="862" spans="1:30" ht="15.75" x14ac:dyDescent="0.25">
      <c r="A862" s="13">
        <v>67175</v>
      </c>
      <c r="B862" s="95">
        <f t="shared" si="144"/>
        <v>30</v>
      </c>
      <c r="C862" s="83">
        <f>122.58</f>
        <v>122.58</v>
      </c>
      <c r="D862" s="83">
        <f>297.941</f>
        <v>297.94099999999997</v>
      </c>
      <c r="E862" s="92">
        <f>89.177</f>
        <v>89.177000000000007</v>
      </c>
      <c r="F862" s="83">
        <f>240.302-40-60-100</f>
        <v>40.301999999999992</v>
      </c>
      <c r="G862" s="86">
        <v>40</v>
      </c>
      <c r="H862" s="83">
        <f>60+100</f>
        <v>160</v>
      </c>
      <c r="I862" s="83">
        <f t="shared" si="136"/>
        <v>0</v>
      </c>
      <c r="J862" s="86">
        <v>100</v>
      </c>
      <c r="K862" s="86">
        <v>300</v>
      </c>
      <c r="L862" s="83">
        <f t="shared" si="140"/>
        <v>1150</v>
      </c>
      <c r="M862" s="94">
        <v>600</v>
      </c>
      <c r="N862" s="83">
        <f>100</f>
        <v>100</v>
      </c>
      <c r="O862" s="86">
        <v>240</v>
      </c>
      <c r="P862" s="86">
        <v>40</v>
      </c>
      <c r="Q862" s="86">
        <f t="shared" si="141"/>
        <v>315</v>
      </c>
      <c r="R862" s="86">
        <f t="shared" si="142"/>
        <v>100</v>
      </c>
      <c r="S862" s="83">
        <f t="shared" si="143"/>
        <v>695</v>
      </c>
      <c r="T862" s="83">
        <f>50</f>
        <v>50</v>
      </c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</row>
    <row r="863" spans="1:30" ht="15.75" x14ac:dyDescent="0.25">
      <c r="A863" s="13">
        <v>67206</v>
      </c>
      <c r="B863" s="95">
        <f t="shared" si="144"/>
        <v>31</v>
      </c>
      <c r="C863" s="83">
        <f>122.58</f>
        <v>122.58</v>
      </c>
      <c r="D863" s="83">
        <f>297.941</f>
        <v>297.94099999999997</v>
      </c>
      <c r="E863" s="92">
        <f>89.177</f>
        <v>89.177000000000007</v>
      </c>
      <c r="F863" s="83">
        <f>240.302-40-60-100</f>
        <v>40.301999999999992</v>
      </c>
      <c r="G863" s="86">
        <v>40</v>
      </c>
      <c r="H863" s="83">
        <f>60+100</f>
        <v>160</v>
      </c>
      <c r="I863" s="83">
        <f t="shared" si="136"/>
        <v>0</v>
      </c>
      <c r="J863" s="86">
        <v>100</v>
      </c>
      <c r="K863" s="86">
        <v>300</v>
      </c>
      <c r="L863" s="83">
        <f t="shared" si="140"/>
        <v>1150</v>
      </c>
      <c r="M863" s="94">
        <v>600</v>
      </c>
      <c r="N863" s="83">
        <f>100</f>
        <v>100</v>
      </c>
      <c r="O863" s="86">
        <v>240</v>
      </c>
      <c r="P863" s="86">
        <v>40</v>
      </c>
      <c r="Q863" s="86">
        <f t="shared" si="141"/>
        <v>315</v>
      </c>
      <c r="R863" s="86">
        <f t="shared" si="142"/>
        <v>100</v>
      </c>
      <c r="S863" s="83">
        <f t="shared" si="143"/>
        <v>695</v>
      </c>
      <c r="T863" s="83">
        <f>50</f>
        <v>50</v>
      </c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</row>
    <row r="864" spans="1:30" ht="15.75" x14ac:dyDescent="0.25">
      <c r="A864" s="13">
        <v>67237</v>
      </c>
      <c r="B864" s="95">
        <f t="shared" si="144"/>
        <v>31</v>
      </c>
      <c r="C864" s="83">
        <f>122.58</f>
        <v>122.58</v>
      </c>
      <c r="D864" s="83">
        <f>297.941</f>
        <v>297.94099999999997</v>
      </c>
      <c r="E864" s="92">
        <f>89.177</f>
        <v>89.177000000000007</v>
      </c>
      <c r="F864" s="83">
        <f>240.302-40-60-100</f>
        <v>40.301999999999992</v>
      </c>
      <c r="G864" s="86">
        <v>40</v>
      </c>
      <c r="H864" s="83">
        <f>60+100</f>
        <v>160</v>
      </c>
      <c r="I864" s="83">
        <f t="shared" si="136"/>
        <v>0</v>
      </c>
      <c r="J864" s="86">
        <v>100</v>
      </c>
      <c r="K864" s="86">
        <v>300</v>
      </c>
      <c r="L864" s="83">
        <f t="shared" si="140"/>
        <v>1150</v>
      </c>
      <c r="M864" s="94">
        <v>600</v>
      </c>
      <c r="N864" s="83">
        <f>100</f>
        <v>100</v>
      </c>
      <c r="O864" s="86">
        <v>240</v>
      </c>
      <c r="P864" s="86">
        <v>40</v>
      </c>
      <c r="Q864" s="86">
        <f t="shared" si="141"/>
        <v>315</v>
      </c>
      <c r="R864" s="86">
        <f t="shared" si="142"/>
        <v>100</v>
      </c>
      <c r="S864" s="83">
        <f t="shared" si="143"/>
        <v>695</v>
      </c>
      <c r="T864" s="83">
        <f>50</f>
        <v>50</v>
      </c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</row>
    <row r="865" spans="1:30" ht="15.75" x14ac:dyDescent="0.25">
      <c r="A865" s="13">
        <v>67266</v>
      </c>
      <c r="B865" s="95">
        <f t="shared" si="144"/>
        <v>29</v>
      </c>
      <c r="C865" s="83">
        <f>122.58</f>
        <v>122.58</v>
      </c>
      <c r="D865" s="83">
        <f>297.941</f>
        <v>297.94099999999997</v>
      </c>
      <c r="E865" s="92">
        <f>89.177</f>
        <v>89.177000000000007</v>
      </c>
      <c r="F865" s="83">
        <f>240.302-40-60-100</f>
        <v>40.301999999999992</v>
      </c>
      <c r="G865" s="86">
        <v>40</v>
      </c>
      <c r="H865" s="83">
        <f>60+100</f>
        <v>160</v>
      </c>
      <c r="I865" s="83">
        <f t="shared" si="136"/>
        <v>0</v>
      </c>
      <c r="J865" s="86">
        <v>100</v>
      </c>
      <c r="K865" s="86">
        <v>300</v>
      </c>
      <c r="L865" s="83">
        <f t="shared" si="140"/>
        <v>1150</v>
      </c>
      <c r="M865" s="94">
        <v>600</v>
      </c>
      <c r="N865" s="83">
        <f>100</f>
        <v>100</v>
      </c>
      <c r="O865" s="86">
        <v>240</v>
      </c>
      <c r="P865" s="86">
        <v>40</v>
      </c>
      <c r="Q865" s="86">
        <f t="shared" si="141"/>
        <v>315</v>
      </c>
      <c r="R865" s="86">
        <f t="shared" si="142"/>
        <v>100</v>
      </c>
      <c r="S865" s="83">
        <f t="shared" si="143"/>
        <v>695</v>
      </c>
      <c r="T865" s="83">
        <f>50</f>
        <v>50</v>
      </c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</row>
    <row r="866" spans="1:30" ht="15.75" x14ac:dyDescent="0.25">
      <c r="A866" s="13">
        <v>67297</v>
      </c>
      <c r="B866" s="95">
        <f t="shared" si="144"/>
        <v>31</v>
      </c>
      <c r="C866" s="83">
        <f>122.58</f>
        <v>122.58</v>
      </c>
      <c r="D866" s="83">
        <f>297.941</f>
        <v>297.94099999999997</v>
      </c>
      <c r="E866" s="92">
        <f>89.177</f>
        <v>89.177000000000007</v>
      </c>
      <c r="F866" s="83">
        <f>240.302-40-60-100</f>
        <v>40.301999999999992</v>
      </c>
      <c r="G866" s="86">
        <v>40</v>
      </c>
      <c r="H866" s="83">
        <f>60+100</f>
        <v>160</v>
      </c>
      <c r="I866" s="83">
        <f t="shared" si="136"/>
        <v>0</v>
      </c>
      <c r="J866" s="86">
        <v>100</v>
      </c>
      <c r="K866" s="86">
        <v>300</v>
      </c>
      <c r="L866" s="83">
        <f t="shared" si="140"/>
        <v>1150</v>
      </c>
      <c r="M866" s="94">
        <v>600</v>
      </c>
      <c r="N866" s="83">
        <f>100</f>
        <v>100</v>
      </c>
      <c r="O866" s="86">
        <v>240</v>
      </c>
      <c r="P866" s="86">
        <v>40</v>
      </c>
      <c r="Q866" s="86">
        <f t="shared" si="141"/>
        <v>315</v>
      </c>
      <c r="R866" s="86">
        <f t="shared" si="142"/>
        <v>100</v>
      </c>
      <c r="S866" s="83">
        <f t="shared" si="143"/>
        <v>695</v>
      </c>
      <c r="T866" s="83">
        <f>50</f>
        <v>50</v>
      </c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</row>
    <row r="867" spans="1:30" ht="15.75" x14ac:dyDescent="0.25">
      <c r="A867" s="13">
        <v>67327</v>
      </c>
      <c r="B867" s="95">
        <f t="shared" si="144"/>
        <v>30</v>
      </c>
      <c r="C867" s="83">
        <f>141.293</f>
        <v>141.29300000000001</v>
      </c>
      <c r="D867" s="83">
        <f>267.993</f>
        <v>267.99299999999999</v>
      </c>
      <c r="E867" s="92">
        <f>115.016</f>
        <v>115.01600000000001</v>
      </c>
      <c r="F867" s="83">
        <f>314.698-40-25-60-100</f>
        <v>89.697999999999979</v>
      </c>
      <c r="G867" s="86">
        <v>40</v>
      </c>
      <c r="H867" s="83">
        <f t="shared" ref="H867:H873" si="145">25+60+100</f>
        <v>185</v>
      </c>
      <c r="I867" s="83">
        <f t="shared" si="136"/>
        <v>0</v>
      </c>
      <c r="J867" s="86">
        <v>100</v>
      </c>
      <c r="K867" s="86">
        <v>300</v>
      </c>
      <c r="L867" s="83">
        <f t="shared" si="140"/>
        <v>1239</v>
      </c>
      <c r="M867" s="94">
        <v>600</v>
      </c>
      <c r="N867" s="83">
        <f>100</f>
        <v>100</v>
      </c>
      <c r="O867" s="86">
        <v>240</v>
      </c>
      <c r="P867" s="86">
        <v>40</v>
      </c>
      <c r="Q867" s="86">
        <f t="shared" si="141"/>
        <v>315</v>
      </c>
      <c r="R867" s="86">
        <f t="shared" si="142"/>
        <v>100</v>
      </c>
      <c r="S867" s="83">
        <f t="shared" si="143"/>
        <v>695</v>
      </c>
      <c r="T867" s="83">
        <f>50</f>
        <v>50</v>
      </c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</row>
    <row r="868" spans="1:30" ht="15.75" x14ac:dyDescent="0.25">
      <c r="A868" s="13">
        <v>67358</v>
      </c>
      <c r="B868" s="95">
        <f t="shared" si="144"/>
        <v>31</v>
      </c>
      <c r="C868" s="83">
        <f>194.205</f>
        <v>194.20500000000001</v>
      </c>
      <c r="D868" s="83">
        <f>267.466</f>
        <v>267.46600000000001</v>
      </c>
      <c r="E868" s="92">
        <f>133.845</f>
        <v>133.845</v>
      </c>
      <c r="F868" s="83">
        <f>278.484-40-25-60-100</f>
        <v>53.48399999999998</v>
      </c>
      <c r="G868" s="86">
        <v>40</v>
      </c>
      <c r="H868" s="83">
        <f t="shared" si="145"/>
        <v>185</v>
      </c>
      <c r="I868" s="83">
        <f t="shared" si="136"/>
        <v>0</v>
      </c>
      <c r="J868" s="86">
        <v>100</v>
      </c>
      <c r="K868" s="86">
        <v>300</v>
      </c>
      <c r="L868" s="83">
        <f t="shared" si="140"/>
        <v>1274</v>
      </c>
      <c r="M868" s="94">
        <v>600</v>
      </c>
      <c r="N868" s="83">
        <f>75</f>
        <v>75</v>
      </c>
      <c r="O868" s="86">
        <v>240</v>
      </c>
      <c r="P868" s="86">
        <v>40</v>
      </c>
      <c r="Q868" s="86">
        <f t="shared" si="141"/>
        <v>315</v>
      </c>
      <c r="R868" s="86">
        <f t="shared" si="142"/>
        <v>100</v>
      </c>
      <c r="S868" s="83">
        <f t="shared" si="143"/>
        <v>695</v>
      </c>
      <c r="T868" s="83">
        <f>50</f>
        <v>50</v>
      </c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</row>
    <row r="869" spans="1:30" ht="15.75" x14ac:dyDescent="0.25">
      <c r="A869" s="13">
        <v>67388</v>
      </c>
      <c r="B869" s="95">
        <f t="shared" si="144"/>
        <v>30</v>
      </c>
      <c r="C869" s="83">
        <f>194.205</f>
        <v>194.20500000000001</v>
      </c>
      <c r="D869" s="83">
        <f>267.466</f>
        <v>267.46600000000001</v>
      </c>
      <c r="E869" s="92">
        <f>133.845</f>
        <v>133.845</v>
      </c>
      <c r="F869" s="83">
        <f>278.484-40-25-60-100</f>
        <v>53.48399999999998</v>
      </c>
      <c r="G869" s="86">
        <v>40</v>
      </c>
      <c r="H869" s="83">
        <f t="shared" si="145"/>
        <v>185</v>
      </c>
      <c r="I869" s="83">
        <f t="shared" si="136"/>
        <v>0</v>
      </c>
      <c r="J869" s="86">
        <v>100</v>
      </c>
      <c r="K869" s="86">
        <v>300</v>
      </c>
      <c r="L869" s="83">
        <f t="shared" si="140"/>
        <v>1274</v>
      </c>
      <c r="M869" s="94">
        <v>600</v>
      </c>
      <c r="N869" s="83">
        <f>30</f>
        <v>30</v>
      </c>
      <c r="O869" s="86">
        <v>240</v>
      </c>
      <c r="P869" s="86">
        <v>40</v>
      </c>
      <c r="Q869" s="86">
        <f t="shared" si="141"/>
        <v>315</v>
      </c>
      <c r="R869" s="86">
        <f t="shared" si="142"/>
        <v>100</v>
      </c>
      <c r="S869" s="83">
        <f t="shared" si="143"/>
        <v>695</v>
      </c>
      <c r="T869" s="83">
        <f>50</f>
        <v>50</v>
      </c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</row>
    <row r="870" spans="1:30" ht="15.75" x14ac:dyDescent="0.25">
      <c r="A870" s="13">
        <v>67419</v>
      </c>
      <c r="B870" s="95">
        <f t="shared" si="144"/>
        <v>31</v>
      </c>
      <c r="C870" s="83">
        <f>194.205</f>
        <v>194.20500000000001</v>
      </c>
      <c r="D870" s="83">
        <f>267.466</f>
        <v>267.46600000000001</v>
      </c>
      <c r="E870" s="92">
        <f>133.845</f>
        <v>133.845</v>
      </c>
      <c r="F870" s="83">
        <f>278.484-40-25-60-100</f>
        <v>53.48399999999998</v>
      </c>
      <c r="G870" s="86">
        <v>40</v>
      </c>
      <c r="H870" s="83">
        <f t="shared" si="145"/>
        <v>185</v>
      </c>
      <c r="I870" s="83">
        <f t="shared" si="136"/>
        <v>0</v>
      </c>
      <c r="J870" s="86">
        <v>100</v>
      </c>
      <c r="K870" s="86">
        <v>300</v>
      </c>
      <c r="L870" s="83">
        <f t="shared" si="140"/>
        <v>1274</v>
      </c>
      <c r="M870" s="94">
        <v>600</v>
      </c>
      <c r="N870" s="83">
        <f>30</f>
        <v>30</v>
      </c>
      <c r="O870" s="86">
        <v>240</v>
      </c>
      <c r="P870" s="86">
        <v>40</v>
      </c>
      <c r="Q870" s="86">
        <f t="shared" si="141"/>
        <v>315</v>
      </c>
      <c r="R870" s="86">
        <f t="shared" si="142"/>
        <v>100</v>
      </c>
      <c r="S870" s="83">
        <f t="shared" si="143"/>
        <v>695</v>
      </c>
      <c r="T870" s="83">
        <f>0</f>
        <v>0</v>
      </c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</row>
    <row r="871" spans="1:30" ht="15.75" x14ac:dyDescent="0.25">
      <c r="A871" s="13">
        <v>67450</v>
      </c>
      <c r="B871" s="95">
        <f t="shared" si="144"/>
        <v>31</v>
      </c>
      <c r="C871" s="83">
        <f>194.205</f>
        <v>194.20500000000001</v>
      </c>
      <c r="D871" s="83">
        <f>267.466</f>
        <v>267.46600000000001</v>
      </c>
      <c r="E871" s="92">
        <f>133.845</f>
        <v>133.845</v>
      </c>
      <c r="F871" s="83">
        <f>278.484-40-25-60-100</f>
        <v>53.48399999999998</v>
      </c>
      <c r="G871" s="86">
        <v>40</v>
      </c>
      <c r="H871" s="83">
        <f t="shared" si="145"/>
        <v>185</v>
      </c>
      <c r="I871" s="83">
        <f t="shared" si="136"/>
        <v>0</v>
      </c>
      <c r="J871" s="86">
        <v>100</v>
      </c>
      <c r="K871" s="86">
        <v>300</v>
      </c>
      <c r="L871" s="83">
        <f t="shared" si="140"/>
        <v>1274</v>
      </c>
      <c r="M871" s="94">
        <v>600</v>
      </c>
      <c r="N871" s="83">
        <f>30</f>
        <v>30</v>
      </c>
      <c r="O871" s="86">
        <v>240</v>
      </c>
      <c r="P871" s="86">
        <v>40</v>
      </c>
      <c r="Q871" s="86">
        <f t="shared" si="141"/>
        <v>315</v>
      </c>
      <c r="R871" s="86">
        <f t="shared" si="142"/>
        <v>100</v>
      </c>
      <c r="S871" s="83">
        <f t="shared" si="143"/>
        <v>695</v>
      </c>
      <c r="T871" s="83">
        <f>0</f>
        <v>0</v>
      </c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</row>
    <row r="872" spans="1:30" ht="15.75" x14ac:dyDescent="0.25">
      <c r="A872" s="13">
        <v>67480</v>
      </c>
      <c r="B872" s="95">
        <f t="shared" si="144"/>
        <v>30</v>
      </c>
      <c r="C872" s="83">
        <f>194.205</f>
        <v>194.20500000000001</v>
      </c>
      <c r="D872" s="83">
        <f>267.466</f>
        <v>267.46600000000001</v>
      </c>
      <c r="E872" s="92">
        <f>133.845</f>
        <v>133.845</v>
      </c>
      <c r="F872" s="83">
        <f>278.484-40-25-60-100</f>
        <v>53.48399999999998</v>
      </c>
      <c r="G872" s="86">
        <v>40</v>
      </c>
      <c r="H872" s="83">
        <f t="shared" si="145"/>
        <v>185</v>
      </c>
      <c r="I872" s="83">
        <f t="shared" si="136"/>
        <v>0</v>
      </c>
      <c r="J872" s="86">
        <v>100</v>
      </c>
      <c r="K872" s="86">
        <v>300</v>
      </c>
      <c r="L872" s="83">
        <f t="shared" si="140"/>
        <v>1274</v>
      </c>
      <c r="M872" s="94">
        <v>600</v>
      </c>
      <c r="N872" s="83">
        <f>30</f>
        <v>30</v>
      </c>
      <c r="O872" s="86">
        <v>240</v>
      </c>
      <c r="P872" s="86">
        <v>40</v>
      </c>
      <c r="Q872" s="86">
        <f t="shared" si="141"/>
        <v>315</v>
      </c>
      <c r="R872" s="86">
        <f t="shared" si="142"/>
        <v>100</v>
      </c>
      <c r="S872" s="83">
        <f t="shared" si="143"/>
        <v>695</v>
      </c>
      <c r="T872" s="83">
        <f>0</f>
        <v>0</v>
      </c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</row>
    <row r="873" spans="1:30" ht="15.75" x14ac:dyDescent="0.25">
      <c r="A873" s="13">
        <v>67511</v>
      </c>
      <c r="B873" s="95">
        <f t="shared" si="144"/>
        <v>31</v>
      </c>
      <c r="C873" s="83">
        <f>131.881</f>
        <v>131.881</v>
      </c>
      <c r="D873" s="83">
        <f>277.167</f>
        <v>277.16699999999997</v>
      </c>
      <c r="E873" s="92">
        <f>79.08</f>
        <v>79.08</v>
      </c>
      <c r="F873" s="83">
        <f>350.872-40-25-60-100</f>
        <v>125.87200000000001</v>
      </c>
      <c r="G873" s="86">
        <v>40</v>
      </c>
      <c r="H873" s="83">
        <f t="shared" si="145"/>
        <v>185</v>
      </c>
      <c r="I873" s="83">
        <f t="shared" si="136"/>
        <v>0</v>
      </c>
      <c r="J873" s="86">
        <v>100</v>
      </c>
      <c r="K873" s="86">
        <v>300</v>
      </c>
      <c r="L873" s="83">
        <f t="shared" si="140"/>
        <v>1239</v>
      </c>
      <c r="M873" s="94">
        <v>600</v>
      </c>
      <c r="N873" s="83">
        <f>75</f>
        <v>75</v>
      </c>
      <c r="O873" s="86">
        <v>240</v>
      </c>
      <c r="P873" s="86">
        <v>40</v>
      </c>
      <c r="Q873" s="86">
        <f t="shared" si="141"/>
        <v>315</v>
      </c>
      <c r="R873" s="86">
        <f t="shared" si="142"/>
        <v>100</v>
      </c>
      <c r="S873" s="83">
        <f t="shared" si="143"/>
        <v>695</v>
      </c>
      <c r="T873" s="83">
        <f>0</f>
        <v>0</v>
      </c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</row>
    <row r="874" spans="1:30" ht="15.75" x14ac:dyDescent="0.25">
      <c r="A874" s="13">
        <v>67541</v>
      </c>
      <c r="B874" s="95">
        <f t="shared" si="144"/>
        <v>30</v>
      </c>
      <c r="C874" s="83">
        <f>122.58</f>
        <v>122.58</v>
      </c>
      <c r="D874" s="83">
        <f>297.941</f>
        <v>297.94099999999997</v>
      </c>
      <c r="E874" s="92">
        <f>89.177</f>
        <v>89.177000000000007</v>
      </c>
      <c r="F874" s="83">
        <f>240.302-40-60-100</f>
        <v>40.301999999999992</v>
      </c>
      <c r="G874" s="86">
        <v>40</v>
      </c>
      <c r="H874" s="83">
        <f>60+100</f>
        <v>160</v>
      </c>
      <c r="I874" s="83">
        <f t="shared" si="136"/>
        <v>0</v>
      </c>
      <c r="J874" s="86">
        <v>100</v>
      </c>
      <c r="K874" s="86">
        <v>300</v>
      </c>
      <c r="L874" s="83">
        <f t="shared" si="140"/>
        <v>1150</v>
      </c>
      <c r="M874" s="94">
        <v>600</v>
      </c>
      <c r="N874" s="83">
        <f>100</f>
        <v>100</v>
      </c>
      <c r="O874" s="86">
        <v>240</v>
      </c>
      <c r="P874" s="86">
        <v>40</v>
      </c>
      <c r="Q874" s="86">
        <f t="shared" si="141"/>
        <v>315</v>
      </c>
      <c r="R874" s="86">
        <f t="shared" si="142"/>
        <v>100</v>
      </c>
      <c r="S874" s="83">
        <f t="shared" si="143"/>
        <v>695</v>
      </c>
      <c r="T874" s="83">
        <f>50</f>
        <v>50</v>
      </c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</row>
    <row r="875" spans="1:30" ht="15.75" x14ac:dyDescent="0.25">
      <c r="A875" s="13">
        <v>67572</v>
      </c>
      <c r="B875" s="95">
        <f t="shared" si="144"/>
        <v>31</v>
      </c>
      <c r="C875" s="83">
        <f>122.58</f>
        <v>122.58</v>
      </c>
      <c r="D875" s="83">
        <f>297.941</f>
        <v>297.94099999999997</v>
      </c>
      <c r="E875" s="92">
        <f>89.177</f>
        <v>89.177000000000007</v>
      </c>
      <c r="F875" s="83">
        <f>240.302-40-60-100</f>
        <v>40.301999999999992</v>
      </c>
      <c r="G875" s="86">
        <v>40</v>
      </c>
      <c r="H875" s="83">
        <f>60+100</f>
        <v>160</v>
      </c>
      <c r="I875" s="83">
        <f t="shared" si="136"/>
        <v>0</v>
      </c>
      <c r="J875" s="86">
        <v>100</v>
      </c>
      <c r="K875" s="86">
        <v>300</v>
      </c>
      <c r="L875" s="83">
        <f t="shared" si="140"/>
        <v>1150</v>
      </c>
      <c r="M875" s="94">
        <v>600</v>
      </c>
      <c r="N875" s="83">
        <f>100</f>
        <v>100</v>
      </c>
      <c r="O875" s="86">
        <v>240</v>
      </c>
      <c r="P875" s="86">
        <v>40</v>
      </c>
      <c r="Q875" s="86">
        <f t="shared" si="141"/>
        <v>315</v>
      </c>
      <c r="R875" s="86">
        <f t="shared" si="142"/>
        <v>100</v>
      </c>
      <c r="S875" s="83">
        <f t="shared" si="143"/>
        <v>695</v>
      </c>
      <c r="T875" s="83">
        <f>50</f>
        <v>50</v>
      </c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</row>
    <row r="876" spans="1:30" ht="15.75" x14ac:dyDescent="0.25">
      <c r="A876" s="13">
        <v>67603</v>
      </c>
      <c r="B876" s="95">
        <f t="shared" si="144"/>
        <v>31</v>
      </c>
      <c r="C876" s="83">
        <f>122.58</f>
        <v>122.58</v>
      </c>
      <c r="D876" s="83">
        <f>297.941</f>
        <v>297.94099999999997</v>
      </c>
      <c r="E876" s="92">
        <f>89.177</f>
        <v>89.177000000000007</v>
      </c>
      <c r="F876" s="83">
        <f>240.302-40-60-100</f>
        <v>40.301999999999992</v>
      </c>
      <c r="G876" s="86">
        <v>40</v>
      </c>
      <c r="H876" s="83">
        <f>60+100</f>
        <v>160</v>
      </c>
      <c r="I876" s="83">
        <f t="shared" si="136"/>
        <v>0</v>
      </c>
      <c r="J876" s="86">
        <v>100</v>
      </c>
      <c r="K876" s="86">
        <v>300</v>
      </c>
      <c r="L876" s="83">
        <f t="shared" si="140"/>
        <v>1150</v>
      </c>
      <c r="M876" s="94">
        <v>600</v>
      </c>
      <c r="N876" s="83">
        <f>100</f>
        <v>100</v>
      </c>
      <c r="O876" s="86">
        <v>240</v>
      </c>
      <c r="P876" s="86">
        <v>40</v>
      </c>
      <c r="Q876" s="86">
        <f t="shared" si="141"/>
        <v>315</v>
      </c>
      <c r="R876" s="86">
        <f t="shared" si="142"/>
        <v>100</v>
      </c>
      <c r="S876" s="83">
        <f t="shared" si="143"/>
        <v>695</v>
      </c>
      <c r="T876" s="83">
        <f>50</f>
        <v>50</v>
      </c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</row>
    <row r="877" spans="1:30" ht="15.75" x14ac:dyDescent="0.25">
      <c r="A877" s="13">
        <v>67631</v>
      </c>
      <c r="B877" s="95">
        <f t="shared" si="144"/>
        <v>28</v>
      </c>
      <c r="C877" s="83">
        <f>122.58</f>
        <v>122.58</v>
      </c>
      <c r="D877" s="83">
        <f>297.941</f>
        <v>297.94099999999997</v>
      </c>
      <c r="E877" s="92">
        <f>89.177</f>
        <v>89.177000000000007</v>
      </c>
      <c r="F877" s="83">
        <f>240.302-40-60-100</f>
        <v>40.301999999999992</v>
      </c>
      <c r="G877" s="86">
        <v>40</v>
      </c>
      <c r="H877" s="83">
        <f>60+100</f>
        <v>160</v>
      </c>
      <c r="I877" s="83">
        <f t="shared" si="136"/>
        <v>0</v>
      </c>
      <c r="J877" s="86">
        <v>100</v>
      </c>
      <c r="K877" s="86">
        <v>300</v>
      </c>
      <c r="L877" s="83">
        <f t="shared" si="140"/>
        <v>1150</v>
      </c>
      <c r="M877" s="94">
        <v>600</v>
      </c>
      <c r="N877" s="83">
        <f>100</f>
        <v>100</v>
      </c>
      <c r="O877" s="86">
        <v>240</v>
      </c>
      <c r="P877" s="86">
        <v>40</v>
      </c>
      <c r="Q877" s="86">
        <f t="shared" si="141"/>
        <v>315</v>
      </c>
      <c r="R877" s="86">
        <f t="shared" si="142"/>
        <v>100</v>
      </c>
      <c r="S877" s="83">
        <f t="shared" si="143"/>
        <v>695</v>
      </c>
      <c r="T877" s="83">
        <f>50</f>
        <v>50</v>
      </c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</row>
    <row r="878" spans="1:30" ht="15.75" x14ac:dyDescent="0.25">
      <c r="A878" s="13">
        <v>67662</v>
      </c>
      <c r="B878" s="95">
        <f t="shared" si="144"/>
        <v>31</v>
      </c>
      <c r="C878" s="83">
        <f>122.58</f>
        <v>122.58</v>
      </c>
      <c r="D878" s="83">
        <f>297.941</f>
        <v>297.94099999999997</v>
      </c>
      <c r="E878" s="92">
        <f>89.177</f>
        <v>89.177000000000007</v>
      </c>
      <c r="F878" s="83">
        <f>240.302-40-60-100</f>
        <v>40.301999999999992</v>
      </c>
      <c r="G878" s="86">
        <v>40</v>
      </c>
      <c r="H878" s="83">
        <f>60+100</f>
        <v>160</v>
      </c>
      <c r="I878" s="83">
        <f t="shared" si="136"/>
        <v>0</v>
      </c>
      <c r="J878" s="86">
        <v>100</v>
      </c>
      <c r="K878" s="86">
        <v>300</v>
      </c>
      <c r="L878" s="83">
        <f t="shared" si="140"/>
        <v>1150</v>
      </c>
      <c r="M878" s="94">
        <v>600</v>
      </c>
      <c r="N878" s="83">
        <f>100</f>
        <v>100</v>
      </c>
      <c r="O878" s="86">
        <v>240</v>
      </c>
      <c r="P878" s="86">
        <v>40</v>
      </c>
      <c r="Q878" s="86">
        <f t="shared" si="141"/>
        <v>315</v>
      </c>
      <c r="R878" s="86">
        <f t="shared" si="142"/>
        <v>100</v>
      </c>
      <c r="S878" s="83">
        <f t="shared" si="143"/>
        <v>695</v>
      </c>
      <c r="T878" s="83">
        <f>50</f>
        <v>50</v>
      </c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</row>
    <row r="879" spans="1:30" ht="15.75" x14ac:dyDescent="0.25">
      <c r="A879" s="13">
        <v>67692</v>
      </c>
      <c r="B879" s="95">
        <f t="shared" si="144"/>
        <v>30</v>
      </c>
      <c r="C879" s="83">
        <f>141.293</f>
        <v>141.29300000000001</v>
      </c>
      <c r="D879" s="83">
        <f>267.993</f>
        <v>267.99299999999999</v>
      </c>
      <c r="E879" s="92">
        <f>115.016</f>
        <v>115.01600000000001</v>
      </c>
      <c r="F879" s="83">
        <f>314.698-40-25-60-100</f>
        <v>89.697999999999979</v>
      </c>
      <c r="G879" s="86">
        <v>40</v>
      </c>
      <c r="H879" s="83">
        <f t="shared" ref="H879:H885" si="146">25+60+100</f>
        <v>185</v>
      </c>
      <c r="I879" s="83">
        <f t="shared" si="136"/>
        <v>0</v>
      </c>
      <c r="J879" s="86">
        <v>100</v>
      </c>
      <c r="K879" s="86">
        <v>300</v>
      </c>
      <c r="L879" s="83">
        <f t="shared" si="140"/>
        <v>1239</v>
      </c>
      <c r="M879" s="94">
        <v>600</v>
      </c>
      <c r="N879" s="83">
        <f>100</f>
        <v>100</v>
      </c>
      <c r="O879" s="86">
        <v>240</v>
      </c>
      <c r="P879" s="86">
        <v>40</v>
      </c>
      <c r="Q879" s="86">
        <f t="shared" si="141"/>
        <v>315</v>
      </c>
      <c r="R879" s="86">
        <f t="shared" si="142"/>
        <v>100</v>
      </c>
      <c r="S879" s="83">
        <f t="shared" si="143"/>
        <v>695</v>
      </c>
      <c r="T879" s="83">
        <f>50</f>
        <v>50</v>
      </c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</row>
    <row r="880" spans="1:30" ht="15.75" x14ac:dyDescent="0.25">
      <c r="A880" s="13">
        <v>67723</v>
      </c>
      <c r="B880" s="95">
        <f t="shared" si="144"/>
        <v>31</v>
      </c>
      <c r="C880" s="83">
        <f>194.205</f>
        <v>194.20500000000001</v>
      </c>
      <c r="D880" s="83">
        <f>267.466</f>
        <v>267.46600000000001</v>
      </c>
      <c r="E880" s="92">
        <f>133.845</f>
        <v>133.845</v>
      </c>
      <c r="F880" s="83">
        <f>278.484-40-25-60-100</f>
        <v>53.48399999999998</v>
      </c>
      <c r="G880" s="86">
        <v>40</v>
      </c>
      <c r="H880" s="83">
        <f t="shared" si="146"/>
        <v>185</v>
      </c>
      <c r="I880" s="83">
        <f t="shared" si="136"/>
        <v>0</v>
      </c>
      <c r="J880" s="86">
        <v>100</v>
      </c>
      <c r="K880" s="86">
        <v>300</v>
      </c>
      <c r="L880" s="83">
        <f t="shared" si="140"/>
        <v>1274</v>
      </c>
      <c r="M880" s="94">
        <v>600</v>
      </c>
      <c r="N880" s="83">
        <f>75</f>
        <v>75</v>
      </c>
      <c r="O880" s="86">
        <v>240</v>
      </c>
      <c r="P880" s="86">
        <v>40</v>
      </c>
      <c r="Q880" s="86">
        <f t="shared" si="141"/>
        <v>315</v>
      </c>
      <c r="R880" s="86">
        <f t="shared" si="142"/>
        <v>100</v>
      </c>
      <c r="S880" s="83">
        <f t="shared" si="143"/>
        <v>695</v>
      </c>
      <c r="T880" s="83">
        <f>50</f>
        <v>50</v>
      </c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</row>
    <row r="881" spans="1:30" ht="15.75" x14ac:dyDescent="0.25">
      <c r="A881" s="13">
        <v>67753</v>
      </c>
      <c r="B881" s="95">
        <f t="shared" si="144"/>
        <v>30</v>
      </c>
      <c r="C881" s="83">
        <f>194.205</f>
        <v>194.20500000000001</v>
      </c>
      <c r="D881" s="83">
        <f>267.466</f>
        <v>267.46600000000001</v>
      </c>
      <c r="E881" s="92">
        <f>133.845</f>
        <v>133.845</v>
      </c>
      <c r="F881" s="83">
        <f>278.484-40-25-60-100</f>
        <v>53.48399999999998</v>
      </c>
      <c r="G881" s="86">
        <v>40</v>
      </c>
      <c r="H881" s="83">
        <f t="shared" si="146"/>
        <v>185</v>
      </c>
      <c r="I881" s="83">
        <f t="shared" si="136"/>
        <v>0</v>
      </c>
      <c r="J881" s="86">
        <v>100</v>
      </c>
      <c r="K881" s="86">
        <v>300</v>
      </c>
      <c r="L881" s="83">
        <f t="shared" si="140"/>
        <v>1274</v>
      </c>
      <c r="M881" s="94">
        <v>600</v>
      </c>
      <c r="N881" s="83">
        <f>30</f>
        <v>30</v>
      </c>
      <c r="O881" s="86">
        <v>240</v>
      </c>
      <c r="P881" s="86">
        <v>40</v>
      </c>
      <c r="Q881" s="86">
        <f t="shared" si="141"/>
        <v>315</v>
      </c>
      <c r="R881" s="86">
        <f t="shared" si="142"/>
        <v>100</v>
      </c>
      <c r="S881" s="83">
        <f t="shared" si="143"/>
        <v>695</v>
      </c>
      <c r="T881" s="83">
        <f>50</f>
        <v>50</v>
      </c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</row>
    <row r="882" spans="1:30" ht="15.75" x14ac:dyDescent="0.25">
      <c r="A882" s="13">
        <v>67784</v>
      </c>
      <c r="B882" s="95">
        <f t="shared" si="144"/>
        <v>31</v>
      </c>
      <c r="C882" s="83">
        <f>194.205</f>
        <v>194.20500000000001</v>
      </c>
      <c r="D882" s="83">
        <f>267.466</f>
        <v>267.46600000000001</v>
      </c>
      <c r="E882" s="92">
        <f>133.845</f>
        <v>133.845</v>
      </c>
      <c r="F882" s="83">
        <f>278.484-40-25-60-100</f>
        <v>53.48399999999998</v>
      </c>
      <c r="G882" s="86">
        <v>40</v>
      </c>
      <c r="H882" s="83">
        <f t="shared" si="146"/>
        <v>185</v>
      </c>
      <c r="I882" s="83">
        <f t="shared" si="136"/>
        <v>0</v>
      </c>
      <c r="J882" s="86">
        <v>100</v>
      </c>
      <c r="K882" s="86">
        <v>300</v>
      </c>
      <c r="L882" s="83">
        <f t="shared" si="140"/>
        <v>1274</v>
      </c>
      <c r="M882" s="94">
        <v>600</v>
      </c>
      <c r="N882" s="83">
        <f>30</f>
        <v>30</v>
      </c>
      <c r="O882" s="86">
        <v>240</v>
      </c>
      <c r="P882" s="86">
        <v>40</v>
      </c>
      <c r="Q882" s="86">
        <f t="shared" si="141"/>
        <v>315</v>
      </c>
      <c r="R882" s="86">
        <f t="shared" si="142"/>
        <v>100</v>
      </c>
      <c r="S882" s="83">
        <f t="shared" si="143"/>
        <v>695</v>
      </c>
      <c r="T882" s="83">
        <f>0</f>
        <v>0</v>
      </c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</row>
    <row r="883" spans="1:30" ht="15.75" x14ac:dyDescent="0.25">
      <c r="A883" s="13">
        <v>67815</v>
      </c>
      <c r="B883" s="95">
        <f t="shared" si="144"/>
        <v>31</v>
      </c>
      <c r="C883" s="83">
        <f>194.205</f>
        <v>194.20500000000001</v>
      </c>
      <c r="D883" s="83">
        <f>267.466</f>
        <v>267.46600000000001</v>
      </c>
      <c r="E883" s="92">
        <f>133.845</f>
        <v>133.845</v>
      </c>
      <c r="F883" s="83">
        <f>278.484-40-25-60-100</f>
        <v>53.48399999999998</v>
      </c>
      <c r="G883" s="86">
        <v>40</v>
      </c>
      <c r="H883" s="83">
        <f t="shared" si="146"/>
        <v>185</v>
      </c>
      <c r="I883" s="83">
        <f t="shared" si="136"/>
        <v>0</v>
      </c>
      <c r="J883" s="86">
        <v>100</v>
      </c>
      <c r="K883" s="86">
        <v>300</v>
      </c>
      <c r="L883" s="83">
        <f t="shared" si="140"/>
        <v>1274</v>
      </c>
      <c r="M883" s="94">
        <v>600</v>
      </c>
      <c r="N883" s="83">
        <f>30</f>
        <v>30</v>
      </c>
      <c r="O883" s="86">
        <v>240</v>
      </c>
      <c r="P883" s="86">
        <v>40</v>
      </c>
      <c r="Q883" s="86">
        <f t="shared" si="141"/>
        <v>315</v>
      </c>
      <c r="R883" s="86">
        <f t="shared" si="142"/>
        <v>100</v>
      </c>
      <c r="S883" s="83">
        <f t="shared" si="143"/>
        <v>695</v>
      </c>
      <c r="T883" s="83">
        <f>0</f>
        <v>0</v>
      </c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</row>
    <row r="884" spans="1:30" ht="15.75" x14ac:dyDescent="0.25">
      <c r="A884" s="13">
        <v>67845</v>
      </c>
      <c r="B884" s="95">
        <f t="shared" si="144"/>
        <v>30</v>
      </c>
      <c r="C884" s="83">
        <f>194.205</f>
        <v>194.20500000000001</v>
      </c>
      <c r="D884" s="83">
        <f>267.466</f>
        <v>267.46600000000001</v>
      </c>
      <c r="E884" s="92">
        <f>133.845</f>
        <v>133.845</v>
      </c>
      <c r="F884" s="83">
        <f>278.484-40-25-60-100</f>
        <v>53.48399999999998</v>
      </c>
      <c r="G884" s="86">
        <v>40</v>
      </c>
      <c r="H884" s="83">
        <f t="shared" si="146"/>
        <v>185</v>
      </c>
      <c r="I884" s="83">
        <f t="shared" ref="I884:I947" si="147">400-J884-K884</f>
        <v>0</v>
      </c>
      <c r="J884" s="86">
        <v>100</v>
      </c>
      <c r="K884" s="86">
        <v>300</v>
      </c>
      <c r="L884" s="83">
        <f t="shared" si="140"/>
        <v>1274</v>
      </c>
      <c r="M884" s="94">
        <v>600</v>
      </c>
      <c r="N884" s="83">
        <f>30</f>
        <v>30</v>
      </c>
      <c r="O884" s="86">
        <v>240</v>
      </c>
      <c r="P884" s="86">
        <v>40</v>
      </c>
      <c r="Q884" s="86">
        <f t="shared" si="141"/>
        <v>315</v>
      </c>
      <c r="R884" s="86">
        <f t="shared" si="142"/>
        <v>100</v>
      </c>
      <c r="S884" s="83">
        <f t="shared" si="143"/>
        <v>695</v>
      </c>
      <c r="T884" s="83">
        <f>0</f>
        <v>0</v>
      </c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</row>
    <row r="885" spans="1:30" ht="15.75" x14ac:dyDescent="0.25">
      <c r="A885" s="13">
        <v>67876</v>
      </c>
      <c r="B885" s="95">
        <f t="shared" si="144"/>
        <v>31</v>
      </c>
      <c r="C885" s="83">
        <f>131.881</f>
        <v>131.881</v>
      </c>
      <c r="D885" s="83">
        <f>277.167</f>
        <v>277.16699999999997</v>
      </c>
      <c r="E885" s="92">
        <f>79.08</f>
        <v>79.08</v>
      </c>
      <c r="F885" s="83">
        <f>350.872-40-25-60-100</f>
        <v>125.87200000000001</v>
      </c>
      <c r="G885" s="86">
        <v>40</v>
      </c>
      <c r="H885" s="83">
        <f t="shared" si="146"/>
        <v>185</v>
      </c>
      <c r="I885" s="83">
        <f t="shared" si="147"/>
        <v>0</v>
      </c>
      <c r="J885" s="86">
        <v>100</v>
      </c>
      <c r="K885" s="86">
        <v>300</v>
      </c>
      <c r="L885" s="83">
        <f t="shared" si="140"/>
        <v>1239</v>
      </c>
      <c r="M885" s="94">
        <v>600</v>
      </c>
      <c r="N885" s="83">
        <f>75</f>
        <v>75</v>
      </c>
      <c r="O885" s="86">
        <v>240</v>
      </c>
      <c r="P885" s="86">
        <v>40</v>
      </c>
      <c r="Q885" s="86">
        <f t="shared" si="141"/>
        <v>315</v>
      </c>
      <c r="R885" s="86">
        <f t="shared" si="142"/>
        <v>100</v>
      </c>
      <c r="S885" s="83">
        <f t="shared" si="143"/>
        <v>695</v>
      </c>
      <c r="T885" s="83">
        <f>0</f>
        <v>0</v>
      </c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</row>
    <row r="886" spans="1:30" ht="15.75" x14ac:dyDescent="0.25">
      <c r="A886" s="13">
        <v>67906</v>
      </c>
      <c r="B886" s="95">
        <f t="shared" si="144"/>
        <v>30</v>
      </c>
      <c r="C886" s="83">
        <f>122.58</f>
        <v>122.58</v>
      </c>
      <c r="D886" s="83">
        <f>297.941</f>
        <v>297.94099999999997</v>
      </c>
      <c r="E886" s="92">
        <f>89.177</f>
        <v>89.177000000000007</v>
      </c>
      <c r="F886" s="83">
        <f>240.302-40-60-100</f>
        <v>40.301999999999992</v>
      </c>
      <c r="G886" s="86">
        <v>40</v>
      </c>
      <c r="H886" s="83">
        <f>60+100</f>
        <v>160</v>
      </c>
      <c r="I886" s="83">
        <f t="shared" si="147"/>
        <v>0</v>
      </c>
      <c r="J886" s="86">
        <v>100</v>
      </c>
      <c r="K886" s="86">
        <v>300</v>
      </c>
      <c r="L886" s="83">
        <f t="shared" si="140"/>
        <v>1150</v>
      </c>
      <c r="M886" s="94">
        <v>600</v>
      </c>
      <c r="N886" s="83">
        <f>100</f>
        <v>100</v>
      </c>
      <c r="O886" s="86">
        <v>240</v>
      </c>
      <c r="P886" s="86">
        <v>40</v>
      </c>
      <c r="Q886" s="86">
        <f t="shared" si="141"/>
        <v>315</v>
      </c>
      <c r="R886" s="86">
        <f t="shared" si="142"/>
        <v>100</v>
      </c>
      <c r="S886" s="83">
        <f t="shared" si="143"/>
        <v>695</v>
      </c>
      <c r="T886" s="83">
        <f>50</f>
        <v>50</v>
      </c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</row>
    <row r="887" spans="1:30" ht="15.75" x14ac:dyDescent="0.25">
      <c r="A887" s="13">
        <v>67937</v>
      </c>
      <c r="B887" s="95">
        <f t="shared" si="144"/>
        <v>31</v>
      </c>
      <c r="C887" s="83">
        <f>122.58</f>
        <v>122.58</v>
      </c>
      <c r="D887" s="83">
        <f>297.941</f>
        <v>297.94099999999997</v>
      </c>
      <c r="E887" s="92">
        <f>89.177</f>
        <v>89.177000000000007</v>
      </c>
      <c r="F887" s="83">
        <f>240.302-40-60-100</f>
        <v>40.301999999999992</v>
      </c>
      <c r="G887" s="86">
        <v>40</v>
      </c>
      <c r="H887" s="83">
        <f>60+100</f>
        <v>160</v>
      </c>
      <c r="I887" s="83">
        <f t="shared" si="147"/>
        <v>0</v>
      </c>
      <c r="J887" s="86">
        <v>100</v>
      </c>
      <c r="K887" s="86">
        <v>300</v>
      </c>
      <c r="L887" s="83">
        <f t="shared" si="140"/>
        <v>1150</v>
      </c>
      <c r="M887" s="94">
        <v>600</v>
      </c>
      <c r="N887" s="83">
        <f>100</f>
        <v>100</v>
      </c>
      <c r="O887" s="86">
        <v>240</v>
      </c>
      <c r="P887" s="86">
        <v>40</v>
      </c>
      <c r="Q887" s="86">
        <f t="shared" si="141"/>
        <v>315</v>
      </c>
      <c r="R887" s="86">
        <f t="shared" si="142"/>
        <v>100</v>
      </c>
      <c r="S887" s="83">
        <f t="shared" si="143"/>
        <v>695</v>
      </c>
      <c r="T887" s="83">
        <f>50</f>
        <v>50</v>
      </c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</row>
    <row r="888" spans="1:30" ht="15.75" x14ac:dyDescent="0.25">
      <c r="A888" s="13">
        <v>67968</v>
      </c>
      <c r="B888" s="95">
        <f t="shared" si="144"/>
        <v>31</v>
      </c>
      <c r="C888" s="83">
        <f>122.58</f>
        <v>122.58</v>
      </c>
      <c r="D888" s="83">
        <f>297.941</f>
        <v>297.94099999999997</v>
      </c>
      <c r="E888" s="92">
        <f>89.177</f>
        <v>89.177000000000007</v>
      </c>
      <c r="F888" s="83">
        <f>240.302-40-60-100</f>
        <v>40.301999999999992</v>
      </c>
      <c r="G888" s="86">
        <v>40</v>
      </c>
      <c r="H888" s="83">
        <f>60+100</f>
        <v>160</v>
      </c>
      <c r="I888" s="83">
        <f t="shared" si="147"/>
        <v>0</v>
      </c>
      <c r="J888" s="86">
        <v>100</v>
      </c>
      <c r="K888" s="86">
        <v>300</v>
      </c>
      <c r="L888" s="83">
        <f t="shared" si="140"/>
        <v>1150</v>
      </c>
      <c r="M888" s="94">
        <v>600</v>
      </c>
      <c r="N888" s="83">
        <f>100</f>
        <v>100</v>
      </c>
      <c r="O888" s="86">
        <v>240</v>
      </c>
      <c r="P888" s="86">
        <v>40</v>
      </c>
      <c r="Q888" s="86">
        <f t="shared" si="141"/>
        <v>315</v>
      </c>
      <c r="R888" s="86">
        <f t="shared" si="142"/>
        <v>100</v>
      </c>
      <c r="S888" s="83">
        <f t="shared" si="143"/>
        <v>695</v>
      </c>
      <c r="T888" s="83">
        <f>50</f>
        <v>50</v>
      </c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</row>
    <row r="889" spans="1:30" ht="15.75" x14ac:dyDescent="0.25">
      <c r="A889" s="13">
        <v>67996</v>
      </c>
      <c r="B889" s="95">
        <f t="shared" si="144"/>
        <v>28</v>
      </c>
      <c r="C889" s="83">
        <f>122.58</f>
        <v>122.58</v>
      </c>
      <c r="D889" s="83">
        <f>297.941</f>
        <v>297.94099999999997</v>
      </c>
      <c r="E889" s="92">
        <f>89.177</f>
        <v>89.177000000000007</v>
      </c>
      <c r="F889" s="83">
        <f>240.302-40-60-100</f>
        <v>40.301999999999992</v>
      </c>
      <c r="G889" s="86">
        <v>40</v>
      </c>
      <c r="H889" s="83">
        <f>60+100</f>
        <v>160</v>
      </c>
      <c r="I889" s="83">
        <f t="shared" si="147"/>
        <v>0</v>
      </c>
      <c r="J889" s="86">
        <v>100</v>
      </c>
      <c r="K889" s="86">
        <v>300</v>
      </c>
      <c r="L889" s="83">
        <f t="shared" si="140"/>
        <v>1150</v>
      </c>
      <c r="M889" s="94">
        <v>600</v>
      </c>
      <c r="N889" s="83">
        <f>100</f>
        <v>100</v>
      </c>
      <c r="O889" s="86">
        <v>240</v>
      </c>
      <c r="P889" s="86">
        <v>40</v>
      </c>
      <c r="Q889" s="86">
        <f t="shared" si="141"/>
        <v>315</v>
      </c>
      <c r="R889" s="86">
        <f t="shared" si="142"/>
        <v>100</v>
      </c>
      <c r="S889" s="83">
        <f t="shared" si="143"/>
        <v>695</v>
      </c>
      <c r="T889" s="83">
        <f>50</f>
        <v>50</v>
      </c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</row>
    <row r="890" spans="1:30" ht="15.75" x14ac:dyDescent="0.25">
      <c r="A890" s="13">
        <v>68027</v>
      </c>
      <c r="B890" s="95">
        <f t="shared" si="144"/>
        <v>31</v>
      </c>
      <c r="C890" s="83">
        <f>122.58</f>
        <v>122.58</v>
      </c>
      <c r="D890" s="83">
        <f>297.941</f>
        <v>297.94099999999997</v>
      </c>
      <c r="E890" s="92">
        <f>89.177</f>
        <v>89.177000000000007</v>
      </c>
      <c r="F890" s="83">
        <f>240.302-40-60-100</f>
        <v>40.301999999999992</v>
      </c>
      <c r="G890" s="86">
        <v>40</v>
      </c>
      <c r="H890" s="83">
        <f>60+100</f>
        <v>160</v>
      </c>
      <c r="I890" s="83">
        <f t="shared" si="147"/>
        <v>0</v>
      </c>
      <c r="J890" s="86">
        <v>100</v>
      </c>
      <c r="K890" s="86">
        <v>300</v>
      </c>
      <c r="L890" s="83">
        <f t="shared" si="140"/>
        <v>1150</v>
      </c>
      <c r="M890" s="94">
        <v>600</v>
      </c>
      <c r="N890" s="83">
        <f>100</f>
        <v>100</v>
      </c>
      <c r="O890" s="86">
        <v>240</v>
      </c>
      <c r="P890" s="86">
        <v>40</v>
      </c>
      <c r="Q890" s="86">
        <f t="shared" si="141"/>
        <v>315</v>
      </c>
      <c r="R890" s="86">
        <f t="shared" si="142"/>
        <v>100</v>
      </c>
      <c r="S890" s="83">
        <f t="shared" si="143"/>
        <v>695</v>
      </c>
      <c r="T890" s="83">
        <f>50</f>
        <v>50</v>
      </c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</row>
    <row r="891" spans="1:30" ht="15.75" x14ac:dyDescent="0.25">
      <c r="A891" s="13">
        <v>68057</v>
      </c>
      <c r="B891" s="95">
        <f t="shared" si="144"/>
        <v>30</v>
      </c>
      <c r="C891" s="83">
        <f>141.293</f>
        <v>141.29300000000001</v>
      </c>
      <c r="D891" s="83">
        <f>267.993</f>
        <v>267.99299999999999</v>
      </c>
      <c r="E891" s="92">
        <f>115.016</f>
        <v>115.01600000000001</v>
      </c>
      <c r="F891" s="83">
        <f>314.698-40-25-60-100</f>
        <v>89.697999999999979</v>
      </c>
      <c r="G891" s="86">
        <v>40</v>
      </c>
      <c r="H891" s="83">
        <f t="shared" ref="H891:H897" si="148">25+60+100</f>
        <v>185</v>
      </c>
      <c r="I891" s="83">
        <f t="shared" si="147"/>
        <v>0</v>
      </c>
      <c r="J891" s="86">
        <v>100</v>
      </c>
      <c r="K891" s="86">
        <v>300</v>
      </c>
      <c r="L891" s="83">
        <f t="shared" si="140"/>
        <v>1239</v>
      </c>
      <c r="M891" s="94">
        <v>600</v>
      </c>
      <c r="N891" s="83">
        <f>100</f>
        <v>100</v>
      </c>
      <c r="O891" s="86">
        <v>240</v>
      </c>
      <c r="P891" s="86">
        <v>40</v>
      </c>
      <c r="Q891" s="86">
        <f t="shared" si="141"/>
        <v>315</v>
      </c>
      <c r="R891" s="86">
        <f t="shared" si="142"/>
        <v>100</v>
      </c>
      <c r="S891" s="83">
        <f t="shared" si="143"/>
        <v>695</v>
      </c>
      <c r="T891" s="83">
        <f>50</f>
        <v>50</v>
      </c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</row>
    <row r="892" spans="1:30" ht="15.75" x14ac:dyDescent="0.25">
      <c r="A892" s="13">
        <v>68088</v>
      </c>
      <c r="B892" s="95">
        <f t="shared" si="144"/>
        <v>31</v>
      </c>
      <c r="C892" s="83">
        <f>194.205</f>
        <v>194.20500000000001</v>
      </c>
      <c r="D892" s="83">
        <f>267.466</f>
        <v>267.46600000000001</v>
      </c>
      <c r="E892" s="92">
        <f>133.845</f>
        <v>133.845</v>
      </c>
      <c r="F892" s="83">
        <f>278.484-40-25-60-100</f>
        <v>53.48399999999998</v>
      </c>
      <c r="G892" s="86">
        <v>40</v>
      </c>
      <c r="H892" s="83">
        <f t="shared" si="148"/>
        <v>185</v>
      </c>
      <c r="I892" s="83">
        <f t="shared" si="147"/>
        <v>0</v>
      </c>
      <c r="J892" s="86">
        <v>100</v>
      </c>
      <c r="K892" s="86">
        <v>300</v>
      </c>
      <c r="L892" s="83">
        <f t="shared" si="140"/>
        <v>1274</v>
      </c>
      <c r="M892" s="94">
        <v>600</v>
      </c>
      <c r="N892" s="83">
        <f>75</f>
        <v>75</v>
      </c>
      <c r="O892" s="86">
        <v>240</v>
      </c>
      <c r="P892" s="86">
        <v>40</v>
      </c>
      <c r="Q892" s="86">
        <f t="shared" si="141"/>
        <v>315</v>
      </c>
      <c r="R892" s="86">
        <f t="shared" si="142"/>
        <v>100</v>
      </c>
      <c r="S892" s="83">
        <f t="shared" si="143"/>
        <v>695</v>
      </c>
      <c r="T892" s="83">
        <f>50</f>
        <v>50</v>
      </c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</row>
    <row r="893" spans="1:30" ht="15.75" x14ac:dyDescent="0.25">
      <c r="A893" s="13">
        <v>68118</v>
      </c>
      <c r="B893" s="95">
        <f t="shared" si="144"/>
        <v>30</v>
      </c>
      <c r="C893" s="83">
        <f>194.205</f>
        <v>194.20500000000001</v>
      </c>
      <c r="D893" s="83">
        <f>267.466</f>
        <v>267.46600000000001</v>
      </c>
      <c r="E893" s="92">
        <f>133.845</f>
        <v>133.845</v>
      </c>
      <c r="F893" s="83">
        <f>278.484-40-25-60-100</f>
        <v>53.48399999999998</v>
      </c>
      <c r="G893" s="86">
        <v>40</v>
      </c>
      <c r="H893" s="83">
        <f t="shared" si="148"/>
        <v>185</v>
      </c>
      <c r="I893" s="83">
        <f t="shared" si="147"/>
        <v>0</v>
      </c>
      <c r="J893" s="86">
        <v>100</v>
      </c>
      <c r="K893" s="86">
        <v>300</v>
      </c>
      <c r="L893" s="83">
        <f t="shared" si="140"/>
        <v>1274</v>
      </c>
      <c r="M893" s="94">
        <v>600</v>
      </c>
      <c r="N893" s="83">
        <f>30</f>
        <v>30</v>
      </c>
      <c r="O893" s="86">
        <v>240</v>
      </c>
      <c r="P893" s="86">
        <v>40</v>
      </c>
      <c r="Q893" s="86">
        <f t="shared" si="141"/>
        <v>315</v>
      </c>
      <c r="R893" s="86">
        <f t="shared" si="142"/>
        <v>100</v>
      </c>
      <c r="S893" s="83">
        <f t="shared" si="143"/>
        <v>695</v>
      </c>
      <c r="T893" s="83">
        <f>50</f>
        <v>50</v>
      </c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</row>
    <row r="894" spans="1:30" ht="15.75" x14ac:dyDescent="0.25">
      <c r="A894" s="13">
        <v>68149</v>
      </c>
      <c r="B894" s="95">
        <f t="shared" si="144"/>
        <v>31</v>
      </c>
      <c r="C894" s="83">
        <f>194.205</f>
        <v>194.20500000000001</v>
      </c>
      <c r="D894" s="83">
        <f>267.466</f>
        <v>267.46600000000001</v>
      </c>
      <c r="E894" s="92">
        <f>133.845</f>
        <v>133.845</v>
      </c>
      <c r="F894" s="83">
        <f>278.484-40-25-60-100</f>
        <v>53.48399999999998</v>
      </c>
      <c r="G894" s="86">
        <v>40</v>
      </c>
      <c r="H894" s="83">
        <f t="shared" si="148"/>
        <v>185</v>
      </c>
      <c r="I894" s="83">
        <f t="shared" si="147"/>
        <v>0</v>
      </c>
      <c r="J894" s="86">
        <v>100</v>
      </c>
      <c r="K894" s="86">
        <v>300</v>
      </c>
      <c r="L894" s="83">
        <f t="shared" si="140"/>
        <v>1274</v>
      </c>
      <c r="M894" s="94">
        <v>600</v>
      </c>
      <c r="N894" s="83">
        <f>30</f>
        <v>30</v>
      </c>
      <c r="O894" s="86">
        <v>240</v>
      </c>
      <c r="P894" s="86">
        <v>40</v>
      </c>
      <c r="Q894" s="86">
        <f t="shared" si="141"/>
        <v>315</v>
      </c>
      <c r="R894" s="86">
        <f t="shared" si="142"/>
        <v>100</v>
      </c>
      <c r="S894" s="83">
        <f t="shared" si="143"/>
        <v>695</v>
      </c>
      <c r="T894" s="83">
        <f>0</f>
        <v>0</v>
      </c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</row>
    <row r="895" spans="1:30" ht="15.75" x14ac:dyDescent="0.25">
      <c r="A895" s="13">
        <v>68180</v>
      </c>
      <c r="B895" s="95">
        <f t="shared" si="144"/>
        <v>31</v>
      </c>
      <c r="C895" s="83">
        <f>194.205</f>
        <v>194.20500000000001</v>
      </c>
      <c r="D895" s="83">
        <f>267.466</f>
        <v>267.46600000000001</v>
      </c>
      <c r="E895" s="92">
        <f>133.845</f>
        <v>133.845</v>
      </c>
      <c r="F895" s="83">
        <f>278.484-40-25-60-100</f>
        <v>53.48399999999998</v>
      </c>
      <c r="G895" s="86">
        <v>40</v>
      </c>
      <c r="H895" s="83">
        <f t="shared" si="148"/>
        <v>185</v>
      </c>
      <c r="I895" s="83">
        <f t="shared" si="147"/>
        <v>0</v>
      </c>
      <c r="J895" s="86">
        <v>100</v>
      </c>
      <c r="K895" s="86">
        <v>300</v>
      </c>
      <c r="L895" s="83">
        <f t="shared" si="140"/>
        <v>1274</v>
      </c>
      <c r="M895" s="94">
        <v>600</v>
      </c>
      <c r="N895" s="83">
        <f>30</f>
        <v>30</v>
      </c>
      <c r="O895" s="86">
        <v>240</v>
      </c>
      <c r="P895" s="86">
        <v>40</v>
      </c>
      <c r="Q895" s="86">
        <f t="shared" si="141"/>
        <v>315</v>
      </c>
      <c r="R895" s="86">
        <f t="shared" si="142"/>
        <v>100</v>
      </c>
      <c r="S895" s="83">
        <f t="shared" si="143"/>
        <v>695</v>
      </c>
      <c r="T895" s="83">
        <f>0</f>
        <v>0</v>
      </c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</row>
    <row r="896" spans="1:30" ht="15.75" x14ac:dyDescent="0.25">
      <c r="A896" s="13">
        <v>68210</v>
      </c>
      <c r="B896" s="95">
        <f t="shared" si="144"/>
        <v>30</v>
      </c>
      <c r="C896" s="83">
        <f>194.205</f>
        <v>194.20500000000001</v>
      </c>
      <c r="D896" s="83">
        <f>267.466</f>
        <v>267.46600000000001</v>
      </c>
      <c r="E896" s="92">
        <f>133.845</f>
        <v>133.845</v>
      </c>
      <c r="F896" s="83">
        <f>278.484-40-25-60-100</f>
        <v>53.48399999999998</v>
      </c>
      <c r="G896" s="86">
        <v>40</v>
      </c>
      <c r="H896" s="83">
        <f t="shared" si="148"/>
        <v>185</v>
      </c>
      <c r="I896" s="83">
        <f t="shared" si="147"/>
        <v>0</v>
      </c>
      <c r="J896" s="86">
        <v>100</v>
      </c>
      <c r="K896" s="86">
        <v>300</v>
      </c>
      <c r="L896" s="83">
        <f t="shared" si="140"/>
        <v>1274</v>
      </c>
      <c r="M896" s="94">
        <v>600</v>
      </c>
      <c r="N896" s="83">
        <f>30</f>
        <v>30</v>
      </c>
      <c r="O896" s="86">
        <v>240</v>
      </c>
      <c r="P896" s="86">
        <v>40</v>
      </c>
      <c r="Q896" s="86">
        <f t="shared" si="141"/>
        <v>315</v>
      </c>
      <c r="R896" s="86">
        <f t="shared" si="142"/>
        <v>100</v>
      </c>
      <c r="S896" s="83">
        <f t="shared" si="143"/>
        <v>695</v>
      </c>
      <c r="T896" s="83">
        <f>0</f>
        <v>0</v>
      </c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</row>
    <row r="897" spans="1:30" ht="15.75" x14ac:dyDescent="0.25">
      <c r="A897" s="13">
        <v>68241</v>
      </c>
      <c r="B897" s="95">
        <f t="shared" si="144"/>
        <v>31</v>
      </c>
      <c r="C897" s="83">
        <f>131.881</f>
        <v>131.881</v>
      </c>
      <c r="D897" s="83">
        <f>277.167</f>
        <v>277.16699999999997</v>
      </c>
      <c r="E897" s="92">
        <f>79.08</f>
        <v>79.08</v>
      </c>
      <c r="F897" s="83">
        <f>350.872-40-25-60-100</f>
        <v>125.87200000000001</v>
      </c>
      <c r="G897" s="86">
        <v>40</v>
      </c>
      <c r="H897" s="83">
        <f t="shared" si="148"/>
        <v>185</v>
      </c>
      <c r="I897" s="83">
        <f t="shared" si="147"/>
        <v>0</v>
      </c>
      <c r="J897" s="86">
        <v>100</v>
      </c>
      <c r="K897" s="86">
        <v>300</v>
      </c>
      <c r="L897" s="83">
        <f t="shared" si="140"/>
        <v>1239</v>
      </c>
      <c r="M897" s="94">
        <v>600</v>
      </c>
      <c r="N897" s="83">
        <f>75</f>
        <v>75</v>
      </c>
      <c r="O897" s="86">
        <v>240</v>
      </c>
      <c r="P897" s="86">
        <v>40</v>
      </c>
      <c r="Q897" s="86">
        <f t="shared" si="141"/>
        <v>315</v>
      </c>
      <c r="R897" s="86">
        <f t="shared" si="142"/>
        <v>100</v>
      </c>
      <c r="S897" s="83">
        <f t="shared" si="143"/>
        <v>695</v>
      </c>
      <c r="T897" s="83">
        <f>0</f>
        <v>0</v>
      </c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</row>
    <row r="898" spans="1:30" ht="15.75" x14ac:dyDescent="0.25">
      <c r="A898" s="13">
        <v>68271</v>
      </c>
      <c r="B898" s="95">
        <f t="shared" si="144"/>
        <v>30</v>
      </c>
      <c r="C898" s="83">
        <f>122.58</f>
        <v>122.58</v>
      </c>
      <c r="D898" s="83">
        <f>297.941</f>
        <v>297.94099999999997</v>
      </c>
      <c r="E898" s="92">
        <f>89.177</f>
        <v>89.177000000000007</v>
      </c>
      <c r="F898" s="83">
        <f>240.302-40-60-100</f>
        <v>40.301999999999992</v>
      </c>
      <c r="G898" s="86">
        <v>40</v>
      </c>
      <c r="H898" s="83">
        <f>60+100</f>
        <v>160</v>
      </c>
      <c r="I898" s="83">
        <f t="shared" si="147"/>
        <v>0</v>
      </c>
      <c r="J898" s="86">
        <v>100</v>
      </c>
      <c r="K898" s="86">
        <v>300</v>
      </c>
      <c r="L898" s="83">
        <f t="shared" si="140"/>
        <v>1150</v>
      </c>
      <c r="M898" s="94">
        <v>600</v>
      </c>
      <c r="N898" s="83">
        <f>100</f>
        <v>100</v>
      </c>
      <c r="O898" s="86">
        <v>240</v>
      </c>
      <c r="P898" s="86">
        <v>40</v>
      </c>
      <c r="Q898" s="86">
        <f t="shared" si="141"/>
        <v>315</v>
      </c>
      <c r="R898" s="86">
        <f t="shared" si="142"/>
        <v>100</v>
      </c>
      <c r="S898" s="83">
        <f t="shared" si="143"/>
        <v>695</v>
      </c>
      <c r="T898" s="83">
        <f>50</f>
        <v>50</v>
      </c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</row>
    <row r="899" spans="1:30" ht="15.75" x14ac:dyDescent="0.25">
      <c r="A899" s="13">
        <v>68302</v>
      </c>
      <c r="B899" s="95">
        <f t="shared" si="144"/>
        <v>31</v>
      </c>
      <c r="C899" s="83">
        <f>122.58</f>
        <v>122.58</v>
      </c>
      <c r="D899" s="83">
        <f>297.941</f>
        <v>297.94099999999997</v>
      </c>
      <c r="E899" s="92">
        <f>89.177</f>
        <v>89.177000000000007</v>
      </c>
      <c r="F899" s="83">
        <f>240.302-40-60-100</f>
        <v>40.301999999999992</v>
      </c>
      <c r="G899" s="86">
        <v>40</v>
      </c>
      <c r="H899" s="83">
        <f>60+100</f>
        <v>160</v>
      </c>
      <c r="I899" s="83">
        <f t="shared" si="147"/>
        <v>0</v>
      </c>
      <c r="J899" s="86">
        <v>100</v>
      </c>
      <c r="K899" s="86">
        <v>300</v>
      </c>
      <c r="L899" s="83">
        <f t="shared" si="140"/>
        <v>1150</v>
      </c>
      <c r="M899" s="94">
        <v>600</v>
      </c>
      <c r="N899" s="83">
        <f>100</f>
        <v>100</v>
      </c>
      <c r="O899" s="86">
        <v>240</v>
      </c>
      <c r="P899" s="86">
        <v>40</v>
      </c>
      <c r="Q899" s="86">
        <f t="shared" si="141"/>
        <v>315</v>
      </c>
      <c r="R899" s="86">
        <f t="shared" si="142"/>
        <v>100</v>
      </c>
      <c r="S899" s="83">
        <f t="shared" si="143"/>
        <v>695</v>
      </c>
      <c r="T899" s="83">
        <f>50</f>
        <v>50</v>
      </c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</row>
    <row r="900" spans="1:30" ht="15.75" x14ac:dyDescent="0.25">
      <c r="A900" s="13">
        <v>68333</v>
      </c>
      <c r="B900" s="95">
        <f t="shared" si="144"/>
        <v>31</v>
      </c>
      <c r="C900" s="83">
        <f>122.58</f>
        <v>122.58</v>
      </c>
      <c r="D900" s="83">
        <f>297.941</f>
        <v>297.94099999999997</v>
      </c>
      <c r="E900" s="92">
        <f>89.177</f>
        <v>89.177000000000007</v>
      </c>
      <c r="F900" s="83">
        <f>240.302-40-60-100</f>
        <v>40.301999999999992</v>
      </c>
      <c r="G900" s="86">
        <v>40</v>
      </c>
      <c r="H900" s="83">
        <f>60+100</f>
        <v>160</v>
      </c>
      <c r="I900" s="83">
        <f t="shared" si="147"/>
        <v>0</v>
      </c>
      <c r="J900" s="86">
        <v>100</v>
      </c>
      <c r="K900" s="86">
        <v>300</v>
      </c>
      <c r="L900" s="83">
        <f t="shared" si="140"/>
        <v>1150</v>
      </c>
      <c r="M900" s="94">
        <v>600</v>
      </c>
      <c r="N900" s="83">
        <f>100</f>
        <v>100</v>
      </c>
      <c r="O900" s="86">
        <v>240</v>
      </c>
      <c r="P900" s="86">
        <v>40</v>
      </c>
      <c r="Q900" s="86">
        <f t="shared" si="141"/>
        <v>315</v>
      </c>
      <c r="R900" s="86">
        <f t="shared" si="142"/>
        <v>100</v>
      </c>
      <c r="S900" s="83">
        <f t="shared" si="143"/>
        <v>695</v>
      </c>
      <c r="T900" s="83">
        <f>50</f>
        <v>50</v>
      </c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</row>
    <row r="901" spans="1:30" ht="15.75" x14ac:dyDescent="0.25">
      <c r="A901" s="13">
        <v>68361</v>
      </c>
      <c r="B901" s="95">
        <f t="shared" si="144"/>
        <v>28</v>
      </c>
      <c r="C901" s="83">
        <f>122.58</f>
        <v>122.58</v>
      </c>
      <c r="D901" s="83">
        <f>297.941</f>
        <v>297.94099999999997</v>
      </c>
      <c r="E901" s="92">
        <f>89.177</f>
        <v>89.177000000000007</v>
      </c>
      <c r="F901" s="83">
        <f>240.302-40-60-100</f>
        <v>40.301999999999992</v>
      </c>
      <c r="G901" s="86">
        <v>40</v>
      </c>
      <c r="H901" s="83">
        <f>60+100</f>
        <v>160</v>
      </c>
      <c r="I901" s="83">
        <f t="shared" si="147"/>
        <v>0</v>
      </c>
      <c r="J901" s="86">
        <v>100</v>
      </c>
      <c r="K901" s="86">
        <v>300</v>
      </c>
      <c r="L901" s="83">
        <f t="shared" si="140"/>
        <v>1150</v>
      </c>
      <c r="M901" s="94">
        <v>600</v>
      </c>
      <c r="N901" s="83">
        <f>100</f>
        <v>100</v>
      </c>
      <c r="O901" s="86">
        <v>240</v>
      </c>
      <c r="P901" s="86">
        <v>40</v>
      </c>
      <c r="Q901" s="86">
        <f t="shared" si="141"/>
        <v>315</v>
      </c>
      <c r="R901" s="86">
        <f t="shared" si="142"/>
        <v>100</v>
      </c>
      <c r="S901" s="83">
        <f t="shared" si="143"/>
        <v>695</v>
      </c>
      <c r="T901" s="83">
        <f>50</f>
        <v>50</v>
      </c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</row>
    <row r="902" spans="1:30" ht="15.75" x14ac:dyDescent="0.25">
      <c r="A902" s="13">
        <v>68392</v>
      </c>
      <c r="B902" s="95">
        <f t="shared" si="144"/>
        <v>31</v>
      </c>
      <c r="C902" s="83">
        <f>122.58</f>
        <v>122.58</v>
      </c>
      <c r="D902" s="83">
        <f>297.941</f>
        <v>297.94099999999997</v>
      </c>
      <c r="E902" s="92">
        <f>89.177</f>
        <v>89.177000000000007</v>
      </c>
      <c r="F902" s="83">
        <f>240.302-40-60-100</f>
        <v>40.301999999999992</v>
      </c>
      <c r="G902" s="86">
        <v>40</v>
      </c>
      <c r="H902" s="83">
        <f>60+100</f>
        <v>160</v>
      </c>
      <c r="I902" s="83">
        <f t="shared" si="147"/>
        <v>0</v>
      </c>
      <c r="J902" s="86">
        <v>100</v>
      </c>
      <c r="K902" s="86">
        <v>300</v>
      </c>
      <c r="L902" s="83">
        <f t="shared" si="140"/>
        <v>1150</v>
      </c>
      <c r="M902" s="94">
        <v>600</v>
      </c>
      <c r="N902" s="83">
        <f>100</f>
        <v>100</v>
      </c>
      <c r="O902" s="86">
        <v>240</v>
      </c>
      <c r="P902" s="86">
        <v>40</v>
      </c>
      <c r="Q902" s="86">
        <f t="shared" si="141"/>
        <v>315</v>
      </c>
      <c r="R902" s="86">
        <f t="shared" si="142"/>
        <v>100</v>
      </c>
      <c r="S902" s="83">
        <f t="shared" si="143"/>
        <v>695</v>
      </c>
      <c r="T902" s="83">
        <f>50</f>
        <v>50</v>
      </c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</row>
    <row r="903" spans="1:30" ht="15.75" x14ac:dyDescent="0.25">
      <c r="A903" s="13">
        <v>68422</v>
      </c>
      <c r="B903" s="95">
        <f t="shared" si="144"/>
        <v>30</v>
      </c>
      <c r="C903" s="83">
        <f>141.293</f>
        <v>141.29300000000001</v>
      </c>
      <c r="D903" s="83">
        <f>267.993</f>
        <v>267.99299999999999</v>
      </c>
      <c r="E903" s="92">
        <f>115.016</f>
        <v>115.01600000000001</v>
      </c>
      <c r="F903" s="83">
        <f>314.698-40-25-60-100</f>
        <v>89.697999999999979</v>
      </c>
      <c r="G903" s="86">
        <v>40</v>
      </c>
      <c r="H903" s="83">
        <f t="shared" ref="H903:H909" si="149">25+60+100</f>
        <v>185</v>
      </c>
      <c r="I903" s="83">
        <f t="shared" si="147"/>
        <v>0</v>
      </c>
      <c r="J903" s="86">
        <v>100</v>
      </c>
      <c r="K903" s="86">
        <v>300</v>
      </c>
      <c r="L903" s="83">
        <f t="shared" si="140"/>
        <v>1239</v>
      </c>
      <c r="M903" s="94">
        <v>600</v>
      </c>
      <c r="N903" s="83">
        <f>100</f>
        <v>100</v>
      </c>
      <c r="O903" s="86">
        <v>240</v>
      </c>
      <c r="P903" s="86">
        <v>40</v>
      </c>
      <c r="Q903" s="86">
        <f t="shared" si="141"/>
        <v>315</v>
      </c>
      <c r="R903" s="86">
        <f t="shared" si="142"/>
        <v>100</v>
      </c>
      <c r="S903" s="83">
        <f t="shared" si="143"/>
        <v>695</v>
      </c>
      <c r="T903" s="83">
        <f>50</f>
        <v>50</v>
      </c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</row>
    <row r="904" spans="1:30" ht="15.75" x14ac:dyDescent="0.25">
      <c r="A904" s="13">
        <v>68453</v>
      </c>
      <c r="B904" s="95">
        <f t="shared" si="144"/>
        <v>31</v>
      </c>
      <c r="C904" s="83">
        <f>194.205</f>
        <v>194.20500000000001</v>
      </c>
      <c r="D904" s="83">
        <f>267.466</f>
        <v>267.46600000000001</v>
      </c>
      <c r="E904" s="92">
        <f>133.845</f>
        <v>133.845</v>
      </c>
      <c r="F904" s="83">
        <f>278.484-40-25-60-100</f>
        <v>53.48399999999998</v>
      </c>
      <c r="G904" s="86">
        <v>40</v>
      </c>
      <c r="H904" s="83">
        <f t="shared" si="149"/>
        <v>185</v>
      </c>
      <c r="I904" s="83">
        <f t="shared" si="147"/>
        <v>0</v>
      </c>
      <c r="J904" s="86">
        <v>100</v>
      </c>
      <c r="K904" s="86">
        <v>300</v>
      </c>
      <c r="L904" s="83">
        <f t="shared" si="140"/>
        <v>1274</v>
      </c>
      <c r="M904" s="94">
        <v>600</v>
      </c>
      <c r="N904" s="83">
        <f>75</f>
        <v>75</v>
      </c>
      <c r="O904" s="86">
        <v>240</v>
      </c>
      <c r="P904" s="86">
        <v>40</v>
      </c>
      <c r="Q904" s="86">
        <f t="shared" si="141"/>
        <v>315</v>
      </c>
      <c r="R904" s="86">
        <f t="shared" si="142"/>
        <v>100</v>
      </c>
      <c r="S904" s="83">
        <f t="shared" si="143"/>
        <v>695</v>
      </c>
      <c r="T904" s="83">
        <f>50</f>
        <v>50</v>
      </c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</row>
    <row r="905" spans="1:30" ht="15.75" x14ac:dyDescent="0.25">
      <c r="A905" s="13">
        <v>68483</v>
      </c>
      <c r="B905" s="95">
        <f t="shared" si="144"/>
        <v>30</v>
      </c>
      <c r="C905" s="83">
        <f>194.205</f>
        <v>194.20500000000001</v>
      </c>
      <c r="D905" s="83">
        <f>267.466</f>
        <v>267.46600000000001</v>
      </c>
      <c r="E905" s="92">
        <f>133.845</f>
        <v>133.845</v>
      </c>
      <c r="F905" s="83">
        <f>278.484-40-25-60-100</f>
        <v>53.48399999999998</v>
      </c>
      <c r="G905" s="86">
        <v>40</v>
      </c>
      <c r="H905" s="83">
        <f t="shared" si="149"/>
        <v>185</v>
      </c>
      <c r="I905" s="83">
        <f t="shared" si="147"/>
        <v>0</v>
      </c>
      <c r="J905" s="86">
        <v>100</v>
      </c>
      <c r="K905" s="86">
        <v>300</v>
      </c>
      <c r="L905" s="83">
        <f t="shared" si="140"/>
        <v>1274</v>
      </c>
      <c r="M905" s="94">
        <v>600</v>
      </c>
      <c r="N905" s="83">
        <f>30</f>
        <v>30</v>
      </c>
      <c r="O905" s="86">
        <v>240</v>
      </c>
      <c r="P905" s="86">
        <v>40</v>
      </c>
      <c r="Q905" s="86">
        <f t="shared" si="141"/>
        <v>315</v>
      </c>
      <c r="R905" s="86">
        <f t="shared" si="142"/>
        <v>100</v>
      </c>
      <c r="S905" s="83">
        <f t="shared" si="143"/>
        <v>695</v>
      </c>
      <c r="T905" s="83">
        <f>50</f>
        <v>50</v>
      </c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</row>
    <row r="906" spans="1:30" ht="15.75" x14ac:dyDescent="0.25">
      <c r="A906" s="13">
        <v>68514</v>
      </c>
      <c r="B906" s="95">
        <f t="shared" si="144"/>
        <v>31</v>
      </c>
      <c r="C906" s="83">
        <f>194.205</f>
        <v>194.20500000000001</v>
      </c>
      <c r="D906" s="83">
        <f>267.466</f>
        <v>267.46600000000001</v>
      </c>
      <c r="E906" s="92">
        <f>133.845</f>
        <v>133.845</v>
      </c>
      <c r="F906" s="83">
        <f>278.484-40-25-60-100</f>
        <v>53.48399999999998</v>
      </c>
      <c r="G906" s="86">
        <v>40</v>
      </c>
      <c r="H906" s="83">
        <f t="shared" si="149"/>
        <v>185</v>
      </c>
      <c r="I906" s="83">
        <f t="shared" si="147"/>
        <v>0</v>
      </c>
      <c r="J906" s="86">
        <v>100</v>
      </c>
      <c r="K906" s="86">
        <v>300</v>
      </c>
      <c r="L906" s="83">
        <f t="shared" si="140"/>
        <v>1274</v>
      </c>
      <c r="M906" s="94">
        <v>600</v>
      </c>
      <c r="N906" s="83">
        <f>30</f>
        <v>30</v>
      </c>
      <c r="O906" s="86">
        <v>240</v>
      </c>
      <c r="P906" s="86">
        <v>40</v>
      </c>
      <c r="Q906" s="86">
        <f t="shared" si="141"/>
        <v>315</v>
      </c>
      <c r="R906" s="86">
        <f t="shared" si="142"/>
        <v>100</v>
      </c>
      <c r="S906" s="83">
        <f t="shared" si="143"/>
        <v>695</v>
      </c>
      <c r="T906" s="83">
        <f>0</f>
        <v>0</v>
      </c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</row>
    <row r="907" spans="1:30" ht="15.75" x14ac:dyDescent="0.25">
      <c r="A907" s="13">
        <v>68545</v>
      </c>
      <c r="B907" s="95">
        <f t="shared" si="144"/>
        <v>31</v>
      </c>
      <c r="C907" s="83">
        <f>194.205</f>
        <v>194.20500000000001</v>
      </c>
      <c r="D907" s="83">
        <f>267.466</f>
        <v>267.46600000000001</v>
      </c>
      <c r="E907" s="92">
        <f>133.845</f>
        <v>133.845</v>
      </c>
      <c r="F907" s="83">
        <f>278.484-40-25-60-100</f>
        <v>53.48399999999998</v>
      </c>
      <c r="G907" s="86">
        <v>40</v>
      </c>
      <c r="H907" s="83">
        <f t="shared" si="149"/>
        <v>185</v>
      </c>
      <c r="I907" s="83">
        <f t="shared" si="147"/>
        <v>0</v>
      </c>
      <c r="J907" s="86">
        <v>100</v>
      </c>
      <c r="K907" s="86">
        <v>300</v>
      </c>
      <c r="L907" s="83">
        <f t="shared" si="140"/>
        <v>1274</v>
      </c>
      <c r="M907" s="94">
        <v>600</v>
      </c>
      <c r="N907" s="83">
        <f>30</f>
        <v>30</v>
      </c>
      <c r="O907" s="86">
        <v>240</v>
      </c>
      <c r="P907" s="86">
        <v>40</v>
      </c>
      <c r="Q907" s="86">
        <f t="shared" si="141"/>
        <v>315</v>
      </c>
      <c r="R907" s="86">
        <f t="shared" si="142"/>
        <v>100</v>
      </c>
      <c r="S907" s="83">
        <f t="shared" si="143"/>
        <v>695</v>
      </c>
      <c r="T907" s="83">
        <f>0</f>
        <v>0</v>
      </c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</row>
    <row r="908" spans="1:30" ht="15.75" x14ac:dyDescent="0.25">
      <c r="A908" s="13">
        <v>68575</v>
      </c>
      <c r="B908" s="95">
        <f t="shared" si="144"/>
        <v>30</v>
      </c>
      <c r="C908" s="83">
        <f>194.205</f>
        <v>194.20500000000001</v>
      </c>
      <c r="D908" s="83">
        <f>267.466</f>
        <v>267.46600000000001</v>
      </c>
      <c r="E908" s="92">
        <f>133.845</f>
        <v>133.845</v>
      </c>
      <c r="F908" s="83">
        <f>278.484-40-25-60-100</f>
        <v>53.48399999999998</v>
      </c>
      <c r="G908" s="86">
        <v>40</v>
      </c>
      <c r="H908" s="83">
        <f t="shared" si="149"/>
        <v>185</v>
      </c>
      <c r="I908" s="83">
        <f t="shared" si="147"/>
        <v>0</v>
      </c>
      <c r="J908" s="86">
        <v>100</v>
      </c>
      <c r="K908" s="86">
        <v>300</v>
      </c>
      <c r="L908" s="83">
        <f t="shared" si="140"/>
        <v>1274</v>
      </c>
      <c r="M908" s="94">
        <v>600</v>
      </c>
      <c r="N908" s="83">
        <f>30</f>
        <v>30</v>
      </c>
      <c r="O908" s="86">
        <v>240</v>
      </c>
      <c r="P908" s="86">
        <v>40</v>
      </c>
      <c r="Q908" s="86">
        <f t="shared" si="141"/>
        <v>315</v>
      </c>
      <c r="R908" s="86">
        <f t="shared" si="142"/>
        <v>100</v>
      </c>
      <c r="S908" s="83">
        <f t="shared" si="143"/>
        <v>695</v>
      </c>
      <c r="T908" s="83">
        <f>0</f>
        <v>0</v>
      </c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</row>
    <row r="909" spans="1:30" ht="15.75" x14ac:dyDescent="0.25">
      <c r="A909" s="13">
        <v>68606</v>
      </c>
      <c r="B909" s="95">
        <f t="shared" si="144"/>
        <v>31</v>
      </c>
      <c r="C909" s="83">
        <f>131.881</f>
        <v>131.881</v>
      </c>
      <c r="D909" s="83">
        <f>277.167</f>
        <v>277.16699999999997</v>
      </c>
      <c r="E909" s="92">
        <f>79.08</f>
        <v>79.08</v>
      </c>
      <c r="F909" s="83">
        <f>350.872-40-25-60-100</f>
        <v>125.87200000000001</v>
      </c>
      <c r="G909" s="86">
        <v>40</v>
      </c>
      <c r="H909" s="83">
        <f t="shared" si="149"/>
        <v>185</v>
      </c>
      <c r="I909" s="83">
        <f t="shared" si="147"/>
        <v>0</v>
      </c>
      <c r="J909" s="86">
        <v>100</v>
      </c>
      <c r="K909" s="86">
        <v>300</v>
      </c>
      <c r="L909" s="83">
        <f t="shared" si="140"/>
        <v>1239</v>
      </c>
      <c r="M909" s="94">
        <v>600</v>
      </c>
      <c r="N909" s="83">
        <f>75</f>
        <v>75</v>
      </c>
      <c r="O909" s="86">
        <v>240</v>
      </c>
      <c r="P909" s="86">
        <v>40</v>
      </c>
      <c r="Q909" s="86">
        <f t="shared" si="141"/>
        <v>315</v>
      </c>
      <c r="R909" s="86">
        <f t="shared" si="142"/>
        <v>100</v>
      </c>
      <c r="S909" s="83">
        <f t="shared" si="143"/>
        <v>695</v>
      </c>
      <c r="T909" s="83">
        <f>0</f>
        <v>0</v>
      </c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</row>
    <row r="910" spans="1:30" ht="15.75" x14ac:dyDescent="0.25">
      <c r="A910" s="13">
        <v>68636</v>
      </c>
      <c r="B910" s="95">
        <f t="shared" si="144"/>
        <v>30</v>
      </c>
      <c r="C910" s="83">
        <f>122.58</f>
        <v>122.58</v>
      </c>
      <c r="D910" s="83">
        <f>297.941</f>
        <v>297.94099999999997</v>
      </c>
      <c r="E910" s="92">
        <f>89.177</f>
        <v>89.177000000000007</v>
      </c>
      <c r="F910" s="83">
        <f>240.302-40-60-100</f>
        <v>40.301999999999992</v>
      </c>
      <c r="G910" s="86">
        <v>40</v>
      </c>
      <c r="H910" s="83">
        <f>60+100</f>
        <v>160</v>
      </c>
      <c r="I910" s="83">
        <f t="shared" si="147"/>
        <v>0</v>
      </c>
      <c r="J910" s="86">
        <v>100</v>
      </c>
      <c r="K910" s="86">
        <v>300</v>
      </c>
      <c r="L910" s="83">
        <f t="shared" si="140"/>
        <v>1150</v>
      </c>
      <c r="M910" s="94">
        <v>600</v>
      </c>
      <c r="N910" s="83">
        <f>100</f>
        <v>100</v>
      </c>
      <c r="O910" s="86">
        <v>240</v>
      </c>
      <c r="P910" s="86">
        <v>40</v>
      </c>
      <c r="Q910" s="86">
        <f t="shared" si="141"/>
        <v>315</v>
      </c>
      <c r="R910" s="86">
        <f t="shared" si="142"/>
        <v>100</v>
      </c>
      <c r="S910" s="83">
        <f t="shared" si="143"/>
        <v>695</v>
      </c>
      <c r="T910" s="83">
        <f>50</f>
        <v>50</v>
      </c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</row>
    <row r="911" spans="1:30" ht="15.75" x14ac:dyDescent="0.25">
      <c r="A911" s="13">
        <v>68667</v>
      </c>
      <c r="B911" s="95">
        <f t="shared" si="144"/>
        <v>31</v>
      </c>
      <c r="C911" s="83">
        <f>122.58</f>
        <v>122.58</v>
      </c>
      <c r="D911" s="83">
        <f>297.941</f>
        <v>297.94099999999997</v>
      </c>
      <c r="E911" s="92">
        <f>89.177</f>
        <v>89.177000000000007</v>
      </c>
      <c r="F911" s="83">
        <f>240.302-40-60-100</f>
        <v>40.301999999999992</v>
      </c>
      <c r="G911" s="86">
        <v>40</v>
      </c>
      <c r="H911" s="83">
        <f>60+100</f>
        <v>160</v>
      </c>
      <c r="I911" s="83">
        <f t="shared" si="147"/>
        <v>0</v>
      </c>
      <c r="J911" s="86">
        <v>100</v>
      </c>
      <c r="K911" s="86">
        <v>300</v>
      </c>
      <c r="L911" s="83">
        <f t="shared" si="140"/>
        <v>1150</v>
      </c>
      <c r="M911" s="94">
        <v>600</v>
      </c>
      <c r="N911" s="83">
        <f>100</f>
        <v>100</v>
      </c>
      <c r="O911" s="86">
        <v>240</v>
      </c>
      <c r="P911" s="86">
        <v>40</v>
      </c>
      <c r="Q911" s="86">
        <f t="shared" si="141"/>
        <v>315</v>
      </c>
      <c r="R911" s="86">
        <f t="shared" si="142"/>
        <v>100</v>
      </c>
      <c r="S911" s="83">
        <f t="shared" si="143"/>
        <v>695</v>
      </c>
      <c r="T911" s="83">
        <f>50</f>
        <v>50</v>
      </c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</row>
    <row r="912" spans="1:30" ht="15.75" x14ac:dyDescent="0.25">
      <c r="A912" s="13">
        <v>68698</v>
      </c>
      <c r="B912" s="95">
        <f t="shared" si="144"/>
        <v>31</v>
      </c>
      <c r="C912" s="83">
        <f>122.58</f>
        <v>122.58</v>
      </c>
      <c r="D912" s="83">
        <f>297.941</f>
        <v>297.94099999999997</v>
      </c>
      <c r="E912" s="92">
        <f>89.177</f>
        <v>89.177000000000007</v>
      </c>
      <c r="F912" s="83">
        <f>240.302-40-60-100</f>
        <v>40.301999999999992</v>
      </c>
      <c r="G912" s="86">
        <v>40</v>
      </c>
      <c r="H912" s="83">
        <f>60+100</f>
        <v>160</v>
      </c>
      <c r="I912" s="83">
        <f t="shared" si="147"/>
        <v>0</v>
      </c>
      <c r="J912" s="86">
        <v>100</v>
      </c>
      <c r="K912" s="86">
        <v>300</v>
      </c>
      <c r="L912" s="83">
        <f t="shared" si="140"/>
        <v>1150</v>
      </c>
      <c r="M912" s="94">
        <v>600</v>
      </c>
      <c r="N912" s="83">
        <f>100</f>
        <v>100</v>
      </c>
      <c r="O912" s="86">
        <v>240</v>
      </c>
      <c r="P912" s="86">
        <v>40</v>
      </c>
      <c r="Q912" s="86">
        <f t="shared" si="141"/>
        <v>315</v>
      </c>
      <c r="R912" s="86">
        <f t="shared" si="142"/>
        <v>100</v>
      </c>
      <c r="S912" s="83">
        <f t="shared" si="143"/>
        <v>695</v>
      </c>
      <c r="T912" s="83">
        <f>50</f>
        <v>50</v>
      </c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</row>
    <row r="913" spans="1:30" ht="15.75" x14ac:dyDescent="0.25">
      <c r="A913" s="13">
        <v>68727</v>
      </c>
      <c r="B913" s="95">
        <f t="shared" si="144"/>
        <v>29</v>
      </c>
      <c r="C913" s="83">
        <f>122.58</f>
        <v>122.58</v>
      </c>
      <c r="D913" s="83">
        <f>297.941</f>
        <v>297.94099999999997</v>
      </c>
      <c r="E913" s="92">
        <f>89.177</f>
        <v>89.177000000000007</v>
      </c>
      <c r="F913" s="83">
        <f>240.302-40-60-100</f>
        <v>40.301999999999992</v>
      </c>
      <c r="G913" s="86">
        <v>40</v>
      </c>
      <c r="H913" s="83">
        <f>60+100</f>
        <v>160</v>
      </c>
      <c r="I913" s="83">
        <f t="shared" si="147"/>
        <v>0</v>
      </c>
      <c r="J913" s="86">
        <v>100</v>
      </c>
      <c r="K913" s="86">
        <v>300</v>
      </c>
      <c r="L913" s="83">
        <f t="shared" si="140"/>
        <v>1150</v>
      </c>
      <c r="M913" s="94">
        <v>600</v>
      </c>
      <c r="N913" s="83">
        <f>100</f>
        <v>100</v>
      </c>
      <c r="O913" s="86">
        <v>240</v>
      </c>
      <c r="P913" s="86">
        <v>40</v>
      </c>
      <c r="Q913" s="86">
        <f t="shared" si="141"/>
        <v>315</v>
      </c>
      <c r="R913" s="86">
        <f t="shared" si="142"/>
        <v>100</v>
      </c>
      <c r="S913" s="83">
        <f t="shared" si="143"/>
        <v>695</v>
      </c>
      <c r="T913" s="83">
        <f>50</f>
        <v>50</v>
      </c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</row>
    <row r="914" spans="1:30" ht="15.75" x14ac:dyDescent="0.25">
      <c r="A914" s="13">
        <v>68758</v>
      </c>
      <c r="B914" s="95">
        <f t="shared" si="144"/>
        <v>31</v>
      </c>
      <c r="C914" s="83">
        <f>122.58</f>
        <v>122.58</v>
      </c>
      <c r="D914" s="83">
        <f>297.941</f>
        <v>297.94099999999997</v>
      </c>
      <c r="E914" s="92">
        <f>89.177</f>
        <v>89.177000000000007</v>
      </c>
      <c r="F914" s="83">
        <f>240.302-40-60-100</f>
        <v>40.301999999999992</v>
      </c>
      <c r="G914" s="86">
        <v>40</v>
      </c>
      <c r="H914" s="83">
        <f>60+100</f>
        <v>160</v>
      </c>
      <c r="I914" s="83">
        <f t="shared" si="147"/>
        <v>0</v>
      </c>
      <c r="J914" s="86">
        <v>100</v>
      </c>
      <c r="K914" s="86">
        <v>300</v>
      </c>
      <c r="L914" s="83">
        <f t="shared" si="140"/>
        <v>1150</v>
      </c>
      <c r="M914" s="94">
        <v>600</v>
      </c>
      <c r="N914" s="83">
        <f>100</f>
        <v>100</v>
      </c>
      <c r="O914" s="86">
        <v>240</v>
      </c>
      <c r="P914" s="86">
        <v>40</v>
      </c>
      <c r="Q914" s="86">
        <f t="shared" si="141"/>
        <v>315</v>
      </c>
      <c r="R914" s="86">
        <f t="shared" si="142"/>
        <v>100</v>
      </c>
      <c r="S914" s="83">
        <f t="shared" si="143"/>
        <v>695</v>
      </c>
      <c r="T914" s="83">
        <f>50</f>
        <v>50</v>
      </c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</row>
    <row r="915" spans="1:30" ht="15.75" x14ac:dyDescent="0.25">
      <c r="A915" s="13">
        <v>68788</v>
      </c>
      <c r="B915" s="95">
        <f t="shared" si="144"/>
        <v>30</v>
      </c>
      <c r="C915" s="83">
        <f>141.293</f>
        <v>141.29300000000001</v>
      </c>
      <c r="D915" s="83">
        <f>267.993</f>
        <v>267.99299999999999</v>
      </c>
      <c r="E915" s="92">
        <f>115.016</f>
        <v>115.01600000000001</v>
      </c>
      <c r="F915" s="83">
        <f>314.698-40-25-60-100</f>
        <v>89.697999999999979</v>
      </c>
      <c r="G915" s="86">
        <v>40</v>
      </c>
      <c r="H915" s="83">
        <f t="shared" ref="H915:H921" si="150">25+60+100</f>
        <v>185</v>
      </c>
      <c r="I915" s="83">
        <f t="shared" si="147"/>
        <v>0</v>
      </c>
      <c r="J915" s="86">
        <v>100</v>
      </c>
      <c r="K915" s="86">
        <v>300</v>
      </c>
      <c r="L915" s="83">
        <f t="shared" si="140"/>
        <v>1239</v>
      </c>
      <c r="M915" s="94">
        <v>600</v>
      </c>
      <c r="N915" s="83">
        <f>100</f>
        <v>100</v>
      </c>
      <c r="O915" s="86">
        <v>240</v>
      </c>
      <c r="P915" s="86">
        <v>40</v>
      </c>
      <c r="Q915" s="86">
        <f t="shared" si="141"/>
        <v>315</v>
      </c>
      <c r="R915" s="86">
        <f t="shared" si="142"/>
        <v>100</v>
      </c>
      <c r="S915" s="83">
        <f t="shared" si="143"/>
        <v>695</v>
      </c>
      <c r="T915" s="83">
        <f>50</f>
        <v>50</v>
      </c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</row>
    <row r="916" spans="1:30" ht="15.75" x14ac:dyDescent="0.25">
      <c r="A916" s="13">
        <v>68819</v>
      </c>
      <c r="B916" s="95">
        <f t="shared" si="144"/>
        <v>31</v>
      </c>
      <c r="C916" s="83">
        <f>194.205</f>
        <v>194.20500000000001</v>
      </c>
      <c r="D916" s="83">
        <f>267.466</f>
        <v>267.46600000000001</v>
      </c>
      <c r="E916" s="92">
        <f>133.845</f>
        <v>133.845</v>
      </c>
      <c r="F916" s="83">
        <f>278.484-40-25-60-100</f>
        <v>53.48399999999998</v>
      </c>
      <c r="G916" s="86">
        <v>40</v>
      </c>
      <c r="H916" s="83">
        <f t="shared" si="150"/>
        <v>185</v>
      </c>
      <c r="I916" s="83">
        <f t="shared" si="147"/>
        <v>0</v>
      </c>
      <c r="J916" s="86">
        <v>100</v>
      </c>
      <c r="K916" s="86">
        <v>300</v>
      </c>
      <c r="L916" s="83">
        <f t="shared" si="140"/>
        <v>1274</v>
      </c>
      <c r="M916" s="94">
        <v>600</v>
      </c>
      <c r="N916" s="83">
        <f>75</f>
        <v>75</v>
      </c>
      <c r="O916" s="86">
        <v>240</v>
      </c>
      <c r="P916" s="86">
        <v>40</v>
      </c>
      <c r="Q916" s="86">
        <f t="shared" si="141"/>
        <v>315</v>
      </c>
      <c r="R916" s="86">
        <f t="shared" si="142"/>
        <v>100</v>
      </c>
      <c r="S916" s="83">
        <f t="shared" si="143"/>
        <v>695</v>
      </c>
      <c r="T916" s="83">
        <f>50</f>
        <v>50</v>
      </c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</row>
    <row r="917" spans="1:30" ht="15.75" x14ac:dyDescent="0.25">
      <c r="A917" s="13">
        <v>68849</v>
      </c>
      <c r="B917" s="95">
        <f t="shared" si="144"/>
        <v>30</v>
      </c>
      <c r="C917" s="83">
        <f>194.205</f>
        <v>194.20500000000001</v>
      </c>
      <c r="D917" s="83">
        <f>267.466</f>
        <v>267.46600000000001</v>
      </c>
      <c r="E917" s="92">
        <f>133.845</f>
        <v>133.845</v>
      </c>
      <c r="F917" s="83">
        <f>278.484-40-25-60-100</f>
        <v>53.48399999999998</v>
      </c>
      <c r="G917" s="86">
        <v>40</v>
      </c>
      <c r="H917" s="83">
        <f t="shared" si="150"/>
        <v>185</v>
      </c>
      <c r="I917" s="83">
        <f t="shared" si="147"/>
        <v>0</v>
      </c>
      <c r="J917" s="86">
        <v>100</v>
      </c>
      <c r="K917" s="86">
        <v>300</v>
      </c>
      <c r="L917" s="83">
        <f t="shared" si="140"/>
        <v>1274</v>
      </c>
      <c r="M917" s="94">
        <v>600</v>
      </c>
      <c r="N917" s="83">
        <f>30</f>
        <v>30</v>
      </c>
      <c r="O917" s="86">
        <v>240</v>
      </c>
      <c r="P917" s="86">
        <v>40</v>
      </c>
      <c r="Q917" s="86">
        <f t="shared" si="141"/>
        <v>315</v>
      </c>
      <c r="R917" s="86">
        <f t="shared" si="142"/>
        <v>100</v>
      </c>
      <c r="S917" s="83">
        <f t="shared" si="143"/>
        <v>695</v>
      </c>
      <c r="T917" s="83">
        <f>50</f>
        <v>50</v>
      </c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</row>
    <row r="918" spans="1:30" ht="15.75" x14ac:dyDescent="0.25">
      <c r="A918" s="13">
        <v>68880</v>
      </c>
      <c r="B918" s="95">
        <f t="shared" si="144"/>
        <v>31</v>
      </c>
      <c r="C918" s="83">
        <f>194.205</f>
        <v>194.20500000000001</v>
      </c>
      <c r="D918" s="83">
        <f>267.466</f>
        <v>267.46600000000001</v>
      </c>
      <c r="E918" s="92">
        <f>133.845</f>
        <v>133.845</v>
      </c>
      <c r="F918" s="83">
        <f>278.484-40-25-60-100</f>
        <v>53.48399999999998</v>
      </c>
      <c r="G918" s="86">
        <v>40</v>
      </c>
      <c r="H918" s="83">
        <f t="shared" si="150"/>
        <v>185</v>
      </c>
      <c r="I918" s="83">
        <f t="shared" si="147"/>
        <v>0</v>
      </c>
      <c r="J918" s="86">
        <v>100</v>
      </c>
      <c r="K918" s="86">
        <v>300</v>
      </c>
      <c r="L918" s="83">
        <f t="shared" si="140"/>
        <v>1274</v>
      </c>
      <c r="M918" s="94">
        <v>600</v>
      </c>
      <c r="N918" s="83">
        <f>30</f>
        <v>30</v>
      </c>
      <c r="O918" s="86">
        <v>240</v>
      </c>
      <c r="P918" s="86">
        <v>40</v>
      </c>
      <c r="Q918" s="86">
        <f t="shared" si="141"/>
        <v>315</v>
      </c>
      <c r="R918" s="86">
        <f t="shared" si="142"/>
        <v>100</v>
      </c>
      <c r="S918" s="83">
        <f t="shared" si="143"/>
        <v>695</v>
      </c>
      <c r="T918" s="83">
        <f>0</f>
        <v>0</v>
      </c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</row>
    <row r="919" spans="1:30" ht="15.75" x14ac:dyDescent="0.25">
      <c r="A919" s="13">
        <v>68911</v>
      </c>
      <c r="B919" s="95">
        <f t="shared" si="144"/>
        <v>31</v>
      </c>
      <c r="C919" s="83">
        <f>194.205</f>
        <v>194.20500000000001</v>
      </c>
      <c r="D919" s="83">
        <f>267.466</f>
        <v>267.46600000000001</v>
      </c>
      <c r="E919" s="92">
        <f>133.845</f>
        <v>133.845</v>
      </c>
      <c r="F919" s="83">
        <f>278.484-40-25-60-100</f>
        <v>53.48399999999998</v>
      </c>
      <c r="G919" s="86">
        <v>40</v>
      </c>
      <c r="H919" s="83">
        <f t="shared" si="150"/>
        <v>185</v>
      </c>
      <c r="I919" s="83">
        <f t="shared" si="147"/>
        <v>0</v>
      </c>
      <c r="J919" s="86">
        <v>100</v>
      </c>
      <c r="K919" s="86">
        <v>300</v>
      </c>
      <c r="L919" s="83">
        <f t="shared" ref="L919:L982" si="151">SUM(C919:K919)</f>
        <v>1274</v>
      </c>
      <c r="M919" s="94">
        <v>600</v>
      </c>
      <c r="N919" s="83">
        <f>30</f>
        <v>30</v>
      </c>
      <c r="O919" s="86">
        <v>240</v>
      </c>
      <c r="P919" s="86">
        <v>40</v>
      </c>
      <c r="Q919" s="86">
        <f t="shared" ref="Q919:Q982" si="152">695-R919-O919-P919</f>
        <v>315</v>
      </c>
      <c r="R919" s="86">
        <f t="shared" ref="R919:R982" si="153">200-J919</f>
        <v>100</v>
      </c>
      <c r="S919" s="83">
        <f t="shared" ref="S919:S982" si="154">SUM(O919:R919)</f>
        <v>695</v>
      </c>
      <c r="T919" s="83">
        <f>0</f>
        <v>0</v>
      </c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</row>
    <row r="920" spans="1:30" ht="15.75" x14ac:dyDescent="0.25">
      <c r="A920" s="13">
        <v>68941</v>
      </c>
      <c r="B920" s="95">
        <f t="shared" ref="B920:B983" si="155">EOMONTH(A920,0)-EOMONTH(A920,-1)</f>
        <v>30</v>
      </c>
      <c r="C920" s="83">
        <f>194.205</f>
        <v>194.20500000000001</v>
      </c>
      <c r="D920" s="83">
        <f>267.466</f>
        <v>267.46600000000001</v>
      </c>
      <c r="E920" s="92">
        <f>133.845</f>
        <v>133.845</v>
      </c>
      <c r="F920" s="83">
        <f>278.484-40-25-60-100</f>
        <v>53.48399999999998</v>
      </c>
      <c r="G920" s="86">
        <v>40</v>
      </c>
      <c r="H920" s="83">
        <f t="shared" si="150"/>
        <v>185</v>
      </c>
      <c r="I920" s="83">
        <f t="shared" si="147"/>
        <v>0</v>
      </c>
      <c r="J920" s="86">
        <v>100</v>
      </c>
      <c r="K920" s="86">
        <v>300</v>
      </c>
      <c r="L920" s="83">
        <f t="shared" si="151"/>
        <v>1274</v>
      </c>
      <c r="M920" s="94">
        <v>600</v>
      </c>
      <c r="N920" s="83">
        <f>30</f>
        <v>30</v>
      </c>
      <c r="O920" s="86">
        <v>240</v>
      </c>
      <c r="P920" s="86">
        <v>40</v>
      </c>
      <c r="Q920" s="86">
        <f t="shared" si="152"/>
        <v>315</v>
      </c>
      <c r="R920" s="86">
        <f t="shared" si="153"/>
        <v>100</v>
      </c>
      <c r="S920" s="83">
        <f t="shared" si="154"/>
        <v>695</v>
      </c>
      <c r="T920" s="83">
        <f>0</f>
        <v>0</v>
      </c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</row>
    <row r="921" spans="1:30" ht="15.75" x14ac:dyDescent="0.25">
      <c r="A921" s="13">
        <v>68972</v>
      </c>
      <c r="B921" s="95">
        <f t="shared" si="155"/>
        <v>31</v>
      </c>
      <c r="C921" s="83">
        <f>131.881</f>
        <v>131.881</v>
      </c>
      <c r="D921" s="83">
        <f>277.167</f>
        <v>277.16699999999997</v>
      </c>
      <c r="E921" s="92">
        <f>79.08</f>
        <v>79.08</v>
      </c>
      <c r="F921" s="83">
        <f>350.872-40-25-60-100</f>
        <v>125.87200000000001</v>
      </c>
      <c r="G921" s="86">
        <v>40</v>
      </c>
      <c r="H921" s="83">
        <f t="shared" si="150"/>
        <v>185</v>
      </c>
      <c r="I921" s="83">
        <f t="shared" si="147"/>
        <v>0</v>
      </c>
      <c r="J921" s="86">
        <v>100</v>
      </c>
      <c r="K921" s="86">
        <v>300</v>
      </c>
      <c r="L921" s="83">
        <f t="shared" si="151"/>
        <v>1239</v>
      </c>
      <c r="M921" s="94">
        <v>600</v>
      </c>
      <c r="N921" s="83">
        <f>75</f>
        <v>75</v>
      </c>
      <c r="O921" s="86">
        <v>240</v>
      </c>
      <c r="P921" s="86">
        <v>40</v>
      </c>
      <c r="Q921" s="86">
        <f t="shared" si="152"/>
        <v>315</v>
      </c>
      <c r="R921" s="86">
        <f t="shared" si="153"/>
        <v>100</v>
      </c>
      <c r="S921" s="83">
        <f t="shared" si="154"/>
        <v>695</v>
      </c>
      <c r="T921" s="83">
        <f>0</f>
        <v>0</v>
      </c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</row>
    <row r="922" spans="1:30" ht="15.75" x14ac:dyDescent="0.25">
      <c r="A922" s="13">
        <v>69002</v>
      </c>
      <c r="B922" s="95">
        <f t="shared" si="155"/>
        <v>30</v>
      </c>
      <c r="C922" s="83">
        <f>122.58</f>
        <v>122.58</v>
      </c>
      <c r="D922" s="83">
        <f>297.941</f>
        <v>297.94099999999997</v>
      </c>
      <c r="E922" s="92">
        <f>89.177</f>
        <v>89.177000000000007</v>
      </c>
      <c r="F922" s="83">
        <f>240.302-40-60-100</f>
        <v>40.301999999999992</v>
      </c>
      <c r="G922" s="86">
        <v>40</v>
      </c>
      <c r="H922" s="83">
        <f>60+100</f>
        <v>160</v>
      </c>
      <c r="I922" s="83">
        <f t="shared" si="147"/>
        <v>0</v>
      </c>
      <c r="J922" s="86">
        <v>100</v>
      </c>
      <c r="K922" s="86">
        <v>300</v>
      </c>
      <c r="L922" s="83">
        <f t="shared" si="151"/>
        <v>1150</v>
      </c>
      <c r="M922" s="94">
        <v>600</v>
      </c>
      <c r="N922" s="83">
        <f>100</f>
        <v>100</v>
      </c>
      <c r="O922" s="86">
        <v>240</v>
      </c>
      <c r="P922" s="86">
        <v>40</v>
      </c>
      <c r="Q922" s="86">
        <f t="shared" si="152"/>
        <v>315</v>
      </c>
      <c r="R922" s="86">
        <f t="shared" si="153"/>
        <v>100</v>
      </c>
      <c r="S922" s="83">
        <f t="shared" si="154"/>
        <v>695</v>
      </c>
      <c r="T922" s="83">
        <f>50</f>
        <v>50</v>
      </c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</row>
    <row r="923" spans="1:30" ht="15.75" x14ac:dyDescent="0.25">
      <c r="A923" s="13">
        <v>69033</v>
      </c>
      <c r="B923" s="95">
        <f t="shared" si="155"/>
        <v>31</v>
      </c>
      <c r="C923" s="83">
        <f>122.58</f>
        <v>122.58</v>
      </c>
      <c r="D923" s="83">
        <f>297.941</f>
        <v>297.94099999999997</v>
      </c>
      <c r="E923" s="92">
        <f>89.177</f>
        <v>89.177000000000007</v>
      </c>
      <c r="F923" s="83">
        <f>240.302-40-60-100</f>
        <v>40.301999999999992</v>
      </c>
      <c r="G923" s="86">
        <v>40</v>
      </c>
      <c r="H923" s="83">
        <f>60+100</f>
        <v>160</v>
      </c>
      <c r="I923" s="83">
        <f t="shared" si="147"/>
        <v>0</v>
      </c>
      <c r="J923" s="86">
        <v>100</v>
      </c>
      <c r="K923" s="86">
        <v>300</v>
      </c>
      <c r="L923" s="83">
        <f t="shared" si="151"/>
        <v>1150</v>
      </c>
      <c r="M923" s="94">
        <v>600</v>
      </c>
      <c r="N923" s="83">
        <f>100</f>
        <v>100</v>
      </c>
      <c r="O923" s="86">
        <v>240</v>
      </c>
      <c r="P923" s="86">
        <v>40</v>
      </c>
      <c r="Q923" s="86">
        <f t="shared" si="152"/>
        <v>315</v>
      </c>
      <c r="R923" s="86">
        <f t="shared" si="153"/>
        <v>100</v>
      </c>
      <c r="S923" s="83">
        <f t="shared" si="154"/>
        <v>695</v>
      </c>
      <c r="T923" s="83">
        <f>50</f>
        <v>50</v>
      </c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</row>
    <row r="924" spans="1:30" ht="15.75" x14ac:dyDescent="0.25">
      <c r="A924" s="13">
        <v>69064</v>
      </c>
      <c r="B924" s="95">
        <f t="shared" si="155"/>
        <v>31</v>
      </c>
      <c r="C924" s="83">
        <f>122.58</f>
        <v>122.58</v>
      </c>
      <c r="D924" s="83">
        <f>297.941</f>
        <v>297.94099999999997</v>
      </c>
      <c r="E924" s="92">
        <f>89.177</f>
        <v>89.177000000000007</v>
      </c>
      <c r="F924" s="83">
        <f>240.302-40-60-100</f>
        <v>40.301999999999992</v>
      </c>
      <c r="G924" s="86">
        <v>40</v>
      </c>
      <c r="H924" s="83">
        <f>60+100</f>
        <v>160</v>
      </c>
      <c r="I924" s="83">
        <f t="shared" si="147"/>
        <v>0</v>
      </c>
      <c r="J924" s="86">
        <v>100</v>
      </c>
      <c r="K924" s="86">
        <v>300</v>
      </c>
      <c r="L924" s="83">
        <f t="shared" si="151"/>
        <v>1150</v>
      </c>
      <c r="M924" s="94">
        <v>600</v>
      </c>
      <c r="N924" s="83">
        <f>100</f>
        <v>100</v>
      </c>
      <c r="O924" s="86">
        <v>240</v>
      </c>
      <c r="P924" s="86">
        <v>40</v>
      </c>
      <c r="Q924" s="86">
        <f t="shared" si="152"/>
        <v>315</v>
      </c>
      <c r="R924" s="86">
        <f t="shared" si="153"/>
        <v>100</v>
      </c>
      <c r="S924" s="83">
        <f t="shared" si="154"/>
        <v>695</v>
      </c>
      <c r="T924" s="83">
        <f>50</f>
        <v>50</v>
      </c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</row>
    <row r="925" spans="1:30" ht="15.75" x14ac:dyDescent="0.25">
      <c r="A925" s="13">
        <v>69092</v>
      </c>
      <c r="B925" s="95">
        <f t="shared" si="155"/>
        <v>28</v>
      </c>
      <c r="C925" s="83">
        <f>122.58</f>
        <v>122.58</v>
      </c>
      <c r="D925" s="83">
        <f>297.941</f>
        <v>297.94099999999997</v>
      </c>
      <c r="E925" s="92">
        <f>89.177</f>
        <v>89.177000000000007</v>
      </c>
      <c r="F925" s="83">
        <f>240.302-40-60-100</f>
        <v>40.301999999999992</v>
      </c>
      <c r="G925" s="86">
        <v>40</v>
      </c>
      <c r="H925" s="83">
        <f>60+100</f>
        <v>160</v>
      </c>
      <c r="I925" s="83">
        <f t="shared" si="147"/>
        <v>0</v>
      </c>
      <c r="J925" s="86">
        <v>100</v>
      </c>
      <c r="K925" s="86">
        <v>300</v>
      </c>
      <c r="L925" s="83">
        <f t="shared" si="151"/>
        <v>1150</v>
      </c>
      <c r="M925" s="94">
        <v>600</v>
      </c>
      <c r="N925" s="83">
        <f>100</f>
        <v>100</v>
      </c>
      <c r="O925" s="86">
        <v>240</v>
      </c>
      <c r="P925" s="86">
        <v>40</v>
      </c>
      <c r="Q925" s="86">
        <f t="shared" si="152"/>
        <v>315</v>
      </c>
      <c r="R925" s="86">
        <f t="shared" si="153"/>
        <v>100</v>
      </c>
      <c r="S925" s="83">
        <f t="shared" si="154"/>
        <v>695</v>
      </c>
      <c r="T925" s="83">
        <f>50</f>
        <v>50</v>
      </c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</row>
    <row r="926" spans="1:30" ht="15.75" x14ac:dyDescent="0.25">
      <c r="A926" s="13">
        <v>69123</v>
      </c>
      <c r="B926" s="95">
        <f t="shared" si="155"/>
        <v>31</v>
      </c>
      <c r="C926" s="83">
        <f>122.58</f>
        <v>122.58</v>
      </c>
      <c r="D926" s="83">
        <f>297.941</f>
        <v>297.94099999999997</v>
      </c>
      <c r="E926" s="92">
        <f>89.177</f>
        <v>89.177000000000007</v>
      </c>
      <c r="F926" s="83">
        <f>240.302-40-60-100</f>
        <v>40.301999999999992</v>
      </c>
      <c r="G926" s="86">
        <v>40</v>
      </c>
      <c r="H926" s="83">
        <f>60+100</f>
        <v>160</v>
      </c>
      <c r="I926" s="83">
        <f t="shared" si="147"/>
        <v>0</v>
      </c>
      <c r="J926" s="86">
        <v>100</v>
      </c>
      <c r="K926" s="86">
        <v>300</v>
      </c>
      <c r="L926" s="83">
        <f t="shared" si="151"/>
        <v>1150</v>
      </c>
      <c r="M926" s="94">
        <v>600</v>
      </c>
      <c r="N926" s="83">
        <f>100</f>
        <v>100</v>
      </c>
      <c r="O926" s="86">
        <v>240</v>
      </c>
      <c r="P926" s="86">
        <v>40</v>
      </c>
      <c r="Q926" s="86">
        <f t="shared" si="152"/>
        <v>315</v>
      </c>
      <c r="R926" s="86">
        <f t="shared" si="153"/>
        <v>100</v>
      </c>
      <c r="S926" s="83">
        <f t="shared" si="154"/>
        <v>695</v>
      </c>
      <c r="T926" s="83">
        <f>50</f>
        <v>50</v>
      </c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</row>
    <row r="927" spans="1:30" ht="15.75" x14ac:dyDescent="0.25">
      <c r="A927" s="13">
        <v>69153</v>
      </c>
      <c r="B927" s="95">
        <f t="shared" si="155"/>
        <v>30</v>
      </c>
      <c r="C927" s="83">
        <f>141.293</f>
        <v>141.29300000000001</v>
      </c>
      <c r="D927" s="83">
        <f>267.993</f>
        <v>267.99299999999999</v>
      </c>
      <c r="E927" s="92">
        <f>115.016</f>
        <v>115.01600000000001</v>
      </c>
      <c r="F927" s="83">
        <f>314.698-40-25-60-100</f>
        <v>89.697999999999979</v>
      </c>
      <c r="G927" s="86">
        <v>40</v>
      </c>
      <c r="H927" s="83">
        <f t="shared" ref="H927:H933" si="156">25+60+100</f>
        <v>185</v>
      </c>
      <c r="I927" s="83">
        <f t="shared" si="147"/>
        <v>0</v>
      </c>
      <c r="J927" s="86">
        <v>100</v>
      </c>
      <c r="K927" s="86">
        <v>300</v>
      </c>
      <c r="L927" s="83">
        <f t="shared" si="151"/>
        <v>1239</v>
      </c>
      <c r="M927" s="94">
        <v>600</v>
      </c>
      <c r="N927" s="83">
        <f>100</f>
        <v>100</v>
      </c>
      <c r="O927" s="86">
        <v>240</v>
      </c>
      <c r="P927" s="86">
        <v>40</v>
      </c>
      <c r="Q927" s="86">
        <f t="shared" si="152"/>
        <v>315</v>
      </c>
      <c r="R927" s="86">
        <f t="shared" si="153"/>
        <v>100</v>
      </c>
      <c r="S927" s="83">
        <f t="shared" si="154"/>
        <v>695</v>
      </c>
      <c r="T927" s="83">
        <f>50</f>
        <v>50</v>
      </c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</row>
    <row r="928" spans="1:30" ht="15.75" x14ac:dyDescent="0.25">
      <c r="A928" s="13">
        <v>69184</v>
      </c>
      <c r="B928" s="95">
        <f t="shared" si="155"/>
        <v>31</v>
      </c>
      <c r="C928" s="83">
        <f>194.205</f>
        <v>194.20500000000001</v>
      </c>
      <c r="D928" s="83">
        <f>267.466</f>
        <v>267.46600000000001</v>
      </c>
      <c r="E928" s="92">
        <f>133.845</f>
        <v>133.845</v>
      </c>
      <c r="F928" s="83">
        <f>278.484-40-25-60-100</f>
        <v>53.48399999999998</v>
      </c>
      <c r="G928" s="86">
        <v>40</v>
      </c>
      <c r="H928" s="83">
        <f t="shared" si="156"/>
        <v>185</v>
      </c>
      <c r="I928" s="83">
        <f t="shared" si="147"/>
        <v>0</v>
      </c>
      <c r="J928" s="86">
        <v>100</v>
      </c>
      <c r="K928" s="86">
        <v>300</v>
      </c>
      <c r="L928" s="83">
        <f t="shared" si="151"/>
        <v>1274</v>
      </c>
      <c r="M928" s="94">
        <v>600</v>
      </c>
      <c r="N928" s="83">
        <f>75</f>
        <v>75</v>
      </c>
      <c r="O928" s="86">
        <v>240</v>
      </c>
      <c r="P928" s="86">
        <v>40</v>
      </c>
      <c r="Q928" s="86">
        <f t="shared" si="152"/>
        <v>315</v>
      </c>
      <c r="R928" s="86">
        <f t="shared" si="153"/>
        <v>100</v>
      </c>
      <c r="S928" s="83">
        <f t="shared" si="154"/>
        <v>695</v>
      </c>
      <c r="T928" s="83">
        <f>50</f>
        <v>50</v>
      </c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</row>
    <row r="929" spans="1:30" ht="15.75" x14ac:dyDescent="0.25">
      <c r="A929" s="13">
        <v>69214</v>
      </c>
      <c r="B929" s="95">
        <f t="shared" si="155"/>
        <v>30</v>
      </c>
      <c r="C929" s="83">
        <f>194.205</f>
        <v>194.20500000000001</v>
      </c>
      <c r="D929" s="83">
        <f>267.466</f>
        <v>267.46600000000001</v>
      </c>
      <c r="E929" s="92">
        <f>133.845</f>
        <v>133.845</v>
      </c>
      <c r="F929" s="83">
        <f>278.484-40-25-60-100</f>
        <v>53.48399999999998</v>
      </c>
      <c r="G929" s="86">
        <v>40</v>
      </c>
      <c r="H929" s="83">
        <f t="shared" si="156"/>
        <v>185</v>
      </c>
      <c r="I929" s="83">
        <f t="shared" si="147"/>
        <v>0</v>
      </c>
      <c r="J929" s="86">
        <v>100</v>
      </c>
      <c r="K929" s="86">
        <v>300</v>
      </c>
      <c r="L929" s="83">
        <f t="shared" si="151"/>
        <v>1274</v>
      </c>
      <c r="M929" s="94">
        <v>600</v>
      </c>
      <c r="N929" s="83">
        <f>30</f>
        <v>30</v>
      </c>
      <c r="O929" s="86">
        <v>240</v>
      </c>
      <c r="P929" s="86">
        <v>40</v>
      </c>
      <c r="Q929" s="86">
        <f t="shared" si="152"/>
        <v>315</v>
      </c>
      <c r="R929" s="86">
        <f t="shared" si="153"/>
        <v>100</v>
      </c>
      <c r="S929" s="83">
        <f t="shared" si="154"/>
        <v>695</v>
      </c>
      <c r="T929" s="83">
        <f>50</f>
        <v>50</v>
      </c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</row>
    <row r="930" spans="1:30" ht="15.75" x14ac:dyDescent="0.25">
      <c r="A930" s="13">
        <v>69245</v>
      </c>
      <c r="B930" s="95">
        <f t="shared" si="155"/>
        <v>31</v>
      </c>
      <c r="C930" s="83">
        <f>194.205</f>
        <v>194.20500000000001</v>
      </c>
      <c r="D930" s="83">
        <f>267.466</f>
        <v>267.46600000000001</v>
      </c>
      <c r="E930" s="92">
        <f>133.845</f>
        <v>133.845</v>
      </c>
      <c r="F930" s="83">
        <f>278.484-40-25-60-100</f>
        <v>53.48399999999998</v>
      </c>
      <c r="G930" s="86">
        <v>40</v>
      </c>
      <c r="H930" s="83">
        <f t="shared" si="156"/>
        <v>185</v>
      </c>
      <c r="I930" s="83">
        <f t="shared" si="147"/>
        <v>0</v>
      </c>
      <c r="J930" s="86">
        <v>100</v>
      </c>
      <c r="K930" s="86">
        <v>300</v>
      </c>
      <c r="L930" s="83">
        <f t="shared" si="151"/>
        <v>1274</v>
      </c>
      <c r="M930" s="94">
        <v>600</v>
      </c>
      <c r="N930" s="83">
        <f>30</f>
        <v>30</v>
      </c>
      <c r="O930" s="86">
        <v>240</v>
      </c>
      <c r="P930" s="86">
        <v>40</v>
      </c>
      <c r="Q930" s="86">
        <f t="shared" si="152"/>
        <v>315</v>
      </c>
      <c r="R930" s="86">
        <f t="shared" si="153"/>
        <v>100</v>
      </c>
      <c r="S930" s="83">
        <f t="shared" si="154"/>
        <v>695</v>
      </c>
      <c r="T930" s="83">
        <f>0</f>
        <v>0</v>
      </c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</row>
    <row r="931" spans="1:30" ht="15.75" x14ac:dyDescent="0.25">
      <c r="A931" s="13">
        <v>69276</v>
      </c>
      <c r="B931" s="95">
        <f t="shared" si="155"/>
        <v>31</v>
      </c>
      <c r="C931" s="83">
        <f>194.205</f>
        <v>194.20500000000001</v>
      </c>
      <c r="D931" s="83">
        <f>267.466</f>
        <v>267.46600000000001</v>
      </c>
      <c r="E931" s="92">
        <f>133.845</f>
        <v>133.845</v>
      </c>
      <c r="F931" s="83">
        <f>278.484-40-25-60-100</f>
        <v>53.48399999999998</v>
      </c>
      <c r="G931" s="86">
        <v>40</v>
      </c>
      <c r="H931" s="83">
        <f t="shared" si="156"/>
        <v>185</v>
      </c>
      <c r="I931" s="83">
        <f t="shared" si="147"/>
        <v>0</v>
      </c>
      <c r="J931" s="86">
        <v>100</v>
      </c>
      <c r="K931" s="86">
        <v>300</v>
      </c>
      <c r="L931" s="83">
        <f t="shared" si="151"/>
        <v>1274</v>
      </c>
      <c r="M931" s="94">
        <v>600</v>
      </c>
      <c r="N931" s="83">
        <f>30</f>
        <v>30</v>
      </c>
      <c r="O931" s="86">
        <v>240</v>
      </c>
      <c r="P931" s="86">
        <v>40</v>
      </c>
      <c r="Q931" s="86">
        <f t="shared" si="152"/>
        <v>315</v>
      </c>
      <c r="R931" s="86">
        <f t="shared" si="153"/>
        <v>100</v>
      </c>
      <c r="S931" s="83">
        <f t="shared" si="154"/>
        <v>695</v>
      </c>
      <c r="T931" s="83">
        <f>0</f>
        <v>0</v>
      </c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</row>
    <row r="932" spans="1:30" ht="15.75" x14ac:dyDescent="0.25">
      <c r="A932" s="13">
        <v>69306</v>
      </c>
      <c r="B932" s="95">
        <f t="shared" si="155"/>
        <v>30</v>
      </c>
      <c r="C932" s="83">
        <f>194.205</f>
        <v>194.20500000000001</v>
      </c>
      <c r="D932" s="83">
        <f>267.466</f>
        <v>267.46600000000001</v>
      </c>
      <c r="E932" s="92">
        <f>133.845</f>
        <v>133.845</v>
      </c>
      <c r="F932" s="83">
        <f>278.484-40-25-60-100</f>
        <v>53.48399999999998</v>
      </c>
      <c r="G932" s="86">
        <v>40</v>
      </c>
      <c r="H932" s="83">
        <f t="shared" si="156"/>
        <v>185</v>
      </c>
      <c r="I932" s="83">
        <f t="shared" si="147"/>
        <v>0</v>
      </c>
      <c r="J932" s="86">
        <v>100</v>
      </c>
      <c r="K932" s="86">
        <v>300</v>
      </c>
      <c r="L932" s="83">
        <f t="shared" si="151"/>
        <v>1274</v>
      </c>
      <c r="M932" s="94">
        <v>600</v>
      </c>
      <c r="N932" s="83">
        <f>30</f>
        <v>30</v>
      </c>
      <c r="O932" s="86">
        <v>240</v>
      </c>
      <c r="P932" s="86">
        <v>40</v>
      </c>
      <c r="Q932" s="86">
        <f t="shared" si="152"/>
        <v>315</v>
      </c>
      <c r="R932" s="86">
        <f t="shared" si="153"/>
        <v>100</v>
      </c>
      <c r="S932" s="83">
        <f t="shared" si="154"/>
        <v>695</v>
      </c>
      <c r="T932" s="83">
        <f>0</f>
        <v>0</v>
      </c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</row>
    <row r="933" spans="1:30" ht="15.75" x14ac:dyDescent="0.25">
      <c r="A933" s="13">
        <v>69337</v>
      </c>
      <c r="B933" s="95">
        <f t="shared" si="155"/>
        <v>31</v>
      </c>
      <c r="C933" s="83">
        <f>131.881</f>
        <v>131.881</v>
      </c>
      <c r="D933" s="83">
        <f>277.167</f>
        <v>277.16699999999997</v>
      </c>
      <c r="E933" s="92">
        <f>79.08</f>
        <v>79.08</v>
      </c>
      <c r="F933" s="83">
        <f>350.872-40-25-60-100</f>
        <v>125.87200000000001</v>
      </c>
      <c r="G933" s="86">
        <v>40</v>
      </c>
      <c r="H933" s="83">
        <f t="shared" si="156"/>
        <v>185</v>
      </c>
      <c r="I933" s="83">
        <f t="shared" si="147"/>
        <v>0</v>
      </c>
      <c r="J933" s="86">
        <v>100</v>
      </c>
      <c r="K933" s="86">
        <v>300</v>
      </c>
      <c r="L933" s="83">
        <f t="shared" si="151"/>
        <v>1239</v>
      </c>
      <c r="M933" s="94">
        <v>600</v>
      </c>
      <c r="N933" s="83">
        <f>75</f>
        <v>75</v>
      </c>
      <c r="O933" s="86">
        <v>240</v>
      </c>
      <c r="P933" s="86">
        <v>40</v>
      </c>
      <c r="Q933" s="86">
        <f t="shared" si="152"/>
        <v>315</v>
      </c>
      <c r="R933" s="86">
        <f t="shared" si="153"/>
        <v>100</v>
      </c>
      <c r="S933" s="83">
        <f t="shared" si="154"/>
        <v>695</v>
      </c>
      <c r="T933" s="83">
        <f>0</f>
        <v>0</v>
      </c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</row>
    <row r="934" spans="1:30" ht="15.75" x14ac:dyDescent="0.25">
      <c r="A934" s="13">
        <v>69367</v>
      </c>
      <c r="B934" s="95">
        <f t="shared" si="155"/>
        <v>30</v>
      </c>
      <c r="C934" s="83">
        <f>122.58</f>
        <v>122.58</v>
      </c>
      <c r="D934" s="83">
        <f>297.941</f>
        <v>297.94099999999997</v>
      </c>
      <c r="E934" s="92">
        <f>89.177</f>
        <v>89.177000000000007</v>
      </c>
      <c r="F934" s="83">
        <f>240.302-40-60-100</f>
        <v>40.301999999999992</v>
      </c>
      <c r="G934" s="86">
        <v>40</v>
      </c>
      <c r="H934" s="83">
        <f>60+100</f>
        <v>160</v>
      </c>
      <c r="I934" s="83">
        <f t="shared" si="147"/>
        <v>0</v>
      </c>
      <c r="J934" s="86">
        <v>100</v>
      </c>
      <c r="K934" s="86">
        <v>300</v>
      </c>
      <c r="L934" s="83">
        <f t="shared" si="151"/>
        <v>1150</v>
      </c>
      <c r="M934" s="94">
        <v>600</v>
      </c>
      <c r="N934" s="83">
        <f>100</f>
        <v>100</v>
      </c>
      <c r="O934" s="86">
        <v>240</v>
      </c>
      <c r="P934" s="86">
        <v>40</v>
      </c>
      <c r="Q934" s="86">
        <f t="shared" si="152"/>
        <v>315</v>
      </c>
      <c r="R934" s="86">
        <f t="shared" si="153"/>
        <v>100</v>
      </c>
      <c r="S934" s="83">
        <f t="shared" si="154"/>
        <v>695</v>
      </c>
      <c r="T934" s="83">
        <f>50</f>
        <v>50</v>
      </c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</row>
    <row r="935" spans="1:30" ht="15.75" x14ac:dyDescent="0.25">
      <c r="A935" s="13">
        <v>69398</v>
      </c>
      <c r="B935" s="95">
        <f t="shared" si="155"/>
        <v>31</v>
      </c>
      <c r="C935" s="83">
        <f>122.58</f>
        <v>122.58</v>
      </c>
      <c r="D935" s="83">
        <f>297.941</f>
        <v>297.94099999999997</v>
      </c>
      <c r="E935" s="92">
        <f>89.177</f>
        <v>89.177000000000007</v>
      </c>
      <c r="F935" s="83">
        <f>240.302-40-60-100</f>
        <v>40.301999999999992</v>
      </c>
      <c r="G935" s="86">
        <v>40</v>
      </c>
      <c r="H935" s="83">
        <f>60+100</f>
        <v>160</v>
      </c>
      <c r="I935" s="83">
        <f t="shared" si="147"/>
        <v>0</v>
      </c>
      <c r="J935" s="86">
        <v>100</v>
      </c>
      <c r="K935" s="86">
        <v>300</v>
      </c>
      <c r="L935" s="83">
        <f t="shared" si="151"/>
        <v>1150</v>
      </c>
      <c r="M935" s="94">
        <v>600</v>
      </c>
      <c r="N935" s="83">
        <f>100</f>
        <v>100</v>
      </c>
      <c r="O935" s="86">
        <v>240</v>
      </c>
      <c r="P935" s="86">
        <v>40</v>
      </c>
      <c r="Q935" s="86">
        <f t="shared" si="152"/>
        <v>315</v>
      </c>
      <c r="R935" s="86">
        <f t="shared" si="153"/>
        <v>100</v>
      </c>
      <c r="S935" s="83">
        <f t="shared" si="154"/>
        <v>695</v>
      </c>
      <c r="T935" s="83">
        <f>50</f>
        <v>50</v>
      </c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</row>
    <row r="936" spans="1:30" ht="15.75" x14ac:dyDescent="0.25">
      <c r="A936" s="13">
        <v>69429</v>
      </c>
      <c r="B936" s="95">
        <f t="shared" si="155"/>
        <v>31</v>
      </c>
      <c r="C936" s="83">
        <f>122.58</f>
        <v>122.58</v>
      </c>
      <c r="D936" s="83">
        <f>297.941</f>
        <v>297.94099999999997</v>
      </c>
      <c r="E936" s="92">
        <f>89.177</f>
        <v>89.177000000000007</v>
      </c>
      <c r="F936" s="83">
        <f>240.302-40-60-100</f>
        <v>40.301999999999992</v>
      </c>
      <c r="G936" s="86">
        <v>40</v>
      </c>
      <c r="H936" s="83">
        <f>60+100</f>
        <v>160</v>
      </c>
      <c r="I936" s="83">
        <f t="shared" si="147"/>
        <v>0</v>
      </c>
      <c r="J936" s="86">
        <v>100</v>
      </c>
      <c r="K936" s="86">
        <v>300</v>
      </c>
      <c r="L936" s="83">
        <f t="shared" si="151"/>
        <v>1150</v>
      </c>
      <c r="M936" s="94">
        <v>600</v>
      </c>
      <c r="N936" s="83">
        <f>100</f>
        <v>100</v>
      </c>
      <c r="O936" s="86">
        <v>240</v>
      </c>
      <c r="P936" s="86">
        <v>40</v>
      </c>
      <c r="Q936" s="86">
        <f t="shared" si="152"/>
        <v>315</v>
      </c>
      <c r="R936" s="86">
        <f t="shared" si="153"/>
        <v>100</v>
      </c>
      <c r="S936" s="83">
        <f t="shared" si="154"/>
        <v>695</v>
      </c>
      <c r="T936" s="83">
        <f>50</f>
        <v>50</v>
      </c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</row>
    <row r="937" spans="1:30" ht="15.75" x14ac:dyDescent="0.25">
      <c r="A937" s="13">
        <v>69457</v>
      </c>
      <c r="B937" s="95">
        <f t="shared" si="155"/>
        <v>28</v>
      </c>
      <c r="C937" s="83">
        <f>122.58</f>
        <v>122.58</v>
      </c>
      <c r="D937" s="83">
        <f>297.941</f>
        <v>297.94099999999997</v>
      </c>
      <c r="E937" s="92">
        <f>89.177</f>
        <v>89.177000000000007</v>
      </c>
      <c r="F937" s="83">
        <f>240.302-40-60-100</f>
        <v>40.301999999999992</v>
      </c>
      <c r="G937" s="86">
        <v>40</v>
      </c>
      <c r="H937" s="83">
        <f>60+100</f>
        <v>160</v>
      </c>
      <c r="I937" s="83">
        <f t="shared" si="147"/>
        <v>0</v>
      </c>
      <c r="J937" s="86">
        <v>100</v>
      </c>
      <c r="K937" s="86">
        <v>300</v>
      </c>
      <c r="L937" s="83">
        <f t="shared" si="151"/>
        <v>1150</v>
      </c>
      <c r="M937" s="94">
        <v>600</v>
      </c>
      <c r="N937" s="83">
        <f>100</f>
        <v>100</v>
      </c>
      <c r="O937" s="86">
        <v>240</v>
      </c>
      <c r="P937" s="86">
        <v>40</v>
      </c>
      <c r="Q937" s="86">
        <f t="shared" si="152"/>
        <v>315</v>
      </c>
      <c r="R937" s="86">
        <f t="shared" si="153"/>
        <v>100</v>
      </c>
      <c r="S937" s="83">
        <f t="shared" si="154"/>
        <v>695</v>
      </c>
      <c r="T937" s="83">
        <f>50</f>
        <v>50</v>
      </c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</row>
    <row r="938" spans="1:30" ht="15.75" x14ac:dyDescent="0.25">
      <c r="A938" s="13">
        <v>69488</v>
      </c>
      <c r="B938" s="95">
        <f t="shared" si="155"/>
        <v>31</v>
      </c>
      <c r="C938" s="83">
        <f>122.58</f>
        <v>122.58</v>
      </c>
      <c r="D938" s="83">
        <f>297.941</f>
        <v>297.94099999999997</v>
      </c>
      <c r="E938" s="92">
        <f>89.177</f>
        <v>89.177000000000007</v>
      </c>
      <c r="F938" s="83">
        <f>240.302-40-60-100</f>
        <v>40.301999999999992</v>
      </c>
      <c r="G938" s="86">
        <v>40</v>
      </c>
      <c r="H938" s="83">
        <f>60+100</f>
        <v>160</v>
      </c>
      <c r="I938" s="83">
        <f t="shared" si="147"/>
        <v>0</v>
      </c>
      <c r="J938" s="86">
        <v>100</v>
      </c>
      <c r="K938" s="86">
        <v>300</v>
      </c>
      <c r="L938" s="83">
        <f t="shared" si="151"/>
        <v>1150</v>
      </c>
      <c r="M938" s="94">
        <v>600</v>
      </c>
      <c r="N938" s="83">
        <f>100</f>
        <v>100</v>
      </c>
      <c r="O938" s="86">
        <v>240</v>
      </c>
      <c r="P938" s="86">
        <v>40</v>
      </c>
      <c r="Q938" s="86">
        <f t="shared" si="152"/>
        <v>315</v>
      </c>
      <c r="R938" s="86">
        <f t="shared" si="153"/>
        <v>100</v>
      </c>
      <c r="S938" s="83">
        <f t="shared" si="154"/>
        <v>695</v>
      </c>
      <c r="T938" s="83">
        <f>50</f>
        <v>50</v>
      </c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</row>
    <row r="939" spans="1:30" ht="15.75" x14ac:dyDescent="0.25">
      <c r="A939" s="13">
        <v>69518</v>
      </c>
      <c r="B939" s="95">
        <f t="shared" si="155"/>
        <v>30</v>
      </c>
      <c r="C939" s="83">
        <f>141.293</f>
        <v>141.29300000000001</v>
      </c>
      <c r="D939" s="83">
        <f>267.993</f>
        <v>267.99299999999999</v>
      </c>
      <c r="E939" s="92">
        <f>115.016</f>
        <v>115.01600000000001</v>
      </c>
      <c r="F939" s="83">
        <f>314.698-40-25-60-100</f>
        <v>89.697999999999979</v>
      </c>
      <c r="G939" s="86">
        <v>40</v>
      </c>
      <c r="H939" s="83">
        <f t="shared" ref="H939:H945" si="157">25+60+100</f>
        <v>185</v>
      </c>
      <c r="I939" s="83">
        <f t="shared" si="147"/>
        <v>0</v>
      </c>
      <c r="J939" s="86">
        <v>100</v>
      </c>
      <c r="K939" s="86">
        <v>300</v>
      </c>
      <c r="L939" s="83">
        <f t="shared" si="151"/>
        <v>1239</v>
      </c>
      <c r="M939" s="94">
        <v>600</v>
      </c>
      <c r="N939" s="83">
        <f>100</f>
        <v>100</v>
      </c>
      <c r="O939" s="86">
        <v>240</v>
      </c>
      <c r="P939" s="86">
        <v>40</v>
      </c>
      <c r="Q939" s="86">
        <f t="shared" si="152"/>
        <v>315</v>
      </c>
      <c r="R939" s="86">
        <f t="shared" si="153"/>
        <v>100</v>
      </c>
      <c r="S939" s="83">
        <f t="shared" si="154"/>
        <v>695</v>
      </c>
      <c r="T939" s="83">
        <f>50</f>
        <v>50</v>
      </c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</row>
    <row r="940" spans="1:30" ht="15.75" x14ac:dyDescent="0.25">
      <c r="A940" s="13">
        <v>69549</v>
      </c>
      <c r="B940" s="95">
        <f t="shared" si="155"/>
        <v>31</v>
      </c>
      <c r="C940" s="83">
        <f>194.205</f>
        <v>194.20500000000001</v>
      </c>
      <c r="D940" s="83">
        <f>267.466</f>
        <v>267.46600000000001</v>
      </c>
      <c r="E940" s="92">
        <f>133.845</f>
        <v>133.845</v>
      </c>
      <c r="F940" s="83">
        <f>278.484-40-25-60-100</f>
        <v>53.48399999999998</v>
      </c>
      <c r="G940" s="86">
        <v>40</v>
      </c>
      <c r="H940" s="83">
        <f t="shared" si="157"/>
        <v>185</v>
      </c>
      <c r="I940" s="83">
        <f t="shared" si="147"/>
        <v>0</v>
      </c>
      <c r="J940" s="86">
        <v>100</v>
      </c>
      <c r="K940" s="86">
        <v>300</v>
      </c>
      <c r="L940" s="83">
        <f t="shared" si="151"/>
        <v>1274</v>
      </c>
      <c r="M940" s="94">
        <v>600</v>
      </c>
      <c r="N940" s="83">
        <f>75</f>
        <v>75</v>
      </c>
      <c r="O940" s="86">
        <v>240</v>
      </c>
      <c r="P940" s="86">
        <v>40</v>
      </c>
      <c r="Q940" s="86">
        <f t="shared" si="152"/>
        <v>315</v>
      </c>
      <c r="R940" s="86">
        <f t="shared" si="153"/>
        <v>100</v>
      </c>
      <c r="S940" s="83">
        <f t="shared" si="154"/>
        <v>695</v>
      </c>
      <c r="T940" s="83">
        <f>50</f>
        <v>50</v>
      </c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</row>
    <row r="941" spans="1:30" ht="15.75" x14ac:dyDescent="0.25">
      <c r="A941" s="13">
        <v>69579</v>
      </c>
      <c r="B941" s="95">
        <f t="shared" si="155"/>
        <v>30</v>
      </c>
      <c r="C941" s="83">
        <f>194.205</f>
        <v>194.20500000000001</v>
      </c>
      <c r="D941" s="83">
        <f>267.466</f>
        <v>267.46600000000001</v>
      </c>
      <c r="E941" s="92">
        <f>133.845</f>
        <v>133.845</v>
      </c>
      <c r="F941" s="83">
        <f>278.484-40-25-60-100</f>
        <v>53.48399999999998</v>
      </c>
      <c r="G941" s="86">
        <v>40</v>
      </c>
      <c r="H941" s="83">
        <f t="shared" si="157"/>
        <v>185</v>
      </c>
      <c r="I941" s="83">
        <f t="shared" si="147"/>
        <v>0</v>
      </c>
      <c r="J941" s="86">
        <v>100</v>
      </c>
      <c r="K941" s="86">
        <v>300</v>
      </c>
      <c r="L941" s="83">
        <f t="shared" si="151"/>
        <v>1274</v>
      </c>
      <c r="M941" s="94">
        <v>600</v>
      </c>
      <c r="N941" s="83">
        <f>30</f>
        <v>30</v>
      </c>
      <c r="O941" s="86">
        <v>240</v>
      </c>
      <c r="P941" s="86">
        <v>40</v>
      </c>
      <c r="Q941" s="86">
        <f t="shared" si="152"/>
        <v>315</v>
      </c>
      <c r="R941" s="86">
        <f t="shared" si="153"/>
        <v>100</v>
      </c>
      <c r="S941" s="83">
        <f t="shared" si="154"/>
        <v>695</v>
      </c>
      <c r="T941" s="83">
        <f>50</f>
        <v>50</v>
      </c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</row>
    <row r="942" spans="1:30" ht="15.75" x14ac:dyDescent="0.25">
      <c r="A942" s="13">
        <v>69610</v>
      </c>
      <c r="B942" s="95">
        <f t="shared" si="155"/>
        <v>31</v>
      </c>
      <c r="C942" s="83">
        <f>194.205</f>
        <v>194.20500000000001</v>
      </c>
      <c r="D942" s="83">
        <f>267.466</f>
        <v>267.46600000000001</v>
      </c>
      <c r="E942" s="92">
        <f>133.845</f>
        <v>133.845</v>
      </c>
      <c r="F942" s="83">
        <f>278.484-40-25-60-100</f>
        <v>53.48399999999998</v>
      </c>
      <c r="G942" s="86">
        <v>40</v>
      </c>
      <c r="H942" s="83">
        <f t="shared" si="157"/>
        <v>185</v>
      </c>
      <c r="I942" s="83">
        <f t="shared" si="147"/>
        <v>0</v>
      </c>
      <c r="J942" s="86">
        <v>100</v>
      </c>
      <c r="K942" s="86">
        <v>300</v>
      </c>
      <c r="L942" s="83">
        <f t="shared" si="151"/>
        <v>1274</v>
      </c>
      <c r="M942" s="94">
        <v>600</v>
      </c>
      <c r="N942" s="83">
        <f>30</f>
        <v>30</v>
      </c>
      <c r="O942" s="86">
        <v>240</v>
      </c>
      <c r="P942" s="86">
        <v>40</v>
      </c>
      <c r="Q942" s="86">
        <f t="shared" si="152"/>
        <v>315</v>
      </c>
      <c r="R942" s="86">
        <f t="shared" si="153"/>
        <v>100</v>
      </c>
      <c r="S942" s="83">
        <f t="shared" si="154"/>
        <v>695</v>
      </c>
      <c r="T942" s="83">
        <f>0</f>
        <v>0</v>
      </c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</row>
    <row r="943" spans="1:30" ht="15.75" x14ac:dyDescent="0.25">
      <c r="A943" s="13">
        <v>69641</v>
      </c>
      <c r="B943" s="95">
        <f t="shared" si="155"/>
        <v>31</v>
      </c>
      <c r="C943" s="83">
        <f>194.205</f>
        <v>194.20500000000001</v>
      </c>
      <c r="D943" s="83">
        <f>267.466</f>
        <v>267.46600000000001</v>
      </c>
      <c r="E943" s="92">
        <f>133.845</f>
        <v>133.845</v>
      </c>
      <c r="F943" s="83">
        <f>278.484-40-25-60-100</f>
        <v>53.48399999999998</v>
      </c>
      <c r="G943" s="86">
        <v>40</v>
      </c>
      <c r="H943" s="83">
        <f t="shared" si="157"/>
        <v>185</v>
      </c>
      <c r="I943" s="83">
        <f t="shared" si="147"/>
        <v>0</v>
      </c>
      <c r="J943" s="86">
        <v>100</v>
      </c>
      <c r="K943" s="86">
        <v>300</v>
      </c>
      <c r="L943" s="83">
        <f t="shared" si="151"/>
        <v>1274</v>
      </c>
      <c r="M943" s="94">
        <v>600</v>
      </c>
      <c r="N943" s="83">
        <f>30</f>
        <v>30</v>
      </c>
      <c r="O943" s="86">
        <v>240</v>
      </c>
      <c r="P943" s="86">
        <v>40</v>
      </c>
      <c r="Q943" s="86">
        <f t="shared" si="152"/>
        <v>315</v>
      </c>
      <c r="R943" s="86">
        <f t="shared" si="153"/>
        <v>100</v>
      </c>
      <c r="S943" s="83">
        <f t="shared" si="154"/>
        <v>695</v>
      </c>
      <c r="T943" s="83">
        <f>0</f>
        <v>0</v>
      </c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</row>
    <row r="944" spans="1:30" ht="15.75" x14ac:dyDescent="0.25">
      <c r="A944" s="13">
        <v>69671</v>
      </c>
      <c r="B944" s="95">
        <f t="shared" si="155"/>
        <v>30</v>
      </c>
      <c r="C944" s="83">
        <f>194.205</f>
        <v>194.20500000000001</v>
      </c>
      <c r="D944" s="83">
        <f>267.466</f>
        <v>267.46600000000001</v>
      </c>
      <c r="E944" s="92">
        <f>133.845</f>
        <v>133.845</v>
      </c>
      <c r="F944" s="83">
        <f>278.484-40-25-60-100</f>
        <v>53.48399999999998</v>
      </c>
      <c r="G944" s="86">
        <v>40</v>
      </c>
      <c r="H944" s="83">
        <f t="shared" si="157"/>
        <v>185</v>
      </c>
      <c r="I944" s="83">
        <f t="shared" si="147"/>
        <v>0</v>
      </c>
      <c r="J944" s="86">
        <v>100</v>
      </c>
      <c r="K944" s="86">
        <v>300</v>
      </c>
      <c r="L944" s="83">
        <f t="shared" si="151"/>
        <v>1274</v>
      </c>
      <c r="M944" s="94">
        <v>600</v>
      </c>
      <c r="N944" s="83">
        <f>30</f>
        <v>30</v>
      </c>
      <c r="O944" s="86">
        <v>240</v>
      </c>
      <c r="P944" s="86">
        <v>40</v>
      </c>
      <c r="Q944" s="86">
        <f t="shared" si="152"/>
        <v>315</v>
      </c>
      <c r="R944" s="86">
        <f t="shared" si="153"/>
        <v>100</v>
      </c>
      <c r="S944" s="83">
        <f t="shared" si="154"/>
        <v>695</v>
      </c>
      <c r="T944" s="83">
        <f>0</f>
        <v>0</v>
      </c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</row>
    <row r="945" spans="1:30" ht="15.75" x14ac:dyDescent="0.25">
      <c r="A945" s="13">
        <v>69702</v>
      </c>
      <c r="B945" s="95">
        <f t="shared" si="155"/>
        <v>31</v>
      </c>
      <c r="C945" s="83">
        <f>131.881</f>
        <v>131.881</v>
      </c>
      <c r="D945" s="83">
        <f>277.167</f>
        <v>277.16699999999997</v>
      </c>
      <c r="E945" s="92">
        <f>79.08</f>
        <v>79.08</v>
      </c>
      <c r="F945" s="83">
        <f>350.872-40-25-60-100</f>
        <v>125.87200000000001</v>
      </c>
      <c r="G945" s="86">
        <v>40</v>
      </c>
      <c r="H945" s="83">
        <f t="shared" si="157"/>
        <v>185</v>
      </c>
      <c r="I945" s="83">
        <f t="shared" si="147"/>
        <v>0</v>
      </c>
      <c r="J945" s="86">
        <v>100</v>
      </c>
      <c r="K945" s="86">
        <v>300</v>
      </c>
      <c r="L945" s="83">
        <f t="shared" si="151"/>
        <v>1239</v>
      </c>
      <c r="M945" s="94">
        <v>600</v>
      </c>
      <c r="N945" s="83">
        <f>75</f>
        <v>75</v>
      </c>
      <c r="O945" s="86">
        <v>240</v>
      </c>
      <c r="P945" s="86">
        <v>40</v>
      </c>
      <c r="Q945" s="86">
        <f t="shared" si="152"/>
        <v>315</v>
      </c>
      <c r="R945" s="86">
        <f t="shared" si="153"/>
        <v>100</v>
      </c>
      <c r="S945" s="83">
        <f t="shared" si="154"/>
        <v>695</v>
      </c>
      <c r="T945" s="83">
        <f>0</f>
        <v>0</v>
      </c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</row>
    <row r="946" spans="1:30" ht="15.75" x14ac:dyDescent="0.25">
      <c r="A946" s="13">
        <v>69732</v>
      </c>
      <c r="B946" s="95">
        <f t="shared" si="155"/>
        <v>30</v>
      </c>
      <c r="C946" s="83">
        <f>122.58</f>
        <v>122.58</v>
      </c>
      <c r="D946" s="83">
        <f>297.941</f>
        <v>297.94099999999997</v>
      </c>
      <c r="E946" s="92">
        <f>89.177</f>
        <v>89.177000000000007</v>
      </c>
      <c r="F946" s="83">
        <f>240.302-40-60-100</f>
        <v>40.301999999999992</v>
      </c>
      <c r="G946" s="86">
        <v>40</v>
      </c>
      <c r="H946" s="83">
        <f>60+100</f>
        <v>160</v>
      </c>
      <c r="I946" s="83">
        <f t="shared" si="147"/>
        <v>0</v>
      </c>
      <c r="J946" s="86">
        <v>100</v>
      </c>
      <c r="K946" s="86">
        <v>300</v>
      </c>
      <c r="L946" s="83">
        <f t="shared" si="151"/>
        <v>1150</v>
      </c>
      <c r="M946" s="94">
        <v>600</v>
      </c>
      <c r="N946" s="83">
        <f>100</f>
        <v>100</v>
      </c>
      <c r="O946" s="86">
        <v>240</v>
      </c>
      <c r="P946" s="86">
        <v>40</v>
      </c>
      <c r="Q946" s="86">
        <f t="shared" si="152"/>
        <v>315</v>
      </c>
      <c r="R946" s="86">
        <f t="shared" si="153"/>
        <v>100</v>
      </c>
      <c r="S946" s="83">
        <f t="shared" si="154"/>
        <v>695</v>
      </c>
      <c r="T946" s="83">
        <f>50</f>
        <v>50</v>
      </c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</row>
    <row r="947" spans="1:30" ht="15.75" x14ac:dyDescent="0.25">
      <c r="A947" s="13">
        <v>69763</v>
      </c>
      <c r="B947" s="95">
        <f t="shared" si="155"/>
        <v>31</v>
      </c>
      <c r="C947" s="83">
        <f>122.58</f>
        <v>122.58</v>
      </c>
      <c r="D947" s="83">
        <f>297.941</f>
        <v>297.94099999999997</v>
      </c>
      <c r="E947" s="92">
        <f>89.177</f>
        <v>89.177000000000007</v>
      </c>
      <c r="F947" s="83">
        <f>240.302-40-60-100</f>
        <v>40.301999999999992</v>
      </c>
      <c r="G947" s="86">
        <v>40</v>
      </c>
      <c r="H947" s="83">
        <f>60+100</f>
        <v>160</v>
      </c>
      <c r="I947" s="83">
        <f t="shared" si="147"/>
        <v>0</v>
      </c>
      <c r="J947" s="86">
        <v>100</v>
      </c>
      <c r="K947" s="86">
        <v>300</v>
      </c>
      <c r="L947" s="83">
        <f t="shared" si="151"/>
        <v>1150</v>
      </c>
      <c r="M947" s="94">
        <v>600</v>
      </c>
      <c r="N947" s="83">
        <f>100</f>
        <v>100</v>
      </c>
      <c r="O947" s="86">
        <v>240</v>
      </c>
      <c r="P947" s="86">
        <v>40</v>
      </c>
      <c r="Q947" s="86">
        <f t="shared" si="152"/>
        <v>315</v>
      </c>
      <c r="R947" s="86">
        <f t="shared" si="153"/>
        <v>100</v>
      </c>
      <c r="S947" s="83">
        <f t="shared" si="154"/>
        <v>695</v>
      </c>
      <c r="T947" s="83">
        <f>50</f>
        <v>50</v>
      </c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</row>
    <row r="948" spans="1:30" ht="15.75" x14ac:dyDescent="0.25">
      <c r="A948" s="13">
        <v>69794</v>
      </c>
      <c r="B948" s="95">
        <f t="shared" si="155"/>
        <v>31</v>
      </c>
      <c r="C948" s="83">
        <f>122.58</f>
        <v>122.58</v>
      </c>
      <c r="D948" s="83">
        <f>297.941</f>
        <v>297.94099999999997</v>
      </c>
      <c r="E948" s="92">
        <f>89.177</f>
        <v>89.177000000000007</v>
      </c>
      <c r="F948" s="83">
        <f>240.302-40-60-100</f>
        <v>40.301999999999992</v>
      </c>
      <c r="G948" s="86">
        <v>40</v>
      </c>
      <c r="H948" s="83">
        <f>60+100</f>
        <v>160</v>
      </c>
      <c r="I948" s="83">
        <f t="shared" ref="I948:I1011" si="158">400-J948-K948</f>
        <v>0</v>
      </c>
      <c r="J948" s="86">
        <v>100</v>
      </c>
      <c r="K948" s="86">
        <v>300</v>
      </c>
      <c r="L948" s="83">
        <f t="shared" si="151"/>
        <v>1150</v>
      </c>
      <c r="M948" s="94">
        <v>600</v>
      </c>
      <c r="N948" s="83">
        <f>100</f>
        <v>100</v>
      </c>
      <c r="O948" s="86">
        <v>240</v>
      </c>
      <c r="P948" s="86">
        <v>40</v>
      </c>
      <c r="Q948" s="86">
        <f t="shared" si="152"/>
        <v>315</v>
      </c>
      <c r="R948" s="86">
        <f t="shared" si="153"/>
        <v>100</v>
      </c>
      <c r="S948" s="83">
        <f t="shared" si="154"/>
        <v>695</v>
      </c>
      <c r="T948" s="83">
        <f>50</f>
        <v>50</v>
      </c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</row>
    <row r="949" spans="1:30" ht="15.75" x14ac:dyDescent="0.25">
      <c r="A949" s="13">
        <v>69822</v>
      </c>
      <c r="B949" s="95">
        <f t="shared" si="155"/>
        <v>28</v>
      </c>
      <c r="C949" s="83">
        <f>122.58</f>
        <v>122.58</v>
      </c>
      <c r="D949" s="83">
        <f>297.941</f>
        <v>297.94099999999997</v>
      </c>
      <c r="E949" s="92">
        <f>89.177</f>
        <v>89.177000000000007</v>
      </c>
      <c r="F949" s="83">
        <f>240.302-40-60-100</f>
        <v>40.301999999999992</v>
      </c>
      <c r="G949" s="86">
        <v>40</v>
      </c>
      <c r="H949" s="83">
        <f>60+100</f>
        <v>160</v>
      </c>
      <c r="I949" s="83">
        <f t="shared" si="158"/>
        <v>0</v>
      </c>
      <c r="J949" s="86">
        <v>100</v>
      </c>
      <c r="K949" s="86">
        <v>300</v>
      </c>
      <c r="L949" s="83">
        <f t="shared" si="151"/>
        <v>1150</v>
      </c>
      <c r="M949" s="94">
        <v>600</v>
      </c>
      <c r="N949" s="83">
        <f>100</f>
        <v>100</v>
      </c>
      <c r="O949" s="86">
        <v>240</v>
      </c>
      <c r="P949" s="86">
        <v>40</v>
      </c>
      <c r="Q949" s="86">
        <f t="shared" si="152"/>
        <v>315</v>
      </c>
      <c r="R949" s="86">
        <f t="shared" si="153"/>
        <v>100</v>
      </c>
      <c r="S949" s="83">
        <f t="shared" si="154"/>
        <v>695</v>
      </c>
      <c r="T949" s="83">
        <f>50</f>
        <v>50</v>
      </c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</row>
    <row r="950" spans="1:30" ht="15.75" x14ac:dyDescent="0.25">
      <c r="A950" s="13">
        <v>69853</v>
      </c>
      <c r="B950" s="95">
        <f t="shared" si="155"/>
        <v>31</v>
      </c>
      <c r="C950" s="83">
        <f>122.58</f>
        <v>122.58</v>
      </c>
      <c r="D950" s="83">
        <f>297.941</f>
        <v>297.94099999999997</v>
      </c>
      <c r="E950" s="92">
        <f>89.177</f>
        <v>89.177000000000007</v>
      </c>
      <c r="F950" s="83">
        <f>240.302-40-60-100</f>
        <v>40.301999999999992</v>
      </c>
      <c r="G950" s="86">
        <v>40</v>
      </c>
      <c r="H950" s="83">
        <f>60+100</f>
        <v>160</v>
      </c>
      <c r="I950" s="83">
        <f t="shared" si="158"/>
        <v>0</v>
      </c>
      <c r="J950" s="86">
        <v>100</v>
      </c>
      <c r="K950" s="86">
        <v>300</v>
      </c>
      <c r="L950" s="83">
        <f t="shared" si="151"/>
        <v>1150</v>
      </c>
      <c r="M950" s="94">
        <v>600</v>
      </c>
      <c r="N950" s="83">
        <f>100</f>
        <v>100</v>
      </c>
      <c r="O950" s="86">
        <v>240</v>
      </c>
      <c r="P950" s="86">
        <v>40</v>
      </c>
      <c r="Q950" s="86">
        <f t="shared" si="152"/>
        <v>315</v>
      </c>
      <c r="R950" s="86">
        <f t="shared" si="153"/>
        <v>100</v>
      </c>
      <c r="S950" s="83">
        <f t="shared" si="154"/>
        <v>695</v>
      </c>
      <c r="T950" s="83">
        <f>50</f>
        <v>50</v>
      </c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</row>
    <row r="951" spans="1:30" ht="15.75" x14ac:dyDescent="0.25">
      <c r="A951" s="13">
        <v>69883</v>
      </c>
      <c r="B951" s="95">
        <f t="shared" si="155"/>
        <v>30</v>
      </c>
      <c r="C951" s="83">
        <f>141.293</f>
        <v>141.29300000000001</v>
      </c>
      <c r="D951" s="83">
        <f>267.993</f>
        <v>267.99299999999999</v>
      </c>
      <c r="E951" s="92">
        <f>115.016</f>
        <v>115.01600000000001</v>
      </c>
      <c r="F951" s="83">
        <f>314.698-40-25-60-100</f>
        <v>89.697999999999979</v>
      </c>
      <c r="G951" s="86">
        <v>40</v>
      </c>
      <c r="H951" s="83">
        <f t="shared" ref="H951:H957" si="159">25+60+100</f>
        <v>185</v>
      </c>
      <c r="I951" s="83">
        <f t="shared" si="158"/>
        <v>0</v>
      </c>
      <c r="J951" s="86">
        <v>100</v>
      </c>
      <c r="K951" s="86">
        <v>300</v>
      </c>
      <c r="L951" s="83">
        <f t="shared" si="151"/>
        <v>1239</v>
      </c>
      <c r="M951" s="94">
        <v>600</v>
      </c>
      <c r="N951" s="83">
        <f>100</f>
        <v>100</v>
      </c>
      <c r="O951" s="86">
        <v>240</v>
      </c>
      <c r="P951" s="86">
        <v>40</v>
      </c>
      <c r="Q951" s="86">
        <f t="shared" si="152"/>
        <v>315</v>
      </c>
      <c r="R951" s="86">
        <f t="shared" si="153"/>
        <v>100</v>
      </c>
      <c r="S951" s="83">
        <f t="shared" si="154"/>
        <v>695</v>
      </c>
      <c r="T951" s="83">
        <f>50</f>
        <v>50</v>
      </c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</row>
    <row r="952" spans="1:30" ht="15.75" x14ac:dyDescent="0.25">
      <c r="A952" s="13">
        <v>69914</v>
      </c>
      <c r="B952" s="95">
        <f t="shared" si="155"/>
        <v>31</v>
      </c>
      <c r="C952" s="83">
        <f>194.205</f>
        <v>194.20500000000001</v>
      </c>
      <c r="D952" s="83">
        <f>267.466</f>
        <v>267.46600000000001</v>
      </c>
      <c r="E952" s="92">
        <f>133.845</f>
        <v>133.845</v>
      </c>
      <c r="F952" s="83">
        <f>278.484-40-25-60-100</f>
        <v>53.48399999999998</v>
      </c>
      <c r="G952" s="86">
        <v>40</v>
      </c>
      <c r="H952" s="83">
        <f t="shared" si="159"/>
        <v>185</v>
      </c>
      <c r="I952" s="83">
        <f t="shared" si="158"/>
        <v>0</v>
      </c>
      <c r="J952" s="86">
        <v>100</v>
      </c>
      <c r="K952" s="86">
        <v>300</v>
      </c>
      <c r="L952" s="83">
        <f t="shared" si="151"/>
        <v>1274</v>
      </c>
      <c r="M952" s="94">
        <v>600</v>
      </c>
      <c r="N952" s="83">
        <f>75</f>
        <v>75</v>
      </c>
      <c r="O952" s="86">
        <v>240</v>
      </c>
      <c r="P952" s="86">
        <v>40</v>
      </c>
      <c r="Q952" s="86">
        <f t="shared" si="152"/>
        <v>315</v>
      </c>
      <c r="R952" s="86">
        <f t="shared" si="153"/>
        <v>100</v>
      </c>
      <c r="S952" s="83">
        <f t="shared" si="154"/>
        <v>695</v>
      </c>
      <c r="T952" s="83">
        <f>50</f>
        <v>50</v>
      </c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</row>
    <row r="953" spans="1:30" ht="15.75" x14ac:dyDescent="0.25">
      <c r="A953" s="13">
        <v>69944</v>
      </c>
      <c r="B953" s="95">
        <f t="shared" si="155"/>
        <v>30</v>
      </c>
      <c r="C953" s="83">
        <f>194.205</f>
        <v>194.20500000000001</v>
      </c>
      <c r="D953" s="83">
        <f>267.466</f>
        <v>267.46600000000001</v>
      </c>
      <c r="E953" s="92">
        <f>133.845</f>
        <v>133.845</v>
      </c>
      <c r="F953" s="83">
        <f>278.484-40-25-60-100</f>
        <v>53.48399999999998</v>
      </c>
      <c r="G953" s="86">
        <v>40</v>
      </c>
      <c r="H953" s="83">
        <f t="shared" si="159"/>
        <v>185</v>
      </c>
      <c r="I953" s="83">
        <f t="shared" si="158"/>
        <v>0</v>
      </c>
      <c r="J953" s="86">
        <v>100</v>
      </c>
      <c r="K953" s="86">
        <v>300</v>
      </c>
      <c r="L953" s="83">
        <f t="shared" si="151"/>
        <v>1274</v>
      </c>
      <c r="M953" s="94">
        <v>600</v>
      </c>
      <c r="N953" s="83">
        <f>30</f>
        <v>30</v>
      </c>
      <c r="O953" s="86">
        <v>240</v>
      </c>
      <c r="P953" s="86">
        <v>40</v>
      </c>
      <c r="Q953" s="86">
        <f t="shared" si="152"/>
        <v>315</v>
      </c>
      <c r="R953" s="86">
        <f t="shared" si="153"/>
        <v>100</v>
      </c>
      <c r="S953" s="83">
        <f t="shared" si="154"/>
        <v>695</v>
      </c>
      <c r="T953" s="83">
        <f>50</f>
        <v>50</v>
      </c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</row>
    <row r="954" spans="1:30" ht="15.75" x14ac:dyDescent="0.25">
      <c r="A954" s="13">
        <v>69975</v>
      </c>
      <c r="B954" s="95">
        <f t="shared" si="155"/>
        <v>31</v>
      </c>
      <c r="C954" s="83">
        <f>194.205</f>
        <v>194.20500000000001</v>
      </c>
      <c r="D954" s="83">
        <f>267.466</f>
        <v>267.46600000000001</v>
      </c>
      <c r="E954" s="92">
        <f>133.845</f>
        <v>133.845</v>
      </c>
      <c r="F954" s="83">
        <f>278.484-40-25-60-100</f>
        <v>53.48399999999998</v>
      </c>
      <c r="G954" s="86">
        <v>40</v>
      </c>
      <c r="H954" s="83">
        <f t="shared" si="159"/>
        <v>185</v>
      </c>
      <c r="I954" s="83">
        <f t="shared" si="158"/>
        <v>0</v>
      </c>
      <c r="J954" s="86">
        <v>100</v>
      </c>
      <c r="K954" s="86">
        <v>300</v>
      </c>
      <c r="L954" s="83">
        <f t="shared" si="151"/>
        <v>1274</v>
      </c>
      <c r="M954" s="94">
        <v>600</v>
      </c>
      <c r="N954" s="83">
        <f>30</f>
        <v>30</v>
      </c>
      <c r="O954" s="86">
        <v>240</v>
      </c>
      <c r="P954" s="86">
        <v>40</v>
      </c>
      <c r="Q954" s="86">
        <f t="shared" si="152"/>
        <v>315</v>
      </c>
      <c r="R954" s="86">
        <f t="shared" si="153"/>
        <v>100</v>
      </c>
      <c r="S954" s="83">
        <f t="shared" si="154"/>
        <v>695</v>
      </c>
      <c r="T954" s="83">
        <f>0</f>
        <v>0</v>
      </c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</row>
    <row r="955" spans="1:30" ht="15.75" x14ac:dyDescent="0.25">
      <c r="A955" s="13">
        <v>70006</v>
      </c>
      <c r="B955" s="95">
        <f t="shared" si="155"/>
        <v>31</v>
      </c>
      <c r="C955" s="83">
        <f>194.205</f>
        <v>194.20500000000001</v>
      </c>
      <c r="D955" s="83">
        <f>267.466</f>
        <v>267.46600000000001</v>
      </c>
      <c r="E955" s="92">
        <f>133.845</f>
        <v>133.845</v>
      </c>
      <c r="F955" s="83">
        <f>278.484-40-25-60-100</f>
        <v>53.48399999999998</v>
      </c>
      <c r="G955" s="86">
        <v>40</v>
      </c>
      <c r="H955" s="83">
        <f t="shared" si="159"/>
        <v>185</v>
      </c>
      <c r="I955" s="83">
        <f t="shared" si="158"/>
        <v>0</v>
      </c>
      <c r="J955" s="86">
        <v>100</v>
      </c>
      <c r="K955" s="86">
        <v>300</v>
      </c>
      <c r="L955" s="83">
        <f t="shared" si="151"/>
        <v>1274</v>
      </c>
      <c r="M955" s="94">
        <v>600</v>
      </c>
      <c r="N955" s="83">
        <f>30</f>
        <v>30</v>
      </c>
      <c r="O955" s="86">
        <v>240</v>
      </c>
      <c r="P955" s="86">
        <v>40</v>
      </c>
      <c r="Q955" s="86">
        <f t="shared" si="152"/>
        <v>315</v>
      </c>
      <c r="R955" s="86">
        <f t="shared" si="153"/>
        <v>100</v>
      </c>
      <c r="S955" s="83">
        <f t="shared" si="154"/>
        <v>695</v>
      </c>
      <c r="T955" s="83">
        <f>0</f>
        <v>0</v>
      </c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</row>
    <row r="956" spans="1:30" ht="15.75" x14ac:dyDescent="0.25">
      <c r="A956" s="13">
        <v>70036</v>
      </c>
      <c r="B956" s="95">
        <f t="shared" si="155"/>
        <v>30</v>
      </c>
      <c r="C956" s="83">
        <f>194.205</f>
        <v>194.20500000000001</v>
      </c>
      <c r="D956" s="83">
        <f>267.466</f>
        <v>267.46600000000001</v>
      </c>
      <c r="E956" s="92">
        <f>133.845</f>
        <v>133.845</v>
      </c>
      <c r="F956" s="83">
        <f>278.484-40-25-60-100</f>
        <v>53.48399999999998</v>
      </c>
      <c r="G956" s="86">
        <v>40</v>
      </c>
      <c r="H956" s="83">
        <f t="shared" si="159"/>
        <v>185</v>
      </c>
      <c r="I956" s="83">
        <f t="shared" si="158"/>
        <v>0</v>
      </c>
      <c r="J956" s="86">
        <v>100</v>
      </c>
      <c r="K956" s="86">
        <v>300</v>
      </c>
      <c r="L956" s="83">
        <f t="shared" si="151"/>
        <v>1274</v>
      </c>
      <c r="M956" s="94">
        <v>600</v>
      </c>
      <c r="N956" s="83">
        <f>30</f>
        <v>30</v>
      </c>
      <c r="O956" s="86">
        <v>240</v>
      </c>
      <c r="P956" s="86">
        <v>40</v>
      </c>
      <c r="Q956" s="86">
        <f t="shared" si="152"/>
        <v>315</v>
      </c>
      <c r="R956" s="86">
        <f t="shared" si="153"/>
        <v>100</v>
      </c>
      <c r="S956" s="83">
        <f t="shared" si="154"/>
        <v>695</v>
      </c>
      <c r="T956" s="83">
        <f>0</f>
        <v>0</v>
      </c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</row>
    <row r="957" spans="1:30" ht="15.75" x14ac:dyDescent="0.25">
      <c r="A957" s="13">
        <v>70067</v>
      </c>
      <c r="B957" s="95">
        <f t="shared" si="155"/>
        <v>31</v>
      </c>
      <c r="C957" s="83">
        <f>131.881</f>
        <v>131.881</v>
      </c>
      <c r="D957" s="83">
        <f>277.167</f>
        <v>277.16699999999997</v>
      </c>
      <c r="E957" s="92">
        <f>79.08</f>
        <v>79.08</v>
      </c>
      <c r="F957" s="83">
        <f>350.872-40-25-60-100</f>
        <v>125.87200000000001</v>
      </c>
      <c r="G957" s="86">
        <v>40</v>
      </c>
      <c r="H957" s="83">
        <f t="shared" si="159"/>
        <v>185</v>
      </c>
      <c r="I957" s="83">
        <f t="shared" si="158"/>
        <v>0</v>
      </c>
      <c r="J957" s="86">
        <v>100</v>
      </c>
      <c r="K957" s="86">
        <v>300</v>
      </c>
      <c r="L957" s="83">
        <f t="shared" si="151"/>
        <v>1239</v>
      </c>
      <c r="M957" s="94">
        <v>600</v>
      </c>
      <c r="N957" s="83">
        <f>75</f>
        <v>75</v>
      </c>
      <c r="O957" s="86">
        <v>240</v>
      </c>
      <c r="P957" s="86">
        <v>40</v>
      </c>
      <c r="Q957" s="86">
        <f t="shared" si="152"/>
        <v>315</v>
      </c>
      <c r="R957" s="86">
        <f t="shared" si="153"/>
        <v>100</v>
      </c>
      <c r="S957" s="83">
        <f t="shared" si="154"/>
        <v>695</v>
      </c>
      <c r="T957" s="83">
        <f>0</f>
        <v>0</v>
      </c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</row>
    <row r="958" spans="1:30" ht="15.75" x14ac:dyDescent="0.25">
      <c r="A958" s="13">
        <v>70097</v>
      </c>
      <c r="B958" s="95">
        <f t="shared" si="155"/>
        <v>30</v>
      </c>
      <c r="C958" s="83">
        <f>122.58</f>
        <v>122.58</v>
      </c>
      <c r="D958" s="83">
        <f>297.941</f>
        <v>297.94099999999997</v>
      </c>
      <c r="E958" s="92">
        <f>89.177</f>
        <v>89.177000000000007</v>
      </c>
      <c r="F958" s="83">
        <f>240.302-40-60-100</f>
        <v>40.301999999999992</v>
      </c>
      <c r="G958" s="86">
        <v>40</v>
      </c>
      <c r="H958" s="83">
        <f>60+100</f>
        <v>160</v>
      </c>
      <c r="I958" s="83">
        <f t="shared" si="158"/>
        <v>0</v>
      </c>
      <c r="J958" s="86">
        <v>100</v>
      </c>
      <c r="K958" s="86">
        <v>300</v>
      </c>
      <c r="L958" s="83">
        <f t="shared" si="151"/>
        <v>1150</v>
      </c>
      <c r="M958" s="94">
        <v>600</v>
      </c>
      <c r="N958" s="83">
        <f>100</f>
        <v>100</v>
      </c>
      <c r="O958" s="86">
        <v>240</v>
      </c>
      <c r="P958" s="86">
        <v>40</v>
      </c>
      <c r="Q958" s="86">
        <f t="shared" si="152"/>
        <v>315</v>
      </c>
      <c r="R958" s="86">
        <f t="shared" si="153"/>
        <v>100</v>
      </c>
      <c r="S958" s="83">
        <f t="shared" si="154"/>
        <v>695</v>
      </c>
      <c r="T958" s="83">
        <f>50</f>
        <v>50</v>
      </c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</row>
    <row r="959" spans="1:30" ht="15.75" x14ac:dyDescent="0.25">
      <c r="A959" s="13">
        <v>70128</v>
      </c>
      <c r="B959" s="95">
        <f t="shared" si="155"/>
        <v>31</v>
      </c>
      <c r="C959" s="83">
        <f>122.58</f>
        <v>122.58</v>
      </c>
      <c r="D959" s="83">
        <f>297.941</f>
        <v>297.94099999999997</v>
      </c>
      <c r="E959" s="92">
        <f>89.177</f>
        <v>89.177000000000007</v>
      </c>
      <c r="F959" s="83">
        <f>240.302-40-60-100</f>
        <v>40.301999999999992</v>
      </c>
      <c r="G959" s="86">
        <v>40</v>
      </c>
      <c r="H959" s="83">
        <f>60+100</f>
        <v>160</v>
      </c>
      <c r="I959" s="83">
        <f t="shared" si="158"/>
        <v>0</v>
      </c>
      <c r="J959" s="86">
        <v>100</v>
      </c>
      <c r="K959" s="86">
        <v>300</v>
      </c>
      <c r="L959" s="83">
        <f t="shared" si="151"/>
        <v>1150</v>
      </c>
      <c r="M959" s="94">
        <v>600</v>
      </c>
      <c r="N959" s="83">
        <f>100</f>
        <v>100</v>
      </c>
      <c r="O959" s="86">
        <v>240</v>
      </c>
      <c r="P959" s="86">
        <v>40</v>
      </c>
      <c r="Q959" s="86">
        <f t="shared" si="152"/>
        <v>315</v>
      </c>
      <c r="R959" s="86">
        <f t="shared" si="153"/>
        <v>100</v>
      </c>
      <c r="S959" s="83">
        <f t="shared" si="154"/>
        <v>695</v>
      </c>
      <c r="T959" s="83">
        <f>50</f>
        <v>50</v>
      </c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</row>
    <row r="960" spans="1:30" ht="15.75" x14ac:dyDescent="0.25">
      <c r="A960" s="13">
        <v>70159</v>
      </c>
      <c r="B960" s="95">
        <f t="shared" si="155"/>
        <v>31</v>
      </c>
      <c r="C960" s="83">
        <f>122.58</f>
        <v>122.58</v>
      </c>
      <c r="D960" s="83">
        <f>297.941</f>
        <v>297.94099999999997</v>
      </c>
      <c r="E960" s="92">
        <f>89.177</f>
        <v>89.177000000000007</v>
      </c>
      <c r="F960" s="83">
        <f>240.302-40-60-100</f>
        <v>40.301999999999992</v>
      </c>
      <c r="G960" s="86">
        <v>40</v>
      </c>
      <c r="H960" s="83">
        <f>60+100</f>
        <v>160</v>
      </c>
      <c r="I960" s="83">
        <f t="shared" si="158"/>
        <v>0</v>
      </c>
      <c r="J960" s="86">
        <v>100</v>
      </c>
      <c r="K960" s="86">
        <v>300</v>
      </c>
      <c r="L960" s="83">
        <f t="shared" si="151"/>
        <v>1150</v>
      </c>
      <c r="M960" s="94">
        <v>600</v>
      </c>
      <c r="N960" s="83">
        <f>100</f>
        <v>100</v>
      </c>
      <c r="O960" s="86">
        <v>240</v>
      </c>
      <c r="P960" s="86">
        <v>40</v>
      </c>
      <c r="Q960" s="86">
        <f t="shared" si="152"/>
        <v>315</v>
      </c>
      <c r="R960" s="86">
        <f t="shared" si="153"/>
        <v>100</v>
      </c>
      <c r="S960" s="83">
        <f t="shared" si="154"/>
        <v>695</v>
      </c>
      <c r="T960" s="83">
        <f>50</f>
        <v>50</v>
      </c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</row>
    <row r="961" spans="1:30" ht="15.75" x14ac:dyDescent="0.25">
      <c r="A961" s="13">
        <v>70188</v>
      </c>
      <c r="B961" s="95">
        <f t="shared" si="155"/>
        <v>29</v>
      </c>
      <c r="C961" s="83">
        <f>122.58</f>
        <v>122.58</v>
      </c>
      <c r="D961" s="83">
        <f>297.941</f>
        <v>297.94099999999997</v>
      </c>
      <c r="E961" s="92">
        <f>89.177</f>
        <v>89.177000000000007</v>
      </c>
      <c r="F961" s="83">
        <f>240.302-40-60-100</f>
        <v>40.301999999999992</v>
      </c>
      <c r="G961" s="86">
        <v>40</v>
      </c>
      <c r="H961" s="83">
        <f>60+100</f>
        <v>160</v>
      </c>
      <c r="I961" s="83">
        <f t="shared" si="158"/>
        <v>0</v>
      </c>
      <c r="J961" s="86">
        <v>100</v>
      </c>
      <c r="K961" s="86">
        <v>300</v>
      </c>
      <c r="L961" s="83">
        <f t="shared" si="151"/>
        <v>1150</v>
      </c>
      <c r="M961" s="94">
        <v>600</v>
      </c>
      <c r="N961" s="83">
        <f>100</f>
        <v>100</v>
      </c>
      <c r="O961" s="86">
        <v>240</v>
      </c>
      <c r="P961" s="86">
        <v>40</v>
      </c>
      <c r="Q961" s="86">
        <f t="shared" si="152"/>
        <v>315</v>
      </c>
      <c r="R961" s="86">
        <f t="shared" si="153"/>
        <v>100</v>
      </c>
      <c r="S961" s="83">
        <f t="shared" si="154"/>
        <v>695</v>
      </c>
      <c r="T961" s="83">
        <f>50</f>
        <v>50</v>
      </c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</row>
    <row r="962" spans="1:30" ht="15.75" x14ac:dyDescent="0.25">
      <c r="A962" s="13">
        <v>70219</v>
      </c>
      <c r="B962" s="95">
        <f t="shared" si="155"/>
        <v>31</v>
      </c>
      <c r="C962" s="83">
        <f>122.58</f>
        <v>122.58</v>
      </c>
      <c r="D962" s="83">
        <f>297.941</f>
        <v>297.94099999999997</v>
      </c>
      <c r="E962" s="92">
        <f>89.177</f>
        <v>89.177000000000007</v>
      </c>
      <c r="F962" s="83">
        <f>240.302-40-60-100</f>
        <v>40.301999999999992</v>
      </c>
      <c r="G962" s="86">
        <v>40</v>
      </c>
      <c r="H962" s="83">
        <f>60+100</f>
        <v>160</v>
      </c>
      <c r="I962" s="83">
        <f t="shared" si="158"/>
        <v>0</v>
      </c>
      <c r="J962" s="86">
        <v>100</v>
      </c>
      <c r="K962" s="86">
        <v>300</v>
      </c>
      <c r="L962" s="83">
        <f t="shared" si="151"/>
        <v>1150</v>
      </c>
      <c r="M962" s="94">
        <v>600</v>
      </c>
      <c r="N962" s="83">
        <f>100</f>
        <v>100</v>
      </c>
      <c r="O962" s="86">
        <v>240</v>
      </c>
      <c r="P962" s="86">
        <v>40</v>
      </c>
      <c r="Q962" s="86">
        <f t="shared" si="152"/>
        <v>315</v>
      </c>
      <c r="R962" s="86">
        <f t="shared" si="153"/>
        <v>100</v>
      </c>
      <c r="S962" s="83">
        <f t="shared" si="154"/>
        <v>695</v>
      </c>
      <c r="T962" s="83">
        <f>50</f>
        <v>50</v>
      </c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</row>
    <row r="963" spans="1:30" ht="15.75" x14ac:dyDescent="0.25">
      <c r="A963" s="13">
        <v>70249</v>
      </c>
      <c r="B963" s="95">
        <f t="shared" si="155"/>
        <v>30</v>
      </c>
      <c r="C963" s="83">
        <f>141.293</f>
        <v>141.29300000000001</v>
      </c>
      <c r="D963" s="83">
        <f>267.993</f>
        <v>267.99299999999999</v>
      </c>
      <c r="E963" s="92">
        <f>115.016</f>
        <v>115.01600000000001</v>
      </c>
      <c r="F963" s="83">
        <f>314.698-40-25-60-100</f>
        <v>89.697999999999979</v>
      </c>
      <c r="G963" s="86">
        <v>40</v>
      </c>
      <c r="H963" s="83">
        <f t="shared" ref="H963:H969" si="160">25+60+100</f>
        <v>185</v>
      </c>
      <c r="I963" s="83">
        <f t="shared" si="158"/>
        <v>0</v>
      </c>
      <c r="J963" s="86">
        <v>100</v>
      </c>
      <c r="K963" s="86">
        <v>300</v>
      </c>
      <c r="L963" s="83">
        <f t="shared" si="151"/>
        <v>1239</v>
      </c>
      <c r="M963" s="94">
        <v>600</v>
      </c>
      <c r="N963" s="83">
        <f>100</f>
        <v>100</v>
      </c>
      <c r="O963" s="86">
        <v>240</v>
      </c>
      <c r="P963" s="86">
        <v>40</v>
      </c>
      <c r="Q963" s="86">
        <f t="shared" si="152"/>
        <v>315</v>
      </c>
      <c r="R963" s="86">
        <f t="shared" si="153"/>
        <v>100</v>
      </c>
      <c r="S963" s="83">
        <f t="shared" si="154"/>
        <v>695</v>
      </c>
      <c r="T963" s="83">
        <f>50</f>
        <v>50</v>
      </c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</row>
    <row r="964" spans="1:30" ht="15.75" x14ac:dyDescent="0.25">
      <c r="A964" s="13">
        <v>70280</v>
      </c>
      <c r="B964" s="95">
        <f t="shared" si="155"/>
        <v>31</v>
      </c>
      <c r="C964" s="83">
        <f>194.205</f>
        <v>194.20500000000001</v>
      </c>
      <c r="D964" s="83">
        <f>267.466</f>
        <v>267.46600000000001</v>
      </c>
      <c r="E964" s="92">
        <f>133.845</f>
        <v>133.845</v>
      </c>
      <c r="F964" s="83">
        <f>278.484-40-25-60-100</f>
        <v>53.48399999999998</v>
      </c>
      <c r="G964" s="86">
        <v>40</v>
      </c>
      <c r="H964" s="83">
        <f t="shared" si="160"/>
        <v>185</v>
      </c>
      <c r="I964" s="83">
        <f t="shared" si="158"/>
        <v>0</v>
      </c>
      <c r="J964" s="86">
        <v>100</v>
      </c>
      <c r="K964" s="86">
        <v>300</v>
      </c>
      <c r="L964" s="83">
        <f t="shared" si="151"/>
        <v>1274</v>
      </c>
      <c r="M964" s="94">
        <v>600</v>
      </c>
      <c r="N964" s="83">
        <f>75</f>
        <v>75</v>
      </c>
      <c r="O964" s="86">
        <v>240</v>
      </c>
      <c r="P964" s="86">
        <v>40</v>
      </c>
      <c r="Q964" s="86">
        <f t="shared" si="152"/>
        <v>315</v>
      </c>
      <c r="R964" s="86">
        <f t="shared" si="153"/>
        <v>100</v>
      </c>
      <c r="S964" s="83">
        <f t="shared" si="154"/>
        <v>695</v>
      </c>
      <c r="T964" s="83">
        <f>50</f>
        <v>50</v>
      </c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</row>
    <row r="965" spans="1:30" ht="15.75" x14ac:dyDescent="0.25">
      <c r="A965" s="13">
        <v>70310</v>
      </c>
      <c r="B965" s="95">
        <f t="shared" si="155"/>
        <v>30</v>
      </c>
      <c r="C965" s="83">
        <f>194.205</f>
        <v>194.20500000000001</v>
      </c>
      <c r="D965" s="83">
        <f>267.466</f>
        <v>267.46600000000001</v>
      </c>
      <c r="E965" s="92">
        <f>133.845</f>
        <v>133.845</v>
      </c>
      <c r="F965" s="83">
        <f>278.484-40-25-60-100</f>
        <v>53.48399999999998</v>
      </c>
      <c r="G965" s="86">
        <v>40</v>
      </c>
      <c r="H965" s="83">
        <f t="shared" si="160"/>
        <v>185</v>
      </c>
      <c r="I965" s="83">
        <f t="shared" si="158"/>
        <v>0</v>
      </c>
      <c r="J965" s="86">
        <v>100</v>
      </c>
      <c r="K965" s="86">
        <v>300</v>
      </c>
      <c r="L965" s="83">
        <f t="shared" si="151"/>
        <v>1274</v>
      </c>
      <c r="M965" s="94">
        <v>600</v>
      </c>
      <c r="N965" s="83">
        <f>30</f>
        <v>30</v>
      </c>
      <c r="O965" s="86">
        <v>240</v>
      </c>
      <c r="P965" s="86">
        <v>40</v>
      </c>
      <c r="Q965" s="86">
        <f t="shared" si="152"/>
        <v>315</v>
      </c>
      <c r="R965" s="86">
        <f t="shared" si="153"/>
        <v>100</v>
      </c>
      <c r="S965" s="83">
        <f t="shared" si="154"/>
        <v>695</v>
      </c>
      <c r="T965" s="83">
        <f>50</f>
        <v>50</v>
      </c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</row>
    <row r="966" spans="1:30" ht="15.75" x14ac:dyDescent="0.25">
      <c r="A966" s="13">
        <v>70341</v>
      </c>
      <c r="B966" s="95">
        <f t="shared" si="155"/>
        <v>31</v>
      </c>
      <c r="C966" s="83">
        <f>194.205</f>
        <v>194.20500000000001</v>
      </c>
      <c r="D966" s="83">
        <f>267.466</f>
        <v>267.46600000000001</v>
      </c>
      <c r="E966" s="92">
        <f>133.845</f>
        <v>133.845</v>
      </c>
      <c r="F966" s="83">
        <f>278.484-40-25-60-100</f>
        <v>53.48399999999998</v>
      </c>
      <c r="G966" s="86">
        <v>40</v>
      </c>
      <c r="H966" s="83">
        <f t="shared" si="160"/>
        <v>185</v>
      </c>
      <c r="I966" s="83">
        <f t="shared" si="158"/>
        <v>0</v>
      </c>
      <c r="J966" s="86">
        <v>100</v>
      </c>
      <c r="K966" s="86">
        <v>300</v>
      </c>
      <c r="L966" s="83">
        <f t="shared" si="151"/>
        <v>1274</v>
      </c>
      <c r="M966" s="94">
        <v>600</v>
      </c>
      <c r="N966" s="83">
        <f>30</f>
        <v>30</v>
      </c>
      <c r="O966" s="86">
        <v>240</v>
      </c>
      <c r="P966" s="86">
        <v>40</v>
      </c>
      <c r="Q966" s="86">
        <f t="shared" si="152"/>
        <v>315</v>
      </c>
      <c r="R966" s="86">
        <f t="shared" si="153"/>
        <v>100</v>
      </c>
      <c r="S966" s="83">
        <f t="shared" si="154"/>
        <v>695</v>
      </c>
      <c r="T966" s="83">
        <f>0</f>
        <v>0</v>
      </c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</row>
    <row r="967" spans="1:30" ht="15.75" x14ac:dyDescent="0.25">
      <c r="A967" s="13">
        <v>70372</v>
      </c>
      <c r="B967" s="95">
        <f t="shared" si="155"/>
        <v>31</v>
      </c>
      <c r="C967" s="83">
        <f>194.205</f>
        <v>194.20500000000001</v>
      </c>
      <c r="D967" s="83">
        <f>267.466</f>
        <v>267.46600000000001</v>
      </c>
      <c r="E967" s="92">
        <f>133.845</f>
        <v>133.845</v>
      </c>
      <c r="F967" s="83">
        <f>278.484-40-25-60-100</f>
        <v>53.48399999999998</v>
      </c>
      <c r="G967" s="86">
        <v>40</v>
      </c>
      <c r="H967" s="83">
        <f t="shared" si="160"/>
        <v>185</v>
      </c>
      <c r="I967" s="83">
        <f t="shared" si="158"/>
        <v>0</v>
      </c>
      <c r="J967" s="86">
        <v>100</v>
      </c>
      <c r="K967" s="86">
        <v>300</v>
      </c>
      <c r="L967" s="83">
        <f t="shared" si="151"/>
        <v>1274</v>
      </c>
      <c r="M967" s="94">
        <v>600</v>
      </c>
      <c r="N967" s="83">
        <f>30</f>
        <v>30</v>
      </c>
      <c r="O967" s="86">
        <v>240</v>
      </c>
      <c r="P967" s="86">
        <v>40</v>
      </c>
      <c r="Q967" s="86">
        <f t="shared" si="152"/>
        <v>315</v>
      </c>
      <c r="R967" s="86">
        <f t="shared" si="153"/>
        <v>100</v>
      </c>
      <c r="S967" s="83">
        <f t="shared" si="154"/>
        <v>695</v>
      </c>
      <c r="T967" s="83">
        <f>0</f>
        <v>0</v>
      </c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</row>
    <row r="968" spans="1:30" ht="15.75" x14ac:dyDescent="0.25">
      <c r="A968" s="13">
        <v>70402</v>
      </c>
      <c r="B968" s="95">
        <f t="shared" si="155"/>
        <v>30</v>
      </c>
      <c r="C968" s="83">
        <f>194.205</f>
        <v>194.20500000000001</v>
      </c>
      <c r="D968" s="83">
        <f>267.466</f>
        <v>267.46600000000001</v>
      </c>
      <c r="E968" s="92">
        <f>133.845</f>
        <v>133.845</v>
      </c>
      <c r="F968" s="83">
        <f>278.484-40-25-60-100</f>
        <v>53.48399999999998</v>
      </c>
      <c r="G968" s="86">
        <v>40</v>
      </c>
      <c r="H968" s="83">
        <f t="shared" si="160"/>
        <v>185</v>
      </c>
      <c r="I968" s="83">
        <f t="shared" si="158"/>
        <v>0</v>
      </c>
      <c r="J968" s="86">
        <v>100</v>
      </c>
      <c r="K968" s="86">
        <v>300</v>
      </c>
      <c r="L968" s="83">
        <f t="shared" si="151"/>
        <v>1274</v>
      </c>
      <c r="M968" s="94">
        <v>600</v>
      </c>
      <c r="N968" s="83">
        <f>30</f>
        <v>30</v>
      </c>
      <c r="O968" s="86">
        <v>240</v>
      </c>
      <c r="P968" s="86">
        <v>40</v>
      </c>
      <c r="Q968" s="86">
        <f t="shared" si="152"/>
        <v>315</v>
      </c>
      <c r="R968" s="86">
        <f t="shared" si="153"/>
        <v>100</v>
      </c>
      <c r="S968" s="83">
        <f t="shared" si="154"/>
        <v>695</v>
      </c>
      <c r="T968" s="83">
        <f>0</f>
        <v>0</v>
      </c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</row>
    <row r="969" spans="1:30" ht="15.75" x14ac:dyDescent="0.25">
      <c r="A969" s="13">
        <v>70433</v>
      </c>
      <c r="B969" s="95">
        <f t="shared" si="155"/>
        <v>31</v>
      </c>
      <c r="C969" s="83">
        <f>131.881</f>
        <v>131.881</v>
      </c>
      <c r="D969" s="83">
        <f>277.167</f>
        <v>277.16699999999997</v>
      </c>
      <c r="E969" s="92">
        <f>79.08</f>
        <v>79.08</v>
      </c>
      <c r="F969" s="83">
        <f>350.872-40-25-60-100</f>
        <v>125.87200000000001</v>
      </c>
      <c r="G969" s="86">
        <v>40</v>
      </c>
      <c r="H969" s="83">
        <f t="shared" si="160"/>
        <v>185</v>
      </c>
      <c r="I969" s="83">
        <f t="shared" si="158"/>
        <v>0</v>
      </c>
      <c r="J969" s="86">
        <v>100</v>
      </c>
      <c r="K969" s="86">
        <v>300</v>
      </c>
      <c r="L969" s="83">
        <f t="shared" si="151"/>
        <v>1239</v>
      </c>
      <c r="M969" s="94">
        <v>600</v>
      </c>
      <c r="N969" s="83">
        <f>75</f>
        <v>75</v>
      </c>
      <c r="O969" s="86">
        <v>240</v>
      </c>
      <c r="P969" s="86">
        <v>40</v>
      </c>
      <c r="Q969" s="86">
        <f t="shared" si="152"/>
        <v>315</v>
      </c>
      <c r="R969" s="86">
        <f t="shared" si="153"/>
        <v>100</v>
      </c>
      <c r="S969" s="83">
        <f t="shared" si="154"/>
        <v>695</v>
      </c>
      <c r="T969" s="83">
        <f>0</f>
        <v>0</v>
      </c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</row>
    <row r="970" spans="1:30" ht="15.75" x14ac:dyDescent="0.25">
      <c r="A970" s="13">
        <v>70463</v>
      </c>
      <c r="B970" s="95">
        <f t="shared" si="155"/>
        <v>30</v>
      </c>
      <c r="C970" s="83">
        <f>122.58</f>
        <v>122.58</v>
      </c>
      <c r="D970" s="83">
        <f>297.941</f>
        <v>297.94099999999997</v>
      </c>
      <c r="E970" s="92">
        <f>89.177</f>
        <v>89.177000000000007</v>
      </c>
      <c r="F970" s="83">
        <f>240.302-40-60-100</f>
        <v>40.301999999999992</v>
      </c>
      <c r="G970" s="86">
        <v>40</v>
      </c>
      <c r="H970" s="83">
        <f>60+100</f>
        <v>160</v>
      </c>
      <c r="I970" s="83">
        <f t="shared" si="158"/>
        <v>0</v>
      </c>
      <c r="J970" s="86">
        <v>100</v>
      </c>
      <c r="K970" s="86">
        <v>300</v>
      </c>
      <c r="L970" s="83">
        <f t="shared" si="151"/>
        <v>1150</v>
      </c>
      <c r="M970" s="94">
        <v>600</v>
      </c>
      <c r="N970" s="83">
        <f>100</f>
        <v>100</v>
      </c>
      <c r="O970" s="86">
        <v>240</v>
      </c>
      <c r="P970" s="86">
        <v>40</v>
      </c>
      <c r="Q970" s="86">
        <f t="shared" si="152"/>
        <v>315</v>
      </c>
      <c r="R970" s="86">
        <f t="shared" si="153"/>
        <v>100</v>
      </c>
      <c r="S970" s="83">
        <f t="shared" si="154"/>
        <v>695</v>
      </c>
      <c r="T970" s="83">
        <f>50</f>
        <v>50</v>
      </c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</row>
    <row r="971" spans="1:30" ht="15.75" x14ac:dyDescent="0.25">
      <c r="A971" s="13">
        <v>70494</v>
      </c>
      <c r="B971" s="95">
        <f t="shared" si="155"/>
        <v>31</v>
      </c>
      <c r="C971" s="83">
        <f>122.58</f>
        <v>122.58</v>
      </c>
      <c r="D971" s="83">
        <f>297.941</f>
        <v>297.94099999999997</v>
      </c>
      <c r="E971" s="92">
        <f>89.177</f>
        <v>89.177000000000007</v>
      </c>
      <c r="F971" s="83">
        <f>240.302-40-60-100</f>
        <v>40.301999999999992</v>
      </c>
      <c r="G971" s="86">
        <v>40</v>
      </c>
      <c r="H971" s="83">
        <f>60+100</f>
        <v>160</v>
      </c>
      <c r="I971" s="83">
        <f t="shared" si="158"/>
        <v>0</v>
      </c>
      <c r="J971" s="86">
        <v>100</v>
      </c>
      <c r="K971" s="86">
        <v>300</v>
      </c>
      <c r="L971" s="83">
        <f t="shared" si="151"/>
        <v>1150</v>
      </c>
      <c r="M971" s="94">
        <v>600</v>
      </c>
      <c r="N971" s="83">
        <f>100</f>
        <v>100</v>
      </c>
      <c r="O971" s="86">
        <v>240</v>
      </c>
      <c r="P971" s="86">
        <v>40</v>
      </c>
      <c r="Q971" s="86">
        <f t="shared" si="152"/>
        <v>315</v>
      </c>
      <c r="R971" s="86">
        <f t="shared" si="153"/>
        <v>100</v>
      </c>
      <c r="S971" s="83">
        <f t="shared" si="154"/>
        <v>695</v>
      </c>
      <c r="T971" s="83">
        <f>50</f>
        <v>50</v>
      </c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</row>
    <row r="972" spans="1:30" ht="15.75" x14ac:dyDescent="0.25">
      <c r="A972" s="13">
        <v>70525</v>
      </c>
      <c r="B972" s="95">
        <f t="shared" si="155"/>
        <v>31</v>
      </c>
      <c r="C972" s="83">
        <f>122.58</f>
        <v>122.58</v>
      </c>
      <c r="D972" s="83">
        <f>297.941</f>
        <v>297.94099999999997</v>
      </c>
      <c r="E972" s="92">
        <f>89.177</f>
        <v>89.177000000000007</v>
      </c>
      <c r="F972" s="83">
        <f>240.302-40-60-100</f>
        <v>40.301999999999992</v>
      </c>
      <c r="G972" s="86">
        <v>40</v>
      </c>
      <c r="H972" s="83">
        <f>60+100</f>
        <v>160</v>
      </c>
      <c r="I972" s="83">
        <f t="shared" si="158"/>
        <v>0</v>
      </c>
      <c r="J972" s="86">
        <v>100</v>
      </c>
      <c r="K972" s="86">
        <v>300</v>
      </c>
      <c r="L972" s="83">
        <f t="shared" si="151"/>
        <v>1150</v>
      </c>
      <c r="M972" s="94">
        <v>600</v>
      </c>
      <c r="N972" s="83">
        <f>100</f>
        <v>100</v>
      </c>
      <c r="O972" s="86">
        <v>240</v>
      </c>
      <c r="P972" s="86">
        <v>40</v>
      </c>
      <c r="Q972" s="86">
        <f t="shared" si="152"/>
        <v>315</v>
      </c>
      <c r="R972" s="86">
        <f t="shared" si="153"/>
        <v>100</v>
      </c>
      <c r="S972" s="83">
        <f t="shared" si="154"/>
        <v>695</v>
      </c>
      <c r="T972" s="83">
        <f>50</f>
        <v>50</v>
      </c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</row>
    <row r="973" spans="1:30" ht="15.75" x14ac:dyDescent="0.25">
      <c r="A973" s="13">
        <v>70553</v>
      </c>
      <c r="B973" s="95">
        <f t="shared" si="155"/>
        <v>28</v>
      </c>
      <c r="C973" s="83">
        <f>122.58</f>
        <v>122.58</v>
      </c>
      <c r="D973" s="83">
        <f>297.941</f>
        <v>297.94099999999997</v>
      </c>
      <c r="E973" s="92">
        <f>89.177</f>
        <v>89.177000000000007</v>
      </c>
      <c r="F973" s="83">
        <f>240.302-40-60-100</f>
        <v>40.301999999999992</v>
      </c>
      <c r="G973" s="86">
        <v>40</v>
      </c>
      <c r="H973" s="83">
        <f>60+100</f>
        <v>160</v>
      </c>
      <c r="I973" s="83">
        <f t="shared" si="158"/>
        <v>0</v>
      </c>
      <c r="J973" s="86">
        <v>100</v>
      </c>
      <c r="K973" s="86">
        <v>300</v>
      </c>
      <c r="L973" s="83">
        <f t="shared" si="151"/>
        <v>1150</v>
      </c>
      <c r="M973" s="94">
        <v>600</v>
      </c>
      <c r="N973" s="83">
        <f>100</f>
        <v>100</v>
      </c>
      <c r="O973" s="86">
        <v>240</v>
      </c>
      <c r="P973" s="86">
        <v>40</v>
      </c>
      <c r="Q973" s="86">
        <f t="shared" si="152"/>
        <v>315</v>
      </c>
      <c r="R973" s="86">
        <f t="shared" si="153"/>
        <v>100</v>
      </c>
      <c r="S973" s="83">
        <f t="shared" si="154"/>
        <v>695</v>
      </c>
      <c r="T973" s="83">
        <f>50</f>
        <v>50</v>
      </c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</row>
    <row r="974" spans="1:30" ht="15.75" x14ac:dyDescent="0.25">
      <c r="A974" s="13">
        <v>70584</v>
      </c>
      <c r="B974" s="95">
        <f t="shared" si="155"/>
        <v>31</v>
      </c>
      <c r="C974" s="83">
        <f>122.58</f>
        <v>122.58</v>
      </c>
      <c r="D974" s="83">
        <f>297.941</f>
        <v>297.94099999999997</v>
      </c>
      <c r="E974" s="92">
        <f>89.177</f>
        <v>89.177000000000007</v>
      </c>
      <c r="F974" s="83">
        <f>240.302-40-60-100</f>
        <v>40.301999999999992</v>
      </c>
      <c r="G974" s="86">
        <v>40</v>
      </c>
      <c r="H974" s="83">
        <f>60+100</f>
        <v>160</v>
      </c>
      <c r="I974" s="83">
        <f t="shared" si="158"/>
        <v>0</v>
      </c>
      <c r="J974" s="86">
        <v>100</v>
      </c>
      <c r="K974" s="86">
        <v>300</v>
      </c>
      <c r="L974" s="83">
        <f t="shared" si="151"/>
        <v>1150</v>
      </c>
      <c r="M974" s="94">
        <v>600</v>
      </c>
      <c r="N974" s="83">
        <f>100</f>
        <v>100</v>
      </c>
      <c r="O974" s="86">
        <v>240</v>
      </c>
      <c r="P974" s="86">
        <v>40</v>
      </c>
      <c r="Q974" s="86">
        <f t="shared" si="152"/>
        <v>315</v>
      </c>
      <c r="R974" s="86">
        <f t="shared" si="153"/>
        <v>100</v>
      </c>
      <c r="S974" s="83">
        <f t="shared" si="154"/>
        <v>695</v>
      </c>
      <c r="T974" s="83">
        <f>50</f>
        <v>50</v>
      </c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</row>
    <row r="975" spans="1:30" ht="15.75" x14ac:dyDescent="0.25">
      <c r="A975" s="13">
        <v>70614</v>
      </c>
      <c r="B975" s="95">
        <f t="shared" si="155"/>
        <v>30</v>
      </c>
      <c r="C975" s="83">
        <f>141.293</f>
        <v>141.29300000000001</v>
      </c>
      <c r="D975" s="83">
        <f>267.993</f>
        <v>267.99299999999999</v>
      </c>
      <c r="E975" s="92">
        <f>115.016</f>
        <v>115.01600000000001</v>
      </c>
      <c r="F975" s="83">
        <f>314.698-40-25-60-100</f>
        <v>89.697999999999979</v>
      </c>
      <c r="G975" s="86">
        <v>40</v>
      </c>
      <c r="H975" s="83">
        <f t="shared" ref="H975:H981" si="161">25+60+100</f>
        <v>185</v>
      </c>
      <c r="I975" s="83">
        <f t="shared" si="158"/>
        <v>0</v>
      </c>
      <c r="J975" s="86">
        <v>100</v>
      </c>
      <c r="K975" s="86">
        <v>300</v>
      </c>
      <c r="L975" s="83">
        <f t="shared" si="151"/>
        <v>1239</v>
      </c>
      <c r="M975" s="94">
        <v>600</v>
      </c>
      <c r="N975" s="83">
        <f>100</f>
        <v>100</v>
      </c>
      <c r="O975" s="86">
        <v>240</v>
      </c>
      <c r="P975" s="86">
        <v>40</v>
      </c>
      <c r="Q975" s="86">
        <f t="shared" si="152"/>
        <v>315</v>
      </c>
      <c r="R975" s="86">
        <f t="shared" si="153"/>
        <v>100</v>
      </c>
      <c r="S975" s="83">
        <f t="shared" si="154"/>
        <v>695</v>
      </c>
      <c r="T975" s="83">
        <f>50</f>
        <v>50</v>
      </c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</row>
    <row r="976" spans="1:30" ht="15.75" x14ac:dyDescent="0.25">
      <c r="A976" s="13">
        <v>70645</v>
      </c>
      <c r="B976" s="95">
        <f t="shared" si="155"/>
        <v>31</v>
      </c>
      <c r="C976" s="83">
        <f>194.205</f>
        <v>194.20500000000001</v>
      </c>
      <c r="D976" s="83">
        <f>267.466</f>
        <v>267.46600000000001</v>
      </c>
      <c r="E976" s="92">
        <f>133.845</f>
        <v>133.845</v>
      </c>
      <c r="F976" s="83">
        <f>278.484-40-25-60-100</f>
        <v>53.48399999999998</v>
      </c>
      <c r="G976" s="86">
        <v>40</v>
      </c>
      <c r="H976" s="83">
        <f t="shared" si="161"/>
        <v>185</v>
      </c>
      <c r="I976" s="83">
        <f t="shared" si="158"/>
        <v>0</v>
      </c>
      <c r="J976" s="86">
        <v>100</v>
      </c>
      <c r="K976" s="86">
        <v>300</v>
      </c>
      <c r="L976" s="83">
        <f t="shared" si="151"/>
        <v>1274</v>
      </c>
      <c r="M976" s="94">
        <v>600</v>
      </c>
      <c r="N976" s="83">
        <f>75</f>
        <v>75</v>
      </c>
      <c r="O976" s="86">
        <v>240</v>
      </c>
      <c r="P976" s="86">
        <v>40</v>
      </c>
      <c r="Q976" s="86">
        <f t="shared" si="152"/>
        <v>315</v>
      </c>
      <c r="R976" s="86">
        <f t="shared" si="153"/>
        <v>100</v>
      </c>
      <c r="S976" s="83">
        <f t="shared" si="154"/>
        <v>695</v>
      </c>
      <c r="T976" s="83">
        <f>50</f>
        <v>50</v>
      </c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</row>
    <row r="977" spans="1:30" ht="15.75" x14ac:dyDescent="0.25">
      <c r="A977" s="13">
        <v>70675</v>
      </c>
      <c r="B977" s="95">
        <f t="shared" si="155"/>
        <v>30</v>
      </c>
      <c r="C977" s="83">
        <f>194.205</f>
        <v>194.20500000000001</v>
      </c>
      <c r="D977" s="83">
        <f>267.466</f>
        <v>267.46600000000001</v>
      </c>
      <c r="E977" s="92">
        <f>133.845</f>
        <v>133.845</v>
      </c>
      <c r="F977" s="83">
        <f>278.484-40-25-60-100</f>
        <v>53.48399999999998</v>
      </c>
      <c r="G977" s="86">
        <v>40</v>
      </c>
      <c r="H977" s="83">
        <f t="shared" si="161"/>
        <v>185</v>
      </c>
      <c r="I977" s="83">
        <f t="shared" si="158"/>
        <v>0</v>
      </c>
      <c r="J977" s="86">
        <v>100</v>
      </c>
      <c r="K977" s="86">
        <v>300</v>
      </c>
      <c r="L977" s="83">
        <f t="shared" si="151"/>
        <v>1274</v>
      </c>
      <c r="M977" s="94">
        <v>600</v>
      </c>
      <c r="N977" s="83">
        <f>30</f>
        <v>30</v>
      </c>
      <c r="O977" s="86">
        <v>240</v>
      </c>
      <c r="P977" s="86">
        <v>40</v>
      </c>
      <c r="Q977" s="86">
        <f t="shared" si="152"/>
        <v>315</v>
      </c>
      <c r="R977" s="86">
        <f t="shared" si="153"/>
        <v>100</v>
      </c>
      <c r="S977" s="83">
        <f t="shared" si="154"/>
        <v>695</v>
      </c>
      <c r="T977" s="83">
        <f>50</f>
        <v>50</v>
      </c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</row>
    <row r="978" spans="1:30" ht="15.75" x14ac:dyDescent="0.25">
      <c r="A978" s="13">
        <v>70706</v>
      </c>
      <c r="B978" s="95">
        <f t="shared" si="155"/>
        <v>31</v>
      </c>
      <c r="C978" s="83">
        <f>194.205</f>
        <v>194.20500000000001</v>
      </c>
      <c r="D978" s="83">
        <f>267.466</f>
        <v>267.46600000000001</v>
      </c>
      <c r="E978" s="92">
        <f>133.845</f>
        <v>133.845</v>
      </c>
      <c r="F978" s="83">
        <f>278.484-40-25-60-100</f>
        <v>53.48399999999998</v>
      </c>
      <c r="G978" s="86">
        <v>40</v>
      </c>
      <c r="H978" s="83">
        <f t="shared" si="161"/>
        <v>185</v>
      </c>
      <c r="I978" s="83">
        <f t="shared" si="158"/>
        <v>0</v>
      </c>
      <c r="J978" s="86">
        <v>100</v>
      </c>
      <c r="K978" s="86">
        <v>300</v>
      </c>
      <c r="L978" s="83">
        <f t="shared" si="151"/>
        <v>1274</v>
      </c>
      <c r="M978" s="94">
        <v>600</v>
      </c>
      <c r="N978" s="83">
        <f>30</f>
        <v>30</v>
      </c>
      <c r="O978" s="86">
        <v>240</v>
      </c>
      <c r="P978" s="86">
        <v>40</v>
      </c>
      <c r="Q978" s="86">
        <f t="shared" si="152"/>
        <v>315</v>
      </c>
      <c r="R978" s="86">
        <f t="shared" si="153"/>
        <v>100</v>
      </c>
      <c r="S978" s="83">
        <f t="shared" si="154"/>
        <v>695</v>
      </c>
      <c r="T978" s="83">
        <f>0</f>
        <v>0</v>
      </c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</row>
    <row r="979" spans="1:30" ht="15.75" x14ac:dyDescent="0.25">
      <c r="A979" s="13">
        <v>70737</v>
      </c>
      <c r="B979" s="95">
        <f t="shared" si="155"/>
        <v>31</v>
      </c>
      <c r="C979" s="83">
        <f>194.205</f>
        <v>194.20500000000001</v>
      </c>
      <c r="D979" s="83">
        <f>267.466</f>
        <v>267.46600000000001</v>
      </c>
      <c r="E979" s="92">
        <f>133.845</f>
        <v>133.845</v>
      </c>
      <c r="F979" s="83">
        <f>278.484-40-25-60-100</f>
        <v>53.48399999999998</v>
      </c>
      <c r="G979" s="86">
        <v>40</v>
      </c>
      <c r="H979" s="83">
        <f t="shared" si="161"/>
        <v>185</v>
      </c>
      <c r="I979" s="83">
        <f t="shared" si="158"/>
        <v>0</v>
      </c>
      <c r="J979" s="86">
        <v>100</v>
      </c>
      <c r="K979" s="86">
        <v>300</v>
      </c>
      <c r="L979" s="83">
        <f t="shared" si="151"/>
        <v>1274</v>
      </c>
      <c r="M979" s="94">
        <v>600</v>
      </c>
      <c r="N979" s="83">
        <f>30</f>
        <v>30</v>
      </c>
      <c r="O979" s="86">
        <v>240</v>
      </c>
      <c r="P979" s="86">
        <v>40</v>
      </c>
      <c r="Q979" s="86">
        <f t="shared" si="152"/>
        <v>315</v>
      </c>
      <c r="R979" s="86">
        <f t="shared" si="153"/>
        <v>100</v>
      </c>
      <c r="S979" s="83">
        <f t="shared" si="154"/>
        <v>695</v>
      </c>
      <c r="T979" s="83">
        <f>0</f>
        <v>0</v>
      </c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</row>
    <row r="980" spans="1:30" ht="15.75" x14ac:dyDescent="0.25">
      <c r="A980" s="13">
        <v>70767</v>
      </c>
      <c r="B980" s="95">
        <f t="shared" si="155"/>
        <v>30</v>
      </c>
      <c r="C980" s="83">
        <f>194.205</f>
        <v>194.20500000000001</v>
      </c>
      <c r="D980" s="83">
        <f>267.466</f>
        <v>267.46600000000001</v>
      </c>
      <c r="E980" s="92">
        <f>133.845</f>
        <v>133.845</v>
      </c>
      <c r="F980" s="83">
        <f>278.484-40-25-60-100</f>
        <v>53.48399999999998</v>
      </c>
      <c r="G980" s="86">
        <v>40</v>
      </c>
      <c r="H980" s="83">
        <f t="shared" si="161"/>
        <v>185</v>
      </c>
      <c r="I980" s="83">
        <f t="shared" si="158"/>
        <v>0</v>
      </c>
      <c r="J980" s="86">
        <v>100</v>
      </c>
      <c r="K980" s="86">
        <v>300</v>
      </c>
      <c r="L980" s="83">
        <f t="shared" si="151"/>
        <v>1274</v>
      </c>
      <c r="M980" s="94">
        <v>600</v>
      </c>
      <c r="N980" s="83">
        <f>30</f>
        <v>30</v>
      </c>
      <c r="O980" s="86">
        <v>240</v>
      </c>
      <c r="P980" s="86">
        <v>40</v>
      </c>
      <c r="Q980" s="86">
        <f t="shared" si="152"/>
        <v>315</v>
      </c>
      <c r="R980" s="86">
        <f t="shared" si="153"/>
        <v>100</v>
      </c>
      <c r="S980" s="83">
        <f t="shared" si="154"/>
        <v>695</v>
      </c>
      <c r="T980" s="83">
        <f>0</f>
        <v>0</v>
      </c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</row>
    <row r="981" spans="1:30" ht="15.75" x14ac:dyDescent="0.25">
      <c r="A981" s="13">
        <v>70798</v>
      </c>
      <c r="B981" s="95">
        <f t="shared" si="155"/>
        <v>31</v>
      </c>
      <c r="C981" s="83">
        <f>131.881</f>
        <v>131.881</v>
      </c>
      <c r="D981" s="83">
        <f>277.167</f>
        <v>277.16699999999997</v>
      </c>
      <c r="E981" s="92">
        <f>79.08</f>
        <v>79.08</v>
      </c>
      <c r="F981" s="83">
        <f>350.872-40-25-60-100</f>
        <v>125.87200000000001</v>
      </c>
      <c r="G981" s="86">
        <v>40</v>
      </c>
      <c r="H981" s="83">
        <f t="shared" si="161"/>
        <v>185</v>
      </c>
      <c r="I981" s="83">
        <f t="shared" si="158"/>
        <v>0</v>
      </c>
      <c r="J981" s="86">
        <v>100</v>
      </c>
      <c r="K981" s="86">
        <v>300</v>
      </c>
      <c r="L981" s="83">
        <f t="shared" si="151"/>
        <v>1239</v>
      </c>
      <c r="M981" s="94">
        <v>600</v>
      </c>
      <c r="N981" s="83">
        <f>75</f>
        <v>75</v>
      </c>
      <c r="O981" s="86">
        <v>240</v>
      </c>
      <c r="P981" s="86">
        <v>40</v>
      </c>
      <c r="Q981" s="86">
        <f t="shared" si="152"/>
        <v>315</v>
      </c>
      <c r="R981" s="86">
        <f t="shared" si="153"/>
        <v>100</v>
      </c>
      <c r="S981" s="83">
        <f t="shared" si="154"/>
        <v>695</v>
      </c>
      <c r="T981" s="83">
        <f>0</f>
        <v>0</v>
      </c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</row>
    <row r="982" spans="1:30" ht="15.75" x14ac:dyDescent="0.25">
      <c r="A982" s="13">
        <v>70828</v>
      </c>
      <c r="B982" s="95">
        <f t="shared" si="155"/>
        <v>30</v>
      </c>
      <c r="C982" s="83">
        <f>122.58</f>
        <v>122.58</v>
      </c>
      <c r="D982" s="83">
        <f>297.941</f>
        <v>297.94099999999997</v>
      </c>
      <c r="E982" s="92">
        <f>89.177</f>
        <v>89.177000000000007</v>
      </c>
      <c r="F982" s="83">
        <f>240.302-40-60-100</f>
        <v>40.301999999999992</v>
      </c>
      <c r="G982" s="86">
        <v>40</v>
      </c>
      <c r="H982" s="83">
        <f>60+100</f>
        <v>160</v>
      </c>
      <c r="I982" s="83">
        <f t="shared" si="158"/>
        <v>0</v>
      </c>
      <c r="J982" s="86">
        <v>100</v>
      </c>
      <c r="K982" s="86">
        <v>300</v>
      </c>
      <c r="L982" s="83">
        <f t="shared" si="151"/>
        <v>1150</v>
      </c>
      <c r="M982" s="94">
        <v>600</v>
      </c>
      <c r="N982" s="83">
        <f>100</f>
        <v>100</v>
      </c>
      <c r="O982" s="86">
        <v>240</v>
      </c>
      <c r="P982" s="86">
        <v>40</v>
      </c>
      <c r="Q982" s="86">
        <f t="shared" si="152"/>
        <v>315</v>
      </c>
      <c r="R982" s="86">
        <f t="shared" si="153"/>
        <v>100</v>
      </c>
      <c r="S982" s="83">
        <f t="shared" si="154"/>
        <v>695</v>
      </c>
      <c r="T982" s="83">
        <f>50</f>
        <v>50</v>
      </c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</row>
    <row r="983" spans="1:30" ht="15.75" x14ac:dyDescent="0.25">
      <c r="A983" s="13">
        <v>70859</v>
      </c>
      <c r="B983" s="95">
        <f t="shared" si="155"/>
        <v>31</v>
      </c>
      <c r="C983" s="83">
        <f>122.58</f>
        <v>122.58</v>
      </c>
      <c r="D983" s="83">
        <f>297.941</f>
        <v>297.94099999999997</v>
      </c>
      <c r="E983" s="92">
        <f>89.177</f>
        <v>89.177000000000007</v>
      </c>
      <c r="F983" s="83">
        <f>240.302-40-60-100</f>
        <v>40.301999999999992</v>
      </c>
      <c r="G983" s="86">
        <v>40</v>
      </c>
      <c r="H983" s="83">
        <f>60+100</f>
        <v>160</v>
      </c>
      <c r="I983" s="83">
        <f t="shared" si="158"/>
        <v>0</v>
      </c>
      <c r="J983" s="86">
        <v>100</v>
      </c>
      <c r="K983" s="86">
        <v>300</v>
      </c>
      <c r="L983" s="83">
        <f t="shared" ref="L983:L1046" si="162">SUM(C983:K983)</f>
        <v>1150</v>
      </c>
      <c r="M983" s="94">
        <v>600</v>
      </c>
      <c r="N983" s="83">
        <f>100</f>
        <v>100</v>
      </c>
      <c r="O983" s="86">
        <v>240</v>
      </c>
      <c r="P983" s="86">
        <v>40</v>
      </c>
      <c r="Q983" s="86">
        <f t="shared" ref="Q983:Q1046" si="163">695-R983-O983-P983</f>
        <v>315</v>
      </c>
      <c r="R983" s="86">
        <f t="shared" ref="R983:R1046" si="164">200-J983</f>
        <v>100</v>
      </c>
      <c r="S983" s="83">
        <f t="shared" ref="S983:S1046" si="165">SUM(O983:R983)</f>
        <v>695</v>
      </c>
      <c r="T983" s="83">
        <f>50</f>
        <v>50</v>
      </c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</row>
    <row r="984" spans="1:30" ht="15.75" x14ac:dyDescent="0.25">
      <c r="A984" s="13">
        <v>70890</v>
      </c>
      <c r="B984" s="95">
        <f t="shared" ref="B984:B1047" si="166">EOMONTH(A984,0)-EOMONTH(A984,-1)</f>
        <v>31</v>
      </c>
      <c r="C984" s="83">
        <f>122.58</f>
        <v>122.58</v>
      </c>
      <c r="D984" s="83">
        <f>297.941</f>
        <v>297.94099999999997</v>
      </c>
      <c r="E984" s="92">
        <f>89.177</f>
        <v>89.177000000000007</v>
      </c>
      <c r="F984" s="83">
        <f>240.302-40-60-100</f>
        <v>40.301999999999992</v>
      </c>
      <c r="G984" s="86">
        <v>40</v>
      </c>
      <c r="H984" s="83">
        <f>60+100</f>
        <v>160</v>
      </c>
      <c r="I984" s="83">
        <f t="shared" si="158"/>
        <v>0</v>
      </c>
      <c r="J984" s="86">
        <v>100</v>
      </c>
      <c r="K984" s="86">
        <v>300</v>
      </c>
      <c r="L984" s="83">
        <f t="shared" si="162"/>
        <v>1150</v>
      </c>
      <c r="M984" s="94">
        <v>600</v>
      </c>
      <c r="N984" s="83">
        <f>100</f>
        <v>100</v>
      </c>
      <c r="O984" s="86">
        <v>240</v>
      </c>
      <c r="P984" s="86">
        <v>40</v>
      </c>
      <c r="Q984" s="86">
        <f t="shared" si="163"/>
        <v>315</v>
      </c>
      <c r="R984" s="86">
        <f t="shared" si="164"/>
        <v>100</v>
      </c>
      <c r="S984" s="83">
        <f t="shared" si="165"/>
        <v>695</v>
      </c>
      <c r="T984" s="83">
        <f>50</f>
        <v>50</v>
      </c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</row>
    <row r="985" spans="1:30" ht="15.75" x14ac:dyDescent="0.25">
      <c r="A985" s="13">
        <v>70918</v>
      </c>
      <c r="B985" s="95">
        <f t="shared" si="166"/>
        <v>28</v>
      </c>
      <c r="C985" s="83">
        <f>122.58</f>
        <v>122.58</v>
      </c>
      <c r="D985" s="83">
        <f>297.941</f>
        <v>297.94099999999997</v>
      </c>
      <c r="E985" s="92">
        <f>89.177</f>
        <v>89.177000000000007</v>
      </c>
      <c r="F985" s="83">
        <f>240.302-40-60-100</f>
        <v>40.301999999999992</v>
      </c>
      <c r="G985" s="86">
        <v>40</v>
      </c>
      <c r="H985" s="83">
        <f>60+100</f>
        <v>160</v>
      </c>
      <c r="I985" s="83">
        <f t="shared" si="158"/>
        <v>0</v>
      </c>
      <c r="J985" s="86">
        <v>100</v>
      </c>
      <c r="K985" s="86">
        <v>300</v>
      </c>
      <c r="L985" s="83">
        <f t="shared" si="162"/>
        <v>1150</v>
      </c>
      <c r="M985" s="94">
        <v>600</v>
      </c>
      <c r="N985" s="83">
        <f>100</f>
        <v>100</v>
      </c>
      <c r="O985" s="86">
        <v>240</v>
      </c>
      <c r="P985" s="86">
        <v>40</v>
      </c>
      <c r="Q985" s="86">
        <f t="shared" si="163"/>
        <v>315</v>
      </c>
      <c r="R985" s="86">
        <f t="shared" si="164"/>
        <v>100</v>
      </c>
      <c r="S985" s="83">
        <f t="shared" si="165"/>
        <v>695</v>
      </c>
      <c r="T985" s="83">
        <f>50</f>
        <v>50</v>
      </c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</row>
    <row r="986" spans="1:30" ht="15.75" x14ac:dyDescent="0.25">
      <c r="A986" s="13">
        <v>70949</v>
      </c>
      <c r="B986" s="95">
        <f t="shared" si="166"/>
        <v>31</v>
      </c>
      <c r="C986" s="83">
        <f>122.58</f>
        <v>122.58</v>
      </c>
      <c r="D986" s="83">
        <f>297.941</f>
        <v>297.94099999999997</v>
      </c>
      <c r="E986" s="92">
        <f>89.177</f>
        <v>89.177000000000007</v>
      </c>
      <c r="F986" s="83">
        <f>240.302-40-60-100</f>
        <v>40.301999999999992</v>
      </c>
      <c r="G986" s="86">
        <v>40</v>
      </c>
      <c r="H986" s="83">
        <f>60+100</f>
        <v>160</v>
      </c>
      <c r="I986" s="83">
        <f t="shared" si="158"/>
        <v>0</v>
      </c>
      <c r="J986" s="86">
        <v>100</v>
      </c>
      <c r="K986" s="86">
        <v>300</v>
      </c>
      <c r="L986" s="83">
        <f t="shared" si="162"/>
        <v>1150</v>
      </c>
      <c r="M986" s="94">
        <v>600</v>
      </c>
      <c r="N986" s="83">
        <f>100</f>
        <v>100</v>
      </c>
      <c r="O986" s="86">
        <v>240</v>
      </c>
      <c r="P986" s="86">
        <v>40</v>
      </c>
      <c r="Q986" s="86">
        <f t="shared" si="163"/>
        <v>315</v>
      </c>
      <c r="R986" s="86">
        <f t="shared" si="164"/>
        <v>100</v>
      </c>
      <c r="S986" s="83">
        <f t="shared" si="165"/>
        <v>695</v>
      </c>
      <c r="T986" s="83">
        <f>50</f>
        <v>50</v>
      </c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</row>
    <row r="987" spans="1:30" ht="15.75" x14ac:dyDescent="0.25">
      <c r="A987" s="13">
        <v>70979</v>
      </c>
      <c r="B987" s="95">
        <f t="shared" si="166"/>
        <v>30</v>
      </c>
      <c r="C987" s="83">
        <f>141.293</f>
        <v>141.29300000000001</v>
      </c>
      <c r="D987" s="83">
        <f>267.993</f>
        <v>267.99299999999999</v>
      </c>
      <c r="E987" s="92">
        <f>115.016</f>
        <v>115.01600000000001</v>
      </c>
      <c r="F987" s="83">
        <f>314.698-40-25-60-100</f>
        <v>89.697999999999979</v>
      </c>
      <c r="G987" s="86">
        <v>40</v>
      </c>
      <c r="H987" s="83">
        <f t="shared" ref="H987:H993" si="167">25+60+100</f>
        <v>185</v>
      </c>
      <c r="I987" s="83">
        <f t="shared" si="158"/>
        <v>0</v>
      </c>
      <c r="J987" s="86">
        <v>100</v>
      </c>
      <c r="K987" s="86">
        <v>300</v>
      </c>
      <c r="L987" s="83">
        <f t="shared" si="162"/>
        <v>1239</v>
      </c>
      <c r="M987" s="94">
        <v>600</v>
      </c>
      <c r="N987" s="83">
        <f>100</f>
        <v>100</v>
      </c>
      <c r="O987" s="86">
        <v>240</v>
      </c>
      <c r="P987" s="86">
        <v>40</v>
      </c>
      <c r="Q987" s="86">
        <f t="shared" si="163"/>
        <v>315</v>
      </c>
      <c r="R987" s="86">
        <f t="shared" si="164"/>
        <v>100</v>
      </c>
      <c r="S987" s="83">
        <f t="shared" si="165"/>
        <v>695</v>
      </c>
      <c r="T987" s="83">
        <f>50</f>
        <v>50</v>
      </c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</row>
    <row r="988" spans="1:30" ht="15.75" x14ac:dyDescent="0.25">
      <c r="A988" s="13">
        <v>71010</v>
      </c>
      <c r="B988" s="95">
        <f t="shared" si="166"/>
        <v>31</v>
      </c>
      <c r="C988" s="83">
        <f>194.205</f>
        <v>194.20500000000001</v>
      </c>
      <c r="D988" s="83">
        <f>267.466</f>
        <v>267.46600000000001</v>
      </c>
      <c r="E988" s="92">
        <f>133.845</f>
        <v>133.845</v>
      </c>
      <c r="F988" s="83">
        <f>278.484-40-25-60-100</f>
        <v>53.48399999999998</v>
      </c>
      <c r="G988" s="86">
        <v>40</v>
      </c>
      <c r="H988" s="83">
        <f t="shared" si="167"/>
        <v>185</v>
      </c>
      <c r="I988" s="83">
        <f t="shared" si="158"/>
        <v>0</v>
      </c>
      <c r="J988" s="86">
        <v>100</v>
      </c>
      <c r="K988" s="86">
        <v>300</v>
      </c>
      <c r="L988" s="83">
        <f t="shared" si="162"/>
        <v>1274</v>
      </c>
      <c r="M988" s="94">
        <v>600</v>
      </c>
      <c r="N988" s="83">
        <f>75</f>
        <v>75</v>
      </c>
      <c r="O988" s="86">
        <v>240</v>
      </c>
      <c r="P988" s="86">
        <v>40</v>
      </c>
      <c r="Q988" s="86">
        <f t="shared" si="163"/>
        <v>315</v>
      </c>
      <c r="R988" s="86">
        <f t="shared" si="164"/>
        <v>100</v>
      </c>
      <c r="S988" s="83">
        <f t="shared" si="165"/>
        <v>695</v>
      </c>
      <c r="T988" s="83">
        <f>50</f>
        <v>50</v>
      </c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</row>
    <row r="989" spans="1:30" ht="15.75" x14ac:dyDescent="0.25">
      <c r="A989" s="13">
        <v>71040</v>
      </c>
      <c r="B989" s="95">
        <f t="shared" si="166"/>
        <v>30</v>
      </c>
      <c r="C989" s="83">
        <f>194.205</f>
        <v>194.20500000000001</v>
      </c>
      <c r="D989" s="83">
        <f>267.466</f>
        <v>267.46600000000001</v>
      </c>
      <c r="E989" s="92">
        <f>133.845</f>
        <v>133.845</v>
      </c>
      <c r="F989" s="83">
        <f>278.484-40-25-60-100</f>
        <v>53.48399999999998</v>
      </c>
      <c r="G989" s="86">
        <v>40</v>
      </c>
      <c r="H989" s="83">
        <f t="shared" si="167"/>
        <v>185</v>
      </c>
      <c r="I989" s="83">
        <f t="shared" si="158"/>
        <v>0</v>
      </c>
      <c r="J989" s="86">
        <v>100</v>
      </c>
      <c r="K989" s="86">
        <v>300</v>
      </c>
      <c r="L989" s="83">
        <f t="shared" si="162"/>
        <v>1274</v>
      </c>
      <c r="M989" s="94">
        <v>600</v>
      </c>
      <c r="N989" s="83">
        <f>30</f>
        <v>30</v>
      </c>
      <c r="O989" s="86">
        <v>240</v>
      </c>
      <c r="P989" s="86">
        <v>40</v>
      </c>
      <c r="Q989" s="86">
        <f t="shared" si="163"/>
        <v>315</v>
      </c>
      <c r="R989" s="86">
        <f t="shared" si="164"/>
        <v>100</v>
      </c>
      <c r="S989" s="83">
        <f t="shared" si="165"/>
        <v>695</v>
      </c>
      <c r="T989" s="83">
        <f>50</f>
        <v>50</v>
      </c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</row>
    <row r="990" spans="1:30" ht="15.75" x14ac:dyDescent="0.25">
      <c r="A990" s="13">
        <v>71071</v>
      </c>
      <c r="B990" s="95">
        <f t="shared" si="166"/>
        <v>31</v>
      </c>
      <c r="C990" s="83">
        <f>194.205</f>
        <v>194.20500000000001</v>
      </c>
      <c r="D990" s="83">
        <f>267.466</f>
        <v>267.46600000000001</v>
      </c>
      <c r="E990" s="92">
        <f>133.845</f>
        <v>133.845</v>
      </c>
      <c r="F990" s="83">
        <f>278.484-40-25-60-100</f>
        <v>53.48399999999998</v>
      </c>
      <c r="G990" s="86">
        <v>40</v>
      </c>
      <c r="H990" s="83">
        <f t="shared" si="167"/>
        <v>185</v>
      </c>
      <c r="I990" s="83">
        <f t="shared" si="158"/>
        <v>0</v>
      </c>
      <c r="J990" s="86">
        <v>100</v>
      </c>
      <c r="K990" s="86">
        <v>300</v>
      </c>
      <c r="L990" s="83">
        <f t="shared" si="162"/>
        <v>1274</v>
      </c>
      <c r="M990" s="94">
        <v>600</v>
      </c>
      <c r="N990" s="83">
        <f>30</f>
        <v>30</v>
      </c>
      <c r="O990" s="86">
        <v>240</v>
      </c>
      <c r="P990" s="86">
        <v>40</v>
      </c>
      <c r="Q990" s="86">
        <f t="shared" si="163"/>
        <v>315</v>
      </c>
      <c r="R990" s="86">
        <f t="shared" si="164"/>
        <v>100</v>
      </c>
      <c r="S990" s="83">
        <f t="shared" si="165"/>
        <v>695</v>
      </c>
      <c r="T990" s="83">
        <f>0</f>
        <v>0</v>
      </c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</row>
    <row r="991" spans="1:30" ht="15.75" x14ac:dyDescent="0.25">
      <c r="A991" s="13">
        <v>71102</v>
      </c>
      <c r="B991" s="95">
        <f t="shared" si="166"/>
        <v>31</v>
      </c>
      <c r="C991" s="83">
        <f>194.205</f>
        <v>194.20500000000001</v>
      </c>
      <c r="D991" s="83">
        <f>267.466</f>
        <v>267.46600000000001</v>
      </c>
      <c r="E991" s="92">
        <f>133.845</f>
        <v>133.845</v>
      </c>
      <c r="F991" s="83">
        <f>278.484-40-25-60-100</f>
        <v>53.48399999999998</v>
      </c>
      <c r="G991" s="86">
        <v>40</v>
      </c>
      <c r="H991" s="83">
        <f t="shared" si="167"/>
        <v>185</v>
      </c>
      <c r="I991" s="83">
        <f t="shared" si="158"/>
        <v>0</v>
      </c>
      <c r="J991" s="86">
        <v>100</v>
      </c>
      <c r="K991" s="86">
        <v>300</v>
      </c>
      <c r="L991" s="83">
        <f t="shared" si="162"/>
        <v>1274</v>
      </c>
      <c r="M991" s="94">
        <v>600</v>
      </c>
      <c r="N991" s="83">
        <f>30</f>
        <v>30</v>
      </c>
      <c r="O991" s="86">
        <v>240</v>
      </c>
      <c r="P991" s="86">
        <v>40</v>
      </c>
      <c r="Q991" s="86">
        <f t="shared" si="163"/>
        <v>315</v>
      </c>
      <c r="R991" s="86">
        <f t="shared" si="164"/>
        <v>100</v>
      </c>
      <c r="S991" s="83">
        <f t="shared" si="165"/>
        <v>695</v>
      </c>
      <c r="T991" s="83">
        <f>0</f>
        <v>0</v>
      </c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</row>
    <row r="992" spans="1:30" ht="15.75" x14ac:dyDescent="0.25">
      <c r="A992" s="13">
        <v>71132</v>
      </c>
      <c r="B992" s="95">
        <f t="shared" si="166"/>
        <v>30</v>
      </c>
      <c r="C992" s="83">
        <f>194.205</f>
        <v>194.20500000000001</v>
      </c>
      <c r="D992" s="83">
        <f>267.466</f>
        <v>267.46600000000001</v>
      </c>
      <c r="E992" s="92">
        <f>133.845</f>
        <v>133.845</v>
      </c>
      <c r="F992" s="83">
        <f>278.484-40-25-60-100</f>
        <v>53.48399999999998</v>
      </c>
      <c r="G992" s="86">
        <v>40</v>
      </c>
      <c r="H992" s="83">
        <f t="shared" si="167"/>
        <v>185</v>
      </c>
      <c r="I992" s="83">
        <f t="shared" si="158"/>
        <v>0</v>
      </c>
      <c r="J992" s="86">
        <v>100</v>
      </c>
      <c r="K992" s="86">
        <v>300</v>
      </c>
      <c r="L992" s="83">
        <f t="shared" si="162"/>
        <v>1274</v>
      </c>
      <c r="M992" s="94">
        <v>600</v>
      </c>
      <c r="N992" s="83">
        <f>30</f>
        <v>30</v>
      </c>
      <c r="O992" s="86">
        <v>240</v>
      </c>
      <c r="P992" s="86">
        <v>40</v>
      </c>
      <c r="Q992" s="86">
        <f t="shared" si="163"/>
        <v>315</v>
      </c>
      <c r="R992" s="86">
        <f t="shared" si="164"/>
        <v>100</v>
      </c>
      <c r="S992" s="83">
        <f t="shared" si="165"/>
        <v>695</v>
      </c>
      <c r="T992" s="83">
        <f>0</f>
        <v>0</v>
      </c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</row>
    <row r="993" spans="1:30" ht="15.75" x14ac:dyDescent="0.25">
      <c r="A993" s="13">
        <v>71163</v>
      </c>
      <c r="B993" s="95">
        <f t="shared" si="166"/>
        <v>31</v>
      </c>
      <c r="C993" s="83">
        <f>131.881</f>
        <v>131.881</v>
      </c>
      <c r="D993" s="83">
        <f>277.167</f>
        <v>277.16699999999997</v>
      </c>
      <c r="E993" s="92">
        <f>79.08</f>
        <v>79.08</v>
      </c>
      <c r="F993" s="83">
        <f>350.872-40-25-60-100</f>
        <v>125.87200000000001</v>
      </c>
      <c r="G993" s="86">
        <v>40</v>
      </c>
      <c r="H993" s="83">
        <f t="shared" si="167"/>
        <v>185</v>
      </c>
      <c r="I993" s="83">
        <f t="shared" si="158"/>
        <v>0</v>
      </c>
      <c r="J993" s="86">
        <v>100</v>
      </c>
      <c r="K993" s="86">
        <v>300</v>
      </c>
      <c r="L993" s="83">
        <f t="shared" si="162"/>
        <v>1239</v>
      </c>
      <c r="M993" s="94">
        <v>600</v>
      </c>
      <c r="N993" s="83">
        <f>75</f>
        <v>75</v>
      </c>
      <c r="O993" s="86">
        <v>240</v>
      </c>
      <c r="P993" s="86">
        <v>40</v>
      </c>
      <c r="Q993" s="86">
        <f t="shared" si="163"/>
        <v>315</v>
      </c>
      <c r="R993" s="86">
        <f t="shared" si="164"/>
        <v>100</v>
      </c>
      <c r="S993" s="83">
        <f t="shared" si="165"/>
        <v>695</v>
      </c>
      <c r="T993" s="83">
        <f>0</f>
        <v>0</v>
      </c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</row>
    <row r="994" spans="1:30" ht="15.75" x14ac:dyDescent="0.25">
      <c r="A994" s="13">
        <v>71193</v>
      </c>
      <c r="B994" s="95">
        <f t="shared" si="166"/>
        <v>30</v>
      </c>
      <c r="C994" s="83">
        <f>122.58</f>
        <v>122.58</v>
      </c>
      <c r="D994" s="83">
        <f>297.941</f>
        <v>297.94099999999997</v>
      </c>
      <c r="E994" s="92">
        <f>89.177</f>
        <v>89.177000000000007</v>
      </c>
      <c r="F994" s="83">
        <f>240.302-40-60-100</f>
        <v>40.301999999999992</v>
      </c>
      <c r="G994" s="86">
        <v>40</v>
      </c>
      <c r="H994" s="83">
        <f>60+100</f>
        <v>160</v>
      </c>
      <c r="I994" s="83">
        <f t="shared" si="158"/>
        <v>0</v>
      </c>
      <c r="J994" s="86">
        <v>100</v>
      </c>
      <c r="K994" s="86">
        <v>300</v>
      </c>
      <c r="L994" s="83">
        <f t="shared" si="162"/>
        <v>1150</v>
      </c>
      <c r="M994" s="94">
        <v>600</v>
      </c>
      <c r="N994" s="83">
        <f>100</f>
        <v>100</v>
      </c>
      <c r="O994" s="86">
        <v>240</v>
      </c>
      <c r="P994" s="86">
        <v>40</v>
      </c>
      <c r="Q994" s="86">
        <f t="shared" si="163"/>
        <v>315</v>
      </c>
      <c r="R994" s="86">
        <f t="shared" si="164"/>
        <v>100</v>
      </c>
      <c r="S994" s="83">
        <f t="shared" si="165"/>
        <v>695</v>
      </c>
      <c r="T994" s="83">
        <f>50</f>
        <v>50</v>
      </c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</row>
    <row r="995" spans="1:30" ht="15.75" x14ac:dyDescent="0.25">
      <c r="A995" s="13">
        <v>71224</v>
      </c>
      <c r="B995" s="95">
        <f t="shared" si="166"/>
        <v>31</v>
      </c>
      <c r="C995" s="83">
        <f>122.58</f>
        <v>122.58</v>
      </c>
      <c r="D995" s="83">
        <f>297.941</f>
        <v>297.94099999999997</v>
      </c>
      <c r="E995" s="92">
        <f>89.177</f>
        <v>89.177000000000007</v>
      </c>
      <c r="F995" s="83">
        <f>240.302-40-60-100</f>
        <v>40.301999999999992</v>
      </c>
      <c r="G995" s="86">
        <v>40</v>
      </c>
      <c r="H995" s="83">
        <f>60+100</f>
        <v>160</v>
      </c>
      <c r="I995" s="83">
        <f t="shared" si="158"/>
        <v>0</v>
      </c>
      <c r="J995" s="86">
        <v>100</v>
      </c>
      <c r="K995" s="86">
        <v>300</v>
      </c>
      <c r="L995" s="83">
        <f t="shared" si="162"/>
        <v>1150</v>
      </c>
      <c r="M995" s="94">
        <v>600</v>
      </c>
      <c r="N995" s="83">
        <f>100</f>
        <v>100</v>
      </c>
      <c r="O995" s="86">
        <v>240</v>
      </c>
      <c r="P995" s="86">
        <v>40</v>
      </c>
      <c r="Q995" s="86">
        <f t="shared" si="163"/>
        <v>315</v>
      </c>
      <c r="R995" s="86">
        <f t="shared" si="164"/>
        <v>100</v>
      </c>
      <c r="S995" s="83">
        <f t="shared" si="165"/>
        <v>695</v>
      </c>
      <c r="T995" s="83">
        <f>50</f>
        <v>50</v>
      </c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</row>
    <row r="996" spans="1:30" ht="15.75" x14ac:dyDescent="0.25">
      <c r="A996" s="13">
        <v>71255</v>
      </c>
      <c r="B996" s="95">
        <f t="shared" si="166"/>
        <v>31</v>
      </c>
      <c r="C996" s="83">
        <f>122.58</f>
        <v>122.58</v>
      </c>
      <c r="D996" s="83">
        <f>297.941</f>
        <v>297.94099999999997</v>
      </c>
      <c r="E996" s="92">
        <f>89.177</f>
        <v>89.177000000000007</v>
      </c>
      <c r="F996" s="83">
        <f>240.302-40-60-100</f>
        <v>40.301999999999992</v>
      </c>
      <c r="G996" s="86">
        <v>40</v>
      </c>
      <c r="H996" s="83">
        <f>60+100</f>
        <v>160</v>
      </c>
      <c r="I996" s="83">
        <f t="shared" si="158"/>
        <v>0</v>
      </c>
      <c r="J996" s="86">
        <v>100</v>
      </c>
      <c r="K996" s="86">
        <v>300</v>
      </c>
      <c r="L996" s="83">
        <f t="shared" si="162"/>
        <v>1150</v>
      </c>
      <c r="M996" s="94">
        <v>600</v>
      </c>
      <c r="N996" s="83">
        <f>100</f>
        <v>100</v>
      </c>
      <c r="O996" s="86">
        <v>240</v>
      </c>
      <c r="P996" s="86">
        <v>40</v>
      </c>
      <c r="Q996" s="86">
        <f t="shared" si="163"/>
        <v>315</v>
      </c>
      <c r="R996" s="86">
        <f t="shared" si="164"/>
        <v>100</v>
      </c>
      <c r="S996" s="83">
        <f t="shared" si="165"/>
        <v>695</v>
      </c>
      <c r="T996" s="83">
        <f>50</f>
        <v>50</v>
      </c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</row>
    <row r="997" spans="1:30" ht="15.75" x14ac:dyDescent="0.25">
      <c r="A997" s="13">
        <v>71283</v>
      </c>
      <c r="B997" s="95">
        <f t="shared" si="166"/>
        <v>28</v>
      </c>
      <c r="C997" s="83">
        <f>122.58</f>
        <v>122.58</v>
      </c>
      <c r="D997" s="83">
        <f>297.941</f>
        <v>297.94099999999997</v>
      </c>
      <c r="E997" s="92">
        <f>89.177</f>
        <v>89.177000000000007</v>
      </c>
      <c r="F997" s="83">
        <f>240.302-40-60-100</f>
        <v>40.301999999999992</v>
      </c>
      <c r="G997" s="86">
        <v>40</v>
      </c>
      <c r="H997" s="83">
        <f>60+100</f>
        <v>160</v>
      </c>
      <c r="I997" s="83">
        <f t="shared" si="158"/>
        <v>0</v>
      </c>
      <c r="J997" s="86">
        <v>100</v>
      </c>
      <c r="K997" s="86">
        <v>300</v>
      </c>
      <c r="L997" s="83">
        <f t="shared" si="162"/>
        <v>1150</v>
      </c>
      <c r="M997" s="94">
        <v>600</v>
      </c>
      <c r="N997" s="83">
        <f>100</f>
        <v>100</v>
      </c>
      <c r="O997" s="86">
        <v>240</v>
      </c>
      <c r="P997" s="86">
        <v>40</v>
      </c>
      <c r="Q997" s="86">
        <f t="shared" si="163"/>
        <v>315</v>
      </c>
      <c r="R997" s="86">
        <f t="shared" si="164"/>
        <v>100</v>
      </c>
      <c r="S997" s="83">
        <f t="shared" si="165"/>
        <v>695</v>
      </c>
      <c r="T997" s="83">
        <f>50</f>
        <v>50</v>
      </c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</row>
    <row r="998" spans="1:30" ht="15.75" x14ac:dyDescent="0.25">
      <c r="A998" s="13">
        <v>71314</v>
      </c>
      <c r="B998" s="95">
        <f t="shared" si="166"/>
        <v>31</v>
      </c>
      <c r="C998" s="83">
        <f>122.58</f>
        <v>122.58</v>
      </c>
      <c r="D998" s="83">
        <f>297.941</f>
        <v>297.94099999999997</v>
      </c>
      <c r="E998" s="92">
        <f>89.177</f>
        <v>89.177000000000007</v>
      </c>
      <c r="F998" s="83">
        <f>240.302-40-60-100</f>
        <v>40.301999999999992</v>
      </c>
      <c r="G998" s="86">
        <v>40</v>
      </c>
      <c r="H998" s="83">
        <f>60+100</f>
        <v>160</v>
      </c>
      <c r="I998" s="83">
        <f t="shared" si="158"/>
        <v>0</v>
      </c>
      <c r="J998" s="86">
        <v>100</v>
      </c>
      <c r="K998" s="86">
        <v>300</v>
      </c>
      <c r="L998" s="83">
        <f t="shared" si="162"/>
        <v>1150</v>
      </c>
      <c r="M998" s="94">
        <v>600</v>
      </c>
      <c r="N998" s="83">
        <f>100</f>
        <v>100</v>
      </c>
      <c r="O998" s="86">
        <v>240</v>
      </c>
      <c r="P998" s="86">
        <v>40</v>
      </c>
      <c r="Q998" s="86">
        <f t="shared" si="163"/>
        <v>315</v>
      </c>
      <c r="R998" s="86">
        <f t="shared" si="164"/>
        <v>100</v>
      </c>
      <c r="S998" s="83">
        <f t="shared" si="165"/>
        <v>695</v>
      </c>
      <c r="T998" s="83">
        <f>50</f>
        <v>50</v>
      </c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</row>
    <row r="999" spans="1:30" ht="15.75" x14ac:dyDescent="0.25">
      <c r="A999" s="13">
        <v>71344</v>
      </c>
      <c r="B999" s="95">
        <f t="shared" si="166"/>
        <v>30</v>
      </c>
      <c r="C999" s="83">
        <f>141.293</f>
        <v>141.29300000000001</v>
      </c>
      <c r="D999" s="83">
        <f>267.993</f>
        <v>267.99299999999999</v>
      </c>
      <c r="E999" s="92">
        <f>115.016</f>
        <v>115.01600000000001</v>
      </c>
      <c r="F999" s="83">
        <f>314.698-40-25-60-100</f>
        <v>89.697999999999979</v>
      </c>
      <c r="G999" s="86">
        <v>40</v>
      </c>
      <c r="H999" s="83">
        <f t="shared" ref="H999:H1005" si="168">25+60+100</f>
        <v>185</v>
      </c>
      <c r="I999" s="83">
        <f t="shared" si="158"/>
        <v>0</v>
      </c>
      <c r="J999" s="86">
        <v>100</v>
      </c>
      <c r="K999" s="86">
        <v>300</v>
      </c>
      <c r="L999" s="83">
        <f t="shared" si="162"/>
        <v>1239</v>
      </c>
      <c r="M999" s="94">
        <v>600</v>
      </c>
      <c r="N999" s="83">
        <f>100</f>
        <v>100</v>
      </c>
      <c r="O999" s="86">
        <v>240</v>
      </c>
      <c r="P999" s="86">
        <v>40</v>
      </c>
      <c r="Q999" s="86">
        <f t="shared" si="163"/>
        <v>315</v>
      </c>
      <c r="R999" s="86">
        <f t="shared" si="164"/>
        <v>100</v>
      </c>
      <c r="S999" s="83">
        <f t="shared" si="165"/>
        <v>695</v>
      </c>
      <c r="T999" s="83">
        <f>50</f>
        <v>50</v>
      </c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</row>
    <row r="1000" spans="1:30" ht="15.75" x14ac:dyDescent="0.25">
      <c r="A1000" s="13">
        <v>71375</v>
      </c>
      <c r="B1000" s="95">
        <f t="shared" si="166"/>
        <v>31</v>
      </c>
      <c r="C1000" s="83">
        <f>194.205</f>
        <v>194.20500000000001</v>
      </c>
      <c r="D1000" s="83">
        <f>267.466</f>
        <v>267.46600000000001</v>
      </c>
      <c r="E1000" s="92">
        <f>133.845</f>
        <v>133.845</v>
      </c>
      <c r="F1000" s="83">
        <f>278.484-40-25-60-100</f>
        <v>53.48399999999998</v>
      </c>
      <c r="G1000" s="86">
        <v>40</v>
      </c>
      <c r="H1000" s="83">
        <f t="shared" si="168"/>
        <v>185</v>
      </c>
      <c r="I1000" s="83">
        <f t="shared" si="158"/>
        <v>0</v>
      </c>
      <c r="J1000" s="86">
        <v>100</v>
      </c>
      <c r="K1000" s="86">
        <v>300</v>
      </c>
      <c r="L1000" s="83">
        <f t="shared" si="162"/>
        <v>1274</v>
      </c>
      <c r="M1000" s="94">
        <v>600</v>
      </c>
      <c r="N1000" s="83">
        <f>75</f>
        <v>75</v>
      </c>
      <c r="O1000" s="86">
        <v>240</v>
      </c>
      <c r="P1000" s="86">
        <v>40</v>
      </c>
      <c r="Q1000" s="86">
        <f t="shared" si="163"/>
        <v>315</v>
      </c>
      <c r="R1000" s="86">
        <f t="shared" si="164"/>
        <v>100</v>
      </c>
      <c r="S1000" s="83">
        <f t="shared" si="165"/>
        <v>695</v>
      </c>
      <c r="T1000" s="83">
        <f>50</f>
        <v>50</v>
      </c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</row>
    <row r="1001" spans="1:30" ht="15.75" x14ac:dyDescent="0.25">
      <c r="A1001" s="13">
        <v>71405</v>
      </c>
      <c r="B1001" s="95">
        <f t="shared" si="166"/>
        <v>30</v>
      </c>
      <c r="C1001" s="83">
        <f>194.205</f>
        <v>194.20500000000001</v>
      </c>
      <c r="D1001" s="83">
        <f>267.466</f>
        <v>267.46600000000001</v>
      </c>
      <c r="E1001" s="92">
        <f>133.845</f>
        <v>133.845</v>
      </c>
      <c r="F1001" s="83">
        <f>278.484-40-25-60-100</f>
        <v>53.48399999999998</v>
      </c>
      <c r="G1001" s="86">
        <v>40</v>
      </c>
      <c r="H1001" s="83">
        <f t="shared" si="168"/>
        <v>185</v>
      </c>
      <c r="I1001" s="83">
        <f t="shared" si="158"/>
        <v>0</v>
      </c>
      <c r="J1001" s="86">
        <v>100</v>
      </c>
      <c r="K1001" s="86">
        <v>300</v>
      </c>
      <c r="L1001" s="83">
        <f t="shared" si="162"/>
        <v>1274</v>
      </c>
      <c r="M1001" s="94">
        <v>600</v>
      </c>
      <c r="N1001" s="83">
        <f>30</f>
        <v>30</v>
      </c>
      <c r="O1001" s="86">
        <v>240</v>
      </c>
      <c r="P1001" s="86">
        <v>40</v>
      </c>
      <c r="Q1001" s="86">
        <f t="shared" si="163"/>
        <v>315</v>
      </c>
      <c r="R1001" s="86">
        <f t="shared" si="164"/>
        <v>100</v>
      </c>
      <c r="S1001" s="83">
        <f t="shared" si="165"/>
        <v>695</v>
      </c>
      <c r="T1001" s="83">
        <f>50</f>
        <v>50</v>
      </c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</row>
    <row r="1002" spans="1:30" ht="15.75" x14ac:dyDescent="0.25">
      <c r="A1002" s="13">
        <v>71436</v>
      </c>
      <c r="B1002" s="95">
        <f t="shared" si="166"/>
        <v>31</v>
      </c>
      <c r="C1002" s="83">
        <f>194.205</f>
        <v>194.20500000000001</v>
      </c>
      <c r="D1002" s="83">
        <f>267.466</f>
        <v>267.46600000000001</v>
      </c>
      <c r="E1002" s="92">
        <f>133.845</f>
        <v>133.845</v>
      </c>
      <c r="F1002" s="83">
        <f>278.484-40-25-60-100</f>
        <v>53.48399999999998</v>
      </c>
      <c r="G1002" s="86">
        <v>40</v>
      </c>
      <c r="H1002" s="83">
        <f t="shared" si="168"/>
        <v>185</v>
      </c>
      <c r="I1002" s="83">
        <f t="shared" si="158"/>
        <v>0</v>
      </c>
      <c r="J1002" s="86">
        <v>100</v>
      </c>
      <c r="K1002" s="86">
        <v>300</v>
      </c>
      <c r="L1002" s="83">
        <f t="shared" si="162"/>
        <v>1274</v>
      </c>
      <c r="M1002" s="94">
        <v>600</v>
      </c>
      <c r="N1002" s="83">
        <f>30</f>
        <v>30</v>
      </c>
      <c r="O1002" s="86">
        <v>240</v>
      </c>
      <c r="P1002" s="86">
        <v>40</v>
      </c>
      <c r="Q1002" s="86">
        <f t="shared" si="163"/>
        <v>315</v>
      </c>
      <c r="R1002" s="86">
        <f t="shared" si="164"/>
        <v>100</v>
      </c>
      <c r="S1002" s="83">
        <f t="shared" si="165"/>
        <v>695</v>
      </c>
      <c r="T1002" s="83">
        <f>0</f>
        <v>0</v>
      </c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</row>
    <row r="1003" spans="1:30" ht="15.75" x14ac:dyDescent="0.25">
      <c r="A1003" s="13">
        <v>71467</v>
      </c>
      <c r="B1003" s="95">
        <f t="shared" si="166"/>
        <v>31</v>
      </c>
      <c r="C1003" s="83">
        <f>194.205</f>
        <v>194.20500000000001</v>
      </c>
      <c r="D1003" s="83">
        <f>267.466</f>
        <v>267.46600000000001</v>
      </c>
      <c r="E1003" s="92">
        <f>133.845</f>
        <v>133.845</v>
      </c>
      <c r="F1003" s="83">
        <f>278.484-40-25-60-100</f>
        <v>53.48399999999998</v>
      </c>
      <c r="G1003" s="86">
        <v>40</v>
      </c>
      <c r="H1003" s="83">
        <f t="shared" si="168"/>
        <v>185</v>
      </c>
      <c r="I1003" s="83">
        <f t="shared" si="158"/>
        <v>0</v>
      </c>
      <c r="J1003" s="86">
        <v>100</v>
      </c>
      <c r="K1003" s="86">
        <v>300</v>
      </c>
      <c r="L1003" s="83">
        <f t="shared" si="162"/>
        <v>1274</v>
      </c>
      <c r="M1003" s="94">
        <v>600</v>
      </c>
      <c r="N1003" s="83">
        <f>30</f>
        <v>30</v>
      </c>
      <c r="O1003" s="86">
        <v>240</v>
      </c>
      <c r="P1003" s="86">
        <v>40</v>
      </c>
      <c r="Q1003" s="86">
        <f t="shared" si="163"/>
        <v>315</v>
      </c>
      <c r="R1003" s="86">
        <f t="shared" si="164"/>
        <v>100</v>
      </c>
      <c r="S1003" s="83">
        <f t="shared" si="165"/>
        <v>695</v>
      </c>
      <c r="T1003" s="83">
        <f>0</f>
        <v>0</v>
      </c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</row>
    <row r="1004" spans="1:30" ht="15.75" x14ac:dyDescent="0.25">
      <c r="A1004" s="13">
        <v>71497</v>
      </c>
      <c r="B1004" s="95">
        <f t="shared" si="166"/>
        <v>30</v>
      </c>
      <c r="C1004" s="83">
        <f>194.205</f>
        <v>194.20500000000001</v>
      </c>
      <c r="D1004" s="83">
        <f>267.466</f>
        <v>267.46600000000001</v>
      </c>
      <c r="E1004" s="92">
        <f>133.845</f>
        <v>133.845</v>
      </c>
      <c r="F1004" s="83">
        <f>278.484-40-25-60-100</f>
        <v>53.48399999999998</v>
      </c>
      <c r="G1004" s="86">
        <v>40</v>
      </c>
      <c r="H1004" s="83">
        <f t="shared" si="168"/>
        <v>185</v>
      </c>
      <c r="I1004" s="83">
        <f t="shared" si="158"/>
        <v>0</v>
      </c>
      <c r="J1004" s="86">
        <v>100</v>
      </c>
      <c r="K1004" s="86">
        <v>300</v>
      </c>
      <c r="L1004" s="83">
        <f t="shared" si="162"/>
        <v>1274</v>
      </c>
      <c r="M1004" s="94">
        <v>600</v>
      </c>
      <c r="N1004" s="83">
        <f>30</f>
        <v>30</v>
      </c>
      <c r="O1004" s="86">
        <v>240</v>
      </c>
      <c r="P1004" s="86">
        <v>40</v>
      </c>
      <c r="Q1004" s="86">
        <f t="shared" si="163"/>
        <v>315</v>
      </c>
      <c r="R1004" s="86">
        <f t="shared" si="164"/>
        <v>100</v>
      </c>
      <c r="S1004" s="83">
        <f t="shared" si="165"/>
        <v>695</v>
      </c>
      <c r="T1004" s="83">
        <f>0</f>
        <v>0</v>
      </c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</row>
    <row r="1005" spans="1:30" ht="15.75" x14ac:dyDescent="0.25">
      <c r="A1005" s="13">
        <v>71528</v>
      </c>
      <c r="B1005" s="95">
        <f t="shared" si="166"/>
        <v>31</v>
      </c>
      <c r="C1005" s="83">
        <f>131.881</f>
        <v>131.881</v>
      </c>
      <c r="D1005" s="83">
        <f>277.167</f>
        <v>277.16699999999997</v>
      </c>
      <c r="E1005" s="92">
        <f>79.08</f>
        <v>79.08</v>
      </c>
      <c r="F1005" s="83">
        <f>350.872-40-25-60-100</f>
        <v>125.87200000000001</v>
      </c>
      <c r="G1005" s="86">
        <v>40</v>
      </c>
      <c r="H1005" s="83">
        <f t="shared" si="168"/>
        <v>185</v>
      </c>
      <c r="I1005" s="83">
        <f t="shared" si="158"/>
        <v>0</v>
      </c>
      <c r="J1005" s="86">
        <v>100</v>
      </c>
      <c r="K1005" s="86">
        <v>300</v>
      </c>
      <c r="L1005" s="83">
        <f t="shared" si="162"/>
        <v>1239</v>
      </c>
      <c r="M1005" s="94">
        <v>600</v>
      </c>
      <c r="N1005" s="83">
        <f>75</f>
        <v>75</v>
      </c>
      <c r="O1005" s="86">
        <v>240</v>
      </c>
      <c r="P1005" s="86">
        <v>40</v>
      </c>
      <c r="Q1005" s="86">
        <f t="shared" si="163"/>
        <v>315</v>
      </c>
      <c r="R1005" s="86">
        <f t="shared" si="164"/>
        <v>100</v>
      </c>
      <c r="S1005" s="83">
        <f t="shared" si="165"/>
        <v>695</v>
      </c>
      <c r="T1005" s="83">
        <f>0</f>
        <v>0</v>
      </c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</row>
    <row r="1006" spans="1:30" ht="15.75" x14ac:dyDescent="0.25">
      <c r="A1006" s="13">
        <v>71558</v>
      </c>
      <c r="B1006" s="95">
        <f t="shared" si="166"/>
        <v>30</v>
      </c>
      <c r="C1006" s="83">
        <f>122.58</f>
        <v>122.58</v>
      </c>
      <c r="D1006" s="83">
        <f>297.941</f>
        <v>297.94099999999997</v>
      </c>
      <c r="E1006" s="92">
        <f>89.177</f>
        <v>89.177000000000007</v>
      </c>
      <c r="F1006" s="83">
        <f>240.302-40-60-100</f>
        <v>40.301999999999992</v>
      </c>
      <c r="G1006" s="86">
        <v>40</v>
      </c>
      <c r="H1006" s="83">
        <f>60+100</f>
        <v>160</v>
      </c>
      <c r="I1006" s="83">
        <f t="shared" si="158"/>
        <v>0</v>
      </c>
      <c r="J1006" s="86">
        <v>100</v>
      </c>
      <c r="K1006" s="86">
        <v>300</v>
      </c>
      <c r="L1006" s="83">
        <f t="shared" si="162"/>
        <v>1150</v>
      </c>
      <c r="M1006" s="94">
        <v>600</v>
      </c>
      <c r="N1006" s="83">
        <f>100</f>
        <v>100</v>
      </c>
      <c r="O1006" s="86">
        <v>240</v>
      </c>
      <c r="P1006" s="86">
        <v>40</v>
      </c>
      <c r="Q1006" s="86">
        <f t="shared" si="163"/>
        <v>315</v>
      </c>
      <c r="R1006" s="86">
        <f t="shared" si="164"/>
        <v>100</v>
      </c>
      <c r="S1006" s="83">
        <f t="shared" si="165"/>
        <v>695</v>
      </c>
      <c r="T1006" s="83">
        <f>50</f>
        <v>50</v>
      </c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</row>
    <row r="1007" spans="1:30" ht="15.75" x14ac:dyDescent="0.25">
      <c r="A1007" s="13">
        <v>71589</v>
      </c>
      <c r="B1007" s="95">
        <f t="shared" si="166"/>
        <v>31</v>
      </c>
      <c r="C1007" s="83">
        <f>122.58</f>
        <v>122.58</v>
      </c>
      <c r="D1007" s="83">
        <f>297.941</f>
        <v>297.94099999999997</v>
      </c>
      <c r="E1007" s="92">
        <f>89.177</f>
        <v>89.177000000000007</v>
      </c>
      <c r="F1007" s="83">
        <f>240.302-40-60-100</f>
        <v>40.301999999999992</v>
      </c>
      <c r="G1007" s="86">
        <v>40</v>
      </c>
      <c r="H1007" s="83">
        <f>60+100</f>
        <v>160</v>
      </c>
      <c r="I1007" s="83">
        <f t="shared" si="158"/>
        <v>0</v>
      </c>
      <c r="J1007" s="86">
        <v>100</v>
      </c>
      <c r="K1007" s="86">
        <v>300</v>
      </c>
      <c r="L1007" s="83">
        <f t="shared" si="162"/>
        <v>1150</v>
      </c>
      <c r="M1007" s="94">
        <v>600</v>
      </c>
      <c r="N1007" s="83">
        <f>100</f>
        <v>100</v>
      </c>
      <c r="O1007" s="86">
        <v>240</v>
      </c>
      <c r="P1007" s="86">
        <v>40</v>
      </c>
      <c r="Q1007" s="86">
        <f t="shared" si="163"/>
        <v>315</v>
      </c>
      <c r="R1007" s="86">
        <f t="shared" si="164"/>
        <v>100</v>
      </c>
      <c r="S1007" s="83">
        <f t="shared" si="165"/>
        <v>695</v>
      </c>
      <c r="T1007" s="83">
        <f>50</f>
        <v>50</v>
      </c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</row>
    <row r="1008" spans="1:30" ht="15.75" x14ac:dyDescent="0.25">
      <c r="A1008" s="13">
        <v>71620</v>
      </c>
      <c r="B1008" s="95">
        <f t="shared" si="166"/>
        <v>31</v>
      </c>
      <c r="C1008" s="83">
        <f>122.58</f>
        <v>122.58</v>
      </c>
      <c r="D1008" s="83">
        <f>297.941</f>
        <v>297.94099999999997</v>
      </c>
      <c r="E1008" s="92">
        <f>89.177</f>
        <v>89.177000000000007</v>
      </c>
      <c r="F1008" s="83">
        <f>240.302-40-60-100</f>
        <v>40.301999999999992</v>
      </c>
      <c r="G1008" s="86">
        <v>40</v>
      </c>
      <c r="H1008" s="83">
        <f>60+100</f>
        <v>160</v>
      </c>
      <c r="I1008" s="83">
        <f t="shared" si="158"/>
        <v>0</v>
      </c>
      <c r="J1008" s="86">
        <v>100</v>
      </c>
      <c r="K1008" s="86">
        <v>300</v>
      </c>
      <c r="L1008" s="83">
        <f t="shared" si="162"/>
        <v>1150</v>
      </c>
      <c r="M1008" s="94">
        <v>600</v>
      </c>
      <c r="N1008" s="83">
        <f>100</f>
        <v>100</v>
      </c>
      <c r="O1008" s="86">
        <v>240</v>
      </c>
      <c r="P1008" s="86">
        <v>40</v>
      </c>
      <c r="Q1008" s="86">
        <f t="shared" si="163"/>
        <v>315</v>
      </c>
      <c r="R1008" s="86">
        <f t="shared" si="164"/>
        <v>100</v>
      </c>
      <c r="S1008" s="83">
        <f t="shared" si="165"/>
        <v>695</v>
      </c>
      <c r="T1008" s="83">
        <f>50</f>
        <v>50</v>
      </c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</row>
    <row r="1009" spans="1:30" ht="15.75" x14ac:dyDescent="0.25">
      <c r="A1009" s="13">
        <v>71649</v>
      </c>
      <c r="B1009" s="95">
        <f t="shared" si="166"/>
        <v>29</v>
      </c>
      <c r="C1009" s="83">
        <f>122.58</f>
        <v>122.58</v>
      </c>
      <c r="D1009" s="83">
        <f>297.941</f>
        <v>297.94099999999997</v>
      </c>
      <c r="E1009" s="92">
        <f>89.177</f>
        <v>89.177000000000007</v>
      </c>
      <c r="F1009" s="83">
        <f>240.302-40-60-100</f>
        <v>40.301999999999992</v>
      </c>
      <c r="G1009" s="86">
        <v>40</v>
      </c>
      <c r="H1009" s="83">
        <f>60+100</f>
        <v>160</v>
      </c>
      <c r="I1009" s="83">
        <f t="shared" si="158"/>
        <v>0</v>
      </c>
      <c r="J1009" s="86">
        <v>100</v>
      </c>
      <c r="K1009" s="86">
        <v>300</v>
      </c>
      <c r="L1009" s="83">
        <f t="shared" si="162"/>
        <v>1150</v>
      </c>
      <c r="M1009" s="94">
        <v>600</v>
      </c>
      <c r="N1009" s="83">
        <f>100</f>
        <v>100</v>
      </c>
      <c r="O1009" s="86">
        <v>240</v>
      </c>
      <c r="P1009" s="86">
        <v>40</v>
      </c>
      <c r="Q1009" s="86">
        <f t="shared" si="163"/>
        <v>315</v>
      </c>
      <c r="R1009" s="86">
        <f t="shared" si="164"/>
        <v>100</v>
      </c>
      <c r="S1009" s="83">
        <f t="shared" si="165"/>
        <v>695</v>
      </c>
      <c r="T1009" s="83">
        <f>50</f>
        <v>50</v>
      </c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</row>
    <row r="1010" spans="1:30" ht="15.75" x14ac:dyDescent="0.25">
      <c r="A1010" s="13">
        <v>71680</v>
      </c>
      <c r="B1010" s="95">
        <f t="shared" si="166"/>
        <v>31</v>
      </c>
      <c r="C1010" s="83">
        <f>122.58</f>
        <v>122.58</v>
      </c>
      <c r="D1010" s="83">
        <f>297.941</f>
        <v>297.94099999999997</v>
      </c>
      <c r="E1010" s="92">
        <f>89.177</f>
        <v>89.177000000000007</v>
      </c>
      <c r="F1010" s="83">
        <f>240.302-40-60-100</f>
        <v>40.301999999999992</v>
      </c>
      <c r="G1010" s="86">
        <v>40</v>
      </c>
      <c r="H1010" s="83">
        <f>60+100</f>
        <v>160</v>
      </c>
      <c r="I1010" s="83">
        <f t="shared" si="158"/>
        <v>0</v>
      </c>
      <c r="J1010" s="86">
        <v>100</v>
      </c>
      <c r="K1010" s="86">
        <v>300</v>
      </c>
      <c r="L1010" s="83">
        <f t="shared" si="162"/>
        <v>1150</v>
      </c>
      <c r="M1010" s="94">
        <v>600</v>
      </c>
      <c r="N1010" s="83">
        <f>100</f>
        <v>100</v>
      </c>
      <c r="O1010" s="86">
        <v>240</v>
      </c>
      <c r="P1010" s="86">
        <v>40</v>
      </c>
      <c r="Q1010" s="86">
        <f t="shared" si="163"/>
        <v>315</v>
      </c>
      <c r="R1010" s="86">
        <f t="shared" si="164"/>
        <v>100</v>
      </c>
      <c r="S1010" s="83">
        <f t="shared" si="165"/>
        <v>695</v>
      </c>
      <c r="T1010" s="83">
        <f>50</f>
        <v>50</v>
      </c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</row>
    <row r="1011" spans="1:30" ht="15.75" x14ac:dyDescent="0.25">
      <c r="A1011" s="13">
        <v>71710</v>
      </c>
      <c r="B1011" s="95">
        <f t="shared" si="166"/>
        <v>30</v>
      </c>
      <c r="C1011" s="83">
        <f>141.293</f>
        <v>141.29300000000001</v>
      </c>
      <c r="D1011" s="83">
        <f>267.993</f>
        <v>267.99299999999999</v>
      </c>
      <c r="E1011" s="92">
        <f>115.016</f>
        <v>115.01600000000001</v>
      </c>
      <c r="F1011" s="83">
        <f>314.698-40-25-60-100</f>
        <v>89.697999999999979</v>
      </c>
      <c r="G1011" s="86">
        <v>40</v>
      </c>
      <c r="H1011" s="83">
        <f t="shared" ref="H1011:H1017" si="169">25+60+100</f>
        <v>185</v>
      </c>
      <c r="I1011" s="83">
        <f t="shared" si="158"/>
        <v>0</v>
      </c>
      <c r="J1011" s="86">
        <v>100</v>
      </c>
      <c r="K1011" s="86">
        <v>300</v>
      </c>
      <c r="L1011" s="83">
        <f t="shared" si="162"/>
        <v>1239</v>
      </c>
      <c r="M1011" s="94">
        <v>600</v>
      </c>
      <c r="N1011" s="83">
        <f>100</f>
        <v>100</v>
      </c>
      <c r="O1011" s="86">
        <v>240</v>
      </c>
      <c r="P1011" s="86">
        <v>40</v>
      </c>
      <c r="Q1011" s="86">
        <f t="shared" si="163"/>
        <v>315</v>
      </c>
      <c r="R1011" s="86">
        <f t="shared" si="164"/>
        <v>100</v>
      </c>
      <c r="S1011" s="83">
        <f t="shared" si="165"/>
        <v>695</v>
      </c>
      <c r="T1011" s="83">
        <f>50</f>
        <v>50</v>
      </c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</row>
    <row r="1012" spans="1:30" ht="15.75" x14ac:dyDescent="0.25">
      <c r="A1012" s="13">
        <v>71741</v>
      </c>
      <c r="B1012" s="95">
        <f t="shared" si="166"/>
        <v>31</v>
      </c>
      <c r="C1012" s="83">
        <f>194.205</f>
        <v>194.20500000000001</v>
      </c>
      <c r="D1012" s="83">
        <f>267.466</f>
        <v>267.46600000000001</v>
      </c>
      <c r="E1012" s="92">
        <f>133.845</f>
        <v>133.845</v>
      </c>
      <c r="F1012" s="83">
        <f>278.484-40-25-60-100</f>
        <v>53.48399999999998</v>
      </c>
      <c r="G1012" s="86">
        <v>40</v>
      </c>
      <c r="H1012" s="83">
        <f t="shared" si="169"/>
        <v>185</v>
      </c>
      <c r="I1012" s="83">
        <f t="shared" ref="I1012:I1067" si="170">400-J1012-K1012</f>
        <v>0</v>
      </c>
      <c r="J1012" s="86">
        <v>100</v>
      </c>
      <c r="K1012" s="86">
        <v>300</v>
      </c>
      <c r="L1012" s="83">
        <f t="shared" si="162"/>
        <v>1274</v>
      </c>
      <c r="M1012" s="94">
        <v>600</v>
      </c>
      <c r="N1012" s="83">
        <f>75</f>
        <v>75</v>
      </c>
      <c r="O1012" s="86">
        <v>240</v>
      </c>
      <c r="P1012" s="86">
        <v>40</v>
      </c>
      <c r="Q1012" s="86">
        <f t="shared" si="163"/>
        <v>315</v>
      </c>
      <c r="R1012" s="86">
        <f t="shared" si="164"/>
        <v>100</v>
      </c>
      <c r="S1012" s="83">
        <f t="shared" si="165"/>
        <v>695</v>
      </c>
      <c r="T1012" s="83">
        <f>50</f>
        <v>50</v>
      </c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</row>
    <row r="1013" spans="1:30" ht="15.75" x14ac:dyDescent="0.25">
      <c r="A1013" s="13">
        <v>71771</v>
      </c>
      <c r="B1013" s="95">
        <f t="shared" si="166"/>
        <v>30</v>
      </c>
      <c r="C1013" s="83">
        <f>194.205</f>
        <v>194.20500000000001</v>
      </c>
      <c r="D1013" s="83">
        <f>267.466</f>
        <v>267.46600000000001</v>
      </c>
      <c r="E1013" s="92">
        <f>133.845</f>
        <v>133.845</v>
      </c>
      <c r="F1013" s="83">
        <f>278.484-40-25-60-100</f>
        <v>53.48399999999998</v>
      </c>
      <c r="G1013" s="86">
        <v>40</v>
      </c>
      <c r="H1013" s="83">
        <f t="shared" si="169"/>
        <v>185</v>
      </c>
      <c r="I1013" s="83">
        <f t="shared" si="170"/>
        <v>0</v>
      </c>
      <c r="J1013" s="86">
        <v>100</v>
      </c>
      <c r="K1013" s="86">
        <v>300</v>
      </c>
      <c r="L1013" s="83">
        <f t="shared" si="162"/>
        <v>1274</v>
      </c>
      <c r="M1013" s="94">
        <v>600</v>
      </c>
      <c r="N1013" s="83">
        <f>30</f>
        <v>30</v>
      </c>
      <c r="O1013" s="86">
        <v>240</v>
      </c>
      <c r="P1013" s="86">
        <v>40</v>
      </c>
      <c r="Q1013" s="86">
        <f t="shared" si="163"/>
        <v>315</v>
      </c>
      <c r="R1013" s="86">
        <f t="shared" si="164"/>
        <v>100</v>
      </c>
      <c r="S1013" s="83">
        <f t="shared" si="165"/>
        <v>695</v>
      </c>
      <c r="T1013" s="83">
        <f>50</f>
        <v>50</v>
      </c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</row>
    <row r="1014" spans="1:30" ht="15.75" x14ac:dyDescent="0.25">
      <c r="A1014" s="13">
        <v>71802</v>
      </c>
      <c r="B1014" s="95">
        <f t="shared" si="166"/>
        <v>31</v>
      </c>
      <c r="C1014" s="83">
        <f>194.205</f>
        <v>194.20500000000001</v>
      </c>
      <c r="D1014" s="83">
        <f>267.466</f>
        <v>267.46600000000001</v>
      </c>
      <c r="E1014" s="92">
        <f>133.845</f>
        <v>133.845</v>
      </c>
      <c r="F1014" s="83">
        <f>278.484-40-25-60-100</f>
        <v>53.48399999999998</v>
      </c>
      <c r="G1014" s="86">
        <v>40</v>
      </c>
      <c r="H1014" s="83">
        <f t="shared" si="169"/>
        <v>185</v>
      </c>
      <c r="I1014" s="83">
        <f t="shared" si="170"/>
        <v>0</v>
      </c>
      <c r="J1014" s="86">
        <v>100</v>
      </c>
      <c r="K1014" s="86">
        <v>300</v>
      </c>
      <c r="L1014" s="83">
        <f t="shared" si="162"/>
        <v>1274</v>
      </c>
      <c r="M1014" s="94">
        <v>600</v>
      </c>
      <c r="N1014" s="83">
        <f>30</f>
        <v>30</v>
      </c>
      <c r="O1014" s="86">
        <v>240</v>
      </c>
      <c r="P1014" s="86">
        <v>40</v>
      </c>
      <c r="Q1014" s="86">
        <f t="shared" si="163"/>
        <v>315</v>
      </c>
      <c r="R1014" s="86">
        <f t="shared" si="164"/>
        <v>100</v>
      </c>
      <c r="S1014" s="83">
        <f t="shared" si="165"/>
        <v>695</v>
      </c>
      <c r="T1014" s="83">
        <f>0</f>
        <v>0</v>
      </c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</row>
    <row r="1015" spans="1:30" ht="15.75" x14ac:dyDescent="0.25">
      <c r="A1015" s="13">
        <v>71833</v>
      </c>
      <c r="B1015" s="95">
        <f t="shared" si="166"/>
        <v>31</v>
      </c>
      <c r="C1015" s="83">
        <f>194.205</f>
        <v>194.20500000000001</v>
      </c>
      <c r="D1015" s="83">
        <f>267.466</f>
        <v>267.46600000000001</v>
      </c>
      <c r="E1015" s="92">
        <f>133.845</f>
        <v>133.845</v>
      </c>
      <c r="F1015" s="83">
        <f>278.484-40-25-60-100</f>
        <v>53.48399999999998</v>
      </c>
      <c r="G1015" s="86">
        <v>40</v>
      </c>
      <c r="H1015" s="83">
        <f t="shared" si="169"/>
        <v>185</v>
      </c>
      <c r="I1015" s="83">
        <f t="shared" si="170"/>
        <v>0</v>
      </c>
      <c r="J1015" s="86">
        <v>100</v>
      </c>
      <c r="K1015" s="86">
        <v>300</v>
      </c>
      <c r="L1015" s="83">
        <f t="shared" si="162"/>
        <v>1274</v>
      </c>
      <c r="M1015" s="94">
        <v>600</v>
      </c>
      <c r="N1015" s="83">
        <f>30</f>
        <v>30</v>
      </c>
      <c r="O1015" s="86">
        <v>240</v>
      </c>
      <c r="P1015" s="86">
        <v>40</v>
      </c>
      <c r="Q1015" s="86">
        <f t="shared" si="163"/>
        <v>315</v>
      </c>
      <c r="R1015" s="86">
        <f t="shared" si="164"/>
        <v>100</v>
      </c>
      <c r="S1015" s="83">
        <f t="shared" si="165"/>
        <v>695</v>
      </c>
      <c r="T1015" s="83">
        <f>0</f>
        <v>0</v>
      </c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</row>
    <row r="1016" spans="1:30" ht="15.75" x14ac:dyDescent="0.25">
      <c r="A1016" s="13">
        <v>71863</v>
      </c>
      <c r="B1016" s="95">
        <f t="shared" si="166"/>
        <v>30</v>
      </c>
      <c r="C1016" s="83">
        <f>194.205</f>
        <v>194.20500000000001</v>
      </c>
      <c r="D1016" s="83">
        <f>267.466</f>
        <v>267.46600000000001</v>
      </c>
      <c r="E1016" s="92">
        <f>133.845</f>
        <v>133.845</v>
      </c>
      <c r="F1016" s="83">
        <f>278.484-40-25-60-100</f>
        <v>53.48399999999998</v>
      </c>
      <c r="G1016" s="86">
        <v>40</v>
      </c>
      <c r="H1016" s="83">
        <f t="shared" si="169"/>
        <v>185</v>
      </c>
      <c r="I1016" s="83">
        <f t="shared" si="170"/>
        <v>0</v>
      </c>
      <c r="J1016" s="86">
        <v>100</v>
      </c>
      <c r="K1016" s="86">
        <v>300</v>
      </c>
      <c r="L1016" s="83">
        <f t="shared" si="162"/>
        <v>1274</v>
      </c>
      <c r="M1016" s="94">
        <v>600</v>
      </c>
      <c r="N1016" s="83">
        <f>30</f>
        <v>30</v>
      </c>
      <c r="O1016" s="86">
        <v>240</v>
      </c>
      <c r="P1016" s="86">
        <v>40</v>
      </c>
      <c r="Q1016" s="86">
        <f t="shared" si="163"/>
        <v>315</v>
      </c>
      <c r="R1016" s="86">
        <f t="shared" si="164"/>
        <v>100</v>
      </c>
      <c r="S1016" s="83">
        <f t="shared" si="165"/>
        <v>695</v>
      </c>
      <c r="T1016" s="83">
        <f>0</f>
        <v>0</v>
      </c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</row>
    <row r="1017" spans="1:30" ht="15.75" x14ac:dyDescent="0.25">
      <c r="A1017" s="13">
        <v>71894</v>
      </c>
      <c r="B1017" s="95">
        <f t="shared" si="166"/>
        <v>31</v>
      </c>
      <c r="C1017" s="83">
        <f>131.881</f>
        <v>131.881</v>
      </c>
      <c r="D1017" s="83">
        <f>277.167</f>
        <v>277.16699999999997</v>
      </c>
      <c r="E1017" s="92">
        <f>79.08</f>
        <v>79.08</v>
      </c>
      <c r="F1017" s="83">
        <f>350.872-40-25-60-100</f>
        <v>125.87200000000001</v>
      </c>
      <c r="G1017" s="86">
        <v>40</v>
      </c>
      <c r="H1017" s="83">
        <f t="shared" si="169"/>
        <v>185</v>
      </c>
      <c r="I1017" s="83">
        <f t="shared" si="170"/>
        <v>0</v>
      </c>
      <c r="J1017" s="86">
        <v>100</v>
      </c>
      <c r="K1017" s="86">
        <v>300</v>
      </c>
      <c r="L1017" s="83">
        <f t="shared" si="162"/>
        <v>1239</v>
      </c>
      <c r="M1017" s="94">
        <v>600</v>
      </c>
      <c r="N1017" s="83">
        <f>75</f>
        <v>75</v>
      </c>
      <c r="O1017" s="86">
        <v>240</v>
      </c>
      <c r="P1017" s="86">
        <v>40</v>
      </c>
      <c r="Q1017" s="86">
        <f t="shared" si="163"/>
        <v>315</v>
      </c>
      <c r="R1017" s="86">
        <f t="shared" si="164"/>
        <v>100</v>
      </c>
      <c r="S1017" s="83">
        <f t="shared" si="165"/>
        <v>695</v>
      </c>
      <c r="T1017" s="83">
        <f>0</f>
        <v>0</v>
      </c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</row>
    <row r="1018" spans="1:30" ht="15.75" x14ac:dyDescent="0.25">
      <c r="A1018" s="13">
        <v>71924</v>
      </c>
      <c r="B1018" s="95">
        <f t="shared" si="166"/>
        <v>30</v>
      </c>
      <c r="C1018" s="83">
        <f>122.58</f>
        <v>122.58</v>
      </c>
      <c r="D1018" s="83">
        <f>297.941</f>
        <v>297.94099999999997</v>
      </c>
      <c r="E1018" s="92">
        <f>89.177</f>
        <v>89.177000000000007</v>
      </c>
      <c r="F1018" s="83">
        <f>240.302-40-60-100</f>
        <v>40.301999999999992</v>
      </c>
      <c r="G1018" s="86">
        <v>40</v>
      </c>
      <c r="H1018" s="83">
        <f>60+100</f>
        <v>160</v>
      </c>
      <c r="I1018" s="83">
        <f t="shared" si="170"/>
        <v>0</v>
      </c>
      <c r="J1018" s="86">
        <v>100</v>
      </c>
      <c r="K1018" s="86">
        <v>300</v>
      </c>
      <c r="L1018" s="83">
        <f t="shared" si="162"/>
        <v>1150</v>
      </c>
      <c r="M1018" s="94">
        <v>600</v>
      </c>
      <c r="N1018" s="83">
        <f>100</f>
        <v>100</v>
      </c>
      <c r="O1018" s="86">
        <v>240</v>
      </c>
      <c r="P1018" s="86">
        <v>40</v>
      </c>
      <c r="Q1018" s="86">
        <f t="shared" si="163"/>
        <v>315</v>
      </c>
      <c r="R1018" s="86">
        <f t="shared" si="164"/>
        <v>100</v>
      </c>
      <c r="S1018" s="83">
        <f t="shared" si="165"/>
        <v>695</v>
      </c>
      <c r="T1018" s="83">
        <f>50</f>
        <v>50</v>
      </c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</row>
    <row r="1019" spans="1:30" ht="15.75" x14ac:dyDescent="0.25">
      <c r="A1019" s="13">
        <v>71955</v>
      </c>
      <c r="B1019" s="95">
        <f t="shared" si="166"/>
        <v>31</v>
      </c>
      <c r="C1019" s="83">
        <f>122.58</f>
        <v>122.58</v>
      </c>
      <c r="D1019" s="83">
        <f>297.941</f>
        <v>297.94099999999997</v>
      </c>
      <c r="E1019" s="92">
        <f>89.177</f>
        <v>89.177000000000007</v>
      </c>
      <c r="F1019" s="83">
        <f>240.302-40-60-100</f>
        <v>40.301999999999992</v>
      </c>
      <c r="G1019" s="86">
        <v>40</v>
      </c>
      <c r="H1019" s="83">
        <f>60+100</f>
        <v>160</v>
      </c>
      <c r="I1019" s="83">
        <f t="shared" si="170"/>
        <v>0</v>
      </c>
      <c r="J1019" s="86">
        <v>100</v>
      </c>
      <c r="K1019" s="86">
        <v>300</v>
      </c>
      <c r="L1019" s="83">
        <f t="shared" si="162"/>
        <v>1150</v>
      </c>
      <c r="M1019" s="94">
        <v>600</v>
      </c>
      <c r="N1019" s="83">
        <f>100</f>
        <v>100</v>
      </c>
      <c r="O1019" s="86">
        <v>240</v>
      </c>
      <c r="P1019" s="86">
        <v>40</v>
      </c>
      <c r="Q1019" s="86">
        <f t="shared" si="163"/>
        <v>315</v>
      </c>
      <c r="R1019" s="86">
        <f t="shared" si="164"/>
        <v>100</v>
      </c>
      <c r="S1019" s="83">
        <f t="shared" si="165"/>
        <v>695</v>
      </c>
      <c r="T1019" s="83">
        <f>50</f>
        <v>50</v>
      </c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</row>
    <row r="1020" spans="1:30" ht="15.75" x14ac:dyDescent="0.25">
      <c r="A1020" s="13">
        <v>71986</v>
      </c>
      <c r="B1020" s="95">
        <f t="shared" si="166"/>
        <v>31</v>
      </c>
      <c r="C1020" s="83">
        <f>122.58</f>
        <v>122.58</v>
      </c>
      <c r="D1020" s="83">
        <f>297.941</f>
        <v>297.94099999999997</v>
      </c>
      <c r="E1020" s="92">
        <f>89.177</f>
        <v>89.177000000000007</v>
      </c>
      <c r="F1020" s="83">
        <f>240.302-40-60-100</f>
        <v>40.301999999999992</v>
      </c>
      <c r="G1020" s="86">
        <v>40</v>
      </c>
      <c r="H1020" s="83">
        <f>60+100</f>
        <v>160</v>
      </c>
      <c r="I1020" s="83">
        <f t="shared" si="170"/>
        <v>0</v>
      </c>
      <c r="J1020" s="86">
        <v>100</v>
      </c>
      <c r="K1020" s="86">
        <v>300</v>
      </c>
      <c r="L1020" s="83">
        <f t="shared" si="162"/>
        <v>1150</v>
      </c>
      <c r="M1020" s="94">
        <v>600</v>
      </c>
      <c r="N1020" s="83">
        <f>100</f>
        <v>100</v>
      </c>
      <c r="O1020" s="86">
        <v>240</v>
      </c>
      <c r="P1020" s="86">
        <v>40</v>
      </c>
      <c r="Q1020" s="86">
        <f t="shared" si="163"/>
        <v>315</v>
      </c>
      <c r="R1020" s="86">
        <f t="shared" si="164"/>
        <v>100</v>
      </c>
      <c r="S1020" s="83">
        <f t="shared" si="165"/>
        <v>695</v>
      </c>
      <c r="T1020" s="83">
        <f>50</f>
        <v>50</v>
      </c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</row>
    <row r="1021" spans="1:30" ht="15.75" x14ac:dyDescent="0.25">
      <c r="A1021" s="13">
        <v>72014</v>
      </c>
      <c r="B1021" s="95">
        <f t="shared" si="166"/>
        <v>28</v>
      </c>
      <c r="C1021" s="83">
        <f>122.58</f>
        <v>122.58</v>
      </c>
      <c r="D1021" s="83">
        <f>297.941</f>
        <v>297.94099999999997</v>
      </c>
      <c r="E1021" s="92">
        <f>89.177</f>
        <v>89.177000000000007</v>
      </c>
      <c r="F1021" s="83">
        <f>240.302-40-60-100</f>
        <v>40.301999999999992</v>
      </c>
      <c r="G1021" s="86">
        <v>40</v>
      </c>
      <c r="H1021" s="83">
        <f>60+100</f>
        <v>160</v>
      </c>
      <c r="I1021" s="83">
        <f t="shared" si="170"/>
        <v>0</v>
      </c>
      <c r="J1021" s="86">
        <v>100</v>
      </c>
      <c r="K1021" s="86">
        <v>300</v>
      </c>
      <c r="L1021" s="83">
        <f t="shared" si="162"/>
        <v>1150</v>
      </c>
      <c r="M1021" s="94">
        <v>600</v>
      </c>
      <c r="N1021" s="83">
        <f>100</f>
        <v>100</v>
      </c>
      <c r="O1021" s="86">
        <v>240</v>
      </c>
      <c r="P1021" s="86">
        <v>40</v>
      </c>
      <c r="Q1021" s="86">
        <f t="shared" si="163"/>
        <v>315</v>
      </c>
      <c r="R1021" s="86">
        <f t="shared" si="164"/>
        <v>100</v>
      </c>
      <c r="S1021" s="83">
        <f t="shared" si="165"/>
        <v>695</v>
      </c>
      <c r="T1021" s="83">
        <f>50</f>
        <v>50</v>
      </c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</row>
    <row r="1022" spans="1:30" ht="15.75" x14ac:dyDescent="0.25">
      <c r="A1022" s="13">
        <v>72045</v>
      </c>
      <c r="B1022" s="95">
        <f t="shared" si="166"/>
        <v>31</v>
      </c>
      <c r="C1022" s="83">
        <f>122.58</f>
        <v>122.58</v>
      </c>
      <c r="D1022" s="83">
        <f>297.941</f>
        <v>297.94099999999997</v>
      </c>
      <c r="E1022" s="92">
        <f>89.177</f>
        <v>89.177000000000007</v>
      </c>
      <c r="F1022" s="83">
        <f>240.302-40-60-100</f>
        <v>40.301999999999992</v>
      </c>
      <c r="G1022" s="86">
        <v>40</v>
      </c>
      <c r="H1022" s="83">
        <f>60+100</f>
        <v>160</v>
      </c>
      <c r="I1022" s="83">
        <f t="shared" si="170"/>
        <v>0</v>
      </c>
      <c r="J1022" s="86">
        <v>100</v>
      </c>
      <c r="K1022" s="86">
        <v>300</v>
      </c>
      <c r="L1022" s="83">
        <f t="shared" si="162"/>
        <v>1150</v>
      </c>
      <c r="M1022" s="94">
        <v>600</v>
      </c>
      <c r="N1022" s="83">
        <f>100</f>
        <v>100</v>
      </c>
      <c r="O1022" s="86">
        <v>240</v>
      </c>
      <c r="P1022" s="86">
        <v>40</v>
      </c>
      <c r="Q1022" s="86">
        <f t="shared" si="163"/>
        <v>315</v>
      </c>
      <c r="R1022" s="86">
        <f t="shared" si="164"/>
        <v>100</v>
      </c>
      <c r="S1022" s="83">
        <f t="shared" si="165"/>
        <v>695</v>
      </c>
      <c r="T1022" s="83">
        <f>50</f>
        <v>50</v>
      </c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</row>
    <row r="1023" spans="1:30" ht="15.75" x14ac:dyDescent="0.25">
      <c r="A1023" s="13">
        <v>72075</v>
      </c>
      <c r="B1023" s="95">
        <f t="shared" si="166"/>
        <v>30</v>
      </c>
      <c r="C1023" s="83">
        <f>141.293</f>
        <v>141.29300000000001</v>
      </c>
      <c r="D1023" s="83">
        <f>267.993</f>
        <v>267.99299999999999</v>
      </c>
      <c r="E1023" s="92">
        <f>115.016</f>
        <v>115.01600000000001</v>
      </c>
      <c r="F1023" s="83">
        <f>314.698-40-25-60-100</f>
        <v>89.697999999999979</v>
      </c>
      <c r="G1023" s="86">
        <v>40</v>
      </c>
      <c r="H1023" s="83">
        <f t="shared" ref="H1023:H1029" si="171">25+60+100</f>
        <v>185</v>
      </c>
      <c r="I1023" s="83">
        <f t="shared" si="170"/>
        <v>0</v>
      </c>
      <c r="J1023" s="86">
        <v>100</v>
      </c>
      <c r="K1023" s="86">
        <v>300</v>
      </c>
      <c r="L1023" s="83">
        <f t="shared" si="162"/>
        <v>1239</v>
      </c>
      <c r="M1023" s="94">
        <v>600</v>
      </c>
      <c r="N1023" s="83">
        <f>100</f>
        <v>100</v>
      </c>
      <c r="O1023" s="86">
        <v>240</v>
      </c>
      <c r="P1023" s="86">
        <v>40</v>
      </c>
      <c r="Q1023" s="86">
        <f t="shared" si="163"/>
        <v>315</v>
      </c>
      <c r="R1023" s="86">
        <f t="shared" si="164"/>
        <v>100</v>
      </c>
      <c r="S1023" s="83">
        <f t="shared" si="165"/>
        <v>695</v>
      </c>
      <c r="T1023" s="83">
        <f>50</f>
        <v>50</v>
      </c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</row>
    <row r="1024" spans="1:30" ht="15.75" x14ac:dyDescent="0.25">
      <c r="A1024" s="13">
        <v>72106</v>
      </c>
      <c r="B1024" s="95">
        <f t="shared" si="166"/>
        <v>31</v>
      </c>
      <c r="C1024" s="83">
        <f>194.205</f>
        <v>194.20500000000001</v>
      </c>
      <c r="D1024" s="83">
        <f>267.466</f>
        <v>267.46600000000001</v>
      </c>
      <c r="E1024" s="92">
        <f>133.845</f>
        <v>133.845</v>
      </c>
      <c r="F1024" s="83">
        <f>278.484-40-25-60-100</f>
        <v>53.48399999999998</v>
      </c>
      <c r="G1024" s="86">
        <v>40</v>
      </c>
      <c r="H1024" s="83">
        <f t="shared" si="171"/>
        <v>185</v>
      </c>
      <c r="I1024" s="83">
        <f t="shared" si="170"/>
        <v>0</v>
      </c>
      <c r="J1024" s="86">
        <v>100</v>
      </c>
      <c r="K1024" s="86">
        <v>300</v>
      </c>
      <c r="L1024" s="83">
        <f t="shared" si="162"/>
        <v>1274</v>
      </c>
      <c r="M1024" s="94">
        <v>600</v>
      </c>
      <c r="N1024" s="83">
        <f>75</f>
        <v>75</v>
      </c>
      <c r="O1024" s="86">
        <v>240</v>
      </c>
      <c r="P1024" s="86">
        <v>40</v>
      </c>
      <c r="Q1024" s="86">
        <f t="shared" si="163"/>
        <v>315</v>
      </c>
      <c r="R1024" s="86">
        <f t="shared" si="164"/>
        <v>100</v>
      </c>
      <c r="S1024" s="83">
        <f t="shared" si="165"/>
        <v>695</v>
      </c>
      <c r="T1024" s="83">
        <f>50</f>
        <v>50</v>
      </c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</row>
    <row r="1025" spans="1:30" ht="15.75" x14ac:dyDescent="0.25">
      <c r="A1025" s="13">
        <v>72136</v>
      </c>
      <c r="B1025" s="95">
        <f t="shared" si="166"/>
        <v>30</v>
      </c>
      <c r="C1025" s="83">
        <f>194.205</f>
        <v>194.20500000000001</v>
      </c>
      <c r="D1025" s="83">
        <f>267.466</f>
        <v>267.46600000000001</v>
      </c>
      <c r="E1025" s="92">
        <f>133.845</f>
        <v>133.845</v>
      </c>
      <c r="F1025" s="83">
        <f>278.484-40-25-60-100</f>
        <v>53.48399999999998</v>
      </c>
      <c r="G1025" s="86">
        <v>40</v>
      </c>
      <c r="H1025" s="83">
        <f t="shared" si="171"/>
        <v>185</v>
      </c>
      <c r="I1025" s="83">
        <f t="shared" si="170"/>
        <v>0</v>
      </c>
      <c r="J1025" s="86">
        <v>100</v>
      </c>
      <c r="K1025" s="86">
        <v>300</v>
      </c>
      <c r="L1025" s="83">
        <f t="shared" si="162"/>
        <v>1274</v>
      </c>
      <c r="M1025" s="94">
        <v>600</v>
      </c>
      <c r="N1025" s="83">
        <f>30</f>
        <v>30</v>
      </c>
      <c r="O1025" s="86">
        <v>240</v>
      </c>
      <c r="P1025" s="86">
        <v>40</v>
      </c>
      <c r="Q1025" s="86">
        <f t="shared" si="163"/>
        <v>315</v>
      </c>
      <c r="R1025" s="86">
        <f t="shared" si="164"/>
        <v>100</v>
      </c>
      <c r="S1025" s="83">
        <f t="shared" si="165"/>
        <v>695</v>
      </c>
      <c r="T1025" s="83">
        <f>50</f>
        <v>50</v>
      </c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</row>
    <row r="1026" spans="1:30" ht="15.75" x14ac:dyDescent="0.25">
      <c r="A1026" s="13">
        <v>72167</v>
      </c>
      <c r="B1026" s="95">
        <f t="shared" si="166"/>
        <v>31</v>
      </c>
      <c r="C1026" s="83">
        <f>194.205</f>
        <v>194.20500000000001</v>
      </c>
      <c r="D1026" s="83">
        <f>267.466</f>
        <v>267.46600000000001</v>
      </c>
      <c r="E1026" s="92">
        <f>133.845</f>
        <v>133.845</v>
      </c>
      <c r="F1026" s="83">
        <f>278.484-40-25-60-100</f>
        <v>53.48399999999998</v>
      </c>
      <c r="G1026" s="86">
        <v>40</v>
      </c>
      <c r="H1026" s="83">
        <f t="shared" si="171"/>
        <v>185</v>
      </c>
      <c r="I1026" s="83">
        <f t="shared" si="170"/>
        <v>0</v>
      </c>
      <c r="J1026" s="86">
        <v>100</v>
      </c>
      <c r="K1026" s="86">
        <v>300</v>
      </c>
      <c r="L1026" s="83">
        <f t="shared" si="162"/>
        <v>1274</v>
      </c>
      <c r="M1026" s="94">
        <v>600</v>
      </c>
      <c r="N1026" s="83">
        <f>30</f>
        <v>30</v>
      </c>
      <c r="O1026" s="86">
        <v>240</v>
      </c>
      <c r="P1026" s="86">
        <v>40</v>
      </c>
      <c r="Q1026" s="86">
        <f t="shared" si="163"/>
        <v>315</v>
      </c>
      <c r="R1026" s="86">
        <f t="shared" si="164"/>
        <v>100</v>
      </c>
      <c r="S1026" s="83">
        <f t="shared" si="165"/>
        <v>695</v>
      </c>
      <c r="T1026" s="83">
        <f>0</f>
        <v>0</v>
      </c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</row>
    <row r="1027" spans="1:30" ht="15.75" x14ac:dyDescent="0.25">
      <c r="A1027" s="13">
        <v>72198</v>
      </c>
      <c r="B1027" s="95">
        <f t="shared" si="166"/>
        <v>31</v>
      </c>
      <c r="C1027" s="83">
        <f>194.205</f>
        <v>194.20500000000001</v>
      </c>
      <c r="D1027" s="83">
        <f>267.466</f>
        <v>267.46600000000001</v>
      </c>
      <c r="E1027" s="92">
        <f>133.845</f>
        <v>133.845</v>
      </c>
      <c r="F1027" s="83">
        <f>278.484-40-25-60-100</f>
        <v>53.48399999999998</v>
      </c>
      <c r="G1027" s="86">
        <v>40</v>
      </c>
      <c r="H1027" s="83">
        <f t="shared" si="171"/>
        <v>185</v>
      </c>
      <c r="I1027" s="83">
        <f t="shared" si="170"/>
        <v>0</v>
      </c>
      <c r="J1027" s="86">
        <v>100</v>
      </c>
      <c r="K1027" s="86">
        <v>300</v>
      </c>
      <c r="L1027" s="83">
        <f t="shared" si="162"/>
        <v>1274</v>
      </c>
      <c r="M1027" s="94">
        <v>600</v>
      </c>
      <c r="N1027" s="83">
        <f>30</f>
        <v>30</v>
      </c>
      <c r="O1027" s="86">
        <v>240</v>
      </c>
      <c r="P1027" s="86">
        <v>40</v>
      </c>
      <c r="Q1027" s="86">
        <f t="shared" si="163"/>
        <v>315</v>
      </c>
      <c r="R1027" s="86">
        <f t="shared" si="164"/>
        <v>100</v>
      </c>
      <c r="S1027" s="83">
        <f t="shared" si="165"/>
        <v>695</v>
      </c>
      <c r="T1027" s="83">
        <f>0</f>
        <v>0</v>
      </c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</row>
    <row r="1028" spans="1:30" ht="15.75" x14ac:dyDescent="0.25">
      <c r="A1028" s="13">
        <v>72228</v>
      </c>
      <c r="B1028" s="95">
        <f t="shared" si="166"/>
        <v>30</v>
      </c>
      <c r="C1028" s="83">
        <f>194.205</f>
        <v>194.20500000000001</v>
      </c>
      <c r="D1028" s="83">
        <f>267.466</f>
        <v>267.46600000000001</v>
      </c>
      <c r="E1028" s="92">
        <f>133.845</f>
        <v>133.845</v>
      </c>
      <c r="F1028" s="83">
        <f>278.484-40-25-60-100</f>
        <v>53.48399999999998</v>
      </c>
      <c r="G1028" s="86">
        <v>40</v>
      </c>
      <c r="H1028" s="83">
        <f t="shared" si="171"/>
        <v>185</v>
      </c>
      <c r="I1028" s="83">
        <f t="shared" si="170"/>
        <v>0</v>
      </c>
      <c r="J1028" s="86">
        <v>100</v>
      </c>
      <c r="K1028" s="86">
        <v>300</v>
      </c>
      <c r="L1028" s="83">
        <f t="shared" si="162"/>
        <v>1274</v>
      </c>
      <c r="M1028" s="94">
        <v>600</v>
      </c>
      <c r="N1028" s="83">
        <f>30</f>
        <v>30</v>
      </c>
      <c r="O1028" s="86">
        <v>240</v>
      </c>
      <c r="P1028" s="86">
        <v>40</v>
      </c>
      <c r="Q1028" s="86">
        <f t="shared" si="163"/>
        <v>315</v>
      </c>
      <c r="R1028" s="86">
        <f t="shared" si="164"/>
        <v>100</v>
      </c>
      <c r="S1028" s="83">
        <f t="shared" si="165"/>
        <v>695</v>
      </c>
      <c r="T1028" s="83">
        <f>0</f>
        <v>0</v>
      </c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</row>
    <row r="1029" spans="1:30" ht="15.75" x14ac:dyDescent="0.25">
      <c r="A1029" s="13">
        <v>72259</v>
      </c>
      <c r="B1029" s="95">
        <f t="shared" si="166"/>
        <v>31</v>
      </c>
      <c r="C1029" s="83">
        <f>131.881</f>
        <v>131.881</v>
      </c>
      <c r="D1029" s="83">
        <f>277.167</f>
        <v>277.16699999999997</v>
      </c>
      <c r="E1029" s="92">
        <f>79.08</f>
        <v>79.08</v>
      </c>
      <c r="F1029" s="83">
        <f>350.872-40-25-60-100</f>
        <v>125.87200000000001</v>
      </c>
      <c r="G1029" s="86">
        <v>40</v>
      </c>
      <c r="H1029" s="83">
        <f t="shared" si="171"/>
        <v>185</v>
      </c>
      <c r="I1029" s="83">
        <f t="shared" si="170"/>
        <v>0</v>
      </c>
      <c r="J1029" s="86">
        <v>100</v>
      </c>
      <c r="K1029" s="86">
        <v>300</v>
      </c>
      <c r="L1029" s="83">
        <f t="shared" si="162"/>
        <v>1239</v>
      </c>
      <c r="M1029" s="94">
        <v>600</v>
      </c>
      <c r="N1029" s="83">
        <f>75</f>
        <v>75</v>
      </c>
      <c r="O1029" s="86">
        <v>240</v>
      </c>
      <c r="P1029" s="86">
        <v>40</v>
      </c>
      <c r="Q1029" s="86">
        <f t="shared" si="163"/>
        <v>315</v>
      </c>
      <c r="R1029" s="86">
        <f t="shared" si="164"/>
        <v>100</v>
      </c>
      <c r="S1029" s="83">
        <f t="shared" si="165"/>
        <v>695</v>
      </c>
      <c r="T1029" s="83">
        <f>0</f>
        <v>0</v>
      </c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</row>
    <row r="1030" spans="1:30" ht="15.75" x14ac:dyDescent="0.25">
      <c r="A1030" s="13">
        <v>72289</v>
      </c>
      <c r="B1030" s="95">
        <f t="shared" si="166"/>
        <v>30</v>
      </c>
      <c r="C1030" s="83">
        <f>122.58</f>
        <v>122.58</v>
      </c>
      <c r="D1030" s="83">
        <f>297.941</f>
        <v>297.94099999999997</v>
      </c>
      <c r="E1030" s="92">
        <f>89.177</f>
        <v>89.177000000000007</v>
      </c>
      <c r="F1030" s="83">
        <f>240.302-40-60-100</f>
        <v>40.301999999999992</v>
      </c>
      <c r="G1030" s="86">
        <v>40</v>
      </c>
      <c r="H1030" s="83">
        <f>60+100</f>
        <v>160</v>
      </c>
      <c r="I1030" s="83">
        <f t="shared" si="170"/>
        <v>0</v>
      </c>
      <c r="J1030" s="86">
        <v>100</v>
      </c>
      <c r="K1030" s="86">
        <v>300</v>
      </c>
      <c r="L1030" s="83">
        <f t="shared" si="162"/>
        <v>1150</v>
      </c>
      <c r="M1030" s="94">
        <v>600</v>
      </c>
      <c r="N1030" s="83">
        <f>100</f>
        <v>100</v>
      </c>
      <c r="O1030" s="86">
        <v>240</v>
      </c>
      <c r="P1030" s="86">
        <v>40</v>
      </c>
      <c r="Q1030" s="86">
        <f t="shared" si="163"/>
        <v>315</v>
      </c>
      <c r="R1030" s="86">
        <f t="shared" si="164"/>
        <v>100</v>
      </c>
      <c r="S1030" s="83">
        <f t="shared" si="165"/>
        <v>695</v>
      </c>
      <c r="T1030" s="83">
        <f>50</f>
        <v>50</v>
      </c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</row>
    <row r="1031" spans="1:30" ht="15.75" x14ac:dyDescent="0.25">
      <c r="A1031" s="13">
        <v>72320</v>
      </c>
      <c r="B1031" s="95">
        <f t="shared" si="166"/>
        <v>31</v>
      </c>
      <c r="C1031" s="83">
        <f>122.58</f>
        <v>122.58</v>
      </c>
      <c r="D1031" s="83">
        <f>297.941</f>
        <v>297.94099999999997</v>
      </c>
      <c r="E1031" s="92">
        <f>89.177</f>
        <v>89.177000000000007</v>
      </c>
      <c r="F1031" s="83">
        <f>240.302-40-60-100</f>
        <v>40.301999999999992</v>
      </c>
      <c r="G1031" s="86">
        <v>40</v>
      </c>
      <c r="H1031" s="83">
        <f>60+100</f>
        <v>160</v>
      </c>
      <c r="I1031" s="83">
        <f t="shared" si="170"/>
        <v>0</v>
      </c>
      <c r="J1031" s="86">
        <v>100</v>
      </c>
      <c r="K1031" s="86">
        <v>300</v>
      </c>
      <c r="L1031" s="83">
        <f t="shared" si="162"/>
        <v>1150</v>
      </c>
      <c r="M1031" s="94">
        <v>600</v>
      </c>
      <c r="N1031" s="83">
        <f>100</f>
        <v>100</v>
      </c>
      <c r="O1031" s="86">
        <v>240</v>
      </c>
      <c r="P1031" s="86">
        <v>40</v>
      </c>
      <c r="Q1031" s="86">
        <f t="shared" si="163"/>
        <v>315</v>
      </c>
      <c r="R1031" s="86">
        <f t="shared" si="164"/>
        <v>100</v>
      </c>
      <c r="S1031" s="83">
        <f t="shared" si="165"/>
        <v>695</v>
      </c>
      <c r="T1031" s="83">
        <f>50</f>
        <v>50</v>
      </c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</row>
    <row r="1032" spans="1:30" ht="15.75" x14ac:dyDescent="0.25">
      <c r="A1032" s="13">
        <v>72351</v>
      </c>
      <c r="B1032" s="95">
        <f t="shared" si="166"/>
        <v>31</v>
      </c>
      <c r="C1032" s="83">
        <f>122.58</f>
        <v>122.58</v>
      </c>
      <c r="D1032" s="83">
        <f>297.941</f>
        <v>297.94099999999997</v>
      </c>
      <c r="E1032" s="92">
        <f>89.177</f>
        <v>89.177000000000007</v>
      </c>
      <c r="F1032" s="83">
        <f>240.302-40-60-100</f>
        <v>40.301999999999992</v>
      </c>
      <c r="G1032" s="86">
        <v>40</v>
      </c>
      <c r="H1032" s="83">
        <f>60+100</f>
        <v>160</v>
      </c>
      <c r="I1032" s="83">
        <f t="shared" si="170"/>
        <v>0</v>
      </c>
      <c r="J1032" s="86">
        <v>100</v>
      </c>
      <c r="K1032" s="86">
        <v>300</v>
      </c>
      <c r="L1032" s="83">
        <f t="shared" si="162"/>
        <v>1150</v>
      </c>
      <c r="M1032" s="94">
        <v>600</v>
      </c>
      <c r="N1032" s="83">
        <f>100</f>
        <v>100</v>
      </c>
      <c r="O1032" s="86">
        <v>240</v>
      </c>
      <c r="P1032" s="86">
        <v>40</v>
      </c>
      <c r="Q1032" s="86">
        <f t="shared" si="163"/>
        <v>315</v>
      </c>
      <c r="R1032" s="86">
        <f t="shared" si="164"/>
        <v>100</v>
      </c>
      <c r="S1032" s="83">
        <f t="shared" si="165"/>
        <v>695</v>
      </c>
      <c r="T1032" s="83">
        <f>50</f>
        <v>50</v>
      </c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</row>
    <row r="1033" spans="1:30" ht="15.75" x14ac:dyDescent="0.25">
      <c r="A1033" s="13">
        <v>72379</v>
      </c>
      <c r="B1033" s="95">
        <f t="shared" si="166"/>
        <v>28</v>
      </c>
      <c r="C1033" s="83">
        <f>122.58</f>
        <v>122.58</v>
      </c>
      <c r="D1033" s="83">
        <f>297.941</f>
        <v>297.94099999999997</v>
      </c>
      <c r="E1033" s="92">
        <f>89.177</f>
        <v>89.177000000000007</v>
      </c>
      <c r="F1033" s="83">
        <f>240.302-40-60-100</f>
        <v>40.301999999999992</v>
      </c>
      <c r="G1033" s="86">
        <v>40</v>
      </c>
      <c r="H1033" s="83">
        <f>60+100</f>
        <v>160</v>
      </c>
      <c r="I1033" s="83">
        <f t="shared" si="170"/>
        <v>0</v>
      </c>
      <c r="J1033" s="86">
        <v>100</v>
      </c>
      <c r="K1033" s="86">
        <v>300</v>
      </c>
      <c r="L1033" s="83">
        <f t="shared" si="162"/>
        <v>1150</v>
      </c>
      <c r="M1033" s="94">
        <v>600</v>
      </c>
      <c r="N1033" s="83">
        <f>100</f>
        <v>100</v>
      </c>
      <c r="O1033" s="86">
        <v>240</v>
      </c>
      <c r="P1033" s="86">
        <v>40</v>
      </c>
      <c r="Q1033" s="86">
        <f t="shared" si="163"/>
        <v>315</v>
      </c>
      <c r="R1033" s="86">
        <f t="shared" si="164"/>
        <v>100</v>
      </c>
      <c r="S1033" s="83">
        <f t="shared" si="165"/>
        <v>695</v>
      </c>
      <c r="T1033" s="83">
        <f>50</f>
        <v>50</v>
      </c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</row>
    <row r="1034" spans="1:30" ht="15.75" x14ac:dyDescent="0.25">
      <c r="A1034" s="13">
        <v>72410</v>
      </c>
      <c r="B1034" s="95">
        <f t="shared" si="166"/>
        <v>31</v>
      </c>
      <c r="C1034" s="83">
        <f>122.58</f>
        <v>122.58</v>
      </c>
      <c r="D1034" s="83">
        <f>297.941</f>
        <v>297.94099999999997</v>
      </c>
      <c r="E1034" s="92">
        <f>89.177</f>
        <v>89.177000000000007</v>
      </c>
      <c r="F1034" s="83">
        <f>240.302-40-60-100</f>
        <v>40.301999999999992</v>
      </c>
      <c r="G1034" s="86">
        <v>40</v>
      </c>
      <c r="H1034" s="83">
        <f>60+100</f>
        <v>160</v>
      </c>
      <c r="I1034" s="83">
        <f t="shared" si="170"/>
        <v>0</v>
      </c>
      <c r="J1034" s="86">
        <v>100</v>
      </c>
      <c r="K1034" s="86">
        <v>300</v>
      </c>
      <c r="L1034" s="83">
        <f t="shared" si="162"/>
        <v>1150</v>
      </c>
      <c r="M1034" s="94">
        <v>600</v>
      </c>
      <c r="N1034" s="83">
        <f>100</f>
        <v>100</v>
      </c>
      <c r="O1034" s="86">
        <v>240</v>
      </c>
      <c r="P1034" s="86">
        <v>40</v>
      </c>
      <c r="Q1034" s="86">
        <f t="shared" si="163"/>
        <v>315</v>
      </c>
      <c r="R1034" s="86">
        <f t="shared" si="164"/>
        <v>100</v>
      </c>
      <c r="S1034" s="83">
        <f t="shared" si="165"/>
        <v>695</v>
      </c>
      <c r="T1034" s="83">
        <f>50</f>
        <v>50</v>
      </c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</row>
    <row r="1035" spans="1:30" ht="15.75" x14ac:dyDescent="0.25">
      <c r="A1035" s="13">
        <v>72440</v>
      </c>
      <c r="B1035" s="95">
        <f t="shared" si="166"/>
        <v>30</v>
      </c>
      <c r="C1035" s="83">
        <f>141.293</f>
        <v>141.29300000000001</v>
      </c>
      <c r="D1035" s="83">
        <f>267.993</f>
        <v>267.99299999999999</v>
      </c>
      <c r="E1035" s="92">
        <f>115.016</f>
        <v>115.01600000000001</v>
      </c>
      <c r="F1035" s="83">
        <f>314.698-40-25-60-100</f>
        <v>89.697999999999979</v>
      </c>
      <c r="G1035" s="86">
        <v>40</v>
      </c>
      <c r="H1035" s="83">
        <f t="shared" ref="H1035:H1041" si="172">25+60+100</f>
        <v>185</v>
      </c>
      <c r="I1035" s="83">
        <f t="shared" si="170"/>
        <v>0</v>
      </c>
      <c r="J1035" s="86">
        <v>100</v>
      </c>
      <c r="K1035" s="86">
        <v>300</v>
      </c>
      <c r="L1035" s="83">
        <f t="shared" si="162"/>
        <v>1239</v>
      </c>
      <c r="M1035" s="94">
        <v>600</v>
      </c>
      <c r="N1035" s="83">
        <f>100</f>
        <v>100</v>
      </c>
      <c r="O1035" s="86">
        <v>240</v>
      </c>
      <c r="P1035" s="86">
        <v>40</v>
      </c>
      <c r="Q1035" s="86">
        <f t="shared" si="163"/>
        <v>315</v>
      </c>
      <c r="R1035" s="86">
        <f t="shared" si="164"/>
        <v>100</v>
      </c>
      <c r="S1035" s="83">
        <f t="shared" si="165"/>
        <v>695</v>
      </c>
      <c r="T1035" s="83">
        <f>50</f>
        <v>50</v>
      </c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</row>
    <row r="1036" spans="1:30" ht="15.75" x14ac:dyDescent="0.25">
      <c r="A1036" s="13">
        <v>72471</v>
      </c>
      <c r="B1036" s="95">
        <f t="shared" si="166"/>
        <v>31</v>
      </c>
      <c r="C1036" s="83">
        <f>194.205</f>
        <v>194.20500000000001</v>
      </c>
      <c r="D1036" s="83">
        <f>267.466</f>
        <v>267.46600000000001</v>
      </c>
      <c r="E1036" s="92">
        <f>133.845</f>
        <v>133.845</v>
      </c>
      <c r="F1036" s="83">
        <f>278.484-40-25-60-100</f>
        <v>53.48399999999998</v>
      </c>
      <c r="G1036" s="86">
        <v>40</v>
      </c>
      <c r="H1036" s="83">
        <f t="shared" si="172"/>
        <v>185</v>
      </c>
      <c r="I1036" s="83">
        <f t="shared" si="170"/>
        <v>0</v>
      </c>
      <c r="J1036" s="86">
        <v>100</v>
      </c>
      <c r="K1036" s="86">
        <v>300</v>
      </c>
      <c r="L1036" s="83">
        <f t="shared" si="162"/>
        <v>1274</v>
      </c>
      <c r="M1036" s="94">
        <v>600</v>
      </c>
      <c r="N1036" s="83">
        <f>75</f>
        <v>75</v>
      </c>
      <c r="O1036" s="86">
        <v>240</v>
      </c>
      <c r="P1036" s="86">
        <v>40</v>
      </c>
      <c r="Q1036" s="86">
        <f t="shared" si="163"/>
        <v>315</v>
      </c>
      <c r="R1036" s="86">
        <f t="shared" si="164"/>
        <v>100</v>
      </c>
      <c r="S1036" s="83">
        <f t="shared" si="165"/>
        <v>695</v>
      </c>
      <c r="T1036" s="83">
        <f>50</f>
        <v>50</v>
      </c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</row>
    <row r="1037" spans="1:30" ht="15.75" x14ac:dyDescent="0.25">
      <c r="A1037" s="13">
        <v>72501</v>
      </c>
      <c r="B1037" s="95">
        <f t="shared" si="166"/>
        <v>30</v>
      </c>
      <c r="C1037" s="83">
        <f>194.205</f>
        <v>194.20500000000001</v>
      </c>
      <c r="D1037" s="83">
        <f>267.466</f>
        <v>267.46600000000001</v>
      </c>
      <c r="E1037" s="92">
        <f>133.845</f>
        <v>133.845</v>
      </c>
      <c r="F1037" s="83">
        <f>278.484-40-25-60-100</f>
        <v>53.48399999999998</v>
      </c>
      <c r="G1037" s="86">
        <v>40</v>
      </c>
      <c r="H1037" s="83">
        <f t="shared" si="172"/>
        <v>185</v>
      </c>
      <c r="I1037" s="83">
        <f t="shared" si="170"/>
        <v>0</v>
      </c>
      <c r="J1037" s="86">
        <v>100</v>
      </c>
      <c r="K1037" s="86">
        <v>300</v>
      </c>
      <c r="L1037" s="83">
        <f t="shared" si="162"/>
        <v>1274</v>
      </c>
      <c r="M1037" s="94">
        <v>600</v>
      </c>
      <c r="N1037" s="83">
        <f>30</f>
        <v>30</v>
      </c>
      <c r="O1037" s="86">
        <v>240</v>
      </c>
      <c r="P1037" s="86">
        <v>40</v>
      </c>
      <c r="Q1037" s="86">
        <f t="shared" si="163"/>
        <v>315</v>
      </c>
      <c r="R1037" s="86">
        <f t="shared" si="164"/>
        <v>100</v>
      </c>
      <c r="S1037" s="83">
        <f t="shared" si="165"/>
        <v>695</v>
      </c>
      <c r="T1037" s="83">
        <f>50</f>
        <v>50</v>
      </c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</row>
    <row r="1038" spans="1:30" ht="15.75" x14ac:dyDescent="0.25">
      <c r="A1038" s="13">
        <v>72532</v>
      </c>
      <c r="B1038" s="95">
        <f t="shared" si="166"/>
        <v>31</v>
      </c>
      <c r="C1038" s="83">
        <f>194.205</f>
        <v>194.20500000000001</v>
      </c>
      <c r="D1038" s="83">
        <f>267.466</f>
        <v>267.46600000000001</v>
      </c>
      <c r="E1038" s="92">
        <f>133.845</f>
        <v>133.845</v>
      </c>
      <c r="F1038" s="83">
        <f>278.484-40-25-60-100</f>
        <v>53.48399999999998</v>
      </c>
      <c r="G1038" s="86">
        <v>40</v>
      </c>
      <c r="H1038" s="83">
        <f t="shared" si="172"/>
        <v>185</v>
      </c>
      <c r="I1038" s="83">
        <f t="shared" si="170"/>
        <v>0</v>
      </c>
      <c r="J1038" s="86">
        <v>100</v>
      </c>
      <c r="K1038" s="86">
        <v>300</v>
      </c>
      <c r="L1038" s="83">
        <f t="shared" si="162"/>
        <v>1274</v>
      </c>
      <c r="M1038" s="94">
        <v>600</v>
      </c>
      <c r="N1038" s="83">
        <f>30</f>
        <v>30</v>
      </c>
      <c r="O1038" s="86">
        <v>240</v>
      </c>
      <c r="P1038" s="86">
        <v>40</v>
      </c>
      <c r="Q1038" s="86">
        <f t="shared" si="163"/>
        <v>315</v>
      </c>
      <c r="R1038" s="86">
        <f t="shared" si="164"/>
        <v>100</v>
      </c>
      <c r="S1038" s="83">
        <f t="shared" si="165"/>
        <v>695</v>
      </c>
      <c r="T1038" s="83">
        <f>0</f>
        <v>0</v>
      </c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</row>
    <row r="1039" spans="1:30" ht="15.75" x14ac:dyDescent="0.25">
      <c r="A1039" s="13">
        <v>72563</v>
      </c>
      <c r="B1039" s="95">
        <f t="shared" si="166"/>
        <v>31</v>
      </c>
      <c r="C1039" s="83">
        <f>194.205</f>
        <v>194.20500000000001</v>
      </c>
      <c r="D1039" s="83">
        <f>267.466</f>
        <v>267.46600000000001</v>
      </c>
      <c r="E1039" s="92">
        <f>133.845</f>
        <v>133.845</v>
      </c>
      <c r="F1039" s="83">
        <f>278.484-40-25-60-100</f>
        <v>53.48399999999998</v>
      </c>
      <c r="G1039" s="86">
        <v>40</v>
      </c>
      <c r="H1039" s="83">
        <f t="shared" si="172"/>
        <v>185</v>
      </c>
      <c r="I1039" s="83">
        <f t="shared" si="170"/>
        <v>0</v>
      </c>
      <c r="J1039" s="86">
        <v>100</v>
      </c>
      <c r="K1039" s="86">
        <v>300</v>
      </c>
      <c r="L1039" s="83">
        <f t="shared" si="162"/>
        <v>1274</v>
      </c>
      <c r="M1039" s="94">
        <v>600</v>
      </c>
      <c r="N1039" s="83">
        <f>30</f>
        <v>30</v>
      </c>
      <c r="O1039" s="86">
        <v>240</v>
      </c>
      <c r="P1039" s="86">
        <v>40</v>
      </c>
      <c r="Q1039" s="86">
        <f t="shared" si="163"/>
        <v>315</v>
      </c>
      <c r="R1039" s="86">
        <f t="shared" si="164"/>
        <v>100</v>
      </c>
      <c r="S1039" s="83">
        <f t="shared" si="165"/>
        <v>695</v>
      </c>
      <c r="T1039" s="83">
        <f>0</f>
        <v>0</v>
      </c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</row>
    <row r="1040" spans="1:30" ht="15.75" x14ac:dyDescent="0.25">
      <c r="A1040" s="13">
        <v>72593</v>
      </c>
      <c r="B1040" s="95">
        <f t="shared" si="166"/>
        <v>30</v>
      </c>
      <c r="C1040" s="83">
        <f>194.205</f>
        <v>194.20500000000001</v>
      </c>
      <c r="D1040" s="83">
        <f>267.466</f>
        <v>267.46600000000001</v>
      </c>
      <c r="E1040" s="92">
        <f>133.845</f>
        <v>133.845</v>
      </c>
      <c r="F1040" s="83">
        <f>278.484-40-25-60-100</f>
        <v>53.48399999999998</v>
      </c>
      <c r="G1040" s="86">
        <v>40</v>
      </c>
      <c r="H1040" s="83">
        <f t="shared" si="172"/>
        <v>185</v>
      </c>
      <c r="I1040" s="83">
        <f t="shared" si="170"/>
        <v>0</v>
      </c>
      <c r="J1040" s="86">
        <v>100</v>
      </c>
      <c r="K1040" s="86">
        <v>300</v>
      </c>
      <c r="L1040" s="83">
        <f t="shared" si="162"/>
        <v>1274</v>
      </c>
      <c r="M1040" s="94">
        <v>600</v>
      </c>
      <c r="N1040" s="83">
        <f>30</f>
        <v>30</v>
      </c>
      <c r="O1040" s="86">
        <v>240</v>
      </c>
      <c r="P1040" s="86">
        <v>40</v>
      </c>
      <c r="Q1040" s="86">
        <f t="shared" si="163"/>
        <v>315</v>
      </c>
      <c r="R1040" s="86">
        <f t="shared" si="164"/>
        <v>100</v>
      </c>
      <c r="S1040" s="83">
        <f t="shared" si="165"/>
        <v>695</v>
      </c>
      <c r="T1040" s="83">
        <f>0</f>
        <v>0</v>
      </c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</row>
    <row r="1041" spans="1:30" ht="15.75" x14ac:dyDescent="0.25">
      <c r="A1041" s="13">
        <v>72624</v>
      </c>
      <c r="B1041" s="95">
        <f t="shared" si="166"/>
        <v>31</v>
      </c>
      <c r="C1041" s="83">
        <f>131.881</f>
        <v>131.881</v>
      </c>
      <c r="D1041" s="83">
        <f>277.167</f>
        <v>277.16699999999997</v>
      </c>
      <c r="E1041" s="92">
        <f>79.08</f>
        <v>79.08</v>
      </c>
      <c r="F1041" s="83">
        <f>350.872-40-25-60-100</f>
        <v>125.87200000000001</v>
      </c>
      <c r="G1041" s="86">
        <v>40</v>
      </c>
      <c r="H1041" s="83">
        <f t="shared" si="172"/>
        <v>185</v>
      </c>
      <c r="I1041" s="83">
        <f t="shared" si="170"/>
        <v>0</v>
      </c>
      <c r="J1041" s="86">
        <v>100</v>
      </c>
      <c r="K1041" s="86">
        <v>300</v>
      </c>
      <c r="L1041" s="83">
        <f t="shared" si="162"/>
        <v>1239</v>
      </c>
      <c r="M1041" s="94">
        <v>600</v>
      </c>
      <c r="N1041" s="83">
        <f>75</f>
        <v>75</v>
      </c>
      <c r="O1041" s="86">
        <v>240</v>
      </c>
      <c r="P1041" s="86">
        <v>40</v>
      </c>
      <c r="Q1041" s="86">
        <f t="shared" si="163"/>
        <v>315</v>
      </c>
      <c r="R1041" s="86">
        <f t="shared" si="164"/>
        <v>100</v>
      </c>
      <c r="S1041" s="83">
        <f t="shared" si="165"/>
        <v>695</v>
      </c>
      <c r="T1041" s="83">
        <f>0</f>
        <v>0</v>
      </c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</row>
    <row r="1042" spans="1:30" ht="15.75" x14ac:dyDescent="0.25">
      <c r="A1042" s="13">
        <v>72654</v>
      </c>
      <c r="B1042" s="95">
        <f t="shared" si="166"/>
        <v>30</v>
      </c>
      <c r="C1042" s="83">
        <f>122.58</f>
        <v>122.58</v>
      </c>
      <c r="D1042" s="83">
        <f>297.941</f>
        <v>297.94099999999997</v>
      </c>
      <c r="E1042" s="92">
        <f>89.177</f>
        <v>89.177000000000007</v>
      </c>
      <c r="F1042" s="83">
        <f>240.302-40-60-100</f>
        <v>40.301999999999992</v>
      </c>
      <c r="G1042" s="86">
        <v>40</v>
      </c>
      <c r="H1042" s="83">
        <f>60+100</f>
        <v>160</v>
      </c>
      <c r="I1042" s="83">
        <f t="shared" si="170"/>
        <v>0</v>
      </c>
      <c r="J1042" s="86">
        <v>100</v>
      </c>
      <c r="K1042" s="86">
        <v>300</v>
      </c>
      <c r="L1042" s="83">
        <f t="shared" si="162"/>
        <v>1150</v>
      </c>
      <c r="M1042" s="94">
        <v>600</v>
      </c>
      <c r="N1042" s="83">
        <f>100</f>
        <v>100</v>
      </c>
      <c r="O1042" s="86">
        <v>240</v>
      </c>
      <c r="P1042" s="86">
        <v>40</v>
      </c>
      <c r="Q1042" s="86">
        <f t="shared" si="163"/>
        <v>315</v>
      </c>
      <c r="R1042" s="86">
        <f t="shared" si="164"/>
        <v>100</v>
      </c>
      <c r="S1042" s="83">
        <f t="shared" si="165"/>
        <v>695</v>
      </c>
      <c r="T1042" s="83">
        <f>50</f>
        <v>50</v>
      </c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</row>
    <row r="1043" spans="1:30" ht="15.75" x14ac:dyDescent="0.25">
      <c r="A1043" s="13">
        <v>72685</v>
      </c>
      <c r="B1043" s="95">
        <f t="shared" si="166"/>
        <v>31</v>
      </c>
      <c r="C1043" s="83">
        <f>122.58</f>
        <v>122.58</v>
      </c>
      <c r="D1043" s="83">
        <f>297.941</f>
        <v>297.94099999999997</v>
      </c>
      <c r="E1043" s="92">
        <f>89.177</f>
        <v>89.177000000000007</v>
      </c>
      <c r="F1043" s="83">
        <f>240.302-40-60-100</f>
        <v>40.301999999999992</v>
      </c>
      <c r="G1043" s="86">
        <v>40</v>
      </c>
      <c r="H1043" s="83">
        <f>60+100</f>
        <v>160</v>
      </c>
      <c r="I1043" s="83">
        <f t="shared" si="170"/>
        <v>0</v>
      </c>
      <c r="J1043" s="86">
        <v>100</v>
      </c>
      <c r="K1043" s="86">
        <v>300</v>
      </c>
      <c r="L1043" s="83">
        <f t="shared" si="162"/>
        <v>1150</v>
      </c>
      <c r="M1043" s="94">
        <v>600</v>
      </c>
      <c r="N1043" s="83">
        <f>100</f>
        <v>100</v>
      </c>
      <c r="O1043" s="86">
        <v>240</v>
      </c>
      <c r="P1043" s="86">
        <v>40</v>
      </c>
      <c r="Q1043" s="86">
        <f t="shared" si="163"/>
        <v>315</v>
      </c>
      <c r="R1043" s="86">
        <f t="shared" si="164"/>
        <v>100</v>
      </c>
      <c r="S1043" s="83">
        <f t="shared" si="165"/>
        <v>695</v>
      </c>
      <c r="T1043" s="83">
        <f>50</f>
        <v>50</v>
      </c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</row>
    <row r="1044" spans="1:30" ht="15.75" x14ac:dyDescent="0.25">
      <c r="A1044" s="13">
        <v>72716</v>
      </c>
      <c r="B1044" s="95">
        <f t="shared" si="166"/>
        <v>31</v>
      </c>
      <c r="C1044" s="83">
        <f>122.58</f>
        <v>122.58</v>
      </c>
      <c r="D1044" s="83">
        <f>297.941</f>
        <v>297.94099999999997</v>
      </c>
      <c r="E1044" s="92">
        <f>89.177</f>
        <v>89.177000000000007</v>
      </c>
      <c r="F1044" s="83">
        <f>240.302-40-60-100</f>
        <v>40.301999999999992</v>
      </c>
      <c r="G1044" s="86">
        <v>40</v>
      </c>
      <c r="H1044" s="83">
        <f>60+100</f>
        <v>160</v>
      </c>
      <c r="I1044" s="83">
        <f t="shared" si="170"/>
        <v>0</v>
      </c>
      <c r="J1044" s="86">
        <v>100</v>
      </c>
      <c r="K1044" s="86">
        <v>300</v>
      </c>
      <c r="L1044" s="83">
        <f t="shared" si="162"/>
        <v>1150</v>
      </c>
      <c r="M1044" s="94">
        <v>600</v>
      </c>
      <c r="N1044" s="83">
        <f>100</f>
        <v>100</v>
      </c>
      <c r="O1044" s="86">
        <v>240</v>
      </c>
      <c r="P1044" s="86">
        <v>40</v>
      </c>
      <c r="Q1044" s="86">
        <f t="shared" si="163"/>
        <v>315</v>
      </c>
      <c r="R1044" s="86">
        <f t="shared" si="164"/>
        <v>100</v>
      </c>
      <c r="S1044" s="83">
        <f t="shared" si="165"/>
        <v>695</v>
      </c>
      <c r="T1044" s="83">
        <f>50</f>
        <v>50</v>
      </c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</row>
    <row r="1045" spans="1:30" ht="15.75" x14ac:dyDescent="0.25">
      <c r="A1045" s="13">
        <v>72744</v>
      </c>
      <c r="B1045" s="95">
        <f t="shared" si="166"/>
        <v>28</v>
      </c>
      <c r="C1045" s="83">
        <f>122.58</f>
        <v>122.58</v>
      </c>
      <c r="D1045" s="83">
        <f>297.941</f>
        <v>297.94099999999997</v>
      </c>
      <c r="E1045" s="92">
        <f>89.177</f>
        <v>89.177000000000007</v>
      </c>
      <c r="F1045" s="83">
        <f>240.302-40-60-100</f>
        <v>40.301999999999992</v>
      </c>
      <c r="G1045" s="86">
        <v>40</v>
      </c>
      <c r="H1045" s="83">
        <f>60+100</f>
        <v>160</v>
      </c>
      <c r="I1045" s="83">
        <f t="shared" si="170"/>
        <v>0</v>
      </c>
      <c r="J1045" s="86">
        <v>100</v>
      </c>
      <c r="K1045" s="86">
        <v>300</v>
      </c>
      <c r="L1045" s="83">
        <f t="shared" si="162"/>
        <v>1150</v>
      </c>
      <c r="M1045" s="94">
        <v>600</v>
      </c>
      <c r="N1045" s="83">
        <f>100</f>
        <v>100</v>
      </c>
      <c r="O1045" s="86">
        <v>240</v>
      </c>
      <c r="P1045" s="86">
        <v>40</v>
      </c>
      <c r="Q1045" s="86">
        <f t="shared" si="163"/>
        <v>315</v>
      </c>
      <c r="R1045" s="86">
        <f t="shared" si="164"/>
        <v>100</v>
      </c>
      <c r="S1045" s="83">
        <f t="shared" si="165"/>
        <v>695</v>
      </c>
      <c r="T1045" s="83">
        <f>50</f>
        <v>50</v>
      </c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</row>
    <row r="1046" spans="1:30" ht="15.75" x14ac:dyDescent="0.25">
      <c r="A1046" s="13">
        <v>72775</v>
      </c>
      <c r="B1046" s="95">
        <f t="shared" si="166"/>
        <v>31</v>
      </c>
      <c r="C1046" s="83">
        <f>122.58</f>
        <v>122.58</v>
      </c>
      <c r="D1046" s="83">
        <f>297.941</f>
        <v>297.94099999999997</v>
      </c>
      <c r="E1046" s="92">
        <f>89.177</f>
        <v>89.177000000000007</v>
      </c>
      <c r="F1046" s="83">
        <f>240.302-40-60-100</f>
        <v>40.301999999999992</v>
      </c>
      <c r="G1046" s="86">
        <v>40</v>
      </c>
      <c r="H1046" s="83">
        <f>60+100</f>
        <v>160</v>
      </c>
      <c r="I1046" s="83">
        <f t="shared" si="170"/>
        <v>0</v>
      </c>
      <c r="J1046" s="86">
        <v>100</v>
      </c>
      <c r="K1046" s="86">
        <v>300</v>
      </c>
      <c r="L1046" s="83">
        <f t="shared" si="162"/>
        <v>1150</v>
      </c>
      <c r="M1046" s="94">
        <v>600</v>
      </c>
      <c r="N1046" s="83">
        <f>100</f>
        <v>100</v>
      </c>
      <c r="O1046" s="86">
        <v>240</v>
      </c>
      <c r="P1046" s="86">
        <v>40</v>
      </c>
      <c r="Q1046" s="86">
        <f t="shared" si="163"/>
        <v>315</v>
      </c>
      <c r="R1046" s="86">
        <f t="shared" si="164"/>
        <v>100</v>
      </c>
      <c r="S1046" s="83">
        <f t="shared" si="165"/>
        <v>695</v>
      </c>
      <c r="T1046" s="83">
        <f>50</f>
        <v>50</v>
      </c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</row>
    <row r="1047" spans="1:30" ht="15.75" x14ac:dyDescent="0.25">
      <c r="A1047" s="13">
        <v>72805</v>
      </c>
      <c r="B1047" s="95">
        <f t="shared" si="166"/>
        <v>30</v>
      </c>
      <c r="C1047" s="83">
        <f>141.293</f>
        <v>141.29300000000001</v>
      </c>
      <c r="D1047" s="83">
        <f>267.993</f>
        <v>267.99299999999999</v>
      </c>
      <c r="E1047" s="92">
        <f>115.016</f>
        <v>115.01600000000001</v>
      </c>
      <c r="F1047" s="83">
        <f>314.698-40-25-60-100</f>
        <v>89.697999999999979</v>
      </c>
      <c r="G1047" s="86">
        <v>40</v>
      </c>
      <c r="H1047" s="83">
        <f t="shared" ref="H1047:H1053" si="173">25+60+100</f>
        <v>185</v>
      </c>
      <c r="I1047" s="83">
        <f t="shared" si="170"/>
        <v>0</v>
      </c>
      <c r="J1047" s="86">
        <v>100</v>
      </c>
      <c r="K1047" s="86">
        <v>300</v>
      </c>
      <c r="L1047" s="83">
        <f t="shared" ref="L1047:L1067" si="174">SUM(C1047:K1047)</f>
        <v>1239</v>
      </c>
      <c r="M1047" s="94">
        <v>600</v>
      </c>
      <c r="N1047" s="83">
        <f>100</f>
        <v>100</v>
      </c>
      <c r="O1047" s="86">
        <v>240</v>
      </c>
      <c r="P1047" s="86">
        <v>40</v>
      </c>
      <c r="Q1047" s="86">
        <f t="shared" ref="Q1047:Q1067" si="175">695-R1047-O1047-P1047</f>
        <v>315</v>
      </c>
      <c r="R1047" s="86">
        <f t="shared" ref="R1047:R1067" si="176">200-J1047</f>
        <v>100</v>
      </c>
      <c r="S1047" s="83">
        <f t="shared" ref="S1047:S1067" si="177">SUM(O1047:R1047)</f>
        <v>695</v>
      </c>
      <c r="T1047" s="83">
        <f>50</f>
        <v>50</v>
      </c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</row>
    <row r="1048" spans="1:30" ht="15.75" x14ac:dyDescent="0.25">
      <c r="A1048" s="13">
        <v>72836</v>
      </c>
      <c r="B1048" s="95">
        <f t="shared" ref="B1048:B1067" si="178">EOMONTH(A1048,0)-EOMONTH(A1048,-1)</f>
        <v>31</v>
      </c>
      <c r="C1048" s="83">
        <f>194.205</f>
        <v>194.20500000000001</v>
      </c>
      <c r="D1048" s="83">
        <f>267.466</f>
        <v>267.46600000000001</v>
      </c>
      <c r="E1048" s="92">
        <f>133.845</f>
        <v>133.845</v>
      </c>
      <c r="F1048" s="83">
        <f>278.484-40-25-60-100</f>
        <v>53.48399999999998</v>
      </c>
      <c r="G1048" s="86">
        <v>40</v>
      </c>
      <c r="H1048" s="83">
        <f t="shared" si="173"/>
        <v>185</v>
      </c>
      <c r="I1048" s="83">
        <f t="shared" si="170"/>
        <v>0</v>
      </c>
      <c r="J1048" s="86">
        <v>100</v>
      </c>
      <c r="K1048" s="86">
        <v>300</v>
      </c>
      <c r="L1048" s="83">
        <f t="shared" si="174"/>
        <v>1274</v>
      </c>
      <c r="M1048" s="94">
        <v>600</v>
      </c>
      <c r="N1048" s="83">
        <f>75</f>
        <v>75</v>
      </c>
      <c r="O1048" s="86">
        <v>240</v>
      </c>
      <c r="P1048" s="86">
        <v>40</v>
      </c>
      <c r="Q1048" s="86">
        <f t="shared" si="175"/>
        <v>315</v>
      </c>
      <c r="R1048" s="86">
        <f t="shared" si="176"/>
        <v>100</v>
      </c>
      <c r="S1048" s="83">
        <f t="shared" si="177"/>
        <v>695</v>
      </c>
      <c r="T1048" s="83">
        <f>50</f>
        <v>50</v>
      </c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</row>
    <row r="1049" spans="1:30" ht="15.75" x14ac:dyDescent="0.25">
      <c r="A1049" s="13">
        <v>72866</v>
      </c>
      <c r="B1049" s="95">
        <f t="shared" si="178"/>
        <v>30</v>
      </c>
      <c r="C1049" s="83">
        <f>194.205</f>
        <v>194.20500000000001</v>
      </c>
      <c r="D1049" s="83">
        <f>267.466</f>
        <v>267.46600000000001</v>
      </c>
      <c r="E1049" s="92">
        <f>133.845</f>
        <v>133.845</v>
      </c>
      <c r="F1049" s="83">
        <f>278.484-40-25-60-100</f>
        <v>53.48399999999998</v>
      </c>
      <c r="G1049" s="86">
        <v>40</v>
      </c>
      <c r="H1049" s="83">
        <f t="shared" si="173"/>
        <v>185</v>
      </c>
      <c r="I1049" s="83">
        <f t="shared" si="170"/>
        <v>0</v>
      </c>
      <c r="J1049" s="86">
        <v>100</v>
      </c>
      <c r="K1049" s="86">
        <v>300</v>
      </c>
      <c r="L1049" s="83">
        <f t="shared" si="174"/>
        <v>1274</v>
      </c>
      <c r="M1049" s="94">
        <v>600</v>
      </c>
      <c r="N1049" s="83">
        <f>30</f>
        <v>30</v>
      </c>
      <c r="O1049" s="86">
        <v>240</v>
      </c>
      <c r="P1049" s="86">
        <v>40</v>
      </c>
      <c r="Q1049" s="86">
        <f t="shared" si="175"/>
        <v>315</v>
      </c>
      <c r="R1049" s="86">
        <f t="shared" si="176"/>
        <v>100</v>
      </c>
      <c r="S1049" s="83">
        <f t="shared" si="177"/>
        <v>695</v>
      </c>
      <c r="T1049" s="83">
        <f>50</f>
        <v>50</v>
      </c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</row>
    <row r="1050" spans="1:30" ht="15.75" x14ac:dyDescent="0.25">
      <c r="A1050" s="13">
        <v>72897</v>
      </c>
      <c r="B1050" s="95">
        <f t="shared" si="178"/>
        <v>31</v>
      </c>
      <c r="C1050" s="83">
        <f>194.205</f>
        <v>194.20500000000001</v>
      </c>
      <c r="D1050" s="83">
        <f>267.466</f>
        <v>267.46600000000001</v>
      </c>
      <c r="E1050" s="92">
        <f>133.845</f>
        <v>133.845</v>
      </c>
      <c r="F1050" s="83">
        <f>278.484-40-25-60-100</f>
        <v>53.48399999999998</v>
      </c>
      <c r="G1050" s="86">
        <v>40</v>
      </c>
      <c r="H1050" s="83">
        <f t="shared" si="173"/>
        <v>185</v>
      </c>
      <c r="I1050" s="83">
        <f t="shared" si="170"/>
        <v>0</v>
      </c>
      <c r="J1050" s="86">
        <v>100</v>
      </c>
      <c r="K1050" s="86">
        <v>300</v>
      </c>
      <c r="L1050" s="83">
        <f t="shared" si="174"/>
        <v>1274</v>
      </c>
      <c r="M1050" s="94">
        <v>600</v>
      </c>
      <c r="N1050" s="83">
        <f>30</f>
        <v>30</v>
      </c>
      <c r="O1050" s="86">
        <v>240</v>
      </c>
      <c r="P1050" s="86">
        <v>40</v>
      </c>
      <c r="Q1050" s="86">
        <f t="shared" si="175"/>
        <v>315</v>
      </c>
      <c r="R1050" s="86">
        <f t="shared" si="176"/>
        <v>100</v>
      </c>
      <c r="S1050" s="83">
        <f t="shared" si="177"/>
        <v>695</v>
      </c>
      <c r="T1050" s="83">
        <f>0</f>
        <v>0</v>
      </c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</row>
    <row r="1051" spans="1:30" ht="15.75" x14ac:dyDescent="0.25">
      <c r="A1051" s="13">
        <v>72928</v>
      </c>
      <c r="B1051" s="95">
        <f t="shared" si="178"/>
        <v>31</v>
      </c>
      <c r="C1051" s="83">
        <f>194.205</f>
        <v>194.20500000000001</v>
      </c>
      <c r="D1051" s="83">
        <f>267.466</f>
        <v>267.46600000000001</v>
      </c>
      <c r="E1051" s="92">
        <f>133.845</f>
        <v>133.845</v>
      </c>
      <c r="F1051" s="83">
        <f>278.484-40-25-60-100</f>
        <v>53.48399999999998</v>
      </c>
      <c r="G1051" s="86">
        <v>40</v>
      </c>
      <c r="H1051" s="83">
        <f t="shared" si="173"/>
        <v>185</v>
      </c>
      <c r="I1051" s="83">
        <f t="shared" si="170"/>
        <v>0</v>
      </c>
      <c r="J1051" s="86">
        <v>100</v>
      </c>
      <c r="K1051" s="86">
        <v>300</v>
      </c>
      <c r="L1051" s="83">
        <f t="shared" si="174"/>
        <v>1274</v>
      </c>
      <c r="M1051" s="94">
        <v>600</v>
      </c>
      <c r="N1051" s="83">
        <f>30</f>
        <v>30</v>
      </c>
      <c r="O1051" s="86">
        <v>240</v>
      </c>
      <c r="P1051" s="86">
        <v>40</v>
      </c>
      <c r="Q1051" s="86">
        <f t="shared" si="175"/>
        <v>315</v>
      </c>
      <c r="R1051" s="86">
        <f t="shared" si="176"/>
        <v>100</v>
      </c>
      <c r="S1051" s="83">
        <f t="shared" si="177"/>
        <v>695</v>
      </c>
      <c r="T1051" s="83">
        <f>0</f>
        <v>0</v>
      </c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</row>
    <row r="1052" spans="1:30" ht="15.75" x14ac:dyDescent="0.25">
      <c r="A1052" s="13">
        <v>72958</v>
      </c>
      <c r="B1052" s="95">
        <f t="shared" si="178"/>
        <v>30</v>
      </c>
      <c r="C1052" s="83">
        <f>194.205</f>
        <v>194.20500000000001</v>
      </c>
      <c r="D1052" s="83">
        <f>267.466</f>
        <v>267.46600000000001</v>
      </c>
      <c r="E1052" s="92">
        <f>133.845</f>
        <v>133.845</v>
      </c>
      <c r="F1052" s="83">
        <f>278.484-40-25-60-100</f>
        <v>53.48399999999998</v>
      </c>
      <c r="G1052" s="86">
        <v>40</v>
      </c>
      <c r="H1052" s="83">
        <f t="shared" si="173"/>
        <v>185</v>
      </c>
      <c r="I1052" s="83">
        <f t="shared" si="170"/>
        <v>0</v>
      </c>
      <c r="J1052" s="86">
        <v>100</v>
      </c>
      <c r="K1052" s="86">
        <v>300</v>
      </c>
      <c r="L1052" s="83">
        <f t="shared" si="174"/>
        <v>1274</v>
      </c>
      <c r="M1052" s="94">
        <v>600</v>
      </c>
      <c r="N1052" s="83">
        <f>30</f>
        <v>30</v>
      </c>
      <c r="O1052" s="86">
        <v>240</v>
      </c>
      <c r="P1052" s="86">
        <v>40</v>
      </c>
      <c r="Q1052" s="86">
        <f t="shared" si="175"/>
        <v>315</v>
      </c>
      <c r="R1052" s="86">
        <f t="shared" si="176"/>
        <v>100</v>
      </c>
      <c r="S1052" s="83">
        <f t="shared" si="177"/>
        <v>695</v>
      </c>
      <c r="T1052" s="83">
        <f>0</f>
        <v>0</v>
      </c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</row>
    <row r="1053" spans="1:30" ht="15.75" x14ac:dyDescent="0.25">
      <c r="A1053" s="13">
        <v>72989</v>
      </c>
      <c r="B1053" s="95">
        <f t="shared" si="178"/>
        <v>31</v>
      </c>
      <c r="C1053" s="83">
        <f>131.881</f>
        <v>131.881</v>
      </c>
      <c r="D1053" s="83">
        <f>277.167</f>
        <v>277.16699999999997</v>
      </c>
      <c r="E1053" s="92">
        <f>79.08</f>
        <v>79.08</v>
      </c>
      <c r="F1053" s="83">
        <f>350.872-40-25-60-100</f>
        <v>125.87200000000001</v>
      </c>
      <c r="G1053" s="86">
        <v>40</v>
      </c>
      <c r="H1053" s="83">
        <f t="shared" si="173"/>
        <v>185</v>
      </c>
      <c r="I1053" s="83">
        <f t="shared" si="170"/>
        <v>0</v>
      </c>
      <c r="J1053" s="86">
        <v>100</v>
      </c>
      <c r="K1053" s="86">
        <v>300</v>
      </c>
      <c r="L1053" s="83">
        <f t="shared" si="174"/>
        <v>1239</v>
      </c>
      <c r="M1053" s="94">
        <v>600</v>
      </c>
      <c r="N1053" s="83">
        <f>75</f>
        <v>75</v>
      </c>
      <c r="O1053" s="86">
        <v>240</v>
      </c>
      <c r="P1053" s="86">
        <v>40</v>
      </c>
      <c r="Q1053" s="86">
        <f t="shared" si="175"/>
        <v>315</v>
      </c>
      <c r="R1053" s="86">
        <f t="shared" si="176"/>
        <v>100</v>
      </c>
      <c r="S1053" s="83">
        <f t="shared" si="177"/>
        <v>695</v>
      </c>
      <c r="T1053" s="83">
        <f>0</f>
        <v>0</v>
      </c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</row>
    <row r="1054" spans="1:30" ht="15.75" x14ac:dyDescent="0.25">
      <c r="A1054" s="13">
        <v>73019</v>
      </c>
      <c r="B1054" s="95">
        <f t="shared" si="178"/>
        <v>30</v>
      </c>
      <c r="C1054" s="83">
        <f>122.58</f>
        <v>122.58</v>
      </c>
      <c r="D1054" s="83">
        <f>297.941</f>
        <v>297.94099999999997</v>
      </c>
      <c r="E1054" s="92">
        <f>89.177</f>
        <v>89.177000000000007</v>
      </c>
      <c r="F1054" s="83">
        <f>240.302-40-60-100</f>
        <v>40.301999999999992</v>
      </c>
      <c r="G1054" s="86">
        <v>40</v>
      </c>
      <c r="H1054" s="83">
        <f>60+100</f>
        <v>160</v>
      </c>
      <c r="I1054" s="83">
        <f t="shared" si="170"/>
        <v>0</v>
      </c>
      <c r="J1054" s="86">
        <v>100</v>
      </c>
      <c r="K1054" s="86">
        <v>300</v>
      </c>
      <c r="L1054" s="83">
        <f t="shared" si="174"/>
        <v>1150</v>
      </c>
      <c r="M1054" s="94">
        <v>600</v>
      </c>
      <c r="N1054" s="83">
        <f>100</f>
        <v>100</v>
      </c>
      <c r="O1054" s="86">
        <v>240</v>
      </c>
      <c r="P1054" s="86">
        <v>40</v>
      </c>
      <c r="Q1054" s="86">
        <f t="shared" si="175"/>
        <v>315</v>
      </c>
      <c r="R1054" s="86">
        <f t="shared" si="176"/>
        <v>100</v>
      </c>
      <c r="S1054" s="83">
        <f t="shared" si="177"/>
        <v>695</v>
      </c>
      <c r="T1054" s="83">
        <f>50</f>
        <v>50</v>
      </c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</row>
    <row r="1055" spans="1:30" ht="15.75" x14ac:dyDescent="0.25">
      <c r="A1055" s="13">
        <v>73050</v>
      </c>
      <c r="B1055" s="95">
        <f t="shared" si="178"/>
        <v>31</v>
      </c>
      <c r="C1055" s="83">
        <f>122.58</f>
        <v>122.58</v>
      </c>
      <c r="D1055" s="83">
        <f>297.941</f>
        <v>297.94099999999997</v>
      </c>
      <c r="E1055" s="92">
        <f>89.177</f>
        <v>89.177000000000007</v>
      </c>
      <c r="F1055" s="83">
        <f>240.302-40-60-100</f>
        <v>40.301999999999992</v>
      </c>
      <c r="G1055" s="86">
        <v>40</v>
      </c>
      <c r="H1055" s="83">
        <f>60+100</f>
        <v>160</v>
      </c>
      <c r="I1055" s="83">
        <f t="shared" si="170"/>
        <v>0</v>
      </c>
      <c r="J1055" s="86">
        <v>100</v>
      </c>
      <c r="K1055" s="86">
        <v>300</v>
      </c>
      <c r="L1055" s="83">
        <f t="shared" si="174"/>
        <v>1150</v>
      </c>
      <c r="M1055" s="94">
        <v>600</v>
      </c>
      <c r="N1055" s="83">
        <f>100</f>
        <v>100</v>
      </c>
      <c r="O1055" s="86">
        <v>240</v>
      </c>
      <c r="P1055" s="86">
        <v>40</v>
      </c>
      <c r="Q1055" s="86">
        <f t="shared" si="175"/>
        <v>315</v>
      </c>
      <c r="R1055" s="86">
        <f t="shared" si="176"/>
        <v>100</v>
      </c>
      <c r="S1055" s="83">
        <f t="shared" si="177"/>
        <v>695</v>
      </c>
      <c r="T1055" s="83">
        <f>50</f>
        <v>50</v>
      </c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</row>
    <row r="1056" spans="1:30" ht="15.75" x14ac:dyDescent="0.25">
      <c r="A1056" s="13">
        <v>73081</v>
      </c>
      <c r="B1056" s="95">
        <f t="shared" si="178"/>
        <v>31</v>
      </c>
      <c r="C1056" s="83">
        <f>122.58</f>
        <v>122.58</v>
      </c>
      <c r="D1056" s="83">
        <f>297.941</f>
        <v>297.94099999999997</v>
      </c>
      <c r="E1056" s="92">
        <f>89.177</f>
        <v>89.177000000000007</v>
      </c>
      <c r="F1056" s="83">
        <f>240.302-40-60-100</f>
        <v>40.301999999999992</v>
      </c>
      <c r="G1056" s="86">
        <v>40</v>
      </c>
      <c r="H1056" s="83">
        <f>60+100</f>
        <v>160</v>
      </c>
      <c r="I1056" s="83">
        <f t="shared" si="170"/>
        <v>0</v>
      </c>
      <c r="J1056" s="86">
        <v>100</v>
      </c>
      <c r="K1056" s="86">
        <v>300</v>
      </c>
      <c r="L1056" s="83">
        <f t="shared" si="174"/>
        <v>1150</v>
      </c>
      <c r="M1056" s="94">
        <v>600</v>
      </c>
      <c r="N1056" s="83">
        <f>100</f>
        <v>100</v>
      </c>
      <c r="O1056" s="86">
        <v>240</v>
      </c>
      <c r="P1056" s="86">
        <v>40</v>
      </c>
      <c r="Q1056" s="86">
        <f t="shared" si="175"/>
        <v>315</v>
      </c>
      <c r="R1056" s="86">
        <f t="shared" si="176"/>
        <v>100</v>
      </c>
      <c r="S1056" s="83">
        <f t="shared" si="177"/>
        <v>695</v>
      </c>
      <c r="T1056" s="83">
        <f>50</f>
        <v>50</v>
      </c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</row>
    <row r="1057" spans="1:30" ht="15.75" x14ac:dyDescent="0.25">
      <c r="A1057" s="13">
        <v>73109</v>
      </c>
      <c r="B1057" s="95">
        <f t="shared" si="178"/>
        <v>28</v>
      </c>
      <c r="C1057" s="83">
        <f>122.58</f>
        <v>122.58</v>
      </c>
      <c r="D1057" s="83">
        <f>297.941</f>
        <v>297.94099999999997</v>
      </c>
      <c r="E1057" s="92">
        <f>89.177</f>
        <v>89.177000000000007</v>
      </c>
      <c r="F1057" s="83">
        <f>240.302-40-60-100</f>
        <v>40.301999999999992</v>
      </c>
      <c r="G1057" s="86">
        <v>40</v>
      </c>
      <c r="H1057" s="83">
        <f>60+100</f>
        <v>160</v>
      </c>
      <c r="I1057" s="83">
        <f t="shared" si="170"/>
        <v>0</v>
      </c>
      <c r="J1057" s="86">
        <v>100</v>
      </c>
      <c r="K1057" s="86">
        <v>300</v>
      </c>
      <c r="L1057" s="83">
        <f t="shared" si="174"/>
        <v>1150</v>
      </c>
      <c r="M1057" s="94">
        <v>600</v>
      </c>
      <c r="N1057" s="83">
        <f>100</f>
        <v>100</v>
      </c>
      <c r="O1057" s="86">
        <v>240</v>
      </c>
      <c r="P1057" s="86">
        <v>40</v>
      </c>
      <c r="Q1057" s="86">
        <f t="shared" si="175"/>
        <v>315</v>
      </c>
      <c r="R1057" s="86">
        <f t="shared" si="176"/>
        <v>100</v>
      </c>
      <c r="S1057" s="83">
        <f t="shared" si="177"/>
        <v>695</v>
      </c>
      <c r="T1057" s="83">
        <f>50</f>
        <v>50</v>
      </c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</row>
    <row r="1058" spans="1:30" ht="15.75" x14ac:dyDescent="0.25">
      <c r="A1058" s="13">
        <v>73140</v>
      </c>
      <c r="B1058" s="95">
        <f t="shared" si="178"/>
        <v>31</v>
      </c>
      <c r="C1058" s="83">
        <f>122.58</f>
        <v>122.58</v>
      </c>
      <c r="D1058" s="83">
        <f>297.941</f>
        <v>297.94099999999997</v>
      </c>
      <c r="E1058" s="92">
        <f>89.177</f>
        <v>89.177000000000007</v>
      </c>
      <c r="F1058" s="83">
        <f>240.302-40-60-100</f>
        <v>40.301999999999992</v>
      </c>
      <c r="G1058" s="86">
        <v>40</v>
      </c>
      <c r="H1058" s="83">
        <f>60+100</f>
        <v>160</v>
      </c>
      <c r="I1058" s="83">
        <f t="shared" si="170"/>
        <v>0</v>
      </c>
      <c r="J1058" s="86">
        <v>100</v>
      </c>
      <c r="K1058" s="86">
        <v>300</v>
      </c>
      <c r="L1058" s="83">
        <f t="shared" si="174"/>
        <v>1150</v>
      </c>
      <c r="M1058" s="94">
        <v>600</v>
      </c>
      <c r="N1058" s="83">
        <f>100</f>
        <v>100</v>
      </c>
      <c r="O1058" s="86">
        <v>240</v>
      </c>
      <c r="P1058" s="86">
        <v>40</v>
      </c>
      <c r="Q1058" s="86">
        <f t="shared" si="175"/>
        <v>315</v>
      </c>
      <c r="R1058" s="86">
        <f t="shared" si="176"/>
        <v>100</v>
      </c>
      <c r="S1058" s="83">
        <f t="shared" si="177"/>
        <v>695</v>
      </c>
      <c r="T1058" s="83">
        <f>50</f>
        <v>50</v>
      </c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</row>
    <row r="1059" spans="1:30" ht="15.75" x14ac:dyDescent="0.25">
      <c r="A1059" s="13">
        <v>73170</v>
      </c>
      <c r="B1059" s="95">
        <f t="shared" si="178"/>
        <v>30</v>
      </c>
      <c r="C1059" s="83">
        <f>141.293</f>
        <v>141.29300000000001</v>
      </c>
      <c r="D1059" s="83">
        <f>267.993</f>
        <v>267.99299999999999</v>
      </c>
      <c r="E1059" s="92">
        <f>115.016</f>
        <v>115.01600000000001</v>
      </c>
      <c r="F1059" s="83">
        <f>314.698-40-25-60-100</f>
        <v>89.697999999999979</v>
      </c>
      <c r="G1059" s="86">
        <v>40</v>
      </c>
      <c r="H1059" s="83">
        <f t="shared" ref="H1059:H1065" si="179">25+60+100</f>
        <v>185</v>
      </c>
      <c r="I1059" s="83">
        <f t="shared" si="170"/>
        <v>0</v>
      </c>
      <c r="J1059" s="86">
        <v>100</v>
      </c>
      <c r="K1059" s="86">
        <v>300</v>
      </c>
      <c r="L1059" s="83">
        <f t="shared" si="174"/>
        <v>1239</v>
      </c>
      <c r="M1059" s="94">
        <v>600</v>
      </c>
      <c r="N1059" s="83">
        <f>100</f>
        <v>100</v>
      </c>
      <c r="O1059" s="86">
        <v>240</v>
      </c>
      <c r="P1059" s="86">
        <v>40</v>
      </c>
      <c r="Q1059" s="86">
        <f t="shared" si="175"/>
        <v>315</v>
      </c>
      <c r="R1059" s="86">
        <f t="shared" si="176"/>
        <v>100</v>
      </c>
      <c r="S1059" s="83">
        <f t="shared" si="177"/>
        <v>695</v>
      </c>
      <c r="T1059" s="83">
        <f>50</f>
        <v>50</v>
      </c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</row>
    <row r="1060" spans="1:30" ht="15.75" x14ac:dyDescent="0.25">
      <c r="A1060" s="13">
        <v>73201</v>
      </c>
      <c r="B1060" s="95">
        <f t="shared" si="178"/>
        <v>31</v>
      </c>
      <c r="C1060" s="83">
        <f>194.205</f>
        <v>194.20500000000001</v>
      </c>
      <c r="D1060" s="83">
        <f>267.466</f>
        <v>267.46600000000001</v>
      </c>
      <c r="E1060" s="92">
        <f>133.845</f>
        <v>133.845</v>
      </c>
      <c r="F1060" s="83">
        <f>278.484-40-25-60-100</f>
        <v>53.48399999999998</v>
      </c>
      <c r="G1060" s="86">
        <v>40</v>
      </c>
      <c r="H1060" s="83">
        <f t="shared" si="179"/>
        <v>185</v>
      </c>
      <c r="I1060" s="83">
        <f t="shared" si="170"/>
        <v>0</v>
      </c>
      <c r="J1060" s="86">
        <v>100</v>
      </c>
      <c r="K1060" s="86">
        <v>300</v>
      </c>
      <c r="L1060" s="83">
        <f t="shared" si="174"/>
        <v>1274</v>
      </c>
      <c r="M1060" s="94">
        <v>600</v>
      </c>
      <c r="N1060" s="83">
        <f>75</f>
        <v>75</v>
      </c>
      <c r="O1060" s="86">
        <v>240</v>
      </c>
      <c r="P1060" s="86">
        <v>40</v>
      </c>
      <c r="Q1060" s="86">
        <f t="shared" si="175"/>
        <v>315</v>
      </c>
      <c r="R1060" s="86">
        <f t="shared" si="176"/>
        <v>100</v>
      </c>
      <c r="S1060" s="83">
        <f t="shared" si="177"/>
        <v>695</v>
      </c>
      <c r="T1060" s="83">
        <f>50</f>
        <v>50</v>
      </c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</row>
    <row r="1061" spans="1:30" ht="15.75" x14ac:dyDescent="0.25">
      <c r="A1061" s="13">
        <v>73231</v>
      </c>
      <c r="B1061" s="95">
        <f t="shared" si="178"/>
        <v>30</v>
      </c>
      <c r="C1061" s="83">
        <f>194.205</f>
        <v>194.20500000000001</v>
      </c>
      <c r="D1061" s="83">
        <f>267.466</f>
        <v>267.46600000000001</v>
      </c>
      <c r="E1061" s="92">
        <f>133.845</f>
        <v>133.845</v>
      </c>
      <c r="F1061" s="83">
        <f>278.484-40-25-60-100</f>
        <v>53.48399999999998</v>
      </c>
      <c r="G1061" s="86">
        <v>40</v>
      </c>
      <c r="H1061" s="83">
        <f t="shared" si="179"/>
        <v>185</v>
      </c>
      <c r="I1061" s="83">
        <f t="shared" si="170"/>
        <v>0</v>
      </c>
      <c r="J1061" s="86">
        <v>100</v>
      </c>
      <c r="K1061" s="86">
        <v>300</v>
      </c>
      <c r="L1061" s="83">
        <f t="shared" si="174"/>
        <v>1274</v>
      </c>
      <c r="M1061" s="94">
        <v>600</v>
      </c>
      <c r="N1061" s="83">
        <f>30</f>
        <v>30</v>
      </c>
      <c r="O1061" s="86">
        <v>240</v>
      </c>
      <c r="P1061" s="86">
        <v>40</v>
      </c>
      <c r="Q1061" s="86">
        <f t="shared" si="175"/>
        <v>315</v>
      </c>
      <c r="R1061" s="86">
        <f t="shared" si="176"/>
        <v>100</v>
      </c>
      <c r="S1061" s="83">
        <f t="shared" si="177"/>
        <v>695</v>
      </c>
      <c r="T1061" s="83">
        <f>50</f>
        <v>50</v>
      </c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</row>
    <row r="1062" spans="1:30" ht="15.75" x14ac:dyDescent="0.25">
      <c r="A1062" s="13">
        <v>73262</v>
      </c>
      <c r="B1062" s="95">
        <f t="shared" si="178"/>
        <v>31</v>
      </c>
      <c r="C1062" s="83">
        <f>194.205</f>
        <v>194.20500000000001</v>
      </c>
      <c r="D1062" s="83">
        <f>267.466</f>
        <v>267.46600000000001</v>
      </c>
      <c r="E1062" s="92">
        <f>133.845</f>
        <v>133.845</v>
      </c>
      <c r="F1062" s="83">
        <f>278.484-40-25-60-100</f>
        <v>53.48399999999998</v>
      </c>
      <c r="G1062" s="86">
        <v>40</v>
      </c>
      <c r="H1062" s="83">
        <f t="shared" si="179"/>
        <v>185</v>
      </c>
      <c r="I1062" s="83">
        <f t="shared" si="170"/>
        <v>0</v>
      </c>
      <c r="J1062" s="86">
        <v>100</v>
      </c>
      <c r="K1062" s="86">
        <v>300</v>
      </c>
      <c r="L1062" s="83">
        <f t="shared" si="174"/>
        <v>1274</v>
      </c>
      <c r="M1062" s="94">
        <v>600</v>
      </c>
      <c r="N1062" s="83">
        <f>30</f>
        <v>30</v>
      </c>
      <c r="O1062" s="86">
        <v>240</v>
      </c>
      <c r="P1062" s="86">
        <v>40</v>
      </c>
      <c r="Q1062" s="86">
        <f t="shared" si="175"/>
        <v>315</v>
      </c>
      <c r="R1062" s="86">
        <f t="shared" si="176"/>
        <v>100</v>
      </c>
      <c r="S1062" s="83">
        <f t="shared" si="177"/>
        <v>695</v>
      </c>
      <c r="T1062" s="83">
        <f>0</f>
        <v>0</v>
      </c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</row>
    <row r="1063" spans="1:30" ht="15.75" x14ac:dyDescent="0.25">
      <c r="A1063" s="13">
        <v>73293</v>
      </c>
      <c r="B1063" s="95">
        <f t="shared" si="178"/>
        <v>31</v>
      </c>
      <c r="C1063" s="83">
        <f>194.205</f>
        <v>194.20500000000001</v>
      </c>
      <c r="D1063" s="83">
        <f>267.466</f>
        <v>267.46600000000001</v>
      </c>
      <c r="E1063" s="92">
        <f>133.845</f>
        <v>133.845</v>
      </c>
      <c r="F1063" s="83">
        <f>278.484-40-25-60-100</f>
        <v>53.48399999999998</v>
      </c>
      <c r="G1063" s="86">
        <v>40</v>
      </c>
      <c r="H1063" s="83">
        <f t="shared" si="179"/>
        <v>185</v>
      </c>
      <c r="I1063" s="83">
        <f t="shared" si="170"/>
        <v>0</v>
      </c>
      <c r="J1063" s="86">
        <v>100</v>
      </c>
      <c r="K1063" s="86">
        <v>300</v>
      </c>
      <c r="L1063" s="83">
        <f t="shared" si="174"/>
        <v>1274</v>
      </c>
      <c r="M1063" s="94">
        <v>600</v>
      </c>
      <c r="N1063" s="83">
        <f>30</f>
        <v>30</v>
      </c>
      <c r="O1063" s="86">
        <v>240</v>
      </c>
      <c r="P1063" s="86">
        <v>40</v>
      </c>
      <c r="Q1063" s="86">
        <f t="shared" si="175"/>
        <v>315</v>
      </c>
      <c r="R1063" s="86">
        <f t="shared" si="176"/>
        <v>100</v>
      </c>
      <c r="S1063" s="83">
        <f t="shared" si="177"/>
        <v>695</v>
      </c>
      <c r="T1063" s="83">
        <f>0</f>
        <v>0</v>
      </c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</row>
    <row r="1064" spans="1:30" ht="15.75" x14ac:dyDescent="0.25">
      <c r="A1064" s="13">
        <v>73323</v>
      </c>
      <c r="B1064" s="95">
        <f t="shared" si="178"/>
        <v>30</v>
      </c>
      <c r="C1064" s="83">
        <f>194.205</f>
        <v>194.20500000000001</v>
      </c>
      <c r="D1064" s="83">
        <f>267.466</f>
        <v>267.46600000000001</v>
      </c>
      <c r="E1064" s="92">
        <f>133.845</f>
        <v>133.845</v>
      </c>
      <c r="F1064" s="83">
        <f>278.484-40-25-60-100</f>
        <v>53.48399999999998</v>
      </c>
      <c r="G1064" s="86">
        <v>40</v>
      </c>
      <c r="H1064" s="83">
        <f t="shared" si="179"/>
        <v>185</v>
      </c>
      <c r="I1064" s="83">
        <f t="shared" si="170"/>
        <v>0</v>
      </c>
      <c r="J1064" s="86">
        <v>100</v>
      </c>
      <c r="K1064" s="86">
        <v>300</v>
      </c>
      <c r="L1064" s="83">
        <f t="shared" si="174"/>
        <v>1274</v>
      </c>
      <c r="M1064" s="94">
        <v>600</v>
      </c>
      <c r="N1064" s="83">
        <f>30</f>
        <v>30</v>
      </c>
      <c r="O1064" s="86">
        <v>240</v>
      </c>
      <c r="P1064" s="86">
        <v>40</v>
      </c>
      <c r="Q1064" s="86">
        <f t="shared" si="175"/>
        <v>315</v>
      </c>
      <c r="R1064" s="86">
        <f t="shared" si="176"/>
        <v>100</v>
      </c>
      <c r="S1064" s="83">
        <f t="shared" si="177"/>
        <v>695</v>
      </c>
      <c r="T1064" s="83">
        <f>0</f>
        <v>0</v>
      </c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</row>
    <row r="1065" spans="1:30" ht="15.75" x14ac:dyDescent="0.25">
      <c r="A1065" s="13">
        <v>73354</v>
      </c>
      <c r="B1065" s="95">
        <f t="shared" si="178"/>
        <v>31</v>
      </c>
      <c r="C1065" s="83">
        <f>131.881</f>
        <v>131.881</v>
      </c>
      <c r="D1065" s="83">
        <f>277.167</f>
        <v>277.16699999999997</v>
      </c>
      <c r="E1065" s="92">
        <f>79.08</f>
        <v>79.08</v>
      </c>
      <c r="F1065" s="83">
        <f>350.872-40-25-60-100</f>
        <v>125.87200000000001</v>
      </c>
      <c r="G1065" s="86">
        <v>40</v>
      </c>
      <c r="H1065" s="83">
        <f t="shared" si="179"/>
        <v>185</v>
      </c>
      <c r="I1065" s="83">
        <f t="shared" si="170"/>
        <v>0</v>
      </c>
      <c r="J1065" s="86">
        <v>100</v>
      </c>
      <c r="K1065" s="86">
        <v>300</v>
      </c>
      <c r="L1065" s="83">
        <f t="shared" si="174"/>
        <v>1239</v>
      </c>
      <c r="M1065" s="94">
        <v>600</v>
      </c>
      <c r="N1065" s="83">
        <f>75</f>
        <v>75</v>
      </c>
      <c r="O1065" s="86">
        <v>240</v>
      </c>
      <c r="P1065" s="86">
        <v>40</v>
      </c>
      <c r="Q1065" s="86">
        <f t="shared" si="175"/>
        <v>315</v>
      </c>
      <c r="R1065" s="86">
        <f t="shared" si="176"/>
        <v>100</v>
      </c>
      <c r="S1065" s="83">
        <f t="shared" si="177"/>
        <v>695</v>
      </c>
      <c r="T1065" s="83">
        <f>0</f>
        <v>0</v>
      </c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</row>
    <row r="1066" spans="1:30" ht="15.75" x14ac:dyDescent="0.25">
      <c r="A1066" s="13">
        <v>73384</v>
      </c>
      <c r="B1066" s="95">
        <f t="shared" si="178"/>
        <v>30</v>
      </c>
      <c r="C1066" s="83">
        <f>122.58</f>
        <v>122.58</v>
      </c>
      <c r="D1066" s="83">
        <f>297.941</f>
        <v>297.94099999999997</v>
      </c>
      <c r="E1066" s="92">
        <f>89.177</f>
        <v>89.177000000000007</v>
      </c>
      <c r="F1066" s="83">
        <f>240.302-40-60-100</f>
        <v>40.301999999999992</v>
      </c>
      <c r="G1066" s="86">
        <v>40</v>
      </c>
      <c r="H1066" s="83">
        <f>60+100</f>
        <v>160</v>
      </c>
      <c r="I1066" s="83">
        <f t="shared" si="170"/>
        <v>0</v>
      </c>
      <c r="J1066" s="86">
        <v>100</v>
      </c>
      <c r="K1066" s="86">
        <v>300</v>
      </c>
      <c r="L1066" s="83">
        <f t="shared" si="174"/>
        <v>1150</v>
      </c>
      <c r="M1066" s="94">
        <v>600</v>
      </c>
      <c r="N1066" s="83">
        <f>100</f>
        <v>100</v>
      </c>
      <c r="O1066" s="86">
        <v>240</v>
      </c>
      <c r="P1066" s="86">
        <v>40</v>
      </c>
      <c r="Q1066" s="86">
        <f t="shared" si="175"/>
        <v>315</v>
      </c>
      <c r="R1066" s="86">
        <f t="shared" si="176"/>
        <v>100</v>
      </c>
      <c r="S1066" s="83">
        <f t="shared" si="177"/>
        <v>695</v>
      </c>
      <c r="T1066" s="83">
        <f>50</f>
        <v>50</v>
      </c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</row>
    <row r="1067" spans="1:30" ht="15.75" x14ac:dyDescent="0.25">
      <c r="A1067" s="13">
        <v>73415</v>
      </c>
      <c r="B1067" s="95">
        <f t="shared" si="178"/>
        <v>31</v>
      </c>
      <c r="C1067" s="83">
        <f>122.58</f>
        <v>122.58</v>
      </c>
      <c r="D1067" s="83">
        <f>297.941</f>
        <v>297.94099999999997</v>
      </c>
      <c r="E1067" s="92">
        <f>89.177</f>
        <v>89.177000000000007</v>
      </c>
      <c r="F1067" s="83">
        <f>240.302-40-60-100</f>
        <v>40.301999999999992</v>
      </c>
      <c r="G1067" s="86">
        <v>40</v>
      </c>
      <c r="H1067" s="83">
        <f>60+100</f>
        <v>160</v>
      </c>
      <c r="I1067" s="83">
        <f t="shared" si="170"/>
        <v>0</v>
      </c>
      <c r="J1067" s="86">
        <v>100</v>
      </c>
      <c r="K1067" s="86">
        <v>300</v>
      </c>
      <c r="L1067" s="83">
        <f t="shared" si="174"/>
        <v>1150</v>
      </c>
      <c r="M1067" s="94">
        <v>600</v>
      </c>
      <c r="N1067" s="83">
        <f>100</f>
        <v>100</v>
      </c>
      <c r="O1067" s="86">
        <v>240</v>
      </c>
      <c r="P1067" s="86">
        <v>40</v>
      </c>
      <c r="Q1067" s="86">
        <f t="shared" si="175"/>
        <v>315</v>
      </c>
      <c r="R1067" s="86">
        <f t="shared" si="176"/>
        <v>100</v>
      </c>
      <c r="S1067" s="83">
        <f t="shared" si="177"/>
        <v>695</v>
      </c>
      <c r="T1067" s="83">
        <f>50</f>
        <v>50</v>
      </c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</row>
    <row r="1068" spans="1:30" ht="15" x14ac:dyDescent="0.2">
      <c r="A1068" s="12"/>
      <c r="B1068" s="93"/>
      <c r="C1068" s="83"/>
      <c r="D1068" s="83"/>
      <c r="E1068" s="92"/>
      <c r="F1068" s="83"/>
      <c r="G1068" s="83"/>
      <c r="H1068" s="83"/>
      <c r="I1068" s="83"/>
      <c r="J1068" s="83"/>
      <c r="K1068" s="83"/>
      <c r="L1068" s="83"/>
      <c r="M1068" s="83"/>
      <c r="N1068" s="83"/>
      <c r="O1068" s="86"/>
      <c r="P1068" s="86"/>
      <c r="Q1068" s="86"/>
      <c r="R1068" s="86"/>
      <c r="S1068" s="83"/>
      <c r="T1068" s="83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</row>
    <row r="1069" spans="1:30" ht="15" x14ac:dyDescent="0.2">
      <c r="A1069" s="11">
        <v>2013</v>
      </c>
      <c r="B1069" s="11">
        <f t="shared" ref="B1069:B1100" si="180">DATE(A1069+1,1,1)-DATE(A1069,1,1)</f>
        <v>365</v>
      </c>
      <c r="C1069" s="87">
        <f t="shared" ref="C1069:L1069" si="181">AVERAGE(C12:C23)</f>
        <v>154.75825</v>
      </c>
      <c r="D1069" s="87">
        <f t="shared" si="181"/>
        <v>281.0162499999999</v>
      </c>
      <c r="E1069" s="87">
        <f t="shared" si="181"/>
        <v>109.1005</v>
      </c>
      <c r="F1069" s="87">
        <f t="shared" si="181"/>
        <v>217.04166666666666</v>
      </c>
      <c r="G1069" s="87">
        <f t="shared" si="181"/>
        <v>40</v>
      </c>
      <c r="H1069" s="87">
        <f t="shared" si="181"/>
        <v>14.583333333333334</v>
      </c>
      <c r="I1069" s="87">
        <f t="shared" si="181"/>
        <v>12.5</v>
      </c>
      <c r="J1069" s="87">
        <f t="shared" si="181"/>
        <v>100</v>
      </c>
      <c r="K1069" s="87">
        <f t="shared" si="181"/>
        <v>300</v>
      </c>
      <c r="L1069" s="87">
        <f t="shared" si="181"/>
        <v>1229</v>
      </c>
      <c r="M1069" s="91"/>
      <c r="N1069" s="87">
        <f t="shared" ref="N1069:T1069" si="182">AVERAGE(N12:N23)</f>
        <v>97.5</v>
      </c>
      <c r="O1069" s="88">
        <f t="shared" si="182"/>
        <v>240</v>
      </c>
      <c r="P1069" s="88">
        <f t="shared" si="182"/>
        <v>70</v>
      </c>
      <c r="Q1069" s="88">
        <f t="shared" si="182"/>
        <v>285</v>
      </c>
      <c r="R1069" s="88">
        <f t="shared" si="182"/>
        <v>100</v>
      </c>
      <c r="S1069" s="87">
        <f t="shared" si="182"/>
        <v>695</v>
      </c>
      <c r="T1069" s="87">
        <f t="shared" si="182"/>
        <v>33.333333333333336</v>
      </c>
      <c r="U1069" s="84"/>
      <c r="V1069" s="84"/>
      <c r="W1069" s="84"/>
      <c r="X1069" s="84"/>
      <c r="Y1069" s="84"/>
      <c r="Z1069" s="84"/>
      <c r="AA1069" s="84"/>
      <c r="AB1069" s="84"/>
      <c r="AC1069" s="84"/>
      <c r="AD1069" s="84"/>
    </row>
    <row r="1070" spans="1:30" ht="15.75" x14ac:dyDescent="0.25">
      <c r="A1070" s="11">
        <v>2014</v>
      </c>
      <c r="B1070" s="11">
        <f t="shared" si="180"/>
        <v>365</v>
      </c>
      <c r="C1070" s="87">
        <f t="shared" ref="C1070:L1070" si="183">AVERAGE(C24:C35)</f>
        <v>154.75825</v>
      </c>
      <c r="D1070" s="87">
        <f t="shared" si="183"/>
        <v>281.0162499999999</v>
      </c>
      <c r="E1070" s="87">
        <f t="shared" si="183"/>
        <v>109.1005</v>
      </c>
      <c r="F1070" s="87">
        <f t="shared" si="183"/>
        <v>217.04166666666666</v>
      </c>
      <c r="G1070" s="87">
        <f t="shared" si="183"/>
        <v>40</v>
      </c>
      <c r="H1070" s="87">
        <f t="shared" si="183"/>
        <v>14.583333333333334</v>
      </c>
      <c r="I1070" s="87">
        <f t="shared" si="183"/>
        <v>20.833333333333332</v>
      </c>
      <c r="J1070" s="87">
        <f t="shared" si="183"/>
        <v>100</v>
      </c>
      <c r="K1070" s="87">
        <f t="shared" si="183"/>
        <v>300</v>
      </c>
      <c r="L1070" s="87">
        <f t="shared" si="183"/>
        <v>1237.3333333333333</v>
      </c>
      <c r="M1070" s="90"/>
      <c r="N1070" s="87">
        <f t="shared" ref="N1070:T1070" si="184">AVERAGE(N24:N35)</f>
        <v>72.5</v>
      </c>
      <c r="O1070" s="88">
        <f t="shared" si="184"/>
        <v>240</v>
      </c>
      <c r="P1070" s="88">
        <f t="shared" si="184"/>
        <v>70</v>
      </c>
      <c r="Q1070" s="88">
        <f t="shared" si="184"/>
        <v>285</v>
      </c>
      <c r="R1070" s="88">
        <f t="shared" si="184"/>
        <v>100</v>
      </c>
      <c r="S1070" s="87">
        <f t="shared" si="184"/>
        <v>695</v>
      </c>
      <c r="T1070" s="87">
        <f t="shared" si="184"/>
        <v>33.333333333333336</v>
      </c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</row>
    <row r="1071" spans="1:30" ht="15.75" x14ac:dyDescent="0.25">
      <c r="A1071" s="11">
        <v>2015</v>
      </c>
      <c r="B1071" s="11">
        <f t="shared" si="180"/>
        <v>365</v>
      </c>
      <c r="C1071" s="87">
        <f t="shared" ref="C1071:L1071" si="185">AVERAGE(C36:C47)</f>
        <v>154.75825</v>
      </c>
      <c r="D1071" s="87">
        <f t="shared" si="185"/>
        <v>281.0162499999999</v>
      </c>
      <c r="E1071" s="87">
        <f t="shared" si="185"/>
        <v>109.1005</v>
      </c>
      <c r="F1071" s="87">
        <f t="shared" si="185"/>
        <v>97.041666666666629</v>
      </c>
      <c r="G1071" s="87">
        <f t="shared" si="185"/>
        <v>40</v>
      </c>
      <c r="H1071" s="87">
        <f t="shared" si="185"/>
        <v>134.58333333333334</v>
      </c>
      <c r="I1071" s="87">
        <f t="shared" si="185"/>
        <v>20.833333333333332</v>
      </c>
      <c r="J1071" s="87">
        <f t="shared" si="185"/>
        <v>100</v>
      </c>
      <c r="K1071" s="87">
        <f t="shared" si="185"/>
        <v>300</v>
      </c>
      <c r="L1071" s="87">
        <f t="shared" si="185"/>
        <v>1237.3333333333333</v>
      </c>
      <c r="M1071" s="90"/>
      <c r="N1071" s="87">
        <f t="shared" ref="N1071:T1071" si="186">AVERAGE(N36:N47)</f>
        <v>72.5</v>
      </c>
      <c r="O1071" s="88">
        <f t="shared" si="186"/>
        <v>240</v>
      </c>
      <c r="P1071" s="88">
        <f t="shared" si="186"/>
        <v>100</v>
      </c>
      <c r="Q1071" s="88">
        <f t="shared" si="186"/>
        <v>255</v>
      </c>
      <c r="R1071" s="88">
        <f t="shared" si="186"/>
        <v>100</v>
      </c>
      <c r="S1071" s="87">
        <f t="shared" si="186"/>
        <v>695</v>
      </c>
      <c r="T1071" s="87">
        <f t="shared" si="186"/>
        <v>33.333333333333336</v>
      </c>
      <c r="U1071" s="84"/>
      <c r="V1071" s="84"/>
      <c r="W1071" s="84"/>
      <c r="X1071" s="84"/>
      <c r="Y1071" s="84"/>
      <c r="Z1071" s="84"/>
      <c r="AA1071" s="84"/>
      <c r="AB1071" s="84"/>
      <c r="AC1071" s="84"/>
      <c r="AD1071" s="84"/>
    </row>
    <row r="1072" spans="1:30" ht="15.75" x14ac:dyDescent="0.25">
      <c r="A1072" s="11">
        <v>2016</v>
      </c>
      <c r="B1072" s="11">
        <f t="shared" si="180"/>
        <v>366</v>
      </c>
      <c r="C1072" s="87">
        <f t="shared" ref="C1072:L1072" si="187">AVERAGE(C48:C59)</f>
        <v>154.75825</v>
      </c>
      <c r="D1072" s="87">
        <f t="shared" si="187"/>
        <v>281.0162499999999</v>
      </c>
      <c r="E1072" s="87">
        <f t="shared" si="187"/>
        <v>109.1005</v>
      </c>
      <c r="F1072" s="87">
        <f t="shared" si="187"/>
        <v>57.041666666666664</v>
      </c>
      <c r="G1072" s="87">
        <f t="shared" si="187"/>
        <v>40</v>
      </c>
      <c r="H1072" s="87">
        <f t="shared" si="187"/>
        <v>174.58333333333334</v>
      </c>
      <c r="I1072" s="87">
        <f t="shared" si="187"/>
        <v>0</v>
      </c>
      <c r="J1072" s="87">
        <f t="shared" si="187"/>
        <v>100</v>
      </c>
      <c r="K1072" s="87">
        <f t="shared" si="187"/>
        <v>300</v>
      </c>
      <c r="L1072" s="87">
        <f t="shared" si="187"/>
        <v>1216.5</v>
      </c>
      <c r="M1072" s="90"/>
      <c r="N1072" s="87">
        <f t="shared" ref="N1072:T1072" si="188">AVERAGE(N48:N59)</f>
        <v>72.5</v>
      </c>
      <c r="O1072" s="88">
        <f t="shared" si="188"/>
        <v>240</v>
      </c>
      <c r="P1072" s="88">
        <f t="shared" si="188"/>
        <v>110</v>
      </c>
      <c r="Q1072" s="88">
        <f t="shared" si="188"/>
        <v>245</v>
      </c>
      <c r="R1072" s="88">
        <f t="shared" si="188"/>
        <v>100</v>
      </c>
      <c r="S1072" s="87">
        <f t="shared" si="188"/>
        <v>695</v>
      </c>
      <c r="T1072" s="87">
        <f t="shared" si="188"/>
        <v>33.333333333333336</v>
      </c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</row>
    <row r="1073" spans="1:30" ht="15" x14ac:dyDescent="0.2">
      <c r="A1073" s="11">
        <v>2017</v>
      </c>
      <c r="B1073" s="11">
        <f t="shared" si="180"/>
        <v>365</v>
      </c>
      <c r="C1073" s="87">
        <f t="shared" ref="C1073:T1073" si="189">AVERAGE(C60:C71)</f>
        <v>154.75825</v>
      </c>
      <c r="D1073" s="87">
        <f t="shared" si="189"/>
        <v>281.0162499999999</v>
      </c>
      <c r="E1073" s="87">
        <f t="shared" si="189"/>
        <v>109.1005</v>
      </c>
      <c r="F1073" s="87">
        <f t="shared" si="189"/>
        <v>57.041666666666664</v>
      </c>
      <c r="G1073" s="87">
        <f t="shared" si="189"/>
        <v>40</v>
      </c>
      <c r="H1073" s="87">
        <f t="shared" si="189"/>
        <v>174.58333333333334</v>
      </c>
      <c r="I1073" s="87">
        <f t="shared" si="189"/>
        <v>0</v>
      </c>
      <c r="J1073" s="87">
        <f t="shared" si="189"/>
        <v>100</v>
      </c>
      <c r="K1073" s="87">
        <f t="shared" si="189"/>
        <v>300</v>
      </c>
      <c r="L1073" s="87">
        <f t="shared" si="189"/>
        <v>1216.5</v>
      </c>
      <c r="M1073" s="89">
        <f t="shared" si="189"/>
        <v>400</v>
      </c>
      <c r="N1073" s="87">
        <f t="shared" si="189"/>
        <v>72.5</v>
      </c>
      <c r="O1073" s="88">
        <f t="shared" si="189"/>
        <v>240</v>
      </c>
      <c r="P1073" s="88">
        <f t="shared" si="189"/>
        <v>110</v>
      </c>
      <c r="Q1073" s="88">
        <f t="shared" si="189"/>
        <v>245</v>
      </c>
      <c r="R1073" s="88">
        <f t="shared" si="189"/>
        <v>100</v>
      </c>
      <c r="S1073" s="87">
        <f t="shared" si="189"/>
        <v>695</v>
      </c>
      <c r="T1073" s="87">
        <f t="shared" si="189"/>
        <v>33.333333333333336</v>
      </c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</row>
    <row r="1074" spans="1:30" ht="15" x14ac:dyDescent="0.2">
      <c r="A1074" s="11">
        <v>2018</v>
      </c>
      <c r="B1074" s="11">
        <f t="shared" si="180"/>
        <v>365</v>
      </c>
      <c r="C1074" s="87">
        <f t="shared" ref="C1074:T1074" si="190">AVERAGE(C72:C83)</f>
        <v>154.75825</v>
      </c>
      <c r="D1074" s="87">
        <f t="shared" si="190"/>
        <v>281.0162499999999</v>
      </c>
      <c r="E1074" s="87">
        <f t="shared" si="190"/>
        <v>109.1005</v>
      </c>
      <c r="F1074" s="87">
        <f t="shared" si="190"/>
        <v>57.041666666666664</v>
      </c>
      <c r="G1074" s="87">
        <f t="shared" si="190"/>
        <v>40</v>
      </c>
      <c r="H1074" s="87">
        <f t="shared" si="190"/>
        <v>174.58333333333334</v>
      </c>
      <c r="I1074" s="87">
        <f t="shared" si="190"/>
        <v>0</v>
      </c>
      <c r="J1074" s="87">
        <f t="shared" si="190"/>
        <v>100</v>
      </c>
      <c r="K1074" s="87">
        <f t="shared" si="190"/>
        <v>300</v>
      </c>
      <c r="L1074" s="87">
        <f t="shared" si="190"/>
        <v>1216.5</v>
      </c>
      <c r="M1074" s="89">
        <f t="shared" si="190"/>
        <v>400</v>
      </c>
      <c r="N1074" s="87">
        <f t="shared" si="190"/>
        <v>72.5</v>
      </c>
      <c r="O1074" s="88">
        <f t="shared" si="190"/>
        <v>240</v>
      </c>
      <c r="P1074" s="88">
        <f t="shared" si="190"/>
        <v>110</v>
      </c>
      <c r="Q1074" s="88">
        <f t="shared" si="190"/>
        <v>245</v>
      </c>
      <c r="R1074" s="88">
        <f t="shared" si="190"/>
        <v>100</v>
      </c>
      <c r="S1074" s="87">
        <f t="shared" si="190"/>
        <v>695</v>
      </c>
      <c r="T1074" s="87">
        <f t="shared" si="190"/>
        <v>33.333333333333336</v>
      </c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</row>
    <row r="1075" spans="1:30" ht="15" x14ac:dyDescent="0.2">
      <c r="A1075" s="11">
        <v>2019</v>
      </c>
      <c r="B1075" s="11">
        <f t="shared" si="180"/>
        <v>365</v>
      </c>
      <c r="C1075" s="87">
        <f t="shared" ref="C1075:T1075" si="191">AVERAGE(C84:C95)</f>
        <v>154.75825</v>
      </c>
      <c r="D1075" s="87">
        <f t="shared" si="191"/>
        <v>281.0162499999999</v>
      </c>
      <c r="E1075" s="87">
        <f t="shared" si="191"/>
        <v>109.1005</v>
      </c>
      <c r="F1075" s="87">
        <f t="shared" si="191"/>
        <v>57.041666666666664</v>
      </c>
      <c r="G1075" s="87">
        <f t="shared" si="191"/>
        <v>40</v>
      </c>
      <c r="H1075" s="87">
        <f t="shared" si="191"/>
        <v>174.58333333333334</v>
      </c>
      <c r="I1075" s="87">
        <f t="shared" si="191"/>
        <v>0</v>
      </c>
      <c r="J1075" s="87">
        <f t="shared" si="191"/>
        <v>100</v>
      </c>
      <c r="K1075" s="87">
        <f t="shared" si="191"/>
        <v>300</v>
      </c>
      <c r="L1075" s="87">
        <f t="shared" si="191"/>
        <v>1216.5</v>
      </c>
      <c r="M1075" s="89">
        <f t="shared" si="191"/>
        <v>400</v>
      </c>
      <c r="N1075" s="87">
        <f t="shared" si="191"/>
        <v>72.5</v>
      </c>
      <c r="O1075" s="88">
        <f t="shared" si="191"/>
        <v>240</v>
      </c>
      <c r="P1075" s="88">
        <f t="shared" si="191"/>
        <v>110</v>
      </c>
      <c r="Q1075" s="88">
        <f t="shared" si="191"/>
        <v>245</v>
      </c>
      <c r="R1075" s="88">
        <f t="shared" si="191"/>
        <v>100</v>
      </c>
      <c r="S1075" s="87">
        <f t="shared" si="191"/>
        <v>695</v>
      </c>
      <c r="T1075" s="87">
        <f t="shared" si="191"/>
        <v>33.333333333333336</v>
      </c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</row>
    <row r="1076" spans="1:30" ht="15" x14ac:dyDescent="0.2">
      <c r="A1076" s="11">
        <v>2020</v>
      </c>
      <c r="B1076" s="11">
        <f t="shared" si="180"/>
        <v>366</v>
      </c>
      <c r="C1076" s="87">
        <f t="shared" ref="C1076:T1076" si="192">AVERAGE(C96:C107)</f>
        <v>154.75825</v>
      </c>
      <c r="D1076" s="87">
        <f t="shared" si="192"/>
        <v>281.0162499999999</v>
      </c>
      <c r="E1076" s="87">
        <f t="shared" si="192"/>
        <v>109.1005</v>
      </c>
      <c r="F1076" s="87">
        <f t="shared" si="192"/>
        <v>57.041666666666664</v>
      </c>
      <c r="G1076" s="87">
        <f t="shared" si="192"/>
        <v>40</v>
      </c>
      <c r="H1076" s="87">
        <f t="shared" si="192"/>
        <v>174.58333333333334</v>
      </c>
      <c r="I1076" s="87">
        <f t="shared" si="192"/>
        <v>0</v>
      </c>
      <c r="J1076" s="87">
        <f t="shared" si="192"/>
        <v>100</v>
      </c>
      <c r="K1076" s="87">
        <f t="shared" si="192"/>
        <v>300</v>
      </c>
      <c r="L1076" s="87">
        <f t="shared" si="192"/>
        <v>1216.5</v>
      </c>
      <c r="M1076" s="89">
        <f t="shared" si="192"/>
        <v>533.33333333333337</v>
      </c>
      <c r="N1076" s="87">
        <f t="shared" si="192"/>
        <v>72.5</v>
      </c>
      <c r="O1076" s="88">
        <f t="shared" si="192"/>
        <v>240</v>
      </c>
      <c r="P1076" s="88">
        <f t="shared" si="192"/>
        <v>110</v>
      </c>
      <c r="Q1076" s="88">
        <f t="shared" si="192"/>
        <v>245</v>
      </c>
      <c r="R1076" s="88">
        <f t="shared" si="192"/>
        <v>100</v>
      </c>
      <c r="S1076" s="87">
        <f t="shared" si="192"/>
        <v>695</v>
      </c>
      <c r="T1076" s="87">
        <f t="shared" si="192"/>
        <v>33.333333333333336</v>
      </c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</row>
    <row r="1077" spans="1:30" ht="15" x14ac:dyDescent="0.2">
      <c r="A1077" s="11">
        <v>2021</v>
      </c>
      <c r="B1077" s="11">
        <f t="shared" si="180"/>
        <v>365</v>
      </c>
      <c r="C1077" s="87">
        <f t="shared" ref="C1077:T1077" si="193">AVERAGE(C108:C119)</f>
        <v>154.75825</v>
      </c>
      <c r="D1077" s="87">
        <f t="shared" si="193"/>
        <v>281.0162499999999</v>
      </c>
      <c r="E1077" s="87">
        <f t="shared" si="193"/>
        <v>109.1005</v>
      </c>
      <c r="F1077" s="87">
        <f t="shared" si="193"/>
        <v>57.041666666666664</v>
      </c>
      <c r="G1077" s="87">
        <f t="shared" si="193"/>
        <v>40</v>
      </c>
      <c r="H1077" s="87">
        <f t="shared" si="193"/>
        <v>174.58333333333334</v>
      </c>
      <c r="I1077" s="87">
        <f t="shared" si="193"/>
        <v>0</v>
      </c>
      <c r="J1077" s="87">
        <f t="shared" si="193"/>
        <v>100</v>
      </c>
      <c r="K1077" s="87">
        <f t="shared" si="193"/>
        <v>300</v>
      </c>
      <c r="L1077" s="87">
        <f t="shared" si="193"/>
        <v>1216.5</v>
      </c>
      <c r="M1077" s="89">
        <f t="shared" si="193"/>
        <v>600</v>
      </c>
      <c r="N1077" s="87">
        <f t="shared" si="193"/>
        <v>72.5</v>
      </c>
      <c r="O1077" s="88">
        <f t="shared" si="193"/>
        <v>240</v>
      </c>
      <c r="P1077" s="88">
        <f t="shared" si="193"/>
        <v>110</v>
      </c>
      <c r="Q1077" s="88">
        <f t="shared" si="193"/>
        <v>245</v>
      </c>
      <c r="R1077" s="88">
        <f t="shared" si="193"/>
        <v>100</v>
      </c>
      <c r="S1077" s="87">
        <f t="shared" si="193"/>
        <v>695</v>
      </c>
      <c r="T1077" s="87">
        <f t="shared" si="193"/>
        <v>33.333333333333336</v>
      </c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</row>
    <row r="1078" spans="1:30" ht="15" x14ac:dyDescent="0.2">
      <c r="A1078" s="11">
        <v>2022</v>
      </c>
      <c r="B1078" s="11">
        <f t="shared" si="180"/>
        <v>365</v>
      </c>
      <c r="C1078" s="87">
        <f t="shared" ref="C1078:T1078" si="194">AVERAGE(C120:C131)</f>
        <v>154.75825</v>
      </c>
      <c r="D1078" s="87">
        <f t="shared" si="194"/>
        <v>281.0162499999999</v>
      </c>
      <c r="E1078" s="87">
        <f t="shared" si="194"/>
        <v>109.1005</v>
      </c>
      <c r="F1078" s="87">
        <f t="shared" si="194"/>
        <v>57.041666666666664</v>
      </c>
      <c r="G1078" s="87">
        <f t="shared" si="194"/>
        <v>40</v>
      </c>
      <c r="H1078" s="87">
        <f t="shared" si="194"/>
        <v>174.58333333333334</v>
      </c>
      <c r="I1078" s="87">
        <f t="shared" si="194"/>
        <v>0</v>
      </c>
      <c r="J1078" s="87">
        <f t="shared" si="194"/>
        <v>100</v>
      </c>
      <c r="K1078" s="87">
        <f t="shared" si="194"/>
        <v>300</v>
      </c>
      <c r="L1078" s="87">
        <f t="shared" si="194"/>
        <v>1216.5</v>
      </c>
      <c r="M1078" s="89">
        <f t="shared" si="194"/>
        <v>600</v>
      </c>
      <c r="N1078" s="87">
        <f t="shared" si="194"/>
        <v>72.5</v>
      </c>
      <c r="O1078" s="88">
        <f t="shared" si="194"/>
        <v>240</v>
      </c>
      <c r="P1078" s="88">
        <f t="shared" si="194"/>
        <v>110</v>
      </c>
      <c r="Q1078" s="88">
        <f t="shared" si="194"/>
        <v>245</v>
      </c>
      <c r="R1078" s="88">
        <f t="shared" si="194"/>
        <v>100</v>
      </c>
      <c r="S1078" s="87">
        <f t="shared" si="194"/>
        <v>695</v>
      </c>
      <c r="T1078" s="87">
        <f t="shared" si="194"/>
        <v>33.333333333333336</v>
      </c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</row>
    <row r="1079" spans="1:30" ht="15" x14ac:dyDescent="0.2">
      <c r="A1079" s="11">
        <v>2023</v>
      </c>
      <c r="B1079" s="11">
        <f t="shared" si="180"/>
        <v>365</v>
      </c>
      <c r="C1079" s="87">
        <f t="shared" ref="C1079:T1079" si="195">AVERAGE(C132:C143)</f>
        <v>154.75825</v>
      </c>
      <c r="D1079" s="87">
        <f t="shared" si="195"/>
        <v>281.0162499999999</v>
      </c>
      <c r="E1079" s="87">
        <f t="shared" si="195"/>
        <v>109.1005</v>
      </c>
      <c r="F1079" s="87">
        <f t="shared" si="195"/>
        <v>57.041666666666664</v>
      </c>
      <c r="G1079" s="87">
        <f t="shared" si="195"/>
        <v>40</v>
      </c>
      <c r="H1079" s="87">
        <f t="shared" si="195"/>
        <v>174.58333333333334</v>
      </c>
      <c r="I1079" s="87">
        <f t="shared" si="195"/>
        <v>0</v>
      </c>
      <c r="J1079" s="87">
        <f t="shared" si="195"/>
        <v>100</v>
      </c>
      <c r="K1079" s="87">
        <f t="shared" si="195"/>
        <v>300</v>
      </c>
      <c r="L1079" s="87">
        <f t="shared" si="195"/>
        <v>1216.5</v>
      </c>
      <c r="M1079" s="89">
        <f t="shared" si="195"/>
        <v>600</v>
      </c>
      <c r="N1079" s="87">
        <f t="shared" si="195"/>
        <v>72.5</v>
      </c>
      <c r="O1079" s="88">
        <f t="shared" si="195"/>
        <v>240</v>
      </c>
      <c r="P1079" s="88">
        <f t="shared" si="195"/>
        <v>110</v>
      </c>
      <c r="Q1079" s="88">
        <f t="shared" si="195"/>
        <v>245</v>
      </c>
      <c r="R1079" s="88">
        <f t="shared" si="195"/>
        <v>100</v>
      </c>
      <c r="S1079" s="87">
        <f t="shared" si="195"/>
        <v>695</v>
      </c>
      <c r="T1079" s="87">
        <f t="shared" si="195"/>
        <v>33.333333333333336</v>
      </c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</row>
    <row r="1080" spans="1:30" ht="15" x14ac:dyDescent="0.2">
      <c r="A1080" s="11">
        <v>2024</v>
      </c>
      <c r="B1080" s="11">
        <f t="shared" si="180"/>
        <v>366</v>
      </c>
      <c r="C1080" s="87">
        <f t="shared" ref="C1080:T1080" si="196">AVERAGE(C144:C155)</f>
        <v>154.75825</v>
      </c>
      <c r="D1080" s="87">
        <f t="shared" si="196"/>
        <v>281.0162499999999</v>
      </c>
      <c r="E1080" s="87">
        <f t="shared" si="196"/>
        <v>109.1005</v>
      </c>
      <c r="F1080" s="87">
        <f t="shared" si="196"/>
        <v>57.041666666666664</v>
      </c>
      <c r="G1080" s="87">
        <f t="shared" si="196"/>
        <v>40</v>
      </c>
      <c r="H1080" s="87">
        <f t="shared" si="196"/>
        <v>174.58333333333334</v>
      </c>
      <c r="I1080" s="87">
        <f t="shared" si="196"/>
        <v>0</v>
      </c>
      <c r="J1080" s="87">
        <f t="shared" si="196"/>
        <v>100</v>
      </c>
      <c r="K1080" s="87">
        <f t="shared" si="196"/>
        <v>300</v>
      </c>
      <c r="L1080" s="87">
        <f t="shared" si="196"/>
        <v>1216.5</v>
      </c>
      <c r="M1080" s="89">
        <f t="shared" si="196"/>
        <v>600</v>
      </c>
      <c r="N1080" s="87">
        <f t="shared" si="196"/>
        <v>72.5</v>
      </c>
      <c r="O1080" s="88">
        <f t="shared" si="196"/>
        <v>240</v>
      </c>
      <c r="P1080" s="88">
        <f t="shared" si="196"/>
        <v>110</v>
      </c>
      <c r="Q1080" s="88">
        <f t="shared" si="196"/>
        <v>245</v>
      </c>
      <c r="R1080" s="88">
        <f t="shared" si="196"/>
        <v>100</v>
      </c>
      <c r="S1080" s="87">
        <f t="shared" si="196"/>
        <v>695</v>
      </c>
      <c r="T1080" s="87">
        <f t="shared" si="196"/>
        <v>33.333333333333336</v>
      </c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</row>
    <row r="1081" spans="1:30" ht="15" x14ac:dyDescent="0.2">
      <c r="A1081" s="11">
        <v>2025</v>
      </c>
      <c r="B1081" s="11">
        <f t="shared" si="180"/>
        <v>365</v>
      </c>
      <c r="C1081" s="87">
        <f t="shared" ref="C1081:T1081" si="197">AVERAGE(C156:C167)</f>
        <v>154.75825</v>
      </c>
      <c r="D1081" s="87">
        <f t="shared" si="197"/>
        <v>281.0162499999999</v>
      </c>
      <c r="E1081" s="87">
        <f t="shared" si="197"/>
        <v>109.1005</v>
      </c>
      <c r="F1081" s="87">
        <f t="shared" si="197"/>
        <v>57.041666666666664</v>
      </c>
      <c r="G1081" s="87">
        <f t="shared" si="197"/>
        <v>40</v>
      </c>
      <c r="H1081" s="87">
        <f t="shared" si="197"/>
        <v>174.58333333333334</v>
      </c>
      <c r="I1081" s="87">
        <f t="shared" si="197"/>
        <v>0</v>
      </c>
      <c r="J1081" s="87">
        <f t="shared" si="197"/>
        <v>100</v>
      </c>
      <c r="K1081" s="87">
        <f t="shared" si="197"/>
        <v>300</v>
      </c>
      <c r="L1081" s="87">
        <f t="shared" si="197"/>
        <v>1216.5</v>
      </c>
      <c r="M1081" s="89">
        <f t="shared" si="197"/>
        <v>600</v>
      </c>
      <c r="N1081" s="87">
        <f t="shared" si="197"/>
        <v>72.5</v>
      </c>
      <c r="O1081" s="88">
        <f t="shared" si="197"/>
        <v>240</v>
      </c>
      <c r="P1081" s="88">
        <f t="shared" si="197"/>
        <v>110</v>
      </c>
      <c r="Q1081" s="88">
        <f t="shared" si="197"/>
        <v>245</v>
      </c>
      <c r="R1081" s="88">
        <f t="shared" si="197"/>
        <v>100</v>
      </c>
      <c r="S1081" s="87">
        <f t="shared" si="197"/>
        <v>695</v>
      </c>
      <c r="T1081" s="87">
        <f t="shared" si="197"/>
        <v>33.333333333333336</v>
      </c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</row>
    <row r="1082" spans="1:30" ht="15" x14ac:dyDescent="0.2">
      <c r="A1082" s="11">
        <v>2026</v>
      </c>
      <c r="B1082" s="11">
        <f t="shared" si="180"/>
        <v>365</v>
      </c>
      <c r="C1082" s="87">
        <f t="shared" ref="C1082:T1082" si="198">AVERAGE(C168:C179)</f>
        <v>154.75825</v>
      </c>
      <c r="D1082" s="87">
        <f t="shared" si="198"/>
        <v>281.0162499999999</v>
      </c>
      <c r="E1082" s="87">
        <f t="shared" si="198"/>
        <v>109.1005</v>
      </c>
      <c r="F1082" s="87">
        <f t="shared" si="198"/>
        <v>57.041666666666664</v>
      </c>
      <c r="G1082" s="87">
        <f t="shared" si="198"/>
        <v>40</v>
      </c>
      <c r="H1082" s="87">
        <f t="shared" si="198"/>
        <v>174.58333333333334</v>
      </c>
      <c r="I1082" s="87">
        <f t="shared" si="198"/>
        <v>0</v>
      </c>
      <c r="J1082" s="87">
        <f t="shared" si="198"/>
        <v>100</v>
      </c>
      <c r="K1082" s="87">
        <f t="shared" si="198"/>
        <v>300</v>
      </c>
      <c r="L1082" s="87">
        <f t="shared" si="198"/>
        <v>1216.5</v>
      </c>
      <c r="M1082" s="89">
        <f t="shared" si="198"/>
        <v>600</v>
      </c>
      <c r="N1082" s="87">
        <f t="shared" si="198"/>
        <v>72.5</v>
      </c>
      <c r="O1082" s="88">
        <f t="shared" si="198"/>
        <v>240</v>
      </c>
      <c r="P1082" s="88">
        <f t="shared" si="198"/>
        <v>110</v>
      </c>
      <c r="Q1082" s="88">
        <f t="shared" si="198"/>
        <v>245</v>
      </c>
      <c r="R1082" s="88">
        <f t="shared" si="198"/>
        <v>100</v>
      </c>
      <c r="S1082" s="87">
        <f t="shared" si="198"/>
        <v>695</v>
      </c>
      <c r="T1082" s="87">
        <f t="shared" si="198"/>
        <v>33.333333333333336</v>
      </c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</row>
    <row r="1083" spans="1:30" ht="15" x14ac:dyDescent="0.2">
      <c r="A1083" s="11">
        <v>2027</v>
      </c>
      <c r="B1083" s="11">
        <f t="shared" si="180"/>
        <v>365</v>
      </c>
      <c r="C1083" s="87">
        <f t="shared" ref="C1083:T1083" si="199">AVERAGE(C180:C191)</f>
        <v>154.75825</v>
      </c>
      <c r="D1083" s="87">
        <f t="shared" si="199"/>
        <v>281.0162499999999</v>
      </c>
      <c r="E1083" s="87">
        <f t="shared" si="199"/>
        <v>109.1005</v>
      </c>
      <c r="F1083" s="87">
        <f t="shared" si="199"/>
        <v>57.041666666666664</v>
      </c>
      <c r="G1083" s="87">
        <f t="shared" si="199"/>
        <v>40</v>
      </c>
      <c r="H1083" s="87">
        <f t="shared" si="199"/>
        <v>174.58333333333334</v>
      </c>
      <c r="I1083" s="87">
        <f t="shared" si="199"/>
        <v>0</v>
      </c>
      <c r="J1083" s="87">
        <f t="shared" si="199"/>
        <v>100</v>
      </c>
      <c r="K1083" s="87">
        <f t="shared" si="199"/>
        <v>300</v>
      </c>
      <c r="L1083" s="87">
        <f t="shared" si="199"/>
        <v>1216.5</v>
      </c>
      <c r="M1083" s="89">
        <f t="shared" si="199"/>
        <v>600</v>
      </c>
      <c r="N1083" s="87">
        <f t="shared" si="199"/>
        <v>72.5</v>
      </c>
      <c r="O1083" s="88">
        <f t="shared" si="199"/>
        <v>240</v>
      </c>
      <c r="P1083" s="88">
        <f t="shared" si="199"/>
        <v>110</v>
      </c>
      <c r="Q1083" s="88">
        <f t="shared" si="199"/>
        <v>245</v>
      </c>
      <c r="R1083" s="88">
        <f t="shared" si="199"/>
        <v>100</v>
      </c>
      <c r="S1083" s="87">
        <f t="shared" si="199"/>
        <v>695</v>
      </c>
      <c r="T1083" s="87">
        <f t="shared" si="199"/>
        <v>33.333333333333336</v>
      </c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</row>
    <row r="1084" spans="1:30" ht="15" x14ac:dyDescent="0.2">
      <c r="A1084" s="11">
        <v>2028</v>
      </c>
      <c r="B1084" s="11">
        <f t="shared" si="180"/>
        <v>366</v>
      </c>
      <c r="C1084" s="87">
        <f t="shared" ref="C1084:T1084" si="200">AVERAGE(C192:C203)</f>
        <v>154.75825</v>
      </c>
      <c r="D1084" s="87">
        <f t="shared" si="200"/>
        <v>281.0162499999999</v>
      </c>
      <c r="E1084" s="87">
        <f t="shared" si="200"/>
        <v>109.1005</v>
      </c>
      <c r="F1084" s="87">
        <f t="shared" si="200"/>
        <v>57.041666666666664</v>
      </c>
      <c r="G1084" s="87">
        <f t="shared" si="200"/>
        <v>40</v>
      </c>
      <c r="H1084" s="87">
        <f t="shared" si="200"/>
        <v>174.58333333333334</v>
      </c>
      <c r="I1084" s="87">
        <f t="shared" si="200"/>
        <v>0</v>
      </c>
      <c r="J1084" s="87">
        <f t="shared" si="200"/>
        <v>100</v>
      </c>
      <c r="K1084" s="87">
        <f t="shared" si="200"/>
        <v>300</v>
      </c>
      <c r="L1084" s="87">
        <f t="shared" si="200"/>
        <v>1216.5</v>
      </c>
      <c r="M1084" s="89">
        <f t="shared" si="200"/>
        <v>600</v>
      </c>
      <c r="N1084" s="87">
        <f t="shared" si="200"/>
        <v>72.5</v>
      </c>
      <c r="O1084" s="88">
        <f t="shared" si="200"/>
        <v>240</v>
      </c>
      <c r="P1084" s="88">
        <f t="shared" si="200"/>
        <v>110</v>
      </c>
      <c r="Q1084" s="88">
        <f t="shared" si="200"/>
        <v>245</v>
      </c>
      <c r="R1084" s="88">
        <f t="shared" si="200"/>
        <v>100</v>
      </c>
      <c r="S1084" s="87">
        <f t="shared" si="200"/>
        <v>695</v>
      </c>
      <c r="T1084" s="87">
        <f t="shared" si="200"/>
        <v>33.333333333333336</v>
      </c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</row>
    <row r="1085" spans="1:30" ht="15" x14ac:dyDescent="0.2">
      <c r="A1085" s="11">
        <v>2029</v>
      </c>
      <c r="B1085" s="11">
        <f t="shared" si="180"/>
        <v>365</v>
      </c>
      <c r="C1085" s="87">
        <f t="shared" ref="C1085:T1085" si="201">AVERAGE(C204:C215)</f>
        <v>154.75825</v>
      </c>
      <c r="D1085" s="87">
        <f t="shared" si="201"/>
        <v>281.0162499999999</v>
      </c>
      <c r="E1085" s="87">
        <f t="shared" si="201"/>
        <v>109.1005</v>
      </c>
      <c r="F1085" s="87">
        <f t="shared" si="201"/>
        <v>57.041666666666664</v>
      </c>
      <c r="G1085" s="87">
        <f t="shared" si="201"/>
        <v>40</v>
      </c>
      <c r="H1085" s="87">
        <f t="shared" si="201"/>
        <v>174.58333333333334</v>
      </c>
      <c r="I1085" s="87">
        <f t="shared" si="201"/>
        <v>0</v>
      </c>
      <c r="J1085" s="87">
        <f t="shared" si="201"/>
        <v>100</v>
      </c>
      <c r="K1085" s="87">
        <f t="shared" si="201"/>
        <v>300</v>
      </c>
      <c r="L1085" s="87">
        <f t="shared" si="201"/>
        <v>1216.5</v>
      </c>
      <c r="M1085" s="89">
        <f t="shared" si="201"/>
        <v>600</v>
      </c>
      <c r="N1085" s="87">
        <f t="shared" si="201"/>
        <v>72.5</v>
      </c>
      <c r="O1085" s="88">
        <f t="shared" si="201"/>
        <v>240</v>
      </c>
      <c r="P1085" s="88">
        <f t="shared" si="201"/>
        <v>110</v>
      </c>
      <c r="Q1085" s="88">
        <f t="shared" si="201"/>
        <v>245</v>
      </c>
      <c r="R1085" s="88">
        <f t="shared" si="201"/>
        <v>100</v>
      </c>
      <c r="S1085" s="87">
        <f t="shared" si="201"/>
        <v>695</v>
      </c>
      <c r="T1085" s="87">
        <f t="shared" si="201"/>
        <v>33.333333333333336</v>
      </c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</row>
    <row r="1086" spans="1:30" ht="15" x14ac:dyDescent="0.2">
      <c r="A1086" s="11">
        <v>2030</v>
      </c>
      <c r="B1086" s="11">
        <f t="shared" si="180"/>
        <v>365</v>
      </c>
      <c r="C1086" s="87">
        <f t="shared" ref="C1086:T1086" si="202">AVERAGE(C216:C227)</f>
        <v>154.75825</v>
      </c>
      <c r="D1086" s="87">
        <f t="shared" si="202"/>
        <v>281.0162499999999</v>
      </c>
      <c r="E1086" s="87">
        <f t="shared" si="202"/>
        <v>109.1005</v>
      </c>
      <c r="F1086" s="87">
        <f t="shared" si="202"/>
        <v>57.041666666666664</v>
      </c>
      <c r="G1086" s="87">
        <f t="shared" si="202"/>
        <v>40</v>
      </c>
      <c r="H1086" s="87">
        <f t="shared" si="202"/>
        <v>174.58333333333334</v>
      </c>
      <c r="I1086" s="87">
        <f t="shared" si="202"/>
        <v>0</v>
      </c>
      <c r="J1086" s="87">
        <f t="shared" si="202"/>
        <v>100</v>
      </c>
      <c r="K1086" s="87">
        <f t="shared" si="202"/>
        <v>300</v>
      </c>
      <c r="L1086" s="87">
        <f t="shared" si="202"/>
        <v>1216.5</v>
      </c>
      <c r="M1086" s="89">
        <f t="shared" si="202"/>
        <v>600</v>
      </c>
      <c r="N1086" s="87">
        <f t="shared" si="202"/>
        <v>72.5</v>
      </c>
      <c r="O1086" s="88">
        <f t="shared" si="202"/>
        <v>240</v>
      </c>
      <c r="P1086" s="88">
        <f t="shared" si="202"/>
        <v>110</v>
      </c>
      <c r="Q1086" s="88">
        <f t="shared" si="202"/>
        <v>245</v>
      </c>
      <c r="R1086" s="88">
        <f t="shared" si="202"/>
        <v>100</v>
      </c>
      <c r="S1086" s="87">
        <f t="shared" si="202"/>
        <v>695</v>
      </c>
      <c r="T1086" s="87">
        <f t="shared" si="202"/>
        <v>33.333333333333336</v>
      </c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</row>
    <row r="1087" spans="1:30" ht="15" x14ac:dyDescent="0.2">
      <c r="A1087" s="11">
        <v>2031</v>
      </c>
      <c r="B1087" s="11">
        <f t="shared" si="180"/>
        <v>365</v>
      </c>
      <c r="C1087" s="87">
        <f t="shared" ref="C1087:T1087" si="203">AVERAGE(C228:C239)</f>
        <v>154.75825</v>
      </c>
      <c r="D1087" s="87">
        <f t="shared" si="203"/>
        <v>281.0162499999999</v>
      </c>
      <c r="E1087" s="87">
        <f t="shared" si="203"/>
        <v>109.1005</v>
      </c>
      <c r="F1087" s="87">
        <f t="shared" si="203"/>
        <v>57.041666666666664</v>
      </c>
      <c r="G1087" s="87">
        <f t="shared" si="203"/>
        <v>40</v>
      </c>
      <c r="H1087" s="87">
        <f t="shared" si="203"/>
        <v>174.58333333333334</v>
      </c>
      <c r="I1087" s="87">
        <f t="shared" si="203"/>
        <v>0</v>
      </c>
      <c r="J1087" s="87">
        <f t="shared" si="203"/>
        <v>100</v>
      </c>
      <c r="K1087" s="87">
        <f t="shared" si="203"/>
        <v>300</v>
      </c>
      <c r="L1087" s="87">
        <f t="shared" si="203"/>
        <v>1216.5</v>
      </c>
      <c r="M1087" s="89">
        <f t="shared" si="203"/>
        <v>600</v>
      </c>
      <c r="N1087" s="87">
        <f t="shared" si="203"/>
        <v>72.5</v>
      </c>
      <c r="O1087" s="88">
        <f t="shared" si="203"/>
        <v>240</v>
      </c>
      <c r="P1087" s="88">
        <f t="shared" si="203"/>
        <v>110</v>
      </c>
      <c r="Q1087" s="88">
        <f t="shared" si="203"/>
        <v>245</v>
      </c>
      <c r="R1087" s="88">
        <f t="shared" si="203"/>
        <v>100</v>
      </c>
      <c r="S1087" s="87">
        <f t="shared" si="203"/>
        <v>695</v>
      </c>
      <c r="T1087" s="87">
        <f t="shared" si="203"/>
        <v>33.333333333333336</v>
      </c>
      <c r="U1087" s="84"/>
      <c r="V1087" s="84"/>
      <c r="W1087" s="84"/>
      <c r="X1087" s="84"/>
      <c r="Y1087" s="84"/>
      <c r="Z1087" s="84"/>
      <c r="AA1087" s="84"/>
      <c r="AB1087" s="84"/>
      <c r="AC1087" s="84"/>
      <c r="AD1087" s="84"/>
    </row>
    <row r="1088" spans="1:30" ht="15" x14ac:dyDescent="0.2">
      <c r="A1088" s="11">
        <v>2032</v>
      </c>
      <c r="B1088" s="11">
        <f t="shared" si="180"/>
        <v>366</v>
      </c>
      <c r="C1088" s="87">
        <f t="shared" ref="C1088:T1088" si="204">AVERAGE(C240:C251)</f>
        <v>154.75825</v>
      </c>
      <c r="D1088" s="87">
        <f t="shared" si="204"/>
        <v>281.0162499999999</v>
      </c>
      <c r="E1088" s="87">
        <f t="shared" si="204"/>
        <v>109.1005</v>
      </c>
      <c r="F1088" s="87">
        <f t="shared" si="204"/>
        <v>57.041666666666664</v>
      </c>
      <c r="G1088" s="87">
        <f t="shared" si="204"/>
        <v>40</v>
      </c>
      <c r="H1088" s="87">
        <f t="shared" si="204"/>
        <v>174.58333333333334</v>
      </c>
      <c r="I1088" s="87">
        <f t="shared" si="204"/>
        <v>0</v>
      </c>
      <c r="J1088" s="87">
        <f t="shared" si="204"/>
        <v>100</v>
      </c>
      <c r="K1088" s="87">
        <f t="shared" si="204"/>
        <v>300</v>
      </c>
      <c r="L1088" s="87">
        <f t="shared" si="204"/>
        <v>1216.5</v>
      </c>
      <c r="M1088" s="89">
        <f t="shared" si="204"/>
        <v>600</v>
      </c>
      <c r="N1088" s="87">
        <f t="shared" si="204"/>
        <v>72.5</v>
      </c>
      <c r="O1088" s="88">
        <f t="shared" si="204"/>
        <v>240</v>
      </c>
      <c r="P1088" s="88">
        <f t="shared" si="204"/>
        <v>110</v>
      </c>
      <c r="Q1088" s="88">
        <f t="shared" si="204"/>
        <v>245</v>
      </c>
      <c r="R1088" s="88">
        <f t="shared" si="204"/>
        <v>100</v>
      </c>
      <c r="S1088" s="87">
        <f t="shared" si="204"/>
        <v>695</v>
      </c>
      <c r="T1088" s="87">
        <f t="shared" si="204"/>
        <v>33.333333333333336</v>
      </c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</row>
    <row r="1089" spans="1:30" ht="15" x14ac:dyDescent="0.2">
      <c r="A1089" s="11">
        <v>2033</v>
      </c>
      <c r="B1089" s="11">
        <f t="shared" si="180"/>
        <v>365</v>
      </c>
      <c r="C1089" s="87">
        <f t="shared" ref="C1089:T1089" si="205">AVERAGE(C252:C263)</f>
        <v>154.75825</v>
      </c>
      <c r="D1089" s="87">
        <f t="shared" si="205"/>
        <v>281.0162499999999</v>
      </c>
      <c r="E1089" s="87">
        <f t="shared" si="205"/>
        <v>109.1005</v>
      </c>
      <c r="F1089" s="87">
        <f t="shared" si="205"/>
        <v>57.041666666666664</v>
      </c>
      <c r="G1089" s="87">
        <f t="shared" si="205"/>
        <v>40</v>
      </c>
      <c r="H1089" s="87">
        <f t="shared" si="205"/>
        <v>174.58333333333334</v>
      </c>
      <c r="I1089" s="87">
        <f t="shared" si="205"/>
        <v>0</v>
      </c>
      <c r="J1089" s="87">
        <f t="shared" si="205"/>
        <v>100</v>
      </c>
      <c r="K1089" s="87">
        <f t="shared" si="205"/>
        <v>300</v>
      </c>
      <c r="L1089" s="87">
        <f t="shared" si="205"/>
        <v>1216.5</v>
      </c>
      <c r="M1089" s="89">
        <f t="shared" si="205"/>
        <v>600</v>
      </c>
      <c r="N1089" s="87">
        <f t="shared" si="205"/>
        <v>72.5</v>
      </c>
      <c r="O1089" s="88">
        <f t="shared" si="205"/>
        <v>240</v>
      </c>
      <c r="P1089" s="88">
        <f t="shared" si="205"/>
        <v>110</v>
      </c>
      <c r="Q1089" s="88">
        <f t="shared" si="205"/>
        <v>245</v>
      </c>
      <c r="R1089" s="88">
        <f t="shared" si="205"/>
        <v>100</v>
      </c>
      <c r="S1089" s="87">
        <f t="shared" si="205"/>
        <v>695</v>
      </c>
      <c r="T1089" s="87">
        <f t="shared" si="205"/>
        <v>33.333333333333336</v>
      </c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</row>
    <row r="1090" spans="1:30" ht="15" x14ac:dyDescent="0.2">
      <c r="A1090" s="11">
        <v>2034</v>
      </c>
      <c r="B1090" s="11">
        <f t="shared" si="180"/>
        <v>365</v>
      </c>
      <c r="C1090" s="87">
        <f t="shared" ref="C1090:T1090" si="206">AVERAGE(C264:C275)</f>
        <v>154.75825</v>
      </c>
      <c r="D1090" s="87">
        <f t="shared" si="206"/>
        <v>281.0162499999999</v>
      </c>
      <c r="E1090" s="87">
        <f t="shared" si="206"/>
        <v>109.1005</v>
      </c>
      <c r="F1090" s="87">
        <f t="shared" si="206"/>
        <v>57.041666666666664</v>
      </c>
      <c r="G1090" s="87">
        <f t="shared" si="206"/>
        <v>40</v>
      </c>
      <c r="H1090" s="87">
        <f t="shared" si="206"/>
        <v>174.58333333333334</v>
      </c>
      <c r="I1090" s="87">
        <f t="shared" si="206"/>
        <v>0</v>
      </c>
      <c r="J1090" s="87">
        <f t="shared" si="206"/>
        <v>100</v>
      </c>
      <c r="K1090" s="87">
        <f t="shared" si="206"/>
        <v>300</v>
      </c>
      <c r="L1090" s="87">
        <f t="shared" si="206"/>
        <v>1216.5</v>
      </c>
      <c r="M1090" s="89">
        <f t="shared" si="206"/>
        <v>600</v>
      </c>
      <c r="N1090" s="87">
        <f t="shared" si="206"/>
        <v>72.5</v>
      </c>
      <c r="O1090" s="88">
        <f t="shared" si="206"/>
        <v>240</v>
      </c>
      <c r="P1090" s="88">
        <f t="shared" si="206"/>
        <v>110</v>
      </c>
      <c r="Q1090" s="88">
        <f t="shared" si="206"/>
        <v>245</v>
      </c>
      <c r="R1090" s="88">
        <f t="shared" si="206"/>
        <v>100</v>
      </c>
      <c r="S1090" s="87">
        <f t="shared" si="206"/>
        <v>695</v>
      </c>
      <c r="T1090" s="87">
        <f t="shared" si="206"/>
        <v>33.333333333333336</v>
      </c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</row>
    <row r="1091" spans="1:30" ht="15" x14ac:dyDescent="0.2">
      <c r="A1091" s="11">
        <v>2035</v>
      </c>
      <c r="B1091" s="11">
        <f t="shared" si="180"/>
        <v>365</v>
      </c>
      <c r="C1091" s="87">
        <f t="shared" ref="C1091:T1091" si="207">AVERAGE(C276:C287)</f>
        <v>154.75825</v>
      </c>
      <c r="D1091" s="87">
        <f t="shared" si="207"/>
        <v>281.0162499999999</v>
      </c>
      <c r="E1091" s="87">
        <f t="shared" si="207"/>
        <v>109.1005</v>
      </c>
      <c r="F1091" s="87">
        <f t="shared" si="207"/>
        <v>57.041666666666664</v>
      </c>
      <c r="G1091" s="87">
        <f t="shared" si="207"/>
        <v>40</v>
      </c>
      <c r="H1091" s="87">
        <f t="shared" si="207"/>
        <v>174.58333333333334</v>
      </c>
      <c r="I1091" s="87">
        <f t="shared" si="207"/>
        <v>0</v>
      </c>
      <c r="J1091" s="87">
        <f t="shared" si="207"/>
        <v>100</v>
      </c>
      <c r="K1091" s="87">
        <f t="shared" si="207"/>
        <v>300</v>
      </c>
      <c r="L1091" s="87">
        <f t="shared" si="207"/>
        <v>1216.5</v>
      </c>
      <c r="M1091" s="89">
        <f t="shared" si="207"/>
        <v>600</v>
      </c>
      <c r="N1091" s="87">
        <f t="shared" si="207"/>
        <v>72.5</v>
      </c>
      <c r="O1091" s="88">
        <f t="shared" si="207"/>
        <v>240</v>
      </c>
      <c r="P1091" s="88">
        <f t="shared" si="207"/>
        <v>110</v>
      </c>
      <c r="Q1091" s="88">
        <f t="shared" si="207"/>
        <v>245</v>
      </c>
      <c r="R1091" s="88">
        <f t="shared" si="207"/>
        <v>100</v>
      </c>
      <c r="S1091" s="87">
        <f t="shared" si="207"/>
        <v>695</v>
      </c>
      <c r="T1091" s="87">
        <f t="shared" si="207"/>
        <v>33.333333333333336</v>
      </c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</row>
    <row r="1092" spans="1:30" ht="15" x14ac:dyDescent="0.2">
      <c r="A1092" s="11">
        <v>2036</v>
      </c>
      <c r="B1092" s="11">
        <f t="shared" si="180"/>
        <v>366</v>
      </c>
      <c r="C1092" s="87">
        <f t="shared" ref="C1092:T1092" si="208">AVERAGE(C288:C299)</f>
        <v>154.75825</v>
      </c>
      <c r="D1092" s="87">
        <f t="shared" si="208"/>
        <v>281.0162499999999</v>
      </c>
      <c r="E1092" s="87">
        <f t="shared" si="208"/>
        <v>109.1005</v>
      </c>
      <c r="F1092" s="87">
        <f t="shared" si="208"/>
        <v>57.041666666666664</v>
      </c>
      <c r="G1092" s="87">
        <f t="shared" si="208"/>
        <v>40</v>
      </c>
      <c r="H1092" s="87">
        <f t="shared" si="208"/>
        <v>174.58333333333334</v>
      </c>
      <c r="I1092" s="87">
        <f t="shared" si="208"/>
        <v>0</v>
      </c>
      <c r="J1092" s="87">
        <f t="shared" si="208"/>
        <v>100</v>
      </c>
      <c r="K1092" s="87">
        <f t="shared" si="208"/>
        <v>300</v>
      </c>
      <c r="L1092" s="87">
        <f t="shared" si="208"/>
        <v>1216.5</v>
      </c>
      <c r="M1092" s="89">
        <f t="shared" si="208"/>
        <v>600</v>
      </c>
      <c r="N1092" s="87">
        <f t="shared" si="208"/>
        <v>72.5</v>
      </c>
      <c r="O1092" s="88">
        <f t="shared" si="208"/>
        <v>240</v>
      </c>
      <c r="P1092" s="88">
        <f t="shared" si="208"/>
        <v>110</v>
      </c>
      <c r="Q1092" s="88">
        <f t="shared" si="208"/>
        <v>245</v>
      </c>
      <c r="R1092" s="88">
        <f t="shared" si="208"/>
        <v>100</v>
      </c>
      <c r="S1092" s="87">
        <f t="shared" si="208"/>
        <v>695</v>
      </c>
      <c r="T1092" s="87">
        <f t="shared" si="208"/>
        <v>33.333333333333336</v>
      </c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</row>
    <row r="1093" spans="1:30" ht="15" x14ac:dyDescent="0.2">
      <c r="A1093" s="11">
        <v>2037</v>
      </c>
      <c r="B1093" s="11">
        <f t="shared" si="180"/>
        <v>365</v>
      </c>
      <c r="C1093" s="87">
        <f t="shared" ref="C1093:T1093" si="209">AVERAGE(C300:C311)</f>
        <v>154.75825</v>
      </c>
      <c r="D1093" s="87">
        <f t="shared" si="209"/>
        <v>281.0162499999999</v>
      </c>
      <c r="E1093" s="87">
        <f t="shared" si="209"/>
        <v>109.1005</v>
      </c>
      <c r="F1093" s="87">
        <f t="shared" si="209"/>
        <v>57.041666666666664</v>
      </c>
      <c r="G1093" s="87">
        <f t="shared" si="209"/>
        <v>40</v>
      </c>
      <c r="H1093" s="87">
        <f t="shared" si="209"/>
        <v>174.58333333333334</v>
      </c>
      <c r="I1093" s="87">
        <f t="shared" si="209"/>
        <v>0</v>
      </c>
      <c r="J1093" s="87">
        <f t="shared" si="209"/>
        <v>100</v>
      </c>
      <c r="K1093" s="87">
        <f t="shared" si="209"/>
        <v>300</v>
      </c>
      <c r="L1093" s="87">
        <f t="shared" si="209"/>
        <v>1216.5</v>
      </c>
      <c r="M1093" s="89">
        <f t="shared" si="209"/>
        <v>600</v>
      </c>
      <c r="N1093" s="87">
        <f t="shared" si="209"/>
        <v>72.5</v>
      </c>
      <c r="O1093" s="88">
        <f t="shared" si="209"/>
        <v>240</v>
      </c>
      <c r="P1093" s="88">
        <f t="shared" si="209"/>
        <v>110</v>
      </c>
      <c r="Q1093" s="88">
        <f t="shared" si="209"/>
        <v>245</v>
      </c>
      <c r="R1093" s="88">
        <f t="shared" si="209"/>
        <v>100</v>
      </c>
      <c r="S1093" s="87">
        <f t="shared" si="209"/>
        <v>695</v>
      </c>
      <c r="T1093" s="87">
        <f t="shared" si="209"/>
        <v>33.333333333333336</v>
      </c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</row>
    <row r="1094" spans="1:30" ht="15" x14ac:dyDescent="0.2">
      <c r="A1094" s="11">
        <f t="shared" ref="A1094:A1125" si="210">A1093+1</f>
        <v>2038</v>
      </c>
      <c r="B1094" s="11">
        <f t="shared" si="180"/>
        <v>365</v>
      </c>
      <c r="C1094" s="83">
        <f t="shared" ref="C1094:T1094" si="211">AVERAGE(C312:C323)</f>
        <v>154.75825</v>
      </c>
      <c r="D1094" s="83">
        <f t="shared" si="211"/>
        <v>281.0162499999999</v>
      </c>
      <c r="E1094" s="83">
        <f t="shared" si="211"/>
        <v>109.1005</v>
      </c>
      <c r="F1094" s="83">
        <f t="shared" si="211"/>
        <v>57.041666666666664</v>
      </c>
      <c r="G1094" s="83">
        <f t="shared" si="211"/>
        <v>40</v>
      </c>
      <c r="H1094" s="83">
        <f t="shared" si="211"/>
        <v>174.58333333333334</v>
      </c>
      <c r="I1094" s="83">
        <f t="shared" si="211"/>
        <v>0</v>
      </c>
      <c r="J1094" s="83">
        <f t="shared" si="211"/>
        <v>100</v>
      </c>
      <c r="K1094" s="83">
        <f t="shared" si="211"/>
        <v>300</v>
      </c>
      <c r="L1094" s="83">
        <f t="shared" si="211"/>
        <v>1216.5</v>
      </c>
      <c r="M1094" s="85">
        <f t="shared" si="211"/>
        <v>600</v>
      </c>
      <c r="N1094" s="83">
        <f t="shared" si="211"/>
        <v>72.5</v>
      </c>
      <c r="O1094" s="86">
        <f t="shared" si="211"/>
        <v>240</v>
      </c>
      <c r="P1094" s="86">
        <f t="shared" si="211"/>
        <v>110</v>
      </c>
      <c r="Q1094" s="86">
        <f t="shared" si="211"/>
        <v>245</v>
      </c>
      <c r="R1094" s="86">
        <f t="shared" si="211"/>
        <v>100</v>
      </c>
      <c r="S1094" s="83">
        <f t="shared" si="211"/>
        <v>695</v>
      </c>
      <c r="T1094" s="83">
        <f t="shared" si="211"/>
        <v>33.333333333333336</v>
      </c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</row>
    <row r="1095" spans="1:30" ht="15" x14ac:dyDescent="0.2">
      <c r="A1095" s="11">
        <f t="shared" si="210"/>
        <v>2039</v>
      </c>
      <c r="B1095" s="11">
        <f t="shared" si="180"/>
        <v>365</v>
      </c>
      <c r="C1095" s="83">
        <f t="shared" ref="C1095:T1095" si="212">AVERAGE(C324:C335)</f>
        <v>154.75825</v>
      </c>
      <c r="D1095" s="83">
        <f t="shared" si="212"/>
        <v>281.0162499999999</v>
      </c>
      <c r="E1095" s="83">
        <f t="shared" si="212"/>
        <v>109.1005</v>
      </c>
      <c r="F1095" s="83">
        <f t="shared" si="212"/>
        <v>57.041666666666664</v>
      </c>
      <c r="G1095" s="83">
        <f t="shared" si="212"/>
        <v>40</v>
      </c>
      <c r="H1095" s="83">
        <f t="shared" si="212"/>
        <v>174.58333333333334</v>
      </c>
      <c r="I1095" s="83">
        <f t="shared" si="212"/>
        <v>0</v>
      </c>
      <c r="J1095" s="83">
        <f t="shared" si="212"/>
        <v>100</v>
      </c>
      <c r="K1095" s="83">
        <f t="shared" si="212"/>
        <v>300</v>
      </c>
      <c r="L1095" s="83">
        <f t="shared" si="212"/>
        <v>1216.5</v>
      </c>
      <c r="M1095" s="85">
        <f t="shared" si="212"/>
        <v>600</v>
      </c>
      <c r="N1095" s="83">
        <f t="shared" si="212"/>
        <v>72.5</v>
      </c>
      <c r="O1095" s="86">
        <f t="shared" si="212"/>
        <v>240</v>
      </c>
      <c r="P1095" s="86">
        <f t="shared" si="212"/>
        <v>110</v>
      </c>
      <c r="Q1095" s="86">
        <f t="shared" si="212"/>
        <v>245</v>
      </c>
      <c r="R1095" s="86">
        <f t="shared" si="212"/>
        <v>100</v>
      </c>
      <c r="S1095" s="83">
        <f t="shared" si="212"/>
        <v>695</v>
      </c>
      <c r="T1095" s="83">
        <f t="shared" si="212"/>
        <v>33.333333333333336</v>
      </c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</row>
    <row r="1096" spans="1:30" ht="15" x14ac:dyDescent="0.2">
      <c r="A1096" s="11">
        <f t="shared" si="210"/>
        <v>2040</v>
      </c>
      <c r="B1096" s="11">
        <f t="shared" si="180"/>
        <v>366</v>
      </c>
      <c r="C1096" s="83">
        <f t="shared" ref="C1096:T1096" si="213">AVERAGE(C336:C347)</f>
        <v>154.75825</v>
      </c>
      <c r="D1096" s="83">
        <f t="shared" si="213"/>
        <v>281.0162499999999</v>
      </c>
      <c r="E1096" s="83">
        <f t="shared" si="213"/>
        <v>109.1005</v>
      </c>
      <c r="F1096" s="83">
        <f t="shared" si="213"/>
        <v>57.041666666666664</v>
      </c>
      <c r="G1096" s="83">
        <f t="shared" si="213"/>
        <v>40</v>
      </c>
      <c r="H1096" s="83">
        <f t="shared" si="213"/>
        <v>174.58333333333334</v>
      </c>
      <c r="I1096" s="83">
        <f t="shared" si="213"/>
        <v>0</v>
      </c>
      <c r="J1096" s="83">
        <f t="shared" si="213"/>
        <v>100</v>
      </c>
      <c r="K1096" s="83">
        <f t="shared" si="213"/>
        <v>300</v>
      </c>
      <c r="L1096" s="83">
        <f t="shared" si="213"/>
        <v>1216.5</v>
      </c>
      <c r="M1096" s="85">
        <f t="shared" si="213"/>
        <v>600</v>
      </c>
      <c r="N1096" s="83">
        <f t="shared" si="213"/>
        <v>72.5</v>
      </c>
      <c r="O1096" s="86">
        <f t="shared" si="213"/>
        <v>240</v>
      </c>
      <c r="P1096" s="86">
        <f t="shared" si="213"/>
        <v>110</v>
      </c>
      <c r="Q1096" s="86">
        <f t="shared" si="213"/>
        <v>245</v>
      </c>
      <c r="R1096" s="86">
        <f t="shared" si="213"/>
        <v>100</v>
      </c>
      <c r="S1096" s="83">
        <f t="shared" si="213"/>
        <v>695</v>
      </c>
      <c r="T1096" s="83">
        <f t="shared" si="213"/>
        <v>33.333333333333336</v>
      </c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</row>
    <row r="1097" spans="1:30" ht="15" x14ac:dyDescent="0.2">
      <c r="A1097" s="11">
        <f t="shared" si="210"/>
        <v>2041</v>
      </c>
      <c r="B1097" s="11">
        <f t="shared" si="180"/>
        <v>365</v>
      </c>
      <c r="C1097" s="83">
        <f t="shared" ref="C1097:T1097" si="214">AVERAGE(C348:C359)</f>
        <v>154.75825</v>
      </c>
      <c r="D1097" s="83">
        <f t="shared" si="214"/>
        <v>281.0162499999999</v>
      </c>
      <c r="E1097" s="83">
        <f t="shared" si="214"/>
        <v>109.1005</v>
      </c>
      <c r="F1097" s="83">
        <f t="shared" si="214"/>
        <v>57.041666666666664</v>
      </c>
      <c r="G1097" s="83">
        <f t="shared" si="214"/>
        <v>40</v>
      </c>
      <c r="H1097" s="83">
        <f t="shared" si="214"/>
        <v>174.58333333333334</v>
      </c>
      <c r="I1097" s="83">
        <f t="shared" si="214"/>
        <v>0</v>
      </c>
      <c r="J1097" s="83">
        <f t="shared" si="214"/>
        <v>100</v>
      </c>
      <c r="K1097" s="83">
        <f t="shared" si="214"/>
        <v>300</v>
      </c>
      <c r="L1097" s="83">
        <f t="shared" si="214"/>
        <v>1216.5</v>
      </c>
      <c r="M1097" s="85">
        <f t="shared" si="214"/>
        <v>600</v>
      </c>
      <c r="N1097" s="83">
        <f t="shared" si="214"/>
        <v>72.5</v>
      </c>
      <c r="O1097" s="86">
        <f t="shared" si="214"/>
        <v>240</v>
      </c>
      <c r="P1097" s="86">
        <f t="shared" si="214"/>
        <v>110</v>
      </c>
      <c r="Q1097" s="86">
        <f t="shared" si="214"/>
        <v>245</v>
      </c>
      <c r="R1097" s="86">
        <f t="shared" si="214"/>
        <v>100</v>
      </c>
      <c r="S1097" s="83">
        <f t="shared" si="214"/>
        <v>695</v>
      </c>
      <c r="T1097" s="83">
        <f t="shared" si="214"/>
        <v>33.333333333333336</v>
      </c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</row>
    <row r="1098" spans="1:30" ht="15" x14ac:dyDescent="0.2">
      <c r="A1098" s="11">
        <f t="shared" si="210"/>
        <v>2042</v>
      </c>
      <c r="B1098" s="11">
        <f t="shared" si="180"/>
        <v>365</v>
      </c>
      <c r="C1098" s="83">
        <f t="shared" ref="C1098:T1098" si="215">AVERAGE(C360:C371)</f>
        <v>154.75825</v>
      </c>
      <c r="D1098" s="83">
        <f t="shared" si="215"/>
        <v>281.0162499999999</v>
      </c>
      <c r="E1098" s="83">
        <f t="shared" si="215"/>
        <v>109.1005</v>
      </c>
      <c r="F1098" s="83">
        <f t="shared" si="215"/>
        <v>57.041666666666664</v>
      </c>
      <c r="G1098" s="83">
        <f t="shared" si="215"/>
        <v>40</v>
      </c>
      <c r="H1098" s="83">
        <f t="shared" si="215"/>
        <v>174.58333333333334</v>
      </c>
      <c r="I1098" s="83">
        <f t="shared" si="215"/>
        <v>0</v>
      </c>
      <c r="J1098" s="83">
        <f t="shared" si="215"/>
        <v>100</v>
      </c>
      <c r="K1098" s="83">
        <f t="shared" si="215"/>
        <v>300</v>
      </c>
      <c r="L1098" s="83">
        <f t="shared" si="215"/>
        <v>1216.5</v>
      </c>
      <c r="M1098" s="85">
        <f t="shared" si="215"/>
        <v>600</v>
      </c>
      <c r="N1098" s="83">
        <f t="shared" si="215"/>
        <v>72.5</v>
      </c>
      <c r="O1098" s="86">
        <f t="shared" si="215"/>
        <v>240</v>
      </c>
      <c r="P1098" s="86">
        <f t="shared" si="215"/>
        <v>110</v>
      </c>
      <c r="Q1098" s="86">
        <f t="shared" si="215"/>
        <v>245</v>
      </c>
      <c r="R1098" s="86">
        <f t="shared" si="215"/>
        <v>100</v>
      </c>
      <c r="S1098" s="83">
        <f t="shared" si="215"/>
        <v>695</v>
      </c>
      <c r="T1098" s="83">
        <f t="shared" si="215"/>
        <v>33.333333333333336</v>
      </c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</row>
    <row r="1099" spans="1:30" ht="15" x14ac:dyDescent="0.2">
      <c r="A1099" s="11">
        <f t="shared" si="210"/>
        <v>2043</v>
      </c>
      <c r="B1099" s="11">
        <f t="shared" si="180"/>
        <v>365</v>
      </c>
      <c r="C1099" s="83">
        <f t="shared" ref="C1099:T1099" si="216">AVERAGE(C372:C383)</f>
        <v>154.75825</v>
      </c>
      <c r="D1099" s="83">
        <f t="shared" si="216"/>
        <v>281.0162499999999</v>
      </c>
      <c r="E1099" s="83">
        <f t="shared" si="216"/>
        <v>109.1005</v>
      </c>
      <c r="F1099" s="83">
        <f t="shared" si="216"/>
        <v>57.041666666666664</v>
      </c>
      <c r="G1099" s="83">
        <f t="shared" si="216"/>
        <v>40</v>
      </c>
      <c r="H1099" s="83">
        <f t="shared" si="216"/>
        <v>174.58333333333334</v>
      </c>
      <c r="I1099" s="83">
        <f t="shared" si="216"/>
        <v>0</v>
      </c>
      <c r="J1099" s="83">
        <f t="shared" si="216"/>
        <v>100</v>
      </c>
      <c r="K1099" s="83">
        <f t="shared" si="216"/>
        <v>300</v>
      </c>
      <c r="L1099" s="83">
        <f t="shared" si="216"/>
        <v>1216.5</v>
      </c>
      <c r="M1099" s="85">
        <f t="shared" si="216"/>
        <v>600</v>
      </c>
      <c r="N1099" s="83">
        <f t="shared" si="216"/>
        <v>72.5</v>
      </c>
      <c r="O1099" s="86">
        <f t="shared" si="216"/>
        <v>240</v>
      </c>
      <c r="P1099" s="86">
        <f t="shared" si="216"/>
        <v>110</v>
      </c>
      <c r="Q1099" s="86">
        <f t="shared" si="216"/>
        <v>245</v>
      </c>
      <c r="R1099" s="86">
        <f t="shared" si="216"/>
        <v>100</v>
      </c>
      <c r="S1099" s="83">
        <f t="shared" si="216"/>
        <v>695</v>
      </c>
      <c r="T1099" s="83">
        <f t="shared" si="216"/>
        <v>33.333333333333336</v>
      </c>
      <c r="U1099" s="84"/>
      <c r="V1099" s="84"/>
      <c r="W1099" s="84"/>
      <c r="X1099" s="84"/>
      <c r="Y1099" s="84"/>
      <c r="Z1099" s="84"/>
      <c r="AA1099" s="84"/>
      <c r="AB1099" s="84"/>
      <c r="AC1099" s="84"/>
      <c r="AD1099" s="84"/>
    </row>
    <row r="1100" spans="1:30" ht="15" x14ac:dyDescent="0.2">
      <c r="A1100" s="11">
        <f t="shared" si="210"/>
        <v>2044</v>
      </c>
      <c r="B1100" s="11">
        <f t="shared" si="180"/>
        <v>366</v>
      </c>
      <c r="C1100" s="83">
        <f t="shared" ref="C1100:T1100" si="217">AVERAGE(C384:C395)</f>
        <v>154.75825</v>
      </c>
      <c r="D1100" s="83">
        <f t="shared" si="217"/>
        <v>281.0162499999999</v>
      </c>
      <c r="E1100" s="83">
        <f t="shared" si="217"/>
        <v>109.1005</v>
      </c>
      <c r="F1100" s="83">
        <f t="shared" si="217"/>
        <v>57.041666666666664</v>
      </c>
      <c r="G1100" s="83">
        <f t="shared" si="217"/>
        <v>40</v>
      </c>
      <c r="H1100" s="83">
        <f t="shared" si="217"/>
        <v>174.58333333333334</v>
      </c>
      <c r="I1100" s="83">
        <f t="shared" si="217"/>
        <v>0</v>
      </c>
      <c r="J1100" s="83">
        <f t="shared" si="217"/>
        <v>100</v>
      </c>
      <c r="K1100" s="83">
        <f t="shared" si="217"/>
        <v>300</v>
      </c>
      <c r="L1100" s="83">
        <f t="shared" si="217"/>
        <v>1216.5</v>
      </c>
      <c r="M1100" s="85">
        <f t="shared" si="217"/>
        <v>600</v>
      </c>
      <c r="N1100" s="83">
        <f t="shared" si="217"/>
        <v>72.5</v>
      </c>
      <c r="O1100" s="86">
        <f t="shared" si="217"/>
        <v>240</v>
      </c>
      <c r="P1100" s="86">
        <f t="shared" si="217"/>
        <v>110</v>
      </c>
      <c r="Q1100" s="86">
        <f t="shared" si="217"/>
        <v>245</v>
      </c>
      <c r="R1100" s="86">
        <f t="shared" si="217"/>
        <v>100</v>
      </c>
      <c r="S1100" s="83">
        <f t="shared" si="217"/>
        <v>695</v>
      </c>
      <c r="T1100" s="83">
        <f t="shared" si="217"/>
        <v>33.333333333333336</v>
      </c>
      <c r="U1100" s="84"/>
      <c r="V1100" s="84"/>
      <c r="W1100" s="84"/>
      <c r="X1100" s="84"/>
      <c r="Y1100" s="84"/>
      <c r="Z1100" s="84"/>
      <c r="AA1100" s="84"/>
      <c r="AB1100" s="84"/>
      <c r="AC1100" s="84"/>
      <c r="AD1100" s="84"/>
    </row>
    <row r="1101" spans="1:30" ht="15" x14ac:dyDescent="0.2">
      <c r="A1101" s="11">
        <f t="shared" si="210"/>
        <v>2045</v>
      </c>
      <c r="B1101" s="11">
        <f t="shared" ref="B1101:B1132" si="218">DATE(A1101+1,1,1)-DATE(A1101,1,1)</f>
        <v>365</v>
      </c>
      <c r="C1101" s="83">
        <f t="shared" ref="C1101:T1101" si="219">AVERAGE(C396:C407)</f>
        <v>154.75825</v>
      </c>
      <c r="D1101" s="83">
        <f t="shared" si="219"/>
        <v>281.0162499999999</v>
      </c>
      <c r="E1101" s="83">
        <f t="shared" si="219"/>
        <v>109.1005</v>
      </c>
      <c r="F1101" s="83">
        <f t="shared" si="219"/>
        <v>57.041666666666664</v>
      </c>
      <c r="G1101" s="83">
        <f t="shared" si="219"/>
        <v>40</v>
      </c>
      <c r="H1101" s="83">
        <f t="shared" si="219"/>
        <v>174.58333333333334</v>
      </c>
      <c r="I1101" s="83">
        <f t="shared" si="219"/>
        <v>0</v>
      </c>
      <c r="J1101" s="83">
        <f t="shared" si="219"/>
        <v>100</v>
      </c>
      <c r="K1101" s="83">
        <f t="shared" si="219"/>
        <v>300</v>
      </c>
      <c r="L1101" s="83">
        <f t="shared" si="219"/>
        <v>1216.5</v>
      </c>
      <c r="M1101" s="85">
        <f t="shared" si="219"/>
        <v>600</v>
      </c>
      <c r="N1101" s="83">
        <f t="shared" si="219"/>
        <v>72.5</v>
      </c>
      <c r="O1101" s="86">
        <f t="shared" si="219"/>
        <v>240</v>
      </c>
      <c r="P1101" s="86">
        <f t="shared" si="219"/>
        <v>110</v>
      </c>
      <c r="Q1101" s="86">
        <f t="shared" si="219"/>
        <v>245</v>
      </c>
      <c r="R1101" s="86">
        <f t="shared" si="219"/>
        <v>100</v>
      </c>
      <c r="S1101" s="83">
        <f t="shared" si="219"/>
        <v>695</v>
      </c>
      <c r="T1101" s="83">
        <f t="shared" si="219"/>
        <v>33.333333333333336</v>
      </c>
      <c r="U1101" s="84"/>
      <c r="V1101" s="84"/>
      <c r="W1101" s="84"/>
      <c r="X1101" s="84"/>
      <c r="Y1101" s="84"/>
      <c r="Z1101" s="84"/>
      <c r="AA1101" s="84"/>
      <c r="AB1101" s="84"/>
      <c r="AC1101" s="84"/>
      <c r="AD1101" s="84"/>
    </row>
    <row r="1102" spans="1:30" ht="15" x14ac:dyDescent="0.2">
      <c r="A1102" s="11">
        <f t="shared" si="210"/>
        <v>2046</v>
      </c>
      <c r="B1102" s="11">
        <f t="shared" si="218"/>
        <v>365</v>
      </c>
      <c r="C1102" s="83">
        <f t="shared" ref="C1102:T1102" si="220">AVERAGE(C408:C419)</f>
        <v>154.75825</v>
      </c>
      <c r="D1102" s="83">
        <f t="shared" si="220"/>
        <v>281.0162499999999</v>
      </c>
      <c r="E1102" s="83">
        <f t="shared" si="220"/>
        <v>109.1005</v>
      </c>
      <c r="F1102" s="83">
        <f t="shared" si="220"/>
        <v>57.041666666666664</v>
      </c>
      <c r="G1102" s="83">
        <f t="shared" si="220"/>
        <v>40</v>
      </c>
      <c r="H1102" s="83">
        <f t="shared" si="220"/>
        <v>174.58333333333334</v>
      </c>
      <c r="I1102" s="83">
        <f t="shared" si="220"/>
        <v>0</v>
      </c>
      <c r="J1102" s="83">
        <f t="shared" si="220"/>
        <v>100</v>
      </c>
      <c r="K1102" s="83">
        <f t="shared" si="220"/>
        <v>300</v>
      </c>
      <c r="L1102" s="83">
        <f t="shared" si="220"/>
        <v>1216.5</v>
      </c>
      <c r="M1102" s="85">
        <f t="shared" si="220"/>
        <v>600</v>
      </c>
      <c r="N1102" s="83">
        <f t="shared" si="220"/>
        <v>72.5</v>
      </c>
      <c r="O1102" s="86">
        <f t="shared" si="220"/>
        <v>240</v>
      </c>
      <c r="P1102" s="86">
        <f t="shared" si="220"/>
        <v>110</v>
      </c>
      <c r="Q1102" s="86">
        <f t="shared" si="220"/>
        <v>245</v>
      </c>
      <c r="R1102" s="86">
        <f t="shared" si="220"/>
        <v>100</v>
      </c>
      <c r="S1102" s="83">
        <f t="shared" si="220"/>
        <v>695</v>
      </c>
      <c r="T1102" s="83">
        <f t="shared" si="220"/>
        <v>33.333333333333336</v>
      </c>
      <c r="U1102" s="84"/>
      <c r="V1102" s="84"/>
      <c r="W1102" s="84"/>
      <c r="X1102" s="84"/>
      <c r="Y1102" s="84"/>
      <c r="Z1102" s="84"/>
      <c r="AA1102" s="84"/>
      <c r="AB1102" s="84"/>
      <c r="AC1102" s="84"/>
      <c r="AD1102" s="84"/>
    </row>
    <row r="1103" spans="1:30" ht="15" x14ac:dyDescent="0.2">
      <c r="A1103" s="11">
        <f t="shared" si="210"/>
        <v>2047</v>
      </c>
      <c r="B1103" s="11">
        <f t="shared" si="218"/>
        <v>365</v>
      </c>
      <c r="C1103" s="83">
        <f t="shared" ref="C1103:T1103" si="221">AVERAGE(C420:C431)</f>
        <v>154.75825</v>
      </c>
      <c r="D1103" s="83">
        <f t="shared" si="221"/>
        <v>281.0162499999999</v>
      </c>
      <c r="E1103" s="83">
        <f t="shared" si="221"/>
        <v>109.1005</v>
      </c>
      <c r="F1103" s="83">
        <f t="shared" si="221"/>
        <v>57.041666666666664</v>
      </c>
      <c r="G1103" s="83">
        <f t="shared" si="221"/>
        <v>40</v>
      </c>
      <c r="H1103" s="83">
        <f t="shared" si="221"/>
        <v>174.58333333333334</v>
      </c>
      <c r="I1103" s="83">
        <f t="shared" si="221"/>
        <v>0</v>
      </c>
      <c r="J1103" s="83">
        <f t="shared" si="221"/>
        <v>100</v>
      </c>
      <c r="K1103" s="83">
        <f t="shared" si="221"/>
        <v>300</v>
      </c>
      <c r="L1103" s="83">
        <f t="shared" si="221"/>
        <v>1216.5</v>
      </c>
      <c r="M1103" s="85">
        <f t="shared" si="221"/>
        <v>600</v>
      </c>
      <c r="N1103" s="83">
        <f t="shared" si="221"/>
        <v>72.5</v>
      </c>
      <c r="O1103" s="86">
        <f t="shared" si="221"/>
        <v>240</v>
      </c>
      <c r="P1103" s="86">
        <f t="shared" si="221"/>
        <v>110</v>
      </c>
      <c r="Q1103" s="86">
        <f t="shared" si="221"/>
        <v>245</v>
      </c>
      <c r="R1103" s="86">
        <f t="shared" si="221"/>
        <v>100</v>
      </c>
      <c r="S1103" s="83">
        <f t="shared" si="221"/>
        <v>695</v>
      </c>
      <c r="T1103" s="83">
        <f t="shared" si="221"/>
        <v>33.333333333333336</v>
      </c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</row>
    <row r="1104" spans="1:30" ht="15" x14ac:dyDescent="0.2">
      <c r="A1104" s="11">
        <f t="shared" si="210"/>
        <v>2048</v>
      </c>
      <c r="B1104" s="11">
        <f t="shared" si="218"/>
        <v>366</v>
      </c>
      <c r="C1104" s="83">
        <f t="shared" ref="C1104:T1104" si="222">AVERAGE(C432:C443)</f>
        <v>154.75825</v>
      </c>
      <c r="D1104" s="83">
        <f t="shared" si="222"/>
        <v>281.0162499999999</v>
      </c>
      <c r="E1104" s="83">
        <f t="shared" si="222"/>
        <v>109.1005</v>
      </c>
      <c r="F1104" s="83">
        <f t="shared" si="222"/>
        <v>57.041666666666664</v>
      </c>
      <c r="G1104" s="83">
        <f t="shared" si="222"/>
        <v>40</v>
      </c>
      <c r="H1104" s="83">
        <f t="shared" si="222"/>
        <v>174.58333333333334</v>
      </c>
      <c r="I1104" s="83">
        <f t="shared" si="222"/>
        <v>0</v>
      </c>
      <c r="J1104" s="83">
        <f t="shared" si="222"/>
        <v>100</v>
      </c>
      <c r="K1104" s="83">
        <f t="shared" si="222"/>
        <v>300</v>
      </c>
      <c r="L1104" s="83">
        <f t="shared" si="222"/>
        <v>1216.5</v>
      </c>
      <c r="M1104" s="85">
        <f t="shared" si="222"/>
        <v>600</v>
      </c>
      <c r="N1104" s="83">
        <f t="shared" si="222"/>
        <v>72.5</v>
      </c>
      <c r="O1104" s="86">
        <f t="shared" si="222"/>
        <v>240</v>
      </c>
      <c r="P1104" s="86">
        <f t="shared" si="222"/>
        <v>110</v>
      </c>
      <c r="Q1104" s="86">
        <f t="shared" si="222"/>
        <v>245</v>
      </c>
      <c r="R1104" s="86">
        <f t="shared" si="222"/>
        <v>100</v>
      </c>
      <c r="S1104" s="83">
        <f t="shared" si="222"/>
        <v>695</v>
      </c>
      <c r="T1104" s="83">
        <f t="shared" si="222"/>
        <v>33.333333333333336</v>
      </c>
      <c r="U1104" s="84"/>
      <c r="V1104" s="84"/>
      <c r="W1104" s="84"/>
      <c r="X1104" s="84"/>
      <c r="Y1104" s="84"/>
      <c r="Z1104" s="84"/>
      <c r="AA1104" s="84"/>
      <c r="AB1104" s="84"/>
      <c r="AC1104" s="84"/>
      <c r="AD1104" s="84"/>
    </row>
    <row r="1105" spans="1:30" ht="15" x14ac:dyDescent="0.2">
      <c r="A1105" s="11">
        <f t="shared" si="210"/>
        <v>2049</v>
      </c>
      <c r="B1105" s="11">
        <f t="shared" si="218"/>
        <v>365</v>
      </c>
      <c r="C1105" s="83">
        <f t="shared" ref="C1105:T1105" si="223">AVERAGE(C444:C455)</f>
        <v>154.75825</v>
      </c>
      <c r="D1105" s="83">
        <f t="shared" si="223"/>
        <v>281.0162499999999</v>
      </c>
      <c r="E1105" s="83">
        <f t="shared" si="223"/>
        <v>109.1005</v>
      </c>
      <c r="F1105" s="83">
        <f t="shared" si="223"/>
        <v>57.041666666666664</v>
      </c>
      <c r="G1105" s="83">
        <f t="shared" si="223"/>
        <v>40</v>
      </c>
      <c r="H1105" s="83">
        <f t="shared" si="223"/>
        <v>174.58333333333334</v>
      </c>
      <c r="I1105" s="83">
        <f t="shared" si="223"/>
        <v>0</v>
      </c>
      <c r="J1105" s="83">
        <f t="shared" si="223"/>
        <v>100</v>
      </c>
      <c r="K1105" s="83">
        <f t="shared" si="223"/>
        <v>300</v>
      </c>
      <c r="L1105" s="83">
        <f t="shared" si="223"/>
        <v>1216.5</v>
      </c>
      <c r="M1105" s="85">
        <f t="shared" si="223"/>
        <v>600</v>
      </c>
      <c r="N1105" s="83">
        <f t="shared" si="223"/>
        <v>72.5</v>
      </c>
      <c r="O1105" s="86">
        <f t="shared" si="223"/>
        <v>240</v>
      </c>
      <c r="P1105" s="86">
        <f t="shared" si="223"/>
        <v>110</v>
      </c>
      <c r="Q1105" s="86">
        <f t="shared" si="223"/>
        <v>245</v>
      </c>
      <c r="R1105" s="86">
        <f t="shared" si="223"/>
        <v>100</v>
      </c>
      <c r="S1105" s="83">
        <f t="shared" si="223"/>
        <v>695</v>
      </c>
      <c r="T1105" s="83">
        <f t="shared" si="223"/>
        <v>33.333333333333336</v>
      </c>
      <c r="U1105" s="84"/>
      <c r="V1105" s="84"/>
      <c r="W1105" s="84"/>
      <c r="X1105" s="84"/>
      <c r="Y1105" s="84"/>
      <c r="Z1105" s="84"/>
      <c r="AA1105" s="84"/>
      <c r="AB1105" s="84"/>
      <c r="AC1105" s="84"/>
      <c r="AD1105" s="84"/>
    </row>
    <row r="1106" spans="1:30" ht="15" x14ac:dyDescent="0.2">
      <c r="A1106" s="11">
        <f t="shared" si="210"/>
        <v>2050</v>
      </c>
      <c r="B1106" s="11">
        <f t="shared" si="218"/>
        <v>365</v>
      </c>
      <c r="C1106" s="83">
        <f t="shared" ref="C1106:T1106" si="224">AVERAGE(C456:C467)</f>
        <v>154.75825</v>
      </c>
      <c r="D1106" s="83">
        <f t="shared" si="224"/>
        <v>281.0162499999999</v>
      </c>
      <c r="E1106" s="83">
        <f t="shared" si="224"/>
        <v>109.1005</v>
      </c>
      <c r="F1106" s="83">
        <f t="shared" si="224"/>
        <v>57.041666666666664</v>
      </c>
      <c r="G1106" s="83">
        <f t="shared" si="224"/>
        <v>40</v>
      </c>
      <c r="H1106" s="83">
        <f t="shared" si="224"/>
        <v>174.58333333333334</v>
      </c>
      <c r="I1106" s="83">
        <f t="shared" si="224"/>
        <v>0</v>
      </c>
      <c r="J1106" s="83">
        <f t="shared" si="224"/>
        <v>100</v>
      </c>
      <c r="K1106" s="83">
        <f t="shared" si="224"/>
        <v>300</v>
      </c>
      <c r="L1106" s="83">
        <f t="shared" si="224"/>
        <v>1216.5</v>
      </c>
      <c r="M1106" s="85">
        <f t="shared" si="224"/>
        <v>600</v>
      </c>
      <c r="N1106" s="83">
        <f t="shared" si="224"/>
        <v>72.5</v>
      </c>
      <c r="O1106" s="86">
        <f t="shared" si="224"/>
        <v>240</v>
      </c>
      <c r="P1106" s="86">
        <f t="shared" si="224"/>
        <v>110</v>
      </c>
      <c r="Q1106" s="86">
        <f t="shared" si="224"/>
        <v>245</v>
      </c>
      <c r="R1106" s="86">
        <f t="shared" si="224"/>
        <v>100</v>
      </c>
      <c r="S1106" s="83">
        <f t="shared" si="224"/>
        <v>695</v>
      </c>
      <c r="T1106" s="83">
        <f t="shared" si="224"/>
        <v>33.333333333333336</v>
      </c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</row>
    <row r="1107" spans="1:30" ht="15" x14ac:dyDescent="0.2">
      <c r="A1107" s="11">
        <f t="shared" si="210"/>
        <v>2051</v>
      </c>
      <c r="B1107" s="11">
        <f t="shared" si="218"/>
        <v>365</v>
      </c>
      <c r="C1107" s="83">
        <f t="shared" ref="C1107:T1107" si="225">AVERAGE(C468:C479)</f>
        <v>154.75825</v>
      </c>
      <c r="D1107" s="83">
        <f t="shared" si="225"/>
        <v>281.0162499999999</v>
      </c>
      <c r="E1107" s="83">
        <f t="shared" si="225"/>
        <v>109.1005</v>
      </c>
      <c r="F1107" s="83">
        <f t="shared" si="225"/>
        <v>57.041666666666664</v>
      </c>
      <c r="G1107" s="83">
        <f t="shared" si="225"/>
        <v>40</v>
      </c>
      <c r="H1107" s="83">
        <f t="shared" si="225"/>
        <v>174.58333333333334</v>
      </c>
      <c r="I1107" s="83">
        <f t="shared" si="225"/>
        <v>0</v>
      </c>
      <c r="J1107" s="83">
        <f t="shared" si="225"/>
        <v>100</v>
      </c>
      <c r="K1107" s="83">
        <f t="shared" si="225"/>
        <v>300</v>
      </c>
      <c r="L1107" s="83">
        <f t="shared" si="225"/>
        <v>1216.5</v>
      </c>
      <c r="M1107" s="85">
        <f t="shared" si="225"/>
        <v>600</v>
      </c>
      <c r="N1107" s="83">
        <f t="shared" si="225"/>
        <v>72.5</v>
      </c>
      <c r="O1107" s="86">
        <f t="shared" si="225"/>
        <v>240</v>
      </c>
      <c r="P1107" s="86">
        <f t="shared" si="225"/>
        <v>110</v>
      </c>
      <c r="Q1107" s="86">
        <f t="shared" si="225"/>
        <v>245</v>
      </c>
      <c r="R1107" s="86">
        <f t="shared" si="225"/>
        <v>100</v>
      </c>
      <c r="S1107" s="83">
        <f t="shared" si="225"/>
        <v>695</v>
      </c>
      <c r="T1107" s="83">
        <f t="shared" si="225"/>
        <v>33.333333333333336</v>
      </c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</row>
    <row r="1108" spans="1:30" ht="15" x14ac:dyDescent="0.2">
      <c r="A1108" s="11">
        <f t="shared" si="210"/>
        <v>2052</v>
      </c>
      <c r="B1108" s="11">
        <f t="shared" si="218"/>
        <v>366</v>
      </c>
      <c r="C1108" s="83">
        <f t="shared" ref="C1108:T1108" si="226">AVERAGE(C480:C491)</f>
        <v>154.75825</v>
      </c>
      <c r="D1108" s="83">
        <f t="shared" si="226"/>
        <v>281.0162499999999</v>
      </c>
      <c r="E1108" s="83">
        <f t="shared" si="226"/>
        <v>109.1005</v>
      </c>
      <c r="F1108" s="83">
        <f t="shared" si="226"/>
        <v>57.041666666666664</v>
      </c>
      <c r="G1108" s="83">
        <f t="shared" si="226"/>
        <v>40</v>
      </c>
      <c r="H1108" s="83">
        <f t="shared" si="226"/>
        <v>174.58333333333334</v>
      </c>
      <c r="I1108" s="83">
        <f t="shared" si="226"/>
        <v>0</v>
      </c>
      <c r="J1108" s="83">
        <f t="shared" si="226"/>
        <v>100</v>
      </c>
      <c r="K1108" s="83">
        <f t="shared" si="226"/>
        <v>300</v>
      </c>
      <c r="L1108" s="83">
        <f t="shared" si="226"/>
        <v>1216.5</v>
      </c>
      <c r="M1108" s="85">
        <f t="shared" si="226"/>
        <v>600</v>
      </c>
      <c r="N1108" s="83">
        <f t="shared" si="226"/>
        <v>72.5</v>
      </c>
      <c r="O1108" s="86">
        <f t="shared" si="226"/>
        <v>240</v>
      </c>
      <c r="P1108" s="86">
        <f t="shared" si="226"/>
        <v>110</v>
      </c>
      <c r="Q1108" s="86">
        <f t="shared" si="226"/>
        <v>245</v>
      </c>
      <c r="R1108" s="86">
        <f t="shared" si="226"/>
        <v>100</v>
      </c>
      <c r="S1108" s="83">
        <f t="shared" si="226"/>
        <v>695</v>
      </c>
      <c r="T1108" s="83">
        <f t="shared" si="226"/>
        <v>33.333333333333336</v>
      </c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</row>
    <row r="1109" spans="1:30" ht="15" x14ac:dyDescent="0.2">
      <c r="A1109" s="11">
        <f t="shared" si="210"/>
        <v>2053</v>
      </c>
      <c r="B1109" s="11">
        <f t="shared" si="218"/>
        <v>365</v>
      </c>
      <c r="C1109" s="83">
        <f t="shared" ref="C1109:T1109" si="227">AVERAGE(C492:C503)</f>
        <v>154.75825</v>
      </c>
      <c r="D1109" s="83">
        <f t="shared" si="227"/>
        <v>281.0162499999999</v>
      </c>
      <c r="E1109" s="83">
        <f t="shared" si="227"/>
        <v>109.1005</v>
      </c>
      <c r="F1109" s="83">
        <f t="shared" si="227"/>
        <v>57.041666666666664</v>
      </c>
      <c r="G1109" s="83">
        <f t="shared" si="227"/>
        <v>40</v>
      </c>
      <c r="H1109" s="83">
        <f t="shared" si="227"/>
        <v>174.58333333333334</v>
      </c>
      <c r="I1109" s="83">
        <f t="shared" si="227"/>
        <v>0</v>
      </c>
      <c r="J1109" s="83">
        <f t="shared" si="227"/>
        <v>100</v>
      </c>
      <c r="K1109" s="83">
        <f t="shared" si="227"/>
        <v>300</v>
      </c>
      <c r="L1109" s="83">
        <f t="shared" si="227"/>
        <v>1216.5</v>
      </c>
      <c r="M1109" s="85">
        <f t="shared" si="227"/>
        <v>600</v>
      </c>
      <c r="N1109" s="83">
        <f t="shared" si="227"/>
        <v>72.5</v>
      </c>
      <c r="O1109" s="86">
        <f t="shared" si="227"/>
        <v>240</v>
      </c>
      <c r="P1109" s="86">
        <f t="shared" si="227"/>
        <v>110</v>
      </c>
      <c r="Q1109" s="86">
        <f t="shared" si="227"/>
        <v>245</v>
      </c>
      <c r="R1109" s="86">
        <f t="shared" si="227"/>
        <v>100</v>
      </c>
      <c r="S1109" s="83">
        <f t="shared" si="227"/>
        <v>695</v>
      </c>
      <c r="T1109" s="83">
        <f t="shared" si="227"/>
        <v>33.333333333333336</v>
      </c>
      <c r="U1109" s="84"/>
      <c r="V1109" s="84"/>
      <c r="W1109" s="84"/>
      <c r="X1109" s="84"/>
      <c r="Y1109" s="84"/>
      <c r="Z1109" s="84"/>
      <c r="AA1109" s="84"/>
      <c r="AB1109" s="84"/>
      <c r="AC1109" s="84"/>
      <c r="AD1109" s="84"/>
    </row>
    <row r="1110" spans="1:30" ht="15" x14ac:dyDescent="0.2">
      <c r="A1110" s="11">
        <f t="shared" si="210"/>
        <v>2054</v>
      </c>
      <c r="B1110" s="11">
        <f t="shared" si="218"/>
        <v>365</v>
      </c>
      <c r="C1110" s="83">
        <f t="shared" ref="C1110:T1110" si="228">AVERAGE(C504:C515)</f>
        <v>154.75825</v>
      </c>
      <c r="D1110" s="83">
        <f t="shared" si="228"/>
        <v>281.0162499999999</v>
      </c>
      <c r="E1110" s="83">
        <f t="shared" si="228"/>
        <v>109.1005</v>
      </c>
      <c r="F1110" s="83">
        <f t="shared" si="228"/>
        <v>57.041666666666664</v>
      </c>
      <c r="G1110" s="83">
        <f t="shared" si="228"/>
        <v>40</v>
      </c>
      <c r="H1110" s="83">
        <f t="shared" si="228"/>
        <v>174.58333333333334</v>
      </c>
      <c r="I1110" s="83">
        <f t="shared" si="228"/>
        <v>0</v>
      </c>
      <c r="J1110" s="83">
        <f t="shared" si="228"/>
        <v>100</v>
      </c>
      <c r="K1110" s="83">
        <f t="shared" si="228"/>
        <v>300</v>
      </c>
      <c r="L1110" s="83">
        <f t="shared" si="228"/>
        <v>1216.5</v>
      </c>
      <c r="M1110" s="85">
        <f t="shared" si="228"/>
        <v>600</v>
      </c>
      <c r="N1110" s="83">
        <f t="shared" si="228"/>
        <v>72.5</v>
      </c>
      <c r="O1110" s="83">
        <f t="shared" si="228"/>
        <v>240</v>
      </c>
      <c r="P1110" s="83">
        <f t="shared" si="228"/>
        <v>110</v>
      </c>
      <c r="Q1110" s="83">
        <f t="shared" si="228"/>
        <v>245</v>
      </c>
      <c r="R1110" s="83">
        <f t="shared" si="228"/>
        <v>100</v>
      </c>
      <c r="S1110" s="83">
        <f t="shared" si="228"/>
        <v>695</v>
      </c>
      <c r="T1110" s="83">
        <f t="shared" si="228"/>
        <v>33.333333333333336</v>
      </c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</row>
    <row r="1111" spans="1:30" ht="15" x14ac:dyDescent="0.2">
      <c r="A1111" s="11">
        <f t="shared" si="210"/>
        <v>2055</v>
      </c>
      <c r="B1111" s="11">
        <f t="shared" si="218"/>
        <v>365</v>
      </c>
      <c r="C1111" s="83">
        <f t="shared" ref="C1111:T1111" si="229">AVERAGE(C505:C516)</f>
        <v>154.75825</v>
      </c>
      <c r="D1111" s="83">
        <f t="shared" si="229"/>
        <v>281.0162499999999</v>
      </c>
      <c r="E1111" s="83">
        <f t="shared" si="229"/>
        <v>109.1005</v>
      </c>
      <c r="F1111" s="83">
        <f t="shared" si="229"/>
        <v>57.041666666666657</v>
      </c>
      <c r="G1111" s="83">
        <f t="shared" si="229"/>
        <v>40</v>
      </c>
      <c r="H1111" s="83">
        <f t="shared" si="229"/>
        <v>174.58333333333334</v>
      </c>
      <c r="I1111" s="83">
        <f t="shared" si="229"/>
        <v>0</v>
      </c>
      <c r="J1111" s="83">
        <f t="shared" si="229"/>
        <v>100</v>
      </c>
      <c r="K1111" s="83">
        <f t="shared" si="229"/>
        <v>300</v>
      </c>
      <c r="L1111" s="83">
        <f t="shared" si="229"/>
        <v>1216.5</v>
      </c>
      <c r="M1111" s="85">
        <f t="shared" si="229"/>
        <v>600</v>
      </c>
      <c r="N1111" s="83">
        <f t="shared" si="229"/>
        <v>72.5</v>
      </c>
      <c r="O1111" s="83">
        <f t="shared" si="229"/>
        <v>240</v>
      </c>
      <c r="P1111" s="83">
        <f t="shared" si="229"/>
        <v>110</v>
      </c>
      <c r="Q1111" s="83">
        <f t="shared" si="229"/>
        <v>245</v>
      </c>
      <c r="R1111" s="83">
        <f t="shared" si="229"/>
        <v>100</v>
      </c>
      <c r="S1111" s="83">
        <f t="shared" si="229"/>
        <v>695</v>
      </c>
      <c r="T1111" s="83">
        <f t="shared" si="229"/>
        <v>33.333333333333336</v>
      </c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</row>
    <row r="1112" spans="1:30" ht="15" x14ac:dyDescent="0.2">
      <c r="A1112" s="11">
        <f t="shared" si="210"/>
        <v>2056</v>
      </c>
      <c r="B1112" s="11">
        <f t="shared" si="218"/>
        <v>366</v>
      </c>
      <c r="C1112" s="83">
        <f t="shared" ref="C1112:T1112" si="230">AVERAGE(C506:C517)</f>
        <v>154.75824999999998</v>
      </c>
      <c r="D1112" s="83">
        <f t="shared" si="230"/>
        <v>281.0162499999999</v>
      </c>
      <c r="E1112" s="83">
        <f t="shared" si="230"/>
        <v>109.1005</v>
      </c>
      <c r="F1112" s="83">
        <f t="shared" si="230"/>
        <v>57.041666666666664</v>
      </c>
      <c r="G1112" s="83">
        <f t="shared" si="230"/>
        <v>40</v>
      </c>
      <c r="H1112" s="83">
        <f t="shared" si="230"/>
        <v>174.58333333333334</v>
      </c>
      <c r="I1112" s="83">
        <f t="shared" si="230"/>
        <v>0</v>
      </c>
      <c r="J1112" s="83">
        <f t="shared" si="230"/>
        <v>100</v>
      </c>
      <c r="K1112" s="83">
        <f t="shared" si="230"/>
        <v>300</v>
      </c>
      <c r="L1112" s="83">
        <f t="shared" si="230"/>
        <v>1216.5</v>
      </c>
      <c r="M1112" s="85">
        <f t="shared" si="230"/>
        <v>600</v>
      </c>
      <c r="N1112" s="83">
        <f t="shared" si="230"/>
        <v>72.5</v>
      </c>
      <c r="O1112" s="83">
        <f t="shared" si="230"/>
        <v>240</v>
      </c>
      <c r="P1112" s="83">
        <f t="shared" si="230"/>
        <v>110</v>
      </c>
      <c r="Q1112" s="83">
        <f t="shared" si="230"/>
        <v>245</v>
      </c>
      <c r="R1112" s="83">
        <f t="shared" si="230"/>
        <v>100</v>
      </c>
      <c r="S1112" s="83">
        <f t="shared" si="230"/>
        <v>695</v>
      </c>
      <c r="T1112" s="83">
        <f t="shared" si="230"/>
        <v>33.333333333333336</v>
      </c>
      <c r="U1112" s="84"/>
      <c r="V1112" s="84"/>
      <c r="W1112" s="84"/>
      <c r="X1112" s="84"/>
      <c r="Y1112" s="84"/>
      <c r="Z1112" s="84"/>
      <c r="AA1112" s="84"/>
      <c r="AB1112" s="84"/>
      <c r="AC1112" s="84"/>
      <c r="AD1112" s="84"/>
    </row>
    <row r="1113" spans="1:30" ht="15" x14ac:dyDescent="0.2">
      <c r="A1113" s="11">
        <f t="shared" si="210"/>
        <v>2057</v>
      </c>
      <c r="B1113" s="11">
        <f t="shared" si="218"/>
        <v>365</v>
      </c>
      <c r="C1113" s="83">
        <f t="shared" ref="C1113:T1113" si="231">AVERAGE(C507:C518)</f>
        <v>154.75825</v>
      </c>
      <c r="D1113" s="83">
        <f t="shared" si="231"/>
        <v>281.0162499999999</v>
      </c>
      <c r="E1113" s="83">
        <f t="shared" si="231"/>
        <v>109.1005</v>
      </c>
      <c r="F1113" s="83">
        <f t="shared" si="231"/>
        <v>57.041666666666664</v>
      </c>
      <c r="G1113" s="83">
        <f t="shared" si="231"/>
        <v>40</v>
      </c>
      <c r="H1113" s="83">
        <f t="shared" si="231"/>
        <v>174.58333333333334</v>
      </c>
      <c r="I1113" s="83">
        <f t="shared" si="231"/>
        <v>0</v>
      </c>
      <c r="J1113" s="83">
        <f t="shared" si="231"/>
        <v>100</v>
      </c>
      <c r="K1113" s="83">
        <f t="shared" si="231"/>
        <v>300</v>
      </c>
      <c r="L1113" s="83">
        <f t="shared" si="231"/>
        <v>1216.5</v>
      </c>
      <c r="M1113" s="85">
        <f t="shared" si="231"/>
        <v>600</v>
      </c>
      <c r="N1113" s="83">
        <f t="shared" si="231"/>
        <v>72.5</v>
      </c>
      <c r="O1113" s="83">
        <f t="shared" si="231"/>
        <v>240</v>
      </c>
      <c r="P1113" s="83">
        <f t="shared" si="231"/>
        <v>110</v>
      </c>
      <c r="Q1113" s="83">
        <f t="shared" si="231"/>
        <v>245</v>
      </c>
      <c r="R1113" s="83">
        <f t="shared" si="231"/>
        <v>100</v>
      </c>
      <c r="S1113" s="83">
        <f t="shared" si="231"/>
        <v>695</v>
      </c>
      <c r="T1113" s="83">
        <f t="shared" si="231"/>
        <v>33.333333333333336</v>
      </c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</row>
    <row r="1114" spans="1:30" ht="15" x14ac:dyDescent="0.2">
      <c r="A1114" s="11">
        <f t="shared" si="210"/>
        <v>2058</v>
      </c>
      <c r="B1114" s="11">
        <f t="shared" si="218"/>
        <v>365</v>
      </c>
      <c r="C1114" s="83">
        <f t="shared" ref="C1114:T1114" si="232">AVERAGE(C508:C519)</f>
        <v>154.75824999999998</v>
      </c>
      <c r="D1114" s="83">
        <f t="shared" si="232"/>
        <v>281.01624999999996</v>
      </c>
      <c r="E1114" s="83">
        <f t="shared" si="232"/>
        <v>109.10050000000001</v>
      </c>
      <c r="F1114" s="83">
        <f t="shared" si="232"/>
        <v>57.041666666666664</v>
      </c>
      <c r="G1114" s="83">
        <f t="shared" si="232"/>
        <v>40</v>
      </c>
      <c r="H1114" s="83">
        <f t="shared" si="232"/>
        <v>174.58333333333334</v>
      </c>
      <c r="I1114" s="83">
        <f t="shared" si="232"/>
        <v>0</v>
      </c>
      <c r="J1114" s="83">
        <f t="shared" si="232"/>
        <v>100</v>
      </c>
      <c r="K1114" s="83">
        <f t="shared" si="232"/>
        <v>300</v>
      </c>
      <c r="L1114" s="83">
        <f t="shared" si="232"/>
        <v>1216.5</v>
      </c>
      <c r="M1114" s="85">
        <f t="shared" si="232"/>
        <v>600</v>
      </c>
      <c r="N1114" s="83">
        <f t="shared" si="232"/>
        <v>72.5</v>
      </c>
      <c r="O1114" s="83">
        <f t="shared" si="232"/>
        <v>240</v>
      </c>
      <c r="P1114" s="83">
        <f t="shared" si="232"/>
        <v>110</v>
      </c>
      <c r="Q1114" s="83">
        <f t="shared" si="232"/>
        <v>245</v>
      </c>
      <c r="R1114" s="83">
        <f t="shared" si="232"/>
        <v>100</v>
      </c>
      <c r="S1114" s="83">
        <f t="shared" si="232"/>
        <v>695</v>
      </c>
      <c r="T1114" s="83">
        <f t="shared" si="232"/>
        <v>33.333333333333336</v>
      </c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</row>
    <row r="1115" spans="1:30" ht="15" x14ac:dyDescent="0.2">
      <c r="A1115" s="11">
        <f t="shared" si="210"/>
        <v>2059</v>
      </c>
      <c r="B1115" s="11">
        <f t="shared" si="218"/>
        <v>365</v>
      </c>
      <c r="C1115" s="83">
        <f t="shared" ref="C1115:T1115" si="233">AVERAGE(C509:C520)</f>
        <v>154.75824999999998</v>
      </c>
      <c r="D1115" s="83">
        <f t="shared" si="233"/>
        <v>281.01624999999996</v>
      </c>
      <c r="E1115" s="83">
        <f t="shared" si="233"/>
        <v>109.10050000000001</v>
      </c>
      <c r="F1115" s="83">
        <f t="shared" si="233"/>
        <v>57.041666666666664</v>
      </c>
      <c r="G1115" s="83">
        <f t="shared" si="233"/>
        <v>40</v>
      </c>
      <c r="H1115" s="83">
        <f t="shared" si="233"/>
        <v>174.58333333333334</v>
      </c>
      <c r="I1115" s="83">
        <f t="shared" si="233"/>
        <v>0</v>
      </c>
      <c r="J1115" s="83">
        <f t="shared" si="233"/>
        <v>100</v>
      </c>
      <c r="K1115" s="83">
        <f t="shared" si="233"/>
        <v>300</v>
      </c>
      <c r="L1115" s="83">
        <f t="shared" si="233"/>
        <v>1216.5</v>
      </c>
      <c r="M1115" s="85">
        <f t="shared" si="233"/>
        <v>600</v>
      </c>
      <c r="N1115" s="83">
        <f t="shared" si="233"/>
        <v>72.5</v>
      </c>
      <c r="O1115" s="83">
        <f t="shared" si="233"/>
        <v>240</v>
      </c>
      <c r="P1115" s="83">
        <f t="shared" si="233"/>
        <v>110</v>
      </c>
      <c r="Q1115" s="83">
        <f t="shared" si="233"/>
        <v>245</v>
      </c>
      <c r="R1115" s="83">
        <f t="shared" si="233"/>
        <v>100</v>
      </c>
      <c r="S1115" s="83">
        <f t="shared" si="233"/>
        <v>695</v>
      </c>
      <c r="T1115" s="83">
        <f t="shared" si="233"/>
        <v>33.333333333333336</v>
      </c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</row>
    <row r="1116" spans="1:30" ht="15" x14ac:dyDescent="0.2">
      <c r="A1116" s="11">
        <f t="shared" si="210"/>
        <v>2060</v>
      </c>
      <c r="B1116" s="11">
        <f t="shared" si="218"/>
        <v>366</v>
      </c>
      <c r="C1116" s="83">
        <f t="shared" ref="C1116:T1116" si="234">AVERAGE(C510:C521)</f>
        <v>154.75824999999998</v>
      </c>
      <c r="D1116" s="83">
        <f t="shared" si="234"/>
        <v>281.01624999999996</v>
      </c>
      <c r="E1116" s="83">
        <f t="shared" si="234"/>
        <v>109.10050000000001</v>
      </c>
      <c r="F1116" s="83">
        <f t="shared" si="234"/>
        <v>57.041666666666664</v>
      </c>
      <c r="G1116" s="83">
        <f t="shared" si="234"/>
        <v>40</v>
      </c>
      <c r="H1116" s="83">
        <f t="shared" si="234"/>
        <v>174.58333333333334</v>
      </c>
      <c r="I1116" s="83">
        <f t="shared" si="234"/>
        <v>0</v>
      </c>
      <c r="J1116" s="83">
        <f t="shared" si="234"/>
        <v>100</v>
      </c>
      <c r="K1116" s="83">
        <f t="shared" si="234"/>
        <v>300</v>
      </c>
      <c r="L1116" s="83">
        <f t="shared" si="234"/>
        <v>1216.5</v>
      </c>
      <c r="M1116" s="85">
        <f t="shared" si="234"/>
        <v>600</v>
      </c>
      <c r="N1116" s="83">
        <f t="shared" si="234"/>
        <v>72.5</v>
      </c>
      <c r="O1116" s="83">
        <f t="shared" si="234"/>
        <v>240</v>
      </c>
      <c r="P1116" s="83">
        <f t="shared" si="234"/>
        <v>110</v>
      </c>
      <c r="Q1116" s="83">
        <f t="shared" si="234"/>
        <v>245</v>
      </c>
      <c r="R1116" s="83">
        <f t="shared" si="234"/>
        <v>100</v>
      </c>
      <c r="S1116" s="83">
        <f t="shared" si="234"/>
        <v>695</v>
      </c>
      <c r="T1116" s="83">
        <f t="shared" si="234"/>
        <v>33.333333333333336</v>
      </c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</row>
    <row r="1117" spans="1:30" ht="15" x14ac:dyDescent="0.2">
      <c r="A1117" s="11">
        <f t="shared" si="210"/>
        <v>2061</v>
      </c>
      <c r="B1117" s="11">
        <f t="shared" si="218"/>
        <v>365</v>
      </c>
      <c r="C1117" s="83">
        <f t="shared" ref="C1117:T1117" si="235">AVERAGE(C511:C522)</f>
        <v>154.75825</v>
      </c>
      <c r="D1117" s="83">
        <f t="shared" si="235"/>
        <v>281.01624999999996</v>
      </c>
      <c r="E1117" s="83">
        <f t="shared" si="235"/>
        <v>109.10050000000001</v>
      </c>
      <c r="F1117" s="83">
        <f t="shared" si="235"/>
        <v>57.04166666666665</v>
      </c>
      <c r="G1117" s="83">
        <f t="shared" si="235"/>
        <v>40</v>
      </c>
      <c r="H1117" s="83">
        <f t="shared" si="235"/>
        <v>174.58333333333334</v>
      </c>
      <c r="I1117" s="83">
        <f t="shared" si="235"/>
        <v>0</v>
      </c>
      <c r="J1117" s="83">
        <f t="shared" si="235"/>
        <v>100</v>
      </c>
      <c r="K1117" s="83">
        <f t="shared" si="235"/>
        <v>300</v>
      </c>
      <c r="L1117" s="83">
        <f t="shared" si="235"/>
        <v>1216.5</v>
      </c>
      <c r="M1117" s="85">
        <f t="shared" si="235"/>
        <v>600</v>
      </c>
      <c r="N1117" s="83">
        <f t="shared" si="235"/>
        <v>72.5</v>
      </c>
      <c r="O1117" s="83">
        <f t="shared" si="235"/>
        <v>240</v>
      </c>
      <c r="P1117" s="83">
        <f t="shared" si="235"/>
        <v>110</v>
      </c>
      <c r="Q1117" s="83">
        <f t="shared" si="235"/>
        <v>245</v>
      </c>
      <c r="R1117" s="83">
        <f t="shared" si="235"/>
        <v>100</v>
      </c>
      <c r="S1117" s="83">
        <f t="shared" si="235"/>
        <v>695</v>
      </c>
      <c r="T1117" s="83">
        <f t="shared" si="235"/>
        <v>33.333333333333336</v>
      </c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</row>
    <row r="1118" spans="1:30" ht="15" x14ac:dyDescent="0.2">
      <c r="A1118" s="11">
        <f t="shared" si="210"/>
        <v>2062</v>
      </c>
      <c r="B1118" s="11">
        <f t="shared" si="218"/>
        <v>365</v>
      </c>
      <c r="C1118" s="83">
        <f t="shared" ref="C1118:L1127" ca="1" si="236">AVERAGE(OFFSET(C$600,($A1118-$A$1118)*12,0,12,1))</f>
        <v>154.75825</v>
      </c>
      <c r="D1118" s="83">
        <f t="shared" ca="1" si="236"/>
        <v>281.0162499999999</v>
      </c>
      <c r="E1118" s="83">
        <f t="shared" ca="1" si="236"/>
        <v>109.1005</v>
      </c>
      <c r="F1118" s="83">
        <f t="shared" ca="1" si="236"/>
        <v>57.041666666666664</v>
      </c>
      <c r="G1118" s="83">
        <f t="shared" ca="1" si="236"/>
        <v>40</v>
      </c>
      <c r="H1118" s="83">
        <f t="shared" ca="1" si="236"/>
        <v>174.58333333333334</v>
      </c>
      <c r="I1118" s="83">
        <f t="shared" ca="1" si="236"/>
        <v>0</v>
      </c>
      <c r="J1118" s="83">
        <f t="shared" ca="1" si="236"/>
        <v>100</v>
      </c>
      <c r="K1118" s="83">
        <f t="shared" ca="1" si="236"/>
        <v>300</v>
      </c>
      <c r="L1118" s="83">
        <f t="shared" ca="1" si="236"/>
        <v>1216.5</v>
      </c>
      <c r="M1118" s="83">
        <f t="shared" ref="M1118:T1127" ca="1" si="237">AVERAGE(OFFSET(M$600,($A1118-$A$1118)*12,0,12,1))</f>
        <v>600</v>
      </c>
      <c r="N1118" s="83">
        <f t="shared" ca="1" si="237"/>
        <v>72.5</v>
      </c>
      <c r="O1118" s="83">
        <f t="shared" ca="1" si="237"/>
        <v>240</v>
      </c>
      <c r="P1118" s="83">
        <f t="shared" ca="1" si="237"/>
        <v>40</v>
      </c>
      <c r="Q1118" s="83">
        <f t="shared" ca="1" si="237"/>
        <v>315</v>
      </c>
      <c r="R1118" s="83">
        <f t="shared" ca="1" si="237"/>
        <v>100</v>
      </c>
      <c r="S1118" s="83">
        <f t="shared" ca="1" si="237"/>
        <v>695</v>
      </c>
      <c r="T1118" s="83">
        <f t="shared" ca="1" si="237"/>
        <v>33.333333333333336</v>
      </c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</row>
    <row r="1119" spans="1:30" ht="15" x14ac:dyDescent="0.2">
      <c r="A1119" s="11">
        <f t="shared" si="210"/>
        <v>2063</v>
      </c>
      <c r="B1119" s="11">
        <f t="shared" si="218"/>
        <v>365</v>
      </c>
      <c r="C1119" s="83">
        <f t="shared" ca="1" si="236"/>
        <v>154.75825</v>
      </c>
      <c r="D1119" s="83">
        <f t="shared" ca="1" si="236"/>
        <v>281.0162499999999</v>
      </c>
      <c r="E1119" s="83">
        <f t="shared" ca="1" si="236"/>
        <v>109.1005</v>
      </c>
      <c r="F1119" s="83">
        <f t="shared" ca="1" si="236"/>
        <v>57.041666666666664</v>
      </c>
      <c r="G1119" s="83">
        <f t="shared" ca="1" si="236"/>
        <v>40</v>
      </c>
      <c r="H1119" s="83">
        <f t="shared" ca="1" si="236"/>
        <v>174.58333333333334</v>
      </c>
      <c r="I1119" s="83">
        <f t="shared" ca="1" si="236"/>
        <v>0</v>
      </c>
      <c r="J1119" s="83">
        <f t="shared" ca="1" si="236"/>
        <v>100</v>
      </c>
      <c r="K1119" s="83">
        <f t="shared" ca="1" si="236"/>
        <v>300</v>
      </c>
      <c r="L1119" s="83">
        <f t="shared" ca="1" si="236"/>
        <v>1216.5</v>
      </c>
      <c r="M1119" s="83">
        <f t="shared" ca="1" si="237"/>
        <v>600</v>
      </c>
      <c r="N1119" s="83">
        <f t="shared" ca="1" si="237"/>
        <v>72.5</v>
      </c>
      <c r="O1119" s="83">
        <f t="shared" ca="1" si="237"/>
        <v>240</v>
      </c>
      <c r="P1119" s="83">
        <f t="shared" ca="1" si="237"/>
        <v>40</v>
      </c>
      <c r="Q1119" s="83">
        <f t="shared" ca="1" si="237"/>
        <v>315</v>
      </c>
      <c r="R1119" s="83">
        <f t="shared" ca="1" si="237"/>
        <v>100</v>
      </c>
      <c r="S1119" s="83">
        <f t="shared" ca="1" si="237"/>
        <v>695</v>
      </c>
      <c r="T1119" s="83">
        <f t="shared" ca="1" si="237"/>
        <v>33.333333333333336</v>
      </c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</row>
    <row r="1120" spans="1:30" ht="15" x14ac:dyDescent="0.2">
      <c r="A1120" s="11">
        <f t="shared" si="210"/>
        <v>2064</v>
      </c>
      <c r="B1120" s="11">
        <f t="shared" si="218"/>
        <v>366</v>
      </c>
      <c r="C1120" s="83">
        <f t="shared" ca="1" si="236"/>
        <v>154.75825</v>
      </c>
      <c r="D1120" s="83">
        <f t="shared" ca="1" si="236"/>
        <v>281.0162499999999</v>
      </c>
      <c r="E1120" s="83">
        <f t="shared" ca="1" si="236"/>
        <v>109.1005</v>
      </c>
      <c r="F1120" s="83">
        <f t="shared" ca="1" si="236"/>
        <v>57.041666666666664</v>
      </c>
      <c r="G1120" s="83">
        <f t="shared" ca="1" si="236"/>
        <v>40</v>
      </c>
      <c r="H1120" s="83">
        <f t="shared" ca="1" si="236"/>
        <v>174.58333333333334</v>
      </c>
      <c r="I1120" s="83">
        <f t="shared" ca="1" si="236"/>
        <v>0</v>
      </c>
      <c r="J1120" s="83">
        <f t="shared" ca="1" si="236"/>
        <v>100</v>
      </c>
      <c r="K1120" s="83">
        <f t="shared" ca="1" si="236"/>
        <v>300</v>
      </c>
      <c r="L1120" s="83">
        <f t="shared" ca="1" si="236"/>
        <v>1216.5</v>
      </c>
      <c r="M1120" s="83">
        <f t="shared" ca="1" si="237"/>
        <v>600</v>
      </c>
      <c r="N1120" s="83">
        <f t="shared" ca="1" si="237"/>
        <v>72.5</v>
      </c>
      <c r="O1120" s="83">
        <f t="shared" ca="1" si="237"/>
        <v>240</v>
      </c>
      <c r="P1120" s="83">
        <f t="shared" ca="1" si="237"/>
        <v>40</v>
      </c>
      <c r="Q1120" s="83">
        <f t="shared" ca="1" si="237"/>
        <v>315</v>
      </c>
      <c r="R1120" s="83">
        <f t="shared" ca="1" si="237"/>
        <v>100</v>
      </c>
      <c r="S1120" s="83">
        <f t="shared" ca="1" si="237"/>
        <v>695</v>
      </c>
      <c r="T1120" s="83">
        <f t="shared" ca="1" si="237"/>
        <v>33.333333333333336</v>
      </c>
      <c r="U1120" s="84"/>
      <c r="V1120" s="84"/>
      <c r="W1120" s="84"/>
      <c r="X1120" s="84"/>
      <c r="Y1120" s="84"/>
      <c r="Z1120" s="84"/>
      <c r="AA1120" s="84"/>
      <c r="AB1120" s="84"/>
      <c r="AC1120" s="84"/>
      <c r="AD1120" s="84"/>
    </row>
    <row r="1121" spans="1:30" ht="15" x14ac:dyDescent="0.2">
      <c r="A1121" s="11">
        <f t="shared" si="210"/>
        <v>2065</v>
      </c>
      <c r="B1121" s="11">
        <f t="shared" si="218"/>
        <v>365</v>
      </c>
      <c r="C1121" s="83">
        <f t="shared" ca="1" si="236"/>
        <v>154.75825</v>
      </c>
      <c r="D1121" s="83">
        <f t="shared" ca="1" si="236"/>
        <v>281.0162499999999</v>
      </c>
      <c r="E1121" s="83">
        <f t="shared" ca="1" si="236"/>
        <v>109.1005</v>
      </c>
      <c r="F1121" s="83">
        <f t="shared" ca="1" si="236"/>
        <v>57.041666666666664</v>
      </c>
      <c r="G1121" s="83">
        <f t="shared" ca="1" si="236"/>
        <v>40</v>
      </c>
      <c r="H1121" s="83">
        <f t="shared" ca="1" si="236"/>
        <v>174.58333333333334</v>
      </c>
      <c r="I1121" s="83">
        <f t="shared" ca="1" si="236"/>
        <v>0</v>
      </c>
      <c r="J1121" s="83">
        <f t="shared" ca="1" si="236"/>
        <v>100</v>
      </c>
      <c r="K1121" s="83">
        <f t="shared" ca="1" si="236"/>
        <v>300</v>
      </c>
      <c r="L1121" s="83">
        <f t="shared" ca="1" si="236"/>
        <v>1216.5</v>
      </c>
      <c r="M1121" s="83">
        <f t="shared" ca="1" si="237"/>
        <v>600</v>
      </c>
      <c r="N1121" s="83">
        <f t="shared" ca="1" si="237"/>
        <v>72.5</v>
      </c>
      <c r="O1121" s="83">
        <f t="shared" ca="1" si="237"/>
        <v>240</v>
      </c>
      <c r="P1121" s="83">
        <f t="shared" ca="1" si="237"/>
        <v>40</v>
      </c>
      <c r="Q1121" s="83">
        <f t="shared" ca="1" si="237"/>
        <v>315</v>
      </c>
      <c r="R1121" s="83">
        <f t="shared" ca="1" si="237"/>
        <v>100</v>
      </c>
      <c r="S1121" s="83">
        <f t="shared" ca="1" si="237"/>
        <v>695</v>
      </c>
      <c r="T1121" s="83">
        <f t="shared" ca="1" si="237"/>
        <v>33.333333333333336</v>
      </c>
      <c r="U1121" s="84"/>
      <c r="V1121" s="84"/>
      <c r="W1121" s="84"/>
      <c r="X1121" s="84"/>
      <c r="Y1121" s="84"/>
      <c r="Z1121" s="84"/>
      <c r="AA1121" s="84"/>
      <c r="AB1121" s="84"/>
      <c r="AC1121" s="84"/>
      <c r="AD1121" s="84"/>
    </row>
    <row r="1122" spans="1:30" ht="15" x14ac:dyDescent="0.2">
      <c r="A1122" s="11">
        <f t="shared" si="210"/>
        <v>2066</v>
      </c>
      <c r="B1122" s="11">
        <f t="shared" si="218"/>
        <v>365</v>
      </c>
      <c r="C1122" s="83">
        <f t="shared" ca="1" si="236"/>
        <v>154.75825</v>
      </c>
      <c r="D1122" s="83">
        <f t="shared" ca="1" si="236"/>
        <v>281.0162499999999</v>
      </c>
      <c r="E1122" s="83">
        <f t="shared" ca="1" si="236"/>
        <v>109.1005</v>
      </c>
      <c r="F1122" s="83">
        <f t="shared" ca="1" si="236"/>
        <v>57.041666666666664</v>
      </c>
      <c r="G1122" s="83">
        <f t="shared" ca="1" si="236"/>
        <v>40</v>
      </c>
      <c r="H1122" s="83">
        <f t="shared" ca="1" si="236"/>
        <v>174.58333333333334</v>
      </c>
      <c r="I1122" s="83">
        <f t="shared" ca="1" si="236"/>
        <v>0</v>
      </c>
      <c r="J1122" s="83">
        <f t="shared" ca="1" si="236"/>
        <v>100</v>
      </c>
      <c r="K1122" s="83">
        <f t="shared" ca="1" si="236"/>
        <v>300</v>
      </c>
      <c r="L1122" s="83">
        <f t="shared" ca="1" si="236"/>
        <v>1216.5</v>
      </c>
      <c r="M1122" s="83">
        <f t="shared" ca="1" si="237"/>
        <v>600</v>
      </c>
      <c r="N1122" s="83">
        <f t="shared" ca="1" si="237"/>
        <v>72.5</v>
      </c>
      <c r="O1122" s="83">
        <f t="shared" ca="1" si="237"/>
        <v>240</v>
      </c>
      <c r="P1122" s="83">
        <f t="shared" ca="1" si="237"/>
        <v>40</v>
      </c>
      <c r="Q1122" s="83">
        <f t="shared" ca="1" si="237"/>
        <v>315</v>
      </c>
      <c r="R1122" s="83">
        <f t="shared" ca="1" si="237"/>
        <v>100</v>
      </c>
      <c r="S1122" s="83">
        <f t="shared" ca="1" si="237"/>
        <v>695</v>
      </c>
      <c r="T1122" s="83">
        <f t="shared" ca="1" si="237"/>
        <v>33.333333333333336</v>
      </c>
      <c r="U1122" s="84"/>
      <c r="V1122" s="84"/>
      <c r="W1122" s="84"/>
      <c r="X1122" s="84"/>
      <c r="Y1122" s="84"/>
      <c r="Z1122" s="84"/>
      <c r="AA1122" s="84"/>
      <c r="AB1122" s="84"/>
      <c r="AC1122" s="84"/>
      <c r="AD1122" s="84"/>
    </row>
    <row r="1123" spans="1:30" ht="15" x14ac:dyDescent="0.2">
      <c r="A1123" s="11">
        <f t="shared" si="210"/>
        <v>2067</v>
      </c>
      <c r="B1123" s="11">
        <f t="shared" si="218"/>
        <v>365</v>
      </c>
      <c r="C1123" s="83">
        <f t="shared" ca="1" si="236"/>
        <v>154.75825</v>
      </c>
      <c r="D1123" s="83">
        <f t="shared" ca="1" si="236"/>
        <v>281.0162499999999</v>
      </c>
      <c r="E1123" s="83">
        <f t="shared" ca="1" si="236"/>
        <v>109.1005</v>
      </c>
      <c r="F1123" s="83">
        <f t="shared" ca="1" si="236"/>
        <v>57.041666666666664</v>
      </c>
      <c r="G1123" s="83">
        <f t="shared" ca="1" si="236"/>
        <v>40</v>
      </c>
      <c r="H1123" s="83">
        <f t="shared" ca="1" si="236"/>
        <v>174.58333333333334</v>
      </c>
      <c r="I1123" s="83">
        <f t="shared" ca="1" si="236"/>
        <v>0</v>
      </c>
      <c r="J1123" s="83">
        <f t="shared" ca="1" si="236"/>
        <v>100</v>
      </c>
      <c r="K1123" s="83">
        <f t="shared" ca="1" si="236"/>
        <v>300</v>
      </c>
      <c r="L1123" s="83">
        <f t="shared" ca="1" si="236"/>
        <v>1216.5</v>
      </c>
      <c r="M1123" s="83">
        <f t="shared" ca="1" si="237"/>
        <v>600</v>
      </c>
      <c r="N1123" s="83">
        <f t="shared" ca="1" si="237"/>
        <v>72.5</v>
      </c>
      <c r="O1123" s="83">
        <f t="shared" ca="1" si="237"/>
        <v>240</v>
      </c>
      <c r="P1123" s="83">
        <f t="shared" ca="1" si="237"/>
        <v>40</v>
      </c>
      <c r="Q1123" s="83">
        <f t="shared" ca="1" si="237"/>
        <v>315</v>
      </c>
      <c r="R1123" s="83">
        <f t="shared" ca="1" si="237"/>
        <v>100</v>
      </c>
      <c r="S1123" s="83">
        <f t="shared" ca="1" si="237"/>
        <v>695</v>
      </c>
      <c r="T1123" s="83">
        <f t="shared" ca="1" si="237"/>
        <v>33.333333333333336</v>
      </c>
      <c r="U1123" s="84"/>
      <c r="V1123" s="84"/>
      <c r="W1123" s="84"/>
      <c r="X1123" s="84"/>
      <c r="Y1123" s="84"/>
      <c r="Z1123" s="84"/>
      <c r="AA1123" s="84"/>
      <c r="AB1123" s="84"/>
      <c r="AC1123" s="84"/>
      <c r="AD1123" s="84"/>
    </row>
    <row r="1124" spans="1:30" ht="15" x14ac:dyDescent="0.2">
      <c r="A1124" s="11">
        <f t="shared" si="210"/>
        <v>2068</v>
      </c>
      <c r="B1124" s="11">
        <f t="shared" si="218"/>
        <v>366</v>
      </c>
      <c r="C1124" s="83">
        <f t="shared" ca="1" si="236"/>
        <v>154.75825</v>
      </c>
      <c r="D1124" s="83">
        <f t="shared" ca="1" si="236"/>
        <v>281.0162499999999</v>
      </c>
      <c r="E1124" s="83">
        <f t="shared" ca="1" si="236"/>
        <v>109.1005</v>
      </c>
      <c r="F1124" s="83">
        <f t="shared" ca="1" si="236"/>
        <v>57.041666666666664</v>
      </c>
      <c r="G1124" s="83">
        <f t="shared" ca="1" si="236"/>
        <v>40</v>
      </c>
      <c r="H1124" s="83">
        <f t="shared" ca="1" si="236"/>
        <v>174.58333333333334</v>
      </c>
      <c r="I1124" s="83">
        <f t="shared" ca="1" si="236"/>
        <v>0</v>
      </c>
      <c r="J1124" s="83">
        <f t="shared" ca="1" si="236"/>
        <v>100</v>
      </c>
      <c r="K1124" s="83">
        <f t="shared" ca="1" si="236"/>
        <v>300</v>
      </c>
      <c r="L1124" s="83">
        <f t="shared" ca="1" si="236"/>
        <v>1216.5</v>
      </c>
      <c r="M1124" s="83">
        <f t="shared" ca="1" si="237"/>
        <v>600</v>
      </c>
      <c r="N1124" s="83">
        <f t="shared" ca="1" si="237"/>
        <v>72.5</v>
      </c>
      <c r="O1124" s="83">
        <f t="shared" ca="1" si="237"/>
        <v>240</v>
      </c>
      <c r="P1124" s="83">
        <f t="shared" ca="1" si="237"/>
        <v>40</v>
      </c>
      <c r="Q1124" s="83">
        <f t="shared" ca="1" si="237"/>
        <v>315</v>
      </c>
      <c r="R1124" s="83">
        <f t="shared" ca="1" si="237"/>
        <v>100</v>
      </c>
      <c r="S1124" s="83">
        <f t="shared" ca="1" si="237"/>
        <v>695</v>
      </c>
      <c r="T1124" s="83">
        <f t="shared" ca="1" si="237"/>
        <v>33.333333333333336</v>
      </c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</row>
    <row r="1125" spans="1:30" ht="15" x14ac:dyDescent="0.2">
      <c r="A1125" s="11">
        <f t="shared" si="210"/>
        <v>2069</v>
      </c>
      <c r="B1125" s="11">
        <f t="shared" si="218"/>
        <v>365</v>
      </c>
      <c r="C1125" s="83">
        <f t="shared" ca="1" si="236"/>
        <v>154.75825</v>
      </c>
      <c r="D1125" s="83">
        <f t="shared" ca="1" si="236"/>
        <v>281.0162499999999</v>
      </c>
      <c r="E1125" s="83">
        <f t="shared" ca="1" si="236"/>
        <v>109.1005</v>
      </c>
      <c r="F1125" s="83">
        <f t="shared" ca="1" si="236"/>
        <v>57.041666666666664</v>
      </c>
      <c r="G1125" s="83">
        <f t="shared" ca="1" si="236"/>
        <v>40</v>
      </c>
      <c r="H1125" s="83">
        <f t="shared" ca="1" si="236"/>
        <v>174.58333333333334</v>
      </c>
      <c r="I1125" s="83">
        <f t="shared" ca="1" si="236"/>
        <v>0</v>
      </c>
      <c r="J1125" s="83">
        <f t="shared" ca="1" si="236"/>
        <v>100</v>
      </c>
      <c r="K1125" s="83">
        <f t="shared" ca="1" si="236"/>
        <v>300</v>
      </c>
      <c r="L1125" s="83">
        <f t="shared" ca="1" si="236"/>
        <v>1216.5</v>
      </c>
      <c r="M1125" s="83">
        <f t="shared" ca="1" si="237"/>
        <v>600</v>
      </c>
      <c r="N1125" s="83">
        <f t="shared" ca="1" si="237"/>
        <v>72.5</v>
      </c>
      <c r="O1125" s="83">
        <f t="shared" ca="1" si="237"/>
        <v>240</v>
      </c>
      <c r="P1125" s="83">
        <f t="shared" ca="1" si="237"/>
        <v>40</v>
      </c>
      <c r="Q1125" s="83">
        <f t="shared" ca="1" si="237"/>
        <v>315</v>
      </c>
      <c r="R1125" s="83">
        <f t="shared" ca="1" si="237"/>
        <v>100</v>
      </c>
      <c r="S1125" s="83">
        <f t="shared" ca="1" si="237"/>
        <v>695</v>
      </c>
      <c r="T1125" s="83">
        <f t="shared" ca="1" si="237"/>
        <v>33.333333333333336</v>
      </c>
      <c r="U1125" s="84"/>
      <c r="V1125" s="84"/>
      <c r="W1125" s="84"/>
      <c r="X1125" s="84"/>
      <c r="Y1125" s="84"/>
      <c r="Z1125" s="84"/>
      <c r="AA1125" s="84"/>
      <c r="AB1125" s="84"/>
      <c r="AC1125" s="84"/>
      <c r="AD1125" s="84"/>
    </row>
    <row r="1126" spans="1:30" ht="15" x14ac:dyDescent="0.2">
      <c r="A1126" s="11">
        <f t="shared" ref="A1126:A1156" si="238">A1125+1</f>
        <v>2070</v>
      </c>
      <c r="B1126" s="11">
        <f t="shared" si="218"/>
        <v>365</v>
      </c>
      <c r="C1126" s="83">
        <f t="shared" ca="1" si="236"/>
        <v>154.75825</v>
      </c>
      <c r="D1126" s="83">
        <f t="shared" ca="1" si="236"/>
        <v>281.0162499999999</v>
      </c>
      <c r="E1126" s="83">
        <f t="shared" ca="1" si="236"/>
        <v>109.1005</v>
      </c>
      <c r="F1126" s="83">
        <f t="shared" ca="1" si="236"/>
        <v>57.041666666666664</v>
      </c>
      <c r="G1126" s="83">
        <f t="shared" ca="1" si="236"/>
        <v>40</v>
      </c>
      <c r="H1126" s="83">
        <f t="shared" ca="1" si="236"/>
        <v>174.58333333333334</v>
      </c>
      <c r="I1126" s="83">
        <f t="shared" ca="1" si="236"/>
        <v>0</v>
      </c>
      <c r="J1126" s="83">
        <f t="shared" ca="1" si="236"/>
        <v>100</v>
      </c>
      <c r="K1126" s="83">
        <f t="shared" ca="1" si="236"/>
        <v>300</v>
      </c>
      <c r="L1126" s="83">
        <f t="shared" ca="1" si="236"/>
        <v>1216.5</v>
      </c>
      <c r="M1126" s="83">
        <f t="shared" ca="1" si="237"/>
        <v>600</v>
      </c>
      <c r="N1126" s="83">
        <f t="shared" ca="1" si="237"/>
        <v>72.5</v>
      </c>
      <c r="O1126" s="83">
        <f t="shared" ca="1" si="237"/>
        <v>240</v>
      </c>
      <c r="P1126" s="83">
        <f t="shared" ca="1" si="237"/>
        <v>40</v>
      </c>
      <c r="Q1126" s="83">
        <f t="shared" ca="1" si="237"/>
        <v>315</v>
      </c>
      <c r="R1126" s="83">
        <f t="shared" ca="1" si="237"/>
        <v>100</v>
      </c>
      <c r="S1126" s="83">
        <f t="shared" ca="1" si="237"/>
        <v>695</v>
      </c>
      <c r="T1126" s="83">
        <f t="shared" ca="1" si="237"/>
        <v>33.333333333333336</v>
      </c>
      <c r="U1126" s="84"/>
      <c r="V1126" s="84"/>
      <c r="W1126" s="84"/>
      <c r="X1126" s="84"/>
      <c r="Y1126" s="84"/>
      <c r="Z1126" s="84"/>
      <c r="AA1126" s="84"/>
      <c r="AB1126" s="84"/>
      <c r="AC1126" s="84"/>
      <c r="AD1126" s="84"/>
    </row>
    <row r="1127" spans="1:30" ht="15" x14ac:dyDescent="0.2">
      <c r="A1127" s="11">
        <f t="shared" si="238"/>
        <v>2071</v>
      </c>
      <c r="B1127" s="11">
        <f t="shared" si="218"/>
        <v>365</v>
      </c>
      <c r="C1127" s="83">
        <f t="shared" ca="1" si="236"/>
        <v>154.75825</v>
      </c>
      <c r="D1127" s="83">
        <f t="shared" ca="1" si="236"/>
        <v>281.0162499999999</v>
      </c>
      <c r="E1127" s="83">
        <f t="shared" ca="1" si="236"/>
        <v>109.1005</v>
      </c>
      <c r="F1127" s="83">
        <f t="shared" ca="1" si="236"/>
        <v>57.041666666666664</v>
      </c>
      <c r="G1127" s="83">
        <f t="shared" ca="1" si="236"/>
        <v>40</v>
      </c>
      <c r="H1127" s="83">
        <f t="shared" ca="1" si="236"/>
        <v>174.58333333333334</v>
      </c>
      <c r="I1127" s="83">
        <f t="shared" ca="1" si="236"/>
        <v>0</v>
      </c>
      <c r="J1127" s="83">
        <f t="shared" ca="1" si="236"/>
        <v>100</v>
      </c>
      <c r="K1127" s="83">
        <f t="shared" ca="1" si="236"/>
        <v>300</v>
      </c>
      <c r="L1127" s="83">
        <f t="shared" ca="1" si="236"/>
        <v>1216.5</v>
      </c>
      <c r="M1127" s="83">
        <f t="shared" ca="1" si="237"/>
        <v>600</v>
      </c>
      <c r="N1127" s="83">
        <f t="shared" ca="1" si="237"/>
        <v>72.5</v>
      </c>
      <c r="O1127" s="83">
        <f t="shared" ca="1" si="237"/>
        <v>240</v>
      </c>
      <c r="P1127" s="83">
        <f t="shared" ca="1" si="237"/>
        <v>40</v>
      </c>
      <c r="Q1127" s="83">
        <f t="shared" ca="1" si="237"/>
        <v>315</v>
      </c>
      <c r="R1127" s="83">
        <f t="shared" ca="1" si="237"/>
        <v>100</v>
      </c>
      <c r="S1127" s="83">
        <f t="shared" ca="1" si="237"/>
        <v>695</v>
      </c>
      <c r="T1127" s="83">
        <f t="shared" ca="1" si="237"/>
        <v>33.333333333333336</v>
      </c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</row>
    <row r="1128" spans="1:30" ht="15" x14ac:dyDescent="0.2">
      <c r="A1128" s="11">
        <f t="shared" si="238"/>
        <v>2072</v>
      </c>
      <c r="B1128" s="11">
        <f t="shared" si="218"/>
        <v>366</v>
      </c>
      <c r="C1128" s="83">
        <f t="shared" ref="C1128:L1137" ca="1" si="239">AVERAGE(OFFSET(C$600,($A1128-$A$1118)*12,0,12,1))</f>
        <v>154.75825</v>
      </c>
      <c r="D1128" s="83">
        <f t="shared" ca="1" si="239"/>
        <v>281.0162499999999</v>
      </c>
      <c r="E1128" s="83">
        <f t="shared" ca="1" si="239"/>
        <v>109.1005</v>
      </c>
      <c r="F1128" s="83">
        <f t="shared" ca="1" si="239"/>
        <v>57.041666666666664</v>
      </c>
      <c r="G1128" s="83">
        <f t="shared" ca="1" si="239"/>
        <v>40</v>
      </c>
      <c r="H1128" s="83">
        <f t="shared" ca="1" si="239"/>
        <v>174.58333333333334</v>
      </c>
      <c r="I1128" s="83">
        <f t="shared" ca="1" si="239"/>
        <v>0</v>
      </c>
      <c r="J1128" s="83">
        <f t="shared" ca="1" si="239"/>
        <v>100</v>
      </c>
      <c r="K1128" s="83">
        <f t="shared" ca="1" si="239"/>
        <v>300</v>
      </c>
      <c r="L1128" s="83">
        <f t="shared" ca="1" si="239"/>
        <v>1216.5</v>
      </c>
      <c r="M1128" s="83">
        <f t="shared" ref="M1128:T1137" ca="1" si="240">AVERAGE(OFFSET(M$600,($A1128-$A$1118)*12,0,12,1))</f>
        <v>600</v>
      </c>
      <c r="N1128" s="83">
        <f t="shared" ca="1" si="240"/>
        <v>72.5</v>
      </c>
      <c r="O1128" s="83">
        <f t="shared" ca="1" si="240"/>
        <v>240</v>
      </c>
      <c r="P1128" s="83">
        <f t="shared" ca="1" si="240"/>
        <v>40</v>
      </c>
      <c r="Q1128" s="83">
        <f t="shared" ca="1" si="240"/>
        <v>315</v>
      </c>
      <c r="R1128" s="83">
        <f t="shared" ca="1" si="240"/>
        <v>100</v>
      </c>
      <c r="S1128" s="83">
        <f t="shared" ca="1" si="240"/>
        <v>695</v>
      </c>
      <c r="T1128" s="83">
        <f t="shared" ca="1" si="240"/>
        <v>33.333333333333336</v>
      </c>
      <c r="U1128" s="84"/>
      <c r="V1128" s="84"/>
      <c r="W1128" s="84"/>
      <c r="X1128" s="84"/>
      <c r="Y1128" s="84"/>
      <c r="Z1128" s="84"/>
      <c r="AA1128" s="84"/>
      <c r="AB1128" s="84"/>
      <c r="AC1128" s="84"/>
      <c r="AD1128" s="84"/>
    </row>
    <row r="1129" spans="1:30" ht="15" x14ac:dyDescent="0.2">
      <c r="A1129" s="11">
        <f t="shared" si="238"/>
        <v>2073</v>
      </c>
      <c r="B1129" s="11">
        <f t="shared" si="218"/>
        <v>365</v>
      </c>
      <c r="C1129" s="83">
        <f t="shared" ca="1" si="239"/>
        <v>154.75825</v>
      </c>
      <c r="D1129" s="83">
        <f t="shared" ca="1" si="239"/>
        <v>281.0162499999999</v>
      </c>
      <c r="E1129" s="83">
        <f t="shared" ca="1" si="239"/>
        <v>109.1005</v>
      </c>
      <c r="F1129" s="83">
        <f t="shared" ca="1" si="239"/>
        <v>57.041666666666664</v>
      </c>
      <c r="G1129" s="83">
        <f t="shared" ca="1" si="239"/>
        <v>40</v>
      </c>
      <c r="H1129" s="83">
        <f t="shared" ca="1" si="239"/>
        <v>174.58333333333334</v>
      </c>
      <c r="I1129" s="83">
        <f t="shared" ca="1" si="239"/>
        <v>0</v>
      </c>
      <c r="J1129" s="83">
        <f t="shared" ca="1" si="239"/>
        <v>100</v>
      </c>
      <c r="K1129" s="83">
        <f t="shared" ca="1" si="239"/>
        <v>300</v>
      </c>
      <c r="L1129" s="83">
        <f t="shared" ca="1" si="239"/>
        <v>1216.5</v>
      </c>
      <c r="M1129" s="83">
        <f t="shared" ca="1" si="240"/>
        <v>600</v>
      </c>
      <c r="N1129" s="83">
        <f t="shared" ca="1" si="240"/>
        <v>72.5</v>
      </c>
      <c r="O1129" s="83">
        <f t="shared" ca="1" si="240"/>
        <v>240</v>
      </c>
      <c r="P1129" s="83">
        <f t="shared" ca="1" si="240"/>
        <v>40</v>
      </c>
      <c r="Q1129" s="83">
        <f t="shared" ca="1" si="240"/>
        <v>315</v>
      </c>
      <c r="R1129" s="83">
        <f t="shared" ca="1" si="240"/>
        <v>100</v>
      </c>
      <c r="S1129" s="83">
        <f t="shared" ca="1" si="240"/>
        <v>695</v>
      </c>
      <c r="T1129" s="83">
        <f t="shared" ca="1" si="240"/>
        <v>33.333333333333336</v>
      </c>
      <c r="U1129" s="84"/>
      <c r="V1129" s="84"/>
      <c r="W1129" s="84"/>
      <c r="X1129" s="84"/>
      <c r="Y1129" s="84"/>
      <c r="Z1129" s="84"/>
      <c r="AA1129" s="84"/>
      <c r="AB1129" s="84"/>
      <c r="AC1129" s="84"/>
      <c r="AD1129" s="84"/>
    </row>
    <row r="1130" spans="1:30" ht="15" x14ac:dyDescent="0.2">
      <c r="A1130" s="11">
        <f t="shared" si="238"/>
        <v>2074</v>
      </c>
      <c r="B1130" s="11">
        <f t="shared" si="218"/>
        <v>365</v>
      </c>
      <c r="C1130" s="83">
        <f t="shared" ca="1" si="239"/>
        <v>154.75825</v>
      </c>
      <c r="D1130" s="83">
        <f t="shared" ca="1" si="239"/>
        <v>281.0162499999999</v>
      </c>
      <c r="E1130" s="83">
        <f t="shared" ca="1" si="239"/>
        <v>109.1005</v>
      </c>
      <c r="F1130" s="83">
        <f t="shared" ca="1" si="239"/>
        <v>57.041666666666664</v>
      </c>
      <c r="G1130" s="83">
        <f t="shared" ca="1" si="239"/>
        <v>40</v>
      </c>
      <c r="H1130" s="83">
        <f t="shared" ca="1" si="239"/>
        <v>174.58333333333334</v>
      </c>
      <c r="I1130" s="83">
        <f t="shared" ca="1" si="239"/>
        <v>0</v>
      </c>
      <c r="J1130" s="83">
        <f t="shared" ca="1" si="239"/>
        <v>100</v>
      </c>
      <c r="K1130" s="83">
        <f t="shared" ca="1" si="239"/>
        <v>300</v>
      </c>
      <c r="L1130" s="83">
        <f t="shared" ca="1" si="239"/>
        <v>1216.5</v>
      </c>
      <c r="M1130" s="83">
        <f t="shared" ca="1" si="240"/>
        <v>600</v>
      </c>
      <c r="N1130" s="83">
        <f t="shared" ca="1" si="240"/>
        <v>72.5</v>
      </c>
      <c r="O1130" s="83">
        <f t="shared" ca="1" si="240"/>
        <v>240</v>
      </c>
      <c r="P1130" s="83">
        <f t="shared" ca="1" si="240"/>
        <v>40</v>
      </c>
      <c r="Q1130" s="83">
        <f t="shared" ca="1" si="240"/>
        <v>315</v>
      </c>
      <c r="R1130" s="83">
        <f t="shared" ca="1" si="240"/>
        <v>100</v>
      </c>
      <c r="S1130" s="83">
        <f t="shared" ca="1" si="240"/>
        <v>695</v>
      </c>
      <c r="T1130" s="83">
        <f t="shared" ca="1" si="240"/>
        <v>33.333333333333336</v>
      </c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</row>
    <row r="1131" spans="1:30" ht="15" x14ac:dyDescent="0.2">
      <c r="A1131" s="11">
        <f t="shared" si="238"/>
        <v>2075</v>
      </c>
      <c r="B1131" s="11">
        <f t="shared" si="218"/>
        <v>365</v>
      </c>
      <c r="C1131" s="83">
        <f t="shared" ca="1" si="239"/>
        <v>154.75825</v>
      </c>
      <c r="D1131" s="83">
        <f t="shared" ca="1" si="239"/>
        <v>281.0162499999999</v>
      </c>
      <c r="E1131" s="83">
        <f t="shared" ca="1" si="239"/>
        <v>109.1005</v>
      </c>
      <c r="F1131" s="83">
        <f t="shared" ca="1" si="239"/>
        <v>57.041666666666664</v>
      </c>
      <c r="G1131" s="83">
        <f t="shared" ca="1" si="239"/>
        <v>40</v>
      </c>
      <c r="H1131" s="83">
        <f t="shared" ca="1" si="239"/>
        <v>174.58333333333334</v>
      </c>
      <c r="I1131" s="83">
        <f t="shared" ca="1" si="239"/>
        <v>0</v>
      </c>
      <c r="J1131" s="83">
        <f t="shared" ca="1" si="239"/>
        <v>100</v>
      </c>
      <c r="K1131" s="83">
        <f t="shared" ca="1" si="239"/>
        <v>300</v>
      </c>
      <c r="L1131" s="83">
        <f t="shared" ca="1" si="239"/>
        <v>1216.5</v>
      </c>
      <c r="M1131" s="83">
        <f t="shared" ca="1" si="240"/>
        <v>600</v>
      </c>
      <c r="N1131" s="83">
        <f t="shared" ca="1" si="240"/>
        <v>72.5</v>
      </c>
      <c r="O1131" s="83">
        <f t="shared" ca="1" si="240"/>
        <v>240</v>
      </c>
      <c r="P1131" s="83">
        <f t="shared" ca="1" si="240"/>
        <v>40</v>
      </c>
      <c r="Q1131" s="83">
        <f t="shared" ca="1" si="240"/>
        <v>315</v>
      </c>
      <c r="R1131" s="83">
        <f t="shared" ca="1" si="240"/>
        <v>100</v>
      </c>
      <c r="S1131" s="83">
        <f t="shared" ca="1" si="240"/>
        <v>695</v>
      </c>
      <c r="T1131" s="83">
        <f t="shared" ca="1" si="240"/>
        <v>33.333333333333336</v>
      </c>
      <c r="U1131" s="84"/>
      <c r="V1131" s="84"/>
      <c r="W1131" s="84"/>
      <c r="X1131" s="84"/>
      <c r="Y1131" s="84"/>
      <c r="Z1131" s="84"/>
      <c r="AA1131" s="84"/>
      <c r="AB1131" s="84"/>
      <c r="AC1131" s="84"/>
      <c r="AD1131" s="84"/>
    </row>
    <row r="1132" spans="1:30" ht="15" x14ac:dyDescent="0.2">
      <c r="A1132" s="11">
        <f t="shared" si="238"/>
        <v>2076</v>
      </c>
      <c r="B1132" s="11">
        <f t="shared" si="218"/>
        <v>366</v>
      </c>
      <c r="C1132" s="83">
        <f t="shared" ca="1" si="239"/>
        <v>154.75825</v>
      </c>
      <c r="D1132" s="83">
        <f t="shared" ca="1" si="239"/>
        <v>281.0162499999999</v>
      </c>
      <c r="E1132" s="83">
        <f t="shared" ca="1" si="239"/>
        <v>109.1005</v>
      </c>
      <c r="F1132" s="83">
        <f t="shared" ca="1" si="239"/>
        <v>57.041666666666664</v>
      </c>
      <c r="G1132" s="83">
        <f t="shared" ca="1" si="239"/>
        <v>40</v>
      </c>
      <c r="H1132" s="83">
        <f t="shared" ca="1" si="239"/>
        <v>174.58333333333334</v>
      </c>
      <c r="I1132" s="83">
        <f t="shared" ca="1" si="239"/>
        <v>0</v>
      </c>
      <c r="J1132" s="83">
        <f t="shared" ca="1" si="239"/>
        <v>100</v>
      </c>
      <c r="K1132" s="83">
        <f t="shared" ca="1" si="239"/>
        <v>300</v>
      </c>
      <c r="L1132" s="83">
        <f t="shared" ca="1" si="239"/>
        <v>1216.5</v>
      </c>
      <c r="M1132" s="83">
        <f t="shared" ca="1" si="240"/>
        <v>600</v>
      </c>
      <c r="N1132" s="83">
        <f t="shared" ca="1" si="240"/>
        <v>72.5</v>
      </c>
      <c r="O1132" s="83">
        <f t="shared" ca="1" si="240"/>
        <v>240</v>
      </c>
      <c r="P1132" s="83">
        <f t="shared" ca="1" si="240"/>
        <v>40</v>
      </c>
      <c r="Q1132" s="83">
        <f t="shared" ca="1" si="240"/>
        <v>315</v>
      </c>
      <c r="R1132" s="83">
        <f t="shared" ca="1" si="240"/>
        <v>100</v>
      </c>
      <c r="S1132" s="83">
        <f t="shared" ca="1" si="240"/>
        <v>695</v>
      </c>
      <c r="T1132" s="83">
        <f t="shared" ca="1" si="240"/>
        <v>33.333333333333336</v>
      </c>
      <c r="U1132" s="84"/>
      <c r="V1132" s="84"/>
      <c r="W1132" s="84"/>
      <c r="X1132" s="84"/>
      <c r="Y1132" s="84"/>
      <c r="Z1132" s="84"/>
      <c r="AA1132" s="84"/>
      <c r="AB1132" s="84"/>
      <c r="AC1132" s="84"/>
      <c r="AD1132" s="84"/>
    </row>
    <row r="1133" spans="1:30" ht="15" x14ac:dyDescent="0.2">
      <c r="A1133" s="11">
        <f t="shared" si="238"/>
        <v>2077</v>
      </c>
      <c r="B1133" s="11">
        <f t="shared" ref="B1133:B1156" si="241">DATE(A1133+1,1,1)-DATE(A1133,1,1)</f>
        <v>365</v>
      </c>
      <c r="C1133" s="83">
        <f t="shared" ca="1" si="239"/>
        <v>154.75825</v>
      </c>
      <c r="D1133" s="83">
        <f t="shared" ca="1" si="239"/>
        <v>281.0162499999999</v>
      </c>
      <c r="E1133" s="83">
        <f t="shared" ca="1" si="239"/>
        <v>109.1005</v>
      </c>
      <c r="F1133" s="83">
        <f t="shared" ca="1" si="239"/>
        <v>57.041666666666664</v>
      </c>
      <c r="G1133" s="83">
        <f t="shared" ca="1" si="239"/>
        <v>40</v>
      </c>
      <c r="H1133" s="83">
        <f t="shared" ca="1" si="239"/>
        <v>174.58333333333334</v>
      </c>
      <c r="I1133" s="83">
        <f t="shared" ca="1" si="239"/>
        <v>0</v>
      </c>
      <c r="J1133" s="83">
        <f t="shared" ca="1" si="239"/>
        <v>100</v>
      </c>
      <c r="K1133" s="83">
        <f t="shared" ca="1" si="239"/>
        <v>300</v>
      </c>
      <c r="L1133" s="83">
        <f t="shared" ca="1" si="239"/>
        <v>1216.5</v>
      </c>
      <c r="M1133" s="83">
        <f t="shared" ca="1" si="240"/>
        <v>600</v>
      </c>
      <c r="N1133" s="83">
        <f t="shared" ca="1" si="240"/>
        <v>72.5</v>
      </c>
      <c r="O1133" s="83">
        <f t="shared" ca="1" si="240"/>
        <v>240</v>
      </c>
      <c r="P1133" s="83">
        <f t="shared" ca="1" si="240"/>
        <v>40</v>
      </c>
      <c r="Q1133" s="83">
        <f t="shared" ca="1" si="240"/>
        <v>315</v>
      </c>
      <c r="R1133" s="83">
        <f t="shared" ca="1" si="240"/>
        <v>100</v>
      </c>
      <c r="S1133" s="83">
        <f t="shared" ca="1" si="240"/>
        <v>695</v>
      </c>
      <c r="T1133" s="83">
        <f t="shared" ca="1" si="240"/>
        <v>33.333333333333336</v>
      </c>
      <c r="U1133" s="84"/>
      <c r="V1133" s="84"/>
      <c r="W1133" s="84"/>
      <c r="X1133" s="84"/>
      <c r="Y1133" s="84"/>
      <c r="Z1133" s="84"/>
      <c r="AA1133" s="84"/>
      <c r="AB1133" s="84"/>
      <c r="AC1133" s="84"/>
      <c r="AD1133" s="84"/>
    </row>
    <row r="1134" spans="1:30" ht="15" x14ac:dyDescent="0.2">
      <c r="A1134" s="11">
        <f t="shared" si="238"/>
        <v>2078</v>
      </c>
      <c r="B1134" s="11">
        <f t="shared" si="241"/>
        <v>365</v>
      </c>
      <c r="C1134" s="83">
        <f t="shared" ca="1" si="239"/>
        <v>154.75825</v>
      </c>
      <c r="D1134" s="83">
        <f t="shared" ca="1" si="239"/>
        <v>281.0162499999999</v>
      </c>
      <c r="E1134" s="83">
        <f t="shared" ca="1" si="239"/>
        <v>109.1005</v>
      </c>
      <c r="F1134" s="83">
        <f t="shared" ca="1" si="239"/>
        <v>57.041666666666664</v>
      </c>
      <c r="G1134" s="83">
        <f t="shared" ca="1" si="239"/>
        <v>40</v>
      </c>
      <c r="H1134" s="83">
        <f t="shared" ca="1" si="239"/>
        <v>174.58333333333334</v>
      </c>
      <c r="I1134" s="83">
        <f t="shared" ca="1" si="239"/>
        <v>0</v>
      </c>
      <c r="J1134" s="83">
        <f t="shared" ca="1" si="239"/>
        <v>100</v>
      </c>
      <c r="K1134" s="83">
        <f t="shared" ca="1" si="239"/>
        <v>300</v>
      </c>
      <c r="L1134" s="83">
        <f t="shared" ca="1" si="239"/>
        <v>1216.5</v>
      </c>
      <c r="M1134" s="83">
        <f t="shared" ca="1" si="240"/>
        <v>600</v>
      </c>
      <c r="N1134" s="83">
        <f t="shared" ca="1" si="240"/>
        <v>72.5</v>
      </c>
      <c r="O1134" s="83">
        <f t="shared" ca="1" si="240"/>
        <v>240</v>
      </c>
      <c r="P1134" s="83">
        <f t="shared" ca="1" si="240"/>
        <v>40</v>
      </c>
      <c r="Q1134" s="83">
        <f t="shared" ca="1" si="240"/>
        <v>315</v>
      </c>
      <c r="R1134" s="83">
        <f t="shared" ca="1" si="240"/>
        <v>100</v>
      </c>
      <c r="S1134" s="83">
        <f t="shared" ca="1" si="240"/>
        <v>695</v>
      </c>
      <c r="T1134" s="83">
        <f t="shared" ca="1" si="240"/>
        <v>33.333333333333336</v>
      </c>
      <c r="U1134" s="84"/>
      <c r="V1134" s="84"/>
      <c r="W1134" s="84"/>
      <c r="X1134" s="84"/>
      <c r="Y1134" s="84"/>
      <c r="Z1134" s="84"/>
      <c r="AA1134" s="84"/>
      <c r="AB1134" s="84"/>
      <c r="AC1134" s="84"/>
      <c r="AD1134" s="84"/>
    </row>
    <row r="1135" spans="1:30" ht="15" x14ac:dyDescent="0.2">
      <c r="A1135" s="11">
        <f t="shared" si="238"/>
        <v>2079</v>
      </c>
      <c r="B1135" s="11">
        <f t="shared" si="241"/>
        <v>365</v>
      </c>
      <c r="C1135" s="83">
        <f t="shared" ca="1" si="239"/>
        <v>154.75825</v>
      </c>
      <c r="D1135" s="83">
        <f t="shared" ca="1" si="239"/>
        <v>281.0162499999999</v>
      </c>
      <c r="E1135" s="83">
        <f t="shared" ca="1" si="239"/>
        <v>109.1005</v>
      </c>
      <c r="F1135" s="83">
        <f t="shared" ca="1" si="239"/>
        <v>57.041666666666664</v>
      </c>
      <c r="G1135" s="83">
        <f t="shared" ca="1" si="239"/>
        <v>40</v>
      </c>
      <c r="H1135" s="83">
        <f t="shared" ca="1" si="239"/>
        <v>174.58333333333334</v>
      </c>
      <c r="I1135" s="83">
        <f t="shared" ca="1" si="239"/>
        <v>0</v>
      </c>
      <c r="J1135" s="83">
        <f t="shared" ca="1" si="239"/>
        <v>100</v>
      </c>
      <c r="K1135" s="83">
        <f t="shared" ca="1" si="239"/>
        <v>300</v>
      </c>
      <c r="L1135" s="83">
        <f t="shared" ca="1" si="239"/>
        <v>1216.5</v>
      </c>
      <c r="M1135" s="83">
        <f t="shared" ca="1" si="240"/>
        <v>600</v>
      </c>
      <c r="N1135" s="83">
        <f t="shared" ca="1" si="240"/>
        <v>72.5</v>
      </c>
      <c r="O1135" s="83">
        <f t="shared" ca="1" si="240"/>
        <v>240</v>
      </c>
      <c r="P1135" s="83">
        <f t="shared" ca="1" si="240"/>
        <v>40</v>
      </c>
      <c r="Q1135" s="83">
        <f t="shared" ca="1" si="240"/>
        <v>315</v>
      </c>
      <c r="R1135" s="83">
        <f t="shared" ca="1" si="240"/>
        <v>100</v>
      </c>
      <c r="S1135" s="83">
        <f t="shared" ca="1" si="240"/>
        <v>695</v>
      </c>
      <c r="T1135" s="83">
        <f t="shared" ca="1" si="240"/>
        <v>33.333333333333336</v>
      </c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</row>
    <row r="1136" spans="1:30" ht="15" x14ac:dyDescent="0.2">
      <c r="A1136" s="11">
        <f t="shared" si="238"/>
        <v>2080</v>
      </c>
      <c r="B1136" s="11">
        <f t="shared" si="241"/>
        <v>366</v>
      </c>
      <c r="C1136" s="83">
        <f t="shared" ca="1" si="239"/>
        <v>154.75825</v>
      </c>
      <c r="D1136" s="83">
        <f t="shared" ca="1" si="239"/>
        <v>281.0162499999999</v>
      </c>
      <c r="E1136" s="83">
        <f t="shared" ca="1" si="239"/>
        <v>109.1005</v>
      </c>
      <c r="F1136" s="83">
        <f t="shared" ca="1" si="239"/>
        <v>57.041666666666664</v>
      </c>
      <c r="G1136" s="83">
        <f t="shared" ca="1" si="239"/>
        <v>40</v>
      </c>
      <c r="H1136" s="83">
        <f t="shared" ca="1" si="239"/>
        <v>174.58333333333334</v>
      </c>
      <c r="I1136" s="83">
        <f t="shared" ca="1" si="239"/>
        <v>0</v>
      </c>
      <c r="J1136" s="83">
        <f t="shared" ca="1" si="239"/>
        <v>100</v>
      </c>
      <c r="K1136" s="83">
        <f t="shared" ca="1" si="239"/>
        <v>300</v>
      </c>
      <c r="L1136" s="83">
        <f t="shared" ca="1" si="239"/>
        <v>1216.5</v>
      </c>
      <c r="M1136" s="83">
        <f t="shared" ca="1" si="240"/>
        <v>600</v>
      </c>
      <c r="N1136" s="83">
        <f t="shared" ca="1" si="240"/>
        <v>72.5</v>
      </c>
      <c r="O1136" s="83">
        <f t="shared" ca="1" si="240"/>
        <v>240</v>
      </c>
      <c r="P1136" s="83">
        <f t="shared" ca="1" si="240"/>
        <v>40</v>
      </c>
      <c r="Q1136" s="83">
        <f t="shared" ca="1" si="240"/>
        <v>315</v>
      </c>
      <c r="R1136" s="83">
        <f t="shared" ca="1" si="240"/>
        <v>100</v>
      </c>
      <c r="S1136" s="83">
        <f t="shared" ca="1" si="240"/>
        <v>695</v>
      </c>
      <c r="T1136" s="83">
        <f t="shared" ca="1" si="240"/>
        <v>33.333333333333336</v>
      </c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</row>
    <row r="1137" spans="1:30" ht="15" x14ac:dyDescent="0.2">
      <c r="A1137" s="11">
        <f t="shared" si="238"/>
        <v>2081</v>
      </c>
      <c r="B1137" s="11">
        <f t="shared" si="241"/>
        <v>365</v>
      </c>
      <c r="C1137" s="83">
        <f t="shared" ca="1" si="239"/>
        <v>154.75825</v>
      </c>
      <c r="D1137" s="83">
        <f t="shared" ca="1" si="239"/>
        <v>281.0162499999999</v>
      </c>
      <c r="E1137" s="83">
        <f t="shared" ca="1" si="239"/>
        <v>109.1005</v>
      </c>
      <c r="F1137" s="83">
        <f t="shared" ca="1" si="239"/>
        <v>57.041666666666664</v>
      </c>
      <c r="G1137" s="83">
        <f t="shared" ca="1" si="239"/>
        <v>40</v>
      </c>
      <c r="H1137" s="83">
        <f t="shared" ca="1" si="239"/>
        <v>174.58333333333334</v>
      </c>
      <c r="I1137" s="83">
        <f t="shared" ca="1" si="239"/>
        <v>0</v>
      </c>
      <c r="J1137" s="83">
        <f t="shared" ca="1" si="239"/>
        <v>100</v>
      </c>
      <c r="K1137" s="83">
        <f t="shared" ca="1" si="239"/>
        <v>300</v>
      </c>
      <c r="L1137" s="83">
        <f t="shared" ca="1" si="239"/>
        <v>1216.5</v>
      </c>
      <c r="M1137" s="83">
        <f t="shared" ca="1" si="240"/>
        <v>600</v>
      </c>
      <c r="N1137" s="83">
        <f t="shared" ca="1" si="240"/>
        <v>72.5</v>
      </c>
      <c r="O1137" s="83">
        <f t="shared" ca="1" si="240"/>
        <v>240</v>
      </c>
      <c r="P1137" s="83">
        <f t="shared" ca="1" si="240"/>
        <v>40</v>
      </c>
      <c r="Q1137" s="83">
        <f t="shared" ca="1" si="240"/>
        <v>315</v>
      </c>
      <c r="R1137" s="83">
        <f t="shared" ca="1" si="240"/>
        <v>100</v>
      </c>
      <c r="S1137" s="83">
        <f t="shared" ca="1" si="240"/>
        <v>695</v>
      </c>
      <c r="T1137" s="83">
        <f t="shared" ca="1" si="240"/>
        <v>33.333333333333336</v>
      </c>
      <c r="U1137" s="84"/>
      <c r="V1137" s="84"/>
      <c r="W1137" s="84"/>
      <c r="X1137" s="84"/>
      <c r="Y1137" s="84"/>
      <c r="Z1137" s="84"/>
      <c r="AA1137" s="84"/>
      <c r="AB1137" s="84"/>
      <c r="AC1137" s="84"/>
      <c r="AD1137" s="84"/>
    </row>
    <row r="1138" spans="1:30" ht="15" x14ac:dyDescent="0.2">
      <c r="A1138" s="11">
        <f t="shared" si="238"/>
        <v>2082</v>
      </c>
      <c r="B1138" s="11">
        <f t="shared" si="241"/>
        <v>365</v>
      </c>
      <c r="C1138" s="83">
        <f t="shared" ref="C1138:L1147" ca="1" si="242">AVERAGE(OFFSET(C$600,($A1138-$A$1118)*12,0,12,1))</f>
        <v>154.75825</v>
      </c>
      <c r="D1138" s="83">
        <f t="shared" ca="1" si="242"/>
        <v>281.0162499999999</v>
      </c>
      <c r="E1138" s="83">
        <f t="shared" ca="1" si="242"/>
        <v>109.1005</v>
      </c>
      <c r="F1138" s="83">
        <f t="shared" ca="1" si="242"/>
        <v>57.041666666666664</v>
      </c>
      <c r="G1138" s="83">
        <f t="shared" ca="1" si="242"/>
        <v>40</v>
      </c>
      <c r="H1138" s="83">
        <f t="shared" ca="1" si="242"/>
        <v>174.58333333333334</v>
      </c>
      <c r="I1138" s="83">
        <f t="shared" ca="1" si="242"/>
        <v>0</v>
      </c>
      <c r="J1138" s="83">
        <f t="shared" ca="1" si="242"/>
        <v>100</v>
      </c>
      <c r="K1138" s="83">
        <f t="shared" ca="1" si="242"/>
        <v>300</v>
      </c>
      <c r="L1138" s="83">
        <f t="shared" ca="1" si="242"/>
        <v>1216.5</v>
      </c>
      <c r="M1138" s="83">
        <f t="shared" ref="M1138:T1147" ca="1" si="243">AVERAGE(OFFSET(M$600,($A1138-$A$1118)*12,0,12,1))</f>
        <v>600</v>
      </c>
      <c r="N1138" s="83">
        <f t="shared" ca="1" si="243"/>
        <v>72.5</v>
      </c>
      <c r="O1138" s="83">
        <f t="shared" ca="1" si="243"/>
        <v>240</v>
      </c>
      <c r="P1138" s="83">
        <f t="shared" ca="1" si="243"/>
        <v>40</v>
      </c>
      <c r="Q1138" s="83">
        <f t="shared" ca="1" si="243"/>
        <v>315</v>
      </c>
      <c r="R1138" s="83">
        <f t="shared" ca="1" si="243"/>
        <v>100</v>
      </c>
      <c r="S1138" s="83">
        <f t="shared" ca="1" si="243"/>
        <v>695</v>
      </c>
      <c r="T1138" s="83">
        <f t="shared" ca="1" si="243"/>
        <v>33.333333333333336</v>
      </c>
      <c r="U1138" s="84"/>
      <c r="V1138" s="84"/>
      <c r="W1138" s="84"/>
      <c r="X1138" s="84"/>
      <c r="Y1138" s="84"/>
      <c r="Z1138" s="84"/>
      <c r="AA1138" s="84"/>
      <c r="AB1138" s="84"/>
      <c r="AC1138" s="84"/>
      <c r="AD1138" s="84"/>
    </row>
    <row r="1139" spans="1:30" ht="15" x14ac:dyDescent="0.2">
      <c r="A1139" s="11">
        <f t="shared" si="238"/>
        <v>2083</v>
      </c>
      <c r="B1139" s="11">
        <f t="shared" si="241"/>
        <v>365</v>
      </c>
      <c r="C1139" s="83">
        <f t="shared" ca="1" si="242"/>
        <v>154.75825</v>
      </c>
      <c r="D1139" s="83">
        <f t="shared" ca="1" si="242"/>
        <v>281.0162499999999</v>
      </c>
      <c r="E1139" s="83">
        <f t="shared" ca="1" si="242"/>
        <v>109.1005</v>
      </c>
      <c r="F1139" s="83">
        <f t="shared" ca="1" si="242"/>
        <v>57.041666666666664</v>
      </c>
      <c r="G1139" s="83">
        <f t="shared" ca="1" si="242"/>
        <v>40</v>
      </c>
      <c r="H1139" s="83">
        <f t="shared" ca="1" si="242"/>
        <v>174.58333333333334</v>
      </c>
      <c r="I1139" s="83">
        <f t="shared" ca="1" si="242"/>
        <v>0</v>
      </c>
      <c r="J1139" s="83">
        <f t="shared" ca="1" si="242"/>
        <v>100</v>
      </c>
      <c r="K1139" s="83">
        <f t="shared" ca="1" si="242"/>
        <v>300</v>
      </c>
      <c r="L1139" s="83">
        <f t="shared" ca="1" si="242"/>
        <v>1216.5</v>
      </c>
      <c r="M1139" s="83">
        <f t="shared" ca="1" si="243"/>
        <v>600</v>
      </c>
      <c r="N1139" s="83">
        <f t="shared" ca="1" si="243"/>
        <v>72.5</v>
      </c>
      <c r="O1139" s="83">
        <f t="shared" ca="1" si="243"/>
        <v>240</v>
      </c>
      <c r="P1139" s="83">
        <f t="shared" ca="1" si="243"/>
        <v>40</v>
      </c>
      <c r="Q1139" s="83">
        <f t="shared" ca="1" si="243"/>
        <v>315</v>
      </c>
      <c r="R1139" s="83">
        <f t="shared" ca="1" si="243"/>
        <v>100</v>
      </c>
      <c r="S1139" s="83">
        <f t="shared" ca="1" si="243"/>
        <v>695</v>
      </c>
      <c r="T1139" s="83">
        <f t="shared" ca="1" si="243"/>
        <v>33.333333333333336</v>
      </c>
      <c r="U1139" s="84"/>
      <c r="V1139" s="84"/>
      <c r="W1139" s="84"/>
      <c r="X1139" s="84"/>
      <c r="Y1139" s="84"/>
      <c r="Z1139" s="84"/>
      <c r="AA1139" s="84"/>
      <c r="AB1139" s="84"/>
      <c r="AC1139" s="84"/>
      <c r="AD1139" s="84"/>
    </row>
    <row r="1140" spans="1:30" ht="15" x14ac:dyDescent="0.2">
      <c r="A1140" s="11">
        <f t="shared" si="238"/>
        <v>2084</v>
      </c>
      <c r="B1140" s="11">
        <f t="shared" si="241"/>
        <v>366</v>
      </c>
      <c r="C1140" s="83">
        <f t="shared" ca="1" si="242"/>
        <v>154.75825</v>
      </c>
      <c r="D1140" s="83">
        <f t="shared" ca="1" si="242"/>
        <v>281.0162499999999</v>
      </c>
      <c r="E1140" s="83">
        <f t="shared" ca="1" si="242"/>
        <v>109.1005</v>
      </c>
      <c r="F1140" s="83">
        <f t="shared" ca="1" si="242"/>
        <v>57.041666666666664</v>
      </c>
      <c r="G1140" s="83">
        <f t="shared" ca="1" si="242"/>
        <v>40</v>
      </c>
      <c r="H1140" s="83">
        <f t="shared" ca="1" si="242"/>
        <v>174.58333333333334</v>
      </c>
      <c r="I1140" s="83">
        <f t="shared" ca="1" si="242"/>
        <v>0</v>
      </c>
      <c r="J1140" s="83">
        <f t="shared" ca="1" si="242"/>
        <v>100</v>
      </c>
      <c r="K1140" s="83">
        <f t="shared" ca="1" si="242"/>
        <v>300</v>
      </c>
      <c r="L1140" s="83">
        <f t="shared" ca="1" si="242"/>
        <v>1216.5</v>
      </c>
      <c r="M1140" s="83">
        <f t="shared" ca="1" si="243"/>
        <v>600</v>
      </c>
      <c r="N1140" s="83">
        <f t="shared" ca="1" si="243"/>
        <v>72.5</v>
      </c>
      <c r="O1140" s="83">
        <f t="shared" ca="1" si="243"/>
        <v>240</v>
      </c>
      <c r="P1140" s="83">
        <f t="shared" ca="1" si="243"/>
        <v>40</v>
      </c>
      <c r="Q1140" s="83">
        <f t="shared" ca="1" si="243"/>
        <v>315</v>
      </c>
      <c r="R1140" s="83">
        <f t="shared" ca="1" si="243"/>
        <v>100</v>
      </c>
      <c r="S1140" s="83">
        <f t="shared" ca="1" si="243"/>
        <v>695</v>
      </c>
      <c r="T1140" s="83">
        <f t="shared" ca="1" si="243"/>
        <v>33.333333333333336</v>
      </c>
      <c r="U1140" s="84"/>
      <c r="V1140" s="84"/>
      <c r="W1140" s="84"/>
      <c r="X1140" s="84"/>
      <c r="Y1140" s="84"/>
      <c r="Z1140" s="84"/>
      <c r="AA1140" s="84"/>
      <c r="AB1140" s="84"/>
      <c r="AC1140" s="84"/>
      <c r="AD1140" s="84"/>
    </row>
    <row r="1141" spans="1:30" ht="15" x14ac:dyDescent="0.2">
      <c r="A1141" s="11">
        <f t="shared" si="238"/>
        <v>2085</v>
      </c>
      <c r="B1141" s="11">
        <f t="shared" si="241"/>
        <v>365</v>
      </c>
      <c r="C1141" s="83">
        <f t="shared" ca="1" si="242"/>
        <v>154.75825</v>
      </c>
      <c r="D1141" s="83">
        <f t="shared" ca="1" si="242"/>
        <v>281.0162499999999</v>
      </c>
      <c r="E1141" s="83">
        <f t="shared" ca="1" si="242"/>
        <v>109.1005</v>
      </c>
      <c r="F1141" s="83">
        <f t="shared" ca="1" si="242"/>
        <v>57.041666666666664</v>
      </c>
      <c r="G1141" s="83">
        <f t="shared" ca="1" si="242"/>
        <v>40</v>
      </c>
      <c r="H1141" s="83">
        <f t="shared" ca="1" si="242"/>
        <v>174.58333333333334</v>
      </c>
      <c r="I1141" s="83">
        <f t="shared" ca="1" si="242"/>
        <v>0</v>
      </c>
      <c r="J1141" s="83">
        <f t="shared" ca="1" si="242"/>
        <v>100</v>
      </c>
      <c r="K1141" s="83">
        <f t="shared" ca="1" si="242"/>
        <v>300</v>
      </c>
      <c r="L1141" s="83">
        <f t="shared" ca="1" si="242"/>
        <v>1216.5</v>
      </c>
      <c r="M1141" s="83">
        <f t="shared" ca="1" si="243"/>
        <v>600</v>
      </c>
      <c r="N1141" s="83">
        <f t="shared" ca="1" si="243"/>
        <v>72.5</v>
      </c>
      <c r="O1141" s="83">
        <f t="shared" ca="1" si="243"/>
        <v>240</v>
      </c>
      <c r="P1141" s="83">
        <f t="shared" ca="1" si="243"/>
        <v>40</v>
      </c>
      <c r="Q1141" s="83">
        <f t="shared" ca="1" si="243"/>
        <v>315</v>
      </c>
      <c r="R1141" s="83">
        <f t="shared" ca="1" si="243"/>
        <v>100</v>
      </c>
      <c r="S1141" s="83">
        <f t="shared" ca="1" si="243"/>
        <v>695</v>
      </c>
      <c r="T1141" s="83">
        <f t="shared" ca="1" si="243"/>
        <v>33.333333333333336</v>
      </c>
      <c r="U1141" s="84"/>
      <c r="V1141" s="84"/>
      <c r="W1141" s="84"/>
      <c r="X1141" s="84"/>
      <c r="Y1141" s="84"/>
      <c r="Z1141" s="84"/>
      <c r="AA1141" s="84"/>
      <c r="AB1141" s="84"/>
      <c r="AC1141" s="84"/>
      <c r="AD1141" s="84"/>
    </row>
    <row r="1142" spans="1:30" ht="15" x14ac:dyDescent="0.2">
      <c r="A1142" s="11">
        <f t="shared" si="238"/>
        <v>2086</v>
      </c>
      <c r="B1142" s="11">
        <f t="shared" si="241"/>
        <v>365</v>
      </c>
      <c r="C1142" s="83">
        <f t="shared" ca="1" si="242"/>
        <v>154.75825</v>
      </c>
      <c r="D1142" s="83">
        <f t="shared" ca="1" si="242"/>
        <v>281.0162499999999</v>
      </c>
      <c r="E1142" s="83">
        <f t="shared" ca="1" si="242"/>
        <v>109.1005</v>
      </c>
      <c r="F1142" s="83">
        <f t="shared" ca="1" si="242"/>
        <v>57.041666666666664</v>
      </c>
      <c r="G1142" s="83">
        <f t="shared" ca="1" si="242"/>
        <v>40</v>
      </c>
      <c r="H1142" s="83">
        <f t="shared" ca="1" si="242"/>
        <v>174.58333333333334</v>
      </c>
      <c r="I1142" s="83">
        <f t="shared" ca="1" si="242"/>
        <v>0</v>
      </c>
      <c r="J1142" s="83">
        <f t="shared" ca="1" si="242"/>
        <v>100</v>
      </c>
      <c r="K1142" s="83">
        <f t="shared" ca="1" si="242"/>
        <v>300</v>
      </c>
      <c r="L1142" s="83">
        <f t="shared" ca="1" si="242"/>
        <v>1216.5</v>
      </c>
      <c r="M1142" s="83">
        <f t="shared" ca="1" si="243"/>
        <v>600</v>
      </c>
      <c r="N1142" s="83">
        <f t="shared" ca="1" si="243"/>
        <v>72.5</v>
      </c>
      <c r="O1142" s="83">
        <f t="shared" ca="1" si="243"/>
        <v>240</v>
      </c>
      <c r="P1142" s="83">
        <f t="shared" ca="1" si="243"/>
        <v>40</v>
      </c>
      <c r="Q1142" s="83">
        <f t="shared" ca="1" si="243"/>
        <v>315</v>
      </c>
      <c r="R1142" s="83">
        <f t="shared" ca="1" si="243"/>
        <v>100</v>
      </c>
      <c r="S1142" s="83">
        <f t="shared" ca="1" si="243"/>
        <v>695</v>
      </c>
      <c r="T1142" s="83">
        <f t="shared" ca="1" si="243"/>
        <v>33.333333333333336</v>
      </c>
      <c r="U1142" s="84"/>
      <c r="V1142" s="84"/>
      <c r="W1142" s="84"/>
      <c r="X1142" s="84"/>
      <c r="Y1142" s="84"/>
      <c r="Z1142" s="84"/>
      <c r="AA1142" s="84"/>
      <c r="AB1142" s="84"/>
      <c r="AC1142" s="84"/>
      <c r="AD1142" s="84"/>
    </row>
    <row r="1143" spans="1:30" ht="15" x14ac:dyDescent="0.2">
      <c r="A1143" s="11">
        <f t="shared" si="238"/>
        <v>2087</v>
      </c>
      <c r="B1143" s="11">
        <f t="shared" si="241"/>
        <v>365</v>
      </c>
      <c r="C1143" s="83">
        <f t="shared" ca="1" si="242"/>
        <v>154.75825</v>
      </c>
      <c r="D1143" s="83">
        <f t="shared" ca="1" si="242"/>
        <v>281.0162499999999</v>
      </c>
      <c r="E1143" s="83">
        <f t="shared" ca="1" si="242"/>
        <v>109.1005</v>
      </c>
      <c r="F1143" s="83">
        <f t="shared" ca="1" si="242"/>
        <v>57.041666666666664</v>
      </c>
      <c r="G1143" s="83">
        <f t="shared" ca="1" si="242"/>
        <v>40</v>
      </c>
      <c r="H1143" s="83">
        <f t="shared" ca="1" si="242"/>
        <v>174.58333333333334</v>
      </c>
      <c r="I1143" s="83">
        <f t="shared" ca="1" si="242"/>
        <v>0</v>
      </c>
      <c r="J1143" s="83">
        <f t="shared" ca="1" si="242"/>
        <v>100</v>
      </c>
      <c r="K1143" s="83">
        <f t="shared" ca="1" si="242"/>
        <v>300</v>
      </c>
      <c r="L1143" s="83">
        <f t="shared" ca="1" si="242"/>
        <v>1216.5</v>
      </c>
      <c r="M1143" s="83">
        <f t="shared" ca="1" si="243"/>
        <v>600</v>
      </c>
      <c r="N1143" s="83">
        <f t="shared" ca="1" si="243"/>
        <v>72.5</v>
      </c>
      <c r="O1143" s="83">
        <f t="shared" ca="1" si="243"/>
        <v>240</v>
      </c>
      <c r="P1143" s="83">
        <f t="shared" ca="1" si="243"/>
        <v>40</v>
      </c>
      <c r="Q1143" s="83">
        <f t="shared" ca="1" si="243"/>
        <v>315</v>
      </c>
      <c r="R1143" s="83">
        <f t="shared" ca="1" si="243"/>
        <v>100</v>
      </c>
      <c r="S1143" s="83">
        <f t="shared" ca="1" si="243"/>
        <v>695</v>
      </c>
      <c r="T1143" s="83">
        <f t="shared" ca="1" si="243"/>
        <v>33.333333333333336</v>
      </c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</row>
    <row r="1144" spans="1:30" ht="15" x14ac:dyDescent="0.2">
      <c r="A1144" s="11">
        <f t="shared" si="238"/>
        <v>2088</v>
      </c>
      <c r="B1144" s="11">
        <f t="shared" si="241"/>
        <v>366</v>
      </c>
      <c r="C1144" s="83">
        <f t="shared" ca="1" si="242"/>
        <v>154.75825</v>
      </c>
      <c r="D1144" s="83">
        <f t="shared" ca="1" si="242"/>
        <v>281.0162499999999</v>
      </c>
      <c r="E1144" s="83">
        <f t="shared" ca="1" si="242"/>
        <v>109.1005</v>
      </c>
      <c r="F1144" s="83">
        <f t="shared" ca="1" si="242"/>
        <v>57.041666666666664</v>
      </c>
      <c r="G1144" s="83">
        <f t="shared" ca="1" si="242"/>
        <v>40</v>
      </c>
      <c r="H1144" s="83">
        <f t="shared" ca="1" si="242"/>
        <v>174.58333333333334</v>
      </c>
      <c r="I1144" s="83">
        <f t="shared" ca="1" si="242"/>
        <v>0</v>
      </c>
      <c r="J1144" s="83">
        <f t="shared" ca="1" si="242"/>
        <v>100</v>
      </c>
      <c r="K1144" s="83">
        <f t="shared" ca="1" si="242"/>
        <v>300</v>
      </c>
      <c r="L1144" s="83">
        <f t="shared" ca="1" si="242"/>
        <v>1216.5</v>
      </c>
      <c r="M1144" s="83">
        <f t="shared" ca="1" si="243"/>
        <v>600</v>
      </c>
      <c r="N1144" s="83">
        <f t="shared" ca="1" si="243"/>
        <v>72.5</v>
      </c>
      <c r="O1144" s="83">
        <f t="shared" ca="1" si="243"/>
        <v>240</v>
      </c>
      <c r="P1144" s="83">
        <f t="shared" ca="1" si="243"/>
        <v>40</v>
      </c>
      <c r="Q1144" s="83">
        <f t="shared" ca="1" si="243"/>
        <v>315</v>
      </c>
      <c r="R1144" s="83">
        <f t="shared" ca="1" si="243"/>
        <v>100</v>
      </c>
      <c r="S1144" s="83">
        <f t="shared" ca="1" si="243"/>
        <v>695</v>
      </c>
      <c r="T1144" s="83">
        <f t="shared" ca="1" si="243"/>
        <v>33.333333333333336</v>
      </c>
      <c r="U1144" s="84"/>
      <c r="V1144" s="84"/>
      <c r="W1144" s="84"/>
      <c r="X1144" s="84"/>
      <c r="Y1144" s="84"/>
      <c r="Z1144" s="84"/>
      <c r="AA1144" s="84"/>
      <c r="AB1144" s="84"/>
      <c r="AC1144" s="84"/>
      <c r="AD1144" s="84"/>
    </row>
    <row r="1145" spans="1:30" ht="15" x14ac:dyDescent="0.2">
      <c r="A1145" s="11">
        <f t="shared" si="238"/>
        <v>2089</v>
      </c>
      <c r="B1145" s="11">
        <f t="shared" si="241"/>
        <v>365</v>
      </c>
      <c r="C1145" s="83">
        <f t="shared" ca="1" si="242"/>
        <v>154.75825</v>
      </c>
      <c r="D1145" s="83">
        <f t="shared" ca="1" si="242"/>
        <v>281.0162499999999</v>
      </c>
      <c r="E1145" s="83">
        <f t="shared" ca="1" si="242"/>
        <v>109.1005</v>
      </c>
      <c r="F1145" s="83">
        <f t="shared" ca="1" si="242"/>
        <v>57.041666666666664</v>
      </c>
      <c r="G1145" s="83">
        <f t="shared" ca="1" si="242"/>
        <v>40</v>
      </c>
      <c r="H1145" s="83">
        <f t="shared" ca="1" si="242"/>
        <v>174.58333333333334</v>
      </c>
      <c r="I1145" s="83">
        <f t="shared" ca="1" si="242"/>
        <v>0</v>
      </c>
      <c r="J1145" s="83">
        <f t="shared" ca="1" si="242"/>
        <v>100</v>
      </c>
      <c r="K1145" s="83">
        <f t="shared" ca="1" si="242"/>
        <v>300</v>
      </c>
      <c r="L1145" s="83">
        <f t="shared" ca="1" si="242"/>
        <v>1216.5</v>
      </c>
      <c r="M1145" s="83">
        <f t="shared" ca="1" si="243"/>
        <v>600</v>
      </c>
      <c r="N1145" s="83">
        <f t="shared" ca="1" si="243"/>
        <v>72.5</v>
      </c>
      <c r="O1145" s="83">
        <f t="shared" ca="1" si="243"/>
        <v>240</v>
      </c>
      <c r="P1145" s="83">
        <f t="shared" ca="1" si="243"/>
        <v>40</v>
      </c>
      <c r="Q1145" s="83">
        <f t="shared" ca="1" si="243"/>
        <v>315</v>
      </c>
      <c r="R1145" s="83">
        <f t="shared" ca="1" si="243"/>
        <v>100</v>
      </c>
      <c r="S1145" s="83">
        <f t="shared" ca="1" si="243"/>
        <v>695</v>
      </c>
      <c r="T1145" s="83">
        <f t="shared" ca="1" si="243"/>
        <v>33.333333333333336</v>
      </c>
      <c r="U1145" s="84"/>
      <c r="V1145" s="84"/>
      <c r="W1145" s="84"/>
      <c r="X1145" s="84"/>
      <c r="Y1145" s="84"/>
      <c r="Z1145" s="84"/>
      <c r="AA1145" s="84"/>
      <c r="AB1145" s="84"/>
      <c r="AC1145" s="84"/>
      <c r="AD1145" s="84"/>
    </row>
    <row r="1146" spans="1:30" ht="15" x14ac:dyDescent="0.2">
      <c r="A1146" s="11">
        <f t="shared" si="238"/>
        <v>2090</v>
      </c>
      <c r="B1146" s="11">
        <f t="shared" si="241"/>
        <v>365</v>
      </c>
      <c r="C1146" s="83">
        <f t="shared" ca="1" si="242"/>
        <v>154.75825</v>
      </c>
      <c r="D1146" s="83">
        <f t="shared" ca="1" si="242"/>
        <v>281.0162499999999</v>
      </c>
      <c r="E1146" s="83">
        <f t="shared" ca="1" si="242"/>
        <v>109.1005</v>
      </c>
      <c r="F1146" s="83">
        <f t="shared" ca="1" si="242"/>
        <v>57.041666666666664</v>
      </c>
      <c r="G1146" s="83">
        <f t="shared" ca="1" si="242"/>
        <v>40</v>
      </c>
      <c r="H1146" s="83">
        <f t="shared" ca="1" si="242"/>
        <v>174.58333333333334</v>
      </c>
      <c r="I1146" s="83">
        <f t="shared" ca="1" si="242"/>
        <v>0</v>
      </c>
      <c r="J1146" s="83">
        <f t="shared" ca="1" si="242"/>
        <v>100</v>
      </c>
      <c r="K1146" s="83">
        <f t="shared" ca="1" si="242"/>
        <v>300</v>
      </c>
      <c r="L1146" s="83">
        <f t="shared" ca="1" si="242"/>
        <v>1216.5</v>
      </c>
      <c r="M1146" s="83">
        <f t="shared" ca="1" si="243"/>
        <v>600</v>
      </c>
      <c r="N1146" s="83">
        <f t="shared" ca="1" si="243"/>
        <v>72.5</v>
      </c>
      <c r="O1146" s="83">
        <f t="shared" ca="1" si="243"/>
        <v>240</v>
      </c>
      <c r="P1146" s="83">
        <f t="shared" ca="1" si="243"/>
        <v>40</v>
      </c>
      <c r="Q1146" s="83">
        <f t="shared" ca="1" si="243"/>
        <v>315</v>
      </c>
      <c r="R1146" s="83">
        <f t="shared" ca="1" si="243"/>
        <v>100</v>
      </c>
      <c r="S1146" s="83">
        <f t="shared" ca="1" si="243"/>
        <v>695</v>
      </c>
      <c r="T1146" s="83">
        <f t="shared" ca="1" si="243"/>
        <v>33.333333333333336</v>
      </c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</row>
    <row r="1147" spans="1:30" ht="15" x14ac:dyDescent="0.2">
      <c r="A1147" s="11">
        <f t="shared" si="238"/>
        <v>2091</v>
      </c>
      <c r="B1147" s="11">
        <f t="shared" si="241"/>
        <v>365</v>
      </c>
      <c r="C1147" s="83">
        <f t="shared" ca="1" si="242"/>
        <v>154.75825</v>
      </c>
      <c r="D1147" s="83">
        <f t="shared" ca="1" si="242"/>
        <v>281.0162499999999</v>
      </c>
      <c r="E1147" s="83">
        <f t="shared" ca="1" si="242"/>
        <v>109.1005</v>
      </c>
      <c r="F1147" s="83">
        <f t="shared" ca="1" si="242"/>
        <v>57.041666666666664</v>
      </c>
      <c r="G1147" s="83">
        <f t="shared" ca="1" si="242"/>
        <v>40</v>
      </c>
      <c r="H1147" s="83">
        <f t="shared" ca="1" si="242"/>
        <v>174.58333333333334</v>
      </c>
      <c r="I1147" s="83">
        <f t="shared" ca="1" si="242"/>
        <v>0</v>
      </c>
      <c r="J1147" s="83">
        <f t="shared" ca="1" si="242"/>
        <v>100</v>
      </c>
      <c r="K1147" s="83">
        <f t="shared" ca="1" si="242"/>
        <v>300</v>
      </c>
      <c r="L1147" s="83">
        <f t="shared" ca="1" si="242"/>
        <v>1216.5</v>
      </c>
      <c r="M1147" s="83">
        <f t="shared" ca="1" si="243"/>
        <v>600</v>
      </c>
      <c r="N1147" s="83">
        <f t="shared" ca="1" si="243"/>
        <v>72.5</v>
      </c>
      <c r="O1147" s="83">
        <f t="shared" ca="1" si="243"/>
        <v>240</v>
      </c>
      <c r="P1147" s="83">
        <f t="shared" ca="1" si="243"/>
        <v>40</v>
      </c>
      <c r="Q1147" s="83">
        <f t="shared" ca="1" si="243"/>
        <v>315</v>
      </c>
      <c r="R1147" s="83">
        <f t="shared" ca="1" si="243"/>
        <v>100</v>
      </c>
      <c r="S1147" s="83">
        <f t="shared" ca="1" si="243"/>
        <v>695</v>
      </c>
      <c r="T1147" s="83">
        <f t="shared" ca="1" si="243"/>
        <v>33.333333333333336</v>
      </c>
    </row>
    <row r="1148" spans="1:30" ht="15" x14ac:dyDescent="0.2">
      <c r="A1148" s="11">
        <f t="shared" si="238"/>
        <v>2092</v>
      </c>
      <c r="B1148" s="11">
        <f t="shared" si="241"/>
        <v>366</v>
      </c>
      <c r="C1148" s="83">
        <f t="shared" ref="C1148:L1156" ca="1" si="244">AVERAGE(OFFSET(C$600,($A1148-$A$1118)*12,0,12,1))</f>
        <v>154.75825</v>
      </c>
      <c r="D1148" s="83">
        <f t="shared" ca="1" si="244"/>
        <v>281.0162499999999</v>
      </c>
      <c r="E1148" s="83">
        <f t="shared" ca="1" si="244"/>
        <v>109.1005</v>
      </c>
      <c r="F1148" s="83">
        <f t="shared" ca="1" si="244"/>
        <v>57.041666666666664</v>
      </c>
      <c r="G1148" s="83">
        <f t="shared" ca="1" si="244"/>
        <v>40</v>
      </c>
      <c r="H1148" s="83">
        <f t="shared" ca="1" si="244"/>
        <v>174.58333333333334</v>
      </c>
      <c r="I1148" s="83">
        <f t="shared" ca="1" si="244"/>
        <v>0</v>
      </c>
      <c r="J1148" s="83">
        <f t="shared" ca="1" si="244"/>
        <v>100</v>
      </c>
      <c r="K1148" s="83">
        <f t="shared" ca="1" si="244"/>
        <v>300</v>
      </c>
      <c r="L1148" s="83">
        <f t="shared" ca="1" si="244"/>
        <v>1216.5</v>
      </c>
      <c r="M1148" s="83">
        <f t="shared" ref="M1148:T1156" ca="1" si="245">AVERAGE(OFFSET(M$600,($A1148-$A$1118)*12,0,12,1))</f>
        <v>600</v>
      </c>
      <c r="N1148" s="83">
        <f t="shared" ca="1" si="245"/>
        <v>72.5</v>
      </c>
      <c r="O1148" s="83">
        <f t="shared" ca="1" si="245"/>
        <v>240</v>
      </c>
      <c r="P1148" s="83">
        <f t="shared" ca="1" si="245"/>
        <v>40</v>
      </c>
      <c r="Q1148" s="83">
        <f t="shared" ca="1" si="245"/>
        <v>315</v>
      </c>
      <c r="R1148" s="83">
        <f t="shared" ca="1" si="245"/>
        <v>100</v>
      </c>
      <c r="S1148" s="83">
        <f t="shared" ca="1" si="245"/>
        <v>695</v>
      </c>
      <c r="T1148" s="83">
        <f t="shared" ca="1" si="245"/>
        <v>33.333333333333336</v>
      </c>
    </row>
    <row r="1149" spans="1:30" ht="15" x14ac:dyDescent="0.2">
      <c r="A1149" s="11">
        <f t="shared" si="238"/>
        <v>2093</v>
      </c>
      <c r="B1149" s="11">
        <f t="shared" si="241"/>
        <v>365</v>
      </c>
      <c r="C1149" s="83">
        <f t="shared" ca="1" si="244"/>
        <v>154.75825</v>
      </c>
      <c r="D1149" s="83">
        <f t="shared" ca="1" si="244"/>
        <v>281.0162499999999</v>
      </c>
      <c r="E1149" s="83">
        <f t="shared" ca="1" si="244"/>
        <v>109.1005</v>
      </c>
      <c r="F1149" s="83">
        <f t="shared" ca="1" si="244"/>
        <v>57.041666666666664</v>
      </c>
      <c r="G1149" s="83">
        <f t="shared" ca="1" si="244"/>
        <v>40</v>
      </c>
      <c r="H1149" s="83">
        <f t="shared" ca="1" si="244"/>
        <v>174.58333333333334</v>
      </c>
      <c r="I1149" s="83">
        <f t="shared" ca="1" si="244"/>
        <v>0</v>
      </c>
      <c r="J1149" s="83">
        <f t="shared" ca="1" si="244"/>
        <v>100</v>
      </c>
      <c r="K1149" s="83">
        <f t="shared" ca="1" si="244"/>
        <v>300</v>
      </c>
      <c r="L1149" s="83">
        <f t="shared" ca="1" si="244"/>
        <v>1216.5</v>
      </c>
      <c r="M1149" s="83">
        <f t="shared" ca="1" si="245"/>
        <v>600</v>
      </c>
      <c r="N1149" s="83">
        <f t="shared" ca="1" si="245"/>
        <v>72.5</v>
      </c>
      <c r="O1149" s="83">
        <f t="shared" ca="1" si="245"/>
        <v>240</v>
      </c>
      <c r="P1149" s="83">
        <f t="shared" ca="1" si="245"/>
        <v>40</v>
      </c>
      <c r="Q1149" s="83">
        <f t="shared" ca="1" si="245"/>
        <v>315</v>
      </c>
      <c r="R1149" s="83">
        <f t="shared" ca="1" si="245"/>
        <v>100</v>
      </c>
      <c r="S1149" s="83">
        <f t="shared" ca="1" si="245"/>
        <v>695</v>
      </c>
      <c r="T1149" s="83">
        <f t="shared" ca="1" si="245"/>
        <v>33.333333333333336</v>
      </c>
    </row>
    <row r="1150" spans="1:30" ht="15" x14ac:dyDescent="0.2">
      <c r="A1150" s="11">
        <f t="shared" si="238"/>
        <v>2094</v>
      </c>
      <c r="B1150" s="11">
        <f t="shared" si="241"/>
        <v>365</v>
      </c>
      <c r="C1150" s="83">
        <f t="shared" ca="1" si="244"/>
        <v>154.75825</v>
      </c>
      <c r="D1150" s="83">
        <f t="shared" ca="1" si="244"/>
        <v>281.0162499999999</v>
      </c>
      <c r="E1150" s="83">
        <f t="shared" ca="1" si="244"/>
        <v>109.1005</v>
      </c>
      <c r="F1150" s="83">
        <f t="shared" ca="1" si="244"/>
        <v>57.041666666666664</v>
      </c>
      <c r="G1150" s="83">
        <f t="shared" ca="1" si="244"/>
        <v>40</v>
      </c>
      <c r="H1150" s="83">
        <f t="shared" ca="1" si="244"/>
        <v>174.58333333333334</v>
      </c>
      <c r="I1150" s="83">
        <f t="shared" ca="1" si="244"/>
        <v>0</v>
      </c>
      <c r="J1150" s="83">
        <f t="shared" ca="1" si="244"/>
        <v>100</v>
      </c>
      <c r="K1150" s="83">
        <f t="shared" ca="1" si="244"/>
        <v>300</v>
      </c>
      <c r="L1150" s="83">
        <f t="shared" ca="1" si="244"/>
        <v>1216.5</v>
      </c>
      <c r="M1150" s="83">
        <f t="shared" ca="1" si="245"/>
        <v>600</v>
      </c>
      <c r="N1150" s="83">
        <f t="shared" ca="1" si="245"/>
        <v>72.5</v>
      </c>
      <c r="O1150" s="83">
        <f t="shared" ca="1" si="245"/>
        <v>240</v>
      </c>
      <c r="P1150" s="83">
        <f t="shared" ca="1" si="245"/>
        <v>40</v>
      </c>
      <c r="Q1150" s="83">
        <f t="shared" ca="1" si="245"/>
        <v>315</v>
      </c>
      <c r="R1150" s="83">
        <f t="shared" ca="1" si="245"/>
        <v>100</v>
      </c>
      <c r="S1150" s="83">
        <f t="shared" ca="1" si="245"/>
        <v>695</v>
      </c>
      <c r="T1150" s="83">
        <f t="shared" ca="1" si="245"/>
        <v>33.333333333333336</v>
      </c>
    </row>
    <row r="1151" spans="1:30" ht="15" x14ac:dyDescent="0.2">
      <c r="A1151" s="11">
        <f t="shared" si="238"/>
        <v>2095</v>
      </c>
      <c r="B1151" s="11">
        <f t="shared" si="241"/>
        <v>365</v>
      </c>
      <c r="C1151" s="83">
        <f t="shared" ca="1" si="244"/>
        <v>154.75825</v>
      </c>
      <c r="D1151" s="83">
        <f t="shared" ca="1" si="244"/>
        <v>281.0162499999999</v>
      </c>
      <c r="E1151" s="83">
        <f t="shared" ca="1" si="244"/>
        <v>109.1005</v>
      </c>
      <c r="F1151" s="83">
        <f t="shared" ca="1" si="244"/>
        <v>57.041666666666664</v>
      </c>
      <c r="G1151" s="83">
        <f t="shared" ca="1" si="244"/>
        <v>40</v>
      </c>
      <c r="H1151" s="83">
        <f t="shared" ca="1" si="244"/>
        <v>174.58333333333334</v>
      </c>
      <c r="I1151" s="83">
        <f t="shared" ca="1" si="244"/>
        <v>0</v>
      </c>
      <c r="J1151" s="83">
        <f t="shared" ca="1" si="244"/>
        <v>100</v>
      </c>
      <c r="K1151" s="83">
        <f t="shared" ca="1" si="244"/>
        <v>300</v>
      </c>
      <c r="L1151" s="83">
        <f t="shared" ca="1" si="244"/>
        <v>1216.5</v>
      </c>
      <c r="M1151" s="83">
        <f t="shared" ca="1" si="245"/>
        <v>600</v>
      </c>
      <c r="N1151" s="83">
        <f t="shared" ca="1" si="245"/>
        <v>72.5</v>
      </c>
      <c r="O1151" s="83">
        <f t="shared" ca="1" si="245"/>
        <v>240</v>
      </c>
      <c r="P1151" s="83">
        <f t="shared" ca="1" si="245"/>
        <v>40</v>
      </c>
      <c r="Q1151" s="83">
        <f t="shared" ca="1" si="245"/>
        <v>315</v>
      </c>
      <c r="R1151" s="83">
        <f t="shared" ca="1" si="245"/>
        <v>100</v>
      </c>
      <c r="S1151" s="83">
        <f t="shared" ca="1" si="245"/>
        <v>695</v>
      </c>
      <c r="T1151" s="83">
        <f t="shared" ca="1" si="245"/>
        <v>33.333333333333336</v>
      </c>
    </row>
    <row r="1152" spans="1:30" ht="15" x14ac:dyDescent="0.2">
      <c r="A1152" s="11">
        <f t="shared" si="238"/>
        <v>2096</v>
      </c>
      <c r="B1152" s="11">
        <f t="shared" si="241"/>
        <v>366</v>
      </c>
      <c r="C1152" s="83">
        <f t="shared" ca="1" si="244"/>
        <v>154.75825</v>
      </c>
      <c r="D1152" s="83">
        <f t="shared" ca="1" si="244"/>
        <v>281.0162499999999</v>
      </c>
      <c r="E1152" s="83">
        <f t="shared" ca="1" si="244"/>
        <v>109.1005</v>
      </c>
      <c r="F1152" s="83">
        <f t="shared" ca="1" si="244"/>
        <v>57.041666666666664</v>
      </c>
      <c r="G1152" s="83">
        <f t="shared" ca="1" si="244"/>
        <v>40</v>
      </c>
      <c r="H1152" s="83">
        <f t="shared" ca="1" si="244"/>
        <v>174.58333333333334</v>
      </c>
      <c r="I1152" s="83">
        <f t="shared" ca="1" si="244"/>
        <v>0</v>
      </c>
      <c r="J1152" s="83">
        <f t="shared" ca="1" si="244"/>
        <v>100</v>
      </c>
      <c r="K1152" s="83">
        <f t="shared" ca="1" si="244"/>
        <v>300</v>
      </c>
      <c r="L1152" s="83">
        <f t="shared" ca="1" si="244"/>
        <v>1216.5</v>
      </c>
      <c r="M1152" s="83">
        <f t="shared" ca="1" si="245"/>
        <v>600</v>
      </c>
      <c r="N1152" s="83">
        <f t="shared" ca="1" si="245"/>
        <v>72.5</v>
      </c>
      <c r="O1152" s="83">
        <f t="shared" ca="1" si="245"/>
        <v>240</v>
      </c>
      <c r="P1152" s="83">
        <f t="shared" ca="1" si="245"/>
        <v>40</v>
      </c>
      <c r="Q1152" s="83">
        <f t="shared" ca="1" si="245"/>
        <v>315</v>
      </c>
      <c r="R1152" s="83">
        <f t="shared" ca="1" si="245"/>
        <v>100</v>
      </c>
      <c r="S1152" s="83">
        <f t="shared" ca="1" si="245"/>
        <v>695</v>
      </c>
      <c r="T1152" s="83">
        <f t="shared" ca="1" si="245"/>
        <v>33.333333333333336</v>
      </c>
    </row>
    <row r="1153" spans="1:20" ht="15" x14ac:dyDescent="0.2">
      <c r="A1153" s="11">
        <f t="shared" si="238"/>
        <v>2097</v>
      </c>
      <c r="B1153" s="11">
        <f t="shared" si="241"/>
        <v>365</v>
      </c>
      <c r="C1153" s="83">
        <f t="shared" ca="1" si="244"/>
        <v>154.75825</v>
      </c>
      <c r="D1153" s="83">
        <f t="shared" ca="1" si="244"/>
        <v>281.0162499999999</v>
      </c>
      <c r="E1153" s="83">
        <f t="shared" ca="1" si="244"/>
        <v>109.1005</v>
      </c>
      <c r="F1153" s="83">
        <f t="shared" ca="1" si="244"/>
        <v>57.041666666666664</v>
      </c>
      <c r="G1153" s="83">
        <f t="shared" ca="1" si="244"/>
        <v>40</v>
      </c>
      <c r="H1153" s="83">
        <f t="shared" ca="1" si="244"/>
        <v>174.58333333333334</v>
      </c>
      <c r="I1153" s="83">
        <f t="shared" ca="1" si="244"/>
        <v>0</v>
      </c>
      <c r="J1153" s="83">
        <f t="shared" ca="1" si="244"/>
        <v>100</v>
      </c>
      <c r="K1153" s="83">
        <f t="shared" ca="1" si="244"/>
        <v>300</v>
      </c>
      <c r="L1153" s="83">
        <f t="shared" ca="1" si="244"/>
        <v>1216.5</v>
      </c>
      <c r="M1153" s="83">
        <f t="shared" ca="1" si="245"/>
        <v>600</v>
      </c>
      <c r="N1153" s="83">
        <f t="shared" ca="1" si="245"/>
        <v>72.5</v>
      </c>
      <c r="O1153" s="83">
        <f t="shared" ca="1" si="245"/>
        <v>240</v>
      </c>
      <c r="P1153" s="83">
        <f t="shared" ca="1" si="245"/>
        <v>40</v>
      </c>
      <c r="Q1153" s="83">
        <f t="shared" ca="1" si="245"/>
        <v>315</v>
      </c>
      <c r="R1153" s="83">
        <f t="shared" ca="1" si="245"/>
        <v>100</v>
      </c>
      <c r="S1153" s="83">
        <f t="shared" ca="1" si="245"/>
        <v>695</v>
      </c>
      <c r="T1153" s="83">
        <f t="shared" ca="1" si="245"/>
        <v>33.333333333333336</v>
      </c>
    </row>
    <row r="1154" spans="1:20" ht="15" x14ac:dyDescent="0.2">
      <c r="A1154" s="11">
        <f t="shared" si="238"/>
        <v>2098</v>
      </c>
      <c r="B1154" s="11">
        <f t="shared" si="241"/>
        <v>365</v>
      </c>
      <c r="C1154" s="83">
        <f t="shared" ca="1" si="244"/>
        <v>154.75825</v>
      </c>
      <c r="D1154" s="83">
        <f t="shared" ca="1" si="244"/>
        <v>281.0162499999999</v>
      </c>
      <c r="E1154" s="83">
        <f t="shared" ca="1" si="244"/>
        <v>109.1005</v>
      </c>
      <c r="F1154" s="83">
        <f t="shared" ca="1" si="244"/>
        <v>57.041666666666664</v>
      </c>
      <c r="G1154" s="83">
        <f t="shared" ca="1" si="244"/>
        <v>40</v>
      </c>
      <c r="H1154" s="83">
        <f t="shared" ca="1" si="244"/>
        <v>174.58333333333334</v>
      </c>
      <c r="I1154" s="83">
        <f t="shared" ca="1" si="244"/>
        <v>0</v>
      </c>
      <c r="J1154" s="83">
        <f t="shared" ca="1" si="244"/>
        <v>100</v>
      </c>
      <c r="K1154" s="83">
        <f t="shared" ca="1" si="244"/>
        <v>300</v>
      </c>
      <c r="L1154" s="83">
        <f t="shared" ca="1" si="244"/>
        <v>1216.5</v>
      </c>
      <c r="M1154" s="83">
        <f t="shared" ca="1" si="245"/>
        <v>600</v>
      </c>
      <c r="N1154" s="83">
        <f t="shared" ca="1" si="245"/>
        <v>72.5</v>
      </c>
      <c r="O1154" s="83">
        <f t="shared" ca="1" si="245"/>
        <v>240</v>
      </c>
      <c r="P1154" s="83">
        <f t="shared" ca="1" si="245"/>
        <v>40</v>
      </c>
      <c r="Q1154" s="83">
        <f t="shared" ca="1" si="245"/>
        <v>315</v>
      </c>
      <c r="R1154" s="83">
        <f t="shared" ca="1" si="245"/>
        <v>100</v>
      </c>
      <c r="S1154" s="83">
        <f t="shared" ca="1" si="245"/>
        <v>695</v>
      </c>
      <c r="T1154" s="83">
        <f t="shared" ca="1" si="245"/>
        <v>33.333333333333336</v>
      </c>
    </row>
    <row r="1155" spans="1:20" ht="15" x14ac:dyDescent="0.2">
      <c r="A1155" s="11">
        <f t="shared" si="238"/>
        <v>2099</v>
      </c>
      <c r="B1155" s="11">
        <f t="shared" si="241"/>
        <v>365</v>
      </c>
      <c r="C1155" s="83">
        <f t="shared" ca="1" si="244"/>
        <v>154.75825</v>
      </c>
      <c r="D1155" s="83">
        <f t="shared" ca="1" si="244"/>
        <v>281.0162499999999</v>
      </c>
      <c r="E1155" s="83">
        <f t="shared" ca="1" si="244"/>
        <v>109.1005</v>
      </c>
      <c r="F1155" s="83">
        <f t="shared" ca="1" si="244"/>
        <v>57.041666666666664</v>
      </c>
      <c r="G1155" s="83">
        <f t="shared" ca="1" si="244"/>
        <v>40</v>
      </c>
      <c r="H1155" s="83">
        <f t="shared" ca="1" si="244"/>
        <v>174.58333333333334</v>
      </c>
      <c r="I1155" s="83">
        <f t="shared" ca="1" si="244"/>
        <v>0</v>
      </c>
      <c r="J1155" s="83">
        <f t="shared" ca="1" si="244"/>
        <v>100</v>
      </c>
      <c r="K1155" s="83">
        <f t="shared" ca="1" si="244"/>
        <v>300</v>
      </c>
      <c r="L1155" s="83">
        <f t="shared" ca="1" si="244"/>
        <v>1216.5</v>
      </c>
      <c r="M1155" s="83">
        <f t="shared" ca="1" si="245"/>
        <v>600</v>
      </c>
      <c r="N1155" s="83">
        <f t="shared" ca="1" si="245"/>
        <v>72.5</v>
      </c>
      <c r="O1155" s="83">
        <f t="shared" ca="1" si="245"/>
        <v>240</v>
      </c>
      <c r="P1155" s="83">
        <f t="shared" ca="1" si="245"/>
        <v>40</v>
      </c>
      <c r="Q1155" s="83">
        <f t="shared" ca="1" si="245"/>
        <v>315</v>
      </c>
      <c r="R1155" s="83">
        <f t="shared" ca="1" si="245"/>
        <v>100</v>
      </c>
      <c r="S1155" s="83">
        <f t="shared" ca="1" si="245"/>
        <v>695</v>
      </c>
      <c r="T1155" s="83">
        <f t="shared" ca="1" si="245"/>
        <v>33.333333333333336</v>
      </c>
    </row>
    <row r="1156" spans="1:20" ht="15" x14ac:dyDescent="0.2">
      <c r="A1156" s="11">
        <f t="shared" si="238"/>
        <v>2100</v>
      </c>
      <c r="B1156" s="11">
        <f t="shared" si="241"/>
        <v>365</v>
      </c>
      <c r="C1156" s="83">
        <f t="shared" ca="1" si="244"/>
        <v>154.75825</v>
      </c>
      <c r="D1156" s="83">
        <f t="shared" ca="1" si="244"/>
        <v>281.0162499999999</v>
      </c>
      <c r="E1156" s="83">
        <f t="shared" ca="1" si="244"/>
        <v>109.1005</v>
      </c>
      <c r="F1156" s="83">
        <f t="shared" ca="1" si="244"/>
        <v>57.041666666666664</v>
      </c>
      <c r="G1156" s="83">
        <f t="shared" ca="1" si="244"/>
        <v>40</v>
      </c>
      <c r="H1156" s="83">
        <f t="shared" ca="1" si="244"/>
        <v>174.58333333333334</v>
      </c>
      <c r="I1156" s="83">
        <f t="shared" ca="1" si="244"/>
        <v>0</v>
      </c>
      <c r="J1156" s="83">
        <f t="shared" ca="1" si="244"/>
        <v>100</v>
      </c>
      <c r="K1156" s="83">
        <f t="shared" ca="1" si="244"/>
        <v>300</v>
      </c>
      <c r="L1156" s="83">
        <f t="shared" ca="1" si="244"/>
        <v>1216.5</v>
      </c>
      <c r="M1156" s="83">
        <f t="shared" ca="1" si="245"/>
        <v>600</v>
      </c>
      <c r="N1156" s="83">
        <f t="shared" ca="1" si="245"/>
        <v>72.5</v>
      </c>
      <c r="O1156" s="83">
        <f t="shared" ca="1" si="245"/>
        <v>240</v>
      </c>
      <c r="P1156" s="83">
        <f t="shared" ca="1" si="245"/>
        <v>40</v>
      </c>
      <c r="Q1156" s="83">
        <f t="shared" ca="1" si="245"/>
        <v>315</v>
      </c>
      <c r="R1156" s="83">
        <f t="shared" ca="1" si="245"/>
        <v>100</v>
      </c>
      <c r="S1156" s="83">
        <f t="shared" ca="1" si="245"/>
        <v>695</v>
      </c>
      <c r="T1156" s="83">
        <f t="shared" ca="1" si="245"/>
        <v>33.333333333333336</v>
      </c>
    </row>
    <row r="1157" spans="1:20" x14ac:dyDescent="0.2">
      <c r="A1157" s="8"/>
      <c r="B1157" s="8"/>
    </row>
    <row r="1158" spans="1:20" x14ac:dyDescent="0.2">
      <c r="A1158" s="8"/>
      <c r="B1158" s="8"/>
    </row>
    <row r="1159" spans="1:20" x14ac:dyDescent="0.2">
      <c r="A1159" s="8"/>
      <c r="B1159" s="8"/>
    </row>
    <row r="1160" spans="1:20" x14ac:dyDescent="0.2">
      <c r="A1160" s="8"/>
      <c r="B1160" s="8"/>
    </row>
    <row r="1161" spans="1:20" x14ac:dyDescent="0.2">
      <c r="A1161" s="8"/>
      <c r="B1161" s="8"/>
    </row>
    <row r="1162" spans="1:20" x14ac:dyDescent="0.2">
      <c r="A1162" s="8"/>
      <c r="B1162" s="8"/>
    </row>
    <row r="1163" spans="1:20" x14ac:dyDescent="0.2">
      <c r="A1163" s="8"/>
      <c r="B1163" s="8"/>
    </row>
    <row r="1164" spans="1:20" x14ac:dyDescent="0.2">
      <c r="A1164" s="8"/>
      <c r="B1164" s="8"/>
    </row>
    <row r="1165" spans="1:20" x14ac:dyDescent="0.2">
      <c r="A1165" s="8"/>
      <c r="B1165" s="8"/>
    </row>
    <row r="1166" spans="1:20" x14ac:dyDescent="0.2">
      <c r="A1166" s="8"/>
      <c r="B1166" s="8"/>
    </row>
    <row r="1167" spans="1:20" x14ac:dyDescent="0.2">
      <c r="A1167" s="8"/>
      <c r="B1167" s="8"/>
    </row>
    <row r="1168" spans="1:20" x14ac:dyDescent="0.2">
      <c r="A1168" s="8"/>
      <c r="B1168" s="8"/>
    </row>
    <row r="1169" spans="1:2" x14ac:dyDescent="0.2">
      <c r="A1169" s="8"/>
      <c r="B1169" s="8"/>
    </row>
    <row r="1170" spans="1:2" x14ac:dyDescent="0.2">
      <c r="A1170" s="8"/>
      <c r="B1170" s="8"/>
    </row>
    <row r="1171" spans="1:2" x14ac:dyDescent="0.2">
      <c r="A1171" s="8"/>
      <c r="B1171" s="8"/>
    </row>
    <row r="1172" spans="1:2" x14ac:dyDescent="0.2">
      <c r="A1172" s="8"/>
      <c r="B1172" s="8"/>
    </row>
    <row r="1173" spans="1:2" x14ac:dyDescent="0.2">
      <c r="A1173" s="8"/>
      <c r="B1173" s="8"/>
    </row>
    <row r="1174" spans="1:2" x14ac:dyDescent="0.2">
      <c r="A1174" s="8"/>
      <c r="B1174" s="8"/>
    </row>
    <row r="1175" spans="1:2" x14ac:dyDescent="0.2">
      <c r="A1175" s="8"/>
      <c r="B1175" s="8"/>
    </row>
    <row r="1176" spans="1:2" x14ac:dyDescent="0.2">
      <c r="A1176" s="8"/>
      <c r="B1176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17" scale="55" orientation="landscape" r:id="rId1"/>
  <headerFooter alignWithMargins="0">
    <oddFooter>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RAP-LIGHT OIL</vt:lpstr>
      <vt:lpstr>RAP-SOLID FUEL PRICES</vt:lpstr>
      <vt:lpstr>RAP-HEAVY OIL&amp;WTI</vt:lpstr>
      <vt:lpstr>RAP-NATURAL GAS PRICES</vt:lpstr>
      <vt:lpstr>RAP TEMPLATE-GAS AVAILABILITY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2016-07-29T16:41:20Z</dcterms:created>
  <dcterms:modified xsi:type="dcterms:W3CDTF">2016-07-29T16:41:23Z</dcterms:modified>
</cp:coreProperties>
</file>